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Google Drive\Sajat\Apps\2ccts_revival\tools\data\"/>
    </mc:Choice>
  </mc:AlternateContent>
  <xr:revisionPtr revIDLastSave="1157" documentId="13_ncr:1_{7EEB4C27-77F1-4C37-AEAC-0982BE2EA449}" xr6:coauthVersionLast="47" xr6:coauthVersionMax="47" xr10:uidLastSave="{27361D9F-601B-49A3-9741-B04C68160F81}"/>
  <bookViews>
    <workbookView minimized="1" xWindow="11850" yWindow="4140" windowWidth="18200" windowHeight="11400" tabRatio="835" activeTab="1" xr2:uid="{CD617D9B-F36C-46EF-BCBA-53A7DDA5DBDF}"/>
  </bookViews>
  <sheets>
    <sheet name="control" sheetId="14" r:id="rId1"/>
    <sheet name="properties" sheetId="17" r:id="rId2"/>
    <sheet name="track_types" sheetId="1" r:id="rId3"/>
    <sheet name="graphics_properties" sheetId="16" r:id="rId4"/>
    <sheet name="roster" sheetId="24" state="hidden" r:id="rId5"/>
    <sheet name="roster_africa" sheetId="26" state="hidden" r:id="rId6"/>
    <sheet name="roster_northamerica" sheetId="35" state="hidden" r:id="rId7"/>
    <sheet name="roster_southamerica" sheetId="33" state="hidden" r:id="rId8"/>
    <sheet name="roster_asia" sheetId="28" state="hidden" r:id="rId9"/>
    <sheet name="roster_oceania" sheetId="34" state="hidden" r:id="rId10"/>
    <sheet name="roster_westeurope" sheetId="29" state="hidden" r:id="rId11"/>
    <sheet name="roster_northerneurope" sheetId="36" state="hidden" r:id="rId12"/>
    <sheet name="roster_easterneurope" sheetId="30" state="hidden" r:id="rId13"/>
    <sheet name="roster_southerneurope" sheetId="31" state="hidden" r:id="rId14"/>
    <sheet name="item_validation" sheetId="7" state="hidden" r:id="rId15"/>
    <sheet name="vehicle_id_ranges" sheetId="8" state="hidden" r:id="rId16"/>
    <sheet name="loadingspeed_lookup" sheetId="11" r:id="rId17"/>
    <sheet name="copyright_text" sheetId="6" state="hidden" r:id="rId18"/>
  </sheets>
  <definedNames>
    <definedName name="_xlnm._FilterDatabase" localSheetId="4" hidden="1">roster!$A$1:$O$1115</definedName>
  </definedNames>
  <calcPr calcId="191029"/>
  <pivotCaches>
    <pivotCache cacheId="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" i="17" l="1" a="1"/>
  <c r="AU3" i="17" a="1"/>
  <c r="AU4" i="17" a="1"/>
  <c r="AU5" i="17" a="1"/>
  <c r="AU6" i="17" a="1"/>
  <c r="AU7" i="17" a="1"/>
  <c r="AU8" i="17" a="1"/>
  <c r="AU9" i="17" a="1"/>
  <c r="AU10" i="17" a="1"/>
  <c r="AU11" i="17" a="1"/>
  <c r="AU12" i="17" a="1"/>
  <c r="AU13" i="17" a="1"/>
  <c r="AU14" i="17" a="1"/>
  <c r="AU15" i="17" a="1"/>
  <c r="AU16" i="17" a="1"/>
  <c r="AU17" i="17" a="1"/>
  <c r="AU18" i="17" a="1"/>
  <c r="AU19" i="17" a="1"/>
  <c r="AU20" i="17" a="1"/>
  <c r="AU21" i="17" a="1"/>
  <c r="AU22" i="17" a="1"/>
  <c r="AU23" i="17" a="1"/>
  <c r="AU24" i="17" a="1"/>
  <c r="AU25" i="17" a="1"/>
  <c r="AU26" i="17" a="1"/>
  <c r="AU27" i="17" a="1"/>
  <c r="AU28" i="17" a="1"/>
  <c r="AU29" i="17" a="1"/>
  <c r="AU30" i="17" a="1"/>
  <c r="AU31" i="17" a="1"/>
  <c r="AU32" i="17" a="1"/>
  <c r="AU33" i="17" a="1"/>
  <c r="AU34" i="17" a="1"/>
  <c r="AU35" i="17" a="1"/>
  <c r="AU36" i="17" a="1"/>
  <c r="AU37" i="17" a="1"/>
  <c r="AU38" i="17" a="1"/>
  <c r="AU39" i="17" a="1"/>
  <c r="AU40" i="17" a="1"/>
  <c r="AU41" i="17" a="1"/>
  <c r="AU42" i="17" a="1"/>
  <c r="AU43" i="17" a="1"/>
  <c r="AU44" i="17" a="1"/>
  <c r="AU45" i="17" a="1"/>
  <c r="AU46" i="17" a="1"/>
  <c r="AU47" i="17" a="1"/>
  <c r="AU48" i="17" a="1"/>
  <c r="AU49" i="17" a="1"/>
  <c r="AU50" i="17" a="1"/>
  <c r="AU51" i="17" a="1"/>
  <c r="AU52" i="17" a="1"/>
  <c r="AU53" i="17" a="1"/>
  <c r="AU54" i="17" a="1"/>
  <c r="AU55" i="17" a="1"/>
  <c r="AU56" i="17" a="1"/>
  <c r="AU57" i="17" a="1"/>
  <c r="AU58" i="17" a="1"/>
  <c r="AU59" i="17" a="1"/>
  <c r="AU60" i="17" a="1"/>
  <c r="AU61" i="17" a="1"/>
  <c r="AU62" i="17" a="1"/>
  <c r="AU63" i="17" a="1"/>
  <c r="AU64" i="17" a="1"/>
  <c r="AU65" i="17" a="1"/>
  <c r="AU66" i="17" a="1"/>
  <c r="AU67" i="17" a="1"/>
  <c r="AU68" i="17" a="1"/>
  <c r="AU69" i="17" a="1"/>
  <c r="AU70" i="17" a="1"/>
  <c r="AU71" i="17" a="1"/>
  <c r="AU72" i="17" a="1"/>
  <c r="AU73" i="17" a="1"/>
  <c r="AU74" i="17" a="1"/>
  <c r="AU75" i="17" a="1"/>
  <c r="AU76" i="17" a="1"/>
  <c r="AU77" i="17" a="1"/>
  <c r="AU78" i="17" a="1"/>
  <c r="AU79" i="17" a="1"/>
  <c r="AU80" i="17" a="1"/>
  <c r="AU81" i="17" a="1"/>
  <c r="AU82" i="17" a="1"/>
  <c r="AU83" i="17" a="1"/>
  <c r="AU84" i="17" a="1"/>
  <c r="AU85" i="17" a="1"/>
  <c r="AU86" i="17" a="1"/>
  <c r="AU87" i="17" a="1"/>
  <c r="AU88" i="17" a="1"/>
  <c r="AU89" i="17" a="1"/>
  <c r="AU90" i="17" a="1"/>
  <c r="AU91" i="17" a="1"/>
  <c r="AU92" i="17" a="1"/>
  <c r="AU93" i="17" a="1"/>
  <c r="AU94" i="17" a="1"/>
  <c r="AU95" i="17" a="1"/>
  <c r="AU96" i="17" a="1"/>
  <c r="AU97" i="17" a="1"/>
  <c r="AU98" i="17" a="1"/>
  <c r="AU99" i="17" a="1"/>
  <c r="AU100" i="17" a="1"/>
  <c r="AU101" i="17" a="1"/>
  <c r="AU102" i="17" a="1"/>
  <c r="AU103" i="17" a="1"/>
  <c r="AU104" i="17" a="1"/>
  <c r="AU105" i="17" a="1"/>
  <c r="AU106" i="17" a="1"/>
  <c r="AU107" i="17" a="1"/>
  <c r="AU108" i="17" a="1"/>
  <c r="AU109" i="17" a="1"/>
  <c r="AU110" i="17" a="1"/>
  <c r="AU111" i="17" a="1"/>
  <c r="AU112" i="17" a="1"/>
  <c r="AU113" i="17" a="1"/>
  <c r="AU114" i="17" a="1"/>
  <c r="AU115" i="17" a="1"/>
  <c r="AU116" i="17" a="1"/>
  <c r="AU117" i="17" a="1"/>
  <c r="AU118" i="17" a="1"/>
  <c r="AU119" i="17" a="1"/>
  <c r="AU120" i="17" a="1"/>
  <c r="AU121" i="17" a="1"/>
  <c r="AU122" i="17" a="1"/>
  <c r="AU123" i="17" a="1"/>
  <c r="AU124" i="17" a="1"/>
  <c r="AU125" i="17" a="1"/>
  <c r="AU126" i="17" a="1"/>
  <c r="AU127" i="17" a="1"/>
  <c r="AU128" i="17" a="1"/>
  <c r="AU129" i="17" a="1"/>
  <c r="AU130" i="17" a="1"/>
  <c r="AU131" i="17" a="1"/>
  <c r="AU132" i="17" a="1"/>
  <c r="AU133" i="17" a="1"/>
  <c r="AU134" i="17" a="1"/>
  <c r="AU135" i="17" a="1"/>
  <c r="AU136" i="17" a="1"/>
  <c r="AU137" i="17" a="1"/>
  <c r="AU138" i="17" a="1"/>
  <c r="AU139" i="17" a="1"/>
  <c r="AU140" i="17" a="1"/>
  <c r="AU141" i="17" a="1"/>
  <c r="AU142" i="17" a="1"/>
  <c r="AU143" i="17" a="1"/>
  <c r="AU144" i="17" a="1"/>
  <c r="AU145" i="17" a="1"/>
  <c r="AU146" i="17" a="1"/>
  <c r="AU147" i="17" a="1"/>
  <c r="AU148" i="17" a="1"/>
  <c r="AU149" i="17" a="1"/>
  <c r="AU150" i="17" a="1"/>
  <c r="AU151" i="17" a="1"/>
  <c r="AU152" i="17" a="1"/>
  <c r="AU153" i="17" a="1"/>
  <c r="AU154" i="17" a="1"/>
  <c r="AU155" i="17" a="1"/>
  <c r="AU156" i="17" a="1"/>
  <c r="AU157" i="17" a="1"/>
  <c r="AU158" i="17" a="1"/>
  <c r="AU159" i="17" a="1"/>
  <c r="AU160" i="17" a="1"/>
  <c r="AU161" i="17" a="1"/>
  <c r="AU162" i="17" a="1"/>
  <c r="AU163" i="17" a="1"/>
  <c r="AU164" i="17" a="1"/>
  <c r="AU165" i="17" a="1"/>
  <c r="AU166" i="17" a="1"/>
  <c r="AU167" i="17" a="1"/>
  <c r="AU168" i="17" a="1"/>
  <c r="AU169" i="17" a="1"/>
  <c r="AU170" i="17" a="1"/>
  <c r="AU171" i="17" a="1"/>
  <c r="AU172" i="17" a="1"/>
  <c r="AU173" i="17" a="1"/>
  <c r="AU174" i="17" a="1"/>
  <c r="AU175" i="17" a="1"/>
  <c r="AU176" i="17" a="1"/>
  <c r="AU177" i="17" a="1"/>
  <c r="AU178" i="17" a="1"/>
  <c r="AU179" i="17" a="1"/>
  <c r="AU180" i="17" a="1"/>
  <c r="AU181" i="17" a="1"/>
  <c r="AU182" i="17" a="1"/>
  <c r="AU183" i="17" a="1"/>
  <c r="AU184" i="17" a="1"/>
  <c r="AU185" i="17" a="1"/>
  <c r="AU186" i="17" a="1"/>
  <c r="AU187" i="17" a="1"/>
  <c r="AU188" i="17" a="1"/>
  <c r="AU189" i="17" a="1"/>
  <c r="AU190" i="17" a="1"/>
  <c r="AU191" i="17" a="1"/>
  <c r="AU192" i="17" a="1"/>
  <c r="AU193" i="17" a="1"/>
  <c r="AU194" i="17" a="1"/>
  <c r="AU195" i="17" a="1"/>
  <c r="AU196" i="17" a="1"/>
  <c r="AU197" i="17" a="1"/>
  <c r="AU198" i="17" a="1"/>
  <c r="AU199" i="17" a="1"/>
  <c r="AU200" i="17" a="1"/>
  <c r="AU201" i="17" a="1"/>
  <c r="AU202" i="17" a="1"/>
  <c r="AU203" i="17" a="1"/>
  <c r="AU204" i="17" a="1"/>
  <c r="AU205" i="17" a="1"/>
  <c r="AU206" i="17" a="1"/>
  <c r="AU207" i="17" a="1"/>
  <c r="AU208" i="17" a="1"/>
  <c r="AU209" i="17" a="1"/>
  <c r="AU210" i="17" a="1"/>
  <c r="AU211" i="17" a="1"/>
  <c r="AU212" i="17" a="1"/>
  <c r="AU213" i="17" a="1"/>
  <c r="AU214" i="17" a="1"/>
  <c r="AU215" i="17" a="1"/>
  <c r="AU216" i="17" a="1"/>
  <c r="AU217" i="17" a="1"/>
  <c r="AU218" i="17" a="1"/>
  <c r="AU219" i="17" a="1"/>
  <c r="AU220" i="17" a="1"/>
  <c r="AU221" i="17" a="1"/>
  <c r="AU222" i="17" a="1"/>
  <c r="AU223" i="17" a="1"/>
  <c r="AU224" i="17" a="1"/>
  <c r="AU225" i="17" a="1"/>
  <c r="AU226" i="17" a="1"/>
  <c r="AU227" i="17" a="1"/>
  <c r="AU228" i="17" a="1"/>
  <c r="AU229" i="17" a="1"/>
  <c r="AU230" i="17" a="1"/>
  <c r="AU231" i="17" a="1"/>
  <c r="AU232" i="17" a="1"/>
  <c r="AU233" i="17" a="1"/>
  <c r="AU234" i="17" a="1"/>
  <c r="AU235" i="17" a="1"/>
  <c r="AU236" i="17" a="1"/>
  <c r="AU237" i="17" a="1"/>
  <c r="AU238" i="17" a="1"/>
  <c r="AU239" i="17" a="1"/>
  <c r="AU240" i="17" a="1"/>
  <c r="AU241" i="17" a="1"/>
  <c r="AU242" i="17" a="1"/>
  <c r="AU243" i="17" a="1"/>
  <c r="AU244" i="17" a="1"/>
  <c r="AU245" i="17" a="1"/>
  <c r="AU246" i="17" a="1"/>
  <c r="AU247" i="17" a="1"/>
  <c r="AU248" i="17" a="1"/>
  <c r="AU249" i="17" a="1"/>
  <c r="AU250" i="17" a="1"/>
  <c r="AU251" i="17" a="1"/>
  <c r="AU252" i="17" a="1"/>
  <c r="AU253" i="17" a="1"/>
  <c r="AU254" i="17" a="1"/>
  <c r="AU255" i="17" a="1"/>
  <c r="AU256" i="17" a="1"/>
  <c r="AU257" i="17" a="1"/>
  <c r="AU258" i="17" a="1"/>
  <c r="AU259" i="17" a="1"/>
  <c r="AU260" i="17" a="1"/>
  <c r="AU261" i="17" a="1"/>
  <c r="AU262" i="17" a="1"/>
  <c r="AU263" i="17" a="1"/>
  <c r="AU264" i="17" a="1"/>
  <c r="AU265" i="17" a="1"/>
  <c r="AU266" i="17" a="1"/>
  <c r="AU267" i="17" a="1"/>
  <c r="AU268" i="17" a="1"/>
  <c r="AU269" i="17" a="1"/>
  <c r="AU270" i="17" a="1"/>
  <c r="AU271" i="17" a="1"/>
  <c r="AU272" i="17" a="1"/>
  <c r="AU273" i="17" a="1"/>
  <c r="AU274" i="17" a="1"/>
  <c r="AU275" i="17" a="1"/>
  <c r="AU276" i="17" a="1"/>
  <c r="AU277" i="17" a="1"/>
  <c r="AU278" i="17" a="1"/>
  <c r="AU279" i="17" a="1"/>
  <c r="AU280" i="17" a="1"/>
  <c r="AU281" i="17" a="1"/>
  <c r="AU282" i="17" a="1"/>
  <c r="AU283" i="17" a="1"/>
  <c r="AU284" i="17" a="1"/>
  <c r="AU285" i="17" a="1"/>
  <c r="AU286" i="17" a="1"/>
  <c r="AU287" i="17" a="1"/>
  <c r="AU288" i="17" a="1"/>
  <c r="AU289" i="17" a="1"/>
  <c r="AU290" i="17" a="1"/>
  <c r="AU291" i="17" a="1"/>
  <c r="AU292" i="17" a="1"/>
  <c r="AU293" i="17" a="1"/>
  <c r="AU294" i="17" a="1"/>
  <c r="AU295" i="17" a="1"/>
  <c r="AU296" i="17" a="1"/>
  <c r="AU297" i="17" a="1"/>
  <c r="AU298" i="17" a="1"/>
  <c r="AU299" i="17" a="1"/>
  <c r="AU300" i="17" a="1"/>
  <c r="AU301" i="17" a="1"/>
  <c r="AU302" i="17" a="1"/>
  <c r="AU303" i="17" a="1"/>
  <c r="AU304" i="17" a="1"/>
  <c r="AU305" i="17" a="1"/>
  <c r="AU306" i="17" a="1"/>
  <c r="AU307" i="17" a="1"/>
  <c r="AU308" i="17" a="1"/>
  <c r="AU309" i="17" a="1"/>
  <c r="AU310" i="17" a="1"/>
  <c r="AU311" i="17" a="1"/>
  <c r="AU312" i="17" a="1"/>
  <c r="AU313" i="17" a="1"/>
  <c r="AU314" i="17" a="1"/>
  <c r="AU315" i="17" a="1"/>
  <c r="AU316" i="17" a="1"/>
  <c r="AU317" i="17" a="1"/>
  <c r="AU318" i="17" a="1"/>
  <c r="AU319" i="17" a="1"/>
  <c r="AU320" i="17" a="1"/>
  <c r="AU321" i="17" a="1"/>
  <c r="AU322" i="17" a="1"/>
  <c r="AU323" i="17" a="1"/>
  <c r="AU324" i="17" a="1"/>
  <c r="AU325" i="17" a="1"/>
  <c r="AU326" i="17" a="1"/>
  <c r="AU327" i="17" a="1"/>
  <c r="AU328" i="17" a="1"/>
  <c r="AU329" i="17" a="1"/>
  <c r="AU330" i="17" a="1"/>
  <c r="AU331" i="17" a="1"/>
  <c r="AU332" i="17" a="1"/>
  <c r="AU333" i="17" a="1"/>
  <c r="AU334" i="17" a="1"/>
  <c r="AU335" i="17" a="1"/>
  <c r="AU336" i="17" a="1"/>
  <c r="AU337" i="17" a="1"/>
  <c r="AU338" i="17" a="1"/>
  <c r="AU339" i="17" a="1"/>
  <c r="AU340" i="17" a="1"/>
  <c r="AU341" i="17" a="1"/>
  <c r="AU342" i="17" a="1"/>
  <c r="AU343" i="17" a="1"/>
  <c r="AU344" i="17" a="1"/>
  <c r="AU345" i="17" a="1"/>
  <c r="AU346" i="17" a="1"/>
  <c r="AU347" i="17" a="1"/>
  <c r="AU348" i="17" a="1"/>
  <c r="AU349" i="17" a="1"/>
  <c r="AU350" i="17" a="1"/>
  <c r="AU351" i="17" a="1"/>
  <c r="AU352" i="17" a="1"/>
  <c r="AU353" i="17" a="1"/>
  <c r="AU354" i="17" a="1"/>
  <c r="AU355" i="17" a="1"/>
  <c r="AU356" i="17" a="1"/>
  <c r="AU357" i="17" a="1"/>
  <c r="AU358" i="17" a="1"/>
  <c r="AU359" i="17" a="1"/>
  <c r="AU360" i="17" a="1"/>
  <c r="AU361" i="17" a="1"/>
  <c r="AU362" i="17" a="1"/>
  <c r="AU363" i="17" a="1"/>
  <c r="AU364" i="17" a="1"/>
  <c r="AU365" i="17" a="1"/>
  <c r="AU366" i="17" a="1"/>
  <c r="AU367" i="17" a="1"/>
  <c r="AU368" i="17" a="1"/>
  <c r="AU369" i="17" a="1"/>
  <c r="AU370" i="17" a="1"/>
  <c r="AU371" i="17" a="1"/>
  <c r="AU372" i="17" a="1"/>
  <c r="AU373" i="17" a="1"/>
  <c r="AU374" i="17" a="1"/>
  <c r="AU375" i="17" a="1"/>
  <c r="AU376" i="17" a="1"/>
  <c r="AU377" i="17" a="1"/>
  <c r="AU378" i="17" a="1"/>
  <c r="AU379" i="17" a="1"/>
  <c r="AU380" i="17" a="1"/>
  <c r="AU381" i="17" a="1"/>
  <c r="AU382" i="17" a="1"/>
  <c r="AU383" i="17" a="1"/>
  <c r="AU384" i="17" a="1"/>
  <c r="AU385" i="17" a="1"/>
  <c r="AU386" i="17" a="1"/>
  <c r="AU387" i="17" a="1"/>
  <c r="AU388" i="17" a="1"/>
  <c r="AU389" i="17" a="1"/>
  <c r="AU390" i="17" a="1"/>
  <c r="AU391" i="17" a="1"/>
  <c r="AU392" i="17" a="1"/>
  <c r="AU393" i="17" a="1"/>
  <c r="AU394" i="17" a="1"/>
  <c r="AU395" i="17" a="1"/>
  <c r="AU396" i="17" a="1"/>
  <c r="AU397" i="17" a="1"/>
  <c r="AU398" i="17" a="1"/>
  <c r="AU399" i="17" a="1"/>
  <c r="AU400" i="17" a="1"/>
  <c r="AU401" i="17" a="1"/>
  <c r="AU402" i="17" a="1"/>
  <c r="AU403" i="17" a="1"/>
  <c r="AU404" i="17" a="1"/>
  <c r="AU405" i="17" a="1"/>
  <c r="AU406" i="17" a="1"/>
  <c r="AU407" i="17" a="1"/>
  <c r="AU408" i="17" a="1"/>
  <c r="AU409" i="17" a="1"/>
  <c r="AU410" i="17" a="1"/>
  <c r="AU411" i="17" a="1"/>
  <c r="AU412" i="17" a="1"/>
  <c r="AU413" i="17" a="1"/>
  <c r="AU414" i="17" a="1"/>
  <c r="AU415" i="17" a="1"/>
  <c r="AU416" i="17" a="1"/>
  <c r="AU417" i="17" a="1"/>
  <c r="AU418" i="17" a="1"/>
  <c r="AU419" i="17" a="1"/>
  <c r="AU420" i="17" a="1"/>
  <c r="AU421" i="17" a="1"/>
  <c r="AU422" i="17" a="1"/>
  <c r="AU423" i="17" a="1"/>
  <c r="AU424" i="17" a="1"/>
  <c r="AU425" i="17" a="1"/>
  <c r="AU426" i="17" a="1"/>
  <c r="AU427" i="17" a="1"/>
  <c r="AU428" i="17" a="1"/>
  <c r="AU429" i="17" a="1"/>
  <c r="AU430" i="17" a="1"/>
  <c r="AU431" i="17" a="1"/>
  <c r="AU432" i="17" a="1"/>
  <c r="AU433" i="17" a="1"/>
  <c r="AU434" i="17" a="1"/>
  <c r="AU435" i="17" a="1"/>
  <c r="AU436" i="17" a="1"/>
  <c r="AU437" i="17" a="1"/>
  <c r="AU438" i="17" a="1"/>
  <c r="AU439" i="17" a="1"/>
  <c r="AU440" i="17" a="1"/>
  <c r="AU441" i="17" a="1"/>
  <c r="AU442" i="17" a="1"/>
  <c r="AU443" i="17" a="1"/>
  <c r="AU444" i="17" a="1"/>
  <c r="AU445" i="17" a="1"/>
  <c r="AU446" i="17" a="1"/>
  <c r="AU447" i="17" a="1"/>
  <c r="AU448" i="17" a="1"/>
  <c r="AU449" i="17" a="1"/>
  <c r="AU450" i="17" a="1"/>
  <c r="AU451" i="17" a="1"/>
  <c r="AU452" i="17" a="1"/>
  <c r="AU453" i="17" a="1"/>
  <c r="AU454" i="17" a="1"/>
  <c r="AU455" i="17" a="1"/>
  <c r="AU456" i="17" a="1"/>
  <c r="AU457" i="17" a="1"/>
  <c r="AU458" i="17" a="1"/>
  <c r="AU459" i="17" a="1"/>
  <c r="AU460" i="17" a="1"/>
  <c r="AU461" i="17" a="1"/>
  <c r="AU462" i="17" a="1"/>
  <c r="AU463" i="17" a="1"/>
  <c r="AU464" i="17" a="1"/>
  <c r="AU465" i="17" a="1"/>
  <c r="AU466" i="17" a="1"/>
  <c r="AU467" i="17" a="1"/>
  <c r="AU468" i="17" a="1"/>
  <c r="AU469" i="17" a="1"/>
  <c r="AU470" i="17" a="1"/>
  <c r="AU471" i="17" a="1"/>
  <c r="AU472" i="17" a="1"/>
  <c r="AU473" i="17" a="1"/>
  <c r="AU474" i="17" a="1"/>
  <c r="AU475" i="17" a="1"/>
  <c r="AU476" i="17" a="1"/>
  <c r="AU477" i="17" a="1"/>
  <c r="AU478" i="17" a="1"/>
  <c r="AU479" i="17" a="1"/>
  <c r="AU480" i="17" a="1"/>
  <c r="AU481" i="17" a="1"/>
  <c r="AU482" i="17" a="1"/>
  <c r="AU483" i="17" a="1"/>
  <c r="AU484" i="17" a="1"/>
  <c r="AU485" i="17" a="1"/>
  <c r="AU486" i="17" a="1"/>
  <c r="AU487" i="17" a="1"/>
  <c r="AU488" i="17" a="1"/>
  <c r="AU489" i="17" a="1"/>
  <c r="AU490" i="17" a="1"/>
  <c r="AU491" i="17" a="1"/>
  <c r="AU492" i="17" a="1"/>
  <c r="AU493" i="17" a="1"/>
  <c r="AU494" i="17" a="1"/>
  <c r="AU495" i="17" a="1"/>
  <c r="AU496" i="17" a="1"/>
  <c r="AU497" i="17" a="1"/>
  <c r="AU498" i="17" a="1"/>
  <c r="AU499" i="17" a="1"/>
  <c r="AU500" i="17" a="1"/>
  <c r="AU501" i="17" a="1"/>
  <c r="AU502" i="17" a="1"/>
  <c r="AU503" i="17" a="1"/>
  <c r="AU504" i="17" a="1"/>
  <c r="AU505" i="17" a="1"/>
  <c r="AU506" i="17" a="1"/>
  <c r="AU507" i="17" a="1"/>
  <c r="AU508" i="17" a="1"/>
  <c r="AU509" i="17" a="1"/>
  <c r="AU510" i="17" a="1"/>
  <c r="AU511" i="17" a="1"/>
  <c r="AU512" i="17" a="1"/>
  <c r="AU513" i="17" a="1"/>
  <c r="AU514" i="17" a="1"/>
  <c r="AU515" i="17" a="1"/>
  <c r="AU516" i="17" a="1"/>
  <c r="AU517" i="17" a="1"/>
  <c r="AU518" i="17" a="1"/>
  <c r="AU519" i="17" a="1"/>
  <c r="AU520" i="17" a="1"/>
  <c r="AU521" i="17" a="1"/>
  <c r="AU522" i="17" a="1"/>
  <c r="AU523" i="17" a="1"/>
  <c r="AU524" i="17" a="1"/>
  <c r="AU525" i="17" a="1"/>
  <c r="AU526" i="17" a="1"/>
  <c r="AU527" i="17" a="1"/>
  <c r="AU528" i="17" a="1"/>
  <c r="AU529" i="17" a="1"/>
  <c r="AU530" i="17" a="1"/>
  <c r="AU531" i="17" a="1"/>
  <c r="AU532" i="17" a="1"/>
  <c r="AU533" i="17" a="1"/>
  <c r="AU534" i="17" a="1"/>
  <c r="AU535" i="17" a="1"/>
  <c r="AU536" i="17" a="1"/>
  <c r="AU537" i="17" a="1"/>
  <c r="AU538" i="17" a="1"/>
  <c r="AU539" i="17" a="1"/>
  <c r="AU540" i="17" a="1"/>
  <c r="AU541" i="17" a="1"/>
  <c r="AU542" i="17" a="1"/>
  <c r="AU543" i="17" a="1"/>
  <c r="AU544" i="17" a="1"/>
  <c r="AU545" i="17" a="1"/>
  <c r="AU546" i="17" a="1"/>
  <c r="AU547" i="17" a="1"/>
  <c r="AU548" i="17" a="1"/>
  <c r="AU549" i="17" a="1"/>
  <c r="AU550" i="17" a="1"/>
  <c r="AU551" i="17" a="1"/>
  <c r="AU552" i="17" a="1"/>
  <c r="AU553" i="17" a="1"/>
  <c r="AU554" i="17" a="1"/>
  <c r="AU555" i="17" a="1"/>
  <c r="AU556" i="17" a="1"/>
  <c r="AU557" i="17" a="1"/>
  <c r="AU558" i="17" a="1"/>
  <c r="AU559" i="17" a="1"/>
  <c r="AU560" i="17" a="1"/>
  <c r="AU561" i="17" a="1"/>
  <c r="AU562" i="17" a="1"/>
  <c r="AU563" i="17" a="1"/>
  <c r="AU564" i="17" a="1"/>
  <c r="AU565" i="17" a="1"/>
  <c r="AU566" i="17" a="1"/>
  <c r="AU567" i="17" a="1"/>
  <c r="AU568" i="17" a="1"/>
  <c r="AU569" i="17" a="1"/>
  <c r="AU570" i="17" a="1"/>
  <c r="AU571" i="17" a="1"/>
  <c r="AU572" i="17" a="1"/>
  <c r="AU573" i="17" a="1"/>
  <c r="AU574" i="17" a="1"/>
  <c r="AU575" i="17" a="1"/>
  <c r="AU576" i="17" a="1"/>
  <c r="AU577" i="17" a="1"/>
  <c r="AU578" i="17" a="1"/>
  <c r="AU579" i="17" a="1"/>
  <c r="AU580" i="17" a="1"/>
  <c r="AU581" i="17" a="1"/>
  <c r="AU582" i="17" a="1"/>
  <c r="AU583" i="17" a="1"/>
  <c r="AU584" i="17" a="1"/>
  <c r="AU585" i="17" a="1"/>
  <c r="AU586" i="17" a="1"/>
  <c r="AU587" i="17" a="1"/>
  <c r="AU588" i="17" a="1"/>
  <c r="AU589" i="17" a="1"/>
  <c r="AU590" i="17" a="1"/>
  <c r="AU591" i="17" a="1"/>
  <c r="AU592" i="17" a="1"/>
  <c r="AU593" i="17" a="1"/>
  <c r="AU594" i="17" a="1"/>
  <c r="AU595" i="17" a="1"/>
  <c r="AU596" i="17" a="1"/>
  <c r="AU597" i="17" a="1"/>
  <c r="AU598" i="17" a="1"/>
  <c r="AU599" i="17" a="1"/>
  <c r="AU600" i="17" a="1"/>
  <c r="AU601" i="17" a="1"/>
  <c r="AU602" i="17" a="1"/>
  <c r="AU603" i="17" a="1"/>
  <c r="AU604" i="17" a="1"/>
  <c r="AU605" i="17" a="1"/>
  <c r="AU606" i="17" a="1"/>
  <c r="AU607" i="17" a="1"/>
  <c r="AU608" i="17" a="1"/>
  <c r="AU609" i="17" a="1"/>
  <c r="AU610" i="17" a="1"/>
  <c r="AU611" i="17" a="1"/>
  <c r="AU612" i="17" a="1"/>
  <c r="AU613" i="17" a="1"/>
  <c r="AU614" i="17" a="1"/>
  <c r="AU615" i="17" a="1"/>
  <c r="AU616" i="17" a="1"/>
  <c r="AU617" i="17" a="1"/>
  <c r="AU618" i="17" a="1"/>
  <c r="AU619" i="17" a="1"/>
  <c r="AU620" i="17" a="1"/>
  <c r="AU621" i="17" a="1"/>
  <c r="AU622" i="17" a="1"/>
  <c r="AU623" i="17" a="1"/>
  <c r="AU624" i="17" a="1"/>
  <c r="AU625" i="17" a="1"/>
  <c r="AU626" i="17" a="1"/>
  <c r="AU627" i="17" a="1"/>
  <c r="AU628" i="17" a="1"/>
  <c r="AU629" i="17" a="1"/>
  <c r="AU630" i="17" a="1"/>
  <c r="AU631" i="17" a="1"/>
  <c r="AU632" i="17" a="1"/>
  <c r="AU633" i="17" a="1"/>
  <c r="AU634" i="17" a="1"/>
  <c r="AU635" i="17" a="1"/>
  <c r="AU636" i="17" a="1"/>
  <c r="AU637" i="17" a="1"/>
  <c r="AU638" i="17" a="1"/>
  <c r="AU639" i="17" a="1"/>
  <c r="AU640" i="17" a="1"/>
  <c r="AU641" i="17" a="1"/>
  <c r="AU642" i="17" a="1"/>
  <c r="AU643" i="17" a="1"/>
  <c r="AU644" i="17" a="1"/>
  <c r="AU645" i="17" a="1"/>
  <c r="AU646" i="17" a="1"/>
  <c r="AU647" i="17" a="1"/>
  <c r="AU648" i="17" a="1"/>
  <c r="AU649" i="17" a="1"/>
  <c r="AU650" i="17" a="1"/>
  <c r="AU651" i="17" a="1"/>
  <c r="AU652" i="17" a="1"/>
  <c r="AU653" i="17" a="1"/>
  <c r="AU654" i="17" a="1"/>
  <c r="AU655" i="17" a="1"/>
  <c r="AU656" i="17" a="1"/>
  <c r="AU657" i="17" a="1"/>
  <c r="AU658" i="17" a="1"/>
  <c r="AU659" i="17" a="1"/>
  <c r="AU660" i="17" a="1"/>
  <c r="AU661" i="17" a="1"/>
  <c r="AU662" i="17" a="1"/>
  <c r="AU663" i="17" a="1"/>
  <c r="AU664" i="17" a="1"/>
  <c r="AU665" i="17" a="1"/>
  <c r="AU666" i="17" a="1"/>
  <c r="AU667" i="17" a="1"/>
  <c r="AU668" i="17" a="1"/>
  <c r="AU669" i="17" a="1"/>
  <c r="AU670" i="17" a="1"/>
  <c r="AU671" i="17" a="1"/>
  <c r="AU672" i="17" a="1"/>
  <c r="AU673" i="17" a="1"/>
  <c r="AU674" i="17" a="1"/>
  <c r="AU675" i="17" a="1"/>
  <c r="AU676" i="17" a="1"/>
  <c r="AU677" i="17" a="1"/>
  <c r="AU678" i="17" a="1"/>
  <c r="AU679" i="17" a="1"/>
  <c r="AU680" i="17" a="1"/>
  <c r="AU681" i="17" a="1"/>
  <c r="AU682" i="17" a="1"/>
  <c r="AU683" i="17" a="1"/>
  <c r="AU684" i="17" a="1"/>
  <c r="AU685" i="17" a="1"/>
  <c r="AU686" i="17" a="1"/>
  <c r="AU687" i="17" a="1"/>
  <c r="AU688" i="17" a="1"/>
  <c r="AU689" i="17" a="1"/>
  <c r="AU690" i="17" a="1"/>
  <c r="AU691" i="17" a="1"/>
  <c r="AU692" i="17" a="1"/>
  <c r="AU693" i="17" a="1"/>
  <c r="AU694" i="17" a="1"/>
  <c r="AU695" i="17" a="1"/>
  <c r="AU696" i="17" a="1"/>
  <c r="AU697" i="17" a="1"/>
  <c r="AU698" i="17" a="1"/>
  <c r="AU699" i="17" a="1"/>
  <c r="AU700" i="17" a="1"/>
  <c r="AU701" i="17" a="1"/>
  <c r="AU702" i="17" a="1"/>
  <c r="AU703" i="17" a="1"/>
  <c r="AU704" i="17" a="1"/>
  <c r="AU705" i="17" a="1"/>
  <c r="AU706" i="17" a="1"/>
  <c r="AU707" i="17" a="1"/>
  <c r="AU708" i="17" a="1"/>
  <c r="AU709" i="17" a="1"/>
  <c r="AU710" i="17" a="1"/>
  <c r="AU711" i="17" a="1"/>
  <c r="AU712" i="17" a="1"/>
  <c r="AU713" i="17" a="1"/>
  <c r="AU714" i="17" a="1"/>
  <c r="AU715" i="17" a="1"/>
  <c r="AU716" i="17" a="1"/>
  <c r="AU717" i="17" a="1"/>
  <c r="AU718" i="17" a="1"/>
  <c r="AU719" i="17" a="1"/>
  <c r="AU720" i="17" a="1"/>
  <c r="AU721" i="17" a="1"/>
  <c r="AU722" i="17" a="1"/>
  <c r="AU723" i="17" a="1"/>
  <c r="AU724" i="17" a="1"/>
  <c r="AU725" i="17" a="1"/>
  <c r="AU726" i="17" a="1"/>
  <c r="AU727" i="17" a="1"/>
  <c r="AU728" i="17" a="1"/>
  <c r="AU729" i="17" a="1"/>
  <c r="AU730" i="17" a="1"/>
  <c r="AU731" i="17" a="1"/>
  <c r="AU732" i="17" a="1"/>
  <c r="AU733" i="17" a="1"/>
  <c r="AU734" i="17" a="1"/>
  <c r="AU735" i="17" a="1"/>
  <c r="AU736" i="17" a="1"/>
  <c r="AU737" i="17" a="1"/>
  <c r="AU738" i="17" a="1"/>
  <c r="AU739" i="17" a="1"/>
  <c r="AU740" i="17" a="1"/>
  <c r="AU741" i="17" a="1"/>
  <c r="AU742" i="17" a="1"/>
  <c r="AU743" i="17" a="1"/>
  <c r="AU744" i="17" a="1"/>
  <c r="AU745" i="17" a="1"/>
  <c r="AU746" i="17" a="1"/>
  <c r="AU747" i="17" a="1"/>
  <c r="AU748" i="17" a="1"/>
  <c r="AU749" i="17" a="1"/>
  <c r="AU750" i="17" a="1"/>
  <c r="AU751" i="17" a="1"/>
  <c r="AU752" i="17" a="1"/>
  <c r="AU753" i="17" a="1"/>
  <c r="AU754" i="17" a="1"/>
  <c r="AU755" i="17" a="1"/>
  <c r="AU756" i="17" a="1"/>
  <c r="AU757" i="17" a="1"/>
  <c r="AU758" i="17" a="1"/>
  <c r="AU759" i="17" a="1"/>
  <c r="AU760" i="17" a="1"/>
  <c r="AU761" i="17" a="1"/>
  <c r="AU762" i="17" a="1"/>
  <c r="AU763" i="17" a="1"/>
  <c r="AU764" i="17" a="1"/>
  <c r="AU765" i="17" a="1"/>
  <c r="AU766" i="17" a="1"/>
  <c r="AU767" i="17" a="1"/>
  <c r="AU768" i="17" a="1"/>
  <c r="AU769" i="17" a="1"/>
  <c r="AU770" i="17" a="1"/>
  <c r="AU771" i="17" a="1"/>
  <c r="AU772" i="17" a="1"/>
  <c r="AU773" i="17" a="1"/>
  <c r="AU774" i="17" a="1"/>
  <c r="AU775" i="17" a="1"/>
  <c r="AU776" i="17" a="1"/>
  <c r="AU777" i="17" a="1"/>
  <c r="AU778" i="17" a="1"/>
  <c r="AU779" i="17" a="1"/>
  <c r="AU780" i="17" a="1"/>
  <c r="AU781" i="17" a="1"/>
  <c r="AU782" i="17" a="1"/>
  <c r="AU783" i="17" a="1"/>
  <c r="AU784" i="17" a="1"/>
  <c r="AU785" i="17" a="1"/>
  <c r="AU786" i="17" a="1"/>
  <c r="AU787" i="17" a="1"/>
  <c r="AU788" i="17" a="1"/>
  <c r="AU789" i="17" a="1"/>
  <c r="AU790" i="17" a="1"/>
  <c r="AU791" i="17" a="1"/>
  <c r="AU792" i="17" a="1"/>
  <c r="AU793" i="17" a="1"/>
  <c r="AU794" i="17" a="1"/>
  <c r="AU795" i="17" a="1"/>
  <c r="AU796" i="17" a="1"/>
  <c r="AU797" i="17" a="1"/>
  <c r="AU798" i="17" a="1"/>
  <c r="AU799" i="17" a="1"/>
  <c r="AU800" i="17" a="1"/>
  <c r="AU801" i="17" a="1"/>
  <c r="AU802" i="17" a="1"/>
  <c r="AU803" i="17" a="1"/>
  <c r="AU804" i="17" a="1"/>
  <c r="AU805" i="17" a="1"/>
  <c r="AU806" i="17" a="1"/>
  <c r="AU807" i="17" a="1"/>
  <c r="AU808" i="17" a="1"/>
  <c r="AU809" i="17" a="1"/>
  <c r="AU810" i="17" a="1"/>
  <c r="AU811" i="17" a="1"/>
  <c r="AU812" i="17" a="1"/>
  <c r="AU813" i="17" a="1"/>
  <c r="AU814" i="17" a="1"/>
  <c r="AU815" i="17" a="1"/>
  <c r="AU816" i="17" a="1"/>
  <c r="AU817" i="17" a="1"/>
  <c r="AU818" i="17" a="1"/>
  <c r="AU819" i="17" a="1"/>
  <c r="AU820" i="17" a="1"/>
  <c r="AU821" i="17" a="1"/>
  <c r="AU822" i="17" a="1"/>
  <c r="AU823" i="17" a="1"/>
  <c r="AU824" i="17" a="1"/>
  <c r="AU825" i="17" a="1"/>
  <c r="AU826" i="17" a="1"/>
  <c r="AU827" i="17" a="1"/>
  <c r="AU828" i="17" a="1"/>
  <c r="AU829" i="17" a="1"/>
  <c r="AU830" i="17" a="1"/>
  <c r="AU831" i="17" a="1"/>
  <c r="AU832" i="17" a="1"/>
  <c r="AU833" i="17" a="1"/>
  <c r="AU834" i="17" a="1"/>
  <c r="AU835" i="17" a="1"/>
  <c r="AU836" i="17" a="1"/>
  <c r="AU837" i="17" a="1"/>
  <c r="AU838" i="17" a="1"/>
  <c r="AU839" i="17" a="1"/>
  <c r="AU840" i="17" a="1"/>
  <c r="AU841" i="17" a="1"/>
  <c r="AU842" i="17" a="1"/>
  <c r="AU843" i="17" a="1"/>
  <c r="AU844" i="17" a="1"/>
  <c r="AU845" i="17" a="1"/>
  <c r="AU846" i="17" a="1"/>
  <c r="AU847" i="17" a="1"/>
  <c r="AU848" i="17" a="1"/>
  <c r="AU849" i="17" a="1"/>
  <c r="AU850" i="17" a="1"/>
  <c r="AU851" i="17" a="1"/>
  <c r="AU852" i="17" a="1"/>
  <c r="AU853" i="17" a="1"/>
  <c r="AU854" i="17" a="1"/>
  <c r="AU855" i="17" a="1"/>
  <c r="AU856" i="17" a="1"/>
  <c r="AU857" i="17" a="1"/>
  <c r="AU858" i="17" a="1"/>
  <c r="AU859" i="17" a="1"/>
  <c r="AU860" i="17" a="1"/>
  <c r="AU861" i="17" a="1"/>
  <c r="AU862" i="17" a="1"/>
  <c r="AU863" i="17" a="1"/>
  <c r="AU864" i="17" a="1"/>
  <c r="AU865" i="17" a="1"/>
  <c r="AU866" i="17" a="1"/>
  <c r="AU867" i="17" a="1"/>
  <c r="AU868" i="17" a="1"/>
  <c r="AU869" i="17" a="1"/>
  <c r="AU870" i="17" a="1"/>
  <c r="AU871" i="17" a="1"/>
  <c r="AU872" i="17" a="1"/>
  <c r="AU873" i="17" a="1"/>
  <c r="AU874" i="17" a="1"/>
  <c r="AU875" i="17" a="1"/>
  <c r="AU876" i="17" a="1"/>
  <c r="AU877" i="17" a="1"/>
  <c r="AU878" i="17" a="1"/>
  <c r="AU879" i="17" a="1"/>
  <c r="AU880" i="17" a="1"/>
  <c r="AU881" i="17" a="1"/>
  <c r="AU882" i="17" a="1"/>
  <c r="AU883" i="17" a="1"/>
  <c r="AU884" i="17" a="1"/>
  <c r="AU885" i="17" a="1"/>
  <c r="AU886" i="17" a="1"/>
  <c r="AU887" i="17" a="1"/>
  <c r="AU888" i="17" a="1"/>
  <c r="AU889" i="17" a="1"/>
  <c r="AU890" i="17" a="1"/>
  <c r="AU891" i="17" a="1"/>
  <c r="AU892" i="17" a="1"/>
  <c r="AU893" i="17" a="1"/>
  <c r="AU894" i="17" a="1"/>
  <c r="AU895" i="17" a="1"/>
  <c r="AU896" i="17" a="1"/>
  <c r="AU897" i="17" a="1"/>
  <c r="AU898" i="17" a="1"/>
  <c r="AU899" i="17" a="1"/>
  <c r="AU900" i="17" a="1"/>
  <c r="AU901" i="17" a="1"/>
  <c r="AU902" i="17" a="1"/>
  <c r="AU903" i="17" a="1"/>
  <c r="AU904" i="17" a="1"/>
  <c r="AU905" i="17" a="1"/>
  <c r="AU906" i="17" a="1"/>
  <c r="AU907" i="17" a="1"/>
  <c r="AU908" i="17" a="1"/>
  <c r="AU909" i="17" a="1"/>
  <c r="AU910" i="17" a="1"/>
  <c r="AU911" i="17" a="1"/>
  <c r="AU912" i="17" a="1"/>
  <c r="AU913" i="17" a="1"/>
  <c r="AU914" i="17" a="1"/>
  <c r="AU915" i="17" a="1"/>
  <c r="AU916" i="17" a="1"/>
  <c r="AU917" i="17" a="1"/>
  <c r="AU918" i="17" a="1"/>
  <c r="AU919" i="17" a="1"/>
  <c r="AU920" i="17" a="1"/>
  <c r="AU921" i="17" a="1"/>
  <c r="AU922" i="17" a="1"/>
  <c r="AU923" i="17" a="1"/>
  <c r="AU924" i="17" a="1"/>
  <c r="AU925" i="17" a="1"/>
  <c r="AU926" i="17" a="1"/>
  <c r="AU927" i="17" a="1"/>
  <c r="AU928" i="17" a="1"/>
  <c r="AU929" i="17" a="1"/>
  <c r="AU930" i="17" a="1"/>
  <c r="AU931" i="17" a="1"/>
  <c r="AU932" i="17" a="1"/>
  <c r="AU933" i="17" a="1"/>
  <c r="AU934" i="17" a="1"/>
  <c r="AU935" i="17" a="1"/>
  <c r="AU936" i="17" a="1"/>
  <c r="AU937" i="17" a="1"/>
  <c r="AU938" i="17" a="1"/>
  <c r="AU939" i="17" a="1"/>
  <c r="AU940" i="17" a="1"/>
  <c r="AU941" i="17" a="1"/>
  <c r="AU942" i="17" a="1"/>
  <c r="AU943" i="17" a="1"/>
  <c r="AU944" i="17" a="1"/>
  <c r="AU945" i="17" a="1"/>
  <c r="AU946" i="17" a="1"/>
  <c r="AU947" i="17" a="1"/>
  <c r="AU948" i="17" a="1"/>
  <c r="AU949" i="17" a="1"/>
  <c r="AU950" i="17" a="1"/>
  <c r="AU951" i="17" a="1"/>
  <c r="AU952" i="17" a="1"/>
  <c r="AU953" i="17" a="1"/>
  <c r="AU954" i="17" a="1"/>
  <c r="AU955" i="17" a="1"/>
  <c r="AU956" i="17" a="1"/>
  <c r="AU957" i="17" a="1"/>
  <c r="AU958" i="17" a="1"/>
  <c r="AU959" i="17" a="1"/>
  <c r="AU960" i="17" a="1"/>
  <c r="AU961" i="17" a="1"/>
  <c r="AU962" i="17" a="1"/>
  <c r="AU963" i="17" a="1"/>
  <c r="AU964" i="17" a="1"/>
  <c r="AU965" i="17" a="1"/>
  <c r="AU966" i="17" a="1"/>
  <c r="AU967" i="17" a="1"/>
  <c r="AU968" i="17" a="1"/>
  <c r="AU969" i="17" a="1"/>
  <c r="AU970" i="17" a="1"/>
  <c r="AU971" i="17" a="1"/>
  <c r="AU972" i="17" a="1"/>
  <c r="AU973" i="17" a="1"/>
  <c r="AU974" i="17" a="1"/>
  <c r="AU975" i="17" a="1"/>
  <c r="AU976" i="17" a="1"/>
  <c r="AU977" i="17" a="1"/>
  <c r="AU978" i="17" a="1"/>
  <c r="AU979" i="17" a="1"/>
  <c r="AU980" i="17" a="1"/>
  <c r="AU981" i="17" a="1"/>
  <c r="AU982" i="17" a="1"/>
  <c r="AU983" i="17" a="1"/>
  <c r="AU984" i="17" a="1"/>
  <c r="AU985" i="17" a="1"/>
  <c r="AU986" i="17" a="1"/>
  <c r="AU987" i="17" a="1"/>
  <c r="AU988" i="17" a="1"/>
  <c r="AU989" i="17" a="1"/>
  <c r="AU990" i="17" a="1"/>
  <c r="AU991" i="17" a="1"/>
  <c r="AU992" i="17" a="1"/>
  <c r="AU993" i="17" a="1"/>
  <c r="AU994" i="17" a="1"/>
  <c r="AU995" i="17" a="1"/>
  <c r="AU996" i="17" a="1"/>
  <c r="AU997" i="17" a="1"/>
  <c r="AU998" i="17" a="1"/>
  <c r="AU999" i="17" a="1"/>
  <c r="AU1000" i="17" a="1"/>
  <c r="AU1001" i="17" a="1"/>
  <c r="AU1002" i="17" a="1"/>
  <c r="AU1003" i="17" a="1"/>
  <c r="AU1004" i="17" a="1"/>
  <c r="AU1005" i="17" a="1"/>
  <c r="AU1006" i="17" a="1"/>
  <c r="AU1007" i="17" a="1"/>
  <c r="AU1008" i="17" a="1"/>
  <c r="AU1009" i="17" a="1"/>
  <c r="AU1010" i="17" a="1"/>
  <c r="AU1011" i="17" a="1"/>
  <c r="AU1012" i="17" a="1"/>
  <c r="AU1013" i="17" a="1"/>
  <c r="AU1014" i="17" a="1"/>
  <c r="AU1015" i="17" a="1"/>
  <c r="AU1016" i="17" a="1"/>
  <c r="AU1017" i="17" a="1"/>
  <c r="AU1018" i="17" a="1"/>
  <c r="AU1019" i="17" a="1"/>
  <c r="AU1020" i="17" a="1"/>
  <c r="AU1021" i="17" a="1"/>
  <c r="AU1022" i="17" a="1"/>
  <c r="AU1023" i="17" a="1"/>
  <c r="AU1024" i="17" a="1"/>
  <c r="AU1025" i="17" a="1"/>
  <c r="AU1026" i="17" a="1"/>
  <c r="AU1027" i="17" a="1"/>
  <c r="AU1028" i="17" a="1"/>
  <c r="AU1029" i="17" a="1"/>
  <c r="AU1030" i="17" a="1"/>
  <c r="AU1031" i="17" a="1"/>
  <c r="AU1032" i="17" a="1"/>
  <c r="AU1033" i="17" a="1"/>
  <c r="AU1034" i="17" a="1"/>
  <c r="AU1035" i="17" a="1"/>
  <c r="AU1036" i="17" a="1"/>
  <c r="AU1037" i="17" a="1"/>
  <c r="AU1038" i="17" a="1"/>
  <c r="AU1039" i="17" a="1"/>
  <c r="AU1040" i="17" a="1"/>
  <c r="AU1041" i="17" a="1"/>
  <c r="AU1042" i="17" a="1"/>
  <c r="AU1043" i="17" a="1"/>
  <c r="AU1044" i="17" a="1"/>
  <c r="AU1045" i="17" a="1"/>
  <c r="AU1046" i="17" a="1"/>
  <c r="AU1047" i="17" a="1"/>
  <c r="AU1048" i="17" a="1"/>
  <c r="AU1049" i="17" a="1"/>
  <c r="AU1050" i="17" a="1"/>
  <c r="AU1051" i="17" a="1"/>
  <c r="B1051" i="1"/>
  <c r="AD1051" i="1"/>
  <c r="AE1051" i="1" a="1"/>
  <c r="AH1051" i="1" s="1"/>
  <c r="AF1051" i="1" a="1"/>
  <c r="AG1051" i="1" a="1"/>
  <c r="D1051" i="17" a="1"/>
  <c r="E1051" i="17"/>
  <c r="G1051" i="17"/>
  <c r="H1051" i="17" a="1"/>
  <c r="M1051" i="17" a="1"/>
  <c r="N1051" i="17" s="1"/>
  <c r="P1051" i="17"/>
  <c r="AA1051" i="17"/>
  <c r="AC1051" i="17" s="1"/>
  <c r="AD1051" i="17" a="1"/>
  <c r="O1051" i="17" s="1" a="1"/>
  <c r="B1051" i="14"/>
  <c r="D1051" i="14" a="1"/>
  <c r="I1051" i="14"/>
  <c r="H1051" i="14" s="1"/>
  <c r="J1051" i="14"/>
  <c r="K1051" i="14"/>
  <c r="M1051" i="14"/>
  <c r="N1051" i="14"/>
  <c r="O1051" i="14"/>
  <c r="P1051" i="14"/>
  <c r="Q1051" i="14"/>
  <c r="R1051" i="14" a="1"/>
  <c r="R2" i="14" a="1"/>
  <c r="R3" i="14" a="1"/>
  <c r="R4" i="14" a="1"/>
  <c r="R5" i="14" a="1"/>
  <c r="R6" i="14" a="1"/>
  <c r="R7" i="14" a="1"/>
  <c r="R8" i="14" a="1"/>
  <c r="R9" i="14" a="1"/>
  <c r="R10" i="14" a="1"/>
  <c r="R11" i="14" a="1"/>
  <c r="R12" i="14" a="1"/>
  <c r="R13" i="14" a="1"/>
  <c r="R14" i="14" a="1"/>
  <c r="R15" i="14" a="1"/>
  <c r="R16" i="14" a="1"/>
  <c r="R17" i="14" a="1"/>
  <c r="R18" i="14" a="1"/>
  <c r="R19" i="14" a="1"/>
  <c r="R20" i="14" a="1"/>
  <c r="R21" i="14" a="1"/>
  <c r="R22" i="14" a="1"/>
  <c r="R23" i="14" a="1"/>
  <c r="R24" i="14" a="1"/>
  <c r="R25" i="14" a="1"/>
  <c r="R26" i="14" a="1"/>
  <c r="R27" i="14" a="1"/>
  <c r="R28" i="14" a="1"/>
  <c r="R29" i="14" a="1"/>
  <c r="R30" i="14" a="1"/>
  <c r="R31" i="14" a="1"/>
  <c r="R32" i="14" a="1"/>
  <c r="R33" i="14" a="1"/>
  <c r="R34" i="14" a="1"/>
  <c r="R35" i="14" a="1"/>
  <c r="R36" i="14" a="1"/>
  <c r="R37" i="14" a="1"/>
  <c r="R38" i="14" a="1"/>
  <c r="R39" i="14" a="1"/>
  <c r="R40" i="14" a="1"/>
  <c r="R41" i="14" a="1"/>
  <c r="R42" i="14" a="1"/>
  <c r="R43" i="14" a="1"/>
  <c r="R44" i="14" a="1"/>
  <c r="R45" i="14" a="1"/>
  <c r="R46" i="14" a="1"/>
  <c r="R47" i="14" a="1"/>
  <c r="R48" i="14" a="1"/>
  <c r="R49" i="14" a="1"/>
  <c r="R50" i="14" a="1"/>
  <c r="R51" i="14" a="1"/>
  <c r="R52" i="14" a="1"/>
  <c r="R53" i="14" a="1"/>
  <c r="R54" i="14" a="1"/>
  <c r="R55" i="14" a="1"/>
  <c r="R56" i="14" a="1"/>
  <c r="R57" i="14" a="1"/>
  <c r="R58" i="14" a="1"/>
  <c r="R59" i="14" a="1"/>
  <c r="R60" i="14" a="1"/>
  <c r="R61" i="14" a="1"/>
  <c r="R62" i="14" a="1"/>
  <c r="R63" i="14" a="1"/>
  <c r="R64" i="14" a="1"/>
  <c r="R65" i="14" a="1"/>
  <c r="R66" i="14" a="1"/>
  <c r="R67" i="14" a="1"/>
  <c r="R68" i="14" a="1"/>
  <c r="R69" i="14" a="1"/>
  <c r="R70" i="14" a="1"/>
  <c r="R71" i="14" a="1"/>
  <c r="R72" i="14" a="1"/>
  <c r="R73" i="14" a="1"/>
  <c r="R74" i="14" a="1"/>
  <c r="R75" i="14" a="1"/>
  <c r="R76" i="14" a="1"/>
  <c r="R77" i="14" a="1"/>
  <c r="R78" i="14" a="1"/>
  <c r="R79" i="14" a="1"/>
  <c r="R80" i="14" a="1"/>
  <c r="R81" i="14" a="1"/>
  <c r="R82" i="14" a="1"/>
  <c r="R83" i="14" a="1"/>
  <c r="R84" i="14" a="1"/>
  <c r="R85" i="14" a="1"/>
  <c r="R86" i="14" a="1"/>
  <c r="R87" i="14" a="1"/>
  <c r="R88" i="14" a="1"/>
  <c r="R89" i="14" a="1"/>
  <c r="R90" i="14" a="1"/>
  <c r="R91" i="14" a="1"/>
  <c r="R92" i="14" a="1"/>
  <c r="R93" i="14" a="1"/>
  <c r="R94" i="14" a="1"/>
  <c r="R95" i="14" a="1"/>
  <c r="R96" i="14" a="1"/>
  <c r="R97" i="14" a="1"/>
  <c r="R98" i="14" a="1"/>
  <c r="R99" i="14" a="1"/>
  <c r="R100" i="14" a="1"/>
  <c r="R101" i="14" a="1"/>
  <c r="R102" i="14" a="1"/>
  <c r="R103" i="14" a="1"/>
  <c r="R104" i="14" a="1"/>
  <c r="R105" i="14" a="1"/>
  <c r="R106" i="14" a="1"/>
  <c r="R107" i="14" a="1"/>
  <c r="R108" i="14" a="1"/>
  <c r="R109" i="14" a="1"/>
  <c r="R110" i="14" a="1"/>
  <c r="R111" i="14" a="1"/>
  <c r="R112" i="14" a="1"/>
  <c r="R113" i="14" a="1"/>
  <c r="R114" i="14" a="1"/>
  <c r="R115" i="14" a="1"/>
  <c r="R116" i="14" a="1"/>
  <c r="R117" i="14" a="1"/>
  <c r="R118" i="14" a="1"/>
  <c r="R119" i="14" a="1"/>
  <c r="R120" i="14" a="1"/>
  <c r="R121" i="14" a="1"/>
  <c r="R122" i="14" a="1"/>
  <c r="R123" i="14" a="1"/>
  <c r="R124" i="14" a="1"/>
  <c r="R125" i="14" a="1"/>
  <c r="R126" i="14" a="1"/>
  <c r="R127" i="14" a="1"/>
  <c r="R128" i="14" a="1"/>
  <c r="R129" i="14" a="1"/>
  <c r="R130" i="14" a="1"/>
  <c r="R131" i="14" a="1"/>
  <c r="R132" i="14" a="1"/>
  <c r="R133" i="14" a="1"/>
  <c r="R134" i="14" a="1"/>
  <c r="R135" i="14" a="1"/>
  <c r="R136" i="14" a="1"/>
  <c r="R137" i="14" a="1"/>
  <c r="R138" i="14" a="1"/>
  <c r="R139" i="14" a="1"/>
  <c r="R140" i="14" a="1"/>
  <c r="R141" i="14" a="1"/>
  <c r="R142" i="14" a="1"/>
  <c r="R143" i="14" a="1"/>
  <c r="R144" i="14" a="1"/>
  <c r="R145" i="14" a="1"/>
  <c r="R146" i="14" a="1"/>
  <c r="R147" i="14" a="1"/>
  <c r="R148" i="14" a="1"/>
  <c r="R149" i="14" a="1"/>
  <c r="R150" i="14" a="1"/>
  <c r="R151" i="14" a="1"/>
  <c r="R152" i="14" a="1"/>
  <c r="R153" i="14" a="1"/>
  <c r="R154" i="14" a="1"/>
  <c r="R155" i="14" a="1"/>
  <c r="R156" i="14" a="1"/>
  <c r="R157" i="14" a="1"/>
  <c r="R158" i="14" a="1"/>
  <c r="R159" i="14" a="1"/>
  <c r="R160" i="14" a="1"/>
  <c r="R161" i="14" a="1"/>
  <c r="R162" i="14" a="1"/>
  <c r="R163" i="14" a="1"/>
  <c r="R164" i="14" a="1"/>
  <c r="R165" i="14" a="1"/>
  <c r="R166" i="14" a="1"/>
  <c r="R167" i="14" a="1"/>
  <c r="R168" i="14" a="1"/>
  <c r="R169" i="14" a="1"/>
  <c r="R170" i="14" a="1"/>
  <c r="R171" i="14" a="1"/>
  <c r="R172" i="14" a="1"/>
  <c r="R173" i="14" a="1"/>
  <c r="R174" i="14" a="1"/>
  <c r="R175" i="14" a="1"/>
  <c r="R176" i="14" a="1"/>
  <c r="R177" i="14" a="1"/>
  <c r="R178" i="14" a="1"/>
  <c r="R179" i="14" a="1"/>
  <c r="R180" i="14" a="1"/>
  <c r="R181" i="14" a="1"/>
  <c r="R182" i="14" a="1"/>
  <c r="R183" i="14" a="1"/>
  <c r="R184" i="14" a="1"/>
  <c r="R185" i="14" a="1"/>
  <c r="R186" i="14" a="1"/>
  <c r="R187" i="14" a="1"/>
  <c r="R188" i="14" a="1"/>
  <c r="R189" i="14" a="1"/>
  <c r="R190" i="14" a="1"/>
  <c r="R191" i="14" a="1"/>
  <c r="R192" i="14" a="1"/>
  <c r="R193" i="14" a="1"/>
  <c r="R194" i="14" a="1"/>
  <c r="R195" i="14" a="1"/>
  <c r="R196" i="14" a="1"/>
  <c r="R197" i="14" a="1"/>
  <c r="R198" i="14" a="1"/>
  <c r="R199" i="14" a="1"/>
  <c r="R200" i="14" a="1"/>
  <c r="R201" i="14" a="1"/>
  <c r="R202" i="14" a="1"/>
  <c r="R203" i="14" a="1"/>
  <c r="R204" i="14" a="1"/>
  <c r="R205" i="14" a="1"/>
  <c r="R206" i="14" a="1"/>
  <c r="R207" i="14" a="1"/>
  <c r="R208" i="14" a="1"/>
  <c r="R209" i="14" a="1"/>
  <c r="R210" i="14" a="1"/>
  <c r="R211" i="14" a="1"/>
  <c r="R212" i="14" a="1"/>
  <c r="R213" i="14" a="1"/>
  <c r="R214" i="14" a="1"/>
  <c r="R215" i="14" a="1"/>
  <c r="R216" i="14" a="1"/>
  <c r="R217" i="14" a="1"/>
  <c r="R218" i="14" a="1"/>
  <c r="R219" i="14" a="1"/>
  <c r="R220" i="14" a="1"/>
  <c r="R221" i="14" a="1"/>
  <c r="R222" i="14" a="1"/>
  <c r="R223" i="14" a="1"/>
  <c r="R224" i="14" a="1"/>
  <c r="R225" i="14" a="1"/>
  <c r="R226" i="14" a="1"/>
  <c r="R227" i="14" a="1"/>
  <c r="R228" i="14" a="1"/>
  <c r="R229" i="14" a="1"/>
  <c r="R230" i="14" a="1"/>
  <c r="R231" i="14" a="1"/>
  <c r="R232" i="14" a="1"/>
  <c r="R233" i="14" a="1"/>
  <c r="R234" i="14" a="1"/>
  <c r="R235" i="14" a="1"/>
  <c r="R236" i="14" a="1"/>
  <c r="R237" i="14" a="1"/>
  <c r="R238" i="14" a="1"/>
  <c r="R239" i="14" a="1"/>
  <c r="R240" i="14" a="1"/>
  <c r="R241" i="14" a="1"/>
  <c r="R242" i="14" a="1"/>
  <c r="R243" i="14" a="1"/>
  <c r="R244" i="14" a="1"/>
  <c r="R245" i="14" a="1"/>
  <c r="R246" i="14" a="1"/>
  <c r="R247" i="14" a="1"/>
  <c r="R248" i="14" a="1"/>
  <c r="R249" i="14" a="1"/>
  <c r="R250" i="14" a="1"/>
  <c r="R251" i="14" a="1"/>
  <c r="R252" i="14" a="1"/>
  <c r="R253" i="14" a="1"/>
  <c r="R254" i="14" a="1"/>
  <c r="R255" i="14" a="1"/>
  <c r="R256" i="14" a="1"/>
  <c r="R257" i="14" a="1"/>
  <c r="R258" i="14" a="1"/>
  <c r="R259" i="14" a="1"/>
  <c r="R260" i="14" a="1"/>
  <c r="R261" i="14" a="1"/>
  <c r="R262" i="14" a="1"/>
  <c r="R263" i="14" a="1"/>
  <c r="R264" i="14" a="1"/>
  <c r="R265" i="14" a="1"/>
  <c r="R266" i="14" a="1"/>
  <c r="R267" i="14" a="1"/>
  <c r="R268" i="14" a="1"/>
  <c r="R269" i="14" a="1"/>
  <c r="R270" i="14" a="1"/>
  <c r="R271" i="14" a="1"/>
  <c r="R272" i="14" a="1"/>
  <c r="R273" i="14" a="1"/>
  <c r="R274" i="14" a="1"/>
  <c r="R275" i="14" a="1"/>
  <c r="R276" i="14" a="1"/>
  <c r="R277" i="14" a="1"/>
  <c r="R278" i="14" a="1"/>
  <c r="R279" i="14" a="1"/>
  <c r="R280" i="14" a="1"/>
  <c r="R281" i="14" a="1"/>
  <c r="R282" i="14" a="1"/>
  <c r="R283" i="14" a="1"/>
  <c r="R284" i="14" a="1"/>
  <c r="R285" i="14" a="1"/>
  <c r="R286" i="14" a="1"/>
  <c r="R287" i="14" a="1"/>
  <c r="R288" i="14" a="1"/>
  <c r="R289" i="14" a="1"/>
  <c r="R290" i="14" a="1"/>
  <c r="R291" i="14" a="1"/>
  <c r="R292" i="14" a="1"/>
  <c r="R293" i="14" a="1"/>
  <c r="R294" i="14" a="1"/>
  <c r="R295" i="14" a="1"/>
  <c r="R296" i="14" a="1"/>
  <c r="R297" i="14" a="1"/>
  <c r="R298" i="14" a="1"/>
  <c r="R299" i="14" a="1"/>
  <c r="R300" i="14" a="1"/>
  <c r="R301" i="14" a="1"/>
  <c r="R302" i="14" a="1"/>
  <c r="R303" i="14" a="1"/>
  <c r="R304" i="14" a="1"/>
  <c r="R305" i="14" a="1"/>
  <c r="R306" i="14" a="1"/>
  <c r="R307" i="14" a="1"/>
  <c r="R308" i="14" a="1"/>
  <c r="R309" i="14" a="1"/>
  <c r="R310" i="14" a="1"/>
  <c r="R311" i="14" a="1"/>
  <c r="R312" i="14" a="1"/>
  <c r="R313" i="14" a="1"/>
  <c r="R314" i="14" a="1"/>
  <c r="R315" i="14" a="1"/>
  <c r="R316" i="14" a="1"/>
  <c r="R317" i="14" a="1"/>
  <c r="R318" i="14" a="1"/>
  <c r="R319" i="14" a="1"/>
  <c r="R320" i="14" a="1"/>
  <c r="R321" i="14" a="1"/>
  <c r="R322" i="14" a="1"/>
  <c r="R323" i="14" a="1"/>
  <c r="R324" i="14" a="1"/>
  <c r="R325" i="14" a="1"/>
  <c r="R326" i="14" a="1"/>
  <c r="R327" i="14" a="1"/>
  <c r="R328" i="14" a="1"/>
  <c r="R329" i="14" a="1"/>
  <c r="R330" i="14" a="1"/>
  <c r="R331" i="14" a="1"/>
  <c r="R332" i="14" a="1"/>
  <c r="R333" i="14" a="1"/>
  <c r="R334" i="14" a="1"/>
  <c r="R335" i="14" a="1"/>
  <c r="R336" i="14" a="1"/>
  <c r="R337" i="14" a="1"/>
  <c r="R338" i="14" a="1"/>
  <c r="R339" i="14" a="1"/>
  <c r="R340" i="14" a="1"/>
  <c r="R341" i="14" a="1"/>
  <c r="R342" i="14" a="1"/>
  <c r="R343" i="14" a="1"/>
  <c r="R344" i="14" a="1"/>
  <c r="R345" i="14" a="1"/>
  <c r="R346" i="14" a="1"/>
  <c r="R347" i="14" a="1"/>
  <c r="R348" i="14" a="1"/>
  <c r="R349" i="14" a="1"/>
  <c r="R350" i="14" a="1"/>
  <c r="R351" i="14" a="1"/>
  <c r="R352" i="14" a="1"/>
  <c r="R353" i="14" a="1"/>
  <c r="R354" i="14" a="1"/>
  <c r="R355" i="14" a="1"/>
  <c r="R356" i="14" a="1"/>
  <c r="R357" i="14" a="1"/>
  <c r="R358" i="14" a="1"/>
  <c r="R359" i="14" a="1"/>
  <c r="R360" i="14" a="1"/>
  <c r="R361" i="14" a="1"/>
  <c r="R362" i="14" a="1"/>
  <c r="R363" i="14" a="1"/>
  <c r="R364" i="14" a="1"/>
  <c r="R365" i="14" a="1"/>
  <c r="R366" i="14" a="1"/>
  <c r="R367" i="14" a="1"/>
  <c r="R368" i="14" a="1"/>
  <c r="R369" i="14" a="1"/>
  <c r="R370" i="14" a="1"/>
  <c r="R371" i="14" a="1"/>
  <c r="R372" i="14" a="1"/>
  <c r="R373" i="14" a="1"/>
  <c r="R374" i="14" a="1"/>
  <c r="R375" i="14" a="1"/>
  <c r="R376" i="14" a="1"/>
  <c r="R377" i="14" a="1"/>
  <c r="R378" i="14" a="1"/>
  <c r="R379" i="14" a="1"/>
  <c r="R380" i="14" a="1"/>
  <c r="R381" i="14" a="1"/>
  <c r="R382" i="14" a="1"/>
  <c r="R383" i="14" a="1"/>
  <c r="R384" i="14" a="1"/>
  <c r="R385" i="14" a="1"/>
  <c r="R386" i="14" a="1"/>
  <c r="R387" i="14" a="1"/>
  <c r="R388" i="14" a="1"/>
  <c r="R389" i="14" a="1"/>
  <c r="R390" i="14" a="1"/>
  <c r="R391" i="14" a="1"/>
  <c r="R392" i="14" a="1"/>
  <c r="R393" i="14" a="1"/>
  <c r="R394" i="14" a="1"/>
  <c r="R395" i="14" a="1"/>
  <c r="R396" i="14" a="1"/>
  <c r="R397" i="14" a="1"/>
  <c r="R398" i="14" a="1"/>
  <c r="R399" i="14" a="1"/>
  <c r="R400" i="14" a="1"/>
  <c r="R401" i="14" a="1"/>
  <c r="R402" i="14" a="1"/>
  <c r="R403" i="14" a="1"/>
  <c r="R404" i="14" a="1"/>
  <c r="R405" i="14" a="1"/>
  <c r="R406" i="14" a="1"/>
  <c r="R407" i="14" a="1"/>
  <c r="R408" i="14" a="1"/>
  <c r="R409" i="14" a="1"/>
  <c r="R410" i="14" a="1"/>
  <c r="R411" i="14" a="1"/>
  <c r="R412" i="14" a="1"/>
  <c r="R413" i="14" a="1"/>
  <c r="R414" i="14" a="1"/>
  <c r="R415" i="14" a="1"/>
  <c r="R416" i="14" a="1"/>
  <c r="R417" i="14" a="1"/>
  <c r="R418" i="14" a="1"/>
  <c r="R419" i="14" a="1"/>
  <c r="R420" i="14" a="1"/>
  <c r="R421" i="14" a="1"/>
  <c r="R422" i="14" a="1"/>
  <c r="R423" i="14" a="1"/>
  <c r="R424" i="14" a="1"/>
  <c r="R425" i="14" a="1"/>
  <c r="R426" i="14" a="1"/>
  <c r="R427" i="14" a="1"/>
  <c r="R428" i="14" a="1"/>
  <c r="R429" i="14" a="1"/>
  <c r="R430" i="14" a="1"/>
  <c r="R431" i="14" a="1"/>
  <c r="R432" i="14" a="1"/>
  <c r="R433" i="14" a="1"/>
  <c r="R434" i="14" a="1"/>
  <c r="R435" i="14" a="1"/>
  <c r="R436" i="14" a="1"/>
  <c r="R437" i="14" a="1"/>
  <c r="R438" i="14" a="1"/>
  <c r="R439" i="14" a="1"/>
  <c r="R440" i="14" a="1"/>
  <c r="R441" i="14" a="1"/>
  <c r="R442" i="14" a="1"/>
  <c r="R443" i="14" a="1"/>
  <c r="R444" i="14" a="1"/>
  <c r="R445" i="14" a="1"/>
  <c r="R446" i="14" a="1"/>
  <c r="R447" i="14" a="1"/>
  <c r="R448" i="14" a="1"/>
  <c r="R449" i="14" a="1"/>
  <c r="R450" i="14" a="1"/>
  <c r="R451" i="14" a="1"/>
  <c r="R452" i="14" a="1"/>
  <c r="R453" i="14" a="1"/>
  <c r="R454" i="14" a="1"/>
  <c r="R455" i="14" a="1"/>
  <c r="R456" i="14" a="1"/>
  <c r="R457" i="14" a="1"/>
  <c r="R458" i="14" a="1"/>
  <c r="R459" i="14" a="1"/>
  <c r="R460" i="14" a="1"/>
  <c r="R461" i="14" a="1"/>
  <c r="R462" i="14" a="1"/>
  <c r="R463" i="14" a="1"/>
  <c r="R464" i="14" a="1"/>
  <c r="R465" i="14" a="1"/>
  <c r="R466" i="14" a="1"/>
  <c r="R467" i="14" a="1"/>
  <c r="R468" i="14" a="1"/>
  <c r="R469" i="14" a="1"/>
  <c r="R470" i="14" a="1"/>
  <c r="R471" i="14" a="1"/>
  <c r="R472" i="14" a="1"/>
  <c r="R473" i="14" a="1"/>
  <c r="R474" i="14" a="1"/>
  <c r="R475" i="14" a="1"/>
  <c r="R476" i="14" a="1"/>
  <c r="R477" i="14" a="1"/>
  <c r="R478" i="14" a="1"/>
  <c r="R479" i="14" a="1"/>
  <c r="R480" i="14" a="1"/>
  <c r="R481" i="14" a="1"/>
  <c r="R482" i="14" a="1"/>
  <c r="R483" i="14" a="1"/>
  <c r="R484" i="14" a="1"/>
  <c r="R485" i="14" a="1"/>
  <c r="R486" i="14" a="1"/>
  <c r="R487" i="14" a="1"/>
  <c r="R488" i="14" a="1"/>
  <c r="R489" i="14" a="1"/>
  <c r="R490" i="14" a="1"/>
  <c r="R491" i="14" a="1"/>
  <c r="R492" i="14" a="1"/>
  <c r="R493" i="14" a="1"/>
  <c r="R494" i="14" a="1"/>
  <c r="R495" i="14" a="1"/>
  <c r="R496" i="14" a="1"/>
  <c r="R497" i="14" a="1"/>
  <c r="R498" i="14" a="1"/>
  <c r="R499" i="14" a="1"/>
  <c r="R500" i="14" a="1"/>
  <c r="R501" i="14" a="1"/>
  <c r="R502" i="14" a="1"/>
  <c r="R503" i="14" a="1"/>
  <c r="R504" i="14" a="1"/>
  <c r="R505" i="14" a="1"/>
  <c r="R506" i="14" a="1"/>
  <c r="R507" i="14" a="1"/>
  <c r="R508" i="14" a="1"/>
  <c r="R509" i="14" a="1"/>
  <c r="R510" i="14" a="1"/>
  <c r="R511" i="14" a="1"/>
  <c r="R512" i="14" a="1"/>
  <c r="R513" i="14" a="1"/>
  <c r="R514" i="14" a="1"/>
  <c r="R515" i="14" a="1"/>
  <c r="R516" i="14" a="1"/>
  <c r="R517" i="14" a="1"/>
  <c r="R518" i="14" a="1"/>
  <c r="R519" i="14" a="1"/>
  <c r="R520" i="14" a="1"/>
  <c r="R521" i="14" a="1"/>
  <c r="R522" i="14" a="1"/>
  <c r="R523" i="14" a="1"/>
  <c r="R524" i="14" a="1"/>
  <c r="R525" i="14" a="1"/>
  <c r="R526" i="14" a="1"/>
  <c r="R527" i="14" a="1"/>
  <c r="R528" i="14" a="1"/>
  <c r="R529" i="14" a="1"/>
  <c r="R530" i="14" a="1"/>
  <c r="R531" i="14" a="1"/>
  <c r="R532" i="14" a="1"/>
  <c r="R533" i="14" a="1"/>
  <c r="R534" i="14" a="1"/>
  <c r="R535" i="14" a="1"/>
  <c r="R536" i="14" a="1"/>
  <c r="R537" i="14" a="1"/>
  <c r="R538" i="14" a="1"/>
  <c r="R539" i="14" a="1"/>
  <c r="R540" i="14" a="1"/>
  <c r="R541" i="14" a="1"/>
  <c r="R542" i="14" a="1"/>
  <c r="R543" i="14" a="1"/>
  <c r="R544" i="14" a="1"/>
  <c r="R545" i="14" a="1"/>
  <c r="R546" i="14" a="1"/>
  <c r="R547" i="14" a="1"/>
  <c r="R548" i="14" a="1"/>
  <c r="R549" i="14" a="1"/>
  <c r="R550" i="14" a="1"/>
  <c r="R551" i="14" a="1"/>
  <c r="R552" i="14" a="1"/>
  <c r="R553" i="14" a="1"/>
  <c r="R554" i="14" a="1"/>
  <c r="R555" i="14" a="1"/>
  <c r="R556" i="14" a="1"/>
  <c r="R557" i="14" a="1"/>
  <c r="R558" i="14" a="1"/>
  <c r="R559" i="14" a="1"/>
  <c r="R560" i="14" a="1"/>
  <c r="R561" i="14" a="1"/>
  <c r="R562" i="14" a="1"/>
  <c r="R563" i="14" a="1"/>
  <c r="R564" i="14" a="1"/>
  <c r="R565" i="14" a="1"/>
  <c r="R566" i="14" a="1"/>
  <c r="R567" i="14" a="1"/>
  <c r="R568" i="14" a="1"/>
  <c r="R569" i="14" a="1"/>
  <c r="R570" i="14" a="1"/>
  <c r="R571" i="14" a="1"/>
  <c r="R572" i="14" a="1"/>
  <c r="R573" i="14" a="1"/>
  <c r="R574" i="14" a="1"/>
  <c r="R575" i="14" a="1"/>
  <c r="R576" i="14" a="1"/>
  <c r="R577" i="14" a="1"/>
  <c r="R578" i="14" a="1"/>
  <c r="R579" i="14" a="1"/>
  <c r="R580" i="14" a="1"/>
  <c r="R581" i="14" a="1"/>
  <c r="R582" i="14" a="1"/>
  <c r="R583" i="14" a="1"/>
  <c r="R584" i="14" a="1"/>
  <c r="R585" i="14" a="1"/>
  <c r="R586" i="14" a="1"/>
  <c r="R587" i="14" a="1"/>
  <c r="R588" i="14" a="1"/>
  <c r="R589" i="14" a="1"/>
  <c r="R590" i="14" a="1"/>
  <c r="R591" i="14" a="1"/>
  <c r="R592" i="14" a="1"/>
  <c r="R593" i="14" a="1"/>
  <c r="R594" i="14" a="1"/>
  <c r="R595" i="14" a="1"/>
  <c r="R596" i="14" a="1"/>
  <c r="R597" i="14" a="1"/>
  <c r="R598" i="14" a="1"/>
  <c r="R599" i="14" a="1"/>
  <c r="R600" i="14" a="1"/>
  <c r="R601" i="14" a="1"/>
  <c r="R602" i="14" a="1"/>
  <c r="R603" i="14" a="1"/>
  <c r="R604" i="14" a="1"/>
  <c r="R605" i="14" a="1"/>
  <c r="R606" i="14" a="1"/>
  <c r="R607" i="14" a="1"/>
  <c r="R608" i="14" a="1"/>
  <c r="R609" i="14" a="1"/>
  <c r="R610" i="14" a="1"/>
  <c r="R611" i="14" a="1"/>
  <c r="R612" i="14" a="1"/>
  <c r="R613" i="14" a="1"/>
  <c r="R614" i="14" a="1"/>
  <c r="R615" i="14" a="1"/>
  <c r="R616" i="14" a="1"/>
  <c r="R617" i="14" a="1"/>
  <c r="R618" i="14" a="1"/>
  <c r="R619" i="14" a="1"/>
  <c r="R620" i="14" a="1"/>
  <c r="R621" i="14" a="1"/>
  <c r="R622" i="14" a="1"/>
  <c r="R623" i="14" a="1"/>
  <c r="R624" i="14" a="1"/>
  <c r="R625" i="14" a="1"/>
  <c r="R626" i="14" a="1"/>
  <c r="R627" i="14" a="1"/>
  <c r="R628" i="14" a="1"/>
  <c r="R629" i="14" a="1"/>
  <c r="R630" i="14" a="1"/>
  <c r="R631" i="14" a="1"/>
  <c r="R632" i="14" a="1"/>
  <c r="R633" i="14" a="1"/>
  <c r="R634" i="14" a="1"/>
  <c r="R635" i="14" a="1"/>
  <c r="R636" i="14" a="1"/>
  <c r="R637" i="14" a="1"/>
  <c r="R638" i="14" a="1"/>
  <c r="R639" i="14" a="1"/>
  <c r="R640" i="14" a="1"/>
  <c r="R641" i="14" a="1"/>
  <c r="R642" i="14" a="1"/>
  <c r="R643" i="14" a="1"/>
  <c r="R644" i="14" a="1"/>
  <c r="R645" i="14" a="1"/>
  <c r="R646" i="14" a="1"/>
  <c r="R647" i="14" a="1"/>
  <c r="R648" i="14" a="1"/>
  <c r="R649" i="14" a="1"/>
  <c r="R650" i="14" a="1"/>
  <c r="R651" i="14" a="1"/>
  <c r="R652" i="14" a="1"/>
  <c r="R653" i="14" a="1"/>
  <c r="R654" i="14" a="1"/>
  <c r="R655" i="14" a="1"/>
  <c r="R656" i="14" a="1"/>
  <c r="R657" i="14" a="1"/>
  <c r="R658" i="14" a="1"/>
  <c r="R659" i="14" a="1"/>
  <c r="R660" i="14" a="1"/>
  <c r="R661" i="14" a="1"/>
  <c r="R662" i="14" a="1"/>
  <c r="R663" i="14" a="1"/>
  <c r="R664" i="14" a="1"/>
  <c r="R665" i="14" a="1"/>
  <c r="R666" i="14" a="1"/>
  <c r="R667" i="14" a="1"/>
  <c r="R668" i="14" a="1"/>
  <c r="R669" i="14" a="1"/>
  <c r="R670" i="14" a="1"/>
  <c r="R671" i="14" a="1"/>
  <c r="R672" i="14" a="1"/>
  <c r="R673" i="14" a="1"/>
  <c r="R674" i="14" a="1"/>
  <c r="R675" i="14" a="1"/>
  <c r="R676" i="14" a="1"/>
  <c r="R677" i="14" a="1"/>
  <c r="R678" i="14" a="1"/>
  <c r="R679" i="14" a="1"/>
  <c r="R680" i="14" a="1"/>
  <c r="R681" i="14" a="1"/>
  <c r="R682" i="14" a="1"/>
  <c r="R683" i="14" a="1"/>
  <c r="R684" i="14" a="1"/>
  <c r="R685" i="14" a="1"/>
  <c r="R686" i="14" a="1"/>
  <c r="R687" i="14" a="1"/>
  <c r="R688" i="14" a="1"/>
  <c r="R689" i="14" a="1"/>
  <c r="R690" i="14" a="1"/>
  <c r="R691" i="14" a="1"/>
  <c r="R692" i="14" a="1"/>
  <c r="R693" i="14" a="1"/>
  <c r="R694" i="14" a="1"/>
  <c r="R695" i="14" a="1"/>
  <c r="R696" i="14" a="1"/>
  <c r="R697" i="14" a="1"/>
  <c r="R698" i="14" a="1"/>
  <c r="R699" i="14" a="1"/>
  <c r="R700" i="14" a="1"/>
  <c r="R701" i="14" a="1"/>
  <c r="R702" i="14" a="1"/>
  <c r="R703" i="14" a="1"/>
  <c r="R704" i="14" a="1"/>
  <c r="R705" i="14" a="1"/>
  <c r="R706" i="14" a="1"/>
  <c r="R707" i="14" a="1"/>
  <c r="R708" i="14" a="1"/>
  <c r="R709" i="14" a="1"/>
  <c r="R710" i="14" a="1"/>
  <c r="R711" i="14" a="1"/>
  <c r="R712" i="14" a="1"/>
  <c r="R713" i="14" a="1"/>
  <c r="R714" i="14" a="1"/>
  <c r="R715" i="14" a="1"/>
  <c r="R716" i="14" a="1"/>
  <c r="R717" i="14" a="1"/>
  <c r="R718" i="14" a="1"/>
  <c r="R719" i="14" a="1"/>
  <c r="R720" i="14" a="1"/>
  <c r="R721" i="14" a="1"/>
  <c r="R722" i="14" a="1"/>
  <c r="R723" i="14" a="1"/>
  <c r="R724" i="14" a="1"/>
  <c r="R725" i="14" a="1"/>
  <c r="R726" i="14" a="1"/>
  <c r="R727" i="14" a="1"/>
  <c r="R728" i="14" a="1"/>
  <c r="R729" i="14" a="1"/>
  <c r="R730" i="14" a="1"/>
  <c r="R731" i="14" a="1"/>
  <c r="R732" i="14" a="1"/>
  <c r="R733" i="14" a="1"/>
  <c r="R734" i="14" a="1"/>
  <c r="R735" i="14" a="1"/>
  <c r="R736" i="14" a="1"/>
  <c r="R737" i="14" a="1"/>
  <c r="R738" i="14" a="1"/>
  <c r="R739" i="14" a="1"/>
  <c r="R740" i="14" a="1"/>
  <c r="R741" i="14" a="1"/>
  <c r="R742" i="14" a="1"/>
  <c r="R743" i="14" a="1"/>
  <c r="R744" i="14" a="1"/>
  <c r="R745" i="14" a="1"/>
  <c r="R746" i="14" a="1"/>
  <c r="R747" i="14" a="1"/>
  <c r="R748" i="14" a="1"/>
  <c r="R749" i="14" a="1"/>
  <c r="R750" i="14" a="1"/>
  <c r="R751" i="14" a="1"/>
  <c r="R752" i="14" a="1"/>
  <c r="R753" i="14" a="1"/>
  <c r="R754" i="14" a="1"/>
  <c r="R755" i="14" a="1"/>
  <c r="R756" i="14" a="1"/>
  <c r="R757" i="14" a="1"/>
  <c r="R758" i="14" a="1"/>
  <c r="R759" i="14" a="1"/>
  <c r="R760" i="14" a="1"/>
  <c r="R761" i="14" a="1"/>
  <c r="R762" i="14" a="1"/>
  <c r="R763" i="14" a="1"/>
  <c r="R764" i="14" a="1"/>
  <c r="R765" i="14" a="1"/>
  <c r="R766" i="14" a="1"/>
  <c r="R767" i="14" a="1"/>
  <c r="R768" i="14" a="1"/>
  <c r="R769" i="14" a="1"/>
  <c r="R770" i="14" a="1"/>
  <c r="R771" i="14" a="1"/>
  <c r="R772" i="14" a="1"/>
  <c r="R773" i="14" a="1"/>
  <c r="R774" i="14" a="1"/>
  <c r="R775" i="14" a="1"/>
  <c r="R776" i="14" a="1"/>
  <c r="R777" i="14" a="1"/>
  <c r="R778" i="14" a="1"/>
  <c r="R779" i="14" a="1"/>
  <c r="R780" i="14" a="1"/>
  <c r="R781" i="14" a="1"/>
  <c r="R782" i="14" a="1"/>
  <c r="R783" i="14" a="1"/>
  <c r="R784" i="14" a="1"/>
  <c r="R785" i="14" a="1"/>
  <c r="R786" i="14" a="1"/>
  <c r="R787" i="14" a="1"/>
  <c r="R788" i="14" a="1"/>
  <c r="R789" i="14" a="1"/>
  <c r="R790" i="14" a="1"/>
  <c r="R791" i="14" a="1"/>
  <c r="R792" i="14" a="1"/>
  <c r="R793" i="14" a="1"/>
  <c r="R794" i="14" a="1"/>
  <c r="R795" i="14" a="1"/>
  <c r="R796" i="14" a="1"/>
  <c r="R797" i="14" a="1"/>
  <c r="R798" i="14" a="1"/>
  <c r="R799" i="14" a="1"/>
  <c r="R800" i="14" a="1"/>
  <c r="R801" i="14" a="1"/>
  <c r="R802" i="14" a="1"/>
  <c r="R803" i="14" a="1"/>
  <c r="R804" i="14" a="1"/>
  <c r="R805" i="14" a="1"/>
  <c r="R806" i="14" a="1"/>
  <c r="R807" i="14" a="1"/>
  <c r="R808" i="14" a="1"/>
  <c r="R809" i="14" a="1"/>
  <c r="R810" i="14" a="1"/>
  <c r="R811" i="14" a="1"/>
  <c r="R812" i="14" a="1"/>
  <c r="R813" i="14" a="1"/>
  <c r="R814" i="14" a="1"/>
  <c r="R815" i="14" a="1"/>
  <c r="R816" i="14" a="1"/>
  <c r="R817" i="14" a="1"/>
  <c r="R818" i="14" a="1"/>
  <c r="R819" i="14" a="1"/>
  <c r="R820" i="14" a="1"/>
  <c r="R821" i="14" a="1"/>
  <c r="R822" i="14" a="1"/>
  <c r="R823" i="14" a="1"/>
  <c r="R824" i="14" a="1"/>
  <c r="R825" i="14" a="1"/>
  <c r="R826" i="14" a="1"/>
  <c r="R827" i="14" a="1"/>
  <c r="R828" i="14" a="1"/>
  <c r="R829" i="14" a="1"/>
  <c r="R830" i="14" a="1"/>
  <c r="R831" i="14" a="1"/>
  <c r="R832" i="14" a="1"/>
  <c r="R833" i="14" a="1"/>
  <c r="R834" i="14" a="1"/>
  <c r="R835" i="14" a="1"/>
  <c r="R836" i="14" a="1"/>
  <c r="R837" i="14" a="1"/>
  <c r="R838" i="14" a="1"/>
  <c r="R839" i="14" a="1"/>
  <c r="R840" i="14" a="1"/>
  <c r="R841" i="14" a="1"/>
  <c r="R842" i="14" a="1"/>
  <c r="R843" i="14" a="1"/>
  <c r="R844" i="14" a="1"/>
  <c r="R845" i="14" a="1"/>
  <c r="R846" i="14" a="1"/>
  <c r="R847" i="14" a="1"/>
  <c r="R848" i="14" a="1"/>
  <c r="R849" i="14" a="1"/>
  <c r="R850" i="14" a="1"/>
  <c r="R851" i="14" a="1"/>
  <c r="R852" i="14" a="1"/>
  <c r="R853" i="14" a="1"/>
  <c r="R854" i="14" a="1"/>
  <c r="R855" i="14" a="1"/>
  <c r="R856" i="14" a="1"/>
  <c r="R857" i="14" a="1"/>
  <c r="R858" i="14" a="1"/>
  <c r="R859" i="14" a="1"/>
  <c r="R860" i="14" a="1"/>
  <c r="R861" i="14" a="1"/>
  <c r="R862" i="14" a="1"/>
  <c r="R863" i="14" a="1"/>
  <c r="R864" i="14" a="1"/>
  <c r="R865" i="14" a="1"/>
  <c r="R866" i="14" a="1"/>
  <c r="R867" i="14" a="1"/>
  <c r="R868" i="14" a="1"/>
  <c r="R869" i="14" a="1"/>
  <c r="R870" i="14" a="1"/>
  <c r="R871" i="14" a="1"/>
  <c r="R872" i="14" a="1"/>
  <c r="R873" i="14" a="1"/>
  <c r="R874" i="14" a="1"/>
  <c r="R875" i="14" a="1"/>
  <c r="R876" i="14" a="1"/>
  <c r="R877" i="14" a="1"/>
  <c r="R878" i="14" a="1"/>
  <c r="R879" i="14" a="1"/>
  <c r="R880" i="14" a="1"/>
  <c r="R881" i="14" a="1"/>
  <c r="R882" i="14" a="1"/>
  <c r="R883" i="14" a="1"/>
  <c r="R884" i="14" a="1"/>
  <c r="R885" i="14" a="1"/>
  <c r="R886" i="14" a="1"/>
  <c r="R887" i="14" a="1"/>
  <c r="R888" i="14" a="1"/>
  <c r="R889" i="14" a="1"/>
  <c r="R890" i="14" a="1"/>
  <c r="R891" i="14" a="1"/>
  <c r="R892" i="14" a="1"/>
  <c r="R893" i="14" a="1"/>
  <c r="R894" i="14" a="1"/>
  <c r="R895" i="14" a="1"/>
  <c r="R896" i="14" a="1"/>
  <c r="R897" i="14" a="1"/>
  <c r="R898" i="14" a="1"/>
  <c r="R899" i="14" a="1"/>
  <c r="R900" i="14" a="1"/>
  <c r="R901" i="14" a="1"/>
  <c r="R902" i="14" a="1"/>
  <c r="R903" i="14" a="1"/>
  <c r="R904" i="14" a="1"/>
  <c r="R905" i="14" a="1"/>
  <c r="R906" i="14" a="1"/>
  <c r="R907" i="14" a="1"/>
  <c r="R908" i="14" a="1"/>
  <c r="R909" i="14" a="1"/>
  <c r="R910" i="14" a="1"/>
  <c r="R911" i="14" a="1"/>
  <c r="R912" i="14" a="1"/>
  <c r="R913" i="14" a="1"/>
  <c r="R914" i="14" a="1"/>
  <c r="R915" i="14" a="1"/>
  <c r="R916" i="14" a="1"/>
  <c r="R917" i="14" a="1"/>
  <c r="R918" i="14" a="1"/>
  <c r="R919" i="14" a="1"/>
  <c r="R920" i="14" a="1"/>
  <c r="R921" i="14" a="1"/>
  <c r="R922" i="14" a="1"/>
  <c r="R923" i="14" a="1"/>
  <c r="R924" i="14" a="1"/>
  <c r="R925" i="14" a="1"/>
  <c r="R926" i="14" a="1"/>
  <c r="R927" i="14" a="1"/>
  <c r="R928" i="14" a="1"/>
  <c r="R929" i="14" a="1"/>
  <c r="R930" i="14" a="1"/>
  <c r="R931" i="14" a="1"/>
  <c r="R932" i="14" a="1"/>
  <c r="R933" i="14" a="1"/>
  <c r="R934" i="14" a="1"/>
  <c r="R935" i="14" a="1"/>
  <c r="R936" i="14" a="1"/>
  <c r="R937" i="14" a="1"/>
  <c r="R938" i="14" a="1"/>
  <c r="R939" i="14" a="1"/>
  <c r="R940" i="14" a="1"/>
  <c r="R941" i="14" a="1"/>
  <c r="R942" i="14" a="1"/>
  <c r="R943" i="14" a="1"/>
  <c r="R944" i="14" a="1"/>
  <c r="R945" i="14" a="1"/>
  <c r="R946" i="14" a="1"/>
  <c r="R947" i="14" a="1"/>
  <c r="R948" i="14" a="1"/>
  <c r="R949" i="14" a="1"/>
  <c r="R950" i="14" a="1"/>
  <c r="R951" i="14" a="1"/>
  <c r="R952" i="14" a="1"/>
  <c r="R953" i="14" a="1"/>
  <c r="R954" i="14" a="1"/>
  <c r="R955" i="14" a="1"/>
  <c r="R956" i="14" a="1"/>
  <c r="R957" i="14" a="1"/>
  <c r="R958" i="14" a="1"/>
  <c r="R959" i="14" a="1"/>
  <c r="R960" i="14" a="1"/>
  <c r="R961" i="14" a="1"/>
  <c r="R962" i="14" a="1"/>
  <c r="R963" i="14" a="1"/>
  <c r="R964" i="14" a="1"/>
  <c r="R965" i="14" a="1"/>
  <c r="R966" i="14" a="1"/>
  <c r="R967" i="14" a="1"/>
  <c r="R968" i="14" a="1"/>
  <c r="R969" i="14" a="1"/>
  <c r="R970" i="14" a="1"/>
  <c r="R971" i="14" a="1"/>
  <c r="R972" i="14" a="1"/>
  <c r="R973" i="14" a="1"/>
  <c r="R974" i="14" a="1"/>
  <c r="R975" i="14" a="1"/>
  <c r="R976" i="14" a="1"/>
  <c r="R977" i="14" a="1"/>
  <c r="R978" i="14" a="1"/>
  <c r="R979" i="14" a="1"/>
  <c r="R980" i="14" a="1"/>
  <c r="R981" i="14" a="1"/>
  <c r="R982" i="14" a="1"/>
  <c r="R983" i="14" a="1"/>
  <c r="R984" i="14" a="1"/>
  <c r="R985" i="14" a="1"/>
  <c r="R986" i="14" a="1"/>
  <c r="R987" i="14" a="1"/>
  <c r="R988" i="14" a="1"/>
  <c r="R989" i="14" a="1"/>
  <c r="R990" i="14" a="1"/>
  <c r="R991" i="14" a="1"/>
  <c r="R992" i="14" a="1"/>
  <c r="R993" i="14" a="1"/>
  <c r="R994" i="14" a="1"/>
  <c r="R995" i="14" a="1"/>
  <c r="R996" i="14" a="1"/>
  <c r="R997" i="14" a="1"/>
  <c r="R998" i="14" a="1"/>
  <c r="R999" i="14" a="1"/>
  <c r="R1000" i="14" a="1"/>
  <c r="R1001" i="14" a="1"/>
  <c r="R1002" i="14" a="1"/>
  <c r="R1003" i="14" a="1"/>
  <c r="R1004" i="14" a="1"/>
  <c r="R1005" i="14" a="1"/>
  <c r="R1006" i="14" a="1"/>
  <c r="R1007" i="14" a="1"/>
  <c r="R1008" i="14" a="1"/>
  <c r="R1009" i="14" a="1"/>
  <c r="R1010" i="14" a="1"/>
  <c r="R1011" i="14" a="1"/>
  <c r="R1012" i="14" a="1"/>
  <c r="R1013" i="14" a="1"/>
  <c r="R1014" i="14" a="1"/>
  <c r="R1015" i="14" a="1"/>
  <c r="R1016" i="14" a="1"/>
  <c r="R1017" i="14" a="1"/>
  <c r="R1018" i="14" a="1"/>
  <c r="R1019" i="14" a="1"/>
  <c r="R1020" i="14" a="1"/>
  <c r="R1021" i="14" a="1"/>
  <c r="R1022" i="14" a="1"/>
  <c r="R1023" i="14" a="1"/>
  <c r="R1024" i="14" a="1"/>
  <c r="R1025" i="14" a="1"/>
  <c r="R1026" i="14" a="1"/>
  <c r="R1027" i="14" a="1"/>
  <c r="R1028" i="14" a="1"/>
  <c r="R1029" i="14" a="1"/>
  <c r="R1030" i="14" a="1"/>
  <c r="R1031" i="14" a="1"/>
  <c r="R1032" i="14" a="1"/>
  <c r="R1033" i="14" a="1"/>
  <c r="R1034" i="14" a="1"/>
  <c r="R1035" i="14" a="1"/>
  <c r="R1036" i="14" a="1"/>
  <c r="R1037" i="14" a="1"/>
  <c r="R1038" i="14" a="1"/>
  <c r="R1039" i="14" a="1"/>
  <c r="R1040" i="14" a="1"/>
  <c r="R1041" i="14" a="1"/>
  <c r="R1042" i="14" a="1"/>
  <c r="R1043" i="14" a="1"/>
  <c r="R1044" i="14" a="1"/>
  <c r="R1045" i="14" a="1"/>
  <c r="R1046" i="14" a="1"/>
  <c r="R1047" i="14" a="1"/>
  <c r="R1048" i="14" a="1"/>
  <c r="R1049" i="14" a="1"/>
  <c r="R1050" i="14" a="1"/>
  <c r="B1050" i="1"/>
  <c r="AD1050" i="1"/>
  <c r="AE1050" i="1" a="1"/>
  <c r="AH1050" i="1" s="1"/>
  <c r="AF1050" i="1" a="1"/>
  <c r="AG1050" i="1" a="1"/>
  <c r="D1050" i="17" a="1"/>
  <c r="E1050" i="17"/>
  <c r="G1050" i="17"/>
  <c r="H1050" i="17" a="1"/>
  <c r="M1050" i="17" a="1"/>
  <c r="N1050" i="17" s="1"/>
  <c r="P1050" i="17"/>
  <c r="AA1050" i="17"/>
  <c r="AC1050" i="17" s="1"/>
  <c r="AD1050" i="17" a="1"/>
  <c r="O1050" i="17" s="1" a="1"/>
  <c r="B1050" i="14"/>
  <c r="D1050" i="14" a="1"/>
  <c r="I1050" i="14"/>
  <c r="H1050" i="14" s="1"/>
  <c r="J1050" i="14"/>
  <c r="K1050" i="14"/>
  <c r="M1050" i="14"/>
  <c r="N1050" i="14"/>
  <c r="O1050" i="14"/>
  <c r="P1050" i="14"/>
  <c r="Q1050" i="14"/>
  <c r="B1049" i="1"/>
  <c r="AD1049" i="1"/>
  <c r="AE1049" i="1" a="1"/>
  <c r="AH1049" i="1" s="1"/>
  <c r="AF1049" i="1" a="1"/>
  <c r="AG1049" i="1" a="1"/>
  <c r="Z1049" i="17"/>
  <c r="D1049" i="17" a="1"/>
  <c r="E1049" i="17"/>
  <c r="G1049" i="17"/>
  <c r="H1049" i="17" a="1"/>
  <c r="M1049" i="17" a="1"/>
  <c r="N1049" i="17" s="1"/>
  <c r="P1049" i="17"/>
  <c r="AA1049" i="17"/>
  <c r="AC1049" i="17" s="1"/>
  <c r="AD1049" i="17" a="1"/>
  <c r="O1049" i="17" s="1" a="1"/>
  <c r="B1049" i="14"/>
  <c r="D1049" i="14" a="1"/>
  <c r="I1049" i="14"/>
  <c r="H1049" i="14" s="1"/>
  <c r="J1049" i="14"/>
  <c r="K1049" i="14"/>
  <c r="M1049" i="14"/>
  <c r="N1049" i="14"/>
  <c r="O1049" i="14"/>
  <c r="P1049" i="14"/>
  <c r="Q1049" i="14"/>
  <c r="T426" i="17"/>
  <c r="T440" i="17"/>
  <c r="T1046" i="17"/>
  <c r="U1048" i="17"/>
  <c r="R440" i="17"/>
  <c r="R426" i="17"/>
  <c r="R1048" i="17"/>
  <c r="B1046" i="1"/>
  <c r="B1047" i="1"/>
  <c r="B1048" i="1"/>
  <c r="AD1046" i="1"/>
  <c r="AD1047" i="1"/>
  <c r="AD1048" i="1"/>
  <c r="AE1046" i="1" a="1"/>
  <c r="AE1047" i="1" a="1"/>
  <c r="AE1048" i="1" a="1"/>
  <c r="AH1048" i="1" s="1"/>
  <c r="AF1046" i="1" a="1"/>
  <c r="AF1047" i="1" a="1"/>
  <c r="AF1048" i="1" a="1"/>
  <c r="AG1046" i="1" a="1"/>
  <c r="AG1047" i="1" a="1"/>
  <c r="AG1048" i="1" a="1"/>
  <c r="R1047" i="17"/>
  <c r="R1046" i="17"/>
  <c r="D1046" i="17" a="1"/>
  <c r="D1047" i="17" a="1"/>
  <c r="D1048" i="17" a="1"/>
  <c r="E1046" i="17"/>
  <c r="E1047" i="17"/>
  <c r="E1048" i="17"/>
  <c r="G1046" i="17"/>
  <c r="G1047" i="17"/>
  <c r="G1048" i="17"/>
  <c r="H1046" i="17" a="1"/>
  <c r="H1047" i="17" a="1"/>
  <c r="H1048" i="17" a="1"/>
  <c r="M1046" i="17" a="1"/>
  <c r="N1046" i="17" s="1"/>
  <c r="M1047" i="17" a="1"/>
  <c r="N1047" i="17" s="1"/>
  <c r="M1048" i="17" a="1"/>
  <c r="N1048" i="17" s="1"/>
  <c r="P1046" i="17"/>
  <c r="P1047" i="17"/>
  <c r="P1048" i="17"/>
  <c r="AA1046" i="17"/>
  <c r="AC1046" i="17" s="1"/>
  <c r="AA1047" i="17"/>
  <c r="AC1047" i="17" s="1"/>
  <c r="AA1048" i="17"/>
  <c r="AC1048" i="17" s="1"/>
  <c r="AD1046" i="17" a="1"/>
  <c r="O1046" i="17" s="1" a="1"/>
  <c r="AD1047" i="17" a="1"/>
  <c r="O1047" i="17" s="1" a="1"/>
  <c r="AD1048" i="17" a="1"/>
  <c r="O1048" i="17" s="1" a="1"/>
  <c r="B1046" i="14"/>
  <c r="B1047" i="14"/>
  <c r="B1048" i="14"/>
  <c r="D1046" i="14" a="1"/>
  <c r="D1047" i="14" a="1"/>
  <c r="D1048" i="14" a="1"/>
  <c r="I1046" i="14"/>
  <c r="I1047" i="14"/>
  <c r="I1048" i="14"/>
  <c r="J1046" i="14"/>
  <c r="J1047" i="14"/>
  <c r="J1048" i="14"/>
  <c r="K1046" i="14"/>
  <c r="K1047" i="14"/>
  <c r="K1048" i="14"/>
  <c r="M1046" i="14"/>
  <c r="M1047" i="14"/>
  <c r="M1048" i="14"/>
  <c r="N1046" i="14"/>
  <c r="N1047" i="14"/>
  <c r="N1048" i="14"/>
  <c r="O1046" i="14"/>
  <c r="O1047" i="14"/>
  <c r="O1048" i="14"/>
  <c r="P1046" i="14"/>
  <c r="P1047" i="14"/>
  <c r="P1048" i="14"/>
  <c r="Q1046" i="14"/>
  <c r="Q1047" i="14"/>
  <c r="Q1048" i="14"/>
  <c r="R1045" i="17"/>
  <c r="B1044" i="1"/>
  <c r="B1045" i="1"/>
  <c r="AD1044" i="1"/>
  <c r="AD1045" i="1"/>
  <c r="AE1044" i="1" a="1"/>
  <c r="AH1044" i="1" s="1"/>
  <c r="AE1045" i="1" a="1"/>
  <c r="AF1044" i="1" a="1"/>
  <c r="AF1045" i="1" a="1"/>
  <c r="AG1044" i="1" a="1"/>
  <c r="AG1045" i="1" a="1"/>
  <c r="D1044" i="17" a="1"/>
  <c r="D1045" i="17" a="1"/>
  <c r="D1045" i="14" s="1" a="1"/>
  <c r="E1044" i="17"/>
  <c r="E1045" i="17"/>
  <c r="G1044" i="17"/>
  <c r="G1045" i="17"/>
  <c r="H1044" i="17" a="1"/>
  <c r="H1045" i="17" a="1"/>
  <c r="M1044" i="17" a="1"/>
  <c r="N1044" i="17" s="1"/>
  <c r="M1045" i="17" a="1"/>
  <c r="N1045" i="17" s="1"/>
  <c r="P1044" i="17"/>
  <c r="P1045" i="17"/>
  <c r="AA1044" i="17"/>
  <c r="AC1044" i="17" s="1"/>
  <c r="AA1045" i="17"/>
  <c r="AC1045" i="17" s="1"/>
  <c r="AD1044" i="17" a="1"/>
  <c r="O1044" i="17" s="1" a="1"/>
  <c r="AD1045" i="17" a="1"/>
  <c r="O1045" i="17" s="1" a="1"/>
  <c r="B1045" i="14"/>
  <c r="I1045" i="14"/>
  <c r="J1045" i="14"/>
  <c r="K1045" i="14"/>
  <c r="M1045" i="14"/>
  <c r="N1045" i="14"/>
  <c r="O1045" i="14"/>
  <c r="P1045" i="14"/>
  <c r="Q1045" i="14"/>
  <c r="B1044" i="14"/>
  <c r="D1044" i="14" a="1"/>
  <c r="I1044" i="14"/>
  <c r="J1044" i="14"/>
  <c r="K1044" i="14"/>
  <c r="M1044" i="14"/>
  <c r="N1044" i="14"/>
  <c r="O1044" i="14"/>
  <c r="P1044" i="14"/>
  <c r="Q1044" i="14"/>
  <c r="B1043" i="1"/>
  <c r="AD1043" i="1"/>
  <c r="AE1043" i="1" a="1"/>
  <c r="AH1043" i="1" s="1"/>
  <c r="AF1043" i="1" a="1"/>
  <c r="AG1043" i="1" a="1"/>
  <c r="AA1043" i="17"/>
  <c r="AC1043" i="17" s="1"/>
  <c r="D1043" i="17" a="1"/>
  <c r="E1043" i="17"/>
  <c r="G1043" i="17"/>
  <c r="H1043" i="17" a="1"/>
  <c r="M1043" i="17" a="1"/>
  <c r="N1043" i="17" s="1"/>
  <c r="P1043" i="17"/>
  <c r="AD1043" i="17" a="1"/>
  <c r="O1043" i="17" s="1" a="1"/>
  <c r="B1043" i="14"/>
  <c r="D1043" i="14" a="1"/>
  <c r="I1043" i="14"/>
  <c r="J1043" i="14"/>
  <c r="K1043" i="14"/>
  <c r="M1043" i="14"/>
  <c r="N1043" i="14"/>
  <c r="O1043" i="14"/>
  <c r="P1043" i="14"/>
  <c r="Q1043" i="14"/>
  <c r="B1042" i="1"/>
  <c r="AD1042" i="1"/>
  <c r="AE1042" i="1" a="1"/>
  <c r="AF1042" i="1" a="1"/>
  <c r="AG1042" i="1" a="1"/>
  <c r="D1042" i="17" a="1"/>
  <c r="E1042" i="17"/>
  <c r="G1042" i="17"/>
  <c r="H1042" i="17" a="1"/>
  <c r="M1042" i="17" a="1"/>
  <c r="N1042" i="17" s="1"/>
  <c r="P1042" i="17"/>
  <c r="AA1042" i="17"/>
  <c r="AC1042" i="17" s="1"/>
  <c r="AD1042" i="17" a="1"/>
  <c r="O1042" i="17" s="1" a="1"/>
  <c r="B1042" i="14"/>
  <c r="D1042" i="14" a="1"/>
  <c r="I1042" i="14"/>
  <c r="J1042" i="14"/>
  <c r="K1042" i="14"/>
  <c r="M1042" i="14"/>
  <c r="N1042" i="14"/>
  <c r="O1042" i="14"/>
  <c r="P1042" i="14"/>
  <c r="Q1042" i="14"/>
  <c r="B1041" i="1"/>
  <c r="AD1041" i="1"/>
  <c r="AE1041" i="1" a="1"/>
  <c r="AF1041" i="1" a="1"/>
  <c r="AG1041" i="1" a="1"/>
  <c r="D1041" i="17" a="1"/>
  <c r="E1041" i="17"/>
  <c r="G1041" i="17"/>
  <c r="H1041" i="17" a="1"/>
  <c r="M1041" i="17" a="1"/>
  <c r="N1041" i="17" s="1"/>
  <c r="P1041" i="17"/>
  <c r="AA1041" i="17"/>
  <c r="AC1041" i="17" s="1"/>
  <c r="AD1041" i="17" a="1"/>
  <c r="O1041" i="17" s="1" a="1"/>
  <c r="B1041" i="14"/>
  <c r="D1041" i="14" a="1"/>
  <c r="I1041" i="14"/>
  <c r="J1041" i="14"/>
  <c r="K1041" i="14"/>
  <c r="M1041" i="14"/>
  <c r="N1041" i="14"/>
  <c r="O1041" i="14"/>
  <c r="P1041" i="14"/>
  <c r="Q1041" i="14"/>
  <c r="G1023" i="17"/>
  <c r="R1039" i="17"/>
  <c r="B1039" i="1"/>
  <c r="B1040" i="1"/>
  <c r="AD1039" i="1"/>
  <c r="AD1040" i="1"/>
  <c r="AE1039" i="1" a="1"/>
  <c r="AE1040" i="1" a="1"/>
  <c r="AF1039" i="1" a="1"/>
  <c r="AF1040" i="1" a="1"/>
  <c r="AG1039" i="1" a="1"/>
  <c r="AG1040" i="1" a="1"/>
  <c r="D1039" i="17" a="1"/>
  <c r="D1040" i="17" a="1"/>
  <c r="E1039" i="17"/>
  <c r="E1040" i="17"/>
  <c r="G1039" i="17"/>
  <c r="G1040" i="17"/>
  <c r="H1039" i="17" a="1"/>
  <c r="H1040" i="17" a="1"/>
  <c r="M1039" i="17" a="1"/>
  <c r="N1039" i="17" s="1"/>
  <c r="M1040" i="17" a="1"/>
  <c r="N1040" i="17" s="1"/>
  <c r="P1039" i="17"/>
  <c r="P1040" i="17"/>
  <c r="AA1039" i="17"/>
  <c r="AC1039" i="17" s="1"/>
  <c r="AA1040" i="17"/>
  <c r="AC1040" i="17" s="1"/>
  <c r="AD1039" i="17" a="1"/>
  <c r="O1039" i="17" s="1" a="1"/>
  <c r="AD1040" i="17" a="1"/>
  <c r="O1040" i="17" s="1" a="1"/>
  <c r="B1040" i="14"/>
  <c r="D1040" i="14" a="1"/>
  <c r="I1040" i="14"/>
  <c r="J1040" i="14"/>
  <c r="K1040" i="14"/>
  <c r="M1040" i="14"/>
  <c r="N1040" i="14"/>
  <c r="O1040" i="14"/>
  <c r="P1040" i="14"/>
  <c r="Q1040" i="14"/>
  <c r="B1039" i="14"/>
  <c r="D1039" i="14" a="1"/>
  <c r="I1039" i="14"/>
  <c r="J1039" i="14"/>
  <c r="K1039" i="14"/>
  <c r="M1039" i="14"/>
  <c r="N1039" i="14"/>
  <c r="O1039" i="14"/>
  <c r="P1039" i="14"/>
  <c r="Q1039" i="14"/>
  <c r="B1036" i="1"/>
  <c r="B1037" i="1"/>
  <c r="B1038" i="1"/>
  <c r="AD1036" i="1"/>
  <c r="AD1037" i="1"/>
  <c r="AD1038" i="1"/>
  <c r="AE1036" i="1" a="1"/>
  <c r="AE1037" i="1" a="1"/>
  <c r="AE1038" i="1" a="1"/>
  <c r="AF1036" i="1" a="1"/>
  <c r="AF1037" i="1" a="1"/>
  <c r="AF1038" i="1" a="1"/>
  <c r="AG1036" i="1" a="1"/>
  <c r="AG1037" i="1" a="1"/>
  <c r="AG1038" i="1" a="1"/>
  <c r="R1038" i="17"/>
  <c r="Q1038" i="17"/>
  <c r="AD1038" i="17" a="1"/>
  <c r="O1038" i="17" s="1" a="1"/>
  <c r="AA1038" i="17"/>
  <c r="AC1038" i="17" s="1"/>
  <c r="P1038" i="17"/>
  <c r="M1038" i="17" a="1"/>
  <c r="N1038" i="17" s="1"/>
  <c r="H1038" i="17" a="1"/>
  <c r="G1038" i="17"/>
  <c r="E1038" i="17"/>
  <c r="D1038" i="17" a="1"/>
  <c r="AD1037" i="17" a="1"/>
  <c r="O1037" i="17" s="1" a="1"/>
  <c r="AA1037" i="17"/>
  <c r="AC1037" i="17" s="1"/>
  <c r="P1037" i="17"/>
  <c r="M1037" i="17" a="1"/>
  <c r="N1037" i="17" s="1"/>
  <c r="H1037" i="17" a="1"/>
  <c r="G1037" i="17"/>
  <c r="E1037" i="17"/>
  <c r="D1037" i="17" a="1"/>
  <c r="Z1036" i="17"/>
  <c r="R1036" i="17"/>
  <c r="Q1036" i="17"/>
  <c r="AD1036" i="17" a="1"/>
  <c r="O1036" i="17" s="1" a="1"/>
  <c r="AA1036" i="17"/>
  <c r="AC1036" i="17" s="1"/>
  <c r="P1036" i="17"/>
  <c r="M1036" i="17" a="1"/>
  <c r="N1036" i="17" s="1"/>
  <c r="H1036" i="17" a="1"/>
  <c r="G1036" i="17"/>
  <c r="E1036" i="17"/>
  <c r="D1036" i="17" a="1"/>
  <c r="D2" i="17" a="1"/>
  <c r="D2" i="14" s="1" a="1"/>
  <c r="AM2" i="17" s="1"/>
  <c r="D3" i="17" a="1"/>
  <c r="D3" i="14" s="1" a="1"/>
  <c r="AM3" i="17" s="1"/>
  <c r="D4" i="17" a="1"/>
  <c r="D5" i="17" a="1"/>
  <c r="D6" i="17" a="1"/>
  <c r="D7" i="17" a="1"/>
  <c r="D8" i="17" a="1"/>
  <c r="D9" i="17" a="1"/>
  <c r="D10" i="17" a="1"/>
  <c r="D11" i="17" a="1"/>
  <c r="D12" i="17" a="1"/>
  <c r="D13" i="17" a="1"/>
  <c r="D14" i="17" a="1"/>
  <c r="D15" i="17" a="1"/>
  <c r="D16" i="17" a="1"/>
  <c r="D17" i="17" a="1"/>
  <c r="D18" i="17" a="1"/>
  <c r="D19" i="17" a="1"/>
  <c r="D20" i="17" a="1"/>
  <c r="D21" i="17" a="1"/>
  <c r="D22" i="17" a="1"/>
  <c r="D23" i="17" a="1"/>
  <c r="D24" i="17" a="1"/>
  <c r="D25" i="17" a="1"/>
  <c r="D26" i="17" a="1"/>
  <c r="D27" i="17" a="1"/>
  <c r="D28" i="17" a="1"/>
  <c r="D29" i="17" a="1"/>
  <c r="D30" i="17" a="1"/>
  <c r="D31" i="17" a="1"/>
  <c r="D32" i="17" a="1"/>
  <c r="D33" i="17" a="1"/>
  <c r="D34" i="17" a="1"/>
  <c r="D35" i="17" a="1"/>
  <c r="D36" i="17" a="1"/>
  <c r="D37" i="17" a="1"/>
  <c r="D38" i="17" a="1"/>
  <c r="D39" i="17" a="1"/>
  <c r="D40" i="17" a="1"/>
  <c r="D41" i="17" a="1"/>
  <c r="D42" i="17" a="1"/>
  <c r="D43" i="17" a="1"/>
  <c r="D44" i="17" a="1"/>
  <c r="D45" i="17" a="1"/>
  <c r="D46" i="17" a="1"/>
  <c r="D47" i="17" a="1"/>
  <c r="D48" i="17" a="1"/>
  <c r="D49" i="17" a="1"/>
  <c r="D50" i="17" a="1"/>
  <c r="D51" i="17" a="1"/>
  <c r="D52" i="17" a="1"/>
  <c r="D53" i="17" a="1"/>
  <c r="D54" i="17" a="1"/>
  <c r="D55" i="17" a="1"/>
  <c r="D56" i="17" a="1"/>
  <c r="D57" i="17" a="1"/>
  <c r="D58" i="17" a="1"/>
  <c r="D59" i="17" a="1"/>
  <c r="D60" i="17" a="1"/>
  <c r="D61" i="17" a="1"/>
  <c r="D62" i="17" a="1"/>
  <c r="D63" i="17" a="1"/>
  <c r="D64" i="17" a="1"/>
  <c r="D65" i="17" a="1"/>
  <c r="D66" i="17" a="1"/>
  <c r="D67" i="17" a="1"/>
  <c r="D68" i="17" a="1"/>
  <c r="D69" i="17" a="1"/>
  <c r="D70" i="17" a="1"/>
  <c r="D71" i="17" a="1"/>
  <c r="D72" i="17" a="1"/>
  <c r="D73" i="17" a="1"/>
  <c r="D74" i="17" a="1"/>
  <c r="D75" i="17" a="1"/>
  <c r="D76" i="17" a="1"/>
  <c r="D77" i="17" a="1"/>
  <c r="D78" i="17" a="1"/>
  <c r="D79" i="17" a="1"/>
  <c r="D80" i="17" a="1"/>
  <c r="D81" i="17" a="1"/>
  <c r="D82" i="17" a="1"/>
  <c r="D83" i="17" a="1"/>
  <c r="D84" i="17" a="1"/>
  <c r="D85" i="17" a="1"/>
  <c r="D86" i="17" a="1"/>
  <c r="D87" i="17" a="1"/>
  <c r="D88" i="17" a="1"/>
  <c r="D89" i="17" a="1"/>
  <c r="D90" i="17" a="1"/>
  <c r="D91" i="17" a="1"/>
  <c r="D92" i="17" a="1"/>
  <c r="D93" i="17" a="1"/>
  <c r="D94" i="17" a="1"/>
  <c r="D95" i="17" a="1"/>
  <c r="D96" i="17" a="1"/>
  <c r="D97" i="17" a="1"/>
  <c r="D98" i="17" a="1"/>
  <c r="D99" i="17" a="1"/>
  <c r="D100" i="17" a="1"/>
  <c r="D101" i="17" a="1"/>
  <c r="D102" i="17" a="1"/>
  <c r="D103" i="17" a="1"/>
  <c r="D104" i="17" a="1"/>
  <c r="D105" i="17" a="1"/>
  <c r="D106" i="17" a="1"/>
  <c r="D107" i="17" a="1"/>
  <c r="D108" i="17" a="1"/>
  <c r="D109" i="17" a="1"/>
  <c r="D110" i="17" a="1"/>
  <c r="D111" i="17" a="1"/>
  <c r="D112" i="17" a="1"/>
  <c r="D113" i="17" a="1"/>
  <c r="D114" i="17" a="1"/>
  <c r="D115" i="17" a="1"/>
  <c r="D116" i="17" a="1"/>
  <c r="D117" i="17" a="1"/>
  <c r="D118" i="17" a="1"/>
  <c r="D119" i="17" a="1"/>
  <c r="D120" i="17" a="1"/>
  <c r="D121" i="17" a="1"/>
  <c r="D122" i="17" a="1"/>
  <c r="D123" i="17" a="1"/>
  <c r="D124" i="17" a="1"/>
  <c r="D125" i="17" a="1"/>
  <c r="D126" i="17" a="1"/>
  <c r="D127" i="17" a="1"/>
  <c r="D128" i="17" a="1"/>
  <c r="D129" i="17" a="1"/>
  <c r="D130" i="17" a="1"/>
  <c r="D131" i="17" a="1"/>
  <c r="D132" i="17" a="1"/>
  <c r="D133" i="17" a="1"/>
  <c r="D134" i="17" a="1"/>
  <c r="D135" i="17" a="1"/>
  <c r="D136" i="17" a="1"/>
  <c r="D137" i="17" a="1"/>
  <c r="D138" i="17" a="1"/>
  <c r="D139" i="17" a="1"/>
  <c r="D140" i="17" a="1"/>
  <c r="D141" i="17" a="1"/>
  <c r="D142" i="17" a="1"/>
  <c r="D143" i="17" a="1"/>
  <c r="D144" i="17" a="1"/>
  <c r="D145" i="17" a="1"/>
  <c r="D146" i="17" a="1"/>
  <c r="D147" i="17" a="1"/>
  <c r="D148" i="17" a="1"/>
  <c r="D149" i="17" a="1"/>
  <c r="D150" i="17" a="1"/>
  <c r="D151" i="17" a="1"/>
  <c r="D152" i="17" a="1"/>
  <c r="D153" i="17" a="1"/>
  <c r="D154" i="17" a="1"/>
  <c r="D155" i="17" a="1"/>
  <c r="D156" i="17" a="1"/>
  <c r="D157" i="17" a="1"/>
  <c r="D158" i="17" a="1"/>
  <c r="D159" i="17" a="1"/>
  <c r="D160" i="17" a="1"/>
  <c r="D161" i="17" a="1"/>
  <c r="D162" i="17" a="1"/>
  <c r="D163" i="17" a="1"/>
  <c r="D164" i="17" a="1"/>
  <c r="D165" i="17" a="1"/>
  <c r="D166" i="17" a="1"/>
  <c r="D167" i="17" a="1"/>
  <c r="D168" i="17" a="1"/>
  <c r="D169" i="17" a="1"/>
  <c r="D170" i="17" a="1"/>
  <c r="D171" i="17" a="1"/>
  <c r="D172" i="17" a="1"/>
  <c r="D173" i="17" a="1"/>
  <c r="D174" i="17" a="1"/>
  <c r="D175" i="17" a="1"/>
  <c r="D176" i="17" a="1"/>
  <c r="D177" i="17" a="1"/>
  <c r="D178" i="17" a="1"/>
  <c r="D179" i="17" a="1"/>
  <c r="D180" i="17" a="1"/>
  <c r="D181" i="17" a="1"/>
  <c r="D182" i="17" a="1"/>
  <c r="D183" i="17" a="1"/>
  <c r="D184" i="17" a="1"/>
  <c r="D185" i="17" a="1"/>
  <c r="D186" i="17" a="1"/>
  <c r="D187" i="17" a="1"/>
  <c r="D188" i="17" a="1"/>
  <c r="D189" i="17" a="1"/>
  <c r="D190" i="17" a="1"/>
  <c r="D191" i="17" a="1"/>
  <c r="D192" i="17" a="1"/>
  <c r="D193" i="17" a="1"/>
  <c r="D194" i="17" a="1"/>
  <c r="D195" i="17" a="1"/>
  <c r="D196" i="17" a="1"/>
  <c r="D197" i="17" a="1"/>
  <c r="D198" i="17" a="1"/>
  <c r="D199" i="17" a="1"/>
  <c r="D200" i="17" a="1"/>
  <c r="D201" i="17" a="1"/>
  <c r="D202" i="17" a="1"/>
  <c r="D203" i="17" a="1"/>
  <c r="D204" i="17" a="1"/>
  <c r="D205" i="17" a="1"/>
  <c r="D206" i="17" a="1"/>
  <c r="D207" i="17" a="1"/>
  <c r="D208" i="17" a="1"/>
  <c r="D209" i="17" a="1"/>
  <c r="D210" i="17" a="1"/>
  <c r="D211" i="17" a="1"/>
  <c r="D212" i="17" a="1"/>
  <c r="D213" i="17" a="1"/>
  <c r="D214" i="17" a="1"/>
  <c r="D215" i="17" a="1"/>
  <c r="D216" i="17" a="1"/>
  <c r="D217" i="17" a="1"/>
  <c r="D218" i="17" a="1"/>
  <c r="D219" i="17" a="1"/>
  <c r="D220" i="17" a="1"/>
  <c r="D221" i="17" a="1"/>
  <c r="D222" i="17" a="1"/>
  <c r="D223" i="17" a="1"/>
  <c r="D224" i="17" a="1"/>
  <c r="D225" i="17" a="1"/>
  <c r="D226" i="17" a="1"/>
  <c r="D227" i="17" a="1"/>
  <c r="D228" i="17" a="1"/>
  <c r="D229" i="17" a="1"/>
  <c r="D230" i="17" a="1"/>
  <c r="D231" i="17" a="1"/>
  <c r="D232" i="17" a="1"/>
  <c r="D233" i="17" a="1"/>
  <c r="D234" i="17" a="1"/>
  <c r="D235" i="17" a="1"/>
  <c r="D236" i="17" a="1"/>
  <c r="D237" i="17" a="1"/>
  <c r="D238" i="17" a="1"/>
  <c r="D239" i="17" a="1"/>
  <c r="D240" i="17" a="1"/>
  <c r="D241" i="17" a="1"/>
  <c r="D242" i="17" a="1"/>
  <c r="D243" i="17" a="1"/>
  <c r="D244" i="17" a="1"/>
  <c r="D245" i="17" a="1"/>
  <c r="D246" i="17" a="1"/>
  <c r="D247" i="17" a="1"/>
  <c r="D248" i="17" a="1"/>
  <c r="D249" i="17" a="1"/>
  <c r="D250" i="17" a="1"/>
  <c r="D251" i="17" a="1"/>
  <c r="D252" i="17" a="1"/>
  <c r="D253" i="17" a="1"/>
  <c r="D254" i="17" a="1"/>
  <c r="D255" i="17" a="1"/>
  <c r="D256" i="17" a="1"/>
  <c r="D257" i="17" a="1"/>
  <c r="D258" i="17" a="1"/>
  <c r="D259" i="17" a="1"/>
  <c r="D260" i="17" a="1"/>
  <c r="D261" i="17" a="1"/>
  <c r="D262" i="17" a="1"/>
  <c r="D263" i="17" a="1"/>
  <c r="D264" i="17" a="1"/>
  <c r="D265" i="17" a="1"/>
  <c r="D266" i="17" a="1"/>
  <c r="D267" i="17" a="1"/>
  <c r="D268" i="17" a="1"/>
  <c r="D269" i="17" a="1"/>
  <c r="D270" i="17" a="1"/>
  <c r="D271" i="17" a="1"/>
  <c r="D272" i="17" a="1"/>
  <c r="D273" i="17" a="1"/>
  <c r="D274" i="17" a="1"/>
  <c r="D275" i="17" a="1"/>
  <c r="D276" i="17" a="1"/>
  <c r="D277" i="17" a="1"/>
  <c r="D278" i="17" a="1"/>
  <c r="D279" i="17" a="1"/>
  <c r="D280" i="17" a="1"/>
  <c r="D281" i="17" a="1"/>
  <c r="D282" i="17" a="1"/>
  <c r="D283" i="17" a="1"/>
  <c r="D284" i="17" a="1"/>
  <c r="D285" i="17" a="1"/>
  <c r="D286" i="17" a="1"/>
  <c r="D287" i="17" a="1"/>
  <c r="D288" i="17" a="1"/>
  <c r="D289" i="17" a="1"/>
  <c r="D290" i="17" a="1"/>
  <c r="D291" i="17" a="1"/>
  <c r="D292" i="17" a="1"/>
  <c r="D293" i="17" a="1"/>
  <c r="D294" i="17" a="1"/>
  <c r="D295" i="17" a="1"/>
  <c r="D296" i="17" a="1"/>
  <c r="D297" i="17" a="1"/>
  <c r="D298" i="17" a="1"/>
  <c r="D299" i="17" a="1"/>
  <c r="D300" i="17" a="1"/>
  <c r="D301" i="17" a="1"/>
  <c r="D302" i="17" a="1"/>
  <c r="D303" i="17" a="1"/>
  <c r="D304" i="17" a="1"/>
  <c r="D305" i="17" a="1"/>
  <c r="D306" i="17" a="1"/>
  <c r="D307" i="17" a="1"/>
  <c r="D308" i="17" a="1"/>
  <c r="D309" i="17" a="1"/>
  <c r="D310" i="17" a="1"/>
  <c r="D311" i="17" a="1"/>
  <c r="D312" i="17" a="1"/>
  <c r="D313" i="17" a="1"/>
  <c r="D314" i="17" a="1"/>
  <c r="D315" i="17" a="1"/>
  <c r="D316" i="17" a="1"/>
  <c r="D317" i="17" a="1"/>
  <c r="D318" i="17" a="1"/>
  <c r="D319" i="17" a="1"/>
  <c r="D320" i="17" a="1"/>
  <c r="D321" i="17" a="1"/>
  <c r="D322" i="17" a="1"/>
  <c r="D323" i="17" a="1"/>
  <c r="D324" i="17" a="1"/>
  <c r="D325" i="17" a="1"/>
  <c r="D326" i="17" a="1"/>
  <c r="D327" i="17" a="1"/>
  <c r="D328" i="17" a="1"/>
  <c r="D329" i="17" a="1"/>
  <c r="D330" i="17" a="1"/>
  <c r="D331" i="17" a="1"/>
  <c r="D332" i="17" a="1"/>
  <c r="D333" i="17" a="1"/>
  <c r="D334" i="17" a="1"/>
  <c r="D335" i="17" a="1"/>
  <c r="D336" i="17" a="1"/>
  <c r="D337" i="17" a="1"/>
  <c r="D338" i="17" a="1"/>
  <c r="D339" i="17" a="1"/>
  <c r="D340" i="17" a="1"/>
  <c r="D341" i="17" a="1"/>
  <c r="D342" i="17" a="1"/>
  <c r="D343" i="17" a="1"/>
  <c r="D344" i="17" a="1"/>
  <c r="D345" i="17" a="1"/>
  <c r="D346" i="17" a="1"/>
  <c r="D347" i="17" a="1"/>
  <c r="D348" i="17" a="1"/>
  <c r="D349" i="17" a="1"/>
  <c r="D350" i="17" a="1"/>
  <c r="D351" i="17" a="1"/>
  <c r="D352" i="17" a="1"/>
  <c r="D353" i="17" a="1"/>
  <c r="D354" i="17" a="1"/>
  <c r="D355" i="17" a="1"/>
  <c r="D356" i="17" a="1"/>
  <c r="D357" i="17" a="1"/>
  <c r="D358" i="17" a="1"/>
  <c r="D359" i="17" a="1"/>
  <c r="D360" i="17" a="1"/>
  <c r="D361" i="17" a="1"/>
  <c r="D362" i="17" a="1"/>
  <c r="D363" i="17" a="1"/>
  <c r="D364" i="17" a="1"/>
  <c r="D365" i="17" a="1"/>
  <c r="D366" i="17" a="1"/>
  <c r="D367" i="17" a="1"/>
  <c r="D368" i="17" a="1"/>
  <c r="D369" i="17" a="1"/>
  <c r="D370" i="17" a="1"/>
  <c r="D371" i="17" a="1"/>
  <c r="D372" i="17" a="1"/>
  <c r="D373" i="17" a="1"/>
  <c r="D374" i="17" a="1"/>
  <c r="D375" i="17" a="1"/>
  <c r="D376" i="17" a="1"/>
  <c r="D377" i="17" a="1"/>
  <c r="D378" i="17" a="1"/>
  <c r="D379" i="17" a="1"/>
  <c r="D380" i="17" a="1"/>
  <c r="D381" i="17" a="1"/>
  <c r="D382" i="17" a="1"/>
  <c r="D383" i="17" a="1"/>
  <c r="D384" i="17" a="1"/>
  <c r="D385" i="17" a="1"/>
  <c r="D386" i="17" a="1"/>
  <c r="D387" i="17" a="1"/>
  <c r="D388" i="17" a="1"/>
  <c r="D389" i="17" a="1"/>
  <c r="D390" i="17" a="1"/>
  <c r="D391" i="17" a="1"/>
  <c r="D392" i="17" a="1"/>
  <c r="D393" i="17" a="1"/>
  <c r="D394" i="17" a="1"/>
  <c r="D395" i="17" a="1"/>
  <c r="D396" i="17" a="1"/>
  <c r="D397" i="17" a="1"/>
  <c r="D398" i="17" a="1"/>
  <c r="D399" i="17" a="1"/>
  <c r="D400" i="17" a="1"/>
  <c r="D401" i="17" a="1"/>
  <c r="D402" i="17" a="1"/>
  <c r="D403" i="17" a="1"/>
  <c r="D404" i="17" a="1"/>
  <c r="D405" i="17" a="1"/>
  <c r="D406" i="17" a="1"/>
  <c r="D407" i="17" a="1"/>
  <c r="D408" i="17" a="1"/>
  <c r="D409" i="17" a="1"/>
  <c r="D410" i="17" a="1"/>
  <c r="D411" i="17" a="1"/>
  <c r="D412" i="17" a="1"/>
  <c r="D413" i="17" a="1"/>
  <c r="D414" i="17" a="1"/>
  <c r="D415" i="17" a="1"/>
  <c r="D416" i="17" a="1"/>
  <c r="D417" i="17" a="1"/>
  <c r="D418" i="17" a="1"/>
  <c r="D419" i="17" a="1"/>
  <c r="D420" i="17" a="1"/>
  <c r="D421" i="17" a="1"/>
  <c r="D422" i="17" a="1"/>
  <c r="D423" i="17" a="1"/>
  <c r="D424" i="17" a="1"/>
  <c r="D425" i="17" a="1"/>
  <c r="D426" i="17" a="1"/>
  <c r="D427" i="17" a="1"/>
  <c r="D428" i="17" a="1"/>
  <c r="D429" i="17" a="1"/>
  <c r="D430" i="17" a="1"/>
  <c r="D431" i="17" a="1"/>
  <c r="D432" i="17" a="1"/>
  <c r="D433" i="17" a="1"/>
  <c r="D434" i="17" a="1"/>
  <c r="D435" i="17" a="1"/>
  <c r="D436" i="17" a="1"/>
  <c r="D437" i="17" a="1"/>
  <c r="D438" i="17" a="1"/>
  <c r="D439" i="17" a="1"/>
  <c r="D440" i="17" a="1"/>
  <c r="D441" i="17" a="1"/>
  <c r="D442" i="17" a="1"/>
  <c r="D443" i="17" a="1"/>
  <c r="D444" i="17" a="1"/>
  <c r="D445" i="17" a="1"/>
  <c r="D446" i="17" a="1"/>
  <c r="D447" i="17" a="1"/>
  <c r="D448" i="17" a="1"/>
  <c r="D449" i="17" a="1"/>
  <c r="D450" i="17" a="1"/>
  <c r="D451" i="17" a="1"/>
  <c r="D452" i="17" a="1"/>
  <c r="D453" i="17" a="1"/>
  <c r="D454" i="17" a="1"/>
  <c r="D455" i="17" a="1"/>
  <c r="D456" i="17" a="1"/>
  <c r="D457" i="17" a="1"/>
  <c r="D458" i="17" a="1"/>
  <c r="D459" i="17" a="1"/>
  <c r="D460" i="17" a="1"/>
  <c r="D461" i="17" a="1"/>
  <c r="D462" i="17" a="1"/>
  <c r="D463" i="17" a="1"/>
  <c r="D464" i="17" a="1"/>
  <c r="D465" i="17" a="1"/>
  <c r="D466" i="17" a="1"/>
  <c r="D467" i="17" a="1"/>
  <c r="D468" i="17" a="1"/>
  <c r="D469" i="17" a="1"/>
  <c r="D470" i="17" a="1"/>
  <c r="D471" i="17" a="1"/>
  <c r="D472" i="17" a="1"/>
  <c r="D473" i="17" a="1"/>
  <c r="D474" i="17" a="1"/>
  <c r="D475" i="17" a="1"/>
  <c r="D476" i="17" a="1"/>
  <c r="D477" i="17" a="1"/>
  <c r="D478" i="17" a="1"/>
  <c r="D479" i="17" a="1"/>
  <c r="D480" i="17" a="1"/>
  <c r="D481" i="17" a="1"/>
  <c r="D482" i="17" a="1"/>
  <c r="D483" i="17" a="1"/>
  <c r="D484" i="17" a="1"/>
  <c r="D485" i="17" a="1"/>
  <c r="D486" i="17" a="1"/>
  <c r="D487" i="17" a="1"/>
  <c r="D488" i="17" a="1"/>
  <c r="D489" i="17" a="1"/>
  <c r="D490" i="17" a="1"/>
  <c r="D491" i="17" a="1"/>
  <c r="D492" i="17" a="1"/>
  <c r="D493" i="17" a="1"/>
  <c r="D494" i="17" a="1"/>
  <c r="D495" i="17" a="1"/>
  <c r="D496" i="17" a="1"/>
  <c r="D497" i="17" a="1"/>
  <c r="D498" i="17" a="1"/>
  <c r="D499" i="17" a="1"/>
  <c r="D500" i="17" a="1"/>
  <c r="D501" i="17" a="1"/>
  <c r="D502" i="17" a="1"/>
  <c r="D503" i="17" a="1"/>
  <c r="D504" i="17" a="1"/>
  <c r="D505" i="17" a="1"/>
  <c r="D506" i="17" a="1"/>
  <c r="D507" i="17" a="1"/>
  <c r="D508" i="17" a="1"/>
  <c r="D509" i="17" a="1"/>
  <c r="D510" i="17" a="1"/>
  <c r="D511" i="17" a="1"/>
  <c r="D512" i="17" a="1"/>
  <c r="D513" i="17" a="1"/>
  <c r="D514" i="17" a="1"/>
  <c r="D515" i="17" a="1"/>
  <c r="D516" i="17" a="1"/>
  <c r="D517" i="17" a="1"/>
  <c r="D518" i="17" a="1"/>
  <c r="D519" i="17" a="1"/>
  <c r="D520" i="17" a="1"/>
  <c r="D521" i="17" a="1"/>
  <c r="D522" i="17" a="1"/>
  <c r="D523" i="17" a="1"/>
  <c r="D524" i="17" a="1"/>
  <c r="D525" i="17" a="1"/>
  <c r="D526" i="17" a="1"/>
  <c r="D527" i="17" a="1"/>
  <c r="D528" i="17" a="1"/>
  <c r="D529" i="17" a="1"/>
  <c r="D530" i="17" a="1"/>
  <c r="D531" i="17" a="1"/>
  <c r="D532" i="17" a="1"/>
  <c r="D533" i="17" a="1"/>
  <c r="D534" i="17" a="1"/>
  <c r="D535" i="17" a="1"/>
  <c r="D536" i="17" a="1"/>
  <c r="D537" i="17" a="1"/>
  <c r="D538" i="17" a="1"/>
  <c r="D539" i="17" a="1"/>
  <c r="D540" i="17" a="1"/>
  <c r="D541" i="17" a="1"/>
  <c r="D542" i="17" a="1"/>
  <c r="D543" i="17" a="1"/>
  <c r="D544" i="17" a="1"/>
  <c r="D545" i="17" a="1"/>
  <c r="D546" i="17" a="1"/>
  <c r="D547" i="17" a="1"/>
  <c r="D548" i="17" a="1"/>
  <c r="D549" i="17" a="1"/>
  <c r="D550" i="17" a="1"/>
  <c r="D551" i="17" a="1"/>
  <c r="D552" i="17" a="1"/>
  <c r="D553" i="17" a="1"/>
  <c r="D554" i="17" a="1"/>
  <c r="D555" i="17" a="1"/>
  <c r="D556" i="17" a="1"/>
  <c r="D557" i="17" a="1"/>
  <c r="D558" i="17" a="1"/>
  <c r="D559" i="17" a="1"/>
  <c r="D560" i="17" a="1"/>
  <c r="D561" i="17" a="1"/>
  <c r="D562" i="17" a="1"/>
  <c r="D563" i="17" a="1"/>
  <c r="D564" i="17" a="1"/>
  <c r="D565" i="17" a="1"/>
  <c r="D566" i="17" a="1"/>
  <c r="D567" i="17" a="1"/>
  <c r="D568" i="17" a="1"/>
  <c r="D569" i="17" a="1"/>
  <c r="D570" i="17" a="1"/>
  <c r="D571" i="17" a="1"/>
  <c r="D572" i="17" a="1"/>
  <c r="D573" i="17" a="1"/>
  <c r="D574" i="17" a="1"/>
  <c r="D575" i="17" a="1"/>
  <c r="D576" i="17" a="1"/>
  <c r="D577" i="17" a="1"/>
  <c r="D578" i="17" a="1"/>
  <c r="D579" i="17" a="1"/>
  <c r="D580" i="17" a="1"/>
  <c r="D581" i="17" a="1"/>
  <c r="D582" i="17" a="1"/>
  <c r="D583" i="17" a="1"/>
  <c r="D584" i="17" a="1"/>
  <c r="D585" i="17" a="1"/>
  <c r="D586" i="17" a="1"/>
  <c r="D587" i="17" a="1"/>
  <c r="D588" i="17" a="1"/>
  <c r="D589" i="17" a="1"/>
  <c r="D590" i="17" a="1"/>
  <c r="D591" i="17" a="1"/>
  <c r="D592" i="17" a="1"/>
  <c r="D593" i="17" a="1"/>
  <c r="D594" i="17" a="1"/>
  <c r="D595" i="17" a="1"/>
  <c r="D596" i="17" a="1"/>
  <c r="D597" i="17" a="1"/>
  <c r="D598" i="17" a="1"/>
  <c r="D599" i="17" a="1"/>
  <c r="D600" i="17" a="1"/>
  <c r="D601" i="17" a="1"/>
  <c r="D602" i="17" a="1"/>
  <c r="D603" i="17" a="1"/>
  <c r="D604" i="17" a="1"/>
  <c r="D605" i="17" a="1"/>
  <c r="D606" i="17" a="1"/>
  <c r="D607" i="17" a="1"/>
  <c r="D608" i="17" a="1"/>
  <c r="D609" i="17" a="1"/>
  <c r="D610" i="17" a="1"/>
  <c r="D611" i="17" a="1"/>
  <c r="D612" i="17" a="1"/>
  <c r="D613" i="17" a="1"/>
  <c r="D614" i="17" a="1"/>
  <c r="D615" i="17" a="1"/>
  <c r="D616" i="17" a="1"/>
  <c r="D617" i="17" a="1"/>
  <c r="D618" i="17" a="1"/>
  <c r="D619" i="17" a="1"/>
  <c r="D620" i="17" a="1"/>
  <c r="D621" i="17" a="1"/>
  <c r="D622" i="17" a="1"/>
  <c r="D623" i="17" a="1"/>
  <c r="D624" i="17" a="1"/>
  <c r="D625" i="17" a="1"/>
  <c r="D626" i="17" a="1"/>
  <c r="D627" i="17" a="1"/>
  <c r="D628" i="17" a="1"/>
  <c r="D629" i="17" a="1"/>
  <c r="D630" i="17" a="1"/>
  <c r="D631" i="17" a="1"/>
  <c r="D632" i="17" a="1"/>
  <c r="D633" i="17" a="1"/>
  <c r="D634" i="17" a="1"/>
  <c r="D635" i="17" a="1"/>
  <c r="D636" i="17" a="1"/>
  <c r="D637" i="17" a="1"/>
  <c r="D638" i="17" a="1"/>
  <c r="D639" i="17" a="1"/>
  <c r="D640" i="17" a="1"/>
  <c r="D641" i="17" a="1"/>
  <c r="D642" i="17" a="1"/>
  <c r="D643" i="17" a="1"/>
  <c r="D644" i="17" a="1"/>
  <c r="D645" i="17" a="1"/>
  <c r="D646" i="17" a="1"/>
  <c r="D647" i="17" a="1"/>
  <c r="D648" i="17" a="1"/>
  <c r="D649" i="17" a="1"/>
  <c r="D649" i="14" s="1" a="1"/>
  <c r="D650" i="17" a="1"/>
  <c r="D650" i="14" s="1" a="1"/>
  <c r="D651" i="17" a="1"/>
  <c r="D651" i="14" s="1" a="1"/>
  <c r="D652" i="17" a="1"/>
  <c r="D652" i="14" s="1" a="1"/>
  <c r="D653" i="17" a="1"/>
  <c r="D653" i="14" s="1" a="1"/>
  <c r="D654" i="17" a="1"/>
  <c r="D654" i="14" s="1" a="1"/>
  <c r="D655" i="17" a="1"/>
  <c r="D656" i="17" a="1"/>
  <c r="D657" i="17" a="1"/>
  <c r="D658" i="17" a="1"/>
  <c r="D659" i="17" a="1"/>
  <c r="D660" i="17" a="1"/>
  <c r="D661" i="17" a="1"/>
  <c r="D662" i="17" a="1"/>
  <c r="D663" i="17" a="1"/>
  <c r="D664" i="17" a="1"/>
  <c r="D665" i="17" a="1"/>
  <c r="D666" i="17" a="1"/>
  <c r="D667" i="17" a="1"/>
  <c r="D668" i="17" a="1"/>
  <c r="D669" i="17" a="1"/>
  <c r="D670" i="17" a="1"/>
  <c r="D671" i="17" a="1"/>
  <c r="D672" i="17" a="1"/>
  <c r="D673" i="17" a="1"/>
  <c r="D674" i="17" a="1"/>
  <c r="D675" i="17" a="1"/>
  <c r="D676" i="17" a="1"/>
  <c r="D677" i="17" a="1"/>
  <c r="D678" i="17" a="1"/>
  <c r="D679" i="17" a="1"/>
  <c r="D680" i="17" a="1"/>
  <c r="D681" i="17" a="1"/>
  <c r="D682" i="17" a="1"/>
  <c r="D683" i="17" a="1"/>
  <c r="D684" i="17" a="1"/>
  <c r="D685" i="17" a="1"/>
  <c r="D686" i="17" a="1"/>
  <c r="D687" i="17" a="1"/>
  <c r="D688" i="17" a="1"/>
  <c r="D689" i="17" a="1"/>
  <c r="D690" i="17" a="1"/>
  <c r="D691" i="17" a="1"/>
  <c r="D692" i="17" a="1"/>
  <c r="D693" i="17" a="1"/>
  <c r="D694" i="17" a="1"/>
  <c r="D695" i="17" a="1"/>
  <c r="D696" i="17" a="1"/>
  <c r="D697" i="17" a="1"/>
  <c r="D698" i="17" a="1"/>
  <c r="D699" i="17" a="1"/>
  <c r="D700" i="17" a="1"/>
  <c r="D701" i="17" a="1"/>
  <c r="D702" i="17" a="1"/>
  <c r="D703" i="17" a="1"/>
  <c r="D704" i="17" a="1"/>
  <c r="D705" i="17" a="1"/>
  <c r="D706" i="17" a="1"/>
  <c r="D707" i="17" a="1"/>
  <c r="D708" i="17" a="1"/>
  <c r="D709" i="17" a="1"/>
  <c r="D710" i="17" a="1"/>
  <c r="D711" i="17" a="1"/>
  <c r="D712" i="17" a="1"/>
  <c r="D713" i="17" a="1"/>
  <c r="D714" i="17" a="1"/>
  <c r="D715" i="17" a="1"/>
  <c r="D716" i="17" a="1"/>
  <c r="D717" i="17" a="1"/>
  <c r="D718" i="17" a="1"/>
  <c r="D719" i="17" a="1"/>
  <c r="D720" i="17" a="1"/>
  <c r="D721" i="17" a="1"/>
  <c r="D722" i="17" a="1"/>
  <c r="D723" i="17" a="1"/>
  <c r="D724" i="17" a="1"/>
  <c r="D725" i="17" a="1"/>
  <c r="D726" i="17" a="1"/>
  <c r="D727" i="17" a="1"/>
  <c r="D728" i="17" a="1"/>
  <c r="D729" i="17" a="1"/>
  <c r="D730" i="17" a="1"/>
  <c r="D731" i="17" a="1"/>
  <c r="D732" i="17" a="1"/>
  <c r="D733" i="17" a="1"/>
  <c r="D734" i="17" a="1"/>
  <c r="D735" i="17" a="1"/>
  <c r="D736" i="17" a="1"/>
  <c r="D737" i="17" a="1"/>
  <c r="D738" i="17" a="1"/>
  <c r="D739" i="17" a="1"/>
  <c r="D740" i="17" a="1"/>
  <c r="D741" i="17" a="1"/>
  <c r="D742" i="17" a="1"/>
  <c r="D743" i="17" a="1"/>
  <c r="D744" i="17" a="1"/>
  <c r="D745" i="17" a="1"/>
  <c r="D746" i="17" a="1"/>
  <c r="D747" i="17" a="1"/>
  <c r="D748" i="17" a="1"/>
  <c r="D749" i="17" a="1"/>
  <c r="D750" i="17" a="1"/>
  <c r="D751" i="17" a="1"/>
  <c r="D752" i="17" a="1"/>
  <c r="D753" i="17" a="1"/>
  <c r="D754" i="17" a="1"/>
  <c r="D755" i="17" a="1"/>
  <c r="D756" i="17" a="1"/>
  <c r="D757" i="17" a="1"/>
  <c r="D758" i="17" a="1"/>
  <c r="D759" i="17" a="1"/>
  <c r="D760" i="17" a="1"/>
  <c r="D761" i="17" a="1"/>
  <c r="D762" i="17" a="1"/>
  <c r="D763" i="17" a="1"/>
  <c r="D764" i="17" a="1"/>
  <c r="D765" i="17" a="1"/>
  <c r="D766" i="17" a="1"/>
  <c r="D767" i="17" a="1"/>
  <c r="D768" i="17" a="1"/>
  <c r="D769" i="17" a="1"/>
  <c r="D770" i="17" a="1"/>
  <c r="D771" i="17" a="1"/>
  <c r="D772" i="17" a="1"/>
  <c r="D773" i="17" a="1"/>
  <c r="D774" i="17" a="1"/>
  <c r="D775" i="17" a="1"/>
  <c r="D776" i="17" a="1"/>
  <c r="D777" i="17" a="1"/>
  <c r="D778" i="17" a="1"/>
  <c r="D779" i="17" a="1"/>
  <c r="D780" i="17" a="1"/>
  <c r="D781" i="17" a="1"/>
  <c r="D782" i="17" a="1"/>
  <c r="D783" i="17" a="1"/>
  <c r="D784" i="17" a="1"/>
  <c r="D785" i="17" a="1"/>
  <c r="D786" i="17" a="1"/>
  <c r="D787" i="17" a="1"/>
  <c r="D788" i="17" a="1"/>
  <c r="D789" i="17" a="1"/>
  <c r="D790" i="17" a="1"/>
  <c r="D791" i="17" a="1"/>
  <c r="D792" i="17" a="1"/>
  <c r="D793" i="17" a="1"/>
  <c r="D794" i="17" a="1"/>
  <c r="D795" i="17" a="1"/>
  <c r="D796" i="17" a="1"/>
  <c r="D797" i="17" a="1"/>
  <c r="D798" i="17" a="1"/>
  <c r="D799" i="17" a="1"/>
  <c r="D800" i="17" a="1"/>
  <c r="D801" i="17" a="1"/>
  <c r="D802" i="17" a="1"/>
  <c r="D803" i="17" a="1"/>
  <c r="D804" i="17" a="1"/>
  <c r="D805" i="17" a="1"/>
  <c r="D806" i="17" a="1"/>
  <c r="D807" i="17" a="1"/>
  <c r="D808" i="17" a="1"/>
  <c r="D809" i="17" a="1"/>
  <c r="D810" i="17" a="1"/>
  <c r="D811" i="17" a="1"/>
  <c r="D812" i="17" a="1"/>
  <c r="D813" i="17" a="1"/>
  <c r="D814" i="17" a="1"/>
  <c r="D815" i="17" a="1"/>
  <c r="D816" i="17" a="1"/>
  <c r="D817" i="17" a="1"/>
  <c r="D818" i="17" a="1"/>
  <c r="D819" i="17" a="1"/>
  <c r="D820" i="17" a="1"/>
  <c r="D821" i="17" a="1"/>
  <c r="D822" i="17" a="1"/>
  <c r="D823" i="17" a="1"/>
  <c r="D824" i="17" a="1"/>
  <c r="D825" i="17" a="1"/>
  <c r="D826" i="17" a="1"/>
  <c r="D827" i="17" a="1"/>
  <c r="D828" i="17" a="1"/>
  <c r="D829" i="17" a="1"/>
  <c r="D830" i="17" a="1"/>
  <c r="D831" i="17" a="1"/>
  <c r="D832" i="17" a="1"/>
  <c r="D833" i="17" a="1"/>
  <c r="D834" i="17" a="1"/>
  <c r="D835" i="17" a="1"/>
  <c r="D836" i="17" a="1"/>
  <c r="D837" i="17" a="1"/>
  <c r="D838" i="17" a="1"/>
  <c r="D839" i="17" a="1"/>
  <c r="D840" i="17" a="1"/>
  <c r="D841" i="17" a="1"/>
  <c r="D842" i="17" a="1"/>
  <c r="D843" i="17" a="1"/>
  <c r="D844" i="17" a="1"/>
  <c r="D845" i="17" a="1"/>
  <c r="D846" i="17" a="1"/>
  <c r="D847" i="17" a="1"/>
  <c r="D848" i="17" a="1"/>
  <c r="D849" i="17" a="1"/>
  <c r="D850" i="17" a="1"/>
  <c r="D851" i="17" a="1"/>
  <c r="D852" i="17" a="1"/>
  <c r="D853" i="17" a="1"/>
  <c r="D854" i="17" a="1"/>
  <c r="D855" i="17" a="1"/>
  <c r="D856" i="17" a="1"/>
  <c r="D857" i="17" a="1"/>
  <c r="D858" i="17" a="1"/>
  <c r="D859" i="17" a="1"/>
  <c r="D860" i="17" a="1"/>
  <c r="D861" i="17" a="1"/>
  <c r="D862" i="17" a="1"/>
  <c r="D863" i="17" a="1"/>
  <c r="D864" i="17" a="1"/>
  <c r="D865" i="17" a="1"/>
  <c r="D866" i="17" a="1"/>
  <c r="D867" i="17" a="1"/>
  <c r="D868" i="17" a="1"/>
  <c r="D869" i="17" a="1"/>
  <c r="D870" i="17" a="1"/>
  <c r="D871" i="17" a="1"/>
  <c r="D872" i="17" a="1"/>
  <c r="D873" i="17" a="1"/>
  <c r="D874" i="17" a="1"/>
  <c r="D875" i="17" a="1"/>
  <c r="D876" i="17" a="1"/>
  <c r="D877" i="17" a="1"/>
  <c r="D878" i="17" a="1"/>
  <c r="D879" i="17" a="1"/>
  <c r="D880" i="17" a="1"/>
  <c r="D881" i="17" a="1"/>
  <c r="D882" i="17" a="1"/>
  <c r="D883" i="17" a="1"/>
  <c r="D884" i="17" a="1"/>
  <c r="D885" i="17" a="1"/>
  <c r="D886" i="17" a="1"/>
  <c r="D887" i="17" a="1"/>
  <c r="D888" i="17" a="1"/>
  <c r="D889" i="17" a="1"/>
  <c r="D890" i="17" a="1"/>
  <c r="D891" i="17" a="1"/>
  <c r="D892" i="17" a="1"/>
  <c r="D893" i="17" a="1"/>
  <c r="D894" i="17" a="1"/>
  <c r="D895" i="17" a="1"/>
  <c r="D896" i="17" a="1"/>
  <c r="D897" i="17" a="1"/>
  <c r="D898" i="17" a="1"/>
  <c r="D899" i="17" a="1"/>
  <c r="D900" i="17" a="1"/>
  <c r="D901" i="17" a="1"/>
  <c r="D902" i="17" a="1"/>
  <c r="D903" i="17" a="1"/>
  <c r="D904" i="17" a="1"/>
  <c r="D905" i="17" a="1"/>
  <c r="D906" i="17" a="1"/>
  <c r="D907" i="17" a="1"/>
  <c r="D908" i="17" a="1"/>
  <c r="D909" i="17" a="1"/>
  <c r="D910" i="17" a="1"/>
  <c r="D911" i="17" a="1"/>
  <c r="D912" i="17" a="1"/>
  <c r="D913" i="17" a="1"/>
  <c r="D914" i="17" a="1"/>
  <c r="D915" i="17" a="1"/>
  <c r="D916" i="17" a="1"/>
  <c r="D917" i="17" a="1"/>
  <c r="D918" i="17" a="1"/>
  <c r="D919" i="17" a="1"/>
  <c r="D920" i="17" a="1"/>
  <c r="D921" i="17" a="1"/>
  <c r="D922" i="17" a="1"/>
  <c r="D923" i="17" a="1"/>
  <c r="D924" i="17" a="1"/>
  <c r="D925" i="17" a="1"/>
  <c r="D926" i="17" a="1"/>
  <c r="D927" i="17" a="1"/>
  <c r="D928" i="17" a="1"/>
  <c r="D929" i="17" a="1"/>
  <c r="D930" i="17" a="1"/>
  <c r="D931" i="17" a="1"/>
  <c r="D932" i="17" a="1"/>
  <c r="D933" i="17" a="1"/>
  <c r="D934" i="17" a="1"/>
  <c r="D935" i="17" a="1"/>
  <c r="D936" i="17" a="1"/>
  <c r="D937" i="17" a="1"/>
  <c r="D938" i="17" a="1"/>
  <c r="D939" i="17" a="1"/>
  <c r="D940" i="17" a="1"/>
  <c r="D941" i="17" a="1"/>
  <c r="D942" i="17" a="1"/>
  <c r="D943" i="17" a="1"/>
  <c r="D944" i="17" a="1"/>
  <c r="D945" i="17" a="1"/>
  <c r="D946" i="17" a="1"/>
  <c r="D947" i="17" a="1"/>
  <c r="D948" i="17" a="1"/>
  <c r="D949" i="17" a="1"/>
  <c r="D950" i="17" a="1"/>
  <c r="D951" i="17" a="1"/>
  <c r="D952" i="17" a="1"/>
  <c r="D953" i="17" a="1"/>
  <c r="D954" i="17" a="1"/>
  <c r="D955" i="17" a="1"/>
  <c r="D956" i="17" a="1"/>
  <c r="D957" i="17" a="1"/>
  <c r="D958" i="17" a="1"/>
  <c r="D959" i="17" a="1"/>
  <c r="D960" i="17" a="1"/>
  <c r="D961" i="17" a="1"/>
  <c r="D962" i="17" a="1"/>
  <c r="D963" i="17" a="1"/>
  <c r="D964" i="17" a="1"/>
  <c r="D965" i="17" a="1"/>
  <c r="D966" i="17" a="1"/>
  <c r="D967" i="17" a="1"/>
  <c r="D968" i="17" a="1"/>
  <c r="D969" i="17" a="1"/>
  <c r="D970" i="17" a="1"/>
  <c r="D971" i="17" a="1"/>
  <c r="D972" i="17" a="1"/>
  <c r="D973" i="17" a="1"/>
  <c r="D974" i="17" a="1"/>
  <c r="D975" i="17" a="1"/>
  <c r="D976" i="17" a="1"/>
  <c r="D977" i="17" a="1"/>
  <c r="D978" i="17" a="1"/>
  <c r="D979" i="17" a="1"/>
  <c r="D980" i="17" a="1"/>
  <c r="D981" i="17" a="1"/>
  <c r="D982" i="17" a="1"/>
  <c r="D983" i="17" a="1"/>
  <c r="D984" i="17" a="1"/>
  <c r="D985" i="17" a="1"/>
  <c r="D986" i="17" a="1"/>
  <c r="D987" i="17" a="1"/>
  <c r="D988" i="17" a="1"/>
  <c r="D989" i="17" a="1"/>
  <c r="D990" i="17" a="1"/>
  <c r="D991" i="17" a="1"/>
  <c r="D992" i="17" a="1"/>
  <c r="D993" i="17" a="1"/>
  <c r="D994" i="17" a="1"/>
  <c r="D995" i="17" a="1"/>
  <c r="D996" i="17" a="1"/>
  <c r="D997" i="17" a="1"/>
  <c r="D998" i="17" a="1"/>
  <c r="D999" i="17" a="1"/>
  <c r="D1000" i="17" a="1"/>
  <c r="D1001" i="17" a="1"/>
  <c r="D1002" i="17" a="1"/>
  <c r="D1003" i="17" a="1"/>
  <c r="D1004" i="17" a="1"/>
  <c r="D1005" i="17" a="1"/>
  <c r="D1006" i="17" a="1"/>
  <c r="D1007" i="17" a="1"/>
  <c r="D1007" i="14" s="1" a="1"/>
  <c r="D1008" i="17" a="1"/>
  <c r="D1008" i="14" s="1" a="1"/>
  <c r="D1009" i="17" a="1"/>
  <c r="D1009" i="14" s="1" a="1"/>
  <c r="D1010" i="17" a="1"/>
  <c r="D1011" i="17" a="1"/>
  <c r="D1012" i="17" a="1"/>
  <c r="D1012" i="14" s="1" a="1"/>
  <c r="D1013" i="17" a="1"/>
  <c r="D1014" i="17" a="1"/>
  <c r="D1015" i="17" a="1"/>
  <c r="D1016" i="17" a="1"/>
  <c r="D1016" i="14" s="1" a="1"/>
  <c r="D1017" i="17" a="1"/>
  <c r="D1018" i="17" a="1"/>
  <c r="D1018" i="14" s="1" a="1"/>
  <c r="D1019" i="17" a="1"/>
  <c r="D1019" i="14" s="1" a="1"/>
  <c r="D1020" i="17" a="1"/>
  <c r="D1020" i="14" s="1" a="1"/>
  <c r="D1021" i="17" a="1"/>
  <c r="D1021" i="14" s="1" a="1"/>
  <c r="D1022" i="17" a="1"/>
  <c r="D1022" i="14" s="1" a="1"/>
  <c r="D1023" i="17" a="1"/>
  <c r="D1023" i="14" s="1" a="1"/>
  <c r="D1024" i="17" a="1"/>
  <c r="D1024" i="14" s="1" a="1"/>
  <c r="D1025" i="17" a="1"/>
  <c r="D1026" i="17" a="1"/>
  <c r="D1027" i="17" a="1"/>
  <c r="D1028" i="17" a="1"/>
  <c r="D1029" i="17" a="1"/>
  <c r="D1030" i="17" a="1"/>
  <c r="D1031" i="17" a="1"/>
  <c r="D1032" i="17" a="1"/>
  <c r="D1033" i="17" a="1"/>
  <c r="D1034" i="17" a="1"/>
  <c r="D1035" i="17" a="1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1002" i="17"/>
  <c r="G1003" i="17"/>
  <c r="G1004" i="17"/>
  <c r="G1005" i="17"/>
  <c r="G1006" i="17"/>
  <c r="G1007" i="17"/>
  <c r="G1008" i="17"/>
  <c r="G1009" i="17"/>
  <c r="G1010" i="17"/>
  <c r="G1011" i="17"/>
  <c r="G1012" i="17"/>
  <c r="G1013" i="17"/>
  <c r="G1014" i="17"/>
  <c r="G1015" i="17"/>
  <c r="G1016" i="17"/>
  <c r="G1017" i="17"/>
  <c r="G1018" i="17"/>
  <c r="G1019" i="17"/>
  <c r="G1020" i="17"/>
  <c r="G1021" i="17"/>
  <c r="G1022" i="17"/>
  <c r="G1024" i="17"/>
  <c r="G1025" i="17"/>
  <c r="G1026" i="17"/>
  <c r="G1027" i="17"/>
  <c r="G1028" i="17"/>
  <c r="G1029" i="17"/>
  <c r="G1030" i="17"/>
  <c r="G1031" i="17"/>
  <c r="G1032" i="17"/>
  <c r="G1033" i="17"/>
  <c r="G1034" i="17"/>
  <c r="G1035" i="17"/>
  <c r="M2" i="17" a="1"/>
  <c r="N2" i="17" s="1"/>
  <c r="M3" i="17" a="1"/>
  <c r="N3" i="17" s="1"/>
  <c r="M4" i="17" a="1"/>
  <c r="N4" i="17" s="1"/>
  <c r="M5" i="17" a="1"/>
  <c r="N5" i="17" s="1"/>
  <c r="M6" i="17" a="1"/>
  <c r="N6" i="17" s="1"/>
  <c r="M7" i="17" a="1"/>
  <c r="N7" i="17" s="1"/>
  <c r="M8" i="17" a="1"/>
  <c r="N8" i="17" s="1"/>
  <c r="M9" i="17" a="1"/>
  <c r="N9" i="17" s="1"/>
  <c r="M10" i="17" a="1"/>
  <c r="N10" i="17" s="1"/>
  <c r="M11" i="17" a="1"/>
  <c r="N11" i="17" s="1"/>
  <c r="M12" i="17" a="1"/>
  <c r="N12" i="17" s="1"/>
  <c r="M13" i="17" a="1"/>
  <c r="N13" i="17" s="1"/>
  <c r="M14" i="17" a="1"/>
  <c r="N14" i="17" s="1"/>
  <c r="M15" i="17" a="1"/>
  <c r="N15" i="17" s="1"/>
  <c r="M16" i="17" a="1"/>
  <c r="N16" i="17" s="1"/>
  <c r="M17" i="17" a="1"/>
  <c r="N17" i="17" s="1"/>
  <c r="M18" i="17" a="1"/>
  <c r="N18" i="17" s="1"/>
  <c r="M19" i="17" a="1"/>
  <c r="N19" i="17" s="1"/>
  <c r="M20" i="17" a="1"/>
  <c r="N20" i="17" s="1"/>
  <c r="M21" i="17" a="1"/>
  <c r="N21" i="17" s="1"/>
  <c r="M22" i="17" a="1"/>
  <c r="N22" i="17" s="1"/>
  <c r="M23" i="17" a="1"/>
  <c r="N23" i="17" s="1"/>
  <c r="M24" i="17" a="1"/>
  <c r="N24" i="17" s="1"/>
  <c r="M25" i="17" a="1"/>
  <c r="N25" i="17" s="1"/>
  <c r="M26" i="17" a="1"/>
  <c r="N26" i="17" s="1"/>
  <c r="M27" i="17" a="1"/>
  <c r="N27" i="17" s="1"/>
  <c r="M28" i="17" a="1"/>
  <c r="N28" i="17" s="1"/>
  <c r="M29" i="17" a="1"/>
  <c r="N29" i="17" s="1"/>
  <c r="M30" i="17" a="1"/>
  <c r="N30" i="17" s="1"/>
  <c r="M31" i="17" a="1"/>
  <c r="N31" i="17" s="1"/>
  <c r="M32" i="17" a="1"/>
  <c r="N32" i="17" s="1"/>
  <c r="M33" i="17" a="1"/>
  <c r="N33" i="17" s="1"/>
  <c r="M34" i="17" a="1"/>
  <c r="N34" i="17" s="1"/>
  <c r="M35" i="17" a="1"/>
  <c r="N35" i="17" s="1"/>
  <c r="M36" i="17" a="1"/>
  <c r="N36" i="17" s="1"/>
  <c r="M37" i="17" a="1"/>
  <c r="N37" i="17" s="1"/>
  <c r="M38" i="17" a="1"/>
  <c r="N38" i="17" s="1"/>
  <c r="M39" i="17" a="1"/>
  <c r="N39" i="17" s="1"/>
  <c r="M40" i="17" a="1"/>
  <c r="N40" i="17" s="1"/>
  <c r="M41" i="17" a="1"/>
  <c r="N41" i="17" s="1"/>
  <c r="M42" i="17" a="1"/>
  <c r="N42" i="17" s="1"/>
  <c r="M43" i="17" a="1"/>
  <c r="N43" i="17" s="1"/>
  <c r="M44" i="17" a="1"/>
  <c r="N44" i="17" s="1"/>
  <c r="M45" i="17" a="1"/>
  <c r="N45" i="17" s="1"/>
  <c r="M46" i="17" a="1"/>
  <c r="N46" i="17" s="1"/>
  <c r="M47" i="17" a="1"/>
  <c r="N47" i="17" s="1"/>
  <c r="M48" i="17" a="1"/>
  <c r="N48" i="17" s="1"/>
  <c r="M49" i="17" a="1"/>
  <c r="N49" i="17" s="1"/>
  <c r="M50" i="17" a="1"/>
  <c r="N50" i="17" s="1"/>
  <c r="M51" i="17" a="1"/>
  <c r="N51" i="17" s="1"/>
  <c r="M52" i="17" a="1"/>
  <c r="N52" i="17" s="1"/>
  <c r="M53" i="17" a="1"/>
  <c r="N53" i="17" s="1"/>
  <c r="M54" i="17" a="1"/>
  <c r="N54" i="17" s="1"/>
  <c r="M55" i="17" a="1"/>
  <c r="N55" i="17" s="1"/>
  <c r="M56" i="17" a="1"/>
  <c r="N56" i="17" s="1"/>
  <c r="M57" i="17" a="1"/>
  <c r="N57" i="17" s="1"/>
  <c r="M58" i="17" a="1"/>
  <c r="N58" i="17" s="1"/>
  <c r="M59" i="17" a="1"/>
  <c r="N59" i="17" s="1"/>
  <c r="M60" i="17" a="1"/>
  <c r="N60" i="17" s="1"/>
  <c r="M61" i="17" a="1"/>
  <c r="N61" i="17" s="1"/>
  <c r="M62" i="17" a="1"/>
  <c r="N62" i="17" s="1"/>
  <c r="M63" i="17" a="1"/>
  <c r="N63" i="17" s="1"/>
  <c r="M64" i="17" a="1"/>
  <c r="N64" i="17" s="1"/>
  <c r="M65" i="17" a="1"/>
  <c r="N65" i="17" s="1"/>
  <c r="M66" i="17" a="1"/>
  <c r="N66" i="17" s="1"/>
  <c r="M67" i="17" a="1"/>
  <c r="N67" i="17" s="1"/>
  <c r="M68" i="17" a="1"/>
  <c r="N68" i="17" s="1"/>
  <c r="M69" i="17" a="1"/>
  <c r="N69" i="17" s="1"/>
  <c r="M70" i="17" a="1"/>
  <c r="N70" i="17" s="1"/>
  <c r="M71" i="17" a="1"/>
  <c r="N71" i="17" s="1"/>
  <c r="M72" i="17" a="1"/>
  <c r="N72" i="17" s="1"/>
  <c r="M73" i="17" a="1"/>
  <c r="N73" i="17" s="1"/>
  <c r="M74" i="17" a="1"/>
  <c r="N74" i="17" s="1"/>
  <c r="M75" i="17" a="1"/>
  <c r="N75" i="17" s="1"/>
  <c r="M76" i="17" a="1"/>
  <c r="N76" i="17" s="1"/>
  <c r="M77" i="17" a="1"/>
  <c r="N77" i="17" s="1"/>
  <c r="M78" i="17" a="1"/>
  <c r="N78" i="17" s="1"/>
  <c r="M79" i="17" a="1"/>
  <c r="N79" i="17" s="1"/>
  <c r="M80" i="17" a="1"/>
  <c r="N80" i="17" s="1"/>
  <c r="M81" i="17" a="1"/>
  <c r="N81" i="17" s="1"/>
  <c r="M82" i="17" a="1"/>
  <c r="N82" i="17" s="1"/>
  <c r="M83" i="17" a="1"/>
  <c r="N83" i="17" s="1"/>
  <c r="M84" i="17" a="1"/>
  <c r="N84" i="17" s="1"/>
  <c r="M85" i="17" a="1"/>
  <c r="N85" i="17" s="1"/>
  <c r="M86" i="17" a="1"/>
  <c r="N86" i="17" s="1"/>
  <c r="M87" i="17" a="1"/>
  <c r="N87" i="17" s="1"/>
  <c r="M88" i="17" a="1"/>
  <c r="N88" i="17" s="1"/>
  <c r="M89" i="17" a="1"/>
  <c r="N89" i="17" s="1"/>
  <c r="M90" i="17" a="1"/>
  <c r="N90" i="17" s="1"/>
  <c r="M91" i="17" a="1"/>
  <c r="N91" i="17" s="1"/>
  <c r="M92" i="17" a="1"/>
  <c r="N92" i="17" s="1"/>
  <c r="M93" i="17" a="1"/>
  <c r="N93" i="17" s="1"/>
  <c r="M94" i="17" a="1"/>
  <c r="N94" i="17" s="1"/>
  <c r="M95" i="17" a="1"/>
  <c r="N95" i="17" s="1"/>
  <c r="M96" i="17" a="1"/>
  <c r="N96" i="17" s="1"/>
  <c r="M97" i="17" a="1"/>
  <c r="N97" i="17" s="1"/>
  <c r="M98" i="17" a="1"/>
  <c r="N98" i="17" s="1"/>
  <c r="M99" i="17" a="1"/>
  <c r="N99" i="17" s="1"/>
  <c r="M100" i="17" a="1"/>
  <c r="N100" i="17" s="1"/>
  <c r="M101" i="17" a="1"/>
  <c r="N101" i="17" s="1"/>
  <c r="M102" i="17" a="1"/>
  <c r="N102" i="17" s="1"/>
  <c r="M103" i="17" a="1"/>
  <c r="N103" i="17" s="1"/>
  <c r="M104" i="17" a="1"/>
  <c r="N104" i="17" s="1"/>
  <c r="M105" i="17" a="1"/>
  <c r="N105" i="17" s="1"/>
  <c r="M106" i="17" a="1"/>
  <c r="N106" i="17" s="1"/>
  <c r="M107" i="17" a="1"/>
  <c r="N107" i="17" s="1"/>
  <c r="M108" i="17" a="1"/>
  <c r="N108" i="17" s="1"/>
  <c r="M109" i="17" a="1"/>
  <c r="N109" i="17" s="1"/>
  <c r="M110" i="17" a="1"/>
  <c r="N110" i="17" s="1"/>
  <c r="M111" i="17" a="1"/>
  <c r="N111" i="17" s="1"/>
  <c r="M112" i="17" a="1"/>
  <c r="N112" i="17" s="1"/>
  <c r="M113" i="17" a="1"/>
  <c r="N113" i="17" s="1"/>
  <c r="M114" i="17" a="1"/>
  <c r="N114" i="17" s="1"/>
  <c r="M115" i="17" a="1"/>
  <c r="N115" i="17" s="1"/>
  <c r="M116" i="17" a="1"/>
  <c r="N116" i="17" s="1"/>
  <c r="M117" i="17" a="1"/>
  <c r="N117" i="17" s="1"/>
  <c r="M118" i="17" a="1"/>
  <c r="N118" i="17" s="1"/>
  <c r="M119" i="17" a="1"/>
  <c r="N119" i="17" s="1"/>
  <c r="M120" i="17" a="1"/>
  <c r="N120" i="17" s="1"/>
  <c r="M121" i="17" a="1"/>
  <c r="N121" i="17" s="1"/>
  <c r="M122" i="17" a="1"/>
  <c r="N122" i="17" s="1"/>
  <c r="M123" i="17" a="1"/>
  <c r="N123" i="17" s="1"/>
  <c r="M124" i="17" a="1"/>
  <c r="N124" i="17" s="1"/>
  <c r="M125" i="17" a="1"/>
  <c r="N125" i="17" s="1"/>
  <c r="M126" i="17" a="1"/>
  <c r="N126" i="17" s="1"/>
  <c r="M127" i="17" a="1"/>
  <c r="N127" i="17" s="1"/>
  <c r="M128" i="17" a="1"/>
  <c r="N128" i="17" s="1"/>
  <c r="M129" i="17" a="1"/>
  <c r="N129" i="17" s="1"/>
  <c r="M130" i="17" a="1"/>
  <c r="N130" i="17" s="1"/>
  <c r="M131" i="17" a="1"/>
  <c r="N131" i="17" s="1"/>
  <c r="M132" i="17" a="1"/>
  <c r="N132" i="17" s="1"/>
  <c r="M133" i="17" a="1"/>
  <c r="N133" i="17" s="1"/>
  <c r="M134" i="17" a="1"/>
  <c r="N134" i="17" s="1"/>
  <c r="M135" i="17" a="1"/>
  <c r="N135" i="17" s="1"/>
  <c r="M136" i="17" a="1"/>
  <c r="N136" i="17" s="1"/>
  <c r="M137" i="17" a="1"/>
  <c r="N137" i="17" s="1"/>
  <c r="M138" i="17" a="1"/>
  <c r="N138" i="17" s="1"/>
  <c r="M139" i="17" a="1"/>
  <c r="N139" i="17" s="1"/>
  <c r="M140" i="17" a="1"/>
  <c r="N140" i="17" s="1"/>
  <c r="M141" i="17" a="1"/>
  <c r="N141" i="17" s="1"/>
  <c r="M142" i="17" a="1"/>
  <c r="N142" i="17" s="1"/>
  <c r="M143" i="17" a="1"/>
  <c r="N143" i="17" s="1"/>
  <c r="M144" i="17" a="1"/>
  <c r="N144" i="17" s="1"/>
  <c r="M145" i="17" a="1"/>
  <c r="N145" i="17" s="1"/>
  <c r="M146" i="17" a="1"/>
  <c r="N146" i="17" s="1"/>
  <c r="M147" i="17" a="1"/>
  <c r="N147" i="17" s="1"/>
  <c r="M148" i="17" a="1"/>
  <c r="N148" i="17" s="1"/>
  <c r="M149" i="17" a="1"/>
  <c r="N149" i="17" s="1"/>
  <c r="M150" i="17" a="1"/>
  <c r="N150" i="17" s="1"/>
  <c r="M151" i="17" a="1"/>
  <c r="N151" i="17" s="1"/>
  <c r="M152" i="17" a="1"/>
  <c r="N152" i="17" s="1"/>
  <c r="M153" i="17" a="1"/>
  <c r="N153" i="17" s="1"/>
  <c r="M154" i="17" a="1"/>
  <c r="N154" i="17" s="1"/>
  <c r="M155" i="17" a="1"/>
  <c r="N155" i="17" s="1"/>
  <c r="M157" i="17" a="1"/>
  <c r="N157" i="17" s="1"/>
  <c r="M158" i="17" a="1"/>
  <c r="N158" i="17" s="1"/>
  <c r="M159" i="17" a="1"/>
  <c r="N159" i="17" s="1"/>
  <c r="M160" i="17" a="1"/>
  <c r="N160" i="17" s="1"/>
  <c r="M161" i="17" a="1"/>
  <c r="N161" i="17" s="1"/>
  <c r="M162" i="17" a="1"/>
  <c r="N162" i="17" s="1"/>
  <c r="M163" i="17" a="1"/>
  <c r="N163" i="17" s="1"/>
  <c r="M164" i="17" a="1"/>
  <c r="N164" i="17" s="1"/>
  <c r="M165" i="17" a="1"/>
  <c r="N165" i="17" s="1"/>
  <c r="M166" i="17" a="1"/>
  <c r="N166" i="17" s="1"/>
  <c r="M167" i="17" a="1"/>
  <c r="N167" i="17" s="1"/>
  <c r="M168" i="17" a="1"/>
  <c r="N168" i="17" s="1"/>
  <c r="M169" i="17" a="1"/>
  <c r="N169" i="17" s="1"/>
  <c r="M170" i="17" a="1"/>
  <c r="N170" i="17" s="1"/>
  <c r="M171" i="17" a="1"/>
  <c r="N171" i="17" s="1"/>
  <c r="M172" i="17" a="1"/>
  <c r="N172" i="17" s="1"/>
  <c r="M173" i="17" a="1"/>
  <c r="N173" i="17" s="1"/>
  <c r="M174" i="17" a="1"/>
  <c r="N174" i="17" s="1"/>
  <c r="M175" i="17" a="1"/>
  <c r="N175" i="17" s="1"/>
  <c r="M176" i="17" a="1"/>
  <c r="N176" i="17" s="1"/>
  <c r="M177" i="17" a="1"/>
  <c r="N177" i="17" s="1"/>
  <c r="M178" i="17" a="1"/>
  <c r="N178" i="17" s="1"/>
  <c r="M179" i="17" a="1"/>
  <c r="N179" i="17" s="1"/>
  <c r="M180" i="17" a="1"/>
  <c r="N180" i="17" s="1"/>
  <c r="M181" i="17" a="1"/>
  <c r="N181" i="17" s="1"/>
  <c r="M182" i="17" a="1"/>
  <c r="N182" i="17" s="1"/>
  <c r="M183" i="17" a="1"/>
  <c r="N183" i="17" s="1"/>
  <c r="M184" i="17" a="1"/>
  <c r="N184" i="17" s="1"/>
  <c r="M185" i="17" a="1"/>
  <c r="N185" i="17" s="1"/>
  <c r="M186" i="17" a="1"/>
  <c r="N186" i="17" s="1"/>
  <c r="M187" i="17" a="1"/>
  <c r="N187" i="17" s="1"/>
  <c r="M188" i="17" a="1"/>
  <c r="N188" i="17" s="1"/>
  <c r="M189" i="17" a="1"/>
  <c r="N189" i="17" s="1"/>
  <c r="M190" i="17" a="1"/>
  <c r="N190" i="17" s="1"/>
  <c r="M191" i="17" a="1"/>
  <c r="N191" i="17" s="1"/>
  <c r="M192" i="17" a="1"/>
  <c r="N192" i="17" s="1"/>
  <c r="M193" i="17" a="1"/>
  <c r="N193" i="17" s="1"/>
  <c r="M194" i="17" a="1"/>
  <c r="N194" i="17" s="1"/>
  <c r="M195" i="17" a="1"/>
  <c r="N195" i="17" s="1"/>
  <c r="M196" i="17" a="1"/>
  <c r="N196" i="17" s="1"/>
  <c r="M197" i="17" a="1"/>
  <c r="N197" i="17" s="1"/>
  <c r="M198" i="17" a="1"/>
  <c r="N198" i="17" s="1"/>
  <c r="M199" i="17" a="1"/>
  <c r="N199" i="17" s="1"/>
  <c r="M200" i="17" a="1"/>
  <c r="N200" i="17" s="1"/>
  <c r="M201" i="17" a="1"/>
  <c r="N201" i="17" s="1"/>
  <c r="M202" i="17" a="1"/>
  <c r="N202" i="17" s="1"/>
  <c r="M203" i="17" a="1"/>
  <c r="N203" i="17" s="1"/>
  <c r="M204" i="17" a="1"/>
  <c r="N204" i="17" s="1"/>
  <c r="M205" i="17" a="1"/>
  <c r="N205" i="17" s="1"/>
  <c r="M206" i="17" a="1"/>
  <c r="N206" i="17" s="1"/>
  <c r="M207" i="17" a="1"/>
  <c r="N207" i="17" s="1"/>
  <c r="M208" i="17" a="1"/>
  <c r="N208" i="17" s="1"/>
  <c r="M209" i="17" a="1"/>
  <c r="N209" i="17" s="1"/>
  <c r="M210" i="17" a="1"/>
  <c r="N210" i="17" s="1"/>
  <c r="M211" i="17" a="1"/>
  <c r="N211" i="17" s="1"/>
  <c r="M212" i="17" a="1"/>
  <c r="N212" i="17" s="1"/>
  <c r="M213" i="17" a="1"/>
  <c r="N213" i="17" s="1"/>
  <c r="M214" i="17" a="1"/>
  <c r="N214" i="17" s="1"/>
  <c r="M215" i="17" a="1"/>
  <c r="N215" i="17" s="1"/>
  <c r="M216" i="17" a="1"/>
  <c r="N216" i="17" s="1"/>
  <c r="M217" i="17" a="1"/>
  <c r="N217" i="17" s="1"/>
  <c r="M218" i="17" a="1"/>
  <c r="N218" i="17" s="1"/>
  <c r="M219" i="17" a="1"/>
  <c r="N219" i="17" s="1"/>
  <c r="M220" i="17" a="1"/>
  <c r="N220" i="17" s="1"/>
  <c r="M221" i="17" a="1"/>
  <c r="N221" i="17" s="1"/>
  <c r="M222" i="17" a="1"/>
  <c r="N222" i="17" s="1"/>
  <c r="M223" i="17" a="1"/>
  <c r="N223" i="17" s="1"/>
  <c r="M224" i="17" a="1"/>
  <c r="N224" i="17" s="1"/>
  <c r="M225" i="17" a="1"/>
  <c r="N225" i="17" s="1"/>
  <c r="M226" i="17" a="1"/>
  <c r="N226" i="17" s="1"/>
  <c r="M227" i="17" a="1"/>
  <c r="N227" i="17" s="1"/>
  <c r="M228" i="17" a="1"/>
  <c r="N228" i="17" s="1"/>
  <c r="M229" i="17" a="1"/>
  <c r="N229" i="17" s="1"/>
  <c r="M230" i="17" a="1"/>
  <c r="N230" i="17" s="1"/>
  <c r="M231" i="17" a="1"/>
  <c r="N231" i="17" s="1"/>
  <c r="M232" i="17" a="1"/>
  <c r="N232" i="17" s="1"/>
  <c r="M233" i="17" a="1"/>
  <c r="N233" i="17" s="1"/>
  <c r="M234" i="17" a="1"/>
  <c r="N234" i="17" s="1"/>
  <c r="M235" i="17" a="1"/>
  <c r="N235" i="17" s="1"/>
  <c r="M236" i="17" a="1"/>
  <c r="N236" i="17" s="1"/>
  <c r="M237" i="17" a="1"/>
  <c r="N237" i="17" s="1"/>
  <c r="M238" i="17" a="1"/>
  <c r="N238" i="17" s="1"/>
  <c r="M239" i="17" a="1"/>
  <c r="N239" i="17" s="1"/>
  <c r="M240" i="17" a="1"/>
  <c r="N240" i="17" s="1"/>
  <c r="M241" i="17" a="1"/>
  <c r="N241" i="17" s="1"/>
  <c r="M242" i="17" a="1"/>
  <c r="N242" i="17" s="1"/>
  <c r="M243" i="17" a="1"/>
  <c r="N243" i="17" s="1"/>
  <c r="M244" i="17" a="1"/>
  <c r="N244" i="17" s="1"/>
  <c r="M245" i="17" a="1"/>
  <c r="N245" i="17" s="1"/>
  <c r="M246" i="17" a="1"/>
  <c r="N246" i="17" s="1"/>
  <c r="M247" i="17" a="1"/>
  <c r="N247" i="17" s="1"/>
  <c r="M248" i="17" a="1"/>
  <c r="N248" i="17" s="1"/>
  <c r="M249" i="17" a="1"/>
  <c r="N249" i="17" s="1"/>
  <c r="M250" i="17" a="1"/>
  <c r="N250" i="17" s="1"/>
  <c r="M251" i="17" a="1"/>
  <c r="N251" i="17" s="1"/>
  <c r="M252" i="17" a="1"/>
  <c r="N252" i="17" s="1"/>
  <c r="M253" i="17" a="1"/>
  <c r="N253" i="17" s="1"/>
  <c r="M254" i="17" a="1"/>
  <c r="N254" i="17" s="1"/>
  <c r="M255" i="17" a="1"/>
  <c r="N255" i="17" s="1"/>
  <c r="M256" i="17" a="1"/>
  <c r="N256" i="17" s="1"/>
  <c r="M257" i="17" a="1"/>
  <c r="N257" i="17" s="1"/>
  <c r="M258" i="17" a="1"/>
  <c r="N258" i="17" s="1"/>
  <c r="M259" i="17" a="1"/>
  <c r="N259" i="17" s="1"/>
  <c r="M260" i="17" a="1"/>
  <c r="N260" i="17" s="1"/>
  <c r="M261" i="17" a="1"/>
  <c r="N261" i="17" s="1"/>
  <c r="M262" i="17" a="1"/>
  <c r="N262" i="17" s="1"/>
  <c r="M263" i="17" a="1"/>
  <c r="N263" i="17" s="1"/>
  <c r="M264" i="17" a="1"/>
  <c r="N264" i="17" s="1"/>
  <c r="M265" i="17" a="1"/>
  <c r="N265" i="17" s="1"/>
  <c r="M266" i="17" a="1"/>
  <c r="N266" i="17" s="1"/>
  <c r="M267" i="17" a="1"/>
  <c r="N267" i="17" s="1"/>
  <c r="M268" i="17" a="1"/>
  <c r="N268" i="17" s="1"/>
  <c r="M269" i="17" a="1"/>
  <c r="N269" i="17" s="1"/>
  <c r="M270" i="17" a="1"/>
  <c r="N270" i="17" s="1"/>
  <c r="M271" i="17" a="1"/>
  <c r="N271" i="17" s="1"/>
  <c r="M272" i="17" a="1"/>
  <c r="N272" i="17" s="1"/>
  <c r="M273" i="17" a="1"/>
  <c r="N273" i="17" s="1"/>
  <c r="M274" i="17" a="1"/>
  <c r="N274" i="17" s="1"/>
  <c r="M275" i="17" a="1"/>
  <c r="N275" i="17" s="1"/>
  <c r="M276" i="17" a="1"/>
  <c r="N276" i="17" s="1"/>
  <c r="M277" i="17" a="1"/>
  <c r="N277" i="17" s="1"/>
  <c r="M278" i="17" a="1"/>
  <c r="N278" i="17" s="1"/>
  <c r="M279" i="17" a="1"/>
  <c r="N279" i="17" s="1"/>
  <c r="M280" i="17" a="1"/>
  <c r="N280" i="17" s="1"/>
  <c r="M281" i="17" a="1"/>
  <c r="N281" i="17" s="1"/>
  <c r="M282" i="17" a="1"/>
  <c r="N282" i="17" s="1"/>
  <c r="M283" i="17" a="1"/>
  <c r="N283" i="17" s="1"/>
  <c r="M284" i="17" a="1"/>
  <c r="N284" i="17" s="1"/>
  <c r="M285" i="17" a="1"/>
  <c r="N285" i="17" s="1"/>
  <c r="M286" i="17" a="1"/>
  <c r="N286" i="17" s="1"/>
  <c r="M287" i="17" a="1"/>
  <c r="N287" i="17" s="1"/>
  <c r="M288" i="17" a="1"/>
  <c r="N288" i="17" s="1"/>
  <c r="M289" i="17" a="1"/>
  <c r="N289" i="17" s="1"/>
  <c r="M290" i="17" a="1"/>
  <c r="N290" i="17" s="1"/>
  <c r="M291" i="17" a="1"/>
  <c r="N291" i="17" s="1"/>
  <c r="M292" i="17" a="1"/>
  <c r="N292" i="17" s="1"/>
  <c r="M293" i="17" a="1"/>
  <c r="N293" i="17" s="1"/>
  <c r="M294" i="17" a="1"/>
  <c r="N294" i="17" s="1"/>
  <c r="M295" i="17" a="1"/>
  <c r="N295" i="17" s="1"/>
  <c r="M296" i="17" a="1"/>
  <c r="N296" i="17" s="1"/>
  <c r="M297" i="17" a="1"/>
  <c r="N297" i="17" s="1"/>
  <c r="M298" i="17" a="1"/>
  <c r="N298" i="17" s="1"/>
  <c r="M299" i="17" a="1"/>
  <c r="N299" i="17" s="1"/>
  <c r="M300" i="17" a="1"/>
  <c r="N300" i="17" s="1"/>
  <c r="M301" i="17" a="1"/>
  <c r="N301" i="17" s="1"/>
  <c r="M302" i="17" a="1"/>
  <c r="N302" i="17" s="1"/>
  <c r="M303" i="17" a="1"/>
  <c r="N303" i="17" s="1"/>
  <c r="M304" i="17" a="1"/>
  <c r="N304" i="17" s="1"/>
  <c r="M305" i="17" a="1"/>
  <c r="N305" i="17" s="1"/>
  <c r="M306" i="17" a="1"/>
  <c r="N306" i="17" s="1"/>
  <c r="M307" i="17" a="1"/>
  <c r="N307" i="17" s="1"/>
  <c r="M308" i="17" a="1"/>
  <c r="N308" i="17" s="1"/>
  <c r="M309" i="17" a="1"/>
  <c r="N309" i="17" s="1"/>
  <c r="M310" i="17" a="1"/>
  <c r="N310" i="17" s="1"/>
  <c r="M311" i="17" a="1"/>
  <c r="N311" i="17" s="1"/>
  <c r="M312" i="17" a="1"/>
  <c r="N312" i="17" s="1"/>
  <c r="M313" i="17" a="1"/>
  <c r="N313" i="17" s="1"/>
  <c r="M314" i="17" a="1"/>
  <c r="N314" i="17" s="1"/>
  <c r="M315" i="17" a="1"/>
  <c r="N315" i="17" s="1"/>
  <c r="M316" i="17" a="1"/>
  <c r="N316" i="17" s="1"/>
  <c r="M317" i="17" a="1"/>
  <c r="N317" i="17" s="1"/>
  <c r="M318" i="17" a="1"/>
  <c r="N318" i="17" s="1"/>
  <c r="M319" i="17" a="1"/>
  <c r="N319" i="17" s="1"/>
  <c r="M320" i="17" a="1"/>
  <c r="N320" i="17" s="1"/>
  <c r="M321" i="17" a="1"/>
  <c r="N321" i="17" s="1"/>
  <c r="M322" i="17" a="1"/>
  <c r="N322" i="17" s="1"/>
  <c r="M323" i="17" a="1"/>
  <c r="N323" i="17" s="1"/>
  <c r="M324" i="17" a="1"/>
  <c r="N324" i="17" s="1"/>
  <c r="M325" i="17" a="1"/>
  <c r="N325" i="17" s="1"/>
  <c r="M326" i="17" a="1"/>
  <c r="N326" i="17" s="1"/>
  <c r="M327" i="17" a="1"/>
  <c r="N327" i="17" s="1"/>
  <c r="M328" i="17" a="1"/>
  <c r="N328" i="17" s="1"/>
  <c r="M329" i="17" a="1"/>
  <c r="N329" i="17" s="1"/>
  <c r="M330" i="17" a="1"/>
  <c r="N330" i="17" s="1"/>
  <c r="M331" i="17" a="1"/>
  <c r="N331" i="17" s="1"/>
  <c r="M332" i="17" a="1"/>
  <c r="N332" i="17" s="1"/>
  <c r="M333" i="17" a="1"/>
  <c r="N333" i="17" s="1"/>
  <c r="M334" i="17" a="1"/>
  <c r="N334" i="17" s="1"/>
  <c r="M335" i="17" a="1"/>
  <c r="N335" i="17" s="1"/>
  <c r="M336" i="17" a="1"/>
  <c r="N336" i="17" s="1"/>
  <c r="M337" i="17" a="1"/>
  <c r="N337" i="17" s="1"/>
  <c r="M338" i="17" a="1"/>
  <c r="N338" i="17" s="1"/>
  <c r="M339" i="17" a="1"/>
  <c r="N339" i="17" s="1"/>
  <c r="M340" i="17" a="1"/>
  <c r="N340" i="17" s="1"/>
  <c r="M341" i="17" a="1"/>
  <c r="N341" i="17" s="1"/>
  <c r="M342" i="17" a="1"/>
  <c r="N342" i="17" s="1"/>
  <c r="M343" i="17" a="1"/>
  <c r="N343" i="17" s="1"/>
  <c r="M344" i="17" a="1"/>
  <c r="N344" i="17" s="1"/>
  <c r="M345" i="17" a="1"/>
  <c r="N345" i="17" s="1"/>
  <c r="M346" i="17" a="1"/>
  <c r="N346" i="17" s="1"/>
  <c r="M347" i="17" a="1"/>
  <c r="N347" i="17" s="1"/>
  <c r="M348" i="17" a="1"/>
  <c r="N348" i="17" s="1"/>
  <c r="M349" i="17" a="1"/>
  <c r="N349" i="17" s="1"/>
  <c r="M350" i="17" a="1"/>
  <c r="N350" i="17" s="1"/>
  <c r="M351" i="17" a="1"/>
  <c r="N351" i="17" s="1"/>
  <c r="M352" i="17" a="1"/>
  <c r="N352" i="17" s="1"/>
  <c r="M353" i="17" a="1"/>
  <c r="N353" i="17" s="1"/>
  <c r="M354" i="17" a="1"/>
  <c r="N354" i="17" s="1"/>
  <c r="M355" i="17" a="1"/>
  <c r="N355" i="17" s="1"/>
  <c r="M356" i="17" a="1"/>
  <c r="N356" i="17" s="1"/>
  <c r="M357" i="17" a="1"/>
  <c r="N357" i="17" s="1"/>
  <c r="M358" i="17" a="1"/>
  <c r="N358" i="17" s="1"/>
  <c r="M359" i="17" a="1"/>
  <c r="N359" i="17" s="1"/>
  <c r="M360" i="17" a="1"/>
  <c r="N360" i="17" s="1"/>
  <c r="M361" i="17" a="1"/>
  <c r="N361" i="17" s="1"/>
  <c r="M362" i="17" a="1"/>
  <c r="N362" i="17" s="1"/>
  <c r="M363" i="17" a="1"/>
  <c r="N363" i="17" s="1"/>
  <c r="M364" i="17" a="1"/>
  <c r="N364" i="17" s="1"/>
  <c r="M365" i="17" a="1"/>
  <c r="N365" i="17" s="1"/>
  <c r="M366" i="17" a="1"/>
  <c r="N366" i="17" s="1"/>
  <c r="M367" i="17" a="1"/>
  <c r="N367" i="17" s="1"/>
  <c r="M368" i="17" a="1"/>
  <c r="N368" i="17" s="1"/>
  <c r="M369" i="17" a="1"/>
  <c r="N369" i="17" s="1"/>
  <c r="M370" i="17" a="1"/>
  <c r="N370" i="17" s="1"/>
  <c r="M371" i="17" a="1"/>
  <c r="N371" i="17" s="1"/>
  <c r="M372" i="17" a="1"/>
  <c r="N372" i="17" s="1"/>
  <c r="M373" i="17" a="1"/>
  <c r="N373" i="17" s="1"/>
  <c r="M374" i="17" a="1"/>
  <c r="N374" i="17" s="1"/>
  <c r="M375" i="17" a="1"/>
  <c r="N375" i="17" s="1"/>
  <c r="M376" i="17" a="1"/>
  <c r="N376" i="17" s="1"/>
  <c r="M377" i="17" a="1"/>
  <c r="N377" i="17" s="1"/>
  <c r="M378" i="17" a="1"/>
  <c r="N378" i="17" s="1"/>
  <c r="M379" i="17" a="1"/>
  <c r="N379" i="17" s="1"/>
  <c r="M380" i="17" a="1"/>
  <c r="N380" i="17" s="1"/>
  <c r="M381" i="17" a="1"/>
  <c r="N381" i="17" s="1"/>
  <c r="M382" i="17" a="1"/>
  <c r="N382" i="17" s="1"/>
  <c r="M383" i="17" a="1"/>
  <c r="N383" i="17" s="1"/>
  <c r="M384" i="17" a="1"/>
  <c r="N384" i="17" s="1"/>
  <c r="M385" i="17" a="1"/>
  <c r="N385" i="17" s="1"/>
  <c r="M386" i="17" a="1"/>
  <c r="N386" i="17" s="1"/>
  <c r="M387" i="17" a="1"/>
  <c r="N387" i="17" s="1"/>
  <c r="M388" i="17" a="1"/>
  <c r="N388" i="17" s="1"/>
  <c r="M389" i="17" a="1"/>
  <c r="N389" i="17" s="1"/>
  <c r="M390" i="17" a="1"/>
  <c r="N390" i="17" s="1"/>
  <c r="M391" i="17" a="1"/>
  <c r="N391" i="17" s="1"/>
  <c r="M392" i="17" a="1"/>
  <c r="N392" i="17" s="1"/>
  <c r="M393" i="17" a="1"/>
  <c r="N393" i="17" s="1"/>
  <c r="M394" i="17" a="1"/>
  <c r="N394" i="17" s="1"/>
  <c r="M395" i="17" a="1"/>
  <c r="N395" i="17" s="1"/>
  <c r="M396" i="17" a="1"/>
  <c r="N396" i="17" s="1"/>
  <c r="M397" i="17" a="1"/>
  <c r="N397" i="17" s="1"/>
  <c r="M398" i="17" a="1"/>
  <c r="N398" i="17" s="1"/>
  <c r="M399" i="17" a="1"/>
  <c r="N399" i="17" s="1"/>
  <c r="M400" i="17" a="1"/>
  <c r="N400" i="17" s="1"/>
  <c r="M401" i="17" a="1"/>
  <c r="N401" i="17" s="1"/>
  <c r="M402" i="17" a="1"/>
  <c r="N402" i="17" s="1"/>
  <c r="M403" i="17" a="1"/>
  <c r="N403" i="17" s="1"/>
  <c r="M404" i="17" a="1"/>
  <c r="N404" i="17" s="1"/>
  <c r="M405" i="17" a="1"/>
  <c r="N405" i="17" s="1"/>
  <c r="M406" i="17" a="1"/>
  <c r="N406" i="17" s="1"/>
  <c r="M407" i="17" a="1"/>
  <c r="N407" i="17" s="1"/>
  <c r="M408" i="17" a="1"/>
  <c r="N408" i="17" s="1"/>
  <c r="M409" i="17" a="1"/>
  <c r="N409" i="17" s="1"/>
  <c r="M410" i="17" a="1"/>
  <c r="N410" i="17" s="1"/>
  <c r="M411" i="17" a="1"/>
  <c r="N411" i="17" s="1"/>
  <c r="M412" i="17" a="1"/>
  <c r="N412" i="17" s="1"/>
  <c r="M413" i="17" a="1"/>
  <c r="N413" i="17" s="1"/>
  <c r="M414" i="17" a="1"/>
  <c r="N414" i="17" s="1"/>
  <c r="M415" i="17" a="1"/>
  <c r="N415" i="17" s="1"/>
  <c r="M416" i="17" a="1"/>
  <c r="N416" i="17" s="1"/>
  <c r="M417" i="17" a="1"/>
  <c r="N417" i="17" s="1"/>
  <c r="M418" i="17" a="1"/>
  <c r="N418" i="17" s="1"/>
  <c r="M419" i="17" a="1"/>
  <c r="N419" i="17" s="1"/>
  <c r="M420" i="17" a="1"/>
  <c r="N420" i="17" s="1"/>
  <c r="M421" i="17" a="1"/>
  <c r="N421" i="17" s="1"/>
  <c r="M422" i="17" a="1"/>
  <c r="N422" i="17" s="1"/>
  <c r="M423" i="17" a="1"/>
  <c r="N423" i="17" s="1"/>
  <c r="M424" i="17" a="1"/>
  <c r="N424" i="17" s="1"/>
  <c r="M425" i="17" a="1"/>
  <c r="N425" i="17" s="1"/>
  <c r="M426" i="17" a="1"/>
  <c r="N426" i="17" s="1"/>
  <c r="M427" i="17" a="1"/>
  <c r="N427" i="17" s="1"/>
  <c r="M428" i="17" a="1"/>
  <c r="N428" i="17" s="1"/>
  <c r="M429" i="17" a="1"/>
  <c r="N429" i="17" s="1"/>
  <c r="M430" i="17" a="1"/>
  <c r="N430" i="17" s="1"/>
  <c r="M431" i="17" a="1"/>
  <c r="N431" i="17" s="1"/>
  <c r="M432" i="17" a="1"/>
  <c r="N432" i="17" s="1"/>
  <c r="M433" i="17" a="1"/>
  <c r="N433" i="17" s="1"/>
  <c r="M434" i="17" a="1"/>
  <c r="N434" i="17" s="1"/>
  <c r="M435" i="17" a="1"/>
  <c r="N435" i="17" s="1"/>
  <c r="M436" i="17" a="1"/>
  <c r="N436" i="17" s="1"/>
  <c r="M437" i="17" a="1"/>
  <c r="N437" i="17" s="1"/>
  <c r="M438" i="17" a="1"/>
  <c r="N438" i="17" s="1"/>
  <c r="M439" i="17" a="1"/>
  <c r="N439" i="17" s="1"/>
  <c r="M440" i="17" a="1"/>
  <c r="N440" i="17" s="1"/>
  <c r="M441" i="17" a="1"/>
  <c r="N441" i="17" s="1"/>
  <c r="M442" i="17" a="1"/>
  <c r="N442" i="17" s="1"/>
  <c r="M443" i="17" a="1"/>
  <c r="N443" i="17" s="1"/>
  <c r="M444" i="17" a="1"/>
  <c r="N444" i="17" s="1"/>
  <c r="M445" i="17" a="1"/>
  <c r="N445" i="17" s="1"/>
  <c r="M446" i="17" a="1"/>
  <c r="N446" i="17" s="1"/>
  <c r="M447" i="17" a="1"/>
  <c r="N447" i="17" s="1"/>
  <c r="M448" i="17" a="1"/>
  <c r="N448" i="17" s="1"/>
  <c r="M449" i="17" a="1"/>
  <c r="N449" i="17" s="1"/>
  <c r="M450" i="17" a="1"/>
  <c r="N450" i="17" s="1"/>
  <c r="M451" i="17" a="1"/>
  <c r="N451" i="17" s="1"/>
  <c r="M452" i="17" a="1"/>
  <c r="N452" i="17" s="1"/>
  <c r="M453" i="17" a="1"/>
  <c r="N453" i="17" s="1"/>
  <c r="M454" i="17" a="1"/>
  <c r="N454" i="17" s="1"/>
  <c r="M455" i="17" a="1"/>
  <c r="N455" i="17" s="1"/>
  <c r="M456" i="17" a="1"/>
  <c r="N456" i="17" s="1"/>
  <c r="M457" i="17" a="1"/>
  <c r="N457" i="17" s="1"/>
  <c r="M458" i="17" a="1"/>
  <c r="N458" i="17" s="1"/>
  <c r="M459" i="17" a="1"/>
  <c r="N459" i="17" s="1"/>
  <c r="M460" i="17" a="1"/>
  <c r="N460" i="17" s="1"/>
  <c r="M461" i="17" a="1"/>
  <c r="N461" i="17" s="1"/>
  <c r="M462" i="17" a="1"/>
  <c r="N462" i="17" s="1"/>
  <c r="M463" i="17" a="1"/>
  <c r="N463" i="17" s="1"/>
  <c r="M464" i="17" a="1"/>
  <c r="N464" i="17" s="1"/>
  <c r="M465" i="17" a="1"/>
  <c r="N465" i="17" s="1"/>
  <c r="M466" i="17" a="1"/>
  <c r="N466" i="17" s="1"/>
  <c r="M467" i="17" a="1"/>
  <c r="N467" i="17" s="1"/>
  <c r="M468" i="17" a="1"/>
  <c r="N468" i="17" s="1"/>
  <c r="M469" i="17" a="1"/>
  <c r="N469" i="17" s="1"/>
  <c r="M470" i="17" a="1"/>
  <c r="N470" i="17" s="1"/>
  <c r="M471" i="17" a="1"/>
  <c r="N471" i="17" s="1"/>
  <c r="M472" i="17" a="1"/>
  <c r="N472" i="17" s="1"/>
  <c r="M473" i="17" a="1"/>
  <c r="N473" i="17" s="1"/>
  <c r="M474" i="17" a="1"/>
  <c r="N474" i="17" s="1"/>
  <c r="M475" i="17" a="1"/>
  <c r="N475" i="17" s="1"/>
  <c r="M476" i="17" a="1"/>
  <c r="N476" i="17" s="1"/>
  <c r="M477" i="17" a="1"/>
  <c r="N477" i="17" s="1"/>
  <c r="M478" i="17" a="1"/>
  <c r="N478" i="17" s="1"/>
  <c r="M479" i="17" a="1"/>
  <c r="N479" i="17" s="1"/>
  <c r="M480" i="17" a="1"/>
  <c r="N480" i="17" s="1"/>
  <c r="M481" i="17" a="1"/>
  <c r="N481" i="17" s="1"/>
  <c r="M482" i="17" a="1"/>
  <c r="N482" i="17" s="1"/>
  <c r="M483" i="17" a="1"/>
  <c r="N483" i="17" s="1"/>
  <c r="M484" i="17" a="1"/>
  <c r="N484" i="17" s="1"/>
  <c r="M485" i="17" a="1"/>
  <c r="N485" i="17" s="1"/>
  <c r="M486" i="17" a="1"/>
  <c r="N486" i="17" s="1"/>
  <c r="M487" i="17" a="1"/>
  <c r="N487" i="17" s="1"/>
  <c r="M488" i="17" a="1"/>
  <c r="N488" i="17" s="1"/>
  <c r="M489" i="17" a="1"/>
  <c r="N489" i="17" s="1"/>
  <c r="M490" i="17" a="1"/>
  <c r="N490" i="17" s="1"/>
  <c r="M491" i="17" a="1"/>
  <c r="N491" i="17" s="1"/>
  <c r="M492" i="17" a="1"/>
  <c r="N492" i="17" s="1"/>
  <c r="M493" i="17" a="1"/>
  <c r="N493" i="17" s="1"/>
  <c r="M494" i="17" a="1"/>
  <c r="N494" i="17" s="1"/>
  <c r="M495" i="17" a="1"/>
  <c r="N495" i="17" s="1"/>
  <c r="M496" i="17" a="1"/>
  <c r="N496" i="17" s="1"/>
  <c r="M497" i="17" a="1"/>
  <c r="N497" i="17" s="1"/>
  <c r="M498" i="17" a="1"/>
  <c r="N498" i="17" s="1"/>
  <c r="M499" i="17" a="1"/>
  <c r="N499" i="17" s="1"/>
  <c r="M500" i="17" a="1"/>
  <c r="N500" i="17" s="1"/>
  <c r="M501" i="17" a="1"/>
  <c r="N501" i="17" s="1"/>
  <c r="M502" i="17" a="1"/>
  <c r="N502" i="17" s="1"/>
  <c r="M503" i="17" a="1"/>
  <c r="N503" i="17" s="1"/>
  <c r="M504" i="17" a="1"/>
  <c r="N504" i="17" s="1"/>
  <c r="M505" i="17" a="1"/>
  <c r="N505" i="17" s="1"/>
  <c r="M506" i="17" a="1"/>
  <c r="N506" i="17" s="1"/>
  <c r="M507" i="17" a="1"/>
  <c r="N507" i="17" s="1"/>
  <c r="M508" i="17" a="1"/>
  <c r="N508" i="17" s="1"/>
  <c r="M509" i="17" a="1"/>
  <c r="N509" i="17" s="1"/>
  <c r="M510" i="17" a="1"/>
  <c r="N510" i="17" s="1"/>
  <c r="M511" i="17" a="1"/>
  <c r="N511" i="17" s="1"/>
  <c r="M512" i="17" a="1"/>
  <c r="N512" i="17" s="1"/>
  <c r="M513" i="17" a="1"/>
  <c r="N513" i="17" s="1"/>
  <c r="M514" i="17" a="1"/>
  <c r="N514" i="17" s="1"/>
  <c r="M515" i="17" a="1"/>
  <c r="N515" i="17" s="1"/>
  <c r="M516" i="17" a="1"/>
  <c r="N516" i="17" s="1"/>
  <c r="M517" i="17" a="1"/>
  <c r="N517" i="17" s="1"/>
  <c r="M518" i="17" a="1"/>
  <c r="N518" i="17" s="1"/>
  <c r="M519" i="17" a="1"/>
  <c r="N519" i="17" s="1"/>
  <c r="M520" i="17" a="1"/>
  <c r="N520" i="17" s="1"/>
  <c r="M521" i="17" a="1"/>
  <c r="N521" i="17" s="1"/>
  <c r="M522" i="17" a="1"/>
  <c r="N522" i="17" s="1"/>
  <c r="M523" i="17" a="1"/>
  <c r="N523" i="17" s="1"/>
  <c r="M524" i="17" a="1"/>
  <c r="N524" i="17" s="1"/>
  <c r="M525" i="17" a="1"/>
  <c r="N525" i="17" s="1"/>
  <c r="M526" i="17" a="1"/>
  <c r="N526" i="17" s="1"/>
  <c r="M527" i="17" a="1"/>
  <c r="N527" i="17" s="1"/>
  <c r="M528" i="17" a="1"/>
  <c r="N528" i="17" s="1"/>
  <c r="M529" i="17" a="1"/>
  <c r="N529" i="17" s="1"/>
  <c r="M530" i="17" a="1"/>
  <c r="N530" i="17" s="1"/>
  <c r="M531" i="17" a="1"/>
  <c r="N531" i="17" s="1"/>
  <c r="M532" i="17" a="1"/>
  <c r="N532" i="17" s="1"/>
  <c r="M533" i="17" a="1"/>
  <c r="N533" i="17" s="1"/>
  <c r="M534" i="17" a="1"/>
  <c r="N534" i="17" s="1"/>
  <c r="M535" i="17" a="1"/>
  <c r="N535" i="17" s="1"/>
  <c r="M536" i="17" a="1"/>
  <c r="N536" i="17" s="1"/>
  <c r="M537" i="17" a="1"/>
  <c r="N537" i="17" s="1"/>
  <c r="M538" i="17" a="1"/>
  <c r="N538" i="17" s="1"/>
  <c r="M539" i="17" a="1"/>
  <c r="N539" i="17" s="1"/>
  <c r="M540" i="17" a="1"/>
  <c r="N540" i="17" s="1"/>
  <c r="M541" i="17" a="1"/>
  <c r="N541" i="17" s="1"/>
  <c r="M542" i="17" a="1"/>
  <c r="N542" i="17" s="1"/>
  <c r="M543" i="17" a="1"/>
  <c r="N543" i="17" s="1"/>
  <c r="M544" i="17" a="1"/>
  <c r="N544" i="17" s="1"/>
  <c r="M545" i="17" a="1"/>
  <c r="N545" i="17" s="1"/>
  <c r="M546" i="17" a="1"/>
  <c r="N546" i="17" s="1"/>
  <c r="M547" i="17" a="1"/>
  <c r="N547" i="17" s="1"/>
  <c r="M548" i="17" a="1"/>
  <c r="N548" i="17" s="1"/>
  <c r="M549" i="17" a="1"/>
  <c r="N549" i="17" s="1"/>
  <c r="M550" i="17" a="1"/>
  <c r="N550" i="17" s="1"/>
  <c r="M551" i="17" a="1"/>
  <c r="N551" i="17" s="1"/>
  <c r="M552" i="17" a="1"/>
  <c r="N552" i="17" s="1"/>
  <c r="M553" i="17" a="1"/>
  <c r="N553" i="17" s="1"/>
  <c r="M554" i="17" a="1"/>
  <c r="N554" i="17" s="1"/>
  <c r="M555" i="17" a="1"/>
  <c r="N555" i="17" s="1"/>
  <c r="M556" i="17" a="1"/>
  <c r="N556" i="17" s="1"/>
  <c r="M557" i="17" a="1"/>
  <c r="N557" i="17" s="1"/>
  <c r="M558" i="17" a="1"/>
  <c r="N558" i="17" s="1"/>
  <c r="M559" i="17" a="1"/>
  <c r="N559" i="17" s="1"/>
  <c r="M560" i="17" a="1"/>
  <c r="N560" i="17" s="1"/>
  <c r="M561" i="17" a="1"/>
  <c r="N561" i="17" s="1"/>
  <c r="M562" i="17" a="1"/>
  <c r="N562" i="17" s="1"/>
  <c r="M563" i="17" a="1"/>
  <c r="N563" i="17" s="1"/>
  <c r="M564" i="17" a="1"/>
  <c r="N564" i="17" s="1"/>
  <c r="M565" i="17" a="1"/>
  <c r="N565" i="17" s="1"/>
  <c r="M566" i="17" a="1"/>
  <c r="N566" i="17" s="1"/>
  <c r="M567" i="17" a="1"/>
  <c r="N567" i="17" s="1"/>
  <c r="M568" i="17" a="1"/>
  <c r="N568" i="17" s="1"/>
  <c r="M569" i="17" a="1"/>
  <c r="N569" i="17" s="1"/>
  <c r="M570" i="17" a="1"/>
  <c r="N570" i="17" s="1"/>
  <c r="M571" i="17" a="1"/>
  <c r="N571" i="17" s="1"/>
  <c r="M572" i="17" a="1"/>
  <c r="N572" i="17" s="1"/>
  <c r="M573" i="17" a="1"/>
  <c r="N573" i="17" s="1"/>
  <c r="M574" i="17" a="1"/>
  <c r="N574" i="17" s="1"/>
  <c r="M575" i="17" a="1"/>
  <c r="N575" i="17" s="1"/>
  <c r="M576" i="17" a="1"/>
  <c r="N576" i="17" s="1"/>
  <c r="M577" i="17" a="1"/>
  <c r="N577" i="17" s="1"/>
  <c r="M578" i="17" a="1"/>
  <c r="N578" i="17" s="1"/>
  <c r="M579" i="17" a="1"/>
  <c r="N579" i="17" s="1"/>
  <c r="M580" i="17" a="1"/>
  <c r="N580" i="17" s="1"/>
  <c r="M581" i="17" a="1"/>
  <c r="N581" i="17" s="1"/>
  <c r="M582" i="17" a="1"/>
  <c r="N582" i="17" s="1"/>
  <c r="M583" i="17" a="1"/>
  <c r="N583" i="17" s="1"/>
  <c r="M584" i="17" a="1"/>
  <c r="N584" i="17" s="1"/>
  <c r="M585" i="17" a="1"/>
  <c r="N585" i="17" s="1"/>
  <c r="M586" i="17" a="1"/>
  <c r="N586" i="17" s="1"/>
  <c r="M587" i="17" a="1"/>
  <c r="N587" i="17" s="1"/>
  <c r="M588" i="17" a="1"/>
  <c r="N588" i="17" s="1"/>
  <c r="M589" i="17" a="1"/>
  <c r="N589" i="17" s="1"/>
  <c r="M590" i="17" a="1"/>
  <c r="N590" i="17" s="1"/>
  <c r="M591" i="17" a="1"/>
  <c r="N591" i="17" s="1"/>
  <c r="M592" i="17" a="1"/>
  <c r="N592" i="17" s="1"/>
  <c r="M593" i="17" a="1"/>
  <c r="N593" i="17" s="1"/>
  <c r="M594" i="17" a="1"/>
  <c r="N594" i="17" s="1"/>
  <c r="M595" i="17" a="1"/>
  <c r="N595" i="17" s="1"/>
  <c r="M596" i="17" a="1"/>
  <c r="N596" i="17" s="1"/>
  <c r="M597" i="17" a="1"/>
  <c r="N597" i="17" s="1"/>
  <c r="M598" i="17" a="1"/>
  <c r="N598" i="17" s="1"/>
  <c r="M599" i="17" a="1"/>
  <c r="N599" i="17" s="1"/>
  <c r="M600" i="17" a="1"/>
  <c r="N600" i="17" s="1"/>
  <c r="M601" i="17" a="1"/>
  <c r="N601" i="17" s="1"/>
  <c r="M602" i="17" a="1"/>
  <c r="N602" i="17" s="1"/>
  <c r="M603" i="17" a="1"/>
  <c r="N603" i="17" s="1"/>
  <c r="M604" i="17" a="1"/>
  <c r="N604" i="17" s="1"/>
  <c r="M605" i="17" a="1"/>
  <c r="N605" i="17" s="1"/>
  <c r="M606" i="17" a="1"/>
  <c r="N606" i="17" s="1"/>
  <c r="M607" i="17" a="1"/>
  <c r="N607" i="17" s="1"/>
  <c r="M608" i="17" a="1"/>
  <c r="N608" i="17" s="1"/>
  <c r="M609" i="17" a="1"/>
  <c r="N609" i="17" s="1"/>
  <c r="M610" i="17" a="1"/>
  <c r="N610" i="17" s="1"/>
  <c r="M611" i="17" a="1"/>
  <c r="N611" i="17" s="1"/>
  <c r="M612" i="17" a="1"/>
  <c r="N612" i="17" s="1"/>
  <c r="M613" i="17" a="1"/>
  <c r="N613" i="17" s="1"/>
  <c r="M614" i="17" a="1"/>
  <c r="N614" i="17" s="1"/>
  <c r="M615" i="17" a="1"/>
  <c r="N615" i="17" s="1"/>
  <c r="M616" i="17" a="1"/>
  <c r="N616" i="17" s="1"/>
  <c r="M617" i="17" a="1"/>
  <c r="N617" i="17" s="1"/>
  <c r="M618" i="17" a="1"/>
  <c r="N618" i="17" s="1"/>
  <c r="M619" i="17" a="1"/>
  <c r="N619" i="17" s="1"/>
  <c r="M620" i="17" a="1"/>
  <c r="N620" i="17" s="1"/>
  <c r="M621" i="17" a="1"/>
  <c r="N621" i="17" s="1"/>
  <c r="M622" i="17" a="1"/>
  <c r="N622" i="17" s="1"/>
  <c r="M623" i="17" a="1"/>
  <c r="N623" i="17" s="1"/>
  <c r="M624" i="17" a="1"/>
  <c r="N624" i="17" s="1"/>
  <c r="M625" i="17" a="1"/>
  <c r="N625" i="17" s="1"/>
  <c r="M626" i="17" a="1"/>
  <c r="N626" i="17" s="1"/>
  <c r="M627" i="17" a="1"/>
  <c r="N627" i="17" s="1"/>
  <c r="M628" i="17" a="1"/>
  <c r="N628" i="17" s="1"/>
  <c r="M629" i="17" a="1"/>
  <c r="N629" i="17" s="1"/>
  <c r="M630" i="17" a="1"/>
  <c r="N630" i="17" s="1"/>
  <c r="M631" i="17" a="1"/>
  <c r="N631" i="17" s="1"/>
  <c r="M632" i="17" a="1"/>
  <c r="N632" i="17" s="1"/>
  <c r="M633" i="17" a="1"/>
  <c r="N633" i="17" s="1"/>
  <c r="M634" i="17" a="1"/>
  <c r="N634" i="17" s="1"/>
  <c r="M635" i="17" a="1"/>
  <c r="N635" i="17" s="1"/>
  <c r="M636" i="17" a="1"/>
  <c r="N636" i="17" s="1"/>
  <c r="M637" i="17" a="1"/>
  <c r="N637" i="17" s="1"/>
  <c r="M638" i="17" a="1"/>
  <c r="N638" i="17" s="1"/>
  <c r="M639" i="17" a="1"/>
  <c r="N639" i="17" s="1"/>
  <c r="M640" i="17" a="1"/>
  <c r="N640" i="17" s="1"/>
  <c r="M641" i="17" a="1"/>
  <c r="N641" i="17" s="1"/>
  <c r="M642" i="17" a="1"/>
  <c r="N642" i="17" s="1"/>
  <c r="M643" i="17" a="1"/>
  <c r="N643" i="17" s="1"/>
  <c r="M644" i="17" a="1"/>
  <c r="N644" i="17" s="1"/>
  <c r="M645" i="17" a="1"/>
  <c r="N645" i="17" s="1"/>
  <c r="M646" i="17" a="1"/>
  <c r="N646" i="17" s="1"/>
  <c r="M647" i="17" a="1"/>
  <c r="N647" i="17" s="1"/>
  <c r="M648" i="17" a="1"/>
  <c r="N648" i="17" s="1"/>
  <c r="M649" i="17" a="1"/>
  <c r="N649" i="17" s="1"/>
  <c r="M650" i="17" a="1"/>
  <c r="N650" i="17" s="1"/>
  <c r="M651" i="17" a="1"/>
  <c r="N651" i="17" s="1"/>
  <c r="M652" i="17" a="1"/>
  <c r="N652" i="17" s="1"/>
  <c r="M653" i="17" a="1"/>
  <c r="N653" i="17" s="1"/>
  <c r="M654" i="17" a="1"/>
  <c r="N654" i="17" s="1"/>
  <c r="M655" i="17" a="1"/>
  <c r="N655" i="17" s="1"/>
  <c r="M656" i="17" a="1"/>
  <c r="N656" i="17" s="1"/>
  <c r="M657" i="17" a="1"/>
  <c r="N657" i="17" s="1"/>
  <c r="M658" i="17" a="1"/>
  <c r="N658" i="17" s="1"/>
  <c r="M659" i="17" a="1"/>
  <c r="N659" i="17" s="1"/>
  <c r="M660" i="17" a="1"/>
  <c r="N660" i="17" s="1"/>
  <c r="M661" i="17" a="1"/>
  <c r="N661" i="17" s="1"/>
  <c r="M662" i="17" a="1"/>
  <c r="N662" i="17" s="1"/>
  <c r="M663" i="17" a="1"/>
  <c r="N663" i="17" s="1"/>
  <c r="M664" i="17" a="1"/>
  <c r="N664" i="17" s="1"/>
  <c r="M665" i="17" a="1"/>
  <c r="N665" i="17" s="1"/>
  <c r="M666" i="17" a="1"/>
  <c r="N666" i="17" s="1"/>
  <c r="M667" i="17" a="1"/>
  <c r="N667" i="17" s="1"/>
  <c r="M668" i="17" a="1"/>
  <c r="N668" i="17" s="1"/>
  <c r="M669" i="17" a="1"/>
  <c r="N669" i="17" s="1"/>
  <c r="M670" i="17" a="1"/>
  <c r="N670" i="17" s="1"/>
  <c r="M671" i="17" a="1"/>
  <c r="N671" i="17" s="1"/>
  <c r="M672" i="17" a="1"/>
  <c r="N672" i="17" s="1"/>
  <c r="M673" i="17" a="1"/>
  <c r="N673" i="17" s="1"/>
  <c r="M674" i="17" a="1"/>
  <c r="N674" i="17" s="1"/>
  <c r="M675" i="17" a="1"/>
  <c r="N675" i="17" s="1"/>
  <c r="M676" i="17" a="1"/>
  <c r="N676" i="17" s="1"/>
  <c r="M677" i="17" a="1"/>
  <c r="N677" i="17" s="1"/>
  <c r="M678" i="17" a="1"/>
  <c r="N678" i="17" s="1"/>
  <c r="M679" i="17" a="1"/>
  <c r="N679" i="17" s="1"/>
  <c r="M680" i="17" a="1"/>
  <c r="N680" i="17" s="1"/>
  <c r="M681" i="17" a="1"/>
  <c r="N681" i="17" s="1"/>
  <c r="M682" i="17" a="1"/>
  <c r="N682" i="17" s="1"/>
  <c r="M683" i="17" a="1"/>
  <c r="N683" i="17" s="1"/>
  <c r="M684" i="17" a="1"/>
  <c r="N684" i="17" s="1"/>
  <c r="M685" i="17" a="1"/>
  <c r="N685" i="17" s="1"/>
  <c r="M686" i="17" a="1"/>
  <c r="N686" i="17" s="1"/>
  <c r="M687" i="17" a="1"/>
  <c r="N687" i="17" s="1"/>
  <c r="M688" i="17" a="1"/>
  <c r="N688" i="17" s="1"/>
  <c r="M689" i="17" a="1"/>
  <c r="N689" i="17" s="1"/>
  <c r="M690" i="17" a="1"/>
  <c r="N690" i="17" s="1"/>
  <c r="M691" i="17" a="1"/>
  <c r="N691" i="17" s="1"/>
  <c r="M692" i="17" a="1"/>
  <c r="N692" i="17" s="1"/>
  <c r="M693" i="17" a="1"/>
  <c r="N693" i="17" s="1"/>
  <c r="M694" i="17" a="1"/>
  <c r="N694" i="17" s="1"/>
  <c r="M695" i="17" a="1"/>
  <c r="N695" i="17" s="1"/>
  <c r="M696" i="17" a="1"/>
  <c r="N696" i="17" s="1"/>
  <c r="M697" i="17" a="1"/>
  <c r="N697" i="17" s="1"/>
  <c r="M698" i="17" a="1"/>
  <c r="N698" i="17" s="1"/>
  <c r="M699" i="17" a="1"/>
  <c r="N699" i="17" s="1"/>
  <c r="M700" i="17" a="1"/>
  <c r="N700" i="17" s="1"/>
  <c r="M701" i="17" a="1"/>
  <c r="N701" i="17" s="1"/>
  <c r="M702" i="17" a="1"/>
  <c r="N702" i="17" s="1"/>
  <c r="M703" i="17" a="1"/>
  <c r="N703" i="17" s="1"/>
  <c r="M704" i="17" a="1"/>
  <c r="N704" i="17" s="1"/>
  <c r="M705" i="17" a="1"/>
  <c r="N705" i="17" s="1"/>
  <c r="M706" i="17" a="1"/>
  <c r="N706" i="17" s="1"/>
  <c r="M707" i="17" a="1"/>
  <c r="N707" i="17" s="1"/>
  <c r="M708" i="17" a="1"/>
  <c r="N708" i="17" s="1"/>
  <c r="M709" i="17" a="1"/>
  <c r="N709" i="17" s="1"/>
  <c r="M710" i="17" a="1"/>
  <c r="N710" i="17" s="1"/>
  <c r="M711" i="17" a="1"/>
  <c r="N711" i="17" s="1"/>
  <c r="M712" i="17" a="1"/>
  <c r="N712" i="17" s="1"/>
  <c r="M713" i="17" a="1"/>
  <c r="N713" i="17" s="1"/>
  <c r="M714" i="17" a="1"/>
  <c r="N714" i="17" s="1"/>
  <c r="M715" i="17" a="1"/>
  <c r="N715" i="17" s="1"/>
  <c r="M716" i="17" a="1"/>
  <c r="N716" i="17" s="1"/>
  <c r="M717" i="17" a="1"/>
  <c r="N717" i="17" s="1"/>
  <c r="M718" i="17" a="1"/>
  <c r="N718" i="17" s="1"/>
  <c r="M719" i="17" a="1"/>
  <c r="N719" i="17" s="1"/>
  <c r="M720" i="17" a="1"/>
  <c r="N720" i="17" s="1"/>
  <c r="M721" i="17" a="1"/>
  <c r="N721" i="17" s="1"/>
  <c r="M722" i="17" a="1"/>
  <c r="N722" i="17" s="1"/>
  <c r="M723" i="17" a="1"/>
  <c r="N723" i="17" s="1"/>
  <c r="M724" i="17" a="1"/>
  <c r="N724" i="17" s="1"/>
  <c r="M725" i="17" a="1"/>
  <c r="N725" i="17" s="1"/>
  <c r="M726" i="17" a="1"/>
  <c r="N726" i="17" s="1"/>
  <c r="M727" i="17" a="1"/>
  <c r="N727" i="17" s="1"/>
  <c r="M728" i="17" a="1"/>
  <c r="N728" i="17" s="1"/>
  <c r="M729" i="17" a="1"/>
  <c r="N729" i="17" s="1"/>
  <c r="M730" i="17" a="1"/>
  <c r="N730" i="17" s="1"/>
  <c r="M731" i="17" a="1"/>
  <c r="N731" i="17" s="1"/>
  <c r="M732" i="17" a="1"/>
  <c r="N732" i="17" s="1"/>
  <c r="M733" i="17" a="1"/>
  <c r="N733" i="17" s="1"/>
  <c r="M734" i="17" a="1"/>
  <c r="N734" i="17" s="1"/>
  <c r="M735" i="17" a="1"/>
  <c r="N735" i="17" s="1"/>
  <c r="M736" i="17" a="1"/>
  <c r="N736" i="17" s="1"/>
  <c r="M737" i="17" a="1"/>
  <c r="N737" i="17" s="1"/>
  <c r="M738" i="17" a="1"/>
  <c r="N738" i="17" s="1"/>
  <c r="M739" i="17" a="1"/>
  <c r="N739" i="17" s="1"/>
  <c r="M740" i="17" a="1"/>
  <c r="N740" i="17" s="1"/>
  <c r="M741" i="17" a="1"/>
  <c r="N741" i="17" s="1"/>
  <c r="M742" i="17" a="1"/>
  <c r="N742" i="17" s="1"/>
  <c r="M743" i="17" a="1"/>
  <c r="N743" i="17" s="1"/>
  <c r="M744" i="17" a="1"/>
  <c r="N744" i="17" s="1"/>
  <c r="M745" i="17" a="1"/>
  <c r="N745" i="17" s="1"/>
  <c r="M746" i="17" a="1"/>
  <c r="N746" i="17" s="1"/>
  <c r="M747" i="17" a="1"/>
  <c r="N747" i="17" s="1"/>
  <c r="M748" i="17" a="1"/>
  <c r="N748" i="17" s="1"/>
  <c r="M749" i="17" a="1"/>
  <c r="N749" i="17" s="1"/>
  <c r="M750" i="17" a="1"/>
  <c r="N750" i="17" s="1"/>
  <c r="M751" i="17" a="1"/>
  <c r="N751" i="17" s="1"/>
  <c r="M752" i="17" a="1"/>
  <c r="N752" i="17" s="1"/>
  <c r="M753" i="17" a="1"/>
  <c r="N753" i="17" s="1"/>
  <c r="M754" i="17" a="1"/>
  <c r="N754" i="17" s="1"/>
  <c r="M755" i="17" a="1"/>
  <c r="N755" i="17" s="1"/>
  <c r="M756" i="17" a="1"/>
  <c r="N756" i="17" s="1"/>
  <c r="M757" i="17" a="1"/>
  <c r="N757" i="17" s="1"/>
  <c r="M758" i="17" a="1"/>
  <c r="N758" i="17" s="1"/>
  <c r="M759" i="17" a="1"/>
  <c r="N759" i="17" s="1"/>
  <c r="M760" i="17" a="1"/>
  <c r="N760" i="17" s="1"/>
  <c r="M761" i="17" a="1"/>
  <c r="N761" i="17" s="1"/>
  <c r="M762" i="17" a="1"/>
  <c r="N762" i="17" s="1"/>
  <c r="M763" i="17" a="1"/>
  <c r="N763" i="17" s="1"/>
  <c r="M764" i="17" a="1"/>
  <c r="N764" i="17" s="1"/>
  <c r="M765" i="17" a="1"/>
  <c r="N765" i="17" s="1"/>
  <c r="M766" i="17" a="1"/>
  <c r="N766" i="17" s="1"/>
  <c r="M767" i="17" a="1"/>
  <c r="N767" i="17" s="1"/>
  <c r="M768" i="17" a="1"/>
  <c r="N768" i="17" s="1"/>
  <c r="M769" i="17" a="1"/>
  <c r="N769" i="17" s="1"/>
  <c r="M770" i="17" a="1"/>
  <c r="N770" i="17" s="1"/>
  <c r="M771" i="17" a="1"/>
  <c r="N771" i="17" s="1"/>
  <c r="M772" i="17" a="1"/>
  <c r="N772" i="17" s="1"/>
  <c r="M773" i="17" a="1"/>
  <c r="N773" i="17" s="1"/>
  <c r="M774" i="17" a="1"/>
  <c r="N774" i="17" s="1"/>
  <c r="M775" i="17" a="1"/>
  <c r="N775" i="17" s="1"/>
  <c r="M776" i="17" a="1"/>
  <c r="N776" i="17" s="1"/>
  <c r="M777" i="17" a="1"/>
  <c r="N777" i="17" s="1"/>
  <c r="M778" i="17" a="1"/>
  <c r="N778" i="17" s="1"/>
  <c r="M779" i="17" a="1"/>
  <c r="N779" i="17" s="1"/>
  <c r="M780" i="17" a="1"/>
  <c r="N780" i="17" s="1"/>
  <c r="M781" i="17" a="1"/>
  <c r="N781" i="17" s="1"/>
  <c r="M782" i="17" a="1"/>
  <c r="N782" i="17" s="1"/>
  <c r="M783" i="17" a="1"/>
  <c r="N783" i="17" s="1"/>
  <c r="M784" i="17" a="1"/>
  <c r="N784" i="17" s="1"/>
  <c r="M785" i="17" a="1"/>
  <c r="N785" i="17" s="1"/>
  <c r="M786" i="17" a="1"/>
  <c r="N786" i="17" s="1"/>
  <c r="M787" i="17" a="1"/>
  <c r="N787" i="17" s="1"/>
  <c r="M788" i="17" a="1"/>
  <c r="N788" i="17" s="1"/>
  <c r="M789" i="17" a="1"/>
  <c r="N789" i="17" s="1"/>
  <c r="M790" i="17" a="1"/>
  <c r="N790" i="17" s="1"/>
  <c r="M791" i="17" a="1"/>
  <c r="N791" i="17" s="1"/>
  <c r="M792" i="17" a="1"/>
  <c r="N792" i="17" s="1"/>
  <c r="M794" i="17" a="1"/>
  <c r="N794" i="17" s="1"/>
  <c r="M795" i="17" a="1"/>
  <c r="N795" i="17" s="1"/>
  <c r="M796" i="17" a="1"/>
  <c r="N796" i="17" s="1"/>
  <c r="M797" i="17" a="1"/>
  <c r="N797" i="17" s="1"/>
  <c r="M798" i="17" a="1"/>
  <c r="N798" i="17" s="1"/>
  <c r="M799" i="17" a="1"/>
  <c r="N799" i="17" s="1"/>
  <c r="M800" i="17" a="1"/>
  <c r="N800" i="17" s="1"/>
  <c r="M801" i="17" a="1"/>
  <c r="N801" i="17" s="1"/>
  <c r="M802" i="17" a="1"/>
  <c r="N802" i="17" s="1"/>
  <c r="M803" i="17" a="1"/>
  <c r="N803" i="17" s="1"/>
  <c r="M804" i="17" a="1"/>
  <c r="N804" i="17" s="1"/>
  <c r="M805" i="17" a="1"/>
  <c r="N805" i="17" s="1"/>
  <c r="M806" i="17" a="1"/>
  <c r="N806" i="17" s="1"/>
  <c r="M807" i="17" a="1"/>
  <c r="N807" i="17" s="1"/>
  <c r="M808" i="17" a="1"/>
  <c r="N808" i="17" s="1"/>
  <c r="M809" i="17" a="1"/>
  <c r="N809" i="17" s="1"/>
  <c r="M810" i="17" a="1"/>
  <c r="N810" i="17" s="1"/>
  <c r="M811" i="17" a="1"/>
  <c r="N811" i="17" s="1"/>
  <c r="M812" i="17" a="1"/>
  <c r="N812" i="17" s="1"/>
  <c r="M813" i="17" a="1"/>
  <c r="N813" i="17" s="1"/>
  <c r="M814" i="17" a="1"/>
  <c r="N814" i="17" s="1"/>
  <c r="M815" i="17" a="1"/>
  <c r="N815" i="17" s="1"/>
  <c r="M816" i="17" a="1"/>
  <c r="N816" i="17" s="1"/>
  <c r="M817" i="17" a="1"/>
  <c r="N817" i="17" s="1"/>
  <c r="M818" i="17" a="1"/>
  <c r="N818" i="17" s="1"/>
  <c r="M819" i="17" a="1"/>
  <c r="N819" i="17" s="1"/>
  <c r="M820" i="17" a="1"/>
  <c r="N820" i="17" s="1"/>
  <c r="M821" i="17" a="1"/>
  <c r="N821" i="17" s="1"/>
  <c r="M822" i="17" a="1"/>
  <c r="N822" i="17" s="1"/>
  <c r="M823" i="17" a="1"/>
  <c r="N823" i="17" s="1"/>
  <c r="M824" i="17" a="1"/>
  <c r="N824" i="17" s="1"/>
  <c r="M825" i="17" a="1"/>
  <c r="N825" i="17" s="1"/>
  <c r="M826" i="17" a="1"/>
  <c r="N826" i="17" s="1"/>
  <c r="M827" i="17" a="1"/>
  <c r="N827" i="17" s="1"/>
  <c r="M828" i="17" a="1"/>
  <c r="N828" i="17" s="1"/>
  <c r="M829" i="17" a="1"/>
  <c r="N829" i="17" s="1"/>
  <c r="M830" i="17" a="1"/>
  <c r="N830" i="17" s="1"/>
  <c r="M831" i="17" a="1"/>
  <c r="N831" i="17" s="1"/>
  <c r="M832" i="17" a="1"/>
  <c r="N832" i="17" s="1"/>
  <c r="M833" i="17" a="1"/>
  <c r="N833" i="17" s="1"/>
  <c r="M834" i="17" a="1"/>
  <c r="N834" i="17" s="1"/>
  <c r="M835" i="17" a="1"/>
  <c r="N835" i="17" s="1"/>
  <c r="M836" i="17" a="1"/>
  <c r="N836" i="17" s="1"/>
  <c r="M837" i="17" a="1"/>
  <c r="N837" i="17" s="1"/>
  <c r="M838" i="17" a="1"/>
  <c r="N838" i="17" s="1"/>
  <c r="M839" i="17" a="1"/>
  <c r="N839" i="17" s="1"/>
  <c r="M840" i="17" a="1"/>
  <c r="N840" i="17" s="1"/>
  <c r="M841" i="17" a="1"/>
  <c r="N841" i="17" s="1"/>
  <c r="M842" i="17" a="1"/>
  <c r="N842" i="17" s="1"/>
  <c r="M843" i="17" a="1"/>
  <c r="N843" i="17" s="1"/>
  <c r="M844" i="17" a="1"/>
  <c r="N844" i="17" s="1"/>
  <c r="M845" i="17" a="1"/>
  <c r="N845" i="17" s="1"/>
  <c r="M846" i="17" a="1"/>
  <c r="N846" i="17" s="1"/>
  <c r="M847" i="17" a="1"/>
  <c r="N847" i="17" s="1"/>
  <c r="M848" i="17" a="1"/>
  <c r="N848" i="17" s="1"/>
  <c r="M849" i="17" a="1"/>
  <c r="N849" i="17" s="1"/>
  <c r="M850" i="17" a="1"/>
  <c r="N850" i="17" s="1"/>
  <c r="M851" i="17" a="1"/>
  <c r="N851" i="17" s="1"/>
  <c r="M852" i="17" a="1"/>
  <c r="N852" i="17" s="1"/>
  <c r="M853" i="17" a="1"/>
  <c r="N853" i="17" s="1"/>
  <c r="M854" i="17" a="1"/>
  <c r="N854" i="17" s="1"/>
  <c r="M855" i="17" a="1"/>
  <c r="N855" i="17" s="1"/>
  <c r="M856" i="17" a="1"/>
  <c r="N856" i="17" s="1"/>
  <c r="M857" i="17" a="1"/>
  <c r="N857" i="17" s="1"/>
  <c r="M858" i="17" a="1"/>
  <c r="N858" i="17" s="1"/>
  <c r="M859" i="17" a="1"/>
  <c r="N859" i="17" s="1"/>
  <c r="M860" i="17" a="1"/>
  <c r="N860" i="17" s="1"/>
  <c r="M861" i="17" a="1"/>
  <c r="N861" i="17" s="1"/>
  <c r="M862" i="17" a="1"/>
  <c r="N862" i="17" s="1"/>
  <c r="M863" i="17" a="1"/>
  <c r="N863" i="17" s="1"/>
  <c r="M864" i="17" a="1"/>
  <c r="N864" i="17" s="1"/>
  <c r="M865" i="17" a="1"/>
  <c r="N865" i="17" s="1"/>
  <c r="M866" i="17" a="1"/>
  <c r="N866" i="17" s="1"/>
  <c r="M867" i="17" a="1"/>
  <c r="N867" i="17" s="1"/>
  <c r="M868" i="17" a="1"/>
  <c r="N868" i="17" s="1"/>
  <c r="M869" i="17" a="1"/>
  <c r="N869" i="17" s="1"/>
  <c r="M870" i="17" a="1"/>
  <c r="N870" i="17" s="1"/>
  <c r="M871" i="17" a="1"/>
  <c r="N871" i="17" s="1"/>
  <c r="M872" i="17" a="1"/>
  <c r="N872" i="17" s="1"/>
  <c r="M873" i="17" a="1"/>
  <c r="N873" i="17" s="1"/>
  <c r="M874" i="17" a="1"/>
  <c r="N874" i="17" s="1"/>
  <c r="M875" i="17" a="1"/>
  <c r="N875" i="17" s="1"/>
  <c r="M876" i="17" a="1"/>
  <c r="N876" i="17" s="1"/>
  <c r="M877" i="17" a="1"/>
  <c r="N877" i="17" s="1"/>
  <c r="M878" i="17" a="1"/>
  <c r="N878" i="17" s="1"/>
  <c r="M879" i="17" a="1"/>
  <c r="N879" i="17" s="1"/>
  <c r="M880" i="17" a="1"/>
  <c r="N880" i="17" s="1"/>
  <c r="M881" i="17" a="1"/>
  <c r="N881" i="17" s="1"/>
  <c r="M882" i="17" a="1"/>
  <c r="N882" i="17" s="1"/>
  <c r="M883" i="17" a="1"/>
  <c r="N883" i="17" s="1"/>
  <c r="M884" i="17" a="1"/>
  <c r="N884" i="17" s="1"/>
  <c r="M885" i="17" a="1"/>
  <c r="N885" i="17" s="1"/>
  <c r="M886" i="17" a="1"/>
  <c r="N886" i="17" s="1"/>
  <c r="M887" i="17" a="1"/>
  <c r="N887" i="17" s="1"/>
  <c r="M888" i="17" a="1"/>
  <c r="N888" i="17" s="1"/>
  <c r="M889" i="17" a="1"/>
  <c r="N889" i="17" s="1"/>
  <c r="M890" i="17" a="1"/>
  <c r="N890" i="17" s="1"/>
  <c r="M891" i="17" a="1"/>
  <c r="N891" i="17" s="1"/>
  <c r="M892" i="17" a="1"/>
  <c r="N892" i="17" s="1"/>
  <c r="M893" i="17" a="1"/>
  <c r="N893" i="17" s="1"/>
  <c r="M894" i="17" a="1"/>
  <c r="N894" i="17" s="1"/>
  <c r="M895" i="17" a="1"/>
  <c r="N895" i="17" s="1"/>
  <c r="M896" i="17" a="1"/>
  <c r="N896" i="17" s="1"/>
  <c r="M897" i="17" a="1"/>
  <c r="N897" i="17" s="1"/>
  <c r="M898" i="17" a="1"/>
  <c r="N898" i="17" s="1"/>
  <c r="M899" i="17" a="1"/>
  <c r="N899" i="17" s="1"/>
  <c r="M900" i="17" a="1"/>
  <c r="N900" i="17" s="1"/>
  <c r="M901" i="17" a="1"/>
  <c r="N901" i="17" s="1"/>
  <c r="M902" i="17" a="1"/>
  <c r="N902" i="17" s="1"/>
  <c r="M903" i="17" a="1"/>
  <c r="N903" i="17" s="1"/>
  <c r="M904" i="17" a="1"/>
  <c r="N904" i="17" s="1"/>
  <c r="M905" i="17" a="1"/>
  <c r="N905" i="17" s="1"/>
  <c r="M906" i="17" a="1"/>
  <c r="N906" i="17" s="1"/>
  <c r="M907" i="17" a="1"/>
  <c r="N907" i="17" s="1"/>
  <c r="M908" i="17" a="1"/>
  <c r="N908" i="17" s="1"/>
  <c r="M909" i="17" a="1"/>
  <c r="N909" i="17" s="1"/>
  <c r="M910" i="17" a="1"/>
  <c r="N910" i="17" s="1"/>
  <c r="M911" i="17" a="1"/>
  <c r="N911" i="17" s="1"/>
  <c r="M912" i="17" a="1"/>
  <c r="N912" i="17" s="1"/>
  <c r="M913" i="17" a="1"/>
  <c r="N913" i="17" s="1"/>
  <c r="M914" i="17" a="1"/>
  <c r="N914" i="17" s="1"/>
  <c r="M915" i="17" a="1"/>
  <c r="N915" i="17" s="1"/>
  <c r="M916" i="17" a="1"/>
  <c r="N916" i="17" s="1"/>
  <c r="M917" i="17" a="1"/>
  <c r="N917" i="17" s="1"/>
  <c r="M918" i="17" a="1"/>
  <c r="N918" i="17" s="1"/>
  <c r="M919" i="17" a="1"/>
  <c r="N919" i="17" s="1"/>
  <c r="M920" i="17" a="1"/>
  <c r="N920" i="17" s="1"/>
  <c r="M921" i="17" a="1"/>
  <c r="N921" i="17" s="1"/>
  <c r="M922" i="17" a="1"/>
  <c r="N922" i="17" s="1"/>
  <c r="M923" i="17" a="1"/>
  <c r="N923" i="17" s="1"/>
  <c r="M924" i="17" a="1"/>
  <c r="N924" i="17" s="1"/>
  <c r="M925" i="17" a="1"/>
  <c r="N925" i="17" s="1"/>
  <c r="M926" i="17" a="1"/>
  <c r="N926" i="17" s="1"/>
  <c r="M927" i="17" a="1"/>
  <c r="N927" i="17" s="1"/>
  <c r="M928" i="17" a="1"/>
  <c r="N928" i="17" s="1"/>
  <c r="M929" i="17" a="1"/>
  <c r="N929" i="17" s="1"/>
  <c r="M930" i="17" a="1"/>
  <c r="N930" i="17" s="1"/>
  <c r="M931" i="17" a="1"/>
  <c r="N931" i="17" s="1"/>
  <c r="M932" i="17" a="1"/>
  <c r="N932" i="17" s="1"/>
  <c r="M933" i="17" a="1"/>
  <c r="N933" i="17" s="1"/>
  <c r="M934" i="17" a="1"/>
  <c r="N934" i="17" s="1"/>
  <c r="M935" i="17" a="1"/>
  <c r="N935" i="17" s="1"/>
  <c r="M936" i="17" a="1"/>
  <c r="N936" i="17" s="1"/>
  <c r="M937" i="17" a="1"/>
  <c r="N937" i="17" s="1"/>
  <c r="M938" i="17" a="1"/>
  <c r="N938" i="17" s="1"/>
  <c r="M939" i="17" a="1"/>
  <c r="N939" i="17" s="1"/>
  <c r="M940" i="17" a="1"/>
  <c r="N940" i="17" s="1"/>
  <c r="M941" i="17" a="1"/>
  <c r="N941" i="17" s="1"/>
  <c r="M942" i="17" a="1"/>
  <c r="N942" i="17" s="1"/>
  <c r="M943" i="17" a="1"/>
  <c r="N943" i="17" s="1"/>
  <c r="M944" i="17" a="1"/>
  <c r="N944" i="17" s="1"/>
  <c r="M945" i="17" a="1"/>
  <c r="N945" i="17" s="1"/>
  <c r="M946" i="17" a="1"/>
  <c r="N946" i="17" s="1"/>
  <c r="M947" i="17" a="1"/>
  <c r="N947" i="17" s="1"/>
  <c r="M948" i="17" a="1"/>
  <c r="N948" i="17" s="1"/>
  <c r="M949" i="17" a="1"/>
  <c r="N949" i="17" s="1"/>
  <c r="M950" i="17" a="1"/>
  <c r="N950" i="17" s="1"/>
  <c r="M951" i="17" a="1"/>
  <c r="N951" i="17" s="1"/>
  <c r="M952" i="17" a="1"/>
  <c r="N952" i="17" s="1"/>
  <c r="M953" i="17" a="1"/>
  <c r="N953" i="17" s="1"/>
  <c r="M954" i="17" a="1"/>
  <c r="N954" i="17" s="1"/>
  <c r="M955" i="17" a="1"/>
  <c r="N955" i="17" s="1"/>
  <c r="M956" i="17" a="1"/>
  <c r="N956" i="17" s="1"/>
  <c r="M958" i="17" a="1"/>
  <c r="N958" i="17" s="1"/>
  <c r="M959" i="17" a="1"/>
  <c r="N959" i="17" s="1"/>
  <c r="M960" i="17" a="1"/>
  <c r="N960" i="17" s="1"/>
  <c r="M961" i="17" a="1"/>
  <c r="N961" i="17" s="1"/>
  <c r="M962" i="17" a="1"/>
  <c r="N962" i="17" s="1"/>
  <c r="M963" i="17" a="1"/>
  <c r="N963" i="17" s="1"/>
  <c r="M964" i="17" a="1"/>
  <c r="N964" i="17" s="1"/>
  <c r="M965" i="17" a="1"/>
  <c r="N965" i="17" s="1"/>
  <c r="M966" i="17" a="1"/>
  <c r="N966" i="17" s="1"/>
  <c r="M967" i="17" a="1"/>
  <c r="N967" i="17" s="1"/>
  <c r="M968" i="17" a="1"/>
  <c r="N968" i="17" s="1"/>
  <c r="M969" i="17" a="1"/>
  <c r="N969" i="17" s="1"/>
  <c r="M970" i="17" a="1"/>
  <c r="N970" i="17" s="1"/>
  <c r="M971" i="17" a="1"/>
  <c r="N971" i="17" s="1"/>
  <c r="M972" i="17" a="1"/>
  <c r="N972" i="17" s="1"/>
  <c r="M974" i="17" a="1"/>
  <c r="N974" i="17" s="1"/>
  <c r="M975" i="17" a="1"/>
  <c r="N975" i="17" s="1"/>
  <c r="M976" i="17" a="1"/>
  <c r="N976" i="17" s="1"/>
  <c r="M977" i="17" a="1"/>
  <c r="N977" i="17" s="1"/>
  <c r="M978" i="17" a="1"/>
  <c r="N978" i="17" s="1"/>
  <c r="M979" i="17" a="1"/>
  <c r="N979" i="17" s="1"/>
  <c r="M980" i="17" a="1"/>
  <c r="N980" i="17" s="1"/>
  <c r="M981" i="17" a="1"/>
  <c r="N981" i="17" s="1"/>
  <c r="M982" i="17" a="1"/>
  <c r="N982" i="17" s="1"/>
  <c r="M983" i="17" a="1"/>
  <c r="N983" i="17" s="1"/>
  <c r="M984" i="17" a="1"/>
  <c r="N984" i="17" s="1"/>
  <c r="M985" i="17" a="1"/>
  <c r="N985" i="17" s="1"/>
  <c r="M986" i="17" a="1"/>
  <c r="N986" i="17" s="1"/>
  <c r="M987" i="17" a="1"/>
  <c r="N987" i="17" s="1"/>
  <c r="M988" i="17" a="1"/>
  <c r="N988" i="17" s="1"/>
  <c r="M989" i="17" a="1"/>
  <c r="N989" i="17" s="1"/>
  <c r="M990" i="17" a="1"/>
  <c r="N990" i="17" s="1"/>
  <c r="M991" i="17" a="1"/>
  <c r="N991" i="17" s="1"/>
  <c r="M992" i="17" a="1"/>
  <c r="N992" i="17" s="1"/>
  <c r="M993" i="17" a="1"/>
  <c r="N993" i="17" s="1"/>
  <c r="M994" i="17" a="1"/>
  <c r="N994" i="17" s="1"/>
  <c r="M995" i="17" a="1"/>
  <c r="N995" i="17" s="1"/>
  <c r="M996" i="17" a="1"/>
  <c r="N996" i="17" s="1"/>
  <c r="M997" i="17" a="1"/>
  <c r="N997" i="17" s="1"/>
  <c r="M998" i="17" a="1"/>
  <c r="N998" i="17" s="1"/>
  <c r="M999" i="17" a="1"/>
  <c r="N999" i="17" s="1"/>
  <c r="M1000" i="17" a="1"/>
  <c r="N1000" i="17" s="1"/>
  <c r="M1001" i="17" a="1"/>
  <c r="N1001" i="17" s="1"/>
  <c r="M1002" i="17" a="1"/>
  <c r="N1002" i="17" s="1"/>
  <c r="M1003" i="17" a="1"/>
  <c r="N1003" i="17" s="1"/>
  <c r="M1004" i="17" a="1"/>
  <c r="N1004" i="17" s="1"/>
  <c r="M1005" i="17" a="1"/>
  <c r="N1005" i="17" s="1"/>
  <c r="M1006" i="17" a="1"/>
  <c r="N1006" i="17" s="1"/>
  <c r="M1007" i="17" a="1"/>
  <c r="N1007" i="17" s="1"/>
  <c r="M1008" i="17" a="1"/>
  <c r="N1008" i="17" s="1"/>
  <c r="M1009" i="17" a="1"/>
  <c r="N1009" i="17" s="1"/>
  <c r="M1010" i="17" a="1"/>
  <c r="N1010" i="17" s="1"/>
  <c r="M1011" i="17" a="1"/>
  <c r="N1011" i="17" s="1"/>
  <c r="M1012" i="17" a="1"/>
  <c r="N1012" i="17" s="1"/>
  <c r="M1013" i="17" a="1"/>
  <c r="N1013" i="17" s="1"/>
  <c r="M1014" i="17" a="1"/>
  <c r="N1014" i="17" s="1"/>
  <c r="M1015" i="17" a="1"/>
  <c r="N1015" i="17" s="1"/>
  <c r="M1016" i="17" a="1"/>
  <c r="N1016" i="17" s="1"/>
  <c r="M1017" i="17" a="1"/>
  <c r="N1017" i="17" s="1"/>
  <c r="M1018" i="17" a="1"/>
  <c r="N1018" i="17" s="1"/>
  <c r="M1019" i="17" a="1"/>
  <c r="N1019" i="17" s="1"/>
  <c r="M1020" i="17" a="1"/>
  <c r="N1020" i="17" s="1"/>
  <c r="M1021" i="17" a="1"/>
  <c r="N1021" i="17" s="1"/>
  <c r="M1022" i="17" a="1"/>
  <c r="N1022" i="17" s="1"/>
  <c r="M1023" i="17" a="1"/>
  <c r="N1023" i="17" s="1"/>
  <c r="M1024" i="17" a="1"/>
  <c r="N1024" i="17" s="1"/>
  <c r="M1025" i="17" a="1"/>
  <c r="N1025" i="17" s="1"/>
  <c r="M1026" i="17" a="1"/>
  <c r="N1026" i="17" s="1"/>
  <c r="M1027" i="17" a="1"/>
  <c r="N1027" i="17" s="1"/>
  <c r="M1028" i="17" a="1"/>
  <c r="N1028" i="17" s="1"/>
  <c r="M1029" i="17" a="1"/>
  <c r="N1029" i="17" s="1"/>
  <c r="M1030" i="17" a="1"/>
  <c r="N1030" i="17" s="1"/>
  <c r="M1031" i="17" a="1"/>
  <c r="N1031" i="17" s="1"/>
  <c r="M1032" i="17" a="1"/>
  <c r="N1032" i="17" s="1"/>
  <c r="M1033" i="17" a="1"/>
  <c r="N1033" i="17" s="1"/>
  <c r="M1034" i="17" a="1"/>
  <c r="N1034" i="17" s="1"/>
  <c r="M1035" i="17" a="1"/>
  <c r="N1035" i="17" s="1"/>
  <c r="AC1019" i="17"/>
  <c r="B1037" i="14"/>
  <c r="B1038" i="14"/>
  <c r="I1037" i="14"/>
  <c r="H1037" i="14" s="1"/>
  <c r="I1038" i="14"/>
  <c r="H1038" i="14" s="1"/>
  <c r="J1037" i="14"/>
  <c r="J1038" i="14"/>
  <c r="K1037" i="14"/>
  <c r="K1038" i="14"/>
  <c r="M1037" i="14"/>
  <c r="M1038" i="14"/>
  <c r="N1037" i="14"/>
  <c r="N1038" i="14"/>
  <c r="O1037" i="14"/>
  <c r="O1038" i="14"/>
  <c r="P1037" i="14"/>
  <c r="P1038" i="14"/>
  <c r="Q1037" i="14"/>
  <c r="Q1038" i="14"/>
  <c r="B1036" i="14"/>
  <c r="I1036" i="14"/>
  <c r="J1036" i="14"/>
  <c r="K1036" i="14"/>
  <c r="M1036" i="14"/>
  <c r="N1036" i="14"/>
  <c r="O1036" i="14"/>
  <c r="P1036" i="14"/>
  <c r="Q1036" i="14"/>
  <c r="B1035" i="1"/>
  <c r="AD1035" i="1"/>
  <c r="AE1035" i="1" a="1"/>
  <c r="AH1035" i="1" s="1"/>
  <c r="AF1035" i="1" a="1"/>
  <c r="AG1035" i="1" a="1"/>
  <c r="B1035" i="14"/>
  <c r="I1035" i="14"/>
  <c r="J1035" i="14"/>
  <c r="K1035" i="14"/>
  <c r="M1035" i="14"/>
  <c r="N1035" i="14"/>
  <c r="O1035" i="14"/>
  <c r="P1035" i="14"/>
  <c r="Q1035" i="14"/>
  <c r="E1035" i="17"/>
  <c r="H1035" i="17" a="1"/>
  <c r="P1035" i="17"/>
  <c r="AA1035" i="17"/>
  <c r="AC1035" i="17" s="1"/>
  <c r="AD1035" i="17" a="1"/>
  <c r="O1035" i="17" s="1" a="1"/>
  <c r="B1033" i="1"/>
  <c r="B1034" i="1"/>
  <c r="AD1033" i="1"/>
  <c r="AD1034" i="1"/>
  <c r="AE1033" i="1" a="1"/>
  <c r="AH1033" i="1" s="1"/>
  <c r="AE1034" i="1" a="1"/>
  <c r="AH1034" i="1" s="1"/>
  <c r="AF1033" i="1" a="1"/>
  <c r="AF1034" i="1" a="1"/>
  <c r="AG1033" i="1" a="1"/>
  <c r="AG1034" i="1" a="1"/>
  <c r="AD1034" i="17" a="1"/>
  <c r="O1034" i="17" s="1" a="1"/>
  <c r="AA1034" i="17"/>
  <c r="AC1034" i="17" s="1"/>
  <c r="P1034" i="17"/>
  <c r="AD1033" i="17" a="1"/>
  <c r="O1033" i="17" s="1" a="1"/>
  <c r="AA1033" i="17"/>
  <c r="AC1033" i="17" s="1"/>
  <c r="P1033" i="17"/>
  <c r="E1033" i="17"/>
  <c r="E1034" i="17"/>
  <c r="H1033" i="17" a="1"/>
  <c r="H1034" i="17" a="1"/>
  <c r="B1034" i="14"/>
  <c r="I1034" i="14"/>
  <c r="J1034" i="14"/>
  <c r="K1034" i="14"/>
  <c r="M1034" i="14"/>
  <c r="N1034" i="14"/>
  <c r="O1034" i="14"/>
  <c r="P1034" i="14"/>
  <c r="Q1034" i="14"/>
  <c r="B1033" i="14"/>
  <c r="I1033" i="14"/>
  <c r="J1033" i="14"/>
  <c r="K1033" i="14"/>
  <c r="M1033" i="14"/>
  <c r="N1033" i="14"/>
  <c r="O1033" i="14"/>
  <c r="P1033" i="14"/>
  <c r="Q1033" i="14"/>
  <c r="B1031" i="1"/>
  <c r="B1032" i="1"/>
  <c r="AD1031" i="1"/>
  <c r="AD1032" i="1"/>
  <c r="AE1031" i="1" a="1"/>
  <c r="AH1031" i="1" s="1"/>
  <c r="AE1032" i="1" a="1"/>
  <c r="AH1032" i="1" s="1"/>
  <c r="AF1031" i="1" a="1"/>
  <c r="AF1032" i="1" a="1"/>
  <c r="AG1031" i="1" a="1"/>
  <c r="AG1032" i="1" a="1"/>
  <c r="AD1032" i="17" a="1"/>
  <c r="O1032" i="17" s="1" a="1"/>
  <c r="AA1032" i="17"/>
  <c r="AC1032" i="17" s="1"/>
  <c r="P1032" i="17"/>
  <c r="H1032" i="17" a="1"/>
  <c r="E1032" i="17"/>
  <c r="AD1031" i="17" a="1"/>
  <c r="O1031" i="17" s="1" a="1"/>
  <c r="AA1031" i="17"/>
  <c r="AC1031" i="17" s="1"/>
  <c r="P1031" i="17"/>
  <c r="H1031" i="17" a="1"/>
  <c r="E1031" i="17"/>
  <c r="Q1032" i="14"/>
  <c r="P1032" i="14"/>
  <c r="O1032" i="14"/>
  <c r="N1032" i="14"/>
  <c r="M1032" i="14"/>
  <c r="K1032" i="14"/>
  <c r="J1032" i="14"/>
  <c r="I1032" i="14"/>
  <c r="Q1031" i="14"/>
  <c r="P1031" i="14"/>
  <c r="O1031" i="14"/>
  <c r="N1031" i="14"/>
  <c r="M1031" i="14"/>
  <c r="K1031" i="14"/>
  <c r="J1031" i="14"/>
  <c r="I1031" i="14"/>
  <c r="B1032" i="14"/>
  <c r="B1031" i="14"/>
  <c r="B1030" i="1"/>
  <c r="AD1030" i="1"/>
  <c r="AE1030" i="1" a="1"/>
  <c r="AH1030" i="1" s="1"/>
  <c r="AF1030" i="1" a="1"/>
  <c r="AG1030" i="1" a="1"/>
  <c r="AD1030" i="17" a="1"/>
  <c r="O1030" i="17" s="1" a="1"/>
  <c r="Q1030" i="17"/>
  <c r="AA1030" i="17" s="1"/>
  <c r="AC1030" i="17" s="1"/>
  <c r="P1030" i="17"/>
  <c r="H1030" i="17" a="1"/>
  <c r="E1030" i="17"/>
  <c r="B1030" i="14"/>
  <c r="I1030" i="14"/>
  <c r="J1030" i="14"/>
  <c r="K1030" i="14"/>
  <c r="M1030" i="14"/>
  <c r="N1030" i="14"/>
  <c r="O1030" i="14"/>
  <c r="P1030" i="14"/>
  <c r="Q1030" i="14"/>
  <c r="B1029" i="1"/>
  <c r="AD1029" i="1"/>
  <c r="AE1029" i="1" a="1"/>
  <c r="AH1029" i="1" s="1"/>
  <c r="AF1029" i="1" a="1"/>
  <c r="AG1029" i="1" a="1"/>
  <c r="AA1029" i="17"/>
  <c r="AC1029" i="17" s="1"/>
  <c r="H1029" i="17" a="1"/>
  <c r="E1029" i="17"/>
  <c r="P1029" i="17"/>
  <c r="AD1029" i="17" a="1"/>
  <c r="O1029" i="17" s="1" a="1"/>
  <c r="B1029" i="14"/>
  <c r="I1029" i="14"/>
  <c r="J1029" i="14"/>
  <c r="K1029" i="14"/>
  <c r="M1029" i="14"/>
  <c r="N1029" i="14"/>
  <c r="O1029" i="14"/>
  <c r="P1029" i="14"/>
  <c r="Q1029" i="14"/>
  <c r="B1028" i="1"/>
  <c r="AD1028" i="1"/>
  <c r="AE1028" i="1" a="1"/>
  <c r="AH1028" i="1" s="1"/>
  <c r="AF1028" i="1" a="1"/>
  <c r="AG1028" i="1" a="1"/>
  <c r="Q1028" i="17"/>
  <c r="AA1028" i="17" s="1"/>
  <c r="AC1028" i="17" s="1"/>
  <c r="H1028" i="17" a="1"/>
  <c r="E1028" i="17"/>
  <c r="P1028" i="17"/>
  <c r="AD1028" i="17" a="1"/>
  <c r="O1028" i="17" s="1" a="1"/>
  <c r="B1028" i="14"/>
  <c r="I1028" i="14"/>
  <c r="J1028" i="14"/>
  <c r="K1028" i="14"/>
  <c r="M1028" i="14"/>
  <c r="N1028" i="14"/>
  <c r="O1028" i="14"/>
  <c r="P1028" i="14"/>
  <c r="Q1028" i="14"/>
  <c r="B1027" i="1"/>
  <c r="AD1027" i="1"/>
  <c r="AE1027" i="1" a="1"/>
  <c r="AH1027" i="1" s="1"/>
  <c r="AF1027" i="1" a="1"/>
  <c r="AG1027" i="1" a="1"/>
  <c r="Q1027" i="17"/>
  <c r="E1027" i="17"/>
  <c r="H1027" i="17" a="1"/>
  <c r="P1027" i="17"/>
  <c r="AA1027" i="17"/>
  <c r="AC1027" i="17" s="1"/>
  <c r="AD1027" i="17" a="1"/>
  <c r="O1027" i="17" s="1" a="1"/>
  <c r="B1027" i="14"/>
  <c r="I1027" i="14"/>
  <c r="J1027" i="14"/>
  <c r="K1027" i="14"/>
  <c r="M1027" i="14"/>
  <c r="N1027" i="14"/>
  <c r="O1027" i="14"/>
  <c r="P1027" i="14"/>
  <c r="Q1027" i="14"/>
  <c r="B1026" i="1"/>
  <c r="AD1026" i="1"/>
  <c r="AE1026" i="1" a="1"/>
  <c r="AH1026" i="1" s="1"/>
  <c r="AF1026" i="1" a="1"/>
  <c r="AG1026" i="1" a="1"/>
  <c r="AD1026" i="17" a="1"/>
  <c r="O1026" i="17" s="1" a="1"/>
  <c r="AA1026" i="17"/>
  <c r="AC1026" i="17" s="1"/>
  <c r="P1026" i="17"/>
  <c r="H1026" i="17" a="1"/>
  <c r="E1026" i="17"/>
  <c r="B1026" i="14"/>
  <c r="I1026" i="14"/>
  <c r="J1026" i="14"/>
  <c r="K1026" i="14"/>
  <c r="M1026" i="14"/>
  <c r="N1026" i="14"/>
  <c r="O1026" i="14"/>
  <c r="P1026" i="14"/>
  <c r="Q1026" i="14"/>
  <c r="B1025" i="1"/>
  <c r="AD1025" i="1"/>
  <c r="AE1025" i="1" a="1"/>
  <c r="AH1025" i="1" s="1"/>
  <c r="AF1025" i="1" a="1"/>
  <c r="AG1025" i="1" a="1"/>
  <c r="E1025" i="17"/>
  <c r="H1025" i="17" a="1"/>
  <c r="P1025" i="17"/>
  <c r="AA1025" i="17"/>
  <c r="AC1025" i="17" s="1"/>
  <c r="AD1025" i="17" a="1"/>
  <c r="O1025" i="17" s="1" a="1"/>
  <c r="B1025" i="14"/>
  <c r="I1025" i="14"/>
  <c r="J1025" i="14"/>
  <c r="K1025" i="14"/>
  <c r="M1025" i="14"/>
  <c r="N1025" i="14"/>
  <c r="O1025" i="14"/>
  <c r="P1025" i="14"/>
  <c r="Q1025" i="14"/>
  <c r="B740" i="14"/>
  <c r="B1024" i="1"/>
  <c r="AD1024" i="1"/>
  <c r="AE1024" i="1" a="1"/>
  <c r="AH1024" i="1" s="1"/>
  <c r="AF1024" i="1" a="1"/>
  <c r="AG1024" i="1" a="1"/>
  <c r="E1024" i="17"/>
  <c r="H1024" i="17" a="1"/>
  <c r="P1024" i="17"/>
  <c r="AA1024" i="17"/>
  <c r="AC1024" i="17" s="1"/>
  <c r="AD1024" i="17" a="1"/>
  <c r="O1024" i="17" s="1" a="1"/>
  <c r="Q1024" i="14"/>
  <c r="P1024" i="14"/>
  <c r="O1024" i="14"/>
  <c r="N1024" i="14"/>
  <c r="M1024" i="14"/>
  <c r="K1024" i="14"/>
  <c r="J1024" i="14"/>
  <c r="I1024" i="14"/>
  <c r="B1024" i="14"/>
  <c r="B1022" i="1"/>
  <c r="B1023" i="1"/>
  <c r="AD1022" i="1"/>
  <c r="AD1023" i="1"/>
  <c r="AE1022" i="1" a="1"/>
  <c r="AH1022" i="1" s="1"/>
  <c r="AE1023" i="1" a="1"/>
  <c r="AH1023" i="1" s="1"/>
  <c r="AF1022" i="1" a="1"/>
  <c r="AF1023" i="1" a="1"/>
  <c r="AG1022" i="1" a="1"/>
  <c r="AG1023" i="1" a="1"/>
  <c r="E1022" i="17"/>
  <c r="E1023" i="17"/>
  <c r="H1022" i="17" a="1"/>
  <c r="H1023" i="17" a="1"/>
  <c r="P1022" i="17"/>
  <c r="P1023" i="17"/>
  <c r="AA1022" i="17"/>
  <c r="AC1022" i="17" s="1"/>
  <c r="AA1023" i="17"/>
  <c r="AC1023" i="17" s="1"/>
  <c r="AD1022" i="17" a="1"/>
  <c r="O1022" i="17" s="1" a="1"/>
  <c r="AD1023" i="17" a="1"/>
  <c r="O1023" i="17" s="1" a="1"/>
  <c r="Q1023" i="14"/>
  <c r="P1023" i="14"/>
  <c r="O1023" i="14"/>
  <c r="N1023" i="14"/>
  <c r="M1023" i="14"/>
  <c r="K1023" i="14"/>
  <c r="J1023" i="14"/>
  <c r="I1023" i="14"/>
  <c r="B1023" i="14"/>
  <c r="Q1022" i="14"/>
  <c r="P1022" i="14"/>
  <c r="O1022" i="14"/>
  <c r="N1022" i="14"/>
  <c r="M1022" i="14"/>
  <c r="K1022" i="14"/>
  <c r="J1022" i="14"/>
  <c r="I1022" i="14"/>
  <c r="B1022" i="14"/>
  <c r="B1021" i="1"/>
  <c r="AD1021" i="1"/>
  <c r="AE1021" i="1" a="1"/>
  <c r="AH1021" i="1" s="1"/>
  <c r="AF1021" i="1" a="1"/>
  <c r="AG1021" i="1" a="1"/>
  <c r="AD1021" i="17" a="1"/>
  <c r="O1021" i="17" s="1" a="1"/>
  <c r="AA1021" i="17"/>
  <c r="AC1021" i="17" s="1"/>
  <c r="P1021" i="17"/>
  <c r="H1021" i="17" a="1"/>
  <c r="E1021" i="17"/>
  <c r="Q1021" i="14"/>
  <c r="P1021" i="14"/>
  <c r="O1021" i="14"/>
  <c r="N1021" i="14"/>
  <c r="M1021" i="14"/>
  <c r="K1021" i="14"/>
  <c r="J1021" i="14"/>
  <c r="I1021" i="14"/>
  <c r="B1021" i="14"/>
  <c r="B1020" i="1"/>
  <c r="AD1020" i="1"/>
  <c r="AE1020" i="1" a="1"/>
  <c r="AH1020" i="1" s="1"/>
  <c r="AF1020" i="1" a="1"/>
  <c r="AG1020" i="1" a="1"/>
  <c r="AD1020" i="17" a="1"/>
  <c r="O1020" i="17" s="1" a="1"/>
  <c r="AA1020" i="17"/>
  <c r="AC1020" i="17" s="1"/>
  <c r="P1020" i="17"/>
  <c r="E1020" i="17"/>
  <c r="H1020" i="17" a="1"/>
  <c r="B1020" i="14"/>
  <c r="I1020" i="14"/>
  <c r="J1020" i="14"/>
  <c r="K1020" i="14"/>
  <c r="M1020" i="14"/>
  <c r="N1020" i="14"/>
  <c r="O1020" i="14"/>
  <c r="P1020" i="14"/>
  <c r="Q1020" i="14"/>
  <c r="B1019" i="1"/>
  <c r="AD1019" i="1"/>
  <c r="AE1019" i="1" a="1"/>
  <c r="AH1019" i="1" s="1"/>
  <c r="AF1019" i="1" a="1"/>
  <c r="AG1019" i="1" a="1"/>
  <c r="E1019" i="17"/>
  <c r="H1019" i="17" a="1"/>
  <c r="P1019" i="17"/>
  <c r="AD1019" i="17" a="1"/>
  <c r="O1019" i="17" s="1" a="1"/>
  <c r="B1019" i="14"/>
  <c r="I1019" i="14"/>
  <c r="J1019" i="14"/>
  <c r="K1019" i="14"/>
  <c r="M1019" i="14"/>
  <c r="N1019" i="14"/>
  <c r="O1019" i="14"/>
  <c r="P1019" i="14"/>
  <c r="Q1019" i="14"/>
  <c r="J1018" i="17"/>
  <c r="B1018" i="1"/>
  <c r="AD1018" i="1"/>
  <c r="AE1018" i="1" a="1"/>
  <c r="AH1018" i="1" s="1"/>
  <c r="AF1018" i="1" a="1"/>
  <c r="AG1018" i="1" a="1"/>
  <c r="E1018" i="17"/>
  <c r="H1018" i="17" a="1"/>
  <c r="P1018" i="17"/>
  <c r="AA1018" i="17"/>
  <c r="AC1018" i="17" s="1"/>
  <c r="AD1018" i="17" a="1"/>
  <c r="O1018" i="17" s="1" a="1"/>
  <c r="B1018" i="14"/>
  <c r="I1018" i="14"/>
  <c r="J1018" i="14"/>
  <c r="K1018" i="14"/>
  <c r="M1018" i="14"/>
  <c r="N1018" i="14"/>
  <c r="O1018" i="14"/>
  <c r="P1018" i="14"/>
  <c r="Q1018" i="14"/>
  <c r="P953" i="17"/>
  <c r="AA953" i="17"/>
  <c r="AC953" i="17" s="1"/>
  <c r="F1115" i="24" a="1"/>
  <c r="F1114" i="24" a="1"/>
  <c r="F1113" i="24" a="1"/>
  <c r="F1112" i="24" a="1"/>
  <c r="F1111" i="24" a="1"/>
  <c r="F1110" i="24" a="1"/>
  <c r="F1109" i="24" a="1"/>
  <c r="F1108" i="24" a="1"/>
  <c r="F1107" i="24" a="1"/>
  <c r="F1106" i="24" a="1"/>
  <c r="F1105" i="24" a="1"/>
  <c r="F1104" i="24" a="1"/>
  <c r="F1103" i="24" a="1"/>
  <c r="F1102" i="24" a="1"/>
  <c r="F1101" i="24" a="1"/>
  <c r="F1100" i="24" a="1"/>
  <c r="F1099" i="24" a="1"/>
  <c r="F1098" i="24" a="1"/>
  <c r="F1097" i="24" a="1"/>
  <c r="F1096" i="24" a="1"/>
  <c r="F1095" i="24" a="1"/>
  <c r="F1094" i="24" a="1"/>
  <c r="F1093" i="24" a="1"/>
  <c r="F1092" i="24" a="1"/>
  <c r="F1091" i="24" a="1"/>
  <c r="F1090" i="24" a="1"/>
  <c r="F1089" i="24" a="1"/>
  <c r="F1088" i="24" a="1"/>
  <c r="F1087" i="24" a="1"/>
  <c r="F1086" i="24" a="1"/>
  <c r="F1085" i="24" a="1"/>
  <c r="F1084" i="24" a="1"/>
  <c r="F1083" i="24" a="1"/>
  <c r="F1082" i="24" a="1"/>
  <c r="F1081" i="24" a="1"/>
  <c r="F1080" i="24" a="1"/>
  <c r="F1079" i="24" a="1"/>
  <c r="F1078" i="24" a="1"/>
  <c r="F1077" i="24" a="1"/>
  <c r="F1076" i="24" a="1"/>
  <c r="F1075" i="24" a="1"/>
  <c r="F1074" i="24" a="1"/>
  <c r="F1073" i="24" a="1"/>
  <c r="F1072" i="24" a="1"/>
  <c r="F1071" i="24" a="1"/>
  <c r="F1070" i="24" a="1"/>
  <c r="F1069" i="24" a="1"/>
  <c r="F1068" i="24" a="1"/>
  <c r="F1067" i="24" a="1"/>
  <c r="F1066" i="24" a="1"/>
  <c r="F1065" i="24" a="1"/>
  <c r="F1064" i="24" a="1"/>
  <c r="F1063" i="24" a="1"/>
  <c r="F1062" i="24" a="1"/>
  <c r="F1061" i="24" a="1"/>
  <c r="F1060" i="24" a="1"/>
  <c r="F1059" i="24" a="1"/>
  <c r="Z70" i="17"/>
  <c r="AA70" i="17" s="1"/>
  <c r="AC70" i="17" s="1"/>
  <c r="Z69" i="17"/>
  <c r="AA69" i="17" s="1"/>
  <c r="AC69" i="17" s="1"/>
  <c r="I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H573" i="14" s="1"/>
  <c r="I574" i="14"/>
  <c r="H574" i="14" s="1"/>
  <c r="I575" i="14"/>
  <c r="H575" i="14" s="1"/>
  <c r="I576" i="14"/>
  <c r="H576" i="14" s="1"/>
  <c r="I577" i="14"/>
  <c r="I578" i="14"/>
  <c r="I579" i="14"/>
  <c r="I580" i="14"/>
  <c r="I581" i="14"/>
  <c r="I582" i="14"/>
  <c r="I583" i="14"/>
  <c r="I584" i="14"/>
  <c r="I585" i="14"/>
  <c r="I586" i="14"/>
  <c r="I587" i="14"/>
  <c r="H587" i="14" s="1"/>
  <c r="I588" i="14"/>
  <c r="H588" i="14" s="1"/>
  <c r="I589" i="14"/>
  <c r="H589" i="14" s="1"/>
  <c r="I590" i="14"/>
  <c r="H590" i="14" s="1"/>
  <c r="I591" i="14"/>
  <c r="H591" i="14" s="1"/>
  <c r="I592" i="14"/>
  <c r="I593" i="14"/>
  <c r="I594" i="14"/>
  <c r="I595" i="14"/>
  <c r="I596" i="14"/>
  <c r="I597" i="14"/>
  <c r="I598" i="14"/>
  <c r="I599" i="14"/>
  <c r="H599" i="14" s="1"/>
  <c r="I600" i="14"/>
  <c r="I601" i="14"/>
  <c r="I602" i="14"/>
  <c r="H602" i="14" s="1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H617" i="14" s="1"/>
  <c r="I618" i="14"/>
  <c r="H618" i="14" s="1"/>
  <c r="I619" i="14"/>
  <c r="H619" i="14" s="1"/>
  <c r="I620" i="14"/>
  <c r="H620" i="14" s="1"/>
  <c r="I621" i="14"/>
  <c r="H621" i="14" s="1"/>
  <c r="I622" i="14"/>
  <c r="H622" i="14" s="1"/>
  <c r="I623" i="14"/>
  <c r="H623" i="14" s="1"/>
  <c r="I624" i="14"/>
  <c r="H624" i="14" s="1"/>
  <c r="I625" i="14"/>
  <c r="H625" i="14" s="1"/>
  <c r="I626" i="14"/>
  <c r="H626" i="14" s="1"/>
  <c r="I627" i="14"/>
  <c r="H627" i="14" s="1"/>
  <c r="I628" i="14"/>
  <c r="H628" i="14" s="1"/>
  <c r="I629" i="14"/>
  <c r="H629" i="14" s="1"/>
  <c r="I630" i="14"/>
  <c r="H630" i="14" s="1"/>
  <c r="I631" i="14"/>
  <c r="H631" i="14" s="1"/>
  <c r="I632" i="14"/>
  <c r="H632" i="14" s="1"/>
  <c r="I633" i="14"/>
  <c r="H633" i="14" s="1"/>
  <c r="I634" i="14"/>
  <c r="H634" i="14" s="1"/>
  <c r="I635" i="14"/>
  <c r="H635" i="14" s="1"/>
  <c r="I636" i="14"/>
  <c r="H636" i="14" s="1"/>
  <c r="I637" i="14"/>
  <c r="H637" i="14" s="1"/>
  <c r="I638" i="14"/>
  <c r="H638" i="14" s="1"/>
  <c r="I639" i="14"/>
  <c r="H639" i="14" s="1"/>
  <c r="I640" i="14"/>
  <c r="H640" i="14" s="1"/>
  <c r="I641" i="14"/>
  <c r="H641" i="14" s="1"/>
  <c r="I642" i="14"/>
  <c r="H642" i="14" s="1"/>
  <c r="I643" i="14"/>
  <c r="H643" i="14" s="1"/>
  <c r="I644" i="14"/>
  <c r="H644" i="14" s="1"/>
  <c r="I645" i="14"/>
  <c r="H645" i="14" s="1"/>
  <c r="I646" i="14"/>
  <c r="H646" i="14" s="1"/>
  <c r="I647" i="14"/>
  <c r="H647" i="14" s="1"/>
  <c r="I648" i="14"/>
  <c r="H648" i="14" s="1"/>
  <c r="I649" i="14"/>
  <c r="H649" i="14" s="1"/>
  <c r="I650" i="14"/>
  <c r="H650" i="14" s="1"/>
  <c r="I651" i="14"/>
  <c r="H651" i="14" s="1"/>
  <c r="I652" i="14"/>
  <c r="H652" i="14" s="1"/>
  <c r="I653" i="14"/>
  <c r="H653" i="14" s="1"/>
  <c r="I654" i="14"/>
  <c r="H654" i="14" s="1"/>
  <c r="I655" i="14"/>
  <c r="H655" i="14" s="1"/>
  <c r="I656" i="14"/>
  <c r="H656" i="14" s="1"/>
  <c r="I657" i="14"/>
  <c r="H657" i="14" s="1"/>
  <c r="I658" i="14"/>
  <c r="H658" i="14" s="1"/>
  <c r="I659" i="14"/>
  <c r="H659" i="14" s="1"/>
  <c r="I660" i="14"/>
  <c r="H660" i="14" s="1"/>
  <c r="I661" i="14"/>
  <c r="H661" i="14" s="1"/>
  <c r="I662" i="14"/>
  <c r="H662" i="14" s="1"/>
  <c r="I663" i="14"/>
  <c r="H663" i="14" s="1"/>
  <c r="I664" i="14"/>
  <c r="H664" i="14" s="1"/>
  <c r="I665" i="14"/>
  <c r="H665" i="14" s="1"/>
  <c r="I666" i="14"/>
  <c r="H666" i="14" s="1"/>
  <c r="I667" i="14"/>
  <c r="H667" i="14" s="1"/>
  <c r="I668" i="14"/>
  <c r="H668" i="14" s="1"/>
  <c r="I669" i="14"/>
  <c r="H669" i="14" s="1"/>
  <c r="I670" i="14"/>
  <c r="H670" i="14" s="1"/>
  <c r="I671" i="14"/>
  <c r="H671" i="14" s="1"/>
  <c r="I672" i="14"/>
  <c r="H672" i="14" s="1"/>
  <c r="I673" i="14"/>
  <c r="H673" i="14" s="1"/>
  <c r="I674" i="14"/>
  <c r="H674" i="14" s="1"/>
  <c r="I675" i="14"/>
  <c r="H675" i="14" s="1"/>
  <c r="I676" i="14"/>
  <c r="H676" i="14" s="1"/>
  <c r="I677" i="14"/>
  <c r="H677" i="14" s="1"/>
  <c r="I678" i="14"/>
  <c r="H678" i="14" s="1"/>
  <c r="I679" i="14"/>
  <c r="H679" i="14" s="1"/>
  <c r="I680" i="14"/>
  <c r="H680" i="14" s="1"/>
  <c r="I681" i="14"/>
  <c r="H681" i="14" s="1"/>
  <c r="I682" i="14"/>
  <c r="H682" i="14" s="1"/>
  <c r="I683" i="14"/>
  <c r="H683" i="14" s="1"/>
  <c r="I684" i="14"/>
  <c r="H684" i="14" s="1"/>
  <c r="I685" i="14"/>
  <c r="H685" i="14" s="1"/>
  <c r="I686" i="14"/>
  <c r="H686" i="14" s="1"/>
  <c r="I687" i="14"/>
  <c r="H687" i="14" s="1"/>
  <c r="I688" i="14"/>
  <c r="H688" i="14" s="1"/>
  <c r="I689" i="14"/>
  <c r="H689" i="14" s="1"/>
  <c r="I690" i="14"/>
  <c r="H690" i="14" s="1"/>
  <c r="I691" i="14"/>
  <c r="H691" i="14" s="1"/>
  <c r="I692" i="14"/>
  <c r="H692" i="14" s="1"/>
  <c r="I693" i="14"/>
  <c r="H693" i="14" s="1"/>
  <c r="I694" i="14"/>
  <c r="H694" i="14" s="1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H710" i="14" s="1"/>
  <c r="I711" i="14"/>
  <c r="I712" i="14"/>
  <c r="I713" i="14"/>
  <c r="I714" i="14"/>
  <c r="I715" i="14"/>
  <c r="I716" i="14"/>
  <c r="I717" i="14"/>
  <c r="H717" i="14" s="1"/>
  <c r="I718" i="14"/>
  <c r="I719" i="14"/>
  <c r="I720" i="14"/>
  <c r="I721" i="14"/>
  <c r="I722" i="14"/>
  <c r="I723" i="14"/>
  <c r="H723" i="14" s="1"/>
  <c r="I724" i="14"/>
  <c r="I725" i="14"/>
  <c r="I726" i="14"/>
  <c r="I727" i="14"/>
  <c r="I728" i="14"/>
  <c r="I729" i="14"/>
  <c r="I730" i="14"/>
  <c r="I731" i="14"/>
  <c r="I732" i="14"/>
  <c r="H732" i="14" s="1"/>
  <c r="I733" i="14"/>
  <c r="I734" i="14"/>
  <c r="I735" i="14"/>
  <c r="I736" i="14"/>
  <c r="I737" i="14"/>
  <c r="I738" i="14"/>
  <c r="I739" i="14"/>
  <c r="I740" i="14"/>
  <c r="I741" i="14"/>
  <c r="I742" i="14"/>
  <c r="H742" i="14" s="1"/>
  <c r="I743" i="14"/>
  <c r="I744" i="14"/>
  <c r="I745" i="14"/>
  <c r="I746" i="14"/>
  <c r="H746" i="14" s="1"/>
  <c r="I747" i="14"/>
  <c r="I748" i="14"/>
  <c r="I749" i="14"/>
  <c r="I750" i="14"/>
  <c r="I751" i="14"/>
  <c r="I752" i="14"/>
  <c r="I753" i="14"/>
  <c r="I754" i="14"/>
  <c r="I755" i="14"/>
  <c r="I756" i="14"/>
  <c r="I757" i="14"/>
  <c r="H757" i="14" s="1"/>
  <c r="I758" i="14"/>
  <c r="I759" i="14"/>
  <c r="H759" i="14" s="1"/>
  <c r="I760" i="14"/>
  <c r="I761" i="14"/>
  <c r="I762" i="14"/>
  <c r="H762" i="14" s="1"/>
  <c r="I763" i="14"/>
  <c r="H763" i="14" s="1"/>
  <c r="I764" i="14"/>
  <c r="H764" i="14" s="1"/>
  <c r="I765" i="14"/>
  <c r="H765" i="14" s="1"/>
  <c r="I766" i="14"/>
  <c r="H766" i="14" s="1"/>
  <c r="I767" i="14"/>
  <c r="H767" i="14" s="1"/>
  <c r="I768" i="14"/>
  <c r="H768" i="14" s="1"/>
  <c r="I769" i="14"/>
  <c r="H769" i="14" s="1"/>
  <c r="I770" i="14"/>
  <c r="H770" i="14" s="1"/>
  <c r="I771" i="14"/>
  <c r="H771" i="14" s="1"/>
  <c r="I772" i="14"/>
  <c r="H772" i="14" s="1"/>
  <c r="I773" i="14"/>
  <c r="H773" i="14" s="1"/>
  <c r="I774" i="14"/>
  <c r="H774" i="14" s="1"/>
  <c r="I775" i="14"/>
  <c r="H775" i="14" s="1"/>
  <c r="I776" i="14"/>
  <c r="H776" i="14" s="1"/>
  <c r="I777" i="14"/>
  <c r="H777" i="14" s="1"/>
  <c r="I778" i="14"/>
  <c r="H778" i="14" s="1"/>
  <c r="I779" i="14"/>
  <c r="H779" i="14" s="1"/>
  <c r="I780" i="14"/>
  <c r="H780" i="14" s="1"/>
  <c r="I781" i="14"/>
  <c r="H781" i="14" s="1"/>
  <c r="I782" i="14"/>
  <c r="H782" i="14" s="1"/>
  <c r="I783" i="14"/>
  <c r="H783" i="14" s="1"/>
  <c r="I784" i="14"/>
  <c r="H784" i="14" s="1"/>
  <c r="I785" i="14"/>
  <c r="H785" i="14" s="1"/>
  <c r="I786" i="14"/>
  <c r="H786" i="14" s="1"/>
  <c r="I787" i="14"/>
  <c r="H787" i="14" s="1"/>
  <c r="I788" i="14"/>
  <c r="H788" i="14" s="1"/>
  <c r="I789" i="14"/>
  <c r="H789" i="14" s="1"/>
  <c r="I790" i="14"/>
  <c r="H790" i="14" s="1"/>
  <c r="I791" i="14"/>
  <c r="H791" i="14" s="1"/>
  <c r="I792" i="14"/>
  <c r="H792" i="14" s="1"/>
  <c r="I793" i="14"/>
  <c r="H793" i="14" s="1"/>
  <c r="I794" i="14"/>
  <c r="H794" i="14" s="1"/>
  <c r="I795" i="14"/>
  <c r="H795" i="14" s="1"/>
  <c r="I796" i="14"/>
  <c r="H796" i="14" s="1"/>
  <c r="I797" i="14"/>
  <c r="H797" i="14" s="1"/>
  <c r="I798" i="14"/>
  <c r="H798" i="14" s="1"/>
  <c r="I799" i="14"/>
  <c r="H799" i="14" s="1"/>
  <c r="I800" i="14"/>
  <c r="H800" i="14" s="1"/>
  <c r="I801" i="14"/>
  <c r="H801" i="14" s="1"/>
  <c r="I802" i="14"/>
  <c r="H802" i="14" s="1"/>
  <c r="I803" i="14"/>
  <c r="H803" i="14" s="1"/>
  <c r="I804" i="14"/>
  <c r="H804" i="14" s="1"/>
  <c r="I805" i="14"/>
  <c r="H805" i="14" s="1"/>
  <c r="I806" i="14"/>
  <c r="H806" i="14" s="1"/>
  <c r="I807" i="14"/>
  <c r="I808" i="14"/>
  <c r="I809" i="14"/>
  <c r="I810" i="14"/>
  <c r="I811" i="14"/>
  <c r="I812" i="14"/>
  <c r="I813" i="14"/>
  <c r="I814" i="14"/>
  <c r="H814" i="14" s="1"/>
  <c r="I815" i="14"/>
  <c r="H815" i="14" s="1"/>
  <c r="I816" i="14"/>
  <c r="H816" i="14" s="1"/>
  <c r="I817" i="14"/>
  <c r="H817" i="14" s="1"/>
  <c r="I818" i="14"/>
  <c r="H818" i="14" s="1"/>
  <c r="I819" i="14"/>
  <c r="H819" i="14" s="1"/>
  <c r="I820" i="14"/>
  <c r="H820" i="14" s="1"/>
  <c r="I821" i="14"/>
  <c r="H821" i="14" s="1"/>
  <c r="I822" i="14"/>
  <c r="H822" i="14" s="1"/>
  <c r="I823" i="14"/>
  <c r="H823" i="14" s="1"/>
  <c r="I824" i="14"/>
  <c r="H824" i="14" s="1"/>
  <c r="I825" i="14"/>
  <c r="H825" i="14" s="1"/>
  <c r="I826" i="14"/>
  <c r="I827" i="14"/>
  <c r="I828" i="14"/>
  <c r="I829" i="14"/>
  <c r="I830" i="14"/>
  <c r="H830" i="14" s="1"/>
  <c r="I831" i="14"/>
  <c r="I832" i="14"/>
  <c r="I833" i="14"/>
  <c r="I834" i="14"/>
  <c r="I835" i="14"/>
  <c r="I836" i="14"/>
  <c r="I837" i="14"/>
  <c r="I838" i="14"/>
  <c r="H838" i="14" s="1"/>
  <c r="I839" i="14"/>
  <c r="I840" i="14"/>
  <c r="I841" i="14"/>
  <c r="I842" i="14"/>
  <c r="I843" i="14"/>
  <c r="I844" i="14"/>
  <c r="I845" i="14"/>
  <c r="H845" i="14" s="1"/>
  <c r="I846" i="14"/>
  <c r="I847" i="14"/>
  <c r="H847" i="14" s="1"/>
  <c r="I848" i="14"/>
  <c r="I849" i="14"/>
  <c r="I850" i="14"/>
  <c r="I851" i="14"/>
  <c r="I852" i="14"/>
  <c r="I853" i="14"/>
  <c r="H853" i="14" s="1"/>
  <c r="I854" i="14"/>
  <c r="H854" i="14" s="1"/>
  <c r="I855" i="14"/>
  <c r="I856" i="14"/>
  <c r="I857" i="14"/>
  <c r="I858" i="14"/>
  <c r="I859" i="14"/>
  <c r="I860" i="14"/>
  <c r="I861" i="14"/>
  <c r="I862" i="14"/>
  <c r="H862" i="14" s="1"/>
  <c r="I863" i="14"/>
  <c r="I864" i="14"/>
  <c r="I865" i="14"/>
  <c r="H865" i="14" s="1"/>
  <c r="I866" i="14"/>
  <c r="H866" i="14" s="1"/>
  <c r="I867" i="14"/>
  <c r="H867" i="14" s="1"/>
  <c r="I868" i="14"/>
  <c r="I869" i="14"/>
  <c r="I870" i="14"/>
  <c r="I871" i="14"/>
  <c r="I872" i="14"/>
  <c r="I873" i="14"/>
  <c r="H873" i="14" s="1"/>
  <c r="I874" i="14"/>
  <c r="I875" i="14"/>
  <c r="I876" i="14"/>
  <c r="I877" i="14"/>
  <c r="H877" i="14" s="1"/>
  <c r="I878" i="14"/>
  <c r="H878" i="14" s="1"/>
  <c r="I879" i="14"/>
  <c r="H879" i="14" s="1"/>
  <c r="I880" i="14"/>
  <c r="I881" i="14"/>
  <c r="I882" i="14"/>
  <c r="I883" i="14"/>
  <c r="I884" i="14"/>
  <c r="H884" i="14" s="1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D1115" i="24"/>
  <c r="C1115" i="24"/>
  <c r="B1115" i="24" a="1"/>
  <c r="D1114" i="24"/>
  <c r="C1114" i="24"/>
  <c r="B1114" i="24" a="1"/>
  <c r="D1113" i="24"/>
  <c r="C1113" i="24"/>
  <c r="B1113" i="24" a="1"/>
  <c r="D1112" i="24"/>
  <c r="C1112" i="24"/>
  <c r="B1112" i="24" a="1"/>
  <c r="D1111" i="24"/>
  <c r="C1111" i="24"/>
  <c r="B1111" i="24" a="1"/>
  <c r="D1110" i="24"/>
  <c r="C1110" i="24"/>
  <c r="B1110" i="24" a="1"/>
  <c r="D1109" i="24"/>
  <c r="C1109" i="24"/>
  <c r="B1109" i="24" a="1"/>
  <c r="D1108" i="24"/>
  <c r="C1108" i="24"/>
  <c r="B1108" i="24" a="1"/>
  <c r="E1107" i="24"/>
  <c r="D1107" i="24"/>
  <c r="C1107" i="24"/>
  <c r="B1107" i="24" a="1"/>
  <c r="E1106" i="24"/>
  <c r="D1106" i="24"/>
  <c r="C1106" i="24"/>
  <c r="B1106" i="24" a="1"/>
  <c r="E1105" i="24"/>
  <c r="D1105" i="24"/>
  <c r="C1105" i="24"/>
  <c r="B1105" i="24" a="1"/>
  <c r="E1104" i="24"/>
  <c r="D1104" i="24"/>
  <c r="C1104" i="24"/>
  <c r="B1104" i="24" a="1"/>
  <c r="E1103" i="24"/>
  <c r="D1103" i="24"/>
  <c r="C1103" i="24"/>
  <c r="B1103" i="24" a="1"/>
  <c r="E1102" i="24"/>
  <c r="D1102" i="24"/>
  <c r="C1102" i="24"/>
  <c r="B1102" i="24" a="1"/>
  <c r="E1101" i="24"/>
  <c r="D1101" i="24"/>
  <c r="C1101" i="24"/>
  <c r="B1101" i="24" a="1"/>
  <c r="E1100" i="24"/>
  <c r="D1100" i="24"/>
  <c r="C1100" i="24"/>
  <c r="B1100" i="24" a="1"/>
  <c r="E1099" i="24"/>
  <c r="D1099" i="24"/>
  <c r="C1099" i="24"/>
  <c r="B1099" i="24" a="1"/>
  <c r="E1098" i="24"/>
  <c r="D1098" i="24"/>
  <c r="C1098" i="24"/>
  <c r="B1098" i="24" a="1"/>
  <c r="E1097" i="24"/>
  <c r="D1097" i="24"/>
  <c r="C1097" i="24"/>
  <c r="B1097" i="24" a="1"/>
  <c r="E1096" i="24"/>
  <c r="D1096" i="24"/>
  <c r="C1096" i="24"/>
  <c r="B1096" i="24" a="1"/>
  <c r="E1095" i="24"/>
  <c r="D1095" i="24"/>
  <c r="C1095" i="24"/>
  <c r="B1095" i="24" a="1"/>
  <c r="E1094" i="24"/>
  <c r="D1094" i="24"/>
  <c r="C1094" i="24"/>
  <c r="B1094" i="24" a="1"/>
  <c r="E1093" i="24"/>
  <c r="D1093" i="24"/>
  <c r="C1093" i="24"/>
  <c r="B1093" i="24" a="1"/>
  <c r="E1092" i="24"/>
  <c r="D1092" i="24"/>
  <c r="C1092" i="24"/>
  <c r="B1092" i="24" a="1"/>
  <c r="E1091" i="24"/>
  <c r="D1091" i="24"/>
  <c r="C1091" i="24"/>
  <c r="B1091" i="24" a="1"/>
  <c r="E1090" i="24"/>
  <c r="D1090" i="24"/>
  <c r="C1090" i="24"/>
  <c r="B1090" i="24" a="1"/>
  <c r="E1089" i="24"/>
  <c r="D1089" i="24"/>
  <c r="B1089" i="24" a="1"/>
  <c r="E1088" i="24"/>
  <c r="D1088" i="24"/>
  <c r="C1088" i="24"/>
  <c r="B1088" i="24" a="1"/>
  <c r="D1087" i="24"/>
  <c r="C1087" i="24"/>
  <c r="B1087" i="24" a="1"/>
  <c r="D1086" i="24"/>
  <c r="C1086" i="24"/>
  <c r="B1086" i="24" a="1"/>
  <c r="D1085" i="24"/>
  <c r="C1085" i="24"/>
  <c r="B1085" i="24" a="1"/>
  <c r="D1084" i="24"/>
  <c r="C1084" i="24"/>
  <c r="B1084" i="24" a="1"/>
  <c r="D1083" i="24"/>
  <c r="C1083" i="24"/>
  <c r="B1083" i="24" a="1"/>
  <c r="D1082" i="24"/>
  <c r="C1082" i="24"/>
  <c r="B1082" i="24" a="1"/>
  <c r="D1081" i="24"/>
  <c r="C1081" i="24"/>
  <c r="B1081" i="24" a="1"/>
  <c r="D1080" i="24"/>
  <c r="C1080" i="24"/>
  <c r="B1080" i="24" a="1"/>
  <c r="E1079" i="24"/>
  <c r="D1079" i="24"/>
  <c r="C1079" i="24"/>
  <c r="B1079" i="24" a="1"/>
  <c r="E1078" i="24"/>
  <c r="D1078" i="24"/>
  <c r="C1078" i="24"/>
  <c r="B1078" i="24" a="1"/>
  <c r="E1077" i="24"/>
  <c r="D1077" i="24"/>
  <c r="C1077" i="24"/>
  <c r="B1077" i="24" a="1"/>
  <c r="E1076" i="24"/>
  <c r="D1076" i="24"/>
  <c r="C1076" i="24"/>
  <c r="B1076" i="24" a="1"/>
  <c r="E1075" i="24"/>
  <c r="D1075" i="24"/>
  <c r="C1075" i="24"/>
  <c r="B1075" i="24" a="1"/>
  <c r="E1074" i="24"/>
  <c r="D1074" i="24"/>
  <c r="C1074" i="24"/>
  <c r="B1074" i="24" a="1"/>
  <c r="E1073" i="24"/>
  <c r="D1073" i="24"/>
  <c r="C1073" i="24"/>
  <c r="B1073" i="24" a="1"/>
  <c r="E1072" i="24"/>
  <c r="D1072" i="24"/>
  <c r="C1072" i="24"/>
  <c r="B1072" i="24" a="1"/>
  <c r="E1071" i="24"/>
  <c r="D1071" i="24"/>
  <c r="C1071" i="24"/>
  <c r="B1071" i="24" a="1"/>
  <c r="E1070" i="24"/>
  <c r="D1070" i="24"/>
  <c r="C1070" i="24"/>
  <c r="B1070" i="24" a="1"/>
  <c r="E1069" i="24"/>
  <c r="D1069" i="24"/>
  <c r="C1069" i="24"/>
  <c r="B1069" i="24" a="1"/>
  <c r="E1068" i="24"/>
  <c r="D1068" i="24"/>
  <c r="C1068" i="24"/>
  <c r="B1068" i="24" a="1"/>
  <c r="E1067" i="24"/>
  <c r="D1067" i="24"/>
  <c r="C1067" i="24"/>
  <c r="B1067" i="24" a="1"/>
  <c r="E1066" i="24"/>
  <c r="D1066" i="24"/>
  <c r="C1066" i="24"/>
  <c r="B1066" i="24" a="1"/>
  <c r="E1065" i="24"/>
  <c r="D1065" i="24"/>
  <c r="C1065" i="24"/>
  <c r="B1065" i="24" a="1"/>
  <c r="E1064" i="24"/>
  <c r="D1064" i="24"/>
  <c r="C1064" i="24"/>
  <c r="B1064" i="24" a="1"/>
  <c r="E1063" i="24"/>
  <c r="D1063" i="24"/>
  <c r="C1063" i="24"/>
  <c r="B1063" i="24" a="1"/>
  <c r="E1062" i="24"/>
  <c r="D1062" i="24"/>
  <c r="C1062" i="24"/>
  <c r="B1062" i="24" a="1"/>
  <c r="E1061" i="24"/>
  <c r="D1061" i="24"/>
  <c r="C1061" i="24"/>
  <c r="B1061" i="24" a="1"/>
  <c r="E1060" i="24"/>
  <c r="D1060" i="24"/>
  <c r="C1060" i="24"/>
  <c r="B1060" i="24" a="1"/>
  <c r="E1059" i="24"/>
  <c r="D1059" i="24"/>
  <c r="C1059" i="24"/>
  <c r="B1059" i="24" a="1"/>
  <c r="B1017" i="1"/>
  <c r="AD1017" i="1"/>
  <c r="AE1017" i="1" a="1"/>
  <c r="AF1017" i="1" a="1"/>
  <c r="AG1017" i="1" a="1"/>
  <c r="E1017" i="17"/>
  <c r="H1017" i="17" a="1"/>
  <c r="P1017" i="17"/>
  <c r="AA1017" i="17"/>
  <c r="AC1017" i="17" s="1"/>
  <c r="AD1017" i="17" a="1"/>
  <c r="O1017" i="17" s="1" a="1"/>
  <c r="B1017" i="14"/>
  <c r="J1017" i="14"/>
  <c r="K1017" i="14"/>
  <c r="M1017" i="14"/>
  <c r="N1017" i="14"/>
  <c r="O1017" i="14"/>
  <c r="P1017" i="14"/>
  <c r="Q1017" i="14"/>
  <c r="B564" i="1"/>
  <c r="AA1013" i="17"/>
  <c r="AC1013" i="17" s="1"/>
  <c r="R1014" i="17"/>
  <c r="B1013" i="1"/>
  <c r="B1014" i="1"/>
  <c r="B1015" i="1"/>
  <c r="B1016" i="1"/>
  <c r="AD1013" i="1"/>
  <c r="AD1014" i="1"/>
  <c r="AD1015" i="1"/>
  <c r="AD1016" i="1"/>
  <c r="AE1013" i="1" a="1"/>
  <c r="AE1014" i="1" a="1"/>
  <c r="AH1014" i="1" s="1"/>
  <c r="AE1015" i="1" a="1"/>
  <c r="AE1016" i="1" a="1"/>
  <c r="AF1013" i="1" a="1"/>
  <c r="AF1014" i="1" a="1"/>
  <c r="AF1015" i="1" a="1"/>
  <c r="AF1016" i="1" a="1"/>
  <c r="AG1013" i="1" a="1"/>
  <c r="AG1014" i="1" a="1"/>
  <c r="AG1015" i="1" a="1"/>
  <c r="AG1016" i="1" a="1"/>
  <c r="E1013" i="17"/>
  <c r="E1014" i="17"/>
  <c r="E1015" i="17"/>
  <c r="E1016" i="17"/>
  <c r="H1013" i="17" a="1"/>
  <c r="H1014" i="17" a="1"/>
  <c r="H1015" i="17" a="1"/>
  <c r="H1016" i="17" a="1"/>
  <c r="P1013" i="17"/>
  <c r="P1014" i="17"/>
  <c r="P1015" i="17"/>
  <c r="P1016" i="17"/>
  <c r="AA1014" i="17"/>
  <c r="AC1014" i="17" s="1"/>
  <c r="AA1015" i="17"/>
  <c r="AC1015" i="17" s="1"/>
  <c r="AA1016" i="17"/>
  <c r="AC1016" i="17" s="1"/>
  <c r="AD1013" i="17" a="1"/>
  <c r="O1013" i="17" s="1" a="1"/>
  <c r="AD1014" i="17" a="1"/>
  <c r="O1014" i="17" s="1" a="1"/>
  <c r="AD1015" i="17" a="1"/>
  <c r="O1015" i="17" s="1" a="1"/>
  <c r="AD1016" i="17" a="1"/>
  <c r="O1016" i="17" s="1" a="1"/>
  <c r="B1016" i="14"/>
  <c r="J1016" i="14"/>
  <c r="K1016" i="14"/>
  <c r="M1016" i="14"/>
  <c r="N1016" i="14"/>
  <c r="O1016" i="14"/>
  <c r="P1016" i="14"/>
  <c r="Q1016" i="14"/>
  <c r="B1015" i="14"/>
  <c r="J1015" i="14"/>
  <c r="K1015" i="14"/>
  <c r="M1015" i="14"/>
  <c r="N1015" i="14"/>
  <c r="O1015" i="14"/>
  <c r="P1015" i="14"/>
  <c r="Q1015" i="14"/>
  <c r="B1014" i="14"/>
  <c r="J1014" i="14"/>
  <c r="K1014" i="14"/>
  <c r="M1014" i="14"/>
  <c r="N1014" i="14"/>
  <c r="O1014" i="14"/>
  <c r="P1014" i="14"/>
  <c r="Q1014" i="14"/>
  <c r="B1013" i="14"/>
  <c r="J1013" i="14"/>
  <c r="K1013" i="14"/>
  <c r="M1013" i="14"/>
  <c r="N1013" i="14"/>
  <c r="O1013" i="14"/>
  <c r="P1013" i="14"/>
  <c r="Q1013" i="14"/>
  <c r="B1012" i="1"/>
  <c r="AD1012" i="1"/>
  <c r="AE1012" i="1" a="1"/>
  <c r="AF1012" i="1" a="1"/>
  <c r="AG1012" i="1" a="1"/>
  <c r="AD1012" i="17" a="1"/>
  <c r="O1012" i="17" s="1" a="1"/>
  <c r="AA1012" i="17"/>
  <c r="AC1012" i="17" s="1"/>
  <c r="P1012" i="17"/>
  <c r="H1012" i="17" a="1"/>
  <c r="E1012" i="17"/>
  <c r="Q1012" i="14"/>
  <c r="P1012" i="14"/>
  <c r="O1012" i="14"/>
  <c r="N1012" i="14"/>
  <c r="M1012" i="14"/>
  <c r="K1012" i="14"/>
  <c r="J1012" i="14"/>
  <c r="B1012" i="14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D1011" i="1"/>
  <c r="AE1011" i="1" a="1"/>
  <c r="AF1011" i="1" a="1"/>
  <c r="AG1011" i="1" a="1"/>
  <c r="E1011" i="17"/>
  <c r="H1011" i="17" a="1"/>
  <c r="P1011" i="17"/>
  <c r="AA1011" i="17"/>
  <c r="AC1011" i="17" s="1"/>
  <c r="AD1011" i="17" a="1"/>
  <c r="O1011" i="17" s="1" a="1"/>
  <c r="B1011" i="14"/>
  <c r="J1011" i="14"/>
  <c r="K1011" i="14"/>
  <c r="M1011" i="14"/>
  <c r="N1011" i="14"/>
  <c r="O1011" i="14"/>
  <c r="P1011" i="14"/>
  <c r="Q1011" i="14"/>
  <c r="AD1010" i="1"/>
  <c r="AE1010" i="1" a="1"/>
  <c r="AF1010" i="1" a="1"/>
  <c r="AG1010" i="1" a="1"/>
  <c r="P1010" i="17"/>
  <c r="E1010" i="17"/>
  <c r="H1010" i="17" a="1"/>
  <c r="AA1010" i="17"/>
  <c r="AC1010" i="17" s="1"/>
  <c r="AD1010" i="17" a="1"/>
  <c r="O1010" i="17" s="1" a="1"/>
  <c r="B1010" i="14"/>
  <c r="J1010" i="14"/>
  <c r="K1010" i="14"/>
  <c r="M1010" i="14"/>
  <c r="N1010" i="14"/>
  <c r="O1010" i="14"/>
  <c r="P1010" i="14"/>
  <c r="Q1010" i="14"/>
  <c r="AD1009" i="1"/>
  <c r="AE1009" i="1" a="1"/>
  <c r="AH1009" i="1" s="1"/>
  <c r="AF1009" i="1" a="1"/>
  <c r="AG1009" i="1" a="1"/>
  <c r="E1009" i="17"/>
  <c r="H1009" i="17" a="1"/>
  <c r="P1009" i="17"/>
  <c r="AA1009" i="17"/>
  <c r="AC1009" i="17" s="1"/>
  <c r="AD1009" i="17" a="1"/>
  <c r="O1009" i="17" s="1" a="1"/>
  <c r="B1009" i="14"/>
  <c r="J1009" i="14"/>
  <c r="K1009" i="14"/>
  <c r="M1009" i="14"/>
  <c r="N1009" i="14"/>
  <c r="O1009" i="14"/>
  <c r="P1009" i="14"/>
  <c r="Q1009" i="14"/>
  <c r="AD1008" i="1"/>
  <c r="AE1008" i="1" a="1"/>
  <c r="AF1008" i="1" a="1"/>
  <c r="AG1008" i="1" a="1"/>
  <c r="E1008" i="17"/>
  <c r="H1008" i="17" a="1"/>
  <c r="P1008" i="17"/>
  <c r="AA1008" i="17"/>
  <c r="AC1008" i="17" s="1"/>
  <c r="AD1008" i="17" a="1"/>
  <c r="O1008" i="17" s="1" a="1"/>
  <c r="B1008" i="14"/>
  <c r="J1008" i="14"/>
  <c r="K1008" i="14"/>
  <c r="M1008" i="14"/>
  <c r="N1008" i="14"/>
  <c r="O1008" i="14"/>
  <c r="P1008" i="14"/>
  <c r="Q1008" i="14"/>
  <c r="AD1007" i="1"/>
  <c r="AE1007" i="1" a="1"/>
  <c r="AF1007" i="1" a="1"/>
  <c r="AG1007" i="1" a="1"/>
  <c r="P1007" i="17"/>
  <c r="E1007" i="17"/>
  <c r="H1007" i="17" a="1"/>
  <c r="AA1007" i="17"/>
  <c r="AC1007" i="17" s="1"/>
  <c r="AD1007" i="17" a="1"/>
  <c r="O1007" i="17" s="1" a="1"/>
  <c r="B1007" i="14"/>
  <c r="J1007" i="14"/>
  <c r="K1007" i="14"/>
  <c r="M1007" i="14"/>
  <c r="N1007" i="14"/>
  <c r="O1007" i="14"/>
  <c r="P1007" i="14"/>
  <c r="Q1007" i="14"/>
  <c r="AD1006" i="1"/>
  <c r="AE1006" i="1" a="1"/>
  <c r="AH1006" i="1" s="1"/>
  <c r="AF1006" i="1" a="1"/>
  <c r="AG1006" i="1" a="1"/>
  <c r="P1006" i="17"/>
  <c r="E1006" i="17"/>
  <c r="H1006" i="17" a="1"/>
  <c r="AA1006" i="17"/>
  <c r="AC1006" i="17" s="1"/>
  <c r="AD1006" i="17" a="1"/>
  <c r="O1006" i="17" s="1" a="1"/>
  <c r="B1006" i="14"/>
  <c r="J1006" i="14"/>
  <c r="K1006" i="14"/>
  <c r="M1006" i="14"/>
  <c r="N1006" i="14"/>
  <c r="O1006" i="14"/>
  <c r="P1006" i="14"/>
  <c r="Q1006" i="14"/>
  <c r="AD1005" i="1"/>
  <c r="AE1005" i="1" a="1"/>
  <c r="AF1005" i="1" a="1"/>
  <c r="AG1005" i="1" a="1"/>
  <c r="P1005" i="17"/>
  <c r="E1005" i="17"/>
  <c r="H1005" i="17" a="1"/>
  <c r="AA1005" i="17"/>
  <c r="AC1005" i="17" s="1"/>
  <c r="AD1005" i="17" a="1"/>
  <c r="O1005" i="17" s="1" a="1"/>
  <c r="Q1005" i="14"/>
  <c r="P1005" i="14"/>
  <c r="O1005" i="14"/>
  <c r="N1005" i="14"/>
  <c r="M1005" i="14"/>
  <c r="K1005" i="14"/>
  <c r="J1005" i="14"/>
  <c r="B1005" i="14"/>
  <c r="AD1004" i="1"/>
  <c r="AE1004" i="1" a="1"/>
  <c r="AF1004" i="1" a="1"/>
  <c r="AG1004" i="1" a="1"/>
  <c r="P1004" i="17"/>
  <c r="E1004" i="17"/>
  <c r="H1004" i="17" a="1"/>
  <c r="AA1004" i="17"/>
  <c r="AC1004" i="17" s="1"/>
  <c r="AD1004" i="17" a="1"/>
  <c r="O1004" i="17" s="1" a="1"/>
  <c r="B1004" i="14"/>
  <c r="J1004" i="14"/>
  <c r="K1004" i="14"/>
  <c r="M1004" i="14"/>
  <c r="N1004" i="14"/>
  <c r="O1004" i="14"/>
  <c r="P1004" i="14"/>
  <c r="Q1004" i="14"/>
  <c r="AD1003" i="1"/>
  <c r="AE1003" i="1" a="1"/>
  <c r="AF1003" i="1" a="1"/>
  <c r="AG1003" i="1" a="1"/>
  <c r="E1003" i="17"/>
  <c r="H1003" i="17" a="1"/>
  <c r="P1003" i="17"/>
  <c r="AA1003" i="17"/>
  <c r="AC1003" i="17" s="1"/>
  <c r="AD1003" i="17" a="1"/>
  <c r="O1003" i="17" s="1" a="1"/>
  <c r="B1003" i="14"/>
  <c r="J1003" i="14"/>
  <c r="K1003" i="14"/>
  <c r="M1003" i="14"/>
  <c r="N1003" i="14"/>
  <c r="O1003" i="14"/>
  <c r="P1003" i="14"/>
  <c r="Q1003" i="14"/>
  <c r="AD1002" i="1"/>
  <c r="AE1002" i="1" a="1"/>
  <c r="AF1002" i="1" a="1"/>
  <c r="AG1002" i="1" a="1"/>
  <c r="AD1002" i="17" a="1"/>
  <c r="O1002" i="17" s="1" a="1"/>
  <c r="Z1002" i="17"/>
  <c r="Q1002" i="17"/>
  <c r="P1002" i="17"/>
  <c r="H1002" i="17" a="1"/>
  <c r="E1002" i="17"/>
  <c r="B1002" i="14"/>
  <c r="J1002" i="14"/>
  <c r="K1002" i="14"/>
  <c r="M1002" i="14"/>
  <c r="N1002" i="14"/>
  <c r="O1002" i="14"/>
  <c r="P1002" i="14"/>
  <c r="Q1002" i="14"/>
  <c r="AD999" i="17" a="1"/>
  <c r="O999" i="17" s="1" a="1"/>
  <c r="AA999" i="17"/>
  <c r="AC999" i="17" s="1"/>
  <c r="P999" i="17"/>
  <c r="AD999" i="1"/>
  <c r="AD1000" i="1"/>
  <c r="AD1001" i="1"/>
  <c r="AE999" i="1" a="1"/>
  <c r="AH999" i="1" s="1"/>
  <c r="AE1000" i="1" a="1"/>
  <c r="AH1000" i="1" s="1"/>
  <c r="AE1001" i="1" a="1"/>
  <c r="AH1001" i="1" s="1"/>
  <c r="AF999" i="1" a="1"/>
  <c r="AF1000" i="1" a="1"/>
  <c r="AF1001" i="1" a="1"/>
  <c r="AG999" i="1" a="1"/>
  <c r="AG1000" i="1" a="1"/>
  <c r="AG1001" i="1" a="1"/>
  <c r="AD1001" i="17" a="1"/>
  <c r="O1001" i="17" s="1" a="1"/>
  <c r="Z1001" i="17"/>
  <c r="AA1001" i="17" s="1"/>
  <c r="AC1001" i="17" s="1"/>
  <c r="P1001" i="17"/>
  <c r="E999" i="17"/>
  <c r="E1000" i="17"/>
  <c r="E1001" i="17"/>
  <c r="H999" i="17" a="1"/>
  <c r="H1000" i="17" a="1"/>
  <c r="H1001" i="17" a="1"/>
  <c r="P1000" i="17"/>
  <c r="AA1000" i="17"/>
  <c r="AC1000" i="17" s="1"/>
  <c r="AD1000" i="17" a="1"/>
  <c r="O1000" i="17" s="1" a="1"/>
  <c r="B1001" i="14"/>
  <c r="J1001" i="14"/>
  <c r="K1001" i="14"/>
  <c r="M1001" i="14"/>
  <c r="N1001" i="14"/>
  <c r="O1001" i="14"/>
  <c r="P1001" i="14"/>
  <c r="Q1001" i="14"/>
  <c r="B1000" i="14"/>
  <c r="J1000" i="14"/>
  <c r="K1000" i="14"/>
  <c r="M1000" i="14"/>
  <c r="N1000" i="14"/>
  <c r="O1000" i="14"/>
  <c r="P1000" i="14"/>
  <c r="Q1000" i="14"/>
  <c r="B999" i="14"/>
  <c r="J999" i="14"/>
  <c r="K999" i="14"/>
  <c r="M999" i="14"/>
  <c r="N999" i="14"/>
  <c r="O999" i="14"/>
  <c r="P999" i="14"/>
  <c r="Q999" i="14"/>
  <c r="AD998" i="1"/>
  <c r="AE998" i="1" a="1"/>
  <c r="AH998" i="1" s="1"/>
  <c r="AF998" i="1" a="1"/>
  <c r="AG998" i="1" a="1"/>
  <c r="E998" i="17"/>
  <c r="H998" i="17" a="1"/>
  <c r="P998" i="17"/>
  <c r="AA998" i="17"/>
  <c r="AC998" i="17" s="1"/>
  <c r="AD998" i="17" a="1"/>
  <c r="O998" i="17" s="1" a="1"/>
  <c r="B998" i="14"/>
  <c r="J998" i="14"/>
  <c r="K998" i="14"/>
  <c r="M998" i="14"/>
  <c r="N998" i="14"/>
  <c r="O998" i="14"/>
  <c r="P998" i="14"/>
  <c r="Q998" i="14"/>
  <c r="AD997" i="1"/>
  <c r="AE997" i="1" a="1"/>
  <c r="AH997" i="1" s="1"/>
  <c r="AF997" i="1" a="1"/>
  <c r="AG997" i="1" a="1"/>
  <c r="E997" i="17"/>
  <c r="H997" i="17" a="1"/>
  <c r="P997" i="17"/>
  <c r="AA997" i="17"/>
  <c r="AC997" i="17" s="1"/>
  <c r="AD997" i="17" a="1"/>
  <c r="O997" i="17" s="1" a="1"/>
  <c r="B997" i="14"/>
  <c r="J997" i="14"/>
  <c r="K997" i="14"/>
  <c r="M997" i="14"/>
  <c r="N997" i="14"/>
  <c r="O997" i="14"/>
  <c r="P997" i="14"/>
  <c r="Q997" i="14"/>
  <c r="AD996" i="1"/>
  <c r="AE996" i="1" a="1"/>
  <c r="AH996" i="1" s="1"/>
  <c r="AF996" i="1" a="1"/>
  <c r="AG996" i="1" a="1"/>
  <c r="E996" i="17"/>
  <c r="H996" i="17" a="1"/>
  <c r="P996" i="17"/>
  <c r="AA996" i="17"/>
  <c r="AC996" i="17" s="1"/>
  <c r="AD996" i="17" a="1"/>
  <c r="O996" i="17" s="1" a="1"/>
  <c r="B996" i="14"/>
  <c r="J996" i="14"/>
  <c r="K996" i="14"/>
  <c r="M996" i="14"/>
  <c r="N996" i="14"/>
  <c r="O996" i="14"/>
  <c r="P996" i="14"/>
  <c r="Q996" i="14"/>
  <c r="AD995" i="1"/>
  <c r="AE995" i="1" a="1"/>
  <c r="AH995" i="1" s="1"/>
  <c r="AF995" i="1" a="1"/>
  <c r="AG995" i="1" a="1"/>
  <c r="E995" i="17"/>
  <c r="H995" i="17" a="1"/>
  <c r="P995" i="17"/>
  <c r="AA995" i="17"/>
  <c r="AC995" i="17" s="1"/>
  <c r="AD995" i="17" a="1"/>
  <c r="O995" i="17" s="1" a="1"/>
  <c r="B995" i="14"/>
  <c r="J995" i="14"/>
  <c r="K995" i="14"/>
  <c r="M995" i="14"/>
  <c r="N995" i="14"/>
  <c r="O995" i="14"/>
  <c r="P995" i="14"/>
  <c r="Q995" i="14"/>
  <c r="Q994" i="17"/>
  <c r="AE994" i="17"/>
  <c r="J994" i="17"/>
  <c r="R994" i="17"/>
  <c r="AD994" i="1"/>
  <c r="AE994" i="1" a="1"/>
  <c r="AH994" i="1" s="1"/>
  <c r="AF994" i="1" a="1"/>
  <c r="AG994" i="1" a="1"/>
  <c r="E994" i="17"/>
  <c r="H994" i="17" a="1"/>
  <c r="P994" i="17"/>
  <c r="AA994" i="17"/>
  <c r="AC994" i="17" s="1"/>
  <c r="AD994" i="17" a="1"/>
  <c r="O994" i="17" s="1" a="1"/>
  <c r="B994" i="14"/>
  <c r="J994" i="14"/>
  <c r="K994" i="14"/>
  <c r="M994" i="14"/>
  <c r="N994" i="14"/>
  <c r="O994" i="14"/>
  <c r="P994" i="14"/>
  <c r="Q994" i="14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A2" i="24" a="1"/>
  <c r="AG993" i="1" a="1"/>
  <c r="AF993" i="1" a="1"/>
  <c r="AE993" i="1" a="1"/>
  <c r="AH993" i="1" s="1"/>
  <c r="AD993" i="1"/>
  <c r="AG992" i="1" a="1"/>
  <c r="AF992" i="1" a="1"/>
  <c r="AE992" i="1" a="1"/>
  <c r="AH992" i="1" s="1"/>
  <c r="AD992" i="1"/>
  <c r="AG991" i="1" a="1"/>
  <c r="AF991" i="1" a="1"/>
  <c r="AE991" i="1" a="1"/>
  <c r="AH991" i="1" s="1"/>
  <c r="AD991" i="1"/>
  <c r="AG990" i="1" a="1"/>
  <c r="AF990" i="1" a="1"/>
  <c r="AE990" i="1" a="1"/>
  <c r="AH990" i="1" s="1"/>
  <c r="AD990" i="1"/>
  <c r="AG989" i="1" a="1"/>
  <c r="AF989" i="1" a="1"/>
  <c r="AE989" i="1" a="1"/>
  <c r="AH989" i="1" s="1"/>
  <c r="AD989" i="1"/>
  <c r="AG988" i="1" a="1"/>
  <c r="AF988" i="1" a="1"/>
  <c r="AE988" i="1" a="1"/>
  <c r="AH988" i="1" s="1"/>
  <c r="AD988" i="1"/>
  <c r="AG987" i="1" a="1"/>
  <c r="AF987" i="1" a="1"/>
  <c r="AE987" i="1" a="1"/>
  <c r="AD987" i="1"/>
  <c r="AG986" i="1" a="1"/>
  <c r="AF986" i="1" a="1"/>
  <c r="AE986" i="1" a="1"/>
  <c r="AH986" i="1" s="1"/>
  <c r="AD986" i="1"/>
  <c r="AG985" i="1" a="1"/>
  <c r="AF985" i="1" a="1"/>
  <c r="AE985" i="1" a="1"/>
  <c r="AH985" i="1" s="1"/>
  <c r="AD985" i="1"/>
  <c r="AG984" i="1" a="1"/>
  <c r="AF984" i="1" a="1"/>
  <c r="AE984" i="1" a="1"/>
  <c r="AH984" i="1" s="1"/>
  <c r="AD984" i="1"/>
  <c r="AG983" i="1" a="1"/>
  <c r="AF983" i="1" a="1"/>
  <c r="AE983" i="1" a="1"/>
  <c r="AD983" i="1"/>
  <c r="AG982" i="1" a="1"/>
  <c r="AF982" i="1" a="1"/>
  <c r="AE982" i="1" a="1"/>
  <c r="AH982" i="1" s="1"/>
  <c r="AD982" i="1"/>
  <c r="AG981" i="1" a="1"/>
  <c r="AF981" i="1" a="1"/>
  <c r="AE981" i="1" a="1"/>
  <c r="AH981" i="1" s="1"/>
  <c r="AD981" i="1"/>
  <c r="AG980" i="1" a="1"/>
  <c r="AF980" i="1" a="1"/>
  <c r="AE980" i="1" a="1"/>
  <c r="AH980" i="1" s="1"/>
  <c r="AD980" i="1"/>
  <c r="AG979" i="1" a="1"/>
  <c r="AF979" i="1" a="1"/>
  <c r="AE979" i="1" a="1"/>
  <c r="AH979" i="1" s="1"/>
  <c r="AD979" i="1"/>
  <c r="AG978" i="1" a="1"/>
  <c r="AF978" i="1" a="1"/>
  <c r="AE978" i="1" a="1"/>
  <c r="AH978" i="1" s="1"/>
  <c r="AD978" i="1"/>
  <c r="AG977" i="1" a="1"/>
  <c r="AF977" i="1" a="1"/>
  <c r="AE977" i="1" a="1"/>
  <c r="AH977" i="1" s="1"/>
  <c r="AD977" i="1"/>
  <c r="AG976" i="1" a="1"/>
  <c r="AF976" i="1" a="1"/>
  <c r="AE976" i="1" a="1"/>
  <c r="AH976" i="1" s="1"/>
  <c r="AD976" i="1"/>
  <c r="AG975" i="1" a="1"/>
  <c r="AF975" i="1" a="1"/>
  <c r="AE975" i="1" a="1"/>
  <c r="AH975" i="1" s="1"/>
  <c r="AD975" i="1"/>
  <c r="AG974" i="1" a="1"/>
  <c r="AF974" i="1" a="1"/>
  <c r="AE974" i="1" a="1"/>
  <c r="AD974" i="1"/>
  <c r="AG973" i="1" a="1"/>
  <c r="AF973" i="1" a="1"/>
  <c r="AE973" i="1" a="1"/>
  <c r="AD973" i="1"/>
  <c r="AG972" i="1" a="1"/>
  <c r="AF972" i="1" a="1"/>
  <c r="AE972" i="1" a="1"/>
  <c r="AD972" i="1"/>
  <c r="AG971" i="1" a="1"/>
  <c r="AF971" i="1" a="1"/>
  <c r="AE971" i="1" a="1"/>
  <c r="AD971" i="1"/>
  <c r="AG970" i="1" a="1"/>
  <c r="AF970" i="1" a="1"/>
  <c r="AE970" i="1" a="1"/>
  <c r="AH970" i="1" s="1"/>
  <c r="AD970" i="1"/>
  <c r="AG969" i="1" a="1"/>
  <c r="AF969" i="1" a="1"/>
  <c r="AE969" i="1" a="1"/>
  <c r="AH969" i="1" s="1"/>
  <c r="AD969" i="1"/>
  <c r="AG968" i="1" a="1"/>
  <c r="AF968" i="1" a="1"/>
  <c r="AE968" i="1" a="1"/>
  <c r="AH968" i="1" s="1"/>
  <c r="AD968" i="1"/>
  <c r="AG967" i="1" a="1"/>
  <c r="AF967" i="1" a="1"/>
  <c r="AE967" i="1" a="1"/>
  <c r="AH967" i="1" s="1"/>
  <c r="AD967" i="1"/>
  <c r="AG966" i="1" a="1"/>
  <c r="AF966" i="1" a="1"/>
  <c r="AE966" i="1" a="1"/>
  <c r="AH966" i="1" s="1"/>
  <c r="AD966" i="1"/>
  <c r="AG965" i="1" a="1"/>
  <c r="AF965" i="1" a="1"/>
  <c r="AE965" i="1" a="1"/>
  <c r="AH965" i="1" s="1"/>
  <c r="AD965" i="1"/>
  <c r="AG964" i="1" a="1"/>
  <c r="AF964" i="1" a="1"/>
  <c r="AE964" i="1" a="1"/>
  <c r="AD964" i="1"/>
  <c r="AG963" i="1" a="1"/>
  <c r="AF963" i="1" a="1"/>
  <c r="AE963" i="1" a="1"/>
  <c r="AD963" i="1"/>
  <c r="AG962" i="1" a="1"/>
  <c r="AF962" i="1" a="1"/>
  <c r="AE962" i="1" a="1"/>
  <c r="AD962" i="1"/>
  <c r="AG961" i="1" a="1"/>
  <c r="AF961" i="1" a="1"/>
  <c r="AE961" i="1" a="1"/>
  <c r="AD961" i="1"/>
  <c r="AG960" i="1" a="1"/>
  <c r="AF960" i="1" a="1"/>
  <c r="AE960" i="1" a="1"/>
  <c r="AH960" i="1" s="1"/>
  <c r="AD960" i="1"/>
  <c r="AG959" i="1" a="1"/>
  <c r="AF959" i="1" a="1"/>
  <c r="AE959" i="1" a="1"/>
  <c r="AH959" i="1" s="1"/>
  <c r="AD959" i="1"/>
  <c r="AG958" i="1" a="1"/>
  <c r="AF958" i="1" a="1"/>
  <c r="AE958" i="1" a="1"/>
  <c r="AH958" i="1" s="1"/>
  <c r="AD958" i="1"/>
  <c r="AG957" i="1" a="1"/>
  <c r="AF957" i="1" a="1"/>
  <c r="AE957" i="1" a="1"/>
  <c r="AH957" i="1" s="1"/>
  <c r="AD957" i="1"/>
  <c r="AG956" i="1" a="1"/>
  <c r="AF956" i="1" a="1"/>
  <c r="AE956" i="1" a="1"/>
  <c r="AH956" i="1" s="1"/>
  <c r="AD956" i="1"/>
  <c r="AG955" i="1" a="1"/>
  <c r="AF955" i="1" a="1"/>
  <c r="AE955" i="1" a="1"/>
  <c r="AH955" i="1" s="1"/>
  <c r="AD955" i="1"/>
  <c r="AG954" i="1" a="1"/>
  <c r="AF954" i="1" a="1"/>
  <c r="AE954" i="1" a="1"/>
  <c r="AH954" i="1" s="1"/>
  <c r="AD954" i="1"/>
  <c r="AG953" i="1" a="1"/>
  <c r="AF953" i="1" a="1"/>
  <c r="AE953" i="1" a="1"/>
  <c r="AH953" i="1" s="1"/>
  <c r="AD953" i="1"/>
  <c r="AG952" i="1" a="1"/>
  <c r="AF952" i="1" a="1"/>
  <c r="AE952" i="1" a="1"/>
  <c r="AH952" i="1" s="1"/>
  <c r="AD952" i="1"/>
  <c r="AG951" i="1" a="1"/>
  <c r="AF951" i="1" a="1"/>
  <c r="AE951" i="1" a="1"/>
  <c r="AH951" i="1" s="1"/>
  <c r="AD951" i="1"/>
  <c r="AG950" i="1" a="1"/>
  <c r="AF950" i="1" a="1"/>
  <c r="AE950" i="1" a="1"/>
  <c r="AH950" i="1" s="1"/>
  <c r="AD950" i="1"/>
  <c r="AG949" i="1" a="1"/>
  <c r="AF949" i="1" a="1"/>
  <c r="AE949" i="1" a="1"/>
  <c r="AH949" i="1" s="1"/>
  <c r="AD949" i="1"/>
  <c r="AG948" i="1" a="1"/>
  <c r="AF948" i="1" a="1"/>
  <c r="AE948" i="1" a="1"/>
  <c r="AH948" i="1" s="1"/>
  <c r="AD948" i="1"/>
  <c r="AG947" i="1" a="1"/>
  <c r="AF947" i="1" a="1"/>
  <c r="AE947" i="1" a="1"/>
  <c r="AH947" i="1" s="1"/>
  <c r="AD947" i="1"/>
  <c r="AG946" i="1" a="1"/>
  <c r="AF946" i="1" a="1"/>
  <c r="AE946" i="1" a="1"/>
  <c r="AH946" i="1" s="1"/>
  <c r="AD946" i="1"/>
  <c r="AG945" i="1" a="1"/>
  <c r="AF945" i="1" a="1"/>
  <c r="AE945" i="1" a="1"/>
  <c r="AH945" i="1" s="1"/>
  <c r="AD945" i="1"/>
  <c r="AG944" i="1" a="1"/>
  <c r="AF944" i="1" a="1"/>
  <c r="AE944" i="1" a="1"/>
  <c r="AH944" i="1" s="1"/>
  <c r="AD944" i="1"/>
  <c r="AG943" i="1" a="1"/>
  <c r="AF943" i="1" a="1"/>
  <c r="AE943" i="1" a="1"/>
  <c r="AH943" i="1" s="1"/>
  <c r="AD943" i="1"/>
  <c r="AG942" i="1" a="1"/>
  <c r="AF942" i="1" a="1"/>
  <c r="AE942" i="1" a="1"/>
  <c r="AH942" i="1" s="1"/>
  <c r="AD942" i="1"/>
  <c r="AG941" i="1" a="1"/>
  <c r="AF941" i="1" a="1"/>
  <c r="AE941" i="1" a="1"/>
  <c r="AH941" i="1" s="1"/>
  <c r="AD941" i="1"/>
  <c r="AG940" i="1" a="1"/>
  <c r="AF940" i="1" a="1"/>
  <c r="AE940" i="1" a="1"/>
  <c r="AH940" i="1" s="1"/>
  <c r="AD940" i="1"/>
  <c r="AG939" i="1" a="1"/>
  <c r="AF939" i="1" a="1"/>
  <c r="AE939" i="1" a="1"/>
  <c r="AD939" i="1"/>
  <c r="AG938" i="1" a="1"/>
  <c r="AF938" i="1" a="1"/>
  <c r="AE938" i="1" a="1"/>
  <c r="AH938" i="1" s="1"/>
  <c r="AD938" i="1"/>
  <c r="AG937" i="1" a="1"/>
  <c r="AF937" i="1" a="1"/>
  <c r="AE937" i="1" a="1"/>
  <c r="AD937" i="1"/>
  <c r="AG936" i="1" a="1"/>
  <c r="AF936" i="1" a="1"/>
  <c r="AE936" i="1" a="1"/>
  <c r="AD936" i="1"/>
  <c r="AG935" i="1" a="1"/>
  <c r="AF935" i="1" a="1"/>
  <c r="AE935" i="1" a="1"/>
  <c r="AD935" i="1"/>
  <c r="AG934" i="1" a="1"/>
  <c r="AF934" i="1" a="1"/>
  <c r="AE934" i="1" a="1"/>
  <c r="AH934" i="1" s="1"/>
  <c r="AD934" i="1"/>
  <c r="AG933" i="1" a="1"/>
  <c r="AF933" i="1" a="1"/>
  <c r="AE933" i="1" a="1"/>
  <c r="AH933" i="1" s="1"/>
  <c r="AD933" i="1"/>
  <c r="AG932" i="1" a="1"/>
  <c r="AF932" i="1" a="1"/>
  <c r="AE932" i="1" a="1"/>
  <c r="AD932" i="1"/>
  <c r="AG931" i="1" a="1"/>
  <c r="AF931" i="1" a="1"/>
  <c r="AE931" i="1" a="1"/>
  <c r="AD931" i="1"/>
  <c r="AG930" i="1" a="1"/>
  <c r="AF930" i="1" a="1"/>
  <c r="AE930" i="1" a="1"/>
  <c r="AD930" i="1"/>
  <c r="AG929" i="1" a="1"/>
  <c r="AF929" i="1" a="1"/>
  <c r="AE929" i="1" a="1"/>
  <c r="AD929" i="1"/>
  <c r="AG928" i="1" a="1"/>
  <c r="AF928" i="1" a="1"/>
  <c r="AE928" i="1" a="1"/>
  <c r="AD928" i="1"/>
  <c r="AG927" i="1" a="1"/>
  <c r="AF927" i="1" a="1"/>
  <c r="AE927" i="1" a="1"/>
  <c r="AH927" i="1" s="1"/>
  <c r="AD927" i="1"/>
  <c r="AG926" i="1" a="1"/>
  <c r="AF926" i="1" a="1"/>
  <c r="AE926" i="1" a="1"/>
  <c r="AH926" i="1" s="1"/>
  <c r="AD926" i="1"/>
  <c r="AG925" i="1" a="1"/>
  <c r="AF925" i="1" a="1"/>
  <c r="AE925" i="1" a="1"/>
  <c r="AH925" i="1" s="1"/>
  <c r="AD925" i="1"/>
  <c r="AG924" i="1" a="1"/>
  <c r="AF924" i="1" a="1"/>
  <c r="AE924" i="1" a="1"/>
  <c r="AH924" i="1" s="1"/>
  <c r="AD924" i="1"/>
  <c r="AG923" i="1" a="1"/>
  <c r="AF923" i="1" a="1"/>
  <c r="AE923" i="1" a="1"/>
  <c r="AH923" i="1" s="1"/>
  <c r="AD923" i="1"/>
  <c r="AG922" i="1" a="1"/>
  <c r="AF922" i="1" a="1"/>
  <c r="AE922" i="1" a="1"/>
  <c r="AD922" i="1"/>
  <c r="AG921" i="1" a="1"/>
  <c r="AF921" i="1" a="1"/>
  <c r="AE921" i="1" a="1"/>
  <c r="AD921" i="1"/>
  <c r="AG920" i="1" a="1"/>
  <c r="AF920" i="1" a="1"/>
  <c r="AE920" i="1" a="1"/>
  <c r="AH920" i="1" s="1"/>
  <c r="AD920" i="1"/>
  <c r="AG919" i="1" a="1"/>
  <c r="AF919" i="1" a="1"/>
  <c r="AE919" i="1" a="1"/>
  <c r="AH919" i="1" s="1"/>
  <c r="AD919" i="1"/>
  <c r="AG918" i="1" a="1"/>
  <c r="AF918" i="1" a="1"/>
  <c r="AE918" i="1" a="1"/>
  <c r="AD918" i="1"/>
  <c r="AG917" i="1" a="1"/>
  <c r="AF917" i="1" a="1"/>
  <c r="AE917" i="1" a="1"/>
  <c r="AH917" i="1" s="1"/>
  <c r="AD917" i="1"/>
  <c r="AG916" i="1" a="1"/>
  <c r="AF916" i="1" a="1"/>
  <c r="AE916" i="1" a="1"/>
  <c r="AH916" i="1" s="1"/>
  <c r="AD916" i="1"/>
  <c r="AG915" i="1" a="1"/>
  <c r="AF915" i="1" a="1"/>
  <c r="AE915" i="1" a="1"/>
  <c r="AH915" i="1" s="1"/>
  <c r="AD915" i="1"/>
  <c r="AG914" i="1" a="1"/>
  <c r="AF914" i="1" a="1"/>
  <c r="AE914" i="1" a="1"/>
  <c r="AH914" i="1" s="1"/>
  <c r="AD914" i="1"/>
  <c r="AG913" i="1" a="1"/>
  <c r="AF913" i="1" a="1"/>
  <c r="AE913" i="1" a="1"/>
  <c r="AH913" i="1" s="1"/>
  <c r="AD913" i="1"/>
  <c r="AG912" i="1" a="1"/>
  <c r="AF912" i="1" a="1"/>
  <c r="AE912" i="1" a="1"/>
  <c r="AH912" i="1" s="1"/>
  <c r="AD912" i="1"/>
  <c r="AG911" i="1" a="1"/>
  <c r="AF911" i="1" a="1"/>
  <c r="AE911" i="1" a="1"/>
  <c r="AD911" i="1"/>
  <c r="AG910" i="1" a="1"/>
  <c r="AF910" i="1" a="1"/>
  <c r="AE910" i="1" a="1"/>
  <c r="AD910" i="1"/>
  <c r="AG909" i="1" a="1"/>
  <c r="AF909" i="1" a="1"/>
  <c r="AE909" i="1" a="1"/>
  <c r="AD909" i="1"/>
  <c r="AG908" i="1" a="1"/>
  <c r="AF908" i="1" a="1"/>
  <c r="AE908" i="1" a="1"/>
  <c r="AH908" i="1" s="1"/>
  <c r="AD908" i="1"/>
  <c r="AG907" i="1" a="1"/>
  <c r="AF907" i="1" a="1"/>
  <c r="AE907" i="1" a="1"/>
  <c r="AH907" i="1" s="1"/>
  <c r="AD907" i="1"/>
  <c r="AG906" i="1" a="1"/>
  <c r="AF906" i="1" a="1"/>
  <c r="AE906" i="1" a="1"/>
  <c r="AD906" i="1"/>
  <c r="AG905" i="1" a="1"/>
  <c r="AF905" i="1" a="1"/>
  <c r="AE905" i="1" a="1"/>
  <c r="AD905" i="1"/>
  <c r="AG904" i="1" a="1"/>
  <c r="AF904" i="1" a="1"/>
  <c r="AE904" i="1" a="1"/>
  <c r="AH904" i="1" s="1"/>
  <c r="AD904" i="1"/>
  <c r="AG903" i="1" a="1"/>
  <c r="AF903" i="1" a="1"/>
  <c r="AE903" i="1" a="1"/>
  <c r="AH903" i="1" s="1"/>
  <c r="AD903" i="1"/>
  <c r="AG902" i="1" a="1"/>
  <c r="AF902" i="1" a="1"/>
  <c r="AE902" i="1" a="1"/>
  <c r="AH902" i="1" s="1"/>
  <c r="AD902" i="1"/>
  <c r="AG901" i="1" a="1"/>
  <c r="AF901" i="1" a="1"/>
  <c r="AE901" i="1" a="1"/>
  <c r="AH901" i="1" s="1"/>
  <c r="AD901" i="1"/>
  <c r="AG900" i="1" a="1"/>
  <c r="AF900" i="1" a="1"/>
  <c r="AE900" i="1" a="1"/>
  <c r="AH900" i="1" s="1"/>
  <c r="AD900" i="1"/>
  <c r="AG899" i="1" a="1"/>
  <c r="AF899" i="1" a="1"/>
  <c r="AE899" i="1" a="1"/>
  <c r="AH899" i="1" s="1"/>
  <c r="AD899" i="1"/>
  <c r="AG898" i="1" a="1"/>
  <c r="AF898" i="1" a="1"/>
  <c r="AE898" i="1" a="1"/>
  <c r="AD898" i="1"/>
  <c r="AG897" i="1" a="1"/>
  <c r="AF897" i="1" a="1"/>
  <c r="AE897" i="1" a="1"/>
  <c r="AH897" i="1" s="1"/>
  <c r="AD897" i="1"/>
  <c r="AG896" i="1" a="1"/>
  <c r="AF896" i="1" a="1"/>
  <c r="AE896" i="1" a="1"/>
  <c r="AD896" i="1"/>
  <c r="AG895" i="1" a="1"/>
  <c r="AF895" i="1" a="1"/>
  <c r="AE895" i="1" a="1"/>
  <c r="AD895" i="1"/>
  <c r="AG894" i="1" a="1"/>
  <c r="AF894" i="1" a="1"/>
  <c r="AE894" i="1" a="1"/>
  <c r="AD894" i="1"/>
  <c r="AG893" i="1" a="1"/>
  <c r="AF893" i="1" a="1"/>
  <c r="AE893" i="1" a="1"/>
  <c r="AD893" i="1"/>
  <c r="AG892" i="1" a="1"/>
  <c r="AF892" i="1" a="1"/>
  <c r="AE892" i="1" a="1"/>
  <c r="AD892" i="1"/>
  <c r="AG891" i="1" a="1"/>
  <c r="AF891" i="1" a="1"/>
  <c r="AE891" i="1" a="1"/>
  <c r="AD891" i="1"/>
  <c r="AG890" i="1" a="1"/>
  <c r="AF890" i="1" a="1"/>
  <c r="AE890" i="1" a="1"/>
  <c r="AH890" i="1" s="1"/>
  <c r="AD890" i="1"/>
  <c r="AG889" i="1" a="1"/>
  <c r="AF889" i="1" a="1"/>
  <c r="AE889" i="1" a="1"/>
  <c r="AH889" i="1" s="1"/>
  <c r="AD889" i="1"/>
  <c r="AG888" i="1" a="1"/>
  <c r="AF888" i="1" a="1"/>
  <c r="AE888" i="1" a="1"/>
  <c r="AD888" i="1"/>
  <c r="AG887" i="1" a="1"/>
  <c r="AF887" i="1" a="1"/>
  <c r="AE887" i="1" a="1"/>
  <c r="AH887" i="1" s="1"/>
  <c r="AD887" i="1"/>
  <c r="AG886" i="1" a="1"/>
  <c r="AF886" i="1" a="1"/>
  <c r="AE886" i="1" a="1"/>
  <c r="AD886" i="1"/>
  <c r="AG885" i="1" a="1"/>
  <c r="AF885" i="1" a="1"/>
  <c r="AE885" i="1" a="1"/>
  <c r="AD885" i="1"/>
  <c r="AG884" i="1" a="1"/>
  <c r="AF884" i="1" a="1"/>
  <c r="AE884" i="1" a="1"/>
  <c r="AH884" i="1" s="1"/>
  <c r="AD884" i="1"/>
  <c r="AG883" i="1" a="1"/>
  <c r="AF883" i="1" a="1"/>
  <c r="AE883" i="1" a="1"/>
  <c r="AD883" i="1"/>
  <c r="AG882" i="1" a="1"/>
  <c r="AF882" i="1" a="1"/>
  <c r="AE882" i="1" a="1"/>
  <c r="AD882" i="1"/>
  <c r="AG881" i="1" a="1"/>
  <c r="AF881" i="1" a="1"/>
  <c r="AE881" i="1" a="1"/>
  <c r="AD881" i="1"/>
  <c r="AG880" i="1" a="1"/>
  <c r="AF880" i="1" a="1"/>
  <c r="AE880" i="1" a="1"/>
  <c r="AH880" i="1" s="1"/>
  <c r="AD880" i="1"/>
  <c r="AG879" i="1" a="1"/>
  <c r="AF879" i="1" a="1"/>
  <c r="AE879" i="1" a="1"/>
  <c r="AD879" i="1"/>
  <c r="AG878" i="1" a="1"/>
  <c r="AF878" i="1" a="1"/>
  <c r="AE878" i="1" a="1"/>
  <c r="AD878" i="1"/>
  <c r="AG877" i="1" a="1"/>
  <c r="AF877" i="1" a="1"/>
  <c r="AE877" i="1" a="1"/>
  <c r="AH877" i="1" s="1"/>
  <c r="AD877" i="1"/>
  <c r="AG876" i="1" a="1"/>
  <c r="AF876" i="1" a="1"/>
  <c r="AE876" i="1" a="1"/>
  <c r="AH876" i="1" s="1"/>
  <c r="AD876" i="1"/>
  <c r="AG875" i="1" a="1"/>
  <c r="AF875" i="1" a="1"/>
  <c r="AE875" i="1" a="1"/>
  <c r="AH875" i="1" s="1"/>
  <c r="AD875" i="1"/>
  <c r="AG874" i="1" a="1"/>
  <c r="AF874" i="1" a="1"/>
  <c r="AE874" i="1" a="1"/>
  <c r="AD874" i="1"/>
  <c r="AG873" i="1" a="1"/>
  <c r="AF873" i="1" a="1"/>
  <c r="AE873" i="1" a="1"/>
  <c r="AD873" i="1"/>
  <c r="AG872" i="1" a="1"/>
  <c r="AF872" i="1" a="1"/>
  <c r="AE872" i="1" a="1"/>
  <c r="AD872" i="1"/>
  <c r="AG871" i="1" a="1"/>
  <c r="AF871" i="1" a="1"/>
  <c r="AE871" i="1" a="1"/>
  <c r="AD871" i="1"/>
  <c r="AG870" i="1" a="1"/>
  <c r="AF870" i="1" a="1"/>
  <c r="AE870" i="1" a="1"/>
  <c r="AH870" i="1" s="1"/>
  <c r="AD870" i="1"/>
  <c r="AG869" i="1" a="1"/>
  <c r="AF869" i="1" a="1"/>
  <c r="AE869" i="1" a="1"/>
  <c r="AH869" i="1" s="1"/>
  <c r="AD869" i="1"/>
  <c r="AG868" i="1" a="1"/>
  <c r="AF868" i="1" a="1"/>
  <c r="AE868" i="1" a="1"/>
  <c r="AH868" i="1" s="1"/>
  <c r="AD868" i="1"/>
  <c r="AG867" i="1" a="1"/>
  <c r="AF867" i="1" a="1"/>
  <c r="AE867" i="1" a="1"/>
  <c r="AH867" i="1" s="1"/>
  <c r="AD867" i="1"/>
  <c r="AG866" i="1" a="1"/>
  <c r="AF866" i="1" a="1"/>
  <c r="AE866" i="1" a="1"/>
  <c r="AH866" i="1" s="1"/>
  <c r="AD866" i="1"/>
  <c r="AG865" i="1" a="1"/>
  <c r="AF865" i="1" a="1"/>
  <c r="AE865" i="1" a="1"/>
  <c r="AH865" i="1" s="1"/>
  <c r="AD865" i="1"/>
  <c r="AG864" i="1" a="1"/>
  <c r="AF864" i="1" a="1"/>
  <c r="AE864" i="1" a="1"/>
  <c r="AH864" i="1" s="1"/>
  <c r="AD864" i="1"/>
  <c r="AG863" i="1" a="1"/>
  <c r="AF863" i="1" a="1"/>
  <c r="AE863" i="1" a="1"/>
  <c r="AH863" i="1" s="1"/>
  <c r="AD863" i="1"/>
  <c r="AG862" i="1" a="1"/>
  <c r="AF862" i="1" a="1"/>
  <c r="AE862" i="1" a="1"/>
  <c r="AH862" i="1" s="1"/>
  <c r="AD862" i="1"/>
  <c r="AG861" i="1" a="1"/>
  <c r="AF861" i="1" a="1"/>
  <c r="AE861" i="1" a="1"/>
  <c r="AH861" i="1" s="1"/>
  <c r="AD861" i="1"/>
  <c r="AG860" i="1" a="1"/>
  <c r="AF860" i="1" a="1"/>
  <c r="AE860" i="1" a="1"/>
  <c r="AD860" i="1"/>
  <c r="AG859" i="1" a="1"/>
  <c r="AF859" i="1" a="1"/>
  <c r="AE859" i="1" a="1"/>
  <c r="AH859" i="1" s="1"/>
  <c r="AD859" i="1"/>
  <c r="AG858" i="1" a="1"/>
  <c r="AF858" i="1" a="1"/>
  <c r="AE858" i="1" a="1"/>
  <c r="AH858" i="1" s="1"/>
  <c r="AD858" i="1"/>
  <c r="AG857" i="1" a="1"/>
  <c r="AF857" i="1" a="1"/>
  <c r="AE857" i="1" a="1"/>
  <c r="AH857" i="1" s="1"/>
  <c r="AD857" i="1"/>
  <c r="AG856" i="1" a="1"/>
  <c r="AF856" i="1" a="1"/>
  <c r="AE856" i="1" a="1"/>
  <c r="AH856" i="1" s="1"/>
  <c r="AD856" i="1"/>
  <c r="AG855" i="1" a="1"/>
  <c r="AF855" i="1" a="1"/>
  <c r="AE855" i="1" a="1"/>
  <c r="AH855" i="1" s="1"/>
  <c r="AD855" i="1"/>
  <c r="AG854" i="1" a="1"/>
  <c r="AF854" i="1" a="1"/>
  <c r="AE854" i="1" a="1"/>
  <c r="AH854" i="1" s="1"/>
  <c r="AD854" i="1"/>
  <c r="AG853" i="1" a="1"/>
  <c r="AF853" i="1" a="1"/>
  <c r="AE853" i="1" a="1"/>
  <c r="AH853" i="1" s="1"/>
  <c r="AD853" i="1"/>
  <c r="AG852" i="1" a="1"/>
  <c r="AF852" i="1" a="1"/>
  <c r="AE852" i="1" a="1"/>
  <c r="AH852" i="1" s="1"/>
  <c r="AD852" i="1"/>
  <c r="AG851" i="1" a="1"/>
  <c r="AF851" i="1" a="1"/>
  <c r="AE851" i="1" a="1"/>
  <c r="AH851" i="1" s="1"/>
  <c r="AD851" i="1"/>
  <c r="AG850" i="1" a="1"/>
  <c r="AF850" i="1" a="1"/>
  <c r="AE850" i="1" a="1"/>
  <c r="AH850" i="1" s="1"/>
  <c r="AD850" i="1"/>
  <c r="AG849" i="1" a="1"/>
  <c r="AF849" i="1" a="1"/>
  <c r="AE849" i="1" a="1"/>
  <c r="AD849" i="1"/>
  <c r="AG848" i="1" a="1"/>
  <c r="AF848" i="1" a="1"/>
  <c r="AE848" i="1" a="1"/>
  <c r="AH848" i="1" s="1"/>
  <c r="AD848" i="1"/>
  <c r="AG847" i="1" a="1"/>
  <c r="AF847" i="1" a="1"/>
  <c r="AE847" i="1" a="1"/>
  <c r="AH847" i="1" s="1"/>
  <c r="AD847" i="1"/>
  <c r="AG846" i="1" a="1"/>
  <c r="AF846" i="1" a="1"/>
  <c r="AE846" i="1" a="1"/>
  <c r="AH846" i="1" s="1"/>
  <c r="AD846" i="1"/>
  <c r="AG845" i="1" a="1"/>
  <c r="AF845" i="1" a="1"/>
  <c r="AE845" i="1" a="1"/>
  <c r="AH845" i="1" s="1"/>
  <c r="AD845" i="1"/>
  <c r="AG844" i="1" a="1"/>
  <c r="AF844" i="1" a="1"/>
  <c r="AE844" i="1" a="1"/>
  <c r="AD844" i="1"/>
  <c r="AG843" i="1" a="1"/>
  <c r="AF843" i="1" a="1"/>
  <c r="AE843" i="1" a="1"/>
  <c r="AH843" i="1" s="1"/>
  <c r="AD843" i="1"/>
  <c r="AG842" i="1" a="1"/>
  <c r="AF842" i="1" a="1"/>
  <c r="AE842" i="1" a="1"/>
  <c r="AD842" i="1"/>
  <c r="AG841" i="1" a="1"/>
  <c r="AF841" i="1" a="1"/>
  <c r="AE841" i="1" a="1"/>
  <c r="AH841" i="1" s="1"/>
  <c r="AD841" i="1"/>
  <c r="AG840" i="1" a="1"/>
  <c r="AF840" i="1" a="1"/>
  <c r="AE840" i="1" a="1"/>
  <c r="AH840" i="1" s="1"/>
  <c r="AD840" i="1"/>
  <c r="AG839" i="1" a="1"/>
  <c r="AF839" i="1" a="1"/>
  <c r="AE839" i="1" a="1"/>
  <c r="AH839" i="1" s="1"/>
  <c r="AD839" i="1"/>
  <c r="AG838" i="1" a="1"/>
  <c r="AF838" i="1" a="1"/>
  <c r="AE838" i="1" a="1"/>
  <c r="AH838" i="1" s="1"/>
  <c r="AD838" i="1"/>
  <c r="AG837" i="1" a="1"/>
  <c r="AF837" i="1" a="1"/>
  <c r="AE837" i="1" a="1"/>
  <c r="AH837" i="1" s="1"/>
  <c r="AD837" i="1"/>
  <c r="AG836" i="1" a="1"/>
  <c r="AF836" i="1" a="1"/>
  <c r="AE836" i="1" a="1"/>
  <c r="AH836" i="1" s="1"/>
  <c r="AD836" i="1"/>
  <c r="AG835" i="1" a="1"/>
  <c r="AF835" i="1" a="1"/>
  <c r="AE835" i="1" a="1"/>
  <c r="AH835" i="1" s="1"/>
  <c r="AD835" i="1"/>
  <c r="AG834" i="1" a="1"/>
  <c r="AF834" i="1" a="1"/>
  <c r="AE834" i="1" a="1"/>
  <c r="AH834" i="1" s="1"/>
  <c r="AD834" i="1"/>
  <c r="AG833" i="1" a="1"/>
  <c r="AF833" i="1" a="1"/>
  <c r="AE833" i="1" a="1"/>
  <c r="AH833" i="1" s="1"/>
  <c r="AD833" i="1"/>
  <c r="AG832" i="1" a="1"/>
  <c r="AF832" i="1" a="1"/>
  <c r="AE832" i="1" a="1"/>
  <c r="AH832" i="1" s="1"/>
  <c r="AD832" i="1"/>
  <c r="AG831" i="1" a="1"/>
  <c r="AF831" i="1" a="1"/>
  <c r="AE831" i="1" a="1"/>
  <c r="AD831" i="1"/>
  <c r="AG830" i="1" a="1"/>
  <c r="AF830" i="1" a="1"/>
  <c r="AE830" i="1" a="1"/>
  <c r="AD830" i="1"/>
  <c r="AG829" i="1" a="1"/>
  <c r="AF829" i="1" a="1"/>
  <c r="AE829" i="1" a="1"/>
  <c r="AD829" i="1"/>
  <c r="AG828" i="1" a="1"/>
  <c r="AF828" i="1" a="1"/>
  <c r="AE828" i="1" a="1"/>
  <c r="AD828" i="1"/>
  <c r="AG827" i="1" a="1"/>
  <c r="AF827" i="1" a="1"/>
  <c r="AE827" i="1" a="1"/>
  <c r="AH827" i="1" s="1"/>
  <c r="AD827" i="1"/>
  <c r="AG826" i="1" a="1"/>
  <c r="AF826" i="1" a="1"/>
  <c r="AE826" i="1" a="1"/>
  <c r="AH826" i="1" s="1"/>
  <c r="AD826" i="1"/>
  <c r="AG825" i="1" a="1"/>
  <c r="AF825" i="1" a="1"/>
  <c r="AE825" i="1" a="1"/>
  <c r="AH825" i="1" s="1"/>
  <c r="AD825" i="1"/>
  <c r="AG824" i="1" a="1"/>
  <c r="AF824" i="1" a="1"/>
  <c r="AE824" i="1" a="1"/>
  <c r="AH824" i="1" s="1"/>
  <c r="AD824" i="1"/>
  <c r="AG823" i="1" a="1"/>
  <c r="AF823" i="1" a="1"/>
  <c r="AE823" i="1" a="1"/>
  <c r="AD823" i="1"/>
  <c r="AG822" i="1" a="1"/>
  <c r="AF822" i="1" a="1"/>
  <c r="AE822" i="1" a="1"/>
  <c r="AD822" i="1"/>
  <c r="AG821" i="1" a="1"/>
  <c r="AF821" i="1" a="1"/>
  <c r="AE821" i="1" a="1"/>
  <c r="AD821" i="1"/>
  <c r="AG820" i="1" a="1"/>
  <c r="AF820" i="1" a="1"/>
  <c r="AE820" i="1" a="1"/>
  <c r="AH820" i="1" s="1"/>
  <c r="AD820" i="1"/>
  <c r="AG819" i="1" a="1"/>
  <c r="AF819" i="1" a="1"/>
  <c r="AE819" i="1" a="1"/>
  <c r="AH819" i="1" s="1"/>
  <c r="AD819" i="1"/>
  <c r="AG818" i="1" a="1"/>
  <c r="AF818" i="1" a="1"/>
  <c r="AE818" i="1" a="1"/>
  <c r="AH818" i="1" s="1"/>
  <c r="AD818" i="1"/>
  <c r="AG817" i="1" a="1"/>
  <c r="AF817" i="1" a="1"/>
  <c r="AE817" i="1" a="1"/>
  <c r="AH817" i="1" s="1"/>
  <c r="AD817" i="1"/>
  <c r="AG816" i="1" a="1"/>
  <c r="AF816" i="1" a="1"/>
  <c r="AE816" i="1" a="1"/>
  <c r="AH816" i="1" s="1"/>
  <c r="AD816" i="1"/>
  <c r="AG815" i="1" a="1"/>
  <c r="AF815" i="1" a="1"/>
  <c r="AE815" i="1" a="1"/>
  <c r="AH815" i="1" s="1"/>
  <c r="AD815" i="1"/>
  <c r="AG814" i="1" a="1"/>
  <c r="AF814" i="1" a="1"/>
  <c r="AE814" i="1" a="1"/>
  <c r="AH814" i="1" s="1"/>
  <c r="AD814" i="1"/>
  <c r="AG813" i="1" a="1"/>
  <c r="AF813" i="1" a="1"/>
  <c r="AE813" i="1" a="1"/>
  <c r="AD813" i="1"/>
  <c r="AG812" i="1" a="1"/>
  <c r="AF812" i="1" a="1"/>
  <c r="AE812" i="1" a="1"/>
  <c r="AH812" i="1" s="1"/>
  <c r="AD812" i="1"/>
  <c r="AG811" i="1" a="1"/>
  <c r="AF811" i="1" a="1"/>
  <c r="AE811" i="1" a="1"/>
  <c r="AH811" i="1" s="1"/>
  <c r="AD811" i="1"/>
  <c r="AG810" i="1" a="1"/>
  <c r="AF810" i="1" a="1"/>
  <c r="AE810" i="1" a="1"/>
  <c r="AH810" i="1" s="1"/>
  <c r="AD810" i="1"/>
  <c r="AG809" i="1" a="1"/>
  <c r="AF809" i="1" a="1"/>
  <c r="AE809" i="1" a="1"/>
  <c r="AH809" i="1" s="1"/>
  <c r="AD809" i="1"/>
  <c r="AG808" i="1" a="1"/>
  <c r="AF808" i="1" a="1"/>
  <c r="AE808" i="1" a="1"/>
  <c r="AH808" i="1" s="1"/>
  <c r="AD808" i="1"/>
  <c r="AG807" i="1" a="1"/>
  <c r="AF807" i="1" a="1"/>
  <c r="AE807" i="1" a="1"/>
  <c r="AH807" i="1" s="1"/>
  <c r="AD807" i="1"/>
  <c r="AG806" i="1" a="1"/>
  <c r="AF806" i="1" a="1"/>
  <c r="AE806" i="1" a="1"/>
  <c r="AH806" i="1" s="1"/>
  <c r="AD806" i="1"/>
  <c r="AG805" i="1" a="1"/>
  <c r="AF805" i="1" a="1"/>
  <c r="AE805" i="1" a="1"/>
  <c r="AH805" i="1" s="1"/>
  <c r="AD805" i="1"/>
  <c r="AG804" i="1" a="1"/>
  <c r="AF804" i="1" a="1"/>
  <c r="AE804" i="1" a="1"/>
  <c r="AH804" i="1" s="1"/>
  <c r="AD804" i="1"/>
  <c r="AG803" i="1" a="1"/>
  <c r="AF803" i="1" a="1"/>
  <c r="AE803" i="1" a="1"/>
  <c r="AH803" i="1" s="1"/>
  <c r="AD803" i="1"/>
  <c r="AG802" i="1" a="1"/>
  <c r="AF802" i="1" a="1"/>
  <c r="AE802" i="1" a="1"/>
  <c r="AD802" i="1"/>
  <c r="AG801" i="1" a="1"/>
  <c r="AF801" i="1" a="1"/>
  <c r="AE801" i="1" a="1"/>
  <c r="AD801" i="1"/>
  <c r="AG800" i="1" a="1"/>
  <c r="AF800" i="1" a="1"/>
  <c r="AE800" i="1" a="1"/>
  <c r="AD800" i="1"/>
  <c r="AG799" i="1" a="1"/>
  <c r="AF799" i="1" a="1"/>
  <c r="AE799" i="1" a="1"/>
  <c r="AD799" i="1"/>
  <c r="AG798" i="1" a="1"/>
  <c r="AF798" i="1" a="1"/>
  <c r="AE798" i="1" a="1"/>
  <c r="AD798" i="1"/>
  <c r="AG797" i="1" a="1"/>
  <c r="AF797" i="1" a="1"/>
  <c r="AE797" i="1" a="1"/>
  <c r="AD797" i="1"/>
  <c r="AG796" i="1" a="1"/>
  <c r="AF796" i="1" a="1"/>
  <c r="AE796" i="1" a="1"/>
  <c r="AD796" i="1"/>
  <c r="AG795" i="1" a="1"/>
  <c r="AF795" i="1" a="1"/>
  <c r="AE795" i="1" a="1"/>
  <c r="AD795" i="1"/>
  <c r="AG794" i="1" a="1"/>
  <c r="AF794" i="1" a="1"/>
  <c r="AE794" i="1" a="1"/>
  <c r="AH794" i="1" s="1"/>
  <c r="AD794" i="1"/>
  <c r="AG793" i="1" a="1"/>
  <c r="AF793" i="1" a="1"/>
  <c r="AE793" i="1" a="1"/>
  <c r="AH793" i="1" s="1"/>
  <c r="AD793" i="1"/>
  <c r="AG792" i="1" a="1"/>
  <c r="AF792" i="1" a="1"/>
  <c r="AE792" i="1" a="1"/>
  <c r="AD792" i="1"/>
  <c r="AG791" i="1" a="1"/>
  <c r="AF791" i="1" a="1"/>
  <c r="AE791" i="1" a="1"/>
  <c r="AD791" i="1"/>
  <c r="AG790" i="1" a="1"/>
  <c r="AF790" i="1" a="1"/>
  <c r="AE790" i="1" a="1"/>
  <c r="AH790" i="1" s="1"/>
  <c r="AD790" i="1"/>
  <c r="AG789" i="1" a="1"/>
  <c r="AF789" i="1" a="1"/>
  <c r="AE789" i="1" a="1"/>
  <c r="AH789" i="1" s="1"/>
  <c r="AD789" i="1"/>
  <c r="AG788" i="1" a="1"/>
  <c r="AF788" i="1" a="1"/>
  <c r="AE788" i="1" a="1"/>
  <c r="AH788" i="1" s="1"/>
  <c r="AD788" i="1"/>
  <c r="AG787" i="1" a="1"/>
  <c r="AF787" i="1" a="1"/>
  <c r="AE787" i="1" a="1"/>
  <c r="AH787" i="1" s="1"/>
  <c r="AD787" i="1"/>
  <c r="AG786" i="1" a="1"/>
  <c r="AF786" i="1" a="1"/>
  <c r="AE786" i="1" a="1"/>
  <c r="AH786" i="1" s="1"/>
  <c r="AD786" i="1"/>
  <c r="AG785" i="1" a="1"/>
  <c r="AF785" i="1" a="1"/>
  <c r="AE785" i="1" a="1"/>
  <c r="AH785" i="1" s="1"/>
  <c r="AD785" i="1"/>
  <c r="AG784" i="1" a="1"/>
  <c r="AF784" i="1" a="1"/>
  <c r="AE784" i="1" a="1"/>
  <c r="AH784" i="1" s="1"/>
  <c r="AD784" i="1"/>
  <c r="AG783" i="1" a="1"/>
  <c r="AF783" i="1" a="1"/>
  <c r="AE783" i="1" a="1"/>
  <c r="AH783" i="1" s="1"/>
  <c r="AD783" i="1"/>
  <c r="AG782" i="1" a="1"/>
  <c r="AF782" i="1" a="1"/>
  <c r="AE782" i="1" a="1"/>
  <c r="AH782" i="1" s="1"/>
  <c r="AD782" i="1"/>
  <c r="AG781" i="1" a="1"/>
  <c r="AF781" i="1" a="1"/>
  <c r="AE781" i="1" a="1"/>
  <c r="AH781" i="1" s="1"/>
  <c r="AD781" i="1"/>
  <c r="AG780" i="1" a="1"/>
  <c r="AF780" i="1" a="1"/>
  <c r="AE780" i="1" a="1"/>
  <c r="AH780" i="1" s="1"/>
  <c r="AD780" i="1"/>
  <c r="AG779" i="1" a="1"/>
  <c r="AF779" i="1" a="1"/>
  <c r="AE779" i="1" a="1"/>
  <c r="AH779" i="1" s="1"/>
  <c r="AD779" i="1"/>
  <c r="AG778" i="1" a="1"/>
  <c r="AF778" i="1" a="1"/>
  <c r="AE778" i="1" a="1"/>
  <c r="AH778" i="1" s="1"/>
  <c r="AD778" i="1"/>
  <c r="AG777" i="1" a="1"/>
  <c r="AF777" i="1" a="1"/>
  <c r="AE777" i="1" a="1"/>
  <c r="AH777" i="1" s="1"/>
  <c r="AD777" i="1"/>
  <c r="AG776" i="1" a="1"/>
  <c r="AF776" i="1" a="1"/>
  <c r="AE776" i="1" a="1"/>
  <c r="AH776" i="1" s="1"/>
  <c r="AD776" i="1"/>
  <c r="AG775" i="1" a="1"/>
  <c r="AF775" i="1" a="1"/>
  <c r="AE775" i="1" a="1"/>
  <c r="AH775" i="1" s="1"/>
  <c r="AD775" i="1"/>
  <c r="AG774" i="1" a="1"/>
  <c r="AF774" i="1" a="1"/>
  <c r="AE774" i="1" a="1"/>
  <c r="AH774" i="1" s="1"/>
  <c r="AD774" i="1"/>
  <c r="AG773" i="1" a="1"/>
  <c r="AF773" i="1" a="1"/>
  <c r="AE773" i="1" a="1"/>
  <c r="AH773" i="1" s="1"/>
  <c r="AD773" i="1"/>
  <c r="AG772" i="1" a="1"/>
  <c r="AF772" i="1" a="1"/>
  <c r="AE772" i="1" a="1"/>
  <c r="AH772" i="1" s="1"/>
  <c r="AD772" i="1"/>
  <c r="AG771" i="1" a="1"/>
  <c r="AF771" i="1" a="1"/>
  <c r="AE771" i="1" a="1"/>
  <c r="AH771" i="1" s="1"/>
  <c r="AD771" i="1"/>
  <c r="AG770" i="1" a="1"/>
  <c r="AF770" i="1" a="1"/>
  <c r="AE770" i="1" a="1"/>
  <c r="AH770" i="1" s="1"/>
  <c r="AD770" i="1"/>
  <c r="AG769" i="1" a="1"/>
  <c r="AF769" i="1" a="1"/>
  <c r="AE769" i="1" a="1"/>
  <c r="AH769" i="1" s="1"/>
  <c r="AD769" i="1"/>
  <c r="AG768" i="1" a="1"/>
  <c r="AF768" i="1" a="1"/>
  <c r="AE768" i="1" a="1"/>
  <c r="AH768" i="1" s="1"/>
  <c r="AD768" i="1"/>
  <c r="AG767" i="1" a="1"/>
  <c r="AF767" i="1" a="1"/>
  <c r="AE767" i="1" a="1"/>
  <c r="AD767" i="1"/>
  <c r="AG766" i="1" a="1"/>
  <c r="AF766" i="1" a="1"/>
  <c r="AE766" i="1" a="1"/>
  <c r="AD766" i="1"/>
  <c r="AG765" i="1" a="1"/>
  <c r="AF765" i="1" a="1"/>
  <c r="AE765" i="1" a="1"/>
  <c r="AD765" i="1"/>
  <c r="AG764" i="1" a="1"/>
  <c r="AF764" i="1" a="1"/>
  <c r="AE764" i="1" a="1"/>
  <c r="AH764" i="1" s="1"/>
  <c r="AD764" i="1"/>
  <c r="AG763" i="1" a="1"/>
  <c r="AF763" i="1" a="1"/>
  <c r="AE763" i="1" a="1"/>
  <c r="AH763" i="1" s="1"/>
  <c r="AD763" i="1"/>
  <c r="AG762" i="1" a="1"/>
  <c r="AF762" i="1" a="1"/>
  <c r="AE762" i="1" a="1"/>
  <c r="AH762" i="1" s="1"/>
  <c r="AD762" i="1"/>
  <c r="AG761" i="1" a="1"/>
  <c r="AF761" i="1" a="1"/>
  <c r="AE761" i="1" a="1"/>
  <c r="AH761" i="1" s="1"/>
  <c r="AD761" i="1"/>
  <c r="AG760" i="1" a="1"/>
  <c r="AF760" i="1" a="1"/>
  <c r="AE760" i="1" a="1"/>
  <c r="AH760" i="1" s="1"/>
  <c r="AD760" i="1"/>
  <c r="AG759" i="1" a="1"/>
  <c r="AF759" i="1" a="1"/>
  <c r="AE759" i="1" a="1"/>
  <c r="AD759" i="1"/>
  <c r="AG758" i="1" a="1"/>
  <c r="AF758" i="1" a="1"/>
  <c r="AE758" i="1" a="1"/>
  <c r="AD758" i="1"/>
  <c r="AG757" i="1" a="1"/>
  <c r="AF757" i="1" a="1"/>
  <c r="AE757" i="1" a="1"/>
  <c r="AD757" i="1"/>
  <c r="AG756" i="1" a="1"/>
  <c r="AF756" i="1" a="1"/>
  <c r="AE756" i="1" a="1"/>
  <c r="AD756" i="1"/>
  <c r="AG755" i="1" a="1"/>
  <c r="AF755" i="1" a="1"/>
  <c r="AE755" i="1" a="1"/>
  <c r="AH755" i="1" s="1"/>
  <c r="AD755" i="1"/>
  <c r="AG754" i="1" a="1"/>
  <c r="AF754" i="1" a="1"/>
  <c r="AE754" i="1" a="1"/>
  <c r="AH754" i="1" s="1"/>
  <c r="AD754" i="1"/>
  <c r="AG753" i="1" a="1"/>
  <c r="AF753" i="1" a="1"/>
  <c r="AE753" i="1" a="1"/>
  <c r="AH753" i="1" s="1"/>
  <c r="AD753" i="1"/>
  <c r="AG752" i="1" a="1"/>
  <c r="AF752" i="1" a="1"/>
  <c r="AE752" i="1" a="1"/>
  <c r="AH752" i="1" s="1"/>
  <c r="AD752" i="1"/>
  <c r="AG751" i="1" a="1"/>
  <c r="AF751" i="1" a="1"/>
  <c r="AE751" i="1" a="1"/>
  <c r="AH751" i="1" s="1"/>
  <c r="AD751" i="1"/>
  <c r="AG750" i="1" a="1"/>
  <c r="AF750" i="1" a="1"/>
  <c r="AE750" i="1" a="1"/>
  <c r="AH750" i="1" s="1"/>
  <c r="AD750" i="1"/>
  <c r="AG749" i="1" a="1"/>
  <c r="AF749" i="1" a="1"/>
  <c r="AE749" i="1" a="1"/>
  <c r="AH749" i="1" s="1"/>
  <c r="AD749" i="1"/>
  <c r="AG748" i="1" a="1"/>
  <c r="AF748" i="1" a="1"/>
  <c r="AE748" i="1" a="1"/>
  <c r="AH748" i="1" s="1"/>
  <c r="AD748" i="1"/>
  <c r="AG747" i="1" a="1"/>
  <c r="AF747" i="1" a="1"/>
  <c r="AE747" i="1" a="1"/>
  <c r="AH747" i="1" s="1"/>
  <c r="AD747" i="1"/>
  <c r="AG746" i="1" a="1"/>
  <c r="AF746" i="1" a="1"/>
  <c r="AE746" i="1" a="1"/>
  <c r="AH746" i="1" s="1"/>
  <c r="AD746" i="1"/>
  <c r="AG745" i="1" a="1"/>
  <c r="AF745" i="1" a="1"/>
  <c r="AE745" i="1" a="1"/>
  <c r="AH745" i="1" s="1"/>
  <c r="AD745" i="1"/>
  <c r="AG744" i="1" a="1"/>
  <c r="AF744" i="1" a="1"/>
  <c r="AE744" i="1" a="1"/>
  <c r="AH744" i="1" s="1"/>
  <c r="AD744" i="1"/>
  <c r="AG743" i="1" a="1"/>
  <c r="AF743" i="1" a="1"/>
  <c r="AE743" i="1" a="1"/>
  <c r="AH743" i="1" s="1"/>
  <c r="AD743" i="1"/>
  <c r="AG742" i="1" a="1"/>
  <c r="AF742" i="1" a="1"/>
  <c r="AE742" i="1" a="1"/>
  <c r="AH742" i="1" s="1"/>
  <c r="AD742" i="1"/>
  <c r="AG741" i="1" a="1"/>
  <c r="AF741" i="1" a="1"/>
  <c r="AE741" i="1" a="1"/>
  <c r="AH741" i="1" s="1"/>
  <c r="AD741" i="1"/>
  <c r="AG740" i="1" a="1"/>
  <c r="AF740" i="1" a="1"/>
  <c r="AE740" i="1" a="1"/>
  <c r="AH740" i="1" s="1"/>
  <c r="AD740" i="1"/>
  <c r="AG739" i="1" a="1"/>
  <c r="AF739" i="1" a="1"/>
  <c r="AE739" i="1" a="1"/>
  <c r="AH739" i="1" s="1"/>
  <c r="AD739" i="1"/>
  <c r="AG738" i="1" a="1"/>
  <c r="AF738" i="1" a="1"/>
  <c r="AE738" i="1" a="1"/>
  <c r="AH738" i="1" s="1"/>
  <c r="AD738" i="1"/>
  <c r="AG737" i="1" a="1"/>
  <c r="AF737" i="1" a="1"/>
  <c r="AE737" i="1" a="1"/>
  <c r="AH737" i="1" s="1"/>
  <c r="AD737" i="1"/>
  <c r="AG736" i="1" a="1"/>
  <c r="AF736" i="1" a="1"/>
  <c r="AE736" i="1" a="1"/>
  <c r="AH736" i="1" s="1"/>
  <c r="AD736" i="1"/>
  <c r="AG735" i="1" a="1"/>
  <c r="AF735" i="1" a="1"/>
  <c r="AE735" i="1" a="1"/>
  <c r="AH735" i="1" s="1"/>
  <c r="AD735" i="1"/>
  <c r="AG734" i="1" a="1"/>
  <c r="AF734" i="1" a="1"/>
  <c r="AE734" i="1" a="1"/>
  <c r="AH734" i="1" s="1"/>
  <c r="AD734" i="1"/>
  <c r="AG733" i="1" a="1"/>
  <c r="AF733" i="1" a="1"/>
  <c r="AE733" i="1" a="1"/>
  <c r="AH733" i="1" s="1"/>
  <c r="AD733" i="1"/>
  <c r="AG732" i="1" a="1"/>
  <c r="AF732" i="1" a="1"/>
  <c r="AE732" i="1" a="1"/>
  <c r="AH732" i="1" s="1"/>
  <c r="AD732" i="1"/>
  <c r="AG731" i="1" a="1"/>
  <c r="AF731" i="1" a="1"/>
  <c r="AE731" i="1" a="1"/>
  <c r="AH731" i="1" s="1"/>
  <c r="AD731" i="1"/>
  <c r="AG730" i="1" a="1"/>
  <c r="AF730" i="1" a="1"/>
  <c r="AE730" i="1" a="1"/>
  <c r="AH730" i="1" s="1"/>
  <c r="AD730" i="1"/>
  <c r="AG729" i="1" a="1"/>
  <c r="AF729" i="1" a="1"/>
  <c r="AE729" i="1" a="1"/>
  <c r="AH729" i="1" s="1"/>
  <c r="AD729" i="1"/>
  <c r="AG728" i="1" a="1"/>
  <c r="AF728" i="1" a="1"/>
  <c r="AE728" i="1" a="1"/>
  <c r="AH728" i="1" s="1"/>
  <c r="AD728" i="1"/>
  <c r="AG727" i="1" a="1"/>
  <c r="AF727" i="1" a="1"/>
  <c r="AE727" i="1" a="1"/>
  <c r="AH727" i="1" s="1"/>
  <c r="AD727" i="1"/>
  <c r="AG726" i="1" a="1"/>
  <c r="AF726" i="1" a="1"/>
  <c r="AE726" i="1" a="1"/>
  <c r="AH726" i="1" s="1"/>
  <c r="AD726" i="1"/>
  <c r="AG725" i="1" a="1"/>
  <c r="AF725" i="1" a="1"/>
  <c r="AE725" i="1" a="1"/>
  <c r="AH725" i="1" s="1"/>
  <c r="AD725" i="1"/>
  <c r="AG724" i="1" a="1"/>
  <c r="AF724" i="1" a="1"/>
  <c r="AE724" i="1" a="1"/>
  <c r="AH724" i="1" s="1"/>
  <c r="AD724" i="1"/>
  <c r="AG723" i="1" a="1"/>
  <c r="AF723" i="1" a="1"/>
  <c r="AE723" i="1" a="1"/>
  <c r="AH723" i="1" s="1"/>
  <c r="AD723" i="1"/>
  <c r="AG722" i="1" a="1"/>
  <c r="AF722" i="1" a="1"/>
  <c r="AE722" i="1" a="1"/>
  <c r="AH722" i="1" s="1"/>
  <c r="AD722" i="1"/>
  <c r="AG721" i="1" a="1"/>
  <c r="AF721" i="1" a="1"/>
  <c r="AE721" i="1" a="1"/>
  <c r="AH721" i="1" s="1"/>
  <c r="AD721" i="1"/>
  <c r="AG720" i="1" a="1"/>
  <c r="AF720" i="1" a="1"/>
  <c r="AE720" i="1" a="1"/>
  <c r="AH720" i="1" s="1"/>
  <c r="AD720" i="1"/>
  <c r="AG719" i="1" a="1"/>
  <c r="AF719" i="1" a="1"/>
  <c r="AE719" i="1" a="1"/>
  <c r="AH719" i="1" s="1"/>
  <c r="AD719" i="1"/>
  <c r="AG718" i="1" a="1"/>
  <c r="AF718" i="1" a="1"/>
  <c r="AE718" i="1" a="1"/>
  <c r="AH718" i="1" s="1"/>
  <c r="AD718" i="1"/>
  <c r="AG717" i="1" a="1"/>
  <c r="AF717" i="1" a="1"/>
  <c r="AE717" i="1" a="1"/>
  <c r="AH717" i="1" s="1"/>
  <c r="AD717" i="1"/>
  <c r="AG716" i="1" a="1"/>
  <c r="AF716" i="1" a="1"/>
  <c r="AE716" i="1" a="1"/>
  <c r="AH716" i="1" s="1"/>
  <c r="AD716" i="1"/>
  <c r="AG715" i="1" a="1"/>
  <c r="AF715" i="1" a="1"/>
  <c r="AE715" i="1" a="1"/>
  <c r="AH715" i="1" s="1"/>
  <c r="AD715" i="1"/>
  <c r="AG714" i="1" a="1"/>
  <c r="AF714" i="1" a="1"/>
  <c r="AE714" i="1" a="1"/>
  <c r="AH714" i="1" s="1"/>
  <c r="AD714" i="1"/>
  <c r="AG713" i="1" a="1"/>
  <c r="AF713" i="1" a="1"/>
  <c r="AE713" i="1" a="1"/>
  <c r="AH713" i="1" s="1"/>
  <c r="AD713" i="1"/>
  <c r="AG712" i="1" a="1"/>
  <c r="AF712" i="1" a="1"/>
  <c r="AE712" i="1" a="1"/>
  <c r="AH712" i="1" s="1"/>
  <c r="AD712" i="1"/>
  <c r="AG711" i="1" a="1"/>
  <c r="AF711" i="1" a="1"/>
  <c r="AE711" i="1" a="1"/>
  <c r="AH711" i="1" s="1"/>
  <c r="AD711" i="1"/>
  <c r="AG710" i="1" a="1"/>
  <c r="AF710" i="1" a="1"/>
  <c r="AE710" i="1" a="1"/>
  <c r="AH710" i="1" s="1"/>
  <c r="AD710" i="1"/>
  <c r="AG709" i="1" a="1"/>
  <c r="AF709" i="1" a="1"/>
  <c r="AE709" i="1" a="1"/>
  <c r="AH709" i="1" s="1"/>
  <c r="AD709" i="1"/>
  <c r="AG708" i="1" a="1"/>
  <c r="AF708" i="1" a="1"/>
  <c r="AE708" i="1" a="1"/>
  <c r="AH708" i="1" s="1"/>
  <c r="AD708" i="1"/>
  <c r="AG707" i="1" a="1"/>
  <c r="AF707" i="1" a="1"/>
  <c r="AE707" i="1" a="1"/>
  <c r="AH707" i="1" s="1"/>
  <c r="AD707" i="1"/>
  <c r="AG706" i="1" a="1"/>
  <c r="AF706" i="1" a="1"/>
  <c r="AE706" i="1" a="1"/>
  <c r="AH706" i="1" s="1"/>
  <c r="AD706" i="1"/>
  <c r="AG705" i="1" a="1"/>
  <c r="AF705" i="1" a="1"/>
  <c r="AE705" i="1" a="1"/>
  <c r="AH705" i="1" s="1"/>
  <c r="AD705" i="1"/>
  <c r="AG704" i="1" a="1"/>
  <c r="AF704" i="1" a="1"/>
  <c r="AE704" i="1" a="1"/>
  <c r="AH704" i="1" s="1"/>
  <c r="AD704" i="1"/>
  <c r="AG703" i="1" a="1"/>
  <c r="AF703" i="1" a="1"/>
  <c r="AE703" i="1" a="1"/>
  <c r="AH703" i="1" s="1"/>
  <c r="AD703" i="1"/>
  <c r="AG702" i="1" a="1"/>
  <c r="AF702" i="1" a="1"/>
  <c r="AE702" i="1" a="1"/>
  <c r="AH702" i="1" s="1"/>
  <c r="AD702" i="1"/>
  <c r="AG701" i="1" a="1"/>
  <c r="AF701" i="1" a="1"/>
  <c r="AE701" i="1" a="1"/>
  <c r="AH701" i="1" s="1"/>
  <c r="AD701" i="1"/>
  <c r="AG700" i="1" a="1"/>
  <c r="AF700" i="1" a="1"/>
  <c r="AE700" i="1" a="1"/>
  <c r="AH700" i="1" s="1"/>
  <c r="AD700" i="1"/>
  <c r="AG699" i="1" a="1"/>
  <c r="AF699" i="1" a="1"/>
  <c r="AE699" i="1" a="1"/>
  <c r="AH699" i="1" s="1"/>
  <c r="AD699" i="1"/>
  <c r="AG698" i="1" a="1"/>
  <c r="AF698" i="1" a="1"/>
  <c r="AE698" i="1" a="1"/>
  <c r="AH698" i="1" s="1"/>
  <c r="AD698" i="1"/>
  <c r="AG697" i="1" a="1"/>
  <c r="AF697" i="1" a="1"/>
  <c r="AE697" i="1" a="1"/>
  <c r="AH697" i="1" s="1"/>
  <c r="AD697" i="1"/>
  <c r="AG696" i="1" a="1"/>
  <c r="AF696" i="1" a="1"/>
  <c r="AE696" i="1" a="1"/>
  <c r="AH696" i="1" s="1"/>
  <c r="AD696" i="1"/>
  <c r="AG695" i="1" a="1"/>
  <c r="AF695" i="1" a="1"/>
  <c r="AE695" i="1" a="1"/>
  <c r="AH695" i="1" s="1"/>
  <c r="AD695" i="1"/>
  <c r="AG694" i="1" a="1"/>
  <c r="AF694" i="1" a="1"/>
  <c r="AE694" i="1" a="1"/>
  <c r="AH694" i="1" s="1"/>
  <c r="AD694" i="1"/>
  <c r="AG693" i="1" a="1"/>
  <c r="AF693" i="1" a="1"/>
  <c r="AE693" i="1" a="1"/>
  <c r="AH693" i="1" s="1"/>
  <c r="AD693" i="1"/>
  <c r="AG692" i="1" a="1"/>
  <c r="AF692" i="1" a="1"/>
  <c r="AE692" i="1" a="1"/>
  <c r="AH692" i="1" s="1"/>
  <c r="AD692" i="1"/>
  <c r="AG691" i="1" a="1"/>
  <c r="AF691" i="1" a="1"/>
  <c r="AE691" i="1" a="1"/>
  <c r="AH691" i="1" s="1"/>
  <c r="AD691" i="1"/>
  <c r="AG690" i="1" a="1"/>
  <c r="AF690" i="1" a="1"/>
  <c r="AE690" i="1" a="1"/>
  <c r="AH690" i="1" s="1"/>
  <c r="AD690" i="1"/>
  <c r="AG689" i="1" a="1"/>
  <c r="AF689" i="1" a="1"/>
  <c r="AE689" i="1" a="1"/>
  <c r="AH689" i="1" s="1"/>
  <c r="AD689" i="1"/>
  <c r="AG688" i="1" a="1"/>
  <c r="AF688" i="1" a="1"/>
  <c r="AE688" i="1" a="1"/>
  <c r="AH688" i="1" s="1"/>
  <c r="AD688" i="1"/>
  <c r="AG687" i="1" a="1"/>
  <c r="AF687" i="1" a="1"/>
  <c r="AE687" i="1" a="1"/>
  <c r="AH687" i="1" s="1"/>
  <c r="AD687" i="1"/>
  <c r="AG686" i="1" a="1"/>
  <c r="AF686" i="1" a="1"/>
  <c r="AE686" i="1" a="1"/>
  <c r="AH686" i="1" s="1"/>
  <c r="AD686" i="1"/>
  <c r="AG685" i="1" a="1"/>
  <c r="AF685" i="1" a="1"/>
  <c r="AE685" i="1" a="1"/>
  <c r="AH685" i="1" s="1"/>
  <c r="AD685" i="1"/>
  <c r="AG684" i="1" a="1"/>
  <c r="AF684" i="1" a="1"/>
  <c r="AE684" i="1" a="1"/>
  <c r="AH684" i="1" s="1"/>
  <c r="AD684" i="1"/>
  <c r="AG683" i="1" a="1"/>
  <c r="AF683" i="1" a="1"/>
  <c r="AE683" i="1" a="1"/>
  <c r="AH683" i="1" s="1"/>
  <c r="AD683" i="1"/>
  <c r="AG682" i="1" a="1"/>
  <c r="AF682" i="1" a="1"/>
  <c r="AE682" i="1" a="1"/>
  <c r="AH682" i="1" s="1"/>
  <c r="AD682" i="1"/>
  <c r="AG681" i="1" a="1"/>
  <c r="AF681" i="1" a="1"/>
  <c r="AE681" i="1" a="1"/>
  <c r="AH681" i="1" s="1"/>
  <c r="AD681" i="1"/>
  <c r="AG680" i="1" a="1"/>
  <c r="AF680" i="1" a="1"/>
  <c r="AE680" i="1" a="1"/>
  <c r="AH680" i="1" s="1"/>
  <c r="AD680" i="1"/>
  <c r="AG679" i="1" a="1"/>
  <c r="AF679" i="1" a="1"/>
  <c r="AE679" i="1" a="1"/>
  <c r="AH679" i="1" s="1"/>
  <c r="AD679" i="1"/>
  <c r="AG678" i="1" a="1"/>
  <c r="AF678" i="1" a="1"/>
  <c r="AE678" i="1" a="1"/>
  <c r="AH678" i="1" s="1"/>
  <c r="AD678" i="1"/>
  <c r="AG677" i="1" a="1"/>
  <c r="AF677" i="1" a="1"/>
  <c r="AE677" i="1" a="1"/>
  <c r="AH677" i="1" s="1"/>
  <c r="AD677" i="1"/>
  <c r="AG676" i="1" a="1"/>
  <c r="AF676" i="1" a="1"/>
  <c r="AE676" i="1" a="1"/>
  <c r="AH676" i="1" s="1"/>
  <c r="AD676" i="1"/>
  <c r="AG675" i="1" a="1"/>
  <c r="AF675" i="1" a="1"/>
  <c r="AE675" i="1" a="1"/>
  <c r="AH675" i="1" s="1"/>
  <c r="AD675" i="1"/>
  <c r="AG674" i="1" a="1"/>
  <c r="AF674" i="1" a="1"/>
  <c r="AE674" i="1" a="1"/>
  <c r="AH674" i="1" s="1"/>
  <c r="AD674" i="1"/>
  <c r="AG673" i="1" a="1"/>
  <c r="AF673" i="1" a="1"/>
  <c r="AE673" i="1" a="1"/>
  <c r="AH673" i="1" s="1"/>
  <c r="AD673" i="1"/>
  <c r="AG672" i="1" a="1"/>
  <c r="AF672" i="1" a="1"/>
  <c r="AE672" i="1" a="1"/>
  <c r="AH672" i="1" s="1"/>
  <c r="AD672" i="1"/>
  <c r="AG671" i="1" a="1"/>
  <c r="AF671" i="1" a="1"/>
  <c r="AE671" i="1" a="1"/>
  <c r="AH671" i="1" s="1"/>
  <c r="AD671" i="1"/>
  <c r="AG670" i="1" a="1"/>
  <c r="AF670" i="1" a="1"/>
  <c r="AE670" i="1" a="1"/>
  <c r="AH670" i="1" s="1"/>
  <c r="AD670" i="1"/>
  <c r="AG669" i="1" a="1"/>
  <c r="AF669" i="1" a="1"/>
  <c r="AE669" i="1" a="1"/>
  <c r="AH669" i="1" s="1"/>
  <c r="AD669" i="1"/>
  <c r="AG668" i="1" a="1"/>
  <c r="AF668" i="1" a="1"/>
  <c r="AE668" i="1" a="1"/>
  <c r="AH668" i="1" s="1"/>
  <c r="AD668" i="1"/>
  <c r="AG667" i="1" a="1"/>
  <c r="AF667" i="1" a="1"/>
  <c r="AE667" i="1" a="1"/>
  <c r="AH667" i="1" s="1"/>
  <c r="AD667" i="1"/>
  <c r="AG666" i="1" a="1"/>
  <c r="AF666" i="1" a="1"/>
  <c r="AE666" i="1" a="1"/>
  <c r="AH666" i="1" s="1"/>
  <c r="AD666" i="1"/>
  <c r="AG665" i="1" a="1"/>
  <c r="AF665" i="1" a="1"/>
  <c r="AE665" i="1" a="1"/>
  <c r="AH665" i="1" s="1"/>
  <c r="AD665" i="1"/>
  <c r="AG664" i="1" a="1"/>
  <c r="AF664" i="1" a="1"/>
  <c r="AE664" i="1" a="1"/>
  <c r="AH664" i="1" s="1"/>
  <c r="AD664" i="1"/>
  <c r="AG663" i="1" a="1"/>
  <c r="AF663" i="1" a="1"/>
  <c r="AE663" i="1" a="1"/>
  <c r="AH663" i="1" s="1"/>
  <c r="AD663" i="1"/>
  <c r="AG662" i="1" a="1"/>
  <c r="AF662" i="1" a="1"/>
  <c r="AE662" i="1" a="1"/>
  <c r="AH662" i="1" s="1"/>
  <c r="AD662" i="1"/>
  <c r="AG661" i="1" a="1"/>
  <c r="AF661" i="1" a="1"/>
  <c r="AE661" i="1" a="1"/>
  <c r="AH661" i="1" s="1"/>
  <c r="AD661" i="1"/>
  <c r="AG660" i="1" a="1"/>
  <c r="AF660" i="1" a="1"/>
  <c r="AE660" i="1" a="1"/>
  <c r="AH660" i="1" s="1"/>
  <c r="AD660" i="1"/>
  <c r="AG659" i="1" a="1"/>
  <c r="AF659" i="1" a="1"/>
  <c r="AE659" i="1" a="1"/>
  <c r="AH659" i="1" s="1"/>
  <c r="AD659" i="1"/>
  <c r="AG658" i="1" a="1"/>
  <c r="AF658" i="1" a="1"/>
  <c r="AE658" i="1" a="1"/>
  <c r="AH658" i="1" s="1"/>
  <c r="AD658" i="1"/>
  <c r="AG657" i="1" a="1"/>
  <c r="AF657" i="1" a="1"/>
  <c r="AE657" i="1" a="1"/>
  <c r="AH657" i="1" s="1"/>
  <c r="AD657" i="1"/>
  <c r="AG656" i="1" a="1"/>
  <c r="AF656" i="1" a="1"/>
  <c r="AE656" i="1" a="1"/>
  <c r="AH656" i="1" s="1"/>
  <c r="AD656" i="1"/>
  <c r="AG655" i="1" a="1"/>
  <c r="AF655" i="1" a="1"/>
  <c r="AE655" i="1" a="1"/>
  <c r="AH655" i="1" s="1"/>
  <c r="AD655" i="1"/>
  <c r="AG654" i="1" a="1"/>
  <c r="AF654" i="1" a="1"/>
  <c r="AE654" i="1" a="1"/>
  <c r="AH654" i="1" s="1"/>
  <c r="AD654" i="1"/>
  <c r="AG653" i="1" a="1"/>
  <c r="AF653" i="1" a="1"/>
  <c r="AE653" i="1" a="1"/>
  <c r="AH653" i="1" s="1"/>
  <c r="AD653" i="1"/>
  <c r="AG652" i="1" a="1"/>
  <c r="AF652" i="1" a="1"/>
  <c r="AE652" i="1" a="1"/>
  <c r="AH652" i="1" s="1"/>
  <c r="AD652" i="1"/>
  <c r="AG651" i="1" a="1"/>
  <c r="AF651" i="1" a="1"/>
  <c r="AE651" i="1" a="1"/>
  <c r="AH651" i="1" s="1"/>
  <c r="AD651" i="1"/>
  <c r="AG650" i="1" a="1"/>
  <c r="AF650" i="1" a="1"/>
  <c r="AE650" i="1" a="1"/>
  <c r="AH650" i="1" s="1"/>
  <c r="AD650" i="1"/>
  <c r="AG649" i="1" a="1"/>
  <c r="AF649" i="1" a="1"/>
  <c r="AE649" i="1" a="1"/>
  <c r="AH649" i="1" s="1"/>
  <c r="AD649" i="1"/>
  <c r="AG648" i="1" a="1"/>
  <c r="AF648" i="1" a="1"/>
  <c r="AE648" i="1" a="1"/>
  <c r="AD648" i="1"/>
  <c r="AG647" i="1" a="1"/>
  <c r="AF647" i="1" a="1"/>
  <c r="AE647" i="1" a="1"/>
  <c r="AD647" i="1"/>
  <c r="AG646" i="1" a="1"/>
  <c r="AF646" i="1" a="1"/>
  <c r="AE646" i="1" a="1"/>
  <c r="AD646" i="1"/>
  <c r="AG645" i="1" a="1"/>
  <c r="AF645" i="1" a="1"/>
  <c r="AE645" i="1" a="1"/>
  <c r="AD645" i="1"/>
  <c r="AG644" i="1" a="1"/>
  <c r="AF644" i="1" a="1"/>
  <c r="AE644" i="1" a="1"/>
  <c r="AD644" i="1"/>
  <c r="AG643" i="1" a="1"/>
  <c r="AF643" i="1" a="1"/>
  <c r="AE643" i="1" a="1"/>
  <c r="AD643" i="1"/>
  <c r="AG642" i="1" a="1"/>
  <c r="AF642" i="1" a="1"/>
  <c r="AE642" i="1" a="1"/>
  <c r="AD642" i="1"/>
  <c r="AG641" i="1" a="1"/>
  <c r="AF641" i="1" a="1"/>
  <c r="AE641" i="1" a="1"/>
  <c r="AD641" i="1"/>
  <c r="AG640" i="1" a="1"/>
  <c r="AF640" i="1" a="1"/>
  <c r="AE640" i="1" a="1"/>
  <c r="AD640" i="1"/>
  <c r="AG639" i="1" a="1"/>
  <c r="AF639" i="1" a="1"/>
  <c r="AE639" i="1" a="1"/>
  <c r="AD639" i="1"/>
  <c r="AG638" i="1" a="1"/>
  <c r="AF638" i="1" a="1"/>
  <c r="AE638" i="1" a="1"/>
  <c r="AD638" i="1"/>
  <c r="AG637" i="1" a="1"/>
  <c r="AF637" i="1" a="1"/>
  <c r="AE637" i="1" a="1"/>
  <c r="AD637" i="1"/>
  <c r="AG636" i="1" a="1"/>
  <c r="AF636" i="1" a="1"/>
  <c r="AE636" i="1" a="1"/>
  <c r="AD636" i="1"/>
  <c r="AG635" i="1" a="1"/>
  <c r="AF635" i="1" a="1"/>
  <c r="AE635" i="1" a="1"/>
  <c r="AD635" i="1"/>
  <c r="AG634" i="1" a="1"/>
  <c r="AF634" i="1" a="1"/>
  <c r="AE634" i="1" a="1"/>
  <c r="AD634" i="1"/>
  <c r="AG633" i="1" a="1"/>
  <c r="AF633" i="1" a="1"/>
  <c r="AE633" i="1" a="1"/>
  <c r="AD633" i="1"/>
  <c r="AG632" i="1" a="1"/>
  <c r="AF632" i="1" a="1"/>
  <c r="AE632" i="1" a="1"/>
  <c r="AD632" i="1"/>
  <c r="AG631" i="1" a="1"/>
  <c r="AF631" i="1" a="1"/>
  <c r="AE631" i="1" a="1"/>
  <c r="AD631" i="1"/>
  <c r="AG630" i="1" a="1"/>
  <c r="AF630" i="1" a="1"/>
  <c r="AE630" i="1" a="1"/>
  <c r="AD630" i="1"/>
  <c r="AG629" i="1" a="1"/>
  <c r="AF629" i="1" a="1"/>
  <c r="AE629" i="1" a="1"/>
  <c r="AD629" i="1"/>
  <c r="AG628" i="1" a="1"/>
  <c r="AF628" i="1" a="1"/>
  <c r="AE628" i="1" a="1"/>
  <c r="AD628" i="1"/>
  <c r="AG627" i="1" a="1"/>
  <c r="AF627" i="1" a="1"/>
  <c r="AE627" i="1" a="1"/>
  <c r="AD627" i="1"/>
  <c r="AG626" i="1" a="1"/>
  <c r="AF626" i="1" a="1"/>
  <c r="AE626" i="1" a="1"/>
  <c r="AD626" i="1"/>
  <c r="AG625" i="1" a="1"/>
  <c r="AF625" i="1" a="1"/>
  <c r="AE625" i="1" a="1"/>
  <c r="AD625" i="1"/>
  <c r="AG624" i="1" a="1"/>
  <c r="AF624" i="1" a="1"/>
  <c r="AE624" i="1" a="1"/>
  <c r="AD624" i="1"/>
  <c r="AG623" i="1" a="1"/>
  <c r="AF623" i="1" a="1"/>
  <c r="AE623" i="1" a="1"/>
  <c r="AD623" i="1"/>
  <c r="AG622" i="1" a="1"/>
  <c r="AF622" i="1" a="1"/>
  <c r="AE622" i="1" a="1"/>
  <c r="AD622" i="1"/>
  <c r="AG621" i="1" a="1"/>
  <c r="AF621" i="1" a="1"/>
  <c r="AE621" i="1" a="1"/>
  <c r="AH621" i="1" s="1"/>
  <c r="AD621" i="1"/>
  <c r="AG620" i="1" a="1"/>
  <c r="AF620" i="1" a="1"/>
  <c r="AE620" i="1" a="1"/>
  <c r="AH620" i="1" s="1"/>
  <c r="AD620" i="1"/>
  <c r="AG619" i="1" a="1"/>
  <c r="AF619" i="1" a="1"/>
  <c r="AE619" i="1" a="1"/>
  <c r="AD619" i="1"/>
  <c r="AG618" i="1" a="1"/>
  <c r="AF618" i="1" a="1"/>
  <c r="AE618" i="1" a="1"/>
  <c r="AD618" i="1"/>
  <c r="AG617" i="1" a="1"/>
  <c r="AF617" i="1" a="1"/>
  <c r="AE617" i="1" a="1"/>
  <c r="AD617" i="1"/>
  <c r="AG616" i="1" a="1"/>
  <c r="AF616" i="1" a="1"/>
  <c r="AE616" i="1" a="1"/>
  <c r="AD616" i="1"/>
  <c r="AG615" i="1" a="1"/>
  <c r="AF615" i="1" a="1"/>
  <c r="AE615" i="1" a="1"/>
  <c r="AD615" i="1"/>
  <c r="AG614" i="1" a="1"/>
  <c r="AF614" i="1" a="1"/>
  <c r="AE614" i="1" a="1"/>
  <c r="AD614" i="1"/>
  <c r="AG613" i="1" a="1"/>
  <c r="AF613" i="1" a="1"/>
  <c r="AE613" i="1" a="1"/>
  <c r="AD613" i="1"/>
  <c r="AG612" i="1" a="1"/>
  <c r="AF612" i="1" a="1"/>
  <c r="AE612" i="1" a="1"/>
  <c r="AD612" i="1"/>
  <c r="AG611" i="1" a="1"/>
  <c r="AF611" i="1" a="1"/>
  <c r="AE611" i="1" a="1"/>
  <c r="AD611" i="1"/>
  <c r="AG610" i="1" a="1"/>
  <c r="AF610" i="1" a="1"/>
  <c r="AE610" i="1" a="1"/>
  <c r="AD610" i="1"/>
  <c r="AG609" i="1" a="1"/>
  <c r="AF609" i="1" a="1"/>
  <c r="AE609" i="1" a="1"/>
  <c r="AD609" i="1"/>
  <c r="AG608" i="1" a="1"/>
  <c r="AF608" i="1" a="1"/>
  <c r="AE608" i="1" a="1"/>
  <c r="AD608" i="1"/>
  <c r="AG607" i="1" a="1"/>
  <c r="AF607" i="1" a="1"/>
  <c r="AE607" i="1" a="1"/>
  <c r="AD607" i="1"/>
  <c r="AG606" i="1" a="1"/>
  <c r="AF606" i="1" a="1"/>
  <c r="AE606" i="1" a="1"/>
  <c r="AD606" i="1"/>
  <c r="AG605" i="1" a="1"/>
  <c r="AF605" i="1" a="1"/>
  <c r="AE605" i="1" a="1"/>
  <c r="AD605" i="1"/>
  <c r="AG604" i="1" a="1"/>
  <c r="AF604" i="1" a="1"/>
  <c r="AE604" i="1" a="1"/>
  <c r="AD604" i="1"/>
  <c r="AG603" i="1" a="1"/>
  <c r="AF603" i="1" a="1"/>
  <c r="AE603" i="1" a="1"/>
  <c r="AD603" i="1"/>
  <c r="AG602" i="1" a="1"/>
  <c r="AF602" i="1" a="1"/>
  <c r="AE602" i="1" a="1"/>
  <c r="AD602" i="1"/>
  <c r="AG601" i="1" a="1"/>
  <c r="AF601" i="1" a="1"/>
  <c r="AE601" i="1" a="1"/>
  <c r="AD601" i="1"/>
  <c r="AG600" i="1" a="1"/>
  <c r="AF600" i="1" a="1"/>
  <c r="AE600" i="1" a="1"/>
  <c r="AD600" i="1"/>
  <c r="AG599" i="1" a="1"/>
  <c r="AF599" i="1" a="1"/>
  <c r="AE599" i="1" a="1"/>
  <c r="AD599" i="1"/>
  <c r="AG598" i="1" a="1"/>
  <c r="AF598" i="1" a="1"/>
  <c r="AE598" i="1" a="1"/>
  <c r="AD598" i="1"/>
  <c r="AG597" i="1" a="1"/>
  <c r="AF597" i="1" a="1"/>
  <c r="AE597" i="1" a="1"/>
  <c r="AD597" i="1"/>
  <c r="AG596" i="1" a="1"/>
  <c r="AF596" i="1" a="1"/>
  <c r="AE596" i="1" a="1"/>
  <c r="AD596" i="1"/>
  <c r="AG595" i="1" a="1"/>
  <c r="AF595" i="1" a="1"/>
  <c r="AE595" i="1" a="1"/>
  <c r="AD595" i="1"/>
  <c r="AG594" i="1" a="1"/>
  <c r="AF594" i="1" a="1"/>
  <c r="AE594" i="1" a="1"/>
  <c r="AD594" i="1"/>
  <c r="AG593" i="1" a="1"/>
  <c r="AF593" i="1" a="1"/>
  <c r="AE593" i="1" a="1"/>
  <c r="AD593" i="1"/>
  <c r="AG592" i="1" a="1"/>
  <c r="AF592" i="1" a="1"/>
  <c r="AE592" i="1" a="1"/>
  <c r="AD592" i="1"/>
  <c r="AG591" i="1" a="1"/>
  <c r="AF591" i="1" a="1"/>
  <c r="AE591" i="1" a="1"/>
  <c r="AD591" i="1"/>
  <c r="AG590" i="1" a="1"/>
  <c r="AF590" i="1" a="1"/>
  <c r="AE590" i="1" a="1"/>
  <c r="AD590" i="1"/>
  <c r="AG589" i="1" a="1"/>
  <c r="AF589" i="1" a="1"/>
  <c r="AE589" i="1" a="1"/>
  <c r="AD589" i="1"/>
  <c r="AG588" i="1" a="1"/>
  <c r="AF588" i="1" a="1"/>
  <c r="AE588" i="1" a="1"/>
  <c r="AD588" i="1"/>
  <c r="AG587" i="1" a="1"/>
  <c r="AF587" i="1" a="1"/>
  <c r="AE587" i="1" a="1"/>
  <c r="AD587" i="1"/>
  <c r="AG586" i="1" a="1"/>
  <c r="AF586" i="1" a="1"/>
  <c r="AE586" i="1" a="1"/>
  <c r="AD586" i="1"/>
  <c r="AG585" i="1" a="1"/>
  <c r="AF585" i="1" a="1"/>
  <c r="AE585" i="1" a="1"/>
  <c r="AD585" i="1"/>
  <c r="AG584" i="1" a="1"/>
  <c r="AF584" i="1" a="1"/>
  <c r="AE584" i="1" a="1"/>
  <c r="AD584" i="1"/>
  <c r="AG583" i="1" a="1"/>
  <c r="AF583" i="1" a="1"/>
  <c r="AE583" i="1" a="1"/>
  <c r="AD583" i="1"/>
  <c r="AG582" i="1" a="1"/>
  <c r="AF582" i="1" a="1"/>
  <c r="AE582" i="1" a="1"/>
  <c r="AD582" i="1"/>
  <c r="AG581" i="1" a="1"/>
  <c r="AF581" i="1" a="1"/>
  <c r="AE581" i="1" a="1"/>
  <c r="AD581" i="1"/>
  <c r="AG580" i="1" a="1"/>
  <c r="AF580" i="1" a="1"/>
  <c r="AE580" i="1" a="1"/>
  <c r="AD580" i="1"/>
  <c r="AG579" i="1" a="1"/>
  <c r="AF579" i="1" a="1"/>
  <c r="AE579" i="1" a="1"/>
  <c r="AD579" i="1"/>
  <c r="AG578" i="1" a="1"/>
  <c r="AF578" i="1" a="1"/>
  <c r="AE578" i="1" a="1"/>
  <c r="AD578" i="1"/>
  <c r="AG577" i="1" a="1"/>
  <c r="AF577" i="1" a="1"/>
  <c r="AE577" i="1" a="1"/>
  <c r="AD577" i="1"/>
  <c r="AG576" i="1" a="1"/>
  <c r="AF576" i="1" a="1"/>
  <c r="AE576" i="1" a="1"/>
  <c r="AD576" i="1"/>
  <c r="AG575" i="1" a="1"/>
  <c r="AF575" i="1" a="1"/>
  <c r="AE575" i="1" a="1"/>
  <c r="AD575" i="1"/>
  <c r="AG574" i="1" a="1"/>
  <c r="AF574" i="1" a="1"/>
  <c r="AE574" i="1" a="1"/>
  <c r="AD574" i="1"/>
  <c r="AG573" i="1" a="1"/>
  <c r="AF573" i="1" a="1"/>
  <c r="AE573" i="1" a="1"/>
  <c r="AD573" i="1"/>
  <c r="AG572" i="1" a="1"/>
  <c r="AF572" i="1" a="1"/>
  <c r="AE572" i="1" a="1"/>
  <c r="AD572" i="1"/>
  <c r="AG571" i="1" a="1"/>
  <c r="AF571" i="1" a="1"/>
  <c r="AE571" i="1" a="1"/>
  <c r="AD571" i="1"/>
  <c r="AG570" i="1" a="1"/>
  <c r="AF570" i="1" a="1"/>
  <c r="AE570" i="1" a="1"/>
  <c r="AD570" i="1"/>
  <c r="AG569" i="1" a="1"/>
  <c r="AF569" i="1" a="1"/>
  <c r="AE569" i="1" a="1"/>
  <c r="AD569" i="1"/>
  <c r="AG568" i="1" a="1"/>
  <c r="AF568" i="1" a="1"/>
  <c r="AE568" i="1" a="1"/>
  <c r="AD568" i="1"/>
  <c r="AG567" i="1" a="1"/>
  <c r="AF567" i="1" a="1"/>
  <c r="AE567" i="1" a="1"/>
  <c r="AH567" i="1" s="1"/>
  <c r="AD567" i="1"/>
  <c r="AG566" i="1" a="1"/>
  <c r="AF566" i="1" a="1"/>
  <c r="AE566" i="1" a="1"/>
  <c r="AH566" i="1" s="1"/>
  <c r="AD566" i="1"/>
  <c r="AG565" i="1" a="1"/>
  <c r="AF565" i="1" a="1"/>
  <c r="AE565" i="1" a="1"/>
  <c r="AH565" i="1" s="1"/>
  <c r="AD565" i="1"/>
  <c r="AG564" i="1" a="1"/>
  <c r="AF564" i="1" a="1"/>
  <c r="AE564" i="1" a="1"/>
  <c r="AH564" i="1" s="1"/>
  <c r="AD564" i="1"/>
  <c r="AG563" i="1" a="1"/>
  <c r="AF563" i="1" a="1"/>
  <c r="AE563" i="1" a="1"/>
  <c r="AD563" i="1"/>
  <c r="AG562" i="1" a="1"/>
  <c r="AF562" i="1" a="1"/>
  <c r="AE562" i="1" a="1"/>
  <c r="AH562" i="1" s="1"/>
  <c r="AD562" i="1"/>
  <c r="AG561" i="1" a="1"/>
  <c r="AF561" i="1" a="1"/>
  <c r="AE561" i="1" a="1"/>
  <c r="AH561" i="1" s="1"/>
  <c r="AD561" i="1"/>
  <c r="AG560" i="1" a="1"/>
  <c r="AF560" i="1" a="1"/>
  <c r="AE560" i="1" a="1"/>
  <c r="AH560" i="1" s="1"/>
  <c r="AD560" i="1"/>
  <c r="AG559" i="1" a="1"/>
  <c r="AF559" i="1" a="1"/>
  <c r="AE559" i="1" a="1"/>
  <c r="AH559" i="1" s="1"/>
  <c r="AD559" i="1"/>
  <c r="AG558" i="1" a="1"/>
  <c r="AF558" i="1" a="1"/>
  <c r="AE558" i="1" a="1"/>
  <c r="AH558" i="1" s="1"/>
  <c r="AD558" i="1"/>
  <c r="AG557" i="1" a="1"/>
  <c r="AF557" i="1" a="1"/>
  <c r="AE557" i="1" a="1"/>
  <c r="AH557" i="1" s="1"/>
  <c r="AD557" i="1"/>
  <c r="AG556" i="1" a="1"/>
  <c r="AF556" i="1" a="1"/>
  <c r="AE556" i="1" a="1"/>
  <c r="AH556" i="1" s="1"/>
  <c r="AD556" i="1"/>
  <c r="AG555" i="1" a="1"/>
  <c r="AF555" i="1" a="1"/>
  <c r="AE555" i="1" a="1"/>
  <c r="AH555" i="1" s="1"/>
  <c r="AD555" i="1"/>
  <c r="AG554" i="1" a="1"/>
  <c r="AF554" i="1" a="1"/>
  <c r="AE554" i="1" a="1"/>
  <c r="AH554" i="1" s="1"/>
  <c r="AD554" i="1"/>
  <c r="AG553" i="1" a="1"/>
  <c r="AF553" i="1" a="1"/>
  <c r="AE553" i="1" a="1"/>
  <c r="AH553" i="1" s="1"/>
  <c r="AD553" i="1"/>
  <c r="AG552" i="1" a="1"/>
  <c r="AF552" i="1" a="1"/>
  <c r="AE552" i="1" a="1"/>
  <c r="AH552" i="1" s="1"/>
  <c r="AD552" i="1"/>
  <c r="AG551" i="1" a="1"/>
  <c r="AF551" i="1" a="1"/>
  <c r="AE551" i="1" a="1"/>
  <c r="AD551" i="1"/>
  <c r="AG550" i="1" a="1"/>
  <c r="AF550" i="1" a="1"/>
  <c r="AE550" i="1" a="1"/>
  <c r="AH550" i="1" s="1"/>
  <c r="AD550" i="1"/>
  <c r="AG549" i="1" a="1"/>
  <c r="AF549" i="1" a="1"/>
  <c r="AE549" i="1" a="1"/>
  <c r="AH549" i="1" s="1"/>
  <c r="AD549" i="1"/>
  <c r="AG548" i="1" a="1"/>
  <c r="AF548" i="1" a="1"/>
  <c r="AE548" i="1" a="1"/>
  <c r="AH548" i="1" s="1"/>
  <c r="AD548" i="1"/>
  <c r="AG547" i="1" a="1"/>
  <c r="AF547" i="1" a="1"/>
  <c r="AE547" i="1" a="1"/>
  <c r="AH547" i="1" s="1"/>
  <c r="AD547" i="1"/>
  <c r="AG546" i="1" a="1"/>
  <c r="AF546" i="1" a="1"/>
  <c r="AE546" i="1" a="1"/>
  <c r="AH546" i="1" s="1"/>
  <c r="AD546" i="1"/>
  <c r="AG545" i="1" a="1"/>
  <c r="AF545" i="1" a="1"/>
  <c r="AE545" i="1" a="1"/>
  <c r="AH545" i="1" s="1"/>
  <c r="AD545" i="1"/>
  <c r="AG544" i="1" a="1"/>
  <c r="AF544" i="1" a="1"/>
  <c r="AE544" i="1" a="1"/>
  <c r="AH544" i="1" s="1"/>
  <c r="AD544" i="1"/>
  <c r="AG543" i="1" a="1"/>
  <c r="AF543" i="1" a="1"/>
  <c r="AE543" i="1" a="1"/>
  <c r="AH543" i="1" s="1"/>
  <c r="AD543" i="1"/>
  <c r="AG542" i="1" a="1"/>
  <c r="AF542" i="1" a="1"/>
  <c r="AE542" i="1" a="1"/>
  <c r="AH542" i="1" s="1"/>
  <c r="AD542" i="1"/>
  <c r="AG541" i="1" a="1"/>
  <c r="AF541" i="1" a="1"/>
  <c r="AE541" i="1" a="1"/>
  <c r="AH541" i="1" s="1"/>
  <c r="AD541" i="1"/>
  <c r="AG540" i="1" a="1"/>
  <c r="AF540" i="1" a="1"/>
  <c r="AE540" i="1" a="1"/>
  <c r="AH540" i="1" s="1"/>
  <c r="AD540" i="1"/>
  <c r="AG539" i="1" a="1"/>
  <c r="AF539" i="1" a="1"/>
  <c r="AE539" i="1" a="1"/>
  <c r="AD539" i="1"/>
  <c r="AG538" i="1" a="1"/>
  <c r="AF538" i="1" a="1"/>
  <c r="AE538" i="1" a="1"/>
  <c r="AD538" i="1"/>
  <c r="AG537" i="1" a="1"/>
  <c r="AF537" i="1" a="1"/>
  <c r="AE537" i="1" a="1"/>
  <c r="AH537" i="1" s="1"/>
  <c r="AD537" i="1"/>
  <c r="AG536" i="1" a="1"/>
  <c r="AF536" i="1" a="1"/>
  <c r="AE536" i="1" a="1"/>
  <c r="AH536" i="1" s="1"/>
  <c r="AD536" i="1"/>
  <c r="AG535" i="1" a="1"/>
  <c r="AF535" i="1" a="1"/>
  <c r="AE535" i="1" a="1"/>
  <c r="AH535" i="1" s="1"/>
  <c r="AD535" i="1"/>
  <c r="AG534" i="1" a="1"/>
  <c r="AF534" i="1" a="1"/>
  <c r="AE534" i="1" a="1"/>
  <c r="AH534" i="1" s="1"/>
  <c r="AD534" i="1"/>
  <c r="AG533" i="1" a="1"/>
  <c r="AF533" i="1" a="1"/>
  <c r="AE533" i="1" a="1"/>
  <c r="AH533" i="1" s="1"/>
  <c r="AD533" i="1"/>
  <c r="AG532" i="1" a="1"/>
  <c r="AF532" i="1" a="1"/>
  <c r="AE532" i="1" a="1"/>
  <c r="AH532" i="1" s="1"/>
  <c r="AD532" i="1"/>
  <c r="AG531" i="1" a="1"/>
  <c r="AF531" i="1" a="1"/>
  <c r="AE531" i="1" a="1"/>
  <c r="AD531" i="1"/>
  <c r="AG530" i="1" a="1"/>
  <c r="AF530" i="1" a="1"/>
  <c r="AE530" i="1" a="1"/>
  <c r="AH530" i="1" s="1"/>
  <c r="AD530" i="1"/>
  <c r="AG529" i="1" a="1"/>
  <c r="AF529" i="1" a="1"/>
  <c r="AE529" i="1" a="1"/>
  <c r="AH529" i="1" s="1"/>
  <c r="AD529" i="1"/>
  <c r="AG528" i="1" a="1"/>
  <c r="AF528" i="1" a="1"/>
  <c r="AE528" i="1" a="1"/>
  <c r="AH528" i="1" s="1"/>
  <c r="AD528" i="1"/>
  <c r="AG527" i="1" a="1"/>
  <c r="AF527" i="1" a="1"/>
  <c r="AE527" i="1" a="1"/>
  <c r="AH527" i="1" s="1"/>
  <c r="AD527" i="1"/>
  <c r="AG526" i="1" a="1"/>
  <c r="AF526" i="1" a="1"/>
  <c r="AE526" i="1" a="1"/>
  <c r="AH526" i="1" s="1"/>
  <c r="AD526" i="1"/>
  <c r="AG525" i="1" a="1"/>
  <c r="AF525" i="1" a="1"/>
  <c r="AE525" i="1" a="1"/>
  <c r="AH525" i="1" s="1"/>
  <c r="AD525" i="1"/>
  <c r="AG524" i="1" a="1"/>
  <c r="AF524" i="1" a="1"/>
  <c r="AE524" i="1" a="1"/>
  <c r="AH524" i="1" s="1"/>
  <c r="AD524" i="1"/>
  <c r="AG523" i="1" a="1"/>
  <c r="AF523" i="1" a="1"/>
  <c r="AE523" i="1" a="1"/>
  <c r="AH523" i="1" s="1"/>
  <c r="AD523" i="1"/>
  <c r="AG522" i="1" a="1"/>
  <c r="AF522" i="1" a="1"/>
  <c r="AE522" i="1" a="1"/>
  <c r="AH522" i="1" s="1"/>
  <c r="AD522" i="1"/>
  <c r="AG521" i="1" a="1"/>
  <c r="AF521" i="1" a="1"/>
  <c r="AE521" i="1" a="1"/>
  <c r="AH521" i="1" s="1"/>
  <c r="AD521" i="1"/>
  <c r="AG520" i="1" a="1"/>
  <c r="AF520" i="1" a="1"/>
  <c r="AE520" i="1" a="1"/>
  <c r="AH520" i="1" s="1"/>
  <c r="AD520" i="1"/>
  <c r="AG519" i="1" a="1"/>
  <c r="AF519" i="1" a="1"/>
  <c r="AE519" i="1" a="1"/>
  <c r="AH519" i="1" s="1"/>
  <c r="AD519" i="1"/>
  <c r="AG518" i="1" a="1"/>
  <c r="AF518" i="1" a="1"/>
  <c r="AE518" i="1" a="1"/>
  <c r="AH518" i="1" s="1"/>
  <c r="AD518" i="1"/>
  <c r="AG517" i="1" a="1"/>
  <c r="AF517" i="1" a="1"/>
  <c r="AE517" i="1" a="1"/>
  <c r="AH517" i="1" s="1"/>
  <c r="AD517" i="1"/>
  <c r="AG516" i="1" a="1"/>
  <c r="AF516" i="1" a="1"/>
  <c r="AE516" i="1" a="1"/>
  <c r="AH516" i="1" s="1"/>
  <c r="AD516" i="1"/>
  <c r="AG515" i="1" a="1"/>
  <c r="AF515" i="1" a="1"/>
  <c r="AE515" i="1" a="1"/>
  <c r="AH515" i="1" s="1"/>
  <c r="AD515" i="1"/>
  <c r="AG514" i="1" a="1"/>
  <c r="AF514" i="1" a="1"/>
  <c r="AE514" i="1" a="1"/>
  <c r="AH514" i="1" s="1"/>
  <c r="AD514" i="1"/>
  <c r="AG513" i="1" a="1"/>
  <c r="AF513" i="1" a="1"/>
  <c r="AE513" i="1" a="1"/>
  <c r="AH513" i="1" s="1"/>
  <c r="AD513" i="1"/>
  <c r="AG512" i="1" a="1"/>
  <c r="AF512" i="1" a="1"/>
  <c r="AE512" i="1" a="1"/>
  <c r="AH512" i="1" s="1"/>
  <c r="AD512" i="1"/>
  <c r="AG511" i="1" a="1"/>
  <c r="AF511" i="1" a="1"/>
  <c r="AE511" i="1" a="1"/>
  <c r="AH511" i="1" s="1"/>
  <c r="AD511" i="1"/>
  <c r="AG510" i="1" a="1"/>
  <c r="AF510" i="1" a="1"/>
  <c r="AE510" i="1" a="1"/>
  <c r="AH510" i="1" s="1"/>
  <c r="AD510" i="1"/>
  <c r="AG509" i="1" a="1"/>
  <c r="AF509" i="1" a="1"/>
  <c r="AE509" i="1" a="1"/>
  <c r="AH509" i="1" s="1"/>
  <c r="AD509" i="1"/>
  <c r="AG508" i="1" a="1"/>
  <c r="AF508" i="1" a="1"/>
  <c r="AE508" i="1" a="1"/>
  <c r="AH508" i="1" s="1"/>
  <c r="AD508" i="1"/>
  <c r="AG507" i="1" a="1"/>
  <c r="AF507" i="1" a="1"/>
  <c r="AE507" i="1" a="1"/>
  <c r="AH507" i="1" s="1"/>
  <c r="AD507" i="1"/>
  <c r="AG506" i="1" a="1"/>
  <c r="AF506" i="1" a="1"/>
  <c r="AE506" i="1" a="1"/>
  <c r="AH506" i="1" s="1"/>
  <c r="AD506" i="1"/>
  <c r="AG505" i="1" a="1"/>
  <c r="AF505" i="1" a="1"/>
  <c r="AE505" i="1" a="1"/>
  <c r="AH505" i="1" s="1"/>
  <c r="AD505" i="1"/>
  <c r="AG504" i="1" a="1"/>
  <c r="AF504" i="1" a="1"/>
  <c r="AE504" i="1" a="1"/>
  <c r="AD504" i="1"/>
  <c r="AG503" i="1" a="1"/>
  <c r="AF503" i="1" a="1"/>
  <c r="AE503" i="1" a="1"/>
  <c r="AD503" i="1"/>
  <c r="AG502" i="1" a="1"/>
  <c r="AF502" i="1" a="1"/>
  <c r="AE502" i="1" a="1"/>
  <c r="AD502" i="1"/>
  <c r="AG501" i="1" a="1"/>
  <c r="AF501" i="1" a="1"/>
  <c r="AE501" i="1" a="1"/>
  <c r="AH501" i="1" s="1"/>
  <c r="AD501" i="1"/>
  <c r="AG500" i="1" a="1"/>
  <c r="AF500" i="1" a="1"/>
  <c r="AE500" i="1" a="1"/>
  <c r="AH500" i="1" s="1"/>
  <c r="AD500" i="1"/>
  <c r="AG499" i="1" a="1"/>
  <c r="AF499" i="1" a="1"/>
  <c r="AE499" i="1" a="1"/>
  <c r="AH499" i="1" s="1"/>
  <c r="AD499" i="1"/>
  <c r="AG498" i="1" a="1"/>
  <c r="AF498" i="1" a="1"/>
  <c r="AE498" i="1" a="1"/>
  <c r="AD498" i="1"/>
  <c r="AG497" i="1" a="1"/>
  <c r="AF497" i="1" a="1"/>
  <c r="AE497" i="1" a="1"/>
  <c r="AD497" i="1"/>
  <c r="AG496" i="1" a="1"/>
  <c r="AF496" i="1" a="1"/>
  <c r="AE496" i="1" a="1"/>
  <c r="AD496" i="1"/>
  <c r="AG495" i="1" a="1"/>
  <c r="AF495" i="1" a="1"/>
  <c r="AE495" i="1" a="1"/>
  <c r="AH495" i="1" s="1"/>
  <c r="AD495" i="1"/>
  <c r="AG494" i="1" a="1"/>
  <c r="AF494" i="1" a="1"/>
  <c r="AE494" i="1" a="1"/>
  <c r="AH494" i="1" s="1"/>
  <c r="AD494" i="1"/>
  <c r="AG493" i="1" a="1"/>
  <c r="AF493" i="1" a="1"/>
  <c r="AE493" i="1" a="1"/>
  <c r="AH493" i="1" s="1"/>
  <c r="AD493" i="1"/>
  <c r="AG492" i="1" a="1"/>
  <c r="AF492" i="1" a="1"/>
  <c r="AE492" i="1" a="1"/>
  <c r="AH492" i="1" s="1"/>
  <c r="AD492" i="1"/>
  <c r="AG491" i="1" a="1"/>
  <c r="AF491" i="1" a="1"/>
  <c r="AE491" i="1" a="1"/>
  <c r="AH491" i="1" s="1"/>
  <c r="AD491" i="1"/>
  <c r="AG490" i="1" a="1"/>
  <c r="AF490" i="1" a="1"/>
  <c r="AE490" i="1" a="1"/>
  <c r="AD490" i="1"/>
  <c r="AG489" i="1" a="1"/>
  <c r="AF489" i="1" a="1"/>
  <c r="AE489" i="1" a="1"/>
  <c r="AH489" i="1" s="1"/>
  <c r="AD489" i="1"/>
  <c r="AG488" i="1" a="1"/>
  <c r="AF488" i="1" a="1"/>
  <c r="AE488" i="1" a="1"/>
  <c r="AD488" i="1"/>
  <c r="AG487" i="1" a="1"/>
  <c r="AF487" i="1" a="1"/>
  <c r="AE487" i="1" a="1"/>
  <c r="AD487" i="1"/>
  <c r="AG486" i="1" a="1"/>
  <c r="AF486" i="1" a="1"/>
  <c r="AE486" i="1" a="1"/>
  <c r="AH486" i="1" s="1"/>
  <c r="AD486" i="1"/>
  <c r="AG485" i="1" a="1"/>
  <c r="AF485" i="1" a="1"/>
  <c r="AE485" i="1" a="1"/>
  <c r="AD485" i="1"/>
  <c r="AG484" i="1" a="1"/>
  <c r="AF484" i="1" a="1"/>
  <c r="AE484" i="1" a="1"/>
  <c r="AD484" i="1"/>
  <c r="AG483" i="1" a="1"/>
  <c r="AF483" i="1" a="1"/>
  <c r="AE483" i="1" a="1"/>
  <c r="AH483" i="1" s="1"/>
  <c r="AD483" i="1"/>
  <c r="AG482" i="1" a="1"/>
  <c r="AF482" i="1" a="1"/>
  <c r="AE482" i="1" a="1"/>
  <c r="AH482" i="1" s="1"/>
  <c r="AD482" i="1"/>
  <c r="AG481" i="1" a="1"/>
  <c r="AF481" i="1" a="1"/>
  <c r="AE481" i="1" a="1"/>
  <c r="AH481" i="1" s="1"/>
  <c r="AD481" i="1"/>
  <c r="AG480" i="1" a="1"/>
  <c r="AF480" i="1" a="1"/>
  <c r="AE480" i="1" a="1"/>
  <c r="AH480" i="1" s="1"/>
  <c r="AD480" i="1"/>
  <c r="AG479" i="1" a="1"/>
  <c r="AF479" i="1" a="1"/>
  <c r="AE479" i="1" a="1"/>
  <c r="AH479" i="1" s="1"/>
  <c r="AD479" i="1"/>
  <c r="AG478" i="1" a="1"/>
  <c r="AF478" i="1" a="1"/>
  <c r="AE478" i="1" a="1"/>
  <c r="AH478" i="1" s="1"/>
  <c r="AD478" i="1"/>
  <c r="AG477" i="1" a="1"/>
  <c r="AF477" i="1" a="1"/>
  <c r="AE477" i="1" a="1"/>
  <c r="AD477" i="1"/>
  <c r="AG476" i="1" a="1"/>
  <c r="AF476" i="1" a="1"/>
  <c r="AE476" i="1" a="1"/>
  <c r="AH476" i="1" s="1"/>
  <c r="AD476" i="1"/>
  <c r="AG475" i="1" a="1"/>
  <c r="AF475" i="1" a="1"/>
  <c r="AE475" i="1" a="1"/>
  <c r="AH475" i="1" s="1"/>
  <c r="AD475" i="1"/>
  <c r="AG474" i="1" a="1"/>
  <c r="AF474" i="1" a="1"/>
  <c r="AE474" i="1" a="1"/>
  <c r="AH474" i="1" s="1"/>
  <c r="AD474" i="1"/>
  <c r="AG473" i="1" a="1"/>
  <c r="AF473" i="1" a="1"/>
  <c r="AE473" i="1" a="1"/>
  <c r="AD473" i="1"/>
  <c r="AG472" i="1" a="1"/>
  <c r="AF472" i="1" a="1"/>
  <c r="AE472" i="1" a="1"/>
  <c r="AH472" i="1" s="1"/>
  <c r="AD472" i="1"/>
  <c r="AG471" i="1" a="1"/>
  <c r="AF471" i="1" a="1"/>
  <c r="AE471" i="1" a="1"/>
  <c r="AH471" i="1" s="1"/>
  <c r="AD471" i="1"/>
  <c r="AG470" i="1" a="1"/>
  <c r="AF470" i="1" a="1"/>
  <c r="AE470" i="1" a="1"/>
  <c r="AH470" i="1" s="1"/>
  <c r="AD470" i="1"/>
  <c r="AG469" i="1" a="1"/>
  <c r="AF469" i="1" a="1"/>
  <c r="AE469" i="1" a="1"/>
  <c r="AH469" i="1" s="1"/>
  <c r="AD469" i="1"/>
  <c r="AG468" i="1" a="1"/>
  <c r="AF468" i="1" a="1"/>
  <c r="AE468" i="1" a="1"/>
  <c r="AH468" i="1" s="1"/>
  <c r="AD468" i="1"/>
  <c r="AG467" i="1" a="1"/>
  <c r="AF467" i="1" a="1"/>
  <c r="AE467" i="1" a="1"/>
  <c r="AH467" i="1" s="1"/>
  <c r="AD467" i="1"/>
  <c r="AG466" i="1" a="1"/>
  <c r="AF466" i="1" a="1"/>
  <c r="AE466" i="1" a="1"/>
  <c r="AH466" i="1" s="1"/>
  <c r="AD466" i="1"/>
  <c r="AG465" i="1" a="1"/>
  <c r="AF465" i="1" a="1"/>
  <c r="AE465" i="1" a="1"/>
  <c r="AH465" i="1" s="1"/>
  <c r="AD465" i="1"/>
  <c r="AG464" i="1" a="1"/>
  <c r="AF464" i="1" a="1"/>
  <c r="AE464" i="1" a="1"/>
  <c r="AH464" i="1" s="1"/>
  <c r="AD464" i="1"/>
  <c r="AG463" i="1" a="1"/>
  <c r="AF463" i="1" a="1"/>
  <c r="AE463" i="1" a="1"/>
  <c r="AH463" i="1" s="1"/>
  <c r="AD463" i="1"/>
  <c r="AG462" i="1" a="1"/>
  <c r="AF462" i="1" a="1"/>
  <c r="AE462" i="1" a="1"/>
  <c r="AH462" i="1" s="1"/>
  <c r="AD462" i="1"/>
  <c r="AG461" i="1" a="1"/>
  <c r="AF461" i="1" a="1"/>
  <c r="AE461" i="1" a="1"/>
  <c r="AH461" i="1" s="1"/>
  <c r="AD461" i="1"/>
  <c r="AG460" i="1" a="1"/>
  <c r="AF460" i="1" a="1"/>
  <c r="AE460" i="1" a="1"/>
  <c r="AH460" i="1" s="1"/>
  <c r="AD460" i="1"/>
  <c r="AG459" i="1" a="1"/>
  <c r="AF459" i="1" a="1"/>
  <c r="AE459" i="1" a="1"/>
  <c r="AH459" i="1" s="1"/>
  <c r="AD459" i="1"/>
  <c r="AG458" i="1" a="1"/>
  <c r="AF458" i="1" a="1"/>
  <c r="AE458" i="1" a="1"/>
  <c r="AH458" i="1" s="1"/>
  <c r="AD458" i="1"/>
  <c r="AG457" i="1" a="1"/>
  <c r="AF457" i="1" a="1"/>
  <c r="AE457" i="1" a="1"/>
  <c r="AD457" i="1"/>
  <c r="AG456" i="1" a="1"/>
  <c r="AF456" i="1" a="1"/>
  <c r="AE456" i="1" a="1"/>
  <c r="AH456" i="1" s="1"/>
  <c r="AD456" i="1"/>
  <c r="AG455" i="1" a="1"/>
  <c r="AF455" i="1" a="1"/>
  <c r="AE455" i="1" a="1"/>
  <c r="AH455" i="1" s="1"/>
  <c r="AD455" i="1"/>
  <c r="AG454" i="1" a="1"/>
  <c r="AF454" i="1" a="1"/>
  <c r="AE454" i="1" a="1"/>
  <c r="AH454" i="1" s="1"/>
  <c r="AD454" i="1"/>
  <c r="AG453" i="1" a="1"/>
  <c r="AF453" i="1" a="1"/>
  <c r="AE453" i="1" a="1"/>
  <c r="AH453" i="1" s="1"/>
  <c r="AD453" i="1"/>
  <c r="AG452" i="1" a="1"/>
  <c r="AF452" i="1" a="1"/>
  <c r="AE452" i="1" a="1"/>
  <c r="AH452" i="1" s="1"/>
  <c r="AD452" i="1"/>
  <c r="AG451" i="1" a="1"/>
  <c r="AF451" i="1" a="1"/>
  <c r="AE451" i="1" a="1"/>
  <c r="AH451" i="1" s="1"/>
  <c r="AD451" i="1"/>
  <c r="AG450" i="1" a="1"/>
  <c r="AF450" i="1" a="1"/>
  <c r="AE450" i="1" a="1"/>
  <c r="AH450" i="1" s="1"/>
  <c r="AD450" i="1"/>
  <c r="AG449" i="1" a="1"/>
  <c r="AF449" i="1" a="1"/>
  <c r="AE449" i="1" a="1"/>
  <c r="AH449" i="1" s="1"/>
  <c r="AD449" i="1"/>
  <c r="AG448" i="1" a="1"/>
  <c r="AF448" i="1" a="1"/>
  <c r="AE448" i="1" a="1"/>
  <c r="AD448" i="1"/>
  <c r="AG447" i="1" a="1"/>
  <c r="AF447" i="1" a="1"/>
  <c r="AE447" i="1" a="1"/>
  <c r="AH447" i="1" s="1"/>
  <c r="AD447" i="1"/>
  <c r="AG446" i="1" a="1"/>
  <c r="AF446" i="1" a="1"/>
  <c r="AE446" i="1" a="1"/>
  <c r="AH446" i="1" s="1"/>
  <c r="AD446" i="1"/>
  <c r="AG445" i="1" a="1"/>
  <c r="AF445" i="1" a="1"/>
  <c r="AE445" i="1" a="1"/>
  <c r="AH445" i="1" s="1"/>
  <c r="AD445" i="1"/>
  <c r="AG444" i="1" a="1"/>
  <c r="AF444" i="1" a="1"/>
  <c r="AE444" i="1" a="1"/>
  <c r="AH444" i="1" s="1"/>
  <c r="AD444" i="1"/>
  <c r="AG443" i="1" a="1"/>
  <c r="AF443" i="1" a="1"/>
  <c r="AE443" i="1" a="1"/>
  <c r="AH443" i="1" s="1"/>
  <c r="AD443" i="1"/>
  <c r="AG442" i="1" a="1"/>
  <c r="AF442" i="1" a="1"/>
  <c r="AE442" i="1" a="1"/>
  <c r="AH442" i="1" s="1"/>
  <c r="AD442" i="1"/>
  <c r="AG441" i="1" a="1"/>
  <c r="AF441" i="1" a="1"/>
  <c r="AE441" i="1" a="1"/>
  <c r="AD441" i="1"/>
  <c r="AG440" i="1" a="1"/>
  <c r="AF440" i="1" a="1"/>
  <c r="AE440" i="1" a="1"/>
  <c r="AH440" i="1" s="1"/>
  <c r="AD440" i="1"/>
  <c r="AG439" i="1" a="1"/>
  <c r="AF439" i="1" a="1"/>
  <c r="AE439" i="1" a="1"/>
  <c r="AD439" i="1"/>
  <c r="AG438" i="1" a="1"/>
  <c r="AF438" i="1" a="1"/>
  <c r="AE438" i="1" a="1"/>
  <c r="AH438" i="1" s="1"/>
  <c r="AD438" i="1"/>
  <c r="AG437" i="1" a="1"/>
  <c r="AF437" i="1" a="1"/>
  <c r="AE437" i="1" a="1"/>
  <c r="AH437" i="1" s="1"/>
  <c r="AD437" i="1"/>
  <c r="AG436" i="1" a="1"/>
  <c r="AF436" i="1" a="1"/>
  <c r="AE436" i="1" a="1"/>
  <c r="AH436" i="1" s="1"/>
  <c r="AD436" i="1"/>
  <c r="AG435" i="1" a="1"/>
  <c r="AF435" i="1" a="1"/>
  <c r="AE435" i="1" a="1"/>
  <c r="AD435" i="1"/>
  <c r="AG434" i="1" a="1"/>
  <c r="AF434" i="1" a="1"/>
  <c r="AE434" i="1" a="1"/>
  <c r="AH434" i="1" s="1"/>
  <c r="AD434" i="1"/>
  <c r="AG433" i="1" a="1"/>
  <c r="AF433" i="1" a="1"/>
  <c r="AE433" i="1" a="1"/>
  <c r="AH433" i="1" s="1"/>
  <c r="AD433" i="1"/>
  <c r="AG432" i="1" a="1"/>
  <c r="AF432" i="1" a="1"/>
  <c r="AE432" i="1" a="1"/>
  <c r="AH432" i="1" s="1"/>
  <c r="AD432" i="1"/>
  <c r="AG431" i="1" a="1"/>
  <c r="AF431" i="1" a="1"/>
  <c r="AE431" i="1" a="1"/>
  <c r="AH431" i="1" s="1"/>
  <c r="AD431" i="1"/>
  <c r="AG430" i="1" a="1"/>
  <c r="AF430" i="1" a="1"/>
  <c r="AE430" i="1" a="1"/>
  <c r="AH430" i="1" s="1"/>
  <c r="AD430" i="1"/>
  <c r="AG429" i="1" a="1"/>
  <c r="AF429" i="1" a="1"/>
  <c r="AE429" i="1" a="1"/>
  <c r="AH429" i="1" s="1"/>
  <c r="AD429" i="1"/>
  <c r="AG428" i="1" a="1"/>
  <c r="AF428" i="1" a="1"/>
  <c r="AE428" i="1" a="1"/>
  <c r="AH428" i="1" s="1"/>
  <c r="AD428" i="1"/>
  <c r="AG427" i="1" a="1"/>
  <c r="AF427" i="1" a="1"/>
  <c r="AE427" i="1" a="1"/>
  <c r="AD427" i="1"/>
  <c r="AG426" i="1" a="1"/>
  <c r="AF426" i="1" a="1"/>
  <c r="AE426" i="1" a="1"/>
  <c r="AH426" i="1" s="1"/>
  <c r="AD426" i="1"/>
  <c r="AG425" i="1" a="1"/>
  <c r="AF425" i="1" a="1"/>
  <c r="AE425" i="1" a="1"/>
  <c r="AD425" i="1"/>
  <c r="AG424" i="1" a="1"/>
  <c r="AF424" i="1" a="1"/>
  <c r="AE424" i="1" a="1"/>
  <c r="AD424" i="1"/>
  <c r="AG423" i="1" a="1"/>
  <c r="AF423" i="1" a="1"/>
  <c r="AE423" i="1" a="1"/>
  <c r="AD423" i="1"/>
  <c r="AG422" i="1" a="1"/>
  <c r="AF422" i="1" a="1"/>
  <c r="AE422" i="1" a="1"/>
  <c r="AH422" i="1" s="1"/>
  <c r="AD422" i="1"/>
  <c r="AG421" i="1" a="1"/>
  <c r="AF421" i="1" a="1"/>
  <c r="AE421" i="1" a="1"/>
  <c r="AH421" i="1" s="1"/>
  <c r="AD421" i="1"/>
  <c r="AG420" i="1" a="1"/>
  <c r="AF420" i="1" a="1"/>
  <c r="AE420" i="1" a="1"/>
  <c r="AH420" i="1" s="1"/>
  <c r="AD420" i="1"/>
  <c r="AG419" i="1" a="1"/>
  <c r="AF419" i="1" a="1"/>
  <c r="AE419" i="1" a="1"/>
  <c r="AH419" i="1" s="1"/>
  <c r="AD419" i="1"/>
  <c r="AG418" i="1" a="1"/>
  <c r="AF418" i="1" a="1"/>
  <c r="AE418" i="1" a="1"/>
  <c r="AH418" i="1" s="1"/>
  <c r="AD418" i="1"/>
  <c r="AG417" i="1" a="1"/>
  <c r="AF417" i="1" a="1"/>
  <c r="AE417" i="1" a="1"/>
  <c r="AH417" i="1" s="1"/>
  <c r="AD417" i="1"/>
  <c r="AG416" i="1" a="1"/>
  <c r="AF416" i="1" a="1"/>
  <c r="AE416" i="1" a="1"/>
  <c r="AH416" i="1" s="1"/>
  <c r="AD416" i="1"/>
  <c r="AG415" i="1" a="1"/>
  <c r="AF415" i="1" a="1"/>
  <c r="AE415" i="1" a="1"/>
  <c r="AH415" i="1" s="1"/>
  <c r="AD415" i="1"/>
  <c r="AG414" i="1" a="1"/>
  <c r="AF414" i="1" a="1"/>
  <c r="AE414" i="1" a="1"/>
  <c r="AD414" i="1"/>
  <c r="AG413" i="1" a="1"/>
  <c r="AF413" i="1" a="1"/>
  <c r="AE413" i="1" a="1"/>
  <c r="AD413" i="1"/>
  <c r="AG412" i="1" a="1"/>
  <c r="AF412" i="1" a="1"/>
  <c r="AE412" i="1" a="1"/>
  <c r="AH412" i="1" s="1"/>
  <c r="AD412" i="1"/>
  <c r="AG411" i="1" a="1"/>
  <c r="AF411" i="1" a="1"/>
  <c r="AE411" i="1" a="1"/>
  <c r="AH411" i="1" s="1"/>
  <c r="AD411" i="1"/>
  <c r="AG410" i="1" a="1"/>
  <c r="AF410" i="1" a="1"/>
  <c r="AE410" i="1" a="1"/>
  <c r="AH410" i="1" s="1"/>
  <c r="AD410" i="1"/>
  <c r="AG409" i="1" a="1"/>
  <c r="AF409" i="1" a="1"/>
  <c r="AE409" i="1" a="1"/>
  <c r="AH409" i="1" s="1"/>
  <c r="AD409" i="1"/>
  <c r="AG408" i="1" a="1"/>
  <c r="AF408" i="1" a="1"/>
  <c r="AE408" i="1" a="1"/>
  <c r="AH408" i="1" s="1"/>
  <c r="AD408" i="1"/>
  <c r="AG407" i="1" a="1"/>
  <c r="AF407" i="1" a="1"/>
  <c r="AE407" i="1" a="1"/>
  <c r="AH407" i="1" s="1"/>
  <c r="AD407" i="1"/>
  <c r="AG406" i="1" a="1"/>
  <c r="AF406" i="1" a="1"/>
  <c r="AE406" i="1" a="1"/>
  <c r="AH406" i="1" s="1"/>
  <c r="AD406" i="1"/>
  <c r="AG405" i="1" a="1"/>
  <c r="AF405" i="1" a="1"/>
  <c r="AE405" i="1" a="1"/>
  <c r="AH405" i="1" s="1"/>
  <c r="AD405" i="1"/>
  <c r="AG404" i="1" a="1"/>
  <c r="AF404" i="1" a="1"/>
  <c r="AE404" i="1" a="1"/>
  <c r="AD404" i="1"/>
  <c r="AG403" i="1" a="1"/>
  <c r="AF403" i="1" a="1"/>
  <c r="AE403" i="1" a="1"/>
  <c r="AH403" i="1" s="1"/>
  <c r="AD403" i="1"/>
  <c r="AG402" i="1" a="1"/>
  <c r="AF402" i="1" a="1"/>
  <c r="AE402" i="1" a="1"/>
  <c r="AH402" i="1" s="1"/>
  <c r="AD402" i="1"/>
  <c r="AG401" i="1" a="1"/>
  <c r="AF401" i="1" a="1"/>
  <c r="AE401" i="1" a="1"/>
  <c r="AH401" i="1" s="1"/>
  <c r="AD401" i="1"/>
  <c r="AG400" i="1" a="1"/>
  <c r="AF400" i="1" a="1"/>
  <c r="AE400" i="1" a="1"/>
  <c r="AH400" i="1" s="1"/>
  <c r="AD400" i="1"/>
  <c r="AG399" i="1" a="1"/>
  <c r="AF399" i="1" a="1"/>
  <c r="AE399" i="1" a="1"/>
  <c r="AH399" i="1" s="1"/>
  <c r="AD399" i="1"/>
  <c r="AG398" i="1" a="1"/>
  <c r="AF398" i="1" a="1"/>
  <c r="AE398" i="1" a="1"/>
  <c r="AH398" i="1" s="1"/>
  <c r="AD398" i="1"/>
  <c r="AG397" i="1" a="1"/>
  <c r="AF397" i="1" a="1"/>
  <c r="AE397" i="1" a="1"/>
  <c r="AH397" i="1" s="1"/>
  <c r="AD397" i="1"/>
  <c r="AG396" i="1" a="1"/>
  <c r="AF396" i="1" a="1"/>
  <c r="AE396" i="1" a="1"/>
  <c r="AH396" i="1" s="1"/>
  <c r="AD396" i="1"/>
  <c r="AG395" i="1" a="1"/>
  <c r="AF395" i="1" a="1"/>
  <c r="AE395" i="1" a="1"/>
  <c r="AH395" i="1" s="1"/>
  <c r="AD395" i="1"/>
  <c r="AG394" i="1" a="1"/>
  <c r="AF394" i="1" a="1"/>
  <c r="AE394" i="1" a="1"/>
  <c r="AH394" i="1" s="1"/>
  <c r="AD394" i="1"/>
  <c r="AG393" i="1" a="1"/>
  <c r="AF393" i="1" a="1"/>
  <c r="AE393" i="1" a="1"/>
  <c r="AH393" i="1" s="1"/>
  <c r="AD393" i="1"/>
  <c r="AG392" i="1" a="1"/>
  <c r="AF392" i="1" a="1"/>
  <c r="AE392" i="1" a="1"/>
  <c r="AH392" i="1" s="1"/>
  <c r="AD392" i="1"/>
  <c r="AG391" i="1" a="1"/>
  <c r="AF391" i="1" a="1"/>
  <c r="AE391" i="1" a="1"/>
  <c r="AH391" i="1" s="1"/>
  <c r="AD391" i="1"/>
  <c r="AG390" i="1" a="1"/>
  <c r="AF390" i="1" a="1"/>
  <c r="AE390" i="1" a="1"/>
  <c r="AH390" i="1" s="1"/>
  <c r="AD390" i="1"/>
  <c r="AG389" i="1" a="1"/>
  <c r="AF389" i="1" a="1"/>
  <c r="AE389" i="1" a="1"/>
  <c r="AH389" i="1" s="1"/>
  <c r="AD389" i="1"/>
  <c r="AG388" i="1" a="1"/>
  <c r="AF388" i="1" a="1"/>
  <c r="AE388" i="1" a="1"/>
  <c r="AH388" i="1" s="1"/>
  <c r="AD388" i="1"/>
  <c r="AG387" i="1" a="1"/>
  <c r="AF387" i="1" a="1"/>
  <c r="AE387" i="1" a="1"/>
  <c r="AD387" i="1"/>
  <c r="AG386" i="1" a="1"/>
  <c r="AF386" i="1" a="1"/>
  <c r="AE386" i="1" a="1"/>
  <c r="AD386" i="1"/>
  <c r="AG385" i="1" a="1"/>
  <c r="AF385" i="1" a="1"/>
  <c r="AE385" i="1" a="1"/>
  <c r="AD385" i="1"/>
  <c r="AG384" i="1" a="1"/>
  <c r="AF384" i="1" a="1"/>
  <c r="AE384" i="1" a="1"/>
  <c r="AH384" i="1" s="1"/>
  <c r="AD384" i="1"/>
  <c r="AG383" i="1" a="1"/>
  <c r="AF383" i="1" a="1"/>
  <c r="AE383" i="1" a="1"/>
  <c r="AD383" i="1"/>
  <c r="AG382" i="1" a="1"/>
  <c r="AF382" i="1" a="1"/>
  <c r="AE382" i="1" a="1"/>
  <c r="AD382" i="1"/>
  <c r="AG381" i="1" a="1"/>
  <c r="AF381" i="1" a="1"/>
  <c r="AE381" i="1" a="1"/>
  <c r="AD381" i="1"/>
  <c r="AG380" i="1" a="1"/>
  <c r="AF380" i="1" a="1"/>
  <c r="AE380" i="1" a="1"/>
  <c r="AH380" i="1" s="1"/>
  <c r="AD380" i="1"/>
  <c r="AG379" i="1" a="1"/>
  <c r="AF379" i="1" a="1"/>
  <c r="AE379" i="1" a="1"/>
  <c r="AH379" i="1" s="1"/>
  <c r="AD379" i="1"/>
  <c r="AG378" i="1" a="1"/>
  <c r="AF378" i="1" a="1"/>
  <c r="AE378" i="1" a="1"/>
  <c r="AH378" i="1" s="1"/>
  <c r="AD378" i="1"/>
  <c r="AG377" i="1" a="1"/>
  <c r="AF377" i="1" a="1"/>
  <c r="AE377" i="1" a="1"/>
  <c r="AH377" i="1" s="1"/>
  <c r="AD377" i="1"/>
  <c r="AG376" i="1" a="1"/>
  <c r="AF376" i="1" a="1"/>
  <c r="AE376" i="1" a="1"/>
  <c r="AH376" i="1" s="1"/>
  <c r="AD376" i="1"/>
  <c r="AG375" i="1" a="1"/>
  <c r="AF375" i="1" a="1"/>
  <c r="AE375" i="1" a="1"/>
  <c r="AH375" i="1" s="1"/>
  <c r="AD375" i="1"/>
  <c r="AG374" i="1" a="1"/>
  <c r="AF374" i="1" a="1"/>
  <c r="AE374" i="1" a="1"/>
  <c r="AH374" i="1" s="1"/>
  <c r="AD374" i="1"/>
  <c r="AG373" i="1" a="1"/>
  <c r="AF373" i="1" a="1"/>
  <c r="AE373" i="1" a="1"/>
  <c r="AH373" i="1" s="1"/>
  <c r="AD373" i="1"/>
  <c r="AG372" i="1" a="1"/>
  <c r="AF372" i="1" a="1"/>
  <c r="AE372" i="1" a="1"/>
  <c r="AH372" i="1" s="1"/>
  <c r="AD372" i="1"/>
  <c r="AG371" i="1" a="1"/>
  <c r="AF371" i="1" a="1"/>
  <c r="AE371" i="1" a="1"/>
  <c r="AD371" i="1"/>
  <c r="AG370" i="1" a="1"/>
  <c r="AF370" i="1" a="1"/>
  <c r="AE370" i="1" a="1"/>
  <c r="AH370" i="1" s="1"/>
  <c r="AD370" i="1"/>
  <c r="AG369" i="1" a="1"/>
  <c r="AF369" i="1" a="1"/>
  <c r="AE369" i="1" a="1"/>
  <c r="AD369" i="1"/>
  <c r="AG368" i="1" a="1"/>
  <c r="AF368" i="1" a="1"/>
  <c r="AE368" i="1" a="1"/>
  <c r="AH368" i="1" s="1"/>
  <c r="AD368" i="1"/>
  <c r="AG367" i="1" a="1"/>
  <c r="AF367" i="1" a="1"/>
  <c r="AE367" i="1" a="1"/>
  <c r="AH367" i="1" s="1"/>
  <c r="AD367" i="1"/>
  <c r="AG366" i="1" a="1"/>
  <c r="AF366" i="1" a="1"/>
  <c r="AE366" i="1" a="1"/>
  <c r="AH366" i="1" s="1"/>
  <c r="AD366" i="1"/>
  <c r="AG365" i="1" a="1"/>
  <c r="AF365" i="1" a="1"/>
  <c r="AE365" i="1" a="1"/>
  <c r="AH365" i="1" s="1"/>
  <c r="AD365" i="1"/>
  <c r="AG364" i="1" a="1"/>
  <c r="AF364" i="1" a="1"/>
  <c r="AE364" i="1" a="1"/>
  <c r="AD364" i="1"/>
  <c r="AG363" i="1" a="1"/>
  <c r="AF363" i="1" a="1"/>
  <c r="AE363" i="1" a="1"/>
  <c r="AH363" i="1" s="1"/>
  <c r="AD363" i="1"/>
  <c r="AG362" i="1" a="1"/>
  <c r="AF362" i="1" a="1"/>
  <c r="AE362" i="1" a="1"/>
  <c r="AD362" i="1"/>
  <c r="AG361" i="1" a="1"/>
  <c r="AF361" i="1" a="1"/>
  <c r="AE361" i="1" a="1"/>
  <c r="AD361" i="1"/>
  <c r="AG360" i="1" a="1"/>
  <c r="AF360" i="1" a="1"/>
  <c r="AE360" i="1" a="1"/>
  <c r="AH360" i="1" s="1"/>
  <c r="AD360" i="1"/>
  <c r="AG359" i="1" a="1"/>
  <c r="AF359" i="1" a="1"/>
  <c r="AE359" i="1" a="1"/>
  <c r="AH359" i="1" s="1"/>
  <c r="AD359" i="1"/>
  <c r="AG358" i="1" a="1"/>
  <c r="AF358" i="1" a="1"/>
  <c r="AE358" i="1" a="1"/>
  <c r="AD358" i="1"/>
  <c r="AG357" i="1" a="1"/>
  <c r="AF357" i="1" a="1"/>
  <c r="AE357" i="1" a="1"/>
  <c r="AH357" i="1" s="1"/>
  <c r="AD357" i="1"/>
  <c r="AG356" i="1" a="1"/>
  <c r="AF356" i="1" a="1"/>
  <c r="AE356" i="1" a="1"/>
  <c r="AH356" i="1" s="1"/>
  <c r="AD356" i="1"/>
  <c r="AG355" i="1" a="1"/>
  <c r="AF355" i="1" a="1"/>
  <c r="AE355" i="1" a="1"/>
  <c r="AD355" i="1"/>
  <c r="AG354" i="1" a="1"/>
  <c r="AF354" i="1" a="1"/>
  <c r="AE354" i="1" a="1"/>
  <c r="AD354" i="1"/>
  <c r="AG353" i="1" a="1"/>
  <c r="AF353" i="1" a="1"/>
  <c r="AE353" i="1" a="1"/>
  <c r="AH353" i="1" s="1"/>
  <c r="AD353" i="1"/>
  <c r="AG352" i="1" a="1"/>
  <c r="AF352" i="1" a="1"/>
  <c r="AE352" i="1" a="1"/>
  <c r="AH352" i="1" s="1"/>
  <c r="AD352" i="1"/>
  <c r="AG351" i="1" a="1"/>
  <c r="AF351" i="1" a="1"/>
  <c r="AE351" i="1" a="1"/>
  <c r="AH351" i="1" s="1"/>
  <c r="AD351" i="1"/>
  <c r="AG350" i="1" a="1"/>
  <c r="AF350" i="1" a="1"/>
  <c r="AE350" i="1" a="1"/>
  <c r="AH350" i="1" s="1"/>
  <c r="AD350" i="1"/>
  <c r="AG349" i="1" a="1"/>
  <c r="AF349" i="1" a="1"/>
  <c r="AE349" i="1" a="1"/>
  <c r="AH349" i="1" s="1"/>
  <c r="AD349" i="1"/>
  <c r="AG348" i="1" a="1"/>
  <c r="AF348" i="1" a="1"/>
  <c r="AE348" i="1" a="1"/>
  <c r="AH348" i="1" s="1"/>
  <c r="AD348" i="1"/>
  <c r="AG347" i="1" a="1"/>
  <c r="AF347" i="1" a="1"/>
  <c r="AE347" i="1" a="1"/>
  <c r="AH347" i="1" s="1"/>
  <c r="AD347" i="1"/>
  <c r="AG346" i="1" a="1"/>
  <c r="AF346" i="1" a="1"/>
  <c r="AE346" i="1" a="1"/>
  <c r="AH346" i="1" s="1"/>
  <c r="AD346" i="1"/>
  <c r="AG345" i="1" a="1"/>
  <c r="AF345" i="1" a="1"/>
  <c r="AE345" i="1" a="1"/>
  <c r="AH345" i="1" s="1"/>
  <c r="AD345" i="1"/>
  <c r="AG344" i="1" a="1"/>
  <c r="AF344" i="1" a="1"/>
  <c r="AE344" i="1" a="1"/>
  <c r="AH344" i="1" s="1"/>
  <c r="AD344" i="1"/>
  <c r="AG343" i="1" a="1"/>
  <c r="AF343" i="1" a="1"/>
  <c r="AE343" i="1" a="1"/>
  <c r="AH343" i="1" s="1"/>
  <c r="AD343" i="1"/>
  <c r="AG342" i="1" a="1"/>
  <c r="AF342" i="1" a="1"/>
  <c r="AE342" i="1" a="1"/>
  <c r="AH342" i="1" s="1"/>
  <c r="AD342" i="1"/>
  <c r="AG341" i="1" a="1"/>
  <c r="AF341" i="1" a="1"/>
  <c r="AE341" i="1" a="1"/>
  <c r="AH341" i="1" s="1"/>
  <c r="AD341" i="1"/>
  <c r="AG340" i="1" a="1"/>
  <c r="AF340" i="1" a="1"/>
  <c r="AE340" i="1" a="1"/>
  <c r="AH340" i="1" s="1"/>
  <c r="AD340" i="1"/>
  <c r="AG339" i="1" a="1"/>
  <c r="AF339" i="1" a="1"/>
  <c r="AE339" i="1" a="1"/>
  <c r="AD339" i="1"/>
  <c r="AG338" i="1" a="1"/>
  <c r="AF338" i="1" a="1"/>
  <c r="AE338" i="1" a="1"/>
  <c r="AH338" i="1" s="1"/>
  <c r="AD338" i="1"/>
  <c r="AG337" i="1" a="1"/>
  <c r="AF337" i="1" a="1"/>
  <c r="AE337" i="1" a="1"/>
  <c r="AH337" i="1" s="1"/>
  <c r="AD337" i="1"/>
  <c r="AG336" i="1" a="1"/>
  <c r="AF336" i="1" a="1"/>
  <c r="AE336" i="1" a="1"/>
  <c r="AD336" i="1"/>
  <c r="AG335" i="1" a="1"/>
  <c r="AF335" i="1" a="1"/>
  <c r="AE335" i="1" a="1"/>
  <c r="AH335" i="1" s="1"/>
  <c r="AD335" i="1"/>
  <c r="AG334" i="1" a="1"/>
  <c r="AF334" i="1" a="1"/>
  <c r="AE334" i="1" a="1"/>
  <c r="AH334" i="1" s="1"/>
  <c r="AD334" i="1"/>
  <c r="AG333" i="1" a="1"/>
  <c r="AF333" i="1" a="1"/>
  <c r="AE333" i="1" a="1"/>
  <c r="AH333" i="1" s="1"/>
  <c r="AD333" i="1"/>
  <c r="AG332" i="1" a="1"/>
  <c r="AF332" i="1" a="1"/>
  <c r="AE332" i="1" a="1"/>
  <c r="AH332" i="1" s="1"/>
  <c r="AD332" i="1"/>
  <c r="AG331" i="1" a="1"/>
  <c r="AF331" i="1" a="1"/>
  <c r="AE331" i="1" a="1"/>
  <c r="AH331" i="1" s="1"/>
  <c r="AD331" i="1"/>
  <c r="AG330" i="1" a="1"/>
  <c r="AF330" i="1" a="1"/>
  <c r="AE330" i="1" a="1"/>
  <c r="AH330" i="1" s="1"/>
  <c r="AD330" i="1"/>
  <c r="AG329" i="1" a="1"/>
  <c r="AF329" i="1" a="1"/>
  <c r="AE329" i="1" a="1"/>
  <c r="AH329" i="1" s="1"/>
  <c r="AD329" i="1"/>
  <c r="AG328" i="1" a="1"/>
  <c r="AF328" i="1" a="1"/>
  <c r="AE328" i="1" a="1"/>
  <c r="AH328" i="1" s="1"/>
  <c r="AD328" i="1"/>
  <c r="AG327" i="1" a="1"/>
  <c r="AF327" i="1" a="1"/>
  <c r="AE327" i="1" a="1"/>
  <c r="AH327" i="1" s="1"/>
  <c r="AD327" i="1"/>
  <c r="AG326" i="1" a="1"/>
  <c r="AF326" i="1" a="1"/>
  <c r="AE326" i="1" a="1"/>
  <c r="AD326" i="1"/>
  <c r="AG325" i="1" a="1"/>
  <c r="AF325" i="1" a="1"/>
  <c r="AE325" i="1" a="1"/>
  <c r="AH325" i="1" s="1"/>
  <c r="AD325" i="1"/>
  <c r="AG324" i="1" a="1"/>
  <c r="AF324" i="1" a="1"/>
  <c r="AE324" i="1" a="1"/>
  <c r="AH324" i="1" s="1"/>
  <c r="AD324" i="1"/>
  <c r="AG323" i="1" a="1"/>
  <c r="AF323" i="1" a="1"/>
  <c r="AE323" i="1" a="1"/>
  <c r="AH323" i="1" s="1"/>
  <c r="AD323" i="1"/>
  <c r="AG322" i="1" a="1"/>
  <c r="AF322" i="1" a="1"/>
  <c r="AE322" i="1" a="1"/>
  <c r="AH322" i="1" s="1"/>
  <c r="AD322" i="1"/>
  <c r="AG321" i="1" a="1"/>
  <c r="AF321" i="1" a="1"/>
  <c r="AE321" i="1" a="1"/>
  <c r="AH321" i="1" s="1"/>
  <c r="AD321" i="1"/>
  <c r="AG320" i="1" a="1"/>
  <c r="AF320" i="1" a="1"/>
  <c r="AE320" i="1" a="1"/>
  <c r="AD320" i="1"/>
  <c r="AG319" i="1" a="1"/>
  <c r="AF319" i="1" a="1"/>
  <c r="AE319" i="1" a="1"/>
  <c r="AH319" i="1" s="1"/>
  <c r="AD319" i="1"/>
  <c r="AG318" i="1" a="1"/>
  <c r="AF318" i="1" a="1"/>
  <c r="AE318" i="1" a="1"/>
  <c r="AH318" i="1" s="1"/>
  <c r="AD318" i="1"/>
  <c r="AG317" i="1" a="1"/>
  <c r="AF317" i="1" a="1"/>
  <c r="AE317" i="1" a="1"/>
  <c r="AH317" i="1" s="1"/>
  <c r="AD317" i="1"/>
  <c r="AG316" i="1" a="1"/>
  <c r="AF316" i="1" a="1"/>
  <c r="AE316" i="1" a="1"/>
  <c r="AD316" i="1"/>
  <c r="AG315" i="1" a="1"/>
  <c r="AF315" i="1" a="1"/>
  <c r="AE315" i="1" a="1"/>
  <c r="AD315" i="1"/>
  <c r="AG314" i="1" a="1"/>
  <c r="AF314" i="1" a="1"/>
  <c r="AE314" i="1" a="1"/>
  <c r="AD314" i="1"/>
  <c r="AG313" i="1" a="1"/>
  <c r="AF313" i="1" a="1"/>
  <c r="AE313" i="1" a="1"/>
  <c r="AH313" i="1" s="1"/>
  <c r="AD313" i="1"/>
  <c r="AG312" i="1" a="1"/>
  <c r="AF312" i="1" a="1"/>
  <c r="AE312" i="1" a="1"/>
  <c r="AH312" i="1" s="1"/>
  <c r="AD312" i="1"/>
  <c r="AG311" i="1" a="1"/>
  <c r="AF311" i="1" a="1"/>
  <c r="AE311" i="1" a="1"/>
  <c r="AH311" i="1" s="1"/>
  <c r="AD311" i="1"/>
  <c r="AG310" i="1" a="1"/>
  <c r="AF310" i="1" a="1"/>
  <c r="AE310" i="1" a="1"/>
  <c r="AH310" i="1" s="1"/>
  <c r="AD310" i="1"/>
  <c r="AG309" i="1" a="1"/>
  <c r="AF309" i="1" a="1"/>
  <c r="AE309" i="1" a="1"/>
  <c r="AH309" i="1" s="1"/>
  <c r="AD309" i="1"/>
  <c r="AG308" i="1" a="1"/>
  <c r="AF308" i="1" a="1"/>
  <c r="AE308" i="1" a="1"/>
  <c r="AH308" i="1" s="1"/>
  <c r="AD308" i="1"/>
  <c r="AG307" i="1" a="1"/>
  <c r="AF307" i="1" a="1"/>
  <c r="AE307" i="1" a="1"/>
  <c r="AH307" i="1" s="1"/>
  <c r="AD307" i="1"/>
  <c r="AG306" i="1" a="1"/>
  <c r="AF306" i="1" a="1"/>
  <c r="AE306" i="1" a="1"/>
  <c r="AH306" i="1" s="1"/>
  <c r="AD306" i="1"/>
  <c r="AG305" i="1" a="1"/>
  <c r="AF305" i="1" a="1"/>
  <c r="AE305" i="1" a="1"/>
  <c r="AH305" i="1" s="1"/>
  <c r="AD305" i="1"/>
  <c r="AG304" i="1" a="1"/>
  <c r="AF304" i="1" a="1"/>
  <c r="AE304" i="1" a="1"/>
  <c r="AH304" i="1" s="1"/>
  <c r="AD304" i="1"/>
  <c r="AG303" i="1" a="1"/>
  <c r="AF303" i="1" a="1"/>
  <c r="AE303" i="1" a="1"/>
  <c r="AH303" i="1" s="1"/>
  <c r="AD303" i="1"/>
  <c r="AG302" i="1" a="1"/>
  <c r="AF302" i="1" a="1"/>
  <c r="AE302" i="1" a="1"/>
  <c r="AH302" i="1" s="1"/>
  <c r="AD302" i="1"/>
  <c r="AG301" i="1" a="1"/>
  <c r="AF301" i="1" a="1"/>
  <c r="AE301" i="1" a="1"/>
  <c r="AH301" i="1" s="1"/>
  <c r="AD301" i="1"/>
  <c r="AG300" i="1" a="1"/>
  <c r="AF300" i="1" a="1"/>
  <c r="AE300" i="1" a="1"/>
  <c r="AH300" i="1" s="1"/>
  <c r="AD300" i="1"/>
  <c r="AG299" i="1" a="1"/>
  <c r="AF299" i="1" a="1"/>
  <c r="AE299" i="1" a="1"/>
  <c r="AH299" i="1" s="1"/>
  <c r="AD299" i="1"/>
  <c r="AG298" i="1" a="1"/>
  <c r="AF298" i="1" a="1"/>
  <c r="AE298" i="1" a="1"/>
  <c r="AH298" i="1" s="1"/>
  <c r="AD298" i="1"/>
  <c r="AG297" i="1" a="1"/>
  <c r="AF297" i="1" a="1"/>
  <c r="AE297" i="1" a="1"/>
  <c r="AH297" i="1" s="1"/>
  <c r="AD297" i="1"/>
  <c r="AG296" i="1" a="1"/>
  <c r="AF296" i="1" a="1"/>
  <c r="AE296" i="1" a="1"/>
  <c r="AH296" i="1" s="1"/>
  <c r="AD296" i="1"/>
  <c r="AG295" i="1" a="1"/>
  <c r="AF295" i="1" a="1"/>
  <c r="AE295" i="1" a="1"/>
  <c r="AD295" i="1"/>
  <c r="AG294" i="1" a="1"/>
  <c r="AF294" i="1" a="1"/>
  <c r="AE294" i="1" a="1"/>
  <c r="AD294" i="1"/>
  <c r="AG293" i="1" a="1"/>
  <c r="AF293" i="1" a="1"/>
  <c r="AE293" i="1" a="1"/>
  <c r="AH293" i="1" s="1"/>
  <c r="AD293" i="1"/>
  <c r="AG292" i="1" a="1"/>
  <c r="AF292" i="1" a="1"/>
  <c r="AE292" i="1" a="1"/>
  <c r="AH292" i="1" s="1"/>
  <c r="AD292" i="1"/>
  <c r="AG291" i="1" a="1"/>
  <c r="AF291" i="1" a="1"/>
  <c r="AE291" i="1" a="1"/>
  <c r="AH291" i="1" s="1"/>
  <c r="AD291" i="1"/>
  <c r="AG290" i="1" a="1"/>
  <c r="AF290" i="1" a="1"/>
  <c r="AE290" i="1" a="1"/>
  <c r="AD290" i="1"/>
  <c r="AG289" i="1" a="1"/>
  <c r="AF289" i="1" a="1"/>
  <c r="AE289" i="1" a="1"/>
  <c r="AD289" i="1"/>
  <c r="AG288" i="1" a="1"/>
  <c r="AF288" i="1" a="1"/>
  <c r="AE288" i="1" a="1"/>
  <c r="AH288" i="1" s="1"/>
  <c r="AD288" i="1"/>
  <c r="AG287" i="1" a="1"/>
  <c r="AF287" i="1" a="1"/>
  <c r="AE287" i="1" a="1"/>
  <c r="AH287" i="1" s="1"/>
  <c r="AD287" i="1"/>
  <c r="AG286" i="1" a="1"/>
  <c r="AF286" i="1" a="1"/>
  <c r="AE286" i="1" a="1"/>
  <c r="AD286" i="1"/>
  <c r="AG285" i="1" a="1"/>
  <c r="AF285" i="1" a="1"/>
  <c r="AE285" i="1" a="1"/>
  <c r="AD285" i="1"/>
  <c r="AG284" i="1" a="1"/>
  <c r="AF284" i="1" a="1"/>
  <c r="AE284" i="1" a="1"/>
  <c r="AH284" i="1" s="1"/>
  <c r="AD284" i="1"/>
  <c r="AG283" i="1" a="1"/>
  <c r="AF283" i="1" a="1"/>
  <c r="AE283" i="1" a="1"/>
  <c r="AD283" i="1"/>
  <c r="AG282" i="1" a="1"/>
  <c r="AF282" i="1" a="1"/>
  <c r="AE282" i="1" a="1"/>
  <c r="AD282" i="1"/>
  <c r="AG281" i="1" a="1"/>
  <c r="AF281" i="1" a="1"/>
  <c r="AE281" i="1" a="1"/>
  <c r="AH281" i="1" s="1"/>
  <c r="AD281" i="1"/>
  <c r="AG280" i="1" a="1"/>
  <c r="AF280" i="1" a="1"/>
  <c r="AE280" i="1" a="1"/>
  <c r="AH280" i="1" s="1"/>
  <c r="AD280" i="1"/>
  <c r="AG279" i="1" a="1"/>
  <c r="AF279" i="1" a="1"/>
  <c r="AE279" i="1" a="1"/>
  <c r="AH279" i="1" s="1"/>
  <c r="AD279" i="1"/>
  <c r="AG278" i="1" a="1"/>
  <c r="AF278" i="1" a="1"/>
  <c r="AE278" i="1" a="1"/>
  <c r="AH278" i="1" s="1"/>
  <c r="AD278" i="1"/>
  <c r="AG277" i="1" a="1"/>
  <c r="AF277" i="1" a="1"/>
  <c r="AE277" i="1" a="1"/>
  <c r="AH277" i="1" s="1"/>
  <c r="AD277" i="1"/>
  <c r="AG276" i="1" a="1"/>
  <c r="AF276" i="1" a="1"/>
  <c r="AE276" i="1" a="1"/>
  <c r="AD276" i="1"/>
  <c r="AG275" i="1" a="1"/>
  <c r="AF275" i="1" a="1"/>
  <c r="AE275" i="1" a="1"/>
  <c r="AD275" i="1"/>
  <c r="AG274" i="1" a="1"/>
  <c r="AF274" i="1" a="1"/>
  <c r="AE274" i="1" a="1"/>
  <c r="AD274" i="1"/>
  <c r="AG273" i="1" a="1"/>
  <c r="AF273" i="1" a="1"/>
  <c r="AE273" i="1" a="1"/>
  <c r="AH273" i="1" s="1"/>
  <c r="AD273" i="1"/>
  <c r="AG272" i="1" a="1"/>
  <c r="AF272" i="1" a="1"/>
  <c r="AE272" i="1" a="1"/>
  <c r="AD272" i="1"/>
  <c r="AG271" i="1" a="1"/>
  <c r="AF271" i="1" a="1"/>
  <c r="AE271" i="1" a="1"/>
  <c r="AD271" i="1"/>
  <c r="AG270" i="1" a="1"/>
  <c r="AF270" i="1" a="1"/>
  <c r="AE270" i="1" a="1"/>
  <c r="AD270" i="1"/>
  <c r="AG269" i="1" a="1"/>
  <c r="AF269" i="1" a="1"/>
  <c r="AE269" i="1" a="1"/>
  <c r="AD269" i="1"/>
  <c r="AG268" i="1" a="1"/>
  <c r="AF268" i="1" a="1"/>
  <c r="AE268" i="1" a="1"/>
  <c r="AD268" i="1"/>
  <c r="AG267" i="1" a="1"/>
  <c r="AF267" i="1" a="1"/>
  <c r="AE267" i="1" a="1"/>
  <c r="AD267" i="1"/>
  <c r="AG266" i="1" a="1"/>
  <c r="AF266" i="1" a="1"/>
  <c r="AE266" i="1" a="1"/>
  <c r="AD266" i="1"/>
  <c r="AG265" i="1" a="1"/>
  <c r="AF265" i="1" a="1"/>
  <c r="AE265" i="1" a="1"/>
  <c r="AH265" i="1" s="1"/>
  <c r="AD265" i="1"/>
  <c r="AG264" i="1" a="1"/>
  <c r="AF264" i="1" a="1"/>
  <c r="AE264" i="1" a="1"/>
  <c r="AH264" i="1" s="1"/>
  <c r="AD264" i="1"/>
  <c r="AG263" i="1" a="1"/>
  <c r="AF263" i="1" a="1"/>
  <c r="AE263" i="1" a="1"/>
  <c r="AH263" i="1" s="1"/>
  <c r="AD263" i="1"/>
  <c r="AG262" i="1" a="1"/>
  <c r="AF262" i="1" a="1"/>
  <c r="AE262" i="1" a="1"/>
  <c r="AH262" i="1" s="1"/>
  <c r="AD262" i="1"/>
  <c r="AG261" i="1" a="1"/>
  <c r="AF261" i="1" a="1"/>
  <c r="AE261" i="1" a="1"/>
  <c r="AD261" i="1"/>
  <c r="AG260" i="1" a="1"/>
  <c r="AF260" i="1" a="1"/>
  <c r="AE260" i="1" a="1"/>
  <c r="AD260" i="1"/>
  <c r="AG259" i="1" a="1"/>
  <c r="AF259" i="1" a="1"/>
  <c r="AE259" i="1" a="1"/>
  <c r="AD259" i="1"/>
  <c r="AG258" i="1" a="1"/>
  <c r="AF258" i="1" a="1"/>
  <c r="AE258" i="1" a="1"/>
  <c r="AH258" i="1" s="1"/>
  <c r="AD258" i="1"/>
  <c r="AG257" i="1" a="1"/>
  <c r="AF257" i="1" a="1"/>
  <c r="AE257" i="1" a="1"/>
  <c r="AH257" i="1" s="1"/>
  <c r="AD257" i="1"/>
  <c r="AG256" i="1" a="1"/>
  <c r="AF256" i="1" a="1"/>
  <c r="AE256" i="1" a="1"/>
  <c r="AH256" i="1" s="1"/>
  <c r="AD256" i="1"/>
  <c r="AG255" i="1" a="1"/>
  <c r="AF255" i="1" a="1"/>
  <c r="AE255" i="1" a="1"/>
  <c r="AH255" i="1" s="1"/>
  <c r="AD255" i="1"/>
  <c r="AG254" i="1" a="1"/>
  <c r="AF254" i="1" a="1"/>
  <c r="AE254" i="1" a="1"/>
  <c r="AH254" i="1" s="1"/>
  <c r="AD254" i="1"/>
  <c r="AG253" i="1" a="1"/>
  <c r="AF253" i="1" a="1"/>
  <c r="AE253" i="1" a="1"/>
  <c r="AH253" i="1" s="1"/>
  <c r="AD253" i="1"/>
  <c r="AG252" i="1" a="1"/>
  <c r="AF252" i="1" a="1"/>
  <c r="AE252" i="1" a="1"/>
  <c r="AD252" i="1"/>
  <c r="AG251" i="1" a="1"/>
  <c r="AF251" i="1" a="1"/>
  <c r="AE251" i="1" a="1"/>
  <c r="AH251" i="1" s="1"/>
  <c r="AD251" i="1"/>
  <c r="AG250" i="1" a="1"/>
  <c r="AF250" i="1" a="1"/>
  <c r="AE250" i="1" a="1"/>
  <c r="AH250" i="1" s="1"/>
  <c r="AD250" i="1"/>
  <c r="AG249" i="1" a="1"/>
  <c r="AF249" i="1" a="1"/>
  <c r="AE249" i="1" a="1"/>
  <c r="AD249" i="1"/>
  <c r="AG248" i="1" a="1"/>
  <c r="AF248" i="1" a="1"/>
  <c r="AE248" i="1" a="1"/>
  <c r="AD248" i="1"/>
  <c r="AG247" i="1" a="1"/>
  <c r="AF247" i="1" a="1"/>
  <c r="AE247" i="1" a="1"/>
  <c r="AD247" i="1"/>
  <c r="AG246" i="1" a="1"/>
  <c r="AF246" i="1" a="1"/>
  <c r="AE246" i="1" a="1"/>
  <c r="AH246" i="1" s="1"/>
  <c r="AD246" i="1"/>
  <c r="AG245" i="1" a="1"/>
  <c r="AF245" i="1" a="1"/>
  <c r="AE245" i="1" a="1"/>
  <c r="AH245" i="1" s="1"/>
  <c r="AD245" i="1"/>
  <c r="AG244" i="1" a="1"/>
  <c r="AF244" i="1" a="1"/>
  <c r="AE244" i="1" a="1"/>
  <c r="AD244" i="1"/>
  <c r="AG243" i="1" a="1"/>
  <c r="AF243" i="1" a="1"/>
  <c r="AE243" i="1" a="1"/>
  <c r="AH243" i="1" s="1"/>
  <c r="AD243" i="1"/>
  <c r="AG242" i="1" a="1"/>
  <c r="AF242" i="1" a="1"/>
  <c r="AE242" i="1" a="1"/>
  <c r="AH242" i="1" s="1"/>
  <c r="AD242" i="1"/>
  <c r="AG241" i="1" a="1"/>
  <c r="AF241" i="1" a="1"/>
  <c r="AE241" i="1" a="1"/>
  <c r="AD241" i="1"/>
  <c r="AG240" i="1" a="1"/>
  <c r="AF240" i="1" a="1"/>
  <c r="AE240" i="1" a="1"/>
  <c r="AH240" i="1" s="1"/>
  <c r="AD240" i="1"/>
  <c r="AG239" i="1" a="1"/>
  <c r="AF239" i="1" a="1"/>
  <c r="AE239" i="1" a="1"/>
  <c r="AH239" i="1" s="1"/>
  <c r="AD239" i="1"/>
  <c r="AG238" i="1" a="1"/>
  <c r="AF238" i="1" a="1"/>
  <c r="AE238" i="1" a="1"/>
  <c r="AH238" i="1" s="1"/>
  <c r="AD238" i="1"/>
  <c r="AG237" i="1" a="1"/>
  <c r="AF237" i="1" a="1"/>
  <c r="AE237" i="1" a="1"/>
  <c r="AH237" i="1" s="1"/>
  <c r="AD237" i="1"/>
  <c r="AG236" i="1" a="1"/>
  <c r="AF236" i="1" a="1"/>
  <c r="AE236" i="1" a="1"/>
  <c r="AH236" i="1" s="1"/>
  <c r="AD236" i="1"/>
  <c r="AG235" i="1" a="1"/>
  <c r="AF235" i="1" a="1"/>
  <c r="AE235" i="1" a="1"/>
  <c r="AD235" i="1"/>
  <c r="AG234" i="1" a="1"/>
  <c r="AF234" i="1" a="1"/>
  <c r="AE234" i="1" a="1"/>
  <c r="AH234" i="1" s="1"/>
  <c r="AD234" i="1"/>
  <c r="AG233" i="1" a="1"/>
  <c r="AF233" i="1" a="1"/>
  <c r="AE233" i="1" a="1"/>
  <c r="AH233" i="1" s="1"/>
  <c r="AD233" i="1"/>
  <c r="AG232" i="1" a="1"/>
  <c r="AF232" i="1" a="1"/>
  <c r="AE232" i="1" a="1"/>
  <c r="AD232" i="1"/>
  <c r="AG231" i="1" a="1"/>
  <c r="AF231" i="1" a="1"/>
  <c r="AE231" i="1" a="1"/>
  <c r="AH231" i="1" s="1"/>
  <c r="AD231" i="1"/>
  <c r="AG230" i="1" a="1"/>
  <c r="AF230" i="1" a="1"/>
  <c r="AE230" i="1" a="1"/>
  <c r="AH230" i="1" s="1"/>
  <c r="AD230" i="1"/>
  <c r="AG229" i="1" a="1"/>
  <c r="AF229" i="1" a="1"/>
  <c r="AE229" i="1" a="1"/>
  <c r="AD229" i="1"/>
  <c r="AG228" i="1" a="1"/>
  <c r="AF228" i="1" a="1"/>
  <c r="AE228" i="1" a="1"/>
  <c r="AH228" i="1" s="1"/>
  <c r="AD228" i="1"/>
  <c r="AG227" i="1" a="1"/>
  <c r="AF227" i="1" a="1"/>
  <c r="AE227" i="1" a="1"/>
  <c r="AH227" i="1" s="1"/>
  <c r="AD227" i="1"/>
  <c r="AG226" i="1" a="1"/>
  <c r="AF226" i="1" a="1"/>
  <c r="AE226" i="1" a="1"/>
  <c r="AH226" i="1" s="1"/>
  <c r="AD226" i="1"/>
  <c r="AG225" i="1" a="1"/>
  <c r="AF225" i="1" a="1"/>
  <c r="AE225" i="1" a="1"/>
  <c r="AH225" i="1" s="1"/>
  <c r="AD225" i="1"/>
  <c r="AG224" i="1" a="1"/>
  <c r="AF224" i="1" a="1"/>
  <c r="AE224" i="1" a="1"/>
  <c r="AD224" i="1"/>
  <c r="AG223" i="1" a="1"/>
  <c r="AF223" i="1" a="1"/>
  <c r="AE223" i="1" a="1"/>
  <c r="AH223" i="1" s="1"/>
  <c r="AD223" i="1"/>
  <c r="AG222" i="1" a="1"/>
  <c r="AF222" i="1" a="1"/>
  <c r="AE222" i="1" a="1"/>
  <c r="AH222" i="1" s="1"/>
  <c r="AD222" i="1"/>
  <c r="AG221" i="1" a="1"/>
  <c r="AF221" i="1" a="1"/>
  <c r="AE221" i="1" a="1"/>
  <c r="AH221" i="1" s="1"/>
  <c r="AD221" i="1"/>
  <c r="AG220" i="1" a="1"/>
  <c r="AF220" i="1" a="1"/>
  <c r="AE220" i="1" a="1"/>
  <c r="AD220" i="1"/>
  <c r="AG219" i="1" a="1"/>
  <c r="AF219" i="1" a="1"/>
  <c r="AE219" i="1" a="1"/>
  <c r="AD219" i="1"/>
  <c r="AG218" i="1" a="1"/>
  <c r="AF218" i="1" a="1"/>
  <c r="AE218" i="1" a="1"/>
  <c r="AD218" i="1"/>
  <c r="AG217" i="1" a="1"/>
  <c r="AF217" i="1" a="1"/>
  <c r="AE217" i="1" a="1"/>
  <c r="AH217" i="1" s="1"/>
  <c r="AD217" i="1"/>
  <c r="AG216" i="1" a="1"/>
  <c r="AF216" i="1" a="1"/>
  <c r="AE216" i="1" a="1"/>
  <c r="AH216" i="1" s="1"/>
  <c r="AD216" i="1"/>
  <c r="AG215" i="1" a="1"/>
  <c r="AF215" i="1" a="1"/>
  <c r="AE215" i="1" a="1"/>
  <c r="AH215" i="1" s="1"/>
  <c r="AD215" i="1"/>
  <c r="AG214" i="1" a="1"/>
  <c r="AF214" i="1" a="1"/>
  <c r="AE214" i="1" a="1"/>
  <c r="AH214" i="1" s="1"/>
  <c r="AD214" i="1"/>
  <c r="AG213" i="1" a="1"/>
  <c r="AF213" i="1" a="1"/>
  <c r="AE213" i="1" a="1"/>
  <c r="AH213" i="1" s="1"/>
  <c r="AD213" i="1"/>
  <c r="AG212" i="1" a="1"/>
  <c r="AF212" i="1" a="1"/>
  <c r="AE212" i="1" a="1"/>
  <c r="AH212" i="1" s="1"/>
  <c r="AD212" i="1"/>
  <c r="AG211" i="1" a="1"/>
  <c r="AF211" i="1" a="1"/>
  <c r="AE211" i="1" a="1"/>
  <c r="AD211" i="1"/>
  <c r="AG210" i="1" a="1"/>
  <c r="AF210" i="1" a="1"/>
  <c r="AE210" i="1" a="1"/>
  <c r="AH210" i="1" s="1"/>
  <c r="AD210" i="1"/>
  <c r="AG209" i="1" a="1"/>
  <c r="AF209" i="1" a="1"/>
  <c r="AE209" i="1" a="1"/>
  <c r="AH209" i="1" s="1"/>
  <c r="AD209" i="1"/>
  <c r="AG208" i="1" a="1"/>
  <c r="AF208" i="1" a="1"/>
  <c r="AE208" i="1" a="1"/>
  <c r="AH208" i="1" s="1"/>
  <c r="AD208" i="1"/>
  <c r="AG207" i="1" a="1"/>
  <c r="AF207" i="1" a="1"/>
  <c r="AE207" i="1" a="1"/>
  <c r="AH207" i="1" s="1"/>
  <c r="AD207" i="1"/>
  <c r="AG206" i="1" a="1"/>
  <c r="AF206" i="1" a="1"/>
  <c r="AE206" i="1" a="1"/>
  <c r="AD206" i="1"/>
  <c r="AG205" i="1" a="1"/>
  <c r="AF205" i="1" a="1"/>
  <c r="AE205" i="1" a="1"/>
  <c r="AH205" i="1" s="1"/>
  <c r="AD205" i="1"/>
  <c r="AG204" i="1" a="1"/>
  <c r="AF204" i="1" a="1"/>
  <c r="AE204" i="1" a="1"/>
  <c r="AH204" i="1" s="1"/>
  <c r="AD204" i="1"/>
  <c r="AG203" i="1" a="1"/>
  <c r="AF203" i="1" a="1"/>
  <c r="AE203" i="1" a="1"/>
  <c r="AD203" i="1"/>
  <c r="AG202" i="1" a="1"/>
  <c r="AF202" i="1" a="1"/>
  <c r="AE202" i="1" a="1"/>
  <c r="AH202" i="1" s="1"/>
  <c r="AD202" i="1"/>
  <c r="AG201" i="1" a="1"/>
  <c r="AF201" i="1" a="1"/>
  <c r="AE201" i="1" a="1"/>
  <c r="AH201" i="1" s="1"/>
  <c r="AD201" i="1"/>
  <c r="AG200" i="1" a="1"/>
  <c r="AF200" i="1" a="1"/>
  <c r="AE200" i="1" a="1"/>
  <c r="AD200" i="1"/>
  <c r="AG199" i="1" a="1"/>
  <c r="AF199" i="1" a="1"/>
  <c r="AE199" i="1" a="1"/>
  <c r="AH199" i="1" s="1"/>
  <c r="AD199" i="1"/>
  <c r="AG198" i="1" a="1"/>
  <c r="AF198" i="1" a="1"/>
  <c r="AE198" i="1" a="1"/>
  <c r="AD198" i="1"/>
  <c r="AG197" i="1" a="1"/>
  <c r="AF197" i="1" a="1"/>
  <c r="AE197" i="1" a="1"/>
  <c r="AH197" i="1" s="1"/>
  <c r="AD197" i="1"/>
  <c r="AG196" i="1" a="1"/>
  <c r="AF196" i="1" a="1"/>
  <c r="AE196" i="1" a="1"/>
  <c r="AD196" i="1"/>
  <c r="AG195" i="1" a="1"/>
  <c r="AF195" i="1" a="1"/>
  <c r="AE195" i="1" a="1"/>
  <c r="AH195" i="1" s="1"/>
  <c r="AD195" i="1"/>
  <c r="AG194" i="1" a="1"/>
  <c r="AF194" i="1" a="1"/>
  <c r="AE194" i="1" a="1"/>
  <c r="AH194" i="1" s="1"/>
  <c r="AD194" i="1"/>
  <c r="AG193" i="1" a="1"/>
  <c r="AF193" i="1" a="1"/>
  <c r="AE193" i="1" a="1"/>
  <c r="AH193" i="1" s="1"/>
  <c r="AD193" i="1"/>
  <c r="AG192" i="1" a="1"/>
  <c r="AF192" i="1" a="1"/>
  <c r="AE192" i="1" a="1"/>
  <c r="AH192" i="1" s="1"/>
  <c r="AD192" i="1"/>
  <c r="AG191" i="1" a="1"/>
  <c r="AF191" i="1" a="1"/>
  <c r="AE191" i="1" a="1"/>
  <c r="AH191" i="1" s="1"/>
  <c r="AD191" i="1"/>
  <c r="AG190" i="1" a="1"/>
  <c r="AF190" i="1" a="1"/>
  <c r="AE190" i="1" a="1"/>
  <c r="AH190" i="1" s="1"/>
  <c r="AD190" i="1"/>
  <c r="AG189" i="1" a="1"/>
  <c r="AF189" i="1" a="1"/>
  <c r="AE189" i="1" a="1"/>
  <c r="AH189" i="1" s="1"/>
  <c r="AD189" i="1"/>
  <c r="AG188" i="1" a="1"/>
  <c r="AF188" i="1" a="1"/>
  <c r="AE188" i="1" a="1"/>
  <c r="AH188" i="1" s="1"/>
  <c r="AD188" i="1"/>
  <c r="AG187" i="1" a="1"/>
  <c r="AF187" i="1" a="1"/>
  <c r="AE187" i="1" a="1"/>
  <c r="AH187" i="1" s="1"/>
  <c r="AD187" i="1"/>
  <c r="AG186" i="1" a="1"/>
  <c r="AF186" i="1" a="1"/>
  <c r="AE186" i="1" a="1"/>
  <c r="AH186" i="1" s="1"/>
  <c r="AD186" i="1"/>
  <c r="AG185" i="1" a="1"/>
  <c r="AF185" i="1" a="1"/>
  <c r="AE185" i="1" a="1"/>
  <c r="AH185" i="1" s="1"/>
  <c r="AD185" i="1"/>
  <c r="AG184" i="1" a="1"/>
  <c r="AF184" i="1" a="1"/>
  <c r="AE184" i="1" a="1"/>
  <c r="AH184" i="1" s="1"/>
  <c r="AD184" i="1"/>
  <c r="AG183" i="1" a="1"/>
  <c r="AF183" i="1" a="1"/>
  <c r="AE183" i="1" a="1"/>
  <c r="AH183" i="1" s="1"/>
  <c r="AD183" i="1"/>
  <c r="AG182" i="1" a="1"/>
  <c r="AF182" i="1" a="1"/>
  <c r="AE182" i="1" a="1"/>
  <c r="AH182" i="1" s="1"/>
  <c r="AD182" i="1"/>
  <c r="AG181" i="1" a="1"/>
  <c r="AF181" i="1" a="1"/>
  <c r="AE181" i="1" a="1"/>
  <c r="AH181" i="1" s="1"/>
  <c r="AD181" i="1"/>
  <c r="AG180" i="1" a="1"/>
  <c r="AF180" i="1" a="1"/>
  <c r="AE180" i="1" a="1"/>
  <c r="AH180" i="1" s="1"/>
  <c r="AD180" i="1"/>
  <c r="AG179" i="1" a="1"/>
  <c r="AF179" i="1" a="1"/>
  <c r="AE179" i="1" a="1"/>
  <c r="AH179" i="1" s="1"/>
  <c r="AD179" i="1"/>
  <c r="AG178" i="1" a="1"/>
  <c r="AF178" i="1" a="1"/>
  <c r="AE178" i="1" a="1"/>
  <c r="AH178" i="1" s="1"/>
  <c r="AD178" i="1"/>
  <c r="AG177" i="1" a="1"/>
  <c r="AF177" i="1" a="1"/>
  <c r="AE177" i="1" a="1"/>
  <c r="AH177" i="1" s="1"/>
  <c r="AD177" i="1"/>
  <c r="AG176" i="1" a="1"/>
  <c r="AF176" i="1" a="1"/>
  <c r="AE176" i="1" a="1"/>
  <c r="AH176" i="1" s="1"/>
  <c r="AD176" i="1"/>
  <c r="AG175" i="1" a="1"/>
  <c r="AF175" i="1" a="1"/>
  <c r="AE175" i="1" a="1"/>
  <c r="AH175" i="1" s="1"/>
  <c r="AD175" i="1"/>
  <c r="AG174" i="1" a="1"/>
  <c r="AF174" i="1" a="1"/>
  <c r="AE174" i="1" a="1"/>
  <c r="AH174" i="1" s="1"/>
  <c r="AD174" i="1"/>
  <c r="AG173" i="1" a="1"/>
  <c r="AF173" i="1" a="1"/>
  <c r="AE173" i="1" a="1"/>
  <c r="AH173" i="1" s="1"/>
  <c r="AD173" i="1"/>
  <c r="AG172" i="1" a="1"/>
  <c r="AF172" i="1" a="1"/>
  <c r="AE172" i="1" a="1"/>
  <c r="AH172" i="1" s="1"/>
  <c r="AD172" i="1"/>
  <c r="AG171" i="1" a="1"/>
  <c r="AF171" i="1" a="1"/>
  <c r="AE171" i="1" a="1"/>
  <c r="AH171" i="1" s="1"/>
  <c r="AD171" i="1"/>
  <c r="AG170" i="1" a="1"/>
  <c r="AF170" i="1" a="1"/>
  <c r="AE170" i="1" a="1"/>
  <c r="AD170" i="1"/>
  <c r="AG169" i="1" a="1"/>
  <c r="AF169" i="1" a="1"/>
  <c r="AE169" i="1" a="1"/>
  <c r="AH169" i="1" s="1"/>
  <c r="AD169" i="1"/>
  <c r="AG168" i="1" a="1"/>
  <c r="AF168" i="1" a="1"/>
  <c r="AE168" i="1" a="1"/>
  <c r="AH168" i="1" s="1"/>
  <c r="AD168" i="1"/>
  <c r="AG167" i="1" a="1"/>
  <c r="AF167" i="1" a="1"/>
  <c r="AE167" i="1" a="1"/>
  <c r="AD167" i="1"/>
  <c r="AG166" i="1" a="1"/>
  <c r="AF166" i="1" a="1"/>
  <c r="AE166" i="1" a="1"/>
  <c r="AH166" i="1" s="1"/>
  <c r="AD166" i="1"/>
  <c r="AG165" i="1" a="1"/>
  <c r="AF165" i="1" a="1"/>
  <c r="AE165" i="1" a="1"/>
  <c r="AD165" i="1"/>
  <c r="AG164" i="1" a="1"/>
  <c r="AF164" i="1" a="1"/>
  <c r="AE164" i="1" a="1"/>
  <c r="AH164" i="1" s="1"/>
  <c r="AD164" i="1"/>
  <c r="AG163" i="1" a="1"/>
  <c r="AF163" i="1" a="1"/>
  <c r="AE163" i="1" a="1"/>
  <c r="AH163" i="1" s="1"/>
  <c r="AD163" i="1"/>
  <c r="AG162" i="1" a="1"/>
  <c r="AF162" i="1" a="1"/>
  <c r="AE162" i="1" a="1"/>
  <c r="AH162" i="1" s="1"/>
  <c r="AD162" i="1"/>
  <c r="AG161" i="1" a="1"/>
  <c r="AF161" i="1" a="1"/>
  <c r="AE161" i="1" a="1"/>
  <c r="AH161" i="1" s="1"/>
  <c r="AD161" i="1"/>
  <c r="AG160" i="1" a="1"/>
  <c r="AF160" i="1" a="1"/>
  <c r="AE160" i="1" a="1"/>
  <c r="AH160" i="1" s="1"/>
  <c r="AD160" i="1"/>
  <c r="AG159" i="1" a="1"/>
  <c r="AF159" i="1" a="1"/>
  <c r="AE159" i="1" a="1"/>
  <c r="AH159" i="1" s="1"/>
  <c r="AD159" i="1"/>
  <c r="AG158" i="1" a="1"/>
  <c r="AF158" i="1" a="1"/>
  <c r="AE158" i="1" a="1"/>
  <c r="AH158" i="1" s="1"/>
  <c r="AD158" i="1"/>
  <c r="AG157" i="1" a="1"/>
  <c r="AF157" i="1" a="1"/>
  <c r="AE157" i="1" a="1"/>
  <c r="AH157" i="1" s="1"/>
  <c r="AD157" i="1"/>
  <c r="AG156" i="1" a="1"/>
  <c r="AF156" i="1" a="1"/>
  <c r="AE156" i="1" a="1"/>
  <c r="AD156" i="1"/>
  <c r="AG155" i="1" a="1"/>
  <c r="AF155" i="1" a="1"/>
  <c r="AE155" i="1" a="1"/>
  <c r="AH155" i="1" s="1"/>
  <c r="AD155" i="1"/>
  <c r="AG154" i="1" a="1"/>
  <c r="AF154" i="1" a="1"/>
  <c r="AE154" i="1" a="1"/>
  <c r="AH154" i="1" s="1"/>
  <c r="AD154" i="1"/>
  <c r="AG153" i="1" a="1"/>
  <c r="AF153" i="1" a="1"/>
  <c r="AE153" i="1" a="1"/>
  <c r="AH153" i="1" s="1"/>
  <c r="AD153" i="1"/>
  <c r="AG152" i="1" a="1"/>
  <c r="AF152" i="1" a="1"/>
  <c r="AE152" i="1" a="1"/>
  <c r="AH152" i="1" s="1"/>
  <c r="AD152" i="1"/>
  <c r="AG151" i="1" a="1"/>
  <c r="AF151" i="1" a="1"/>
  <c r="AE151" i="1" a="1"/>
  <c r="AH151" i="1" s="1"/>
  <c r="AD151" i="1"/>
  <c r="AG150" i="1" a="1"/>
  <c r="AF150" i="1" a="1"/>
  <c r="AE150" i="1" a="1"/>
  <c r="AH150" i="1" s="1"/>
  <c r="AD150" i="1"/>
  <c r="AG149" i="1" a="1"/>
  <c r="AF149" i="1" a="1"/>
  <c r="AE149" i="1" a="1"/>
  <c r="AD149" i="1"/>
  <c r="AG148" i="1" a="1"/>
  <c r="AF148" i="1" a="1"/>
  <c r="AE148" i="1" a="1"/>
  <c r="AH148" i="1" s="1"/>
  <c r="AD148" i="1"/>
  <c r="AG147" i="1" a="1"/>
  <c r="AF147" i="1" a="1"/>
  <c r="AE147" i="1" a="1"/>
  <c r="AD147" i="1"/>
  <c r="AG146" i="1" a="1"/>
  <c r="AF146" i="1" a="1"/>
  <c r="AE146" i="1" a="1"/>
  <c r="AD146" i="1"/>
  <c r="AG145" i="1" a="1"/>
  <c r="AF145" i="1" a="1"/>
  <c r="AE145" i="1" a="1"/>
  <c r="AD145" i="1"/>
  <c r="AG144" i="1" a="1"/>
  <c r="AF144" i="1" a="1"/>
  <c r="AE144" i="1" a="1"/>
  <c r="AD144" i="1"/>
  <c r="AG143" i="1" a="1"/>
  <c r="AF143" i="1" a="1"/>
  <c r="AE143" i="1" a="1"/>
  <c r="AD143" i="1"/>
  <c r="AG142" i="1" a="1"/>
  <c r="AF142" i="1" a="1"/>
  <c r="AE142" i="1" a="1"/>
  <c r="AD142" i="1"/>
  <c r="AG141" i="1" a="1"/>
  <c r="AF141" i="1" a="1"/>
  <c r="AE141" i="1" a="1"/>
  <c r="AD141" i="1"/>
  <c r="AG140" i="1" a="1"/>
  <c r="AF140" i="1" a="1"/>
  <c r="AE140" i="1" a="1"/>
  <c r="AD140" i="1"/>
  <c r="AG139" i="1" a="1"/>
  <c r="AF139" i="1" a="1"/>
  <c r="AE139" i="1" a="1"/>
  <c r="AD139" i="1"/>
  <c r="AG138" i="1" a="1"/>
  <c r="AF138" i="1" a="1"/>
  <c r="AE138" i="1" a="1"/>
  <c r="AD138" i="1"/>
  <c r="AG137" i="1" a="1"/>
  <c r="AF137" i="1" a="1"/>
  <c r="AE137" i="1" a="1"/>
  <c r="AD137" i="1"/>
  <c r="AG136" i="1" a="1"/>
  <c r="AF136" i="1" a="1"/>
  <c r="AE136" i="1" a="1"/>
  <c r="AH136" i="1" s="1"/>
  <c r="AD136" i="1"/>
  <c r="AG135" i="1" a="1"/>
  <c r="AF135" i="1" a="1"/>
  <c r="AE135" i="1" a="1"/>
  <c r="AH135" i="1" s="1"/>
  <c r="AD135" i="1"/>
  <c r="AG134" i="1" a="1"/>
  <c r="AF134" i="1" a="1"/>
  <c r="AE134" i="1" a="1"/>
  <c r="AD134" i="1"/>
  <c r="AG133" i="1" a="1"/>
  <c r="AF133" i="1" a="1"/>
  <c r="AE133" i="1" a="1"/>
  <c r="AH133" i="1" s="1"/>
  <c r="AD133" i="1"/>
  <c r="AG132" i="1" a="1"/>
  <c r="AF132" i="1" a="1"/>
  <c r="AE132" i="1" a="1"/>
  <c r="AD132" i="1"/>
  <c r="AG131" i="1" a="1"/>
  <c r="AF131" i="1" a="1"/>
  <c r="AE131" i="1" a="1"/>
  <c r="AH131" i="1" s="1"/>
  <c r="AD131" i="1"/>
  <c r="AG130" i="1" a="1"/>
  <c r="AF130" i="1" a="1"/>
  <c r="AE130" i="1" a="1"/>
  <c r="AD130" i="1"/>
  <c r="AG129" i="1" a="1"/>
  <c r="AF129" i="1" a="1"/>
  <c r="AE129" i="1" a="1"/>
  <c r="AD129" i="1"/>
  <c r="AG128" i="1" a="1"/>
  <c r="AF128" i="1" a="1"/>
  <c r="AE128" i="1" a="1"/>
  <c r="AH128" i="1" s="1"/>
  <c r="AD128" i="1"/>
  <c r="AG127" i="1" a="1"/>
  <c r="AF127" i="1" a="1"/>
  <c r="AE127" i="1" a="1"/>
  <c r="AH127" i="1" s="1"/>
  <c r="AD127" i="1"/>
  <c r="AG126" i="1" a="1"/>
  <c r="AF126" i="1" a="1"/>
  <c r="AE126" i="1" a="1"/>
  <c r="AH126" i="1" s="1"/>
  <c r="AD126" i="1"/>
  <c r="AG125" i="1" a="1"/>
  <c r="AF125" i="1" a="1"/>
  <c r="AE125" i="1" a="1"/>
  <c r="AD125" i="1"/>
  <c r="AG124" i="1" a="1"/>
  <c r="AF124" i="1" a="1"/>
  <c r="AE124" i="1" a="1"/>
  <c r="AH124" i="1" s="1"/>
  <c r="AD124" i="1"/>
  <c r="AG123" i="1" a="1"/>
  <c r="AF123" i="1" a="1"/>
  <c r="AE123" i="1" a="1"/>
  <c r="AH123" i="1" s="1"/>
  <c r="AD123" i="1"/>
  <c r="AG122" i="1" a="1"/>
  <c r="AF122" i="1" a="1"/>
  <c r="AE122" i="1" a="1"/>
  <c r="AD122" i="1"/>
  <c r="AG121" i="1" a="1"/>
  <c r="AF121" i="1" a="1"/>
  <c r="AE121" i="1" a="1"/>
  <c r="AH121" i="1" s="1"/>
  <c r="AD121" i="1"/>
  <c r="AG120" i="1" a="1"/>
  <c r="AF120" i="1" a="1"/>
  <c r="AE120" i="1" a="1"/>
  <c r="AH120" i="1" s="1"/>
  <c r="AD120" i="1"/>
  <c r="AG119" i="1" a="1"/>
  <c r="AF119" i="1" a="1"/>
  <c r="AE119" i="1" a="1"/>
  <c r="AH119" i="1" s="1"/>
  <c r="AD119" i="1"/>
  <c r="AG118" i="1" a="1"/>
  <c r="AF118" i="1" a="1"/>
  <c r="AE118" i="1" a="1"/>
  <c r="AD118" i="1"/>
  <c r="AG117" i="1" a="1"/>
  <c r="AF117" i="1" a="1"/>
  <c r="AE117" i="1" a="1"/>
  <c r="AD117" i="1"/>
  <c r="AG116" i="1" a="1"/>
  <c r="AF116" i="1" a="1"/>
  <c r="AE116" i="1" a="1"/>
  <c r="AH116" i="1" s="1"/>
  <c r="AD116" i="1"/>
  <c r="AG115" i="1" a="1"/>
  <c r="AF115" i="1" a="1"/>
  <c r="AE115" i="1" a="1"/>
  <c r="AH115" i="1" s="1"/>
  <c r="AD115" i="1"/>
  <c r="AG114" i="1" a="1"/>
  <c r="AF114" i="1" a="1"/>
  <c r="AE114" i="1" a="1"/>
  <c r="AH114" i="1" s="1"/>
  <c r="AD114" i="1"/>
  <c r="AG113" i="1" a="1"/>
  <c r="AF113" i="1" a="1"/>
  <c r="AE113" i="1" a="1"/>
  <c r="AH113" i="1" s="1"/>
  <c r="AD113" i="1"/>
  <c r="AG112" i="1" a="1"/>
  <c r="AF112" i="1" a="1"/>
  <c r="AE112" i="1" a="1"/>
  <c r="AD112" i="1"/>
  <c r="AG111" i="1" a="1"/>
  <c r="AF111" i="1" a="1"/>
  <c r="AE111" i="1" a="1"/>
  <c r="AD111" i="1"/>
  <c r="AG110" i="1" a="1"/>
  <c r="AF110" i="1" a="1"/>
  <c r="AE110" i="1" a="1"/>
  <c r="AD110" i="1"/>
  <c r="AG109" i="1" a="1"/>
  <c r="AF109" i="1" a="1"/>
  <c r="AE109" i="1" a="1"/>
  <c r="AH109" i="1" s="1"/>
  <c r="AD109" i="1"/>
  <c r="AG108" i="1" a="1"/>
  <c r="AF108" i="1" a="1"/>
  <c r="AE108" i="1" a="1"/>
  <c r="AH108" i="1" s="1"/>
  <c r="AD108" i="1"/>
  <c r="AG107" i="1" a="1"/>
  <c r="AF107" i="1" a="1"/>
  <c r="AE107" i="1" a="1"/>
  <c r="AD107" i="1"/>
  <c r="AG106" i="1" a="1"/>
  <c r="AF106" i="1" a="1"/>
  <c r="AE106" i="1" a="1"/>
  <c r="AH106" i="1" s="1"/>
  <c r="AD106" i="1"/>
  <c r="AG105" i="1" a="1"/>
  <c r="AF105" i="1" a="1"/>
  <c r="AE105" i="1" a="1"/>
  <c r="AH105" i="1" s="1"/>
  <c r="AD105" i="1"/>
  <c r="AG104" i="1" a="1"/>
  <c r="AF104" i="1" a="1"/>
  <c r="AE104" i="1" a="1"/>
  <c r="AH104" i="1" s="1"/>
  <c r="AD104" i="1"/>
  <c r="AG103" i="1" a="1"/>
  <c r="AF103" i="1" a="1"/>
  <c r="AE103" i="1" a="1"/>
  <c r="AD103" i="1"/>
  <c r="AG102" i="1" a="1"/>
  <c r="AF102" i="1" a="1"/>
  <c r="AE102" i="1" a="1"/>
  <c r="AH102" i="1" s="1"/>
  <c r="AD102" i="1"/>
  <c r="AG101" i="1" a="1"/>
  <c r="AF101" i="1" a="1"/>
  <c r="AE101" i="1" a="1"/>
  <c r="AH101" i="1" s="1"/>
  <c r="AD101" i="1"/>
  <c r="AG100" i="1" a="1"/>
  <c r="AF100" i="1" a="1"/>
  <c r="AE100" i="1" a="1"/>
  <c r="AH100" i="1" s="1"/>
  <c r="AD100" i="1"/>
  <c r="AG99" i="1" a="1"/>
  <c r="AF99" i="1" a="1"/>
  <c r="AE99" i="1" a="1"/>
  <c r="AH99" i="1" s="1"/>
  <c r="AD99" i="1"/>
  <c r="AG98" i="1" a="1"/>
  <c r="AF98" i="1" a="1"/>
  <c r="AE98" i="1" a="1"/>
  <c r="AH98" i="1" s="1"/>
  <c r="AD98" i="1"/>
  <c r="AG97" i="1" a="1"/>
  <c r="AF97" i="1" a="1"/>
  <c r="AE97" i="1" a="1"/>
  <c r="AH97" i="1" s="1"/>
  <c r="AD97" i="1"/>
  <c r="AG96" i="1" a="1"/>
  <c r="AF96" i="1" a="1"/>
  <c r="AE96" i="1" a="1"/>
  <c r="AD96" i="1"/>
  <c r="AG95" i="1" a="1"/>
  <c r="AF95" i="1" a="1"/>
  <c r="AE95" i="1" a="1"/>
  <c r="AD95" i="1"/>
  <c r="AG94" i="1" a="1"/>
  <c r="AF94" i="1" a="1"/>
  <c r="AE94" i="1" a="1"/>
  <c r="AH94" i="1" s="1"/>
  <c r="AD94" i="1"/>
  <c r="AG93" i="1" a="1"/>
  <c r="AF93" i="1" a="1"/>
  <c r="AE93" i="1" a="1"/>
  <c r="AH93" i="1" s="1"/>
  <c r="AD93" i="1"/>
  <c r="AG92" i="1" a="1"/>
  <c r="AF92" i="1" a="1"/>
  <c r="AE92" i="1" a="1"/>
  <c r="AH92" i="1" s="1"/>
  <c r="AD92" i="1"/>
  <c r="AG91" i="1" a="1"/>
  <c r="AF91" i="1" a="1"/>
  <c r="AE91" i="1" a="1"/>
  <c r="AH91" i="1" s="1"/>
  <c r="AD91" i="1"/>
  <c r="AG90" i="1" a="1"/>
  <c r="AF90" i="1" a="1"/>
  <c r="AE90" i="1" a="1"/>
  <c r="AH90" i="1" s="1"/>
  <c r="AD90" i="1"/>
  <c r="AG89" i="1" a="1"/>
  <c r="AF89" i="1" a="1"/>
  <c r="AE89" i="1" a="1"/>
  <c r="AD89" i="1"/>
  <c r="AG88" i="1" a="1"/>
  <c r="AF88" i="1" a="1"/>
  <c r="AE88" i="1" a="1"/>
  <c r="AH88" i="1" s="1"/>
  <c r="AD88" i="1"/>
  <c r="AG87" i="1" a="1"/>
  <c r="AF87" i="1" a="1"/>
  <c r="AE87" i="1" a="1"/>
  <c r="AH87" i="1" s="1"/>
  <c r="AD87" i="1"/>
  <c r="AG86" i="1" a="1"/>
  <c r="AF86" i="1" a="1"/>
  <c r="AE86" i="1" a="1"/>
  <c r="AH86" i="1" s="1"/>
  <c r="AD86" i="1"/>
  <c r="AG85" i="1" a="1"/>
  <c r="AF85" i="1" a="1"/>
  <c r="AE85" i="1" a="1"/>
  <c r="AH85" i="1" s="1"/>
  <c r="AD85" i="1"/>
  <c r="AG84" i="1" a="1"/>
  <c r="AF84" i="1" a="1"/>
  <c r="AE84" i="1" a="1"/>
  <c r="AH84" i="1" s="1"/>
  <c r="AD84" i="1"/>
  <c r="AG83" i="1" a="1"/>
  <c r="AF83" i="1" a="1"/>
  <c r="AE83" i="1" a="1"/>
  <c r="AH83" i="1" s="1"/>
  <c r="AD83" i="1"/>
  <c r="AG82" i="1" a="1"/>
  <c r="AF82" i="1" a="1"/>
  <c r="AE82" i="1" a="1"/>
  <c r="AH82" i="1" s="1"/>
  <c r="AD82" i="1"/>
  <c r="AG81" i="1" a="1"/>
  <c r="AF81" i="1" a="1"/>
  <c r="AE81" i="1" a="1"/>
  <c r="AH81" i="1" s="1"/>
  <c r="AD81" i="1"/>
  <c r="AG80" i="1" a="1"/>
  <c r="AF80" i="1" a="1"/>
  <c r="AE80" i="1" a="1"/>
  <c r="AH80" i="1" s="1"/>
  <c r="AD80" i="1"/>
  <c r="AG79" i="1" a="1"/>
  <c r="AF79" i="1" a="1"/>
  <c r="AE79" i="1" a="1"/>
  <c r="AH79" i="1" s="1"/>
  <c r="AD79" i="1"/>
  <c r="AG78" i="1" a="1"/>
  <c r="AF78" i="1" a="1"/>
  <c r="AE78" i="1" a="1"/>
  <c r="AH78" i="1" s="1"/>
  <c r="AD78" i="1"/>
  <c r="AG77" i="1" a="1"/>
  <c r="AF77" i="1" a="1"/>
  <c r="AE77" i="1" a="1"/>
  <c r="AD77" i="1"/>
  <c r="AG76" i="1" a="1"/>
  <c r="AF76" i="1" a="1"/>
  <c r="AE76" i="1" a="1"/>
  <c r="AH76" i="1" s="1"/>
  <c r="AD76" i="1"/>
  <c r="AG75" i="1" a="1"/>
  <c r="AF75" i="1" a="1"/>
  <c r="AE75" i="1" a="1"/>
  <c r="AH75" i="1" s="1"/>
  <c r="AD75" i="1"/>
  <c r="AG74" i="1" a="1"/>
  <c r="AF74" i="1" a="1"/>
  <c r="AE74" i="1" a="1"/>
  <c r="AH74" i="1" s="1"/>
  <c r="AD74" i="1"/>
  <c r="AG73" i="1" a="1"/>
  <c r="AF73" i="1" a="1"/>
  <c r="AE73" i="1" a="1"/>
  <c r="AH73" i="1" s="1"/>
  <c r="AD73" i="1"/>
  <c r="AG72" i="1" a="1"/>
  <c r="AF72" i="1" a="1"/>
  <c r="AE72" i="1" a="1"/>
  <c r="AH72" i="1" s="1"/>
  <c r="AD72" i="1"/>
  <c r="AG71" i="1" a="1"/>
  <c r="AF71" i="1" a="1"/>
  <c r="AE71" i="1" a="1"/>
  <c r="AH71" i="1" s="1"/>
  <c r="AD71" i="1"/>
  <c r="AG70" i="1" a="1"/>
  <c r="AF70" i="1" a="1"/>
  <c r="AE70" i="1" a="1"/>
  <c r="AH70" i="1" s="1"/>
  <c r="AD70" i="1"/>
  <c r="AG69" i="1" a="1"/>
  <c r="AF69" i="1" a="1"/>
  <c r="AE69" i="1" a="1"/>
  <c r="AH69" i="1" s="1"/>
  <c r="AD69" i="1"/>
  <c r="AG68" i="1" a="1"/>
  <c r="AF68" i="1" a="1"/>
  <c r="AE68" i="1" a="1"/>
  <c r="AH68" i="1" s="1"/>
  <c r="AD68" i="1"/>
  <c r="AG67" i="1" a="1"/>
  <c r="AF67" i="1" a="1"/>
  <c r="AE67" i="1" a="1"/>
  <c r="AH67" i="1" s="1"/>
  <c r="AD67" i="1"/>
  <c r="AG66" i="1" a="1"/>
  <c r="AF66" i="1" a="1"/>
  <c r="AE66" i="1" a="1"/>
  <c r="AH66" i="1" s="1"/>
  <c r="AD66" i="1"/>
  <c r="AG65" i="1" a="1"/>
  <c r="AF65" i="1" a="1"/>
  <c r="AE65" i="1" a="1"/>
  <c r="AH65" i="1" s="1"/>
  <c r="AD65" i="1"/>
  <c r="AG64" i="1" a="1"/>
  <c r="AF64" i="1" a="1"/>
  <c r="AE64" i="1" a="1"/>
  <c r="AH64" i="1" s="1"/>
  <c r="AD64" i="1"/>
  <c r="AG63" i="1" a="1"/>
  <c r="AF63" i="1" a="1"/>
  <c r="AE63" i="1" a="1"/>
  <c r="AH63" i="1" s="1"/>
  <c r="AD63" i="1"/>
  <c r="AG62" i="1" a="1"/>
  <c r="AF62" i="1" a="1"/>
  <c r="AE62" i="1" a="1"/>
  <c r="AH62" i="1" s="1"/>
  <c r="AD62" i="1"/>
  <c r="AG61" i="1" a="1"/>
  <c r="AF61" i="1" a="1"/>
  <c r="AE61" i="1" a="1"/>
  <c r="AH61" i="1" s="1"/>
  <c r="AD61" i="1"/>
  <c r="AG60" i="1" a="1"/>
  <c r="AF60" i="1" a="1"/>
  <c r="AE60" i="1" a="1"/>
  <c r="AH60" i="1" s="1"/>
  <c r="AD60" i="1"/>
  <c r="AG59" i="1" a="1"/>
  <c r="AF59" i="1" a="1"/>
  <c r="AE59" i="1" a="1"/>
  <c r="AH59" i="1" s="1"/>
  <c r="AD59" i="1"/>
  <c r="AG58" i="1" a="1"/>
  <c r="AF58" i="1" a="1"/>
  <c r="AE58" i="1" a="1"/>
  <c r="AH58" i="1" s="1"/>
  <c r="AD58" i="1"/>
  <c r="AG57" i="1" a="1"/>
  <c r="AF57" i="1" a="1"/>
  <c r="AE57" i="1" a="1"/>
  <c r="AH57" i="1" s="1"/>
  <c r="AD57" i="1"/>
  <c r="AG56" i="1" a="1"/>
  <c r="AF56" i="1" a="1"/>
  <c r="AE56" i="1" a="1"/>
  <c r="AH56" i="1" s="1"/>
  <c r="AD56" i="1"/>
  <c r="AG55" i="1" a="1"/>
  <c r="AF55" i="1" a="1"/>
  <c r="AE55" i="1" a="1"/>
  <c r="AH55" i="1" s="1"/>
  <c r="AD55" i="1"/>
  <c r="AG54" i="1" a="1"/>
  <c r="AF54" i="1" a="1"/>
  <c r="AE54" i="1" a="1"/>
  <c r="AD54" i="1"/>
  <c r="AG53" i="1" a="1"/>
  <c r="AF53" i="1" a="1"/>
  <c r="AE53" i="1" a="1"/>
  <c r="AH53" i="1" s="1"/>
  <c r="AD53" i="1"/>
  <c r="AG52" i="1" a="1"/>
  <c r="AF52" i="1" a="1"/>
  <c r="AE52" i="1" a="1"/>
  <c r="AH52" i="1" s="1"/>
  <c r="AD52" i="1"/>
  <c r="AG51" i="1" a="1"/>
  <c r="AF51" i="1" a="1"/>
  <c r="AE51" i="1" a="1"/>
  <c r="AH51" i="1" s="1"/>
  <c r="AD51" i="1"/>
  <c r="AG50" i="1" a="1"/>
  <c r="AF50" i="1" a="1"/>
  <c r="AE50" i="1" a="1"/>
  <c r="AH50" i="1" s="1"/>
  <c r="AD50" i="1"/>
  <c r="AG49" i="1" a="1"/>
  <c r="AF49" i="1" a="1"/>
  <c r="AE49" i="1" a="1"/>
  <c r="AH49" i="1" s="1"/>
  <c r="AD49" i="1"/>
  <c r="AG48" i="1" a="1"/>
  <c r="AF48" i="1" a="1"/>
  <c r="AE48" i="1" a="1"/>
  <c r="AH48" i="1" s="1"/>
  <c r="AD48" i="1"/>
  <c r="AG47" i="1" a="1"/>
  <c r="AF47" i="1" a="1"/>
  <c r="AE47" i="1" a="1"/>
  <c r="AD47" i="1"/>
  <c r="AG46" i="1" a="1"/>
  <c r="AF46" i="1" a="1"/>
  <c r="AE46" i="1" a="1"/>
  <c r="AH46" i="1" s="1"/>
  <c r="AD46" i="1"/>
  <c r="AG45" i="1" a="1"/>
  <c r="AF45" i="1" a="1"/>
  <c r="AE45" i="1" a="1"/>
  <c r="AH45" i="1" s="1"/>
  <c r="AD45" i="1"/>
  <c r="AG44" i="1" a="1"/>
  <c r="AF44" i="1" a="1"/>
  <c r="AE44" i="1" a="1"/>
  <c r="AH44" i="1" s="1"/>
  <c r="AD44" i="1"/>
  <c r="AG43" i="1" a="1"/>
  <c r="AF43" i="1" a="1"/>
  <c r="AE43" i="1" a="1"/>
  <c r="AH43" i="1" s="1"/>
  <c r="AD43" i="1"/>
  <c r="AG42" i="1" a="1"/>
  <c r="AF42" i="1" a="1"/>
  <c r="AE42" i="1" a="1"/>
  <c r="AH42" i="1" s="1"/>
  <c r="AD42" i="1"/>
  <c r="AG41" i="1" a="1"/>
  <c r="AF41" i="1" a="1"/>
  <c r="AE41" i="1" a="1"/>
  <c r="AD41" i="1"/>
  <c r="AG40" i="1" a="1"/>
  <c r="AF40" i="1" a="1"/>
  <c r="AE40" i="1" a="1"/>
  <c r="AH40" i="1" s="1"/>
  <c r="AD40" i="1"/>
  <c r="AG39" i="1" a="1"/>
  <c r="AF39" i="1" a="1"/>
  <c r="AE39" i="1" a="1"/>
  <c r="AH39" i="1" s="1"/>
  <c r="AD39" i="1"/>
  <c r="AG38" i="1" a="1"/>
  <c r="AF38" i="1" a="1"/>
  <c r="AE38" i="1" a="1"/>
  <c r="AH38" i="1" s="1"/>
  <c r="AD38" i="1"/>
  <c r="AG37" i="1" a="1"/>
  <c r="AF37" i="1" a="1"/>
  <c r="AE37" i="1" a="1"/>
  <c r="AH37" i="1" s="1"/>
  <c r="AD37" i="1"/>
  <c r="AG36" i="1" a="1"/>
  <c r="AF36" i="1" a="1"/>
  <c r="AE36" i="1" a="1"/>
  <c r="AH36" i="1" s="1"/>
  <c r="AD36" i="1"/>
  <c r="AG35" i="1" a="1"/>
  <c r="AF35" i="1" a="1"/>
  <c r="AE35" i="1" a="1"/>
  <c r="AH35" i="1" s="1"/>
  <c r="AD35" i="1"/>
  <c r="AG34" i="1" a="1"/>
  <c r="AF34" i="1" a="1"/>
  <c r="AE34" i="1" a="1"/>
  <c r="AH34" i="1" s="1"/>
  <c r="AD34" i="1"/>
  <c r="AG33" i="1" a="1"/>
  <c r="AF33" i="1" a="1"/>
  <c r="AE33" i="1" a="1"/>
  <c r="AD33" i="1"/>
  <c r="AG32" i="1" a="1"/>
  <c r="AF32" i="1" a="1"/>
  <c r="AE32" i="1" a="1"/>
  <c r="AH32" i="1" s="1"/>
  <c r="AD32" i="1"/>
  <c r="AG31" i="1" a="1"/>
  <c r="AF31" i="1" a="1"/>
  <c r="AE31" i="1" a="1"/>
  <c r="AH31" i="1" s="1"/>
  <c r="AD31" i="1"/>
  <c r="AG30" i="1" a="1"/>
  <c r="AF30" i="1" a="1"/>
  <c r="AE30" i="1" a="1"/>
  <c r="AH30" i="1" s="1"/>
  <c r="AD30" i="1"/>
  <c r="AG29" i="1" a="1"/>
  <c r="AF29" i="1" a="1"/>
  <c r="AE29" i="1" a="1"/>
  <c r="AH29" i="1" s="1"/>
  <c r="AD29" i="1"/>
  <c r="AG28" i="1" a="1"/>
  <c r="AF28" i="1" a="1"/>
  <c r="AE28" i="1" a="1"/>
  <c r="AH28" i="1" s="1"/>
  <c r="AD28" i="1"/>
  <c r="AG27" i="1" a="1"/>
  <c r="AF27" i="1" a="1"/>
  <c r="AE27" i="1" a="1"/>
  <c r="AD27" i="1"/>
  <c r="AG26" i="1" a="1"/>
  <c r="AF26" i="1" a="1"/>
  <c r="AE26" i="1" a="1"/>
  <c r="AH26" i="1" s="1"/>
  <c r="AD26" i="1"/>
  <c r="AG25" i="1" a="1"/>
  <c r="AF25" i="1" a="1"/>
  <c r="AE25" i="1" a="1"/>
  <c r="AH25" i="1" s="1"/>
  <c r="AD25" i="1"/>
  <c r="AG24" i="1" a="1"/>
  <c r="AF24" i="1" a="1"/>
  <c r="AE24" i="1" a="1"/>
  <c r="AH24" i="1" s="1"/>
  <c r="AD24" i="1"/>
  <c r="AG23" i="1" a="1"/>
  <c r="AF23" i="1" a="1"/>
  <c r="AE23" i="1" a="1"/>
  <c r="AH23" i="1" s="1"/>
  <c r="AD23" i="1"/>
  <c r="AG22" i="1" a="1"/>
  <c r="AF22" i="1" a="1"/>
  <c r="AE22" i="1" a="1"/>
  <c r="AH22" i="1" s="1"/>
  <c r="AD22" i="1"/>
  <c r="AG21" i="1" a="1"/>
  <c r="AF21" i="1" a="1"/>
  <c r="AE21" i="1" a="1"/>
  <c r="AH21" i="1" s="1"/>
  <c r="AD21" i="1"/>
  <c r="AG20" i="1" a="1"/>
  <c r="AF20" i="1" a="1"/>
  <c r="AE20" i="1" a="1"/>
  <c r="AH20" i="1" s="1"/>
  <c r="AD20" i="1"/>
  <c r="AG19" i="1" a="1"/>
  <c r="AF19" i="1" a="1"/>
  <c r="AE19" i="1" a="1"/>
  <c r="AH19" i="1" s="1"/>
  <c r="AD19" i="1"/>
  <c r="AG18" i="1" a="1"/>
  <c r="AF18" i="1" a="1"/>
  <c r="AE18" i="1" a="1"/>
  <c r="AH18" i="1" s="1"/>
  <c r="AD18" i="1"/>
  <c r="AG17" i="1" a="1"/>
  <c r="AF17" i="1" a="1"/>
  <c r="AE17" i="1" a="1"/>
  <c r="AD17" i="1"/>
  <c r="AG16" i="1" a="1"/>
  <c r="AF16" i="1" a="1"/>
  <c r="AE16" i="1" a="1"/>
  <c r="AD16" i="1"/>
  <c r="AG15" i="1" a="1"/>
  <c r="AF15" i="1" a="1"/>
  <c r="AE15" i="1" a="1"/>
  <c r="AH15" i="1" s="1"/>
  <c r="AD15" i="1"/>
  <c r="AG14" i="1" a="1"/>
  <c r="AF14" i="1" a="1"/>
  <c r="AE14" i="1" a="1"/>
  <c r="AH14" i="1" s="1"/>
  <c r="AD14" i="1"/>
  <c r="AG13" i="1" a="1"/>
  <c r="AF13" i="1" a="1"/>
  <c r="AE13" i="1" a="1"/>
  <c r="AH13" i="1" s="1"/>
  <c r="AD13" i="1"/>
  <c r="AG12" i="1" a="1"/>
  <c r="AF12" i="1" a="1"/>
  <c r="AE12" i="1" a="1"/>
  <c r="AD12" i="1"/>
  <c r="AG11" i="1" a="1"/>
  <c r="AF11" i="1" a="1"/>
  <c r="AE11" i="1" a="1"/>
  <c r="AH11" i="1" s="1"/>
  <c r="AD11" i="1"/>
  <c r="AG10" i="1" a="1"/>
  <c r="AF10" i="1" a="1"/>
  <c r="AE10" i="1" a="1"/>
  <c r="AD10" i="1"/>
  <c r="AG9" i="1" a="1"/>
  <c r="AF9" i="1" a="1"/>
  <c r="AE9" i="1" a="1"/>
  <c r="AD9" i="1"/>
  <c r="AG8" i="1" a="1"/>
  <c r="AF8" i="1" a="1"/>
  <c r="AE8" i="1" a="1"/>
  <c r="AH8" i="1" s="1"/>
  <c r="AD8" i="1"/>
  <c r="AG7" i="1" a="1"/>
  <c r="AF7" i="1" a="1"/>
  <c r="AE7" i="1" a="1"/>
  <c r="AH7" i="1" s="1"/>
  <c r="AD7" i="1"/>
  <c r="AG6" i="1" a="1"/>
  <c r="AF6" i="1" a="1"/>
  <c r="AE6" i="1" a="1"/>
  <c r="AD6" i="1"/>
  <c r="AG5" i="1" a="1"/>
  <c r="AF5" i="1" a="1"/>
  <c r="AE5" i="1" a="1"/>
  <c r="AH5" i="1" s="1"/>
  <c r="AD5" i="1"/>
  <c r="AG4" i="1" a="1"/>
  <c r="AF4" i="1" a="1"/>
  <c r="AE4" i="1" a="1"/>
  <c r="AD4" i="1"/>
  <c r="AG3" i="1" a="1"/>
  <c r="AF3" i="1" a="1"/>
  <c r="AE3" i="1" a="1"/>
  <c r="AD3" i="1"/>
  <c r="AG2" i="1" a="1"/>
  <c r="AF2" i="1" a="1"/>
  <c r="AE2" i="1" a="1"/>
  <c r="AD2" i="1"/>
  <c r="AD993" i="17" a="1"/>
  <c r="O993" i="17" s="1" a="1"/>
  <c r="AA993" i="17"/>
  <c r="AC993" i="17" s="1"/>
  <c r="P993" i="17"/>
  <c r="H993" i="17" a="1"/>
  <c r="E993" i="17"/>
  <c r="AD992" i="17" a="1"/>
  <c r="O992" i="17" s="1" a="1"/>
  <c r="AA992" i="17"/>
  <c r="AC992" i="17" s="1"/>
  <c r="R992" i="17"/>
  <c r="P992" i="17"/>
  <c r="H992" i="17" a="1"/>
  <c r="E992" i="17"/>
  <c r="AD991" i="17" a="1"/>
  <c r="O991" i="17" s="1" a="1"/>
  <c r="AA991" i="17"/>
  <c r="AC991" i="17" s="1"/>
  <c r="P991" i="17"/>
  <c r="H991" i="17" a="1"/>
  <c r="E991" i="17"/>
  <c r="AD990" i="17" a="1"/>
  <c r="O990" i="17" s="1" a="1"/>
  <c r="AA990" i="17"/>
  <c r="AC990" i="17" s="1"/>
  <c r="P990" i="17"/>
  <c r="H990" i="17" a="1"/>
  <c r="E990" i="17"/>
  <c r="AD989" i="17" a="1"/>
  <c r="O989" i="17" s="1" a="1"/>
  <c r="AA989" i="17"/>
  <c r="AC989" i="17" s="1"/>
  <c r="P989" i="17"/>
  <c r="H989" i="17" a="1"/>
  <c r="E989" i="17"/>
  <c r="AD988" i="17" a="1"/>
  <c r="O988" i="17" s="1" a="1"/>
  <c r="AA988" i="17"/>
  <c r="AC988" i="17" s="1"/>
  <c r="H988" i="17" a="1"/>
  <c r="E988" i="17"/>
  <c r="AD987" i="17" a="1"/>
  <c r="O987" i="17" s="1" a="1"/>
  <c r="AA987" i="17"/>
  <c r="AC987" i="17" s="1"/>
  <c r="P987" i="17"/>
  <c r="H987" i="17" a="1"/>
  <c r="E987" i="17"/>
  <c r="AD986" i="17" a="1"/>
  <c r="O986" i="17" s="1" a="1"/>
  <c r="AA986" i="17"/>
  <c r="AC986" i="17" s="1"/>
  <c r="P986" i="17"/>
  <c r="H986" i="17" a="1"/>
  <c r="E986" i="17"/>
  <c r="AE985" i="17"/>
  <c r="AD985" i="17" a="1"/>
  <c r="O985" i="17" s="1" a="1"/>
  <c r="Z985" i="17"/>
  <c r="Q985" i="17"/>
  <c r="P985" i="17"/>
  <c r="J985" i="17"/>
  <c r="H985" i="17" a="1"/>
  <c r="E985" i="17"/>
  <c r="AD984" i="17" a="1"/>
  <c r="O984" i="17" s="1" a="1"/>
  <c r="AA984" i="17"/>
  <c r="AC984" i="17" s="1"/>
  <c r="P984" i="17"/>
  <c r="H984" i="17" a="1"/>
  <c r="E984" i="17"/>
  <c r="AD983" i="17" a="1"/>
  <c r="O983" i="17" s="1" a="1"/>
  <c r="AA983" i="17"/>
  <c r="AC983" i="17" s="1"/>
  <c r="R983" i="17"/>
  <c r="P983" i="17"/>
  <c r="H983" i="17" a="1"/>
  <c r="E983" i="17"/>
  <c r="AD982" i="17" a="1"/>
  <c r="O982" i="17" s="1" a="1"/>
  <c r="AA982" i="17"/>
  <c r="AC982" i="17" s="1"/>
  <c r="R982" i="17"/>
  <c r="P982" i="17"/>
  <c r="H982" i="17" a="1"/>
  <c r="E982" i="17"/>
  <c r="AD981" i="17" a="1"/>
  <c r="O981" i="17" s="1" a="1"/>
  <c r="AA981" i="17"/>
  <c r="AC981" i="17" s="1"/>
  <c r="R981" i="17"/>
  <c r="P981" i="17"/>
  <c r="H981" i="17" a="1"/>
  <c r="E981" i="17"/>
  <c r="AD980" i="17" a="1"/>
  <c r="O980" i="17" s="1" a="1"/>
  <c r="AA980" i="17"/>
  <c r="AC980" i="17" s="1"/>
  <c r="R980" i="17"/>
  <c r="P980" i="17"/>
  <c r="H980" i="17" a="1"/>
  <c r="E980" i="17"/>
  <c r="AD979" i="17" a="1"/>
  <c r="O979" i="17" s="1" a="1"/>
  <c r="AA979" i="17"/>
  <c r="AC979" i="17" s="1"/>
  <c r="P979" i="17"/>
  <c r="H979" i="17" a="1"/>
  <c r="E979" i="17"/>
  <c r="AD978" i="17" a="1"/>
  <c r="O978" i="17" s="1" a="1"/>
  <c r="AA978" i="17"/>
  <c r="AC978" i="17" s="1"/>
  <c r="R978" i="17"/>
  <c r="P978" i="17"/>
  <c r="H978" i="17" a="1"/>
  <c r="E978" i="17"/>
  <c r="AD977" i="17" a="1"/>
  <c r="O977" i="17" s="1" a="1"/>
  <c r="AA977" i="17"/>
  <c r="AC977" i="17" s="1"/>
  <c r="R977" i="17"/>
  <c r="P977" i="17"/>
  <c r="H977" i="17" a="1"/>
  <c r="E977" i="17"/>
  <c r="AD976" i="17" a="1"/>
  <c r="O976" i="17" s="1" a="1"/>
  <c r="Q976" i="17"/>
  <c r="AA976" i="17" s="1"/>
  <c r="AC976" i="17" s="1"/>
  <c r="P976" i="17"/>
  <c r="H976" i="17" a="1"/>
  <c r="E976" i="17"/>
  <c r="AD975" i="17" a="1"/>
  <c r="O975" i="17" s="1" a="1"/>
  <c r="Z975" i="17"/>
  <c r="AA975" i="17" s="1"/>
  <c r="AC975" i="17" s="1"/>
  <c r="P975" i="17"/>
  <c r="H975" i="17" a="1"/>
  <c r="E975" i="17"/>
  <c r="AD974" i="17" a="1"/>
  <c r="O974" i="17" s="1" a="1"/>
  <c r="Q974" i="17"/>
  <c r="AA974" i="17" s="1"/>
  <c r="AC974" i="17" s="1"/>
  <c r="P974" i="17"/>
  <c r="J974" i="17"/>
  <c r="H974" i="17" a="1"/>
  <c r="E974" i="17"/>
  <c r="AD973" i="17" a="1"/>
  <c r="O973" i="17" s="1" a="1"/>
  <c r="Z973" i="17"/>
  <c r="AA973" i="17" s="1"/>
  <c r="AC973" i="17" s="1"/>
  <c r="V973" i="17"/>
  <c r="M973" i="17" s="1" a="1"/>
  <c r="N973" i="17" s="1"/>
  <c r="P973" i="17"/>
  <c r="H973" i="17" a="1"/>
  <c r="E973" i="17"/>
  <c r="AD972" i="17" a="1"/>
  <c r="O972" i="17" s="1" a="1"/>
  <c r="Z972" i="17"/>
  <c r="AA972" i="17" s="1"/>
  <c r="AC972" i="17" s="1"/>
  <c r="P972" i="17"/>
  <c r="H972" i="17" a="1"/>
  <c r="E972" i="17"/>
  <c r="AD971" i="17" a="1"/>
  <c r="O971" i="17" s="1" a="1"/>
  <c r="AA971" i="17"/>
  <c r="AC971" i="17" s="1"/>
  <c r="P971" i="17"/>
  <c r="H971" i="17" a="1"/>
  <c r="E971" i="17"/>
  <c r="AD970" i="17" a="1"/>
  <c r="O970" i="17" s="1" a="1"/>
  <c r="AA970" i="17"/>
  <c r="AC970" i="17" s="1"/>
  <c r="P970" i="17"/>
  <c r="H970" i="17" a="1"/>
  <c r="E970" i="17"/>
  <c r="AD969" i="17" a="1"/>
  <c r="O969" i="17" s="1" a="1"/>
  <c r="AA969" i="17"/>
  <c r="AC969" i="17" s="1"/>
  <c r="P969" i="17"/>
  <c r="H969" i="17" a="1"/>
  <c r="E969" i="17"/>
  <c r="AD968" i="17" a="1"/>
  <c r="O968" i="17" s="1" a="1"/>
  <c r="AA968" i="17"/>
  <c r="AC968" i="17" s="1"/>
  <c r="P968" i="17"/>
  <c r="H968" i="17" a="1"/>
  <c r="E968" i="17"/>
  <c r="AD967" i="17" a="1"/>
  <c r="O967" i="17" s="1" a="1"/>
  <c r="AA967" i="17"/>
  <c r="AC967" i="17" s="1"/>
  <c r="P967" i="17"/>
  <c r="H967" i="17" a="1"/>
  <c r="E967" i="17"/>
  <c r="AD966" i="17" a="1"/>
  <c r="O966" i="17" s="1" a="1"/>
  <c r="AA966" i="17"/>
  <c r="AC966" i="17" s="1"/>
  <c r="P966" i="17"/>
  <c r="H966" i="17" a="1"/>
  <c r="E966" i="17"/>
  <c r="AD965" i="17" a="1"/>
  <c r="O965" i="17" s="1" a="1"/>
  <c r="AA965" i="17"/>
  <c r="AC965" i="17" s="1"/>
  <c r="P965" i="17"/>
  <c r="H965" i="17" a="1"/>
  <c r="E965" i="17"/>
  <c r="AD964" i="17" a="1"/>
  <c r="O964" i="17" s="1" a="1"/>
  <c r="AA964" i="17"/>
  <c r="AC964" i="17" s="1"/>
  <c r="P964" i="17"/>
  <c r="H964" i="17" a="1"/>
  <c r="E964" i="17"/>
  <c r="AD963" i="17" a="1"/>
  <c r="O963" i="17" s="1" a="1"/>
  <c r="AA963" i="17"/>
  <c r="AC963" i="17" s="1"/>
  <c r="P963" i="17"/>
  <c r="H963" i="17" a="1"/>
  <c r="E963" i="17"/>
  <c r="AD962" i="17" a="1"/>
  <c r="O962" i="17" s="1" a="1"/>
  <c r="AA962" i="17"/>
  <c r="AC962" i="17" s="1"/>
  <c r="P962" i="17"/>
  <c r="H962" i="17" a="1"/>
  <c r="E962" i="17"/>
  <c r="AD961" i="17" a="1"/>
  <c r="O961" i="17" s="1" a="1"/>
  <c r="AA961" i="17"/>
  <c r="AC961" i="17" s="1"/>
  <c r="P961" i="17"/>
  <c r="H961" i="17" a="1"/>
  <c r="E961" i="17"/>
  <c r="AD960" i="17" a="1"/>
  <c r="O960" i="17" s="1" a="1"/>
  <c r="AA960" i="17"/>
  <c r="AC960" i="17" s="1"/>
  <c r="P960" i="17"/>
  <c r="H960" i="17" a="1"/>
  <c r="E960" i="17"/>
  <c r="AD959" i="17" a="1"/>
  <c r="O959" i="17" s="1" a="1"/>
  <c r="AA959" i="17"/>
  <c r="AC959" i="17" s="1"/>
  <c r="P959" i="17"/>
  <c r="H959" i="17" a="1"/>
  <c r="E959" i="17"/>
  <c r="AD958" i="17" a="1"/>
  <c r="O958" i="17" s="1" a="1"/>
  <c r="AA958" i="17"/>
  <c r="AC958" i="17" s="1"/>
  <c r="P958" i="17"/>
  <c r="H958" i="17" a="1"/>
  <c r="E958" i="17"/>
  <c r="AD957" i="17" a="1"/>
  <c r="O957" i="17" s="1" a="1"/>
  <c r="AA957" i="17"/>
  <c r="AC957" i="17" s="1"/>
  <c r="V957" i="17"/>
  <c r="M957" i="17" s="1" a="1"/>
  <c r="N957" i="17" s="1"/>
  <c r="P957" i="17"/>
  <c r="H957" i="17" a="1"/>
  <c r="E957" i="17"/>
  <c r="AD956" i="17" a="1"/>
  <c r="O956" i="17" s="1" a="1"/>
  <c r="AA956" i="17"/>
  <c r="AC956" i="17" s="1"/>
  <c r="P956" i="17"/>
  <c r="H956" i="17" a="1"/>
  <c r="E956" i="17"/>
  <c r="AD955" i="17" a="1"/>
  <c r="O955" i="17" s="1" a="1"/>
  <c r="AA955" i="17"/>
  <c r="AC955" i="17" s="1"/>
  <c r="P955" i="17"/>
  <c r="H955" i="17" a="1"/>
  <c r="E955" i="17"/>
  <c r="AD954" i="17" a="1"/>
  <c r="O954" i="17" s="1" a="1"/>
  <c r="AA954" i="17"/>
  <c r="AC954" i="17" s="1"/>
  <c r="P954" i="17"/>
  <c r="H954" i="17" a="1"/>
  <c r="E954" i="17"/>
  <c r="AD953" i="17" a="1"/>
  <c r="O953" i="17" s="1" a="1"/>
  <c r="H953" i="17" a="1"/>
  <c r="E953" i="17"/>
  <c r="AD952" i="17" a="1"/>
  <c r="O952" i="17" s="1" a="1"/>
  <c r="AA952" i="17"/>
  <c r="AC952" i="17" s="1"/>
  <c r="P952" i="17"/>
  <c r="H952" i="17" a="1"/>
  <c r="E952" i="17"/>
  <c r="AD951" i="17" a="1"/>
  <c r="O951" i="17" s="1" a="1"/>
  <c r="AA951" i="17"/>
  <c r="AC951" i="17" s="1"/>
  <c r="P951" i="17"/>
  <c r="H951" i="17" a="1"/>
  <c r="E951" i="17"/>
  <c r="AD950" i="17" a="1"/>
  <c r="O950" i="17" s="1" a="1"/>
  <c r="AA950" i="17"/>
  <c r="AC950" i="17" s="1"/>
  <c r="P950" i="17"/>
  <c r="H950" i="17" a="1"/>
  <c r="E950" i="17"/>
  <c r="AD949" i="17" a="1"/>
  <c r="O949" i="17" s="1" a="1"/>
  <c r="AA949" i="17"/>
  <c r="AC949" i="17" s="1"/>
  <c r="P949" i="17"/>
  <c r="H949" i="17" a="1"/>
  <c r="E949" i="17"/>
  <c r="AD948" i="17" a="1"/>
  <c r="O948" i="17" s="1" a="1"/>
  <c r="AA948" i="17"/>
  <c r="AC948" i="17" s="1"/>
  <c r="P948" i="17"/>
  <c r="H948" i="17" a="1"/>
  <c r="E948" i="17"/>
  <c r="AD947" i="17" a="1"/>
  <c r="O947" i="17" s="1" a="1"/>
  <c r="AA947" i="17"/>
  <c r="AC947" i="17" s="1"/>
  <c r="P947" i="17"/>
  <c r="H947" i="17" a="1"/>
  <c r="E947" i="17"/>
  <c r="AD946" i="17" a="1"/>
  <c r="O946" i="17" s="1" a="1"/>
  <c r="AA946" i="17"/>
  <c r="AC946" i="17" s="1"/>
  <c r="P946" i="17"/>
  <c r="H946" i="17" a="1"/>
  <c r="E946" i="17"/>
  <c r="AD945" i="17" a="1"/>
  <c r="O945" i="17" s="1" a="1"/>
  <c r="AA945" i="17"/>
  <c r="AC945" i="17" s="1"/>
  <c r="P945" i="17"/>
  <c r="H945" i="17" a="1"/>
  <c r="E945" i="17"/>
  <c r="AD944" i="17" a="1"/>
  <c r="O944" i="17" s="1" a="1"/>
  <c r="AA944" i="17"/>
  <c r="AC944" i="17" s="1"/>
  <c r="P944" i="17"/>
  <c r="H944" i="17" a="1"/>
  <c r="E944" i="17"/>
  <c r="AD943" i="17" a="1"/>
  <c r="O943" i="17" s="1" a="1"/>
  <c r="AA943" i="17"/>
  <c r="AC943" i="17" s="1"/>
  <c r="P943" i="17"/>
  <c r="H943" i="17" a="1"/>
  <c r="E943" i="17"/>
  <c r="AD942" i="17" a="1"/>
  <c r="O942" i="17" s="1" a="1"/>
  <c r="AA942" i="17"/>
  <c r="AC942" i="17" s="1"/>
  <c r="P942" i="17"/>
  <c r="H942" i="17" a="1"/>
  <c r="E942" i="17"/>
  <c r="AD941" i="17" a="1"/>
  <c r="O941" i="17" s="1" a="1"/>
  <c r="AA941" i="17"/>
  <c r="AC941" i="17" s="1"/>
  <c r="P941" i="17"/>
  <c r="H941" i="17" a="1"/>
  <c r="E941" i="17"/>
  <c r="AD940" i="17" a="1"/>
  <c r="O940" i="17" s="1" a="1"/>
  <c r="AA940" i="17"/>
  <c r="AC940" i="17" s="1"/>
  <c r="P940" i="17"/>
  <c r="H940" i="17" a="1"/>
  <c r="E940" i="17"/>
  <c r="AD939" i="17" a="1"/>
  <c r="O939" i="17" s="1" a="1"/>
  <c r="AA939" i="17"/>
  <c r="AC939" i="17" s="1"/>
  <c r="P939" i="17"/>
  <c r="H939" i="17" a="1"/>
  <c r="E939" i="17"/>
  <c r="AD938" i="17" a="1"/>
  <c r="O938" i="17" s="1" a="1"/>
  <c r="AA938" i="17"/>
  <c r="AC938" i="17" s="1"/>
  <c r="R938" i="17"/>
  <c r="P938" i="17"/>
  <c r="H938" i="17" a="1"/>
  <c r="E938" i="17"/>
  <c r="AD937" i="17" a="1"/>
  <c r="O937" i="17" s="1" a="1"/>
  <c r="AA937" i="17"/>
  <c r="AC937" i="17" s="1"/>
  <c r="P937" i="17"/>
  <c r="J937" i="17"/>
  <c r="H937" i="17" a="1"/>
  <c r="E937" i="17"/>
  <c r="AD936" i="17" a="1"/>
  <c r="O936" i="17" s="1" a="1"/>
  <c r="AA936" i="17"/>
  <c r="AC936" i="17" s="1"/>
  <c r="P936" i="17"/>
  <c r="J936" i="17"/>
  <c r="H936" i="17" a="1"/>
  <c r="E936" i="17"/>
  <c r="AD935" i="17" a="1"/>
  <c r="O935" i="17" s="1" a="1"/>
  <c r="AA935" i="17"/>
  <c r="AC935" i="17" s="1"/>
  <c r="P935" i="17"/>
  <c r="H935" i="17" a="1"/>
  <c r="E935" i="17"/>
  <c r="AD934" i="17" a="1"/>
  <c r="O934" i="17" s="1" a="1"/>
  <c r="Z934" i="17"/>
  <c r="AA934" i="17" s="1"/>
  <c r="AC934" i="17" s="1"/>
  <c r="P934" i="17"/>
  <c r="H934" i="17" a="1"/>
  <c r="E934" i="17"/>
  <c r="AD933" i="17" a="1"/>
  <c r="O933" i="17" s="1" a="1"/>
  <c r="AA933" i="17"/>
  <c r="AC933" i="17" s="1"/>
  <c r="P933" i="17"/>
  <c r="H933" i="17" a="1"/>
  <c r="E933" i="17"/>
  <c r="AD932" i="17" a="1"/>
  <c r="O932" i="17" s="1" a="1"/>
  <c r="AA932" i="17"/>
  <c r="AC932" i="17" s="1"/>
  <c r="P932" i="17"/>
  <c r="H932" i="17" a="1"/>
  <c r="E932" i="17"/>
  <c r="AD931" i="17" a="1"/>
  <c r="O931" i="17" s="1" a="1"/>
  <c r="AA931" i="17"/>
  <c r="AC931" i="17" s="1"/>
  <c r="P931" i="17"/>
  <c r="H931" i="17" a="1"/>
  <c r="E931" i="17"/>
  <c r="AD930" i="17" a="1"/>
  <c r="O930" i="17" s="1" a="1"/>
  <c r="AA930" i="17"/>
  <c r="AC930" i="17" s="1"/>
  <c r="P930" i="17"/>
  <c r="H930" i="17" a="1"/>
  <c r="E930" i="17"/>
  <c r="AD929" i="17" a="1"/>
  <c r="O929" i="17" s="1" a="1"/>
  <c r="AA929" i="17"/>
  <c r="AC929" i="17" s="1"/>
  <c r="P929" i="17"/>
  <c r="H929" i="17" a="1"/>
  <c r="E929" i="17"/>
  <c r="AD928" i="17" a="1"/>
  <c r="O928" i="17" s="1" a="1"/>
  <c r="AA928" i="17"/>
  <c r="AC928" i="17" s="1"/>
  <c r="P928" i="17"/>
  <c r="H928" i="17" a="1"/>
  <c r="E928" i="17"/>
  <c r="AD927" i="17" a="1"/>
  <c r="O927" i="17" s="1" a="1"/>
  <c r="AA927" i="17"/>
  <c r="AC927" i="17" s="1"/>
  <c r="P927" i="17"/>
  <c r="H927" i="17" a="1"/>
  <c r="E927" i="17"/>
  <c r="AD926" i="17" a="1"/>
  <c r="O926" i="17" s="1" a="1"/>
  <c r="AA926" i="17"/>
  <c r="AC926" i="17" s="1"/>
  <c r="P926" i="17"/>
  <c r="H926" i="17" a="1"/>
  <c r="E926" i="17"/>
  <c r="AD925" i="17" a="1"/>
  <c r="O925" i="17" s="1" a="1"/>
  <c r="AA925" i="17"/>
  <c r="AC925" i="17" s="1"/>
  <c r="P925" i="17"/>
  <c r="H925" i="17" a="1"/>
  <c r="E925" i="17"/>
  <c r="AD924" i="17" a="1"/>
  <c r="O924" i="17" s="1" a="1"/>
  <c r="AA924" i="17"/>
  <c r="AC924" i="17" s="1"/>
  <c r="P924" i="17"/>
  <c r="H924" i="17" a="1"/>
  <c r="E924" i="17"/>
  <c r="AD923" i="17" a="1"/>
  <c r="O923" i="17" s="1" a="1"/>
  <c r="AA923" i="17"/>
  <c r="AC923" i="17" s="1"/>
  <c r="P923" i="17"/>
  <c r="H923" i="17" a="1"/>
  <c r="E923" i="17"/>
  <c r="AD922" i="17" a="1"/>
  <c r="O922" i="17" s="1" a="1"/>
  <c r="AA922" i="17"/>
  <c r="AC922" i="17" s="1"/>
  <c r="P922" i="17"/>
  <c r="H922" i="17" a="1"/>
  <c r="E922" i="17"/>
  <c r="AD921" i="17" a="1"/>
  <c r="O921" i="17" s="1" a="1"/>
  <c r="AA921" i="17"/>
  <c r="AC921" i="17" s="1"/>
  <c r="P921" i="17"/>
  <c r="H921" i="17" a="1"/>
  <c r="E921" i="17"/>
  <c r="AD920" i="17" a="1"/>
  <c r="O920" i="17" s="1" a="1"/>
  <c r="AA920" i="17"/>
  <c r="AC920" i="17" s="1"/>
  <c r="P920" i="17"/>
  <c r="H920" i="17" a="1"/>
  <c r="E920" i="17"/>
  <c r="AD919" i="17" a="1"/>
  <c r="O919" i="17" s="1" a="1"/>
  <c r="AA919" i="17"/>
  <c r="AC919" i="17" s="1"/>
  <c r="P919" i="17"/>
  <c r="H919" i="17" a="1"/>
  <c r="E919" i="17"/>
  <c r="AD918" i="17" a="1"/>
  <c r="O918" i="17" s="1" a="1"/>
  <c r="AA918" i="17"/>
  <c r="AC918" i="17" s="1"/>
  <c r="P918" i="17"/>
  <c r="H918" i="17" a="1"/>
  <c r="E918" i="17"/>
  <c r="AD917" i="17" a="1"/>
  <c r="O917" i="17" s="1" a="1"/>
  <c r="AA917" i="17"/>
  <c r="AC917" i="17" s="1"/>
  <c r="P917" i="17"/>
  <c r="H917" i="17" a="1"/>
  <c r="E917" i="17"/>
  <c r="AD916" i="17" a="1"/>
  <c r="O916" i="17" s="1" a="1"/>
  <c r="AA916" i="17"/>
  <c r="AC916" i="17" s="1"/>
  <c r="P916" i="17"/>
  <c r="H916" i="17" a="1"/>
  <c r="E916" i="17"/>
  <c r="AD915" i="17" a="1"/>
  <c r="O915" i="17" s="1" a="1"/>
  <c r="AA915" i="17"/>
  <c r="AC915" i="17" s="1"/>
  <c r="P915" i="17"/>
  <c r="H915" i="17" a="1"/>
  <c r="E915" i="17"/>
  <c r="AD914" i="17" a="1"/>
  <c r="O914" i="17" s="1" a="1"/>
  <c r="AA914" i="17"/>
  <c r="AC914" i="17" s="1"/>
  <c r="P914" i="17"/>
  <c r="H914" i="17" a="1"/>
  <c r="E914" i="17"/>
  <c r="AD913" i="17" a="1"/>
  <c r="O913" i="17" s="1" a="1"/>
  <c r="AA913" i="17"/>
  <c r="AC913" i="17" s="1"/>
  <c r="P913" i="17"/>
  <c r="H913" i="17" a="1"/>
  <c r="E913" i="17"/>
  <c r="AD912" i="17" a="1"/>
  <c r="O912" i="17" s="1" a="1"/>
  <c r="AA912" i="17"/>
  <c r="AC912" i="17" s="1"/>
  <c r="P912" i="17"/>
  <c r="H912" i="17" a="1"/>
  <c r="E912" i="17"/>
  <c r="AD911" i="17" a="1"/>
  <c r="O911" i="17" s="1" a="1"/>
  <c r="AA911" i="17"/>
  <c r="AC911" i="17" s="1"/>
  <c r="P911" i="17"/>
  <c r="H911" i="17" a="1"/>
  <c r="E911" i="17"/>
  <c r="AD910" i="17" a="1"/>
  <c r="O910" i="17" s="1" a="1"/>
  <c r="AA910" i="17"/>
  <c r="AC910" i="17" s="1"/>
  <c r="P910" i="17"/>
  <c r="H910" i="17" a="1"/>
  <c r="E910" i="17"/>
  <c r="AD909" i="17" a="1"/>
  <c r="O909" i="17" s="1" a="1"/>
  <c r="AA909" i="17"/>
  <c r="AC909" i="17" s="1"/>
  <c r="P909" i="17"/>
  <c r="J909" i="17"/>
  <c r="H909" i="17" a="1"/>
  <c r="E909" i="17"/>
  <c r="AD908" i="17" a="1"/>
  <c r="O908" i="17" s="1" a="1"/>
  <c r="AA908" i="17"/>
  <c r="AC908" i="17" s="1"/>
  <c r="P908" i="17"/>
  <c r="H908" i="17" a="1"/>
  <c r="E908" i="17"/>
  <c r="AD907" i="17" a="1"/>
  <c r="O907" i="17" s="1" a="1"/>
  <c r="AA907" i="17"/>
  <c r="AC907" i="17" s="1"/>
  <c r="P907" i="17"/>
  <c r="H907" i="17" a="1"/>
  <c r="E907" i="17"/>
  <c r="AD906" i="17" a="1"/>
  <c r="O906" i="17" s="1" a="1"/>
  <c r="AA906" i="17"/>
  <c r="AC906" i="17" s="1"/>
  <c r="P906" i="17"/>
  <c r="H906" i="17" a="1"/>
  <c r="E906" i="17"/>
  <c r="AD905" i="17" a="1"/>
  <c r="O905" i="17" s="1" a="1"/>
  <c r="Q905" i="17"/>
  <c r="AA905" i="17" s="1"/>
  <c r="AC905" i="17" s="1"/>
  <c r="P905" i="17"/>
  <c r="J905" i="17"/>
  <c r="H905" i="17" a="1"/>
  <c r="E905" i="17"/>
  <c r="AD904" i="17" a="1"/>
  <c r="O904" i="17" s="1" a="1"/>
  <c r="AA904" i="17"/>
  <c r="AC904" i="17" s="1"/>
  <c r="P904" i="17"/>
  <c r="H904" i="17" a="1"/>
  <c r="E904" i="17"/>
  <c r="AD903" i="17" a="1"/>
  <c r="O903" i="17" s="1" a="1"/>
  <c r="AA903" i="17"/>
  <c r="AC903" i="17" s="1"/>
  <c r="P903" i="17"/>
  <c r="H903" i="17" a="1"/>
  <c r="E903" i="17"/>
  <c r="AD902" i="17" a="1"/>
  <c r="O902" i="17" s="1" a="1"/>
  <c r="Q902" i="17"/>
  <c r="AA902" i="17" s="1"/>
  <c r="AC902" i="17" s="1"/>
  <c r="P902" i="17"/>
  <c r="J902" i="17"/>
  <c r="H902" i="17" a="1"/>
  <c r="E902" i="17"/>
  <c r="AD901" i="17" a="1"/>
  <c r="O901" i="17" s="1" a="1"/>
  <c r="AA901" i="17"/>
  <c r="AC901" i="17" s="1"/>
  <c r="P901" i="17"/>
  <c r="H901" i="17" a="1"/>
  <c r="E901" i="17"/>
  <c r="AD900" i="17" a="1"/>
  <c r="O900" i="17" s="1" a="1"/>
  <c r="AA900" i="17"/>
  <c r="AC900" i="17" s="1"/>
  <c r="P900" i="17"/>
  <c r="H900" i="17" a="1"/>
  <c r="E900" i="17"/>
  <c r="AD899" i="17" a="1"/>
  <c r="O899" i="17" s="1" a="1"/>
  <c r="Z899" i="17"/>
  <c r="AA899" i="17" s="1"/>
  <c r="AC899" i="17" s="1"/>
  <c r="P899" i="17"/>
  <c r="H899" i="17" a="1"/>
  <c r="E899" i="17"/>
  <c r="AD898" i="17" a="1"/>
  <c r="O898" i="17" s="1" a="1"/>
  <c r="Z898" i="17"/>
  <c r="AA898" i="17" s="1"/>
  <c r="AC898" i="17" s="1"/>
  <c r="P898" i="17"/>
  <c r="H898" i="17" a="1"/>
  <c r="E898" i="17"/>
  <c r="AD897" i="17" a="1"/>
  <c r="O897" i="17" s="1" a="1"/>
  <c r="AA897" i="17"/>
  <c r="AC897" i="17" s="1"/>
  <c r="P897" i="17"/>
  <c r="H897" i="17" a="1"/>
  <c r="E897" i="17"/>
  <c r="AD896" i="17" a="1"/>
  <c r="O896" i="17" s="1" a="1"/>
  <c r="AA896" i="17"/>
  <c r="AC896" i="17" s="1"/>
  <c r="P896" i="17"/>
  <c r="H896" i="17" a="1"/>
  <c r="E896" i="17"/>
  <c r="AD895" i="17" a="1"/>
  <c r="O895" i="17" s="1" a="1"/>
  <c r="AA895" i="17"/>
  <c r="AC895" i="17" s="1"/>
  <c r="R895" i="17"/>
  <c r="P895" i="17"/>
  <c r="H895" i="17" a="1"/>
  <c r="E895" i="17"/>
  <c r="AD894" i="17" a="1"/>
  <c r="O894" i="17" s="1" a="1"/>
  <c r="Q894" i="17"/>
  <c r="AA894" i="17" s="1"/>
  <c r="AC894" i="17" s="1"/>
  <c r="P894" i="17"/>
  <c r="J894" i="17"/>
  <c r="H894" i="17" a="1"/>
  <c r="E894" i="17"/>
  <c r="AD893" i="17" a="1"/>
  <c r="O893" i="17" s="1" a="1"/>
  <c r="AA893" i="17"/>
  <c r="AC893" i="17" s="1"/>
  <c r="P893" i="17"/>
  <c r="H893" i="17" a="1"/>
  <c r="E893" i="17"/>
  <c r="AD892" i="17" a="1"/>
  <c r="O892" i="17" s="1" a="1"/>
  <c r="Q892" i="17"/>
  <c r="AA892" i="17" s="1"/>
  <c r="AC892" i="17" s="1"/>
  <c r="P892" i="17"/>
  <c r="J892" i="17"/>
  <c r="H892" i="17" a="1"/>
  <c r="E892" i="17"/>
  <c r="AD891" i="17" a="1"/>
  <c r="O891" i="17" s="1" a="1"/>
  <c r="AA891" i="17"/>
  <c r="AC891" i="17" s="1"/>
  <c r="P891" i="17"/>
  <c r="H891" i="17" a="1"/>
  <c r="E891" i="17"/>
  <c r="AD890" i="17" a="1"/>
  <c r="O890" i="17" s="1" a="1"/>
  <c r="AA890" i="17"/>
  <c r="AC890" i="17" s="1"/>
  <c r="P890" i="17"/>
  <c r="H890" i="17" a="1"/>
  <c r="E890" i="17"/>
  <c r="AD889" i="17" a="1"/>
  <c r="O889" i="17" s="1" a="1"/>
  <c r="AA889" i="17"/>
  <c r="AC889" i="17" s="1"/>
  <c r="P889" i="17"/>
  <c r="H889" i="17" a="1"/>
  <c r="E889" i="17"/>
  <c r="AD888" i="17" a="1"/>
  <c r="O888" i="17" s="1" a="1"/>
  <c r="AA888" i="17"/>
  <c r="AC888" i="17" s="1"/>
  <c r="P888" i="17"/>
  <c r="H888" i="17" a="1"/>
  <c r="E888" i="17"/>
  <c r="AD887" i="17" a="1"/>
  <c r="O887" i="17" s="1" a="1"/>
  <c r="AA887" i="17"/>
  <c r="AC887" i="17" s="1"/>
  <c r="P887" i="17"/>
  <c r="H887" i="17" a="1"/>
  <c r="E887" i="17"/>
  <c r="AD886" i="17" a="1"/>
  <c r="O886" i="17" s="1" a="1"/>
  <c r="AA886" i="17"/>
  <c r="AC886" i="17" s="1"/>
  <c r="P886" i="17"/>
  <c r="H886" i="17" a="1"/>
  <c r="E886" i="17"/>
  <c r="AD885" i="17" a="1"/>
  <c r="O885" i="17" s="1" a="1"/>
  <c r="AA885" i="17"/>
  <c r="AC885" i="17" s="1"/>
  <c r="P885" i="17"/>
  <c r="H885" i="17" a="1"/>
  <c r="E885" i="17"/>
  <c r="AD884" i="17" a="1"/>
  <c r="O884" i="17" s="1" a="1"/>
  <c r="AA884" i="17"/>
  <c r="AC884" i="17" s="1"/>
  <c r="P884" i="17"/>
  <c r="H884" i="17" a="1"/>
  <c r="E884" i="17"/>
  <c r="AD883" i="17" a="1"/>
  <c r="O883" i="17" s="1" a="1"/>
  <c r="AA883" i="17"/>
  <c r="AC883" i="17" s="1"/>
  <c r="P883" i="17"/>
  <c r="H883" i="17" a="1"/>
  <c r="E883" i="17"/>
  <c r="AD882" i="17" a="1"/>
  <c r="O882" i="17" s="1" a="1"/>
  <c r="AA882" i="17"/>
  <c r="AC882" i="17" s="1"/>
  <c r="P882" i="17"/>
  <c r="H882" i="17" a="1"/>
  <c r="E882" i="17"/>
  <c r="AD881" i="17" a="1"/>
  <c r="O881" i="17" s="1" a="1"/>
  <c r="AA881" i="17"/>
  <c r="AC881" i="17" s="1"/>
  <c r="P881" i="17"/>
  <c r="H881" i="17" a="1"/>
  <c r="E881" i="17"/>
  <c r="AD880" i="17" a="1"/>
  <c r="O880" i="17" s="1" a="1"/>
  <c r="Z880" i="17"/>
  <c r="AA880" i="17" s="1"/>
  <c r="AC880" i="17" s="1"/>
  <c r="P880" i="17"/>
  <c r="H880" i="17" a="1"/>
  <c r="E880" i="17"/>
  <c r="AD879" i="17" a="1"/>
  <c r="O879" i="17" s="1" a="1"/>
  <c r="AA879" i="17"/>
  <c r="AC879" i="17" s="1"/>
  <c r="P879" i="17"/>
  <c r="H879" i="17" a="1"/>
  <c r="E879" i="17"/>
  <c r="AD878" i="17" a="1"/>
  <c r="O878" i="17" s="1" a="1"/>
  <c r="AA878" i="17"/>
  <c r="AC878" i="17" s="1"/>
  <c r="P878" i="17"/>
  <c r="H878" i="17" a="1"/>
  <c r="E878" i="17"/>
  <c r="AD877" i="17" a="1"/>
  <c r="O877" i="17" s="1" a="1"/>
  <c r="Z877" i="17"/>
  <c r="AA877" i="17" s="1"/>
  <c r="AC877" i="17" s="1"/>
  <c r="P877" i="17"/>
  <c r="H877" i="17" a="1"/>
  <c r="E877" i="17"/>
  <c r="AD876" i="17" a="1"/>
  <c r="O876" i="17" s="1" a="1"/>
  <c r="Z876" i="17"/>
  <c r="AA876" i="17" s="1"/>
  <c r="AC876" i="17" s="1"/>
  <c r="P876" i="17"/>
  <c r="H876" i="17" a="1"/>
  <c r="E876" i="17"/>
  <c r="AD875" i="17" a="1"/>
  <c r="O875" i="17" s="1" a="1"/>
  <c r="Z875" i="17"/>
  <c r="AA875" i="17" s="1"/>
  <c r="AC875" i="17" s="1"/>
  <c r="P875" i="17"/>
  <c r="H875" i="17" a="1"/>
  <c r="E875" i="17"/>
  <c r="AD874" i="17" a="1"/>
  <c r="O874" i="17" s="1" a="1"/>
  <c r="Z874" i="17"/>
  <c r="AA874" i="17" s="1"/>
  <c r="AC874" i="17" s="1"/>
  <c r="P874" i="17"/>
  <c r="H874" i="17" a="1"/>
  <c r="E874" i="17"/>
  <c r="AD873" i="17" a="1"/>
  <c r="O873" i="17" s="1" a="1"/>
  <c r="AA873" i="17"/>
  <c r="AC873" i="17" s="1"/>
  <c r="P873" i="17"/>
  <c r="H873" i="17" a="1"/>
  <c r="E873" i="17"/>
  <c r="AD872" i="17" a="1"/>
  <c r="O872" i="17" s="1" a="1"/>
  <c r="Z872" i="17"/>
  <c r="AA872" i="17" s="1"/>
  <c r="AC872" i="17" s="1"/>
  <c r="P872" i="17"/>
  <c r="H872" i="17" a="1"/>
  <c r="E872" i="17"/>
  <c r="AD871" i="17" a="1"/>
  <c r="O871" i="17" s="1" a="1"/>
  <c r="AA871" i="17"/>
  <c r="AC871" i="17" s="1"/>
  <c r="P871" i="17"/>
  <c r="H871" i="17" a="1"/>
  <c r="E871" i="17"/>
  <c r="AD870" i="17" a="1"/>
  <c r="O870" i="17" s="1" a="1"/>
  <c r="AA870" i="17"/>
  <c r="AC870" i="17" s="1"/>
  <c r="P870" i="17"/>
  <c r="H870" i="17" a="1"/>
  <c r="E870" i="17"/>
  <c r="AD869" i="17" a="1"/>
  <c r="O869" i="17" s="1" a="1"/>
  <c r="AA869" i="17"/>
  <c r="AC869" i="17" s="1"/>
  <c r="P869" i="17"/>
  <c r="H869" i="17" a="1"/>
  <c r="E869" i="17"/>
  <c r="AD868" i="17" a="1"/>
  <c r="O868" i="17" s="1" a="1"/>
  <c r="AA868" i="17"/>
  <c r="AC868" i="17" s="1"/>
  <c r="P868" i="17"/>
  <c r="H868" i="17" a="1"/>
  <c r="E868" i="17"/>
  <c r="AD867" i="17" a="1"/>
  <c r="O867" i="17" s="1" a="1"/>
  <c r="AA867" i="17"/>
  <c r="AC867" i="17" s="1"/>
  <c r="P867" i="17"/>
  <c r="H867" i="17" a="1"/>
  <c r="E867" i="17"/>
  <c r="AD866" i="17" a="1"/>
  <c r="O866" i="17" s="1" a="1"/>
  <c r="AA866" i="17"/>
  <c r="AC866" i="17" s="1"/>
  <c r="P866" i="17"/>
  <c r="H866" i="17" a="1"/>
  <c r="E866" i="17"/>
  <c r="AD865" i="17" a="1"/>
  <c r="O865" i="17" s="1" a="1"/>
  <c r="AA865" i="17"/>
  <c r="AC865" i="17" s="1"/>
  <c r="P865" i="17"/>
  <c r="H865" i="17" a="1"/>
  <c r="E865" i="17"/>
  <c r="AD864" i="17" a="1"/>
  <c r="O864" i="17" s="1" a="1"/>
  <c r="AA864" i="17"/>
  <c r="AC864" i="17" s="1"/>
  <c r="P864" i="17"/>
  <c r="H864" i="17" a="1"/>
  <c r="E864" i="17"/>
  <c r="AD863" i="17" a="1"/>
  <c r="O863" i="17" s="1" a="1"/>
  <c r="AA863" i="17"/>
  <c r="AC863" i="17" s="1"/>
  <c r="P863" i="17"/>
  <c r="H863" i="17" a="1"/>
  <c r="E863" i="17"/>
  <c r="AD862" i="17" a="1"/>
  <c r="O862" i="17" s="1" a="1"/>
  <c r="AA862" i="17"/>
  <c r="AC862" i="17" s="1"/>
  <c r="P862" i="17"/>
  <c r="H862" i="17" a="1"/>
  <c r="E862" i="17"/>
  <c r="AD861" i="17" a="1"/>
  <c r="O861" i="17" s="1" a="1"/>
  <c r="AA861" i="17"/>
  <c r="AC861" i="17" s="1"/>
  <c r="P861" i="17"/>
  <c r="H861" i="17" a="1"/>
  <c r="E861" i="17"/>
  <c r="AD860" i="17" a="1"/>
  <c r="O860" i="17" s="1" a="1"/>
  <c r="AA860" i="17"/>
  <c r="AC860" i="17" s="1"/>
  <c r="P860" i="17"/>
  <c r="H860" i="17" a="1"/>
  <c r="E860" i="17"/>
  <c r="AD859" i="17" a="1"/>
  <c r="O859" i="17" s="1" a="1"/>
  <c r="AA859" i="17"/>
  <c r="AC859" i="17" s="1"/>
  <c r="P859" i="17"/>
  <c r="H859" i="17" a="1"/>
  <c r="E859" i="17"/>
  <c r="AD858" i="17" a="1"/>
  <c r="O858" i="17" s="1" a="1"/>
  <c r="AA858" i="17"/>
  <c r="AC858" i="17" s="1"/>
  <c r="P858" i="17"/>
  <c r="H858" i="17" a="1"/>
  <c r="E858" i="17"/>
  <c r="AD857" i="17" a="1"/>
  <c r="O857" i="17" s="1" a="1"/>
  <c r="AA857" i="17"/>
  <c r="AC857" i="17" s="1"/>
  <c r="P857" i="17"/>
  <c r="H857" i="17" a="1"/>
  <c r="E857" i="17"/>
  <c r="AD856" i="17" a="1"/>
  <c r="O856" i="17" s="1" a="1"/>
  <c r="AA856" i="17"/>
  <c r="AC856" i="17" s="1"/>
  <c r="P856" i="17"/>
  <c r="H856" i="17" a="1"/>
  <c r="E856" i="17"/>
  <c r="AD855" i="17" a="1"/>
  <c r="O855" i="17" s="1" a="1"/>
  <c r="AA855" i="17"/>
  <c r="AC855" i="17" s="1"/>
  <c r="P855" i="17"/>
  <c r="H855" i="17" a="1"/>
  <c r="E855" i="17"/>
  <c r="AD854" i="17" a="1"/>
  <c r="O854" i="17" s="1" a="1"/>
  <c r="AA854" i="17"/>
  <c r="AC854" i="17" s="1"/>
  <c r="P854" i="17"/>
  <c r="H854" i="17" a="1"/>
  <c r="E854" i="17"/>
  <c r="AD853" i="17" a="1"/>
  <c r="O853" i="17" s="1" a="1"/>
  <c r="AA853" i="17"/>
  <c r="AC853" i="17" s="1"/>
  <c r="P853" i="17"/>
  <c r="H853" i="17" a="1"/>
  <c r="E853" i="17"/>
  <c r="AD852" i="17" a="1"/>
  <c r="O852" i="17" s="1" a="1"/>
  <c r="AA852" i="17"/>
  <c r="AC852" i="17" s="1"/>
  <c r="P852" i="17"/>
  <c r="H852" i="17" a="1"/>
  <c r="E852" i="17"/>
  <c r="AD851" i="17" a="1"/>
  <c r="O851" i="17" s="1" a="1"/>
  <c r="AA851" i="17"/>
  <c r="AC851" i="17" s="1"/>
  <c r="P851" i="17"/>
  <c r="H851" i="17" a="1"/>
  <c r="E851" i="17"/>
  <c r="AD850" i="17" a="1"/>
  <c r="O850" i="17" s="1" a="1"/>
  <c r="AA850" i="17"/>
  <c r="AC850" i="17" s="1"/>
  <c r="P850" i="17"/>
  <c r="H850" i="17" a="1"/>
  <c r="E850" i="17"/>
  <c r="AD849" i="17" a="1"/>
  <c r="O849" i="17" s="1" a="1"/>
  <c r="AA849" i="17"/>
  <c r="AC849" i="17" s="1"/>
  <c r="P849" i="17"/>
  <c r="H849" i="17" a="1"/>
  <c r="E849" i="17"/>
  <c r="AD848" i="17" a="1"/>
  <c r="O848" i="17" s="1" a="1"/>
  <c r="AA848" i="17"/>
  <c r="AC848" i="17" s="1"/>
  <c r="P848" i="17"/>
  <c r="H848" i="17" a="1"/>
  <c r="E848" i="17"/>
  <c r="AD847" i="17" a="1"/>
  <c r="O847" i="17" s="1" a="1"/>
  <c r="AA847" i="17"/>
  <c r="AC847" i="17" s="1"/>
  <c r="P847" i="17"/>
  <c r="H847" i="17" a="1"/>
  <c r="E847" i="17"/>
  <c r="AD846" i="17" a="1"/>
  <c r="O846" i="17" s="1" a="1"/>
  <c r="AA846" i="17"/>
  <c r="AC846" i="17" s="1"/>
  <c r="P846" i="17"/>
  <c r="H846" i="17" a="1"/>
  <c r="E846" i="17"/>
  <c r="AD845" i="17" a="1"/>
  <c r="O845" i="17" s="1" a="1"/>
  <c r="AA845" i="17"/>
  <c r="AC845" i="17" s="1"/>
  <c r="P845" i="17"/>
  <c r="H845" i="17" a="1"/>
  <c r="E845" i="17"/>
  <c r="AD844" i="17" a="1"/>
  <c r="O844" i="17" s="1" a="1"/>
  <c r="AA844" i="17"/>
  <c r="AC844" i="17" s="1"/>
  <c r="P844" i="17"/>
  <c r="H844" i="17" a="1"/>
  <c r="E844" i="17"/>
  <c r="AD843" i="17" a="1"/>
  <c r="O843" i="17" s="1" a="1"/>
  <c r="AA843" i="17"/>
  <c r="AC843" i="17" s="1"/>
  <c r="P843" i="17"/>
  <c r="H843" i="17" a="1"/>
  <c r="E843" i="17"/>
  <c r="AD842" i="17" a="1"/>
  <c r="O842" i="17" s="1" a="1"/>
  <c r="AA842" i="17"/>
  <c r="AC842" i="17" s="1"/>
  <c r="P842" i="17"/>
  <c r="H842" i="17" a="1"/>
  <c r="E842" i="17"/>
  <c r="AD841" i="17" a="1"/>
  <c r="O841" i="17" s="1" a="1"/>
  <c r="AA841" i="17"/>
  <c r="AC841" i="17" s="1"/>
  <c r="P841" i="17"/>
  <c r="H841" i="17" a="1"/>
  <c r="E841" i="17"/>
  <c r="AD840" i="17" a="1"/>
  <c r="O840" i="17" s="1" a="1"/>
  <c r="AA840" i="17"/>
  <c r="AC840" i="17" s="1"/>
  <c r="P840" i="17"/>
  <c r="H840" i="17" a="1"/>
  <c r="E840" i="17"/>
  <c r="AD839" i="17" a="1"/>
  <c r="O839" i="17" s="1" a="1"/>
  <c r="AA839" i="17"/>
  <c r="AC839" i="17" s="1"/>
  <c r="P839" i="17"/>
  <c r="H839" i="17" a="1"/>
  <c r="E839" i="17"/>
  <c r="AD838" i="17" a="1"/>
  <c r="O838" i="17" s="1" a="1"/>
  <c r="AA838" i="17"/>
  <c r="AC838" i="17" s="1"/>
  <c r="P838" i="17"/>
  <c r="H838" i="17" a="1"/>
  <c r="E838" i="17"/>
  <c r="AD837" i="17" a="1"/>
  <c r="O837" i="17" s="1" a="1"/>
  <c r="AA837" i="17"/>
  <c r="AC837" i="17" s="1"/>
  <c r="P837" i="17"/>
  <c r="H837" i="17" a="1"/>
  <c r="E837" i="17"/>
  <c r="AD836" i="17" a="1"/>
  <c r="O836" i="17" s="1" a="1"/>
  <c r="AA836" i="17"/>
  <c r="AC836" i="17" s="1"/>
  <c r="P836" i="17"/>
  <c r="H836" i="17" a="1"/>
  <c r="E836" i="17"/>
  <c r="AD835" i="17" a="1"/>
  <c r="O835" i="17" s="1" a="1"/>
  <c r="AA835" i="17"/>
  <c r="AC835" i="17" s="1"/>
  <c r="P835" i="17"/>
  <c r="H835" i="17" a="1"/>
  <c r="E835" i="17"/>
  <c r="AD834" i="17" a="1"/>
  <c r="O834" i="17" s="1" a="1"/>
  <c r="AA834" i="17"/>
  <c r="AC834" i="17" s="1"/>
  <c r="P834" i="17"/>
  <c r="H834" i="17" a="1"/>
  <c r="E834" i="17"/>
  <c r="AE833" i="17"/>
  <c r="AD833" i="17" a="1"/>
  <c r="O833" i="17" s="1" a="1"/>
  <c r="Q833" i="17"/>
  <c r="AA833" i="17" s="1"/>
  <c r="AC833" i="17" s="1"/>
  <c r="P833" i="17"/>
  <c r="J833" i="17"/>
  <c r="H833" i="17" a="1"/>
  <c r="E833" i="17"/>
  <c r="AD832" i="17" a="1"/>
  <c r="O832" i="17" s="1" a="1"/>
  <c r="AA832" i="17"/>
  <c r="AC832" i="17" s="1"/>
  <c r="R832" i="17"/>
  <c r="P832" i="17"/>
  <c r="J832" i="17"/>
  <c r="H832" i="17" a="1"/>
  <c r="E832" i="17"/>
  <c r="AD831" i="17" a="1"/>
  <c r="O831" i="17" s="1" a="1"/>
  <c r="AA831" i="17"/>
  <c r="AC831" i="17" s="1"/>
  <c r="P831" i="17"/>
  <c r="H831" i="17" a="1"/>
  <c r="E831" i="17"/>
  <c r="AD830" i="17" a="1"/>
  <c r="O830" i="17" s="1" a="1"/>
  <c r="AA830" i="17"/>
  <c r="AC830" i="17" s="1"/>
  <c r="P830" i="17"/>
  <c r="H830" i="17" a="1"/>
  <c r="E830" i="17"/>
  <c r="AD829" i="17" a="1"/>
  <c r="O829" i="17" s="1" a="1"/>
  <c r="AA829" i="17"/>
  <c r="AC829" i="17" s="1"/>
  <c r="P829" i="17"/>
  <c r="H829" i="17" a="1"/>
  <c r="E829" i="17"/>
  <c r="AD828" i="17" a="1"/>
  <c r="O828" i="17" s="1" a="1"/>
  <c r="AA828" i="17"/>
  <c r="AC828" i="17" s="1"/>
  <c r="P828" i="17"/>
  <c r="H828" i="17" a="1"/>
  <c r="E828" i="17"/>
  <c r="AD827" i="17" a="1"/>
  <c r="O827" i="17" s="1" a="1"/>
  <c r="AA827" i="17"/>
  <c r="AC827" i="17" s="1"/>
  <c r="P827" i="17"/>
  <c r="H827" i="17" a="1"/>
  <c r="E827" i="17"/>
  <c r="AD826" i="17" a="1"/>
  <c r="O826" i="17" s="1" a="1"/>
  <c r="AA826" i="17"/>
  <c r="AC826" i="17" s="1"/>
  <c r="P826" i="17"/>
  <c r="H826" i="17" a="1"/>
  <c r="E826" i="17"/>
  <c r="AD825" i="17" a="1"/>
  <c r="O825" i="17" s="1" a="1"/>
  <c r="AA825" i="17"/>
  <c r="AC825" i="17" s="1"/>
  <c r="P825" i="17"/>
  <c r="H825" i="17" a="1"/>
  <c r="E825" i="17"/>
  <c r="AD824" i="17" a="1"/>
  <c r="O824" i="17" s="1" a="1"/>
  <c r="AA824" i="17"/>
  <c r="AC824" i="17" s="1"/>
  <c r="R824" i="17"/>
  <c r="P824" i="17"/>
  <c r="H824" i="17" a="1"/>
  <c r="E824" i="17"/>
  <c r="AD823" i="17" a="1"/>
  <c r="O823" i="17" s="1" a="1"/>
  <c r="AA823" i="17"/>
  <c r="AC823" i="17" s="1"/>
  <c r="P823" i="17"/>
  <c r="H823" i="17" a="1"/>
  <c r="E823" i="17"/>
  <c r="AD822" i="17" a="1"/>
  <c r="O822" i="17" s="1" a="1"/>
  <c r="Q822" i="17"/>
  <c r="AA822" i="17" s="1"/>
  <c r="AC822" i="17" s="1"/>
  <c r="P822" i="17"/>
  <c r="H822" i="17" a="1"/>
  <c r="E822" i="17"/>
  <c r="AD821" i="17" a="1"/>
  <c r="O821" i="17" s="1" a="1"/>
  <c r="AA821" i="17"/>
  <c r="AC821" i="17" s="1"/>
  <c r="P821" i="17"/>
  <c r="H821" i="17" a="1"/>
  <c r="E821" i="17"/>
  <c r="AD820" i="17" a="1"/>
  <c r="O820" i="17" s="1" a="1"/>
  <c r="AA820" i="17"/>
  <c r="AC820" i="17" s="1"/>
  <c r="P820" i="17"/>
  <c r="H820" i="17" a="1"/>
  <c r="E820" i="17"/>
  <c r="AD819" i="17" a="1"/>
  <c r="O819" i="17" s="1" a="1"/>
  <c r="AA819" i="17"/>
  <c r="AC819" i="17" s="1"/>
  <c r="P819" i="17"/>
  <c r="H819" i="17" a="1"/>
  <c r="E819" i="17"/>
  <c r="AD818" i="17" a="1"/>
  <c r="O818" i="17" s="1" a="1"/>
  <c r="AA818" i="17"/>
  <c r="AC818" i="17" s="1"/>
  <c r="P818" i="17"/>
  <c r="H818" i="17" a="1"/>
  <c r="E818" i="17"/>
  <c r="AD817" i="17" a="1"/>
  <c r="O817" i="17" s="1" a="1"/>
  <c r="Q817" i="17"/>
  <c r="AA817" i="17" s="1"/>
  <c r="AC817" i="17" s="1"/>
  <c r="P817" i="17"/>
  <c r="J817" i="17"/>
  <c r="H817" i="17" a="1"/>
  <c r="E817" i="17"/>
  <c r="AD816" i="17" a="1"/>
  <c r="O816" i="17" s="1" a="1"/>
  <c r="Q816" i="17"/>
  <c r="AA816" i="17" s="1"/>
  <c r="AC816" i="17" s="1"/>
  <c r="P816" i="17"/>
  <c r="J816" i="17"/>
  <c r="H816" i="17" a="1"/>
  <c r="E816" i="17"/>
  <c r="AD815" i="17" a="1"/>
  <c r="O815" i="17" s="1" a="1"/>
  <c r="AA815" i="17"/>
  <c r="AC815" i="17" s="1"/>
  <c r="P815" i="17"/>
  <c r="J815" i="17"/>
  <c r="H815" i="17" a="1"/>
  <c r="E815" i="17"/>
  <c r="AD814" i="17" a="1"/>
  <c r="O814" i="17" s="1" a="1"/>
  <c r="AA814" i="17"/>
  <c r="AC814" i="17" s="1"/>
  <c r="P814" i="17"/>
  <c r="H814" i="17" a="1"/>
  <c r="E814" i="17"/>
  <c r="AD813" i="17" a="1"/>
  <c r="O813" i="17" s="1" a="1"/>
  <c r="AA813" i="17"/>
  <c r="AC813" i="17" s="1"/>
  <c r="P813" i="17"/>
  <c r="H813" i="17" a="1"/>
  <c r="E813" i="17"/>
  <c r="AD812" i="17" a="1"/>
  <c r="O812" i="17" s="1" a="1"/>
  <c r="AA812" i="17"/>
  <c r="AC812" i="17" s="1"/>
  <c r="P812" i="17"/>
  <c r="H812" i="17" a="1"/>
  <c r="E812" i="17"/>
  <c r="AD811" i="17" a="1"/>
  <c r="O811" i="17" s="1" a="1"/>
  <c r="AA811" i="17"/>
  <c r="AC811" i="17" s="1"/>
  <c r="P811" i="17"/>
  <c r="H811" i="17" a="1"/>
  <c r="E811" i="17"/>
  <c r="AD810" i="17" a="1"/>
  <c r="O810" i="17" s="1" a="1"/>
  <c r="AA810" i="17"/>
  <c r="AC810" i="17" s="1"/>
  <c r="P810" i="17"/>
  <c r="H810" i="17" a="1"/>
  <c r="E810" i="17"/>
  <c r="AD809" i="17" a="1"/>
  <c r="O809" i="17" s="1" a="1"/>
  <c r="AA809" i="17"/>
  <c r="AC809" i="17" s="1"/>
  <c r="P809" i="17"/>
  <c r="H809" i="17" a="1"/>
  <c r="E809" i="17"/>
  <c r="AD808" i="17" a="1"/>
  <c r="O808" i="17" s="1" a="1"/>
  <c r="AA808" i="17"/>
  <c r="AC808" i="17" s="1"/>
  <c r="P808" i="17"/>
  <c r="H808" i="17" a="1"/>
  <c r="E808" i="17"/>
  <c r="AD807" i="17" a="1"/>
  <c r="O807" i="17" s="1" a="1"/>
  <c r="AA807" i="17"/>
  <c r="AC807" i="17" s="1"/>
  <c r="P807" i="17"/>
  <c r="H807" i="17" a="1"/>
  <c r="E807" i="17"/>
  <c r="AD806" i="17" a="1"/>
  <c r="O806" i="17" s="1" a="1"/>
  <c r="AA806" i="17"/>
  <c r="AC806" i="17" s="1"/>
  <c r="P806" i="17"/>
  <c r="H806" i="17" a="1"/>
  <c r="E806" i="17"/>
  <c r="AD805" i="17" a="1"/>
  <c r="O805" i="17" s="1" a="1"/>
  <c r="AA805" i="17"/>
  <c r="AC805" i="17" s="1"/>
  <c r="P805" i="17"/>
  <c r="H805" i="17" a="1"/>
  <c r="E805" i="17"/>
  <c r="AD804" i="17" a="1"/>
  <c r="O804" i="17" s="1" a="1"/>
  <c r="AA804" i="17"/>
  <c r="AC804" i="17" s="1"/>
  <c r="P804" i="17"/>
  <c r="H804" i="17" a="1"/>
  <c r="E804" i="17"/>
  <c r="AD803" i="17" a="1"/>
  <c r="O803" i="17" s="1" a="1"/>
  <c r="AA803" i="17"/>
  <c r="AC803" i="17" s="1"/>
  <c r="P803" i="17"/>
  <c r="H803" i="17" a="1"/>
  <c r="E803" i="17"/>
  <c r="AD802" i="17" a="1"/>
  <c r="O802" i="17" s="1" a="1"/>
  <c r="AA802" i="17"/>
  <c r="AC802" i="17" s="1"/>
  <c r="P802" i="17"/>
  <c r="H802" i="17" a="1"/>
  <c r="E802" i="17"/>
  <c r="AD801" i="17" a="1"/>
  <c r="O801" i="17" s="1" a="1"/>
  <c r="AA801" i="17"/>
  <c r="AC801" i="17" s="1"/>
  <c r="P801" i="17"/>
  <c r="H801" i="17" a="1"/>
  <c r="E801" i="17"/>
  <c r="AD800" i="17" a="1"/>
  <c r="O800" i="17" s="1" a="1"/>
  <c r="AA800" i="17"/>
  <c r="AC800" i="17" s="1"/>
  <c r="P800" i="17"/>
  <c r="H800" i="17" a="1"/>
  <c r="E800" i="17"/>
  <c r="AD799" i="17" a="1"/>
  <c r="O799" i="17" s="1" a="1"/>
  <c r="AA799" i="17"/>
  <c r="AC799" i="17" s="1"/>
  <c r="P799" i="17"/>
  <c r="H799" i="17" a="1"/>
  <c r="E799" i="17"/>
  <c r="AD798" i="17" a="1"/>
  <c r="O798" i="17" s="1" a="1"/>
  <c r="AA798" i="17"/>
  <c r="AC798" i="17" s="1"/>
  <c r="P798" i="17"/>
  <c r="H798" i="17" a="1"/>
  <c r="E798" i="17"/>
  <c r="AD797" i="17" a="1"/>
  <c r="O797" i="17" s="1" a="1"/>
  <c r="AA797" i="17"/>
  <c r="AC797" i="17" s="1"/>
  <c r="P797" i="17"/>
  <c r="H797" i="17" a="1"/>
  <c r="E797" i="17"/>
  <c r="AD796" i="17" a="1"/>
  <c r="O796" i="17" s="1" a="1"/>
  <c r="AA796" i="17"/>
  <c r="AC796" i="17" s="1"/>
  <c r="P796" i="17"/>
  <c r="H796" i="17" a="1"/>
  <c r="E796" i="17"/>
  <c r="AD795" i="17" a="1"/>
  <c r="O795" i="17" s="1" a="1"/>
  <c r="AA795" i="17"/>
  <c r="AC795" i="17" s="1"/>
  <c r="P795" i="17"/>
  <c r="H795" i="17" a="1"/>
  <c r="E795" i="17"/>
  <c r="AD794" i="17" a="1"/>
  <c r="O794" i="17" s="1" a="1"/>
  <c r="AA794" i="17"/>
  <c r="AC794" i="17" s="1"/>
  <c r="P794" i="17"/>
  <c r="H794" i="17" a="1"/>
  <c r="E794" i="17"/>
  <c r="AD793" i="17" a="1"/>
  <c r="O793" i="17" s="1" a="1"/>
  <c r="AA793" i="17"/>
  <c r="AC793" i="17" s="1"/>
  <c r="V793" i="17"/>
  <c r="M793" i="17" s="1" a="1"/>
  <c r="N793" i="17" s="1"/>
  <c r="P793" i="17"/>
  <c r="H793" i="17" a="1"/>
  <c r="E793" i="17"/>
  <c r="AD792" i="17" a="1"/>
  <c r="O792" i="17" s="1" a="1"/>
  <c r="Z792" i="17"/>
  <c r="Q792" i="17"/>
  <c r="P792" i="17"/>
  <c r="H792" i="17" a="1"/>
  <c r="E792" i="17"/>
  <c r="AD791" i="17" a="1"/>
  <c r="O791" i="17" s="1" a="1"/>
  <c r="AA791" i="17"/>
  <c r="AC791" i="17" s="1"/>
  <c r="P791" i="17"/>
  <c r="H791" i="17" a="1"/>
  <c r="E791" i="17"/>
  <c r="AD790" i="17" a="1"/>
  <c r="O790" i="17" s="1" a="1"/>
  <c r="AA790" i="17"/>
  <c r="AC790" i="17" s="1"/>
  <c r="P790" i="17"/>
  <c r="H790" i="17" a="1"/>
  <c r="E790" i="17"/>
  <c r="AD789" i="17" a="1"/>
  <c r="O789" i="17" s="1" a="1"/>
  <c r="AA789" i="17"/>
  <c r="AC789" i="17" s="1"/>
  <c r="P789" i="17"/>
  <c r="H789" i="17" a="1"/>
  <c r="E789" i="17"/>
  <c r="AD788" i="17" a="1"/>
  <c r="O788" i="17" s="1" a="1"/>
  <c r="AA788" i="17"/>
  <c r="AC788" i="17" s="1"/>
  <c r="P788" i="17"/>
  <c r="J788" i="17"/>
  <c r="H788" i="17" a="1"/>
  <c r="E788" i="17"/>
  <c r="AD787" i="17" a="1"/>
  <c r="O787" i="17" s="1" a="1"/>
  <c r="AA787" i="17"/>
  <c r="AC787" i="17" s="1"/>
  <c r="P787" i="17"/>
  <c r="H787" i="17" a="1"/>
  <c r="E787" i="17"/>
  <c r="AD786" i="17" a="1"/>
  <c r="O786" i="17" s="1" a="1"/>
  <c r="AA786" i="17"/>
  <c r="AC786" i="17" s="1"/>
  <c r="P786" i="17"/>
  <c r="J786" i="17"/>
  <c r="H786" i="17" a="1"/>
  <c r="E786" i="17"/>
  <c r="AD785" i="17" a="1"/>
  <c r="O785" i="17" s="1" a="1"/>
  <c r="AA785" i="17"/>
  <c r="AC785" i="17" s="1"/>
  <c r="P785" i="17"/>
  <c r="J785" i="17"/>
  <c r="H785" i="17" a="1"/>
  <c r="E785" i="17"/>
  <c r="AD784" i="17" a="1"/>
  <c r="O784" i="17" s="1" a="1"/>
  <c r="AA784" i="17"/>
  <c r="AC784" i="17" s="1"/>
  <c r="P784" i="17"/>
  <c r="H784" i="17" a="1"/>
  <c r="E784" i="17"/>
  <c r="AD783" i="17" a="1"/>
  <c r="O783" i="17" s="1" a="1"/>
  <c r="AA783" i="17"/>
  <c r="AC783" i="17" s="1"/>
  <c r="P783" i="17"/>
  <c r="H783" i="17" a="1"/>
  <c r="E783" i="17"/>
  <c r="AD782" i="17" a="1"/>
  <c r="O782" i="17" s="1" a="1"/>
  <c r="AA782" i="17"/>
  <c r="AC782" i="17" s="1"/>
  <c r="P782" i="17"/>
  <c r="H782" i="17" a="1"/>
  <c r="E782" i="17"/>
  <c r="AD781" i="17" a="1"/>
  <c r="O781" i="17" s="1" a="1"/>
  <c r="AA781" i="17"/>
  <c r="AC781" i="17" s="1"/>
  <c r="P781" i="17"/>
  <c r="H781" i="17" a="1"/>
  <c r="E781" i="17"/>
  <c r="AD780" i="17" a="1"/>
  <c r="O780" i="17" s="1" a="1"/>
  <c r="AA780" i="17"/>
  <c r="AC780" i="17" s="1"/>
  <c r="P780" i="17"/>
  <c r="H780" i="17" a="1"/>
  <c r="E780" i="17"/>
  <c r="AD779" i="17" a="1"/>
  <c r="O779" i="17" s="1" a="1"/>
  <c r="AA779" i="17"/>
  <c r="AC779" i="17" s="1"/>
  <c r="P779" i="17"/>
  <c r="J779" i="17"/>
  <c r="H779" i="17" a="1"/>
  <c r="E779" i="17"/>
  <c r="AD778" i="17" a="1"/>
  <c r="O778" i="17" s="1" a="1"/>
  <c r="AA778" i="17"/>
  <c r="AC778" i="17" s="1"/>
  <c r="P778" i="17"/>
  <c r="H778" i="17" a="1"/>
  <c r="E778" i="17"/>
  <c r="AD777" i="17" a="1"/>
  <c r="O777" i="17" s="1" a="1"/>
  <c r="AA777" i="17"/>
  <c r="AC777" i="17" s="1"/>
  <c r="P777" i="17"/>
  <c r="H777" i="17" a="1"/>
  <c r="E777" i="17"/>
  <c r="AD776" i="17" a="1"/>
  <c r="O776" i="17" s="1" a="1"/>
  <c r="AA776" i="17"/>
  <c r="AC776" i="17" s="1"/>
  <c r="P776" i="17"/>
  <c r="H776" i="17" a="1"/>
  <c r="E776" i="17"/>
  <c r="AD775" i="17" a="1"/>
  <c r="O775" i="17" s="1" a="1"/>
  <c r="AA775" i="17"/>
  <c r="AC775" i="17" s="1"/>
  <c r="P775" i="17"/>
  <c r="J775" i="17"/>
  <c r="H775" i="17" a="1"/>
  <c r="E775" i="17"/>
  <c r="AD774" i="17" a="1"/>
  <c r="O774" i="17" s="1" a="1"/>
  <c r="AA774" i="17"/>
  <c r="AC774" i="17" s="1"/>
  <c r="P774" i="17"/>
  <c r="H774" i="17" a="1"/>
  <c r="E774" i="17"/>
  <c r="AD773" i="17" a="1"/>
  <c r="O773" i="17" s="1" a="1"/>
  <c r="AA773" i="17"/>
  <c r="AC773" i="17" s="1"/>
  <c r="P773" i="17"/>
  <c r="H773" i="17" a="1"/>
  <c r="E773" i="17"/>
  <c r="AD772" i="17" a="1"/>
  <c r="O772" i="17" s="1" a="1"/>
  <c r="AA772" i="17"/>
  <c r="AC772" i="17" s="1"/>
  <c r="P772" i="17"/>
  <c r="H772" i="17" a="1"/>
  <c r="E772" i="17"/>
  <c r="AD771" i="17" a="1"/>
  <c r="O771" i="17" s="1" a="1"/>
  <c r="AA771" i="17"/>
  <c r="AC771" i="17" s="1"/>
  <c r="P771" i="17"/>
  <c r="H771" i="17" a="1"/>
  <c r="E771" i="17"/>
  <c r="AD770" i="17" a="1"/>
  <c r="O770" i="17" s="1" a="1"/>
  <c r="AA770" i="17"/>
  <c r="AC770" i="17" s="1"/>
  <c r="P770" i="17"/>
  <c r="H770" i="17" a="1"/>
  <c r="E770" i="17"/>
  <c r="AD769" i="17" a="1"/>
  <c r="O769" i="17" s="1" a="1"/>
  <c r="AA769" i="17"/>
  <c r="AC769" i="17" s="1"/>
  <c r="P769" i="17"/>
  <c r="H769" i="17" a="1"/>
  <c r="E769" i="17"/>
  <c r="AD768" i="17" a="1"/>
  <c r="O768" i="17" s="1" a="1"/>
  <c r="AA768" i="17"/>
  <c r="AC768" i="17" s="1"/>
  <c r="P768" i="17"/>
  <c r="H768" i="17" a="1"/>
  <c r="E768" i="17"/>
  <c r="AD767" i="17" a="1"/>
  <c r="O767" i="17" s="1" a="1"/>
  <c r="AA767" i="17"/>
  <c r="AC767" i="17" s="1"/>
  <c r="P767" i="17"/>
  <c r="H767" i="17" a="1"/>
  <c r="E767" i="17"/>
  <c r="AD766" i="17" a="1"/>
  <c r="O766" i="17" s="1" a="1"/>
  <c r="AA766" i="17"/>
  <c r="AC766" i="17" s="1"/>
  <c r="P766" i="17"/>
  <c r="H766" i="17" a="1"/>
  <c r="E766" i="17"/>
  <c r="AD765" i="17" a="1"/>
  <c r="O765" i="17" s="1" a="1"/>
  <c r="AA765" i="17"/>
  <c r="AC765" i="17" s="1"/>
  <c r="P765" i="17"/>
  <c r="H765" i="17" a="1"/>
  <c r="E765" i="17"/>
  <c r="AD764" i="17" a="1"/>
  <c r="O764" i="17" s="1" a="1"/>
  <c r="AA764" i="17"/>
  <c r="AC764" i="17" s="1"/>
  <c r="P764" i="17"/>
  <c r="H764" i="17" a="1"/>
  <c r="E764" i="17"/>
  <c r="AD763" i="17" a="1"/>
  <c r="O763" i="17" s="1" a="1"/>
  <c r="AA763" i="17"/>
  <c r="AC763" i="17" s="1"/>
  <c r="P763" i="17"/>
  <c r="H763" i="17" a="1"/>
  <c r="E763" i="17"/>
  <c r="AD762" i="17" a="1"/>
  <c r="O762" i="17" s="1" a="1"/>
  <c r="AA762" i="17"/>
  <c r="AC762" i="17" s="1"/>
  <c r="P762" i="17"/>
  <c r="H762" i="17" a="1"/>
  <c r="E762" i="17"/>
  <c r="AD761" i="17" a="1"/>
  <c r="O761" i="17" s="1" a="1"/>
  <c r="AA761" i="17"/>
  <c r="AC761" i="17" s="1"/>
  <c r="P761" i="17"/>
  <c r="H761" i="17" a="1"/>
  <c r="E761" i="17"/>
  <c r="AD760" i="17" a="1"/>
  <c r="O760" i="17" s="1" a="1"/>
  <c r="AA760" i="17"/>
  <c r="AC760" i="17" s="1"/>
  <c r="P760" i="17"/>
  <c r="H760" i="17" a="1"/>
  <c r="E760" i="17"/>
  <c r="AD759" i="17" a="1"/>
  <c r="O759" i="17" s="1" a="1"/>
  <c r="AA759" i="17"/>
  <c r="AC759" i="17" s="1"/>
  <c r="P759" i="17"/>
  <c r="H759" i="17" a="1"/>
  <c r="E759" i="17"/>
  <c r="AD758" i="17" a="1"/>
  <c r="O758" i="17" s="1" a="1"/>
  <c r="AA758" i="17"/>
  <c r="AC758" i="17" s="1"/>
  <c r="P758" i="17"/>
  <c r="H758" i="17" a="1"/>
  <c r="E758" i="17"/>
  <c r="AD757" i="17" a="1"/>
  <c r="O757" i="17" s="1" a="1"/>
  <c r="AA757" i="17"/>
  <c r="AC757" i="17" s="1"/>
  <c r="P757" i="17"/>
  <c r="H757" i="17" a="1"/>
  <c r="E757" i="17"/>
  <c r="AD756" i="17" a="1"/>
  <c r="O756" i="17" s="1" a="1"/>
  <c r="AA756" i="17"/>
  <c r="AC756" i="17" s="1"/>
  <c r="P756" i="17"/>
  <c r="H756" i="17" a="1"/>
  <c r="E756" i="17"/>
  <c r="AD755" i="17" a="1"/>
  <c r="O755" i="17" s="1" a="1"/>
  <c r="AA755" i="17"/>
  <c r="AC755" i="17" s="1"/>
  <c r="P755" i="17"/>
  <c r="H755" i="17" a="1"/>
  <c r="E755" i="17"/>
  <c r="AD754" i="17" a="1"/>
  <c r="O754" i="17" s="1" a="1"/>
  <c r="Q754" i="17"/>
  <c r="AA754" i="17" s="1"/>
  <c r="AC754" i="17" s="1"/>
  <c r="P754" i="17"/>
  <c r="H754" i="17" a="1"/>
  <c r="E754" i="17"/>
  <c r="AD753" i="17" a="1"/>
  <c r="O753" i="17" s="1" a="1"/>
  <c r="AA753" i="17"/>
  <c r="AC753" i="17" s="1"/>
  <c r="P753" i="17"/>
  <c r="H753" i="17" a="1"/>
  <c r="E753" i="17"/>
  <c r="AD752" i="17" a="1"/>
  <c r="O752" i="17" s="1" a="1"/>
  <c r="AA752" i="17"/>
  <c r="AC752" i="17" s="1"/>
  <c r="P752" i="17"/>
  <c r="H752" i="17" a="1"/>
  <c r="E752" i="17"/>
  <c r="AD751" i="17" a="1"/>
  <c r="O751" i="17" s="1" a="1"/>
  <c r="AA751" i="17"/>
  <c r="AC751" i="17" s="1"/>
  <c r="P751" i="17"/>
  <c r="H751" i="17" a="1"/>
  <c r="E751" i="17"/>
  <c r="AD750" i="17" a="1"/>
  <c r="O750" i="17" s="1" a="1"/>
  <c r="AA750" i="17"/>
  <c r="AC750" i="17" s="1"/>
  <c r="P750" i="17"/>
  <c r="H750" i="17" a="1"/>
  <c r="E750" i="17"/>
  <c r="AD749" i="17" a="1"/>
  <c r="O749" i="17" s="1" a="1"/>
  <c r="AA749" i="17"/>
  <c r="AC749" i="17" s="1"/>
  <c r="P749" i="17"/>
  <c r="H749" i="17" a="1"/>
  <c r="E749" i="17"/>
  <c r="AD748" i="17" a="1"/>
  <c r="O748" i="17" s="1" a="1"/>
  <c r="AA748" i="17"/>
  <c r="AC748" i="17" s="1"/>
  <c r="P748" i="17"/>
  <c r="H748" i="17" a="1"/>
  <c r="E748" i="17"/>
  <c r="AD747" i="17" a="1"/>
  <c r="O747" i="17" s="1" a="1"/>
  <c r="AA747" i="17"/>
  <c r="AC747" i="17" s="1"/>
  <c r="P747" i="17"/>
  <c r="H747" i="17" a="1"/>
  <c r="E747" i="17"/>
  <c r="AD746" i="17" a="1"/>
  <c r="O746" i="17" s="1" a="1"/>
  <c r="AA746" i="17"/>
  <c r="AC746" i="17" s="1"/>
  <c r="P746" i="17"/>
  <c r="H746" i="17" a="1"/>
  <c r="E746" i="17"/>
  <c r="AD745" i="17" a="1"/>
  <c r="O745" i="17" s="1" a="1"/>
  <c r="AA745" i="17"/>
  <c r="AC745" i="17" s="1"/>
  <c r="P745" i="17"/>
  <c r="H745" i="17" a="1"/>
  <c r="E745" i="17"/>
  <c r="AD744" i="17" a="1"/>
  <c r="O744" i="17" s="1" a="1"/>
  <c r="AA744" i="17"/>
  <c r="AC744" i="17" s="1"/>
  <c r="P744" i="17"/>
  <c r="H744" i="17" a="1"/>
  <c r="E744" i="17"/>
  <c r="AD743" i="17" a="1"/>
  <c r="O743" i="17" s="1" a="1"/>
  <c r="AA743" i="17"/>
  <c r="AC743" i="17" s="1"/>
  <c r="P743" i="17"/>
  <c r="H743" i="17" a="1"/>
  <c r="E743" i="17"/>
  <c r="AD742" i="17" a="1"/>
  <c r="O742" i="17" s="1" a="1"/>
  <c r="AA742" i="17"/>
  <c r="AC742" i="17" s="1"/>
  <c r="P742" i="17"/>
  <c r="H742" i="17" a="1"/>
  <c r="E742" i="17"/>
  <c r="AD741" i="17" a="1"/>
  <c r="O741" i="17" s="1" a="1"/>
  <c r="AA741" i="17"/>
  <c r="AC741" i="17" s="1"/>
  <c r="P741" i="17"/>
  <c r="H741" i="17" a="1"/>
  <c r="E741" i="17"/>
  <c r="AD740" i="17" a="1"/>
  <c r="O740" i="17" s="1" a="1"/>
  <c r="AA740" i="17"/>
  <c r="AC740" i="17" s="1"/>
  <c r="P740" i="17"/>
  <c r="H740" i="17" a="1"/>
  <c r="E740" i="17"/>
  <c r="AD739" i="17" a="1"/>
  <c r="O739" i="17" s="1" a="1"/>
  <c r="AA739" i="17"/>
  <c r="AC739" i="17" s="1"/>
  <c r="P739" i="17"/>
  <c r="H739" i="17" a="1"/>
  <c r="E739" i="17"/>
  <c r="AD738" i="17" a="1"/>
  <c r="O738" i="17" s="1" a="1"/>
  <c r="AA738" i="17"/>
  <c r="AC738" i="17" s="1"/>
  <c r="P738" i="17"/>
  <c r="H738" i="17" a="1"/>
  <c r="E738" i="17"/>
  <c r="AD737" i="17" a="1"/>
  <c r="O737" i="17" s="1" a="1"/>
  <c r="AA737" i="17"/>
  <c r="AC737" i="17" s="1"/>
  <c r="P737" i="17"/>
  <c r="H737" i="17" a="1"/>
  <c r="E737" i="17"/>
  <c r="AD736" i="17" a="1"/>
  <c r="O736" i="17" s="1" a="1"/>
  <c r="AA736" i="17"/>
  <c r="AC736" i="17" s="1"/>
  <c r="P736" i="17"/>
  <c r="H736" i="17" a="1"/>
  <c r="E736" i="17"/>
  <c r="AD735" i="17" a="1"/>
  <c r="O735" i="17" s="1" a="1"/>
  <c r="AA735" i="17"/>
  <c r="AC735" i="17" s="1"/>
  <c r="P735" i="17"/>
  <c r="H735" i="17" a="1"/>
  <c r="E735" i="17"/>
  <c r="AD734" i="17" a="1"/>
  <c r="O734" i="17" s="1" a="1"/>
  <c r="AA734" i="17"/>
  <c r="AC734" i="17" s="1"/>
  <c r="P734" i="17"/>
  <c r="H734" i="17" a="1"/>
  <c r="E734" i="17"/>
  <c r="AD733" i="17" a="1"/>
  <c r="O733" i="17" s="1" a="1"/>
  <c r="AA733" i="17"/>
  <c r="AC733" i="17" s="1"/>
  <c r="P733" i="17"/>
  <c r="H733" i="17" a="1"/>
  <c r="E733" i="17"/>
  <c r="AD732" i="17" a="1"/>
  <c r="O732" i="17" s="1" a="1"/>
  <c r="AA732" i="17"/>
  <c r="AC732" i="17" s="1"/>
  <c r="P732" i="17"/>
  <c r="H732" i="17" a="1"/>
  <c r="E732" i="17"/>
  <c r="AD731" i="17" a="1"/>
  <c r="O731" i="17" s="1" a="1"/>
  <c r="AA731" i="17"/>
  <c r="AC731" i="17" s="1"/>
  <c r="P731" i="17"/>
  <c r="H731" i="17" a="1"/>
  <c r="E731" i="17"/>
  <c r="AD730" i="17" a="1"/>
  <c r="O730" i="17" s="1" a="1"/>
  <c r="AA730" i="17"/>
  <c r="AC730" i="17" s="1"/>
  <c r="P730" i="17"/>
  <c r="H730" i="17" a="1"/>
  <c r="E730" i="17"/>
  <c r="AD729" i="17" a="1"/>
  <c r="O729" i="17" s="1" a="1"/>
  <c r="AA729" i="17"/>
  <c r="AC729" i="17" s="1"/>
  <c r="P729" i="17"/>
  <c r="H729" i="17" a="1"/>
  <c r="E729" i="17"/>
  <c r="AD728" i="17" a="1"/>
  <c r="O728" i="17" s="1" a="1"/>
  <c r="AA728" i="17"/>
  <c r="AC728" i="17" s="1"/>
  <c r="P728" i="17"/>
  <c r="H728" i="17" a="1"/>
  <c r="E728" i="17"/>
  <c r="AD727" i="17" a="1"/>
  <c r="O727" i="17" s="1" a="1"/>
  <c r="AA727" i="17"/>
  <c r="AC727" i="17" s="1"/>
  <c r="P727" i="17"/>
  <c r="H727" i="17" a="1"/>
  <c r="E727" i="17"/>
  <c r="AD726" i="17" a="1"/>
  <c r="O726" i="17" s="1" a="1"/>
  <c r="AA726" i="17"/>
  <c r="AC726" i="17" s="1"/>
  <c r="P726" i="17"/>
  <c r="H726" i="17" a="1"/>
  <c r="E726" i="17"/>
  <c r="AD725" i="17" a="1"/>
  <c r="O725" i="17" s="1" a="1"/>
  <c r="AA725" i="17"/>
  <c r="AC725" i="17" s="1"/>
  <c r="P725" i="17"/>
  <c r="H725" i="17" a="1"/>
  <c r="E725" i="17"/>
  <c r="AD724" i="17" a="1"/>
  <c r="O724" i="17" s="1" a="1"/>
  <c r="AA724" i="17"/>
  <c r="AC724" i="17" s="1"/>
  <c r="P724" i="17"/>
  <c r="H724" i="17" a="1"/>
  <c r="E724" i="17"/>
  <c r="AD723" i="17" a="1"/>
  <c r="O723" i="17" s="1" a="1"/>
  <c r="AA723" i="17"/>
  <c r="AC723" i="17" s="1"/>
  <c r="P723" i="17"/>
  <c r="H723" i="17" a="1"/>
  <c r="E723" i="17"/>
  <c r="AD722" i="17" a="1"/>
  <c r="O722" i="17" s="1" a="1"/>
  <c r="AA722" i="17"/>
  <c r="AC722" i="17" s="1"/>
  <c r="P722" i="17"/>
  <c r="H722" i="17" a="1"/>
  <c r="E722" i="17"/>
  <c r="AD721" i="17" a="1"/>
  <c r="O721" i="17" s="1" a="1"/>
  <c r="AA721" i="17"/>
  <c r="AC721" i="17" s="1"/>
  <c r="P721" i="17"/>
  <c r="H721" i="17" a="1"/>
  <c r="E721" i="17"/>
  <c r="AD720" i="17" a="1"/>
  <c r="O720" i="17" s="1" a="1"/>
  <c r="AA720" i="17"/>
  <c r="AC720" i="17" s="1"/>
  <c r="P720" i="17"/>
  <c r="H720" i="17" a="1"/>
  <c r="E720" i="17"/>
  <c r="AD719" i="17" a="1"/>
  <c r="O719" i="17" s="1" a="1"/>
  <c r="AA719" i="17"/>
  <c r="AC719" i="17" s="1"/>
  <c r="P719" i="17"/>
  <c r="H719" i="17" a="1"/>
  <c r="E719" i="17"/>
  <c r="AD718" i="17" a="1"/>
  <c r="O718" i="17" s="1" a="1"/>
  <c r="AA718" i="17"/>
  <c r="AC718" i="17" s="1"/>
  <c r="P718" i="17"/>
  <c r="H718" i="17" a="1"/>
  <c r="E718" i="17"/>
  <c r="AD717" i="17" a="1"/>
  <c r="O717" i="17" s="1" a="1"/>
  <c r="AA717" i="17"/>
  <c r="AC717" i="17" s="1"/>
  <c r="P717" i="17"/>
  <c r="H717" i="17" a="1"/>
  <c r="E717" i="17"/>
  <c r="AD716" i="17" a="1"/>
  <c r="O716" i="17" s="1" a="1"/>
  <c r="AA716" i="17"/>
  <c r="AC716" i="17" s="1"/>
  <c r="P716" i="17"/>
  <c r="H716" i="17" a="1"/>
  <c r="E716" i="17"/>
  <c r="AD715" i="17" a="1"/>
  <c r="O715" i="17" s="1" a="1"/>
  <c r="AA715" i="17"/>
  <c r="AC715" i="17" s="1"/>
  <c r="P715" i="17"/>
  <c r="H715" i="17" a="1"/>
  <c r="E715" i="17"/>
  <c r="AD714" i="17" a="1"/>
  <c r="O714" i="17" s="1" a="1"/>
  <c r="AA714" i="17"/>
  <c r="AC714" i="17" s="1"/>
  <c r="P714" i="17"/>
  <c r="H714" i="17" a="1"/>
  <c r="E714" i="17"/>
  <c r="AD713" i="17" a="1"/>
  <c r="O713" i="17" s="1" a="1"/>
  <c r="AA713" i="17"/>
  <c r="AC713" i="17" s="1"/>
  <c r="P713" i="17"/>
  <c r="H713" i="17" a="1"/>
  <c r="E713" i="17"/>
  <c r="AD712" i="17" a="1"/>
  <c r="O712" i="17" s="1" a="1"/>
  <c r="AA712" i="17"/>
  <c r="AC712" i="17" s="1"/>
  <c r="P712" i="17"/>
  <c r="H712" i="17" a="1"/>
  <c r="E712" i="17"/>
  <c r="AD711" i="17" a="1"/>
  <c r="O711" i="17" s="1" a="1"/>
  <c r="AA711" i="17"/>
  <c r="AC711" i="17" s="1"/>
  <c r="P711" i="17"/>
  <c r="H711" i="17" a="1"/>
  <c r="E711" i="17"/>
  <c r="AD710" i="17" a="1"/>
  <c r="O710" i="17" s="1" a="1"/>
  <c r="AA710" i="17"/>
  <c r="AC710" i="17" s="1"/>
  <c r="P710" i="17"/>
  <c r="H710" i="17" a="1"/>
  <c r="E710" i="17"/>
  <c r="AD709" i="17" a="1"/>
  <c r="O709" i="17" s="1" a="1"/>
  <c r="AA709" i="17"/>
  <c r="AC709" i="17" s="1"/>
  <c r="P709" i="17"/>
  <c r="H709" i="17" a="1"/>
  <c r="E709" i="17"/>
  <c r="AD708" i="17" a="1"/>
  <c r="O708" i="17" s="1" a="1"/>
  <c r="AA708" i="17"/>
  <c r="AC708" i="17" s="1"/>
  <c r="P708" i="17"/>
  <c r="H708" i="17" a="1"/>
  <c r="E708" i="17"/>
  <c r="AD707" i="17" a="1"/>
  <c r="O707" i="17" s="1" a="1"/>
  <c r="AA707" i="17"/>
  <c r="AC707" i="17" s="1"/>
  <c r="P707" i="17"/>
  <c r="H707" i="17" a="1"/>
  <c r="E707" i="17"/>
  <c r="AD706" i="17" a="1"/>
  <c r="O706" i="17" s="1" a="1"/>
  <c r="AA706" i="17"/>
  <c r="AC706" i="17" s="1"/>
  <c r="P706" i="17"/>
  <c r="H706" i="17" a="1"/>
  <c r="E706" i="17"/>
  <c r="AD705" i="17" a="1"/>
  <c r="O705" i="17" s="1" a="1"/>
  <c r="AA705" i="17"/>
  <c r="AC705" i="17" s="1"/>
  <c r="P705" i="17"/>
  <c r="H705" i="17" a="1"/>
  <c r="E705" i="17"/>
  <c r="AD704" i="17" a="1"/>
  <c r="O704" i="17" s="1" a="1"/>
  <c r="AA704" i="17"/>
  <c r="AC704" i="17" s="1"/>
  <c r="P704" i="17"/>
  <c r="H704" i="17" a="1"/>
  <c r="E704" i="17"/>
  <c r="AD703" i="17" a="1"/>
  <c r="O703" i="17" s="1" a="1"/>
  <c r="AA703" i="17"/>
  <c r="AC703" i="17" s="1"/>
  <c r="P703" i="17"/>
  <c r="H703" i="17" a="1"/>
  <c r="E703" i="17"/>
  <c r="AD702" i="17" a="1"/>
  <c r="O702" i="17" s="1" a="1"/>
  <c r="AA702" i="17"/>
  <c r="AC702" i="17" s="1"/>
  <c r="P702" i="17"/>
  <c r="H702" i="17" a="1"/>
  <c r="E702" i="17"/>
  <c r="AD701" i="17" a="1"/>
  <c r="O701" i="17" s="1" a="1"/>
  <c r="AA701" i="17"/>
  <c r="AC701" i="17" s="1"/>
  <c r="P701" i="17"/>
  <c r="H701" i="17" a="1"/>
  <c r="E701" i="17"/>
  <c r="AD700" i="17" a="1"/>
  <c r="O700" i="17" s="1" a="1"/>
  <c r="AA700" i="17"/>
  <c r="AC700" i="17" s="1"/>
  <c r="P700" i="17"/>
  <c r="H700" i="17" a="1"/>
  <c r="E700" i="17"/>
  <c r="AD699" i="17" a="1"/>
  <c r="O699" i="17" s="1" a="1"/>
  <c r="AA699" i="17"/>
  <c r="AC699" i="17" s="1"/>
  <c r="P699" i="17"/>
  <c r="H699" i="17" a="1"/>
  <c r="E699" i="17"/>
  <c r="AD698" i="17" a="1"/>
  <c r="O698" i="17" s="1" a="1"/>
  <c r="AA698" i="17"/>
  <c r="AC698" i="17" s="1"/>
  <c r="P698" i="17"/>
  <c r="H698" i="17" a="1"/>
  <c r="E698" i="17"/>
  <c r="AD697" i="17" a="1"/>
  <c r="O697" i="17" s="1" a="1"/>
  <c r="AA697" i="17"/>
  <c r="AC697" i="17" s="1"/>
  <c r="P697" i="17"/>
  <c r="H697" i="17" a="1"/>
  <c r="E697" i="17"/>
  <c r="AD696" i="17" a="1"/>
  <c r="O696" i="17" s="1" a="1"/>
  <c r="AA696" i="17"/>
  <c r="AC696" i="17" s="1"/>
  <c r="P696" i="17"/>
  <c r="H696" i="17" a="1"/>
  <c r="E696" i="17"/>
  <c r="AD695" i="17" a="1"/>
  <c r="O695" i="17" s="1" a="1"/>
  <c r="AA695" i="17"/>
  <c r="AC695" i="17" s="1"/>
  <c r="P695" i="17"/>
  <c r="H695" i="17" a="1"/>
  <c r="E695" i="17"/>
  <c r="AD694" i="17" a="1"/>
  <c r="O694" i="17" s="1" a="1"/>
  <c r="AA694" i="17"/>
  <c r="AC694" i="17" s="1"/>
  <c r="P694" i="17"/>
  <c r="H694" i="17" a="1"/>
  <c r="E694" i="17"/>
  <c r="AD693" i="17" a="1"/>
  <c r="O693" i="17" s="1" a="1"/>
  <c r="AA693" i="17"/>
  <c r="AC693" i="17" s="1"/>
  <c r="P693" i="17"/>
  <c r="H693" i="17" a="1"/>
  <c r="E693" i="17"/>
  <c r="AD692" i="17" a="1"/>
  <c r="O692" i="17" s="1" a="1"/>
  <c r="AA692" i="17"/>
  <c r="AC692" i="17" s="1"/>
  <c r="P692" i="17"/>
  <c r="H692" i="17" a="1"/>
  <c r="E692" i="17"/>
  <c r="AD691" i="17" a="1"/>
  <c r="O691" i="17" s="1" a="1"/>
  <c r="AA691" i="17"/>
  <c r="AC691" i="17" s="1"/>
  <c r="P691" i="17"/>
  <c r="H691" i="17" a="1"/>
  <c r="E691" i="17"/>
  <c r="AD690" i="17" a="1"/>
  <c r="O690" i="17" s="1" a="1"/>
  <c r="AA690" i="17"/>
  <c r="AC690" i="17" s="1"/>
  <c r="P690" i="17"/>
  <c r="H690" i="17" a="1"/>
  <c r="E690" i="17"/>
  <c r="AD689" i="17" a="1"/>
  <c r="O689" i="17" s="1" a="1"/>
  <c r="AA689" i="17"/>
  <c r="AC689" i="17" s="1"/>
  <c r="P689" i="17"/>
  <c r="H689" i="17" a="1"/>
  <c r="E689" i="17"/>
  <c r="AD688" i="17" a="1"/>
  <c r="O688" i="17" s="1" a="1"/>
  <c r="AA688" i="17"/>
  <c r="AC688" i="17" s="1"/>
  <c r="P688" i="17"/>
  <c r="H688" i="17" a="1"/>
  <c r="E688" i="17"/>
  <c r="AD687" i="17" a="1"/>
  <c r="O687" i="17" s="1" a="1"/>
  <c r="AA687" i="17"/>
  <c r="AC687" i="17" s="1"/>
  <c r="P687" i="17"/>
  <c r="H687" i="17" a="1"/>
  <c r="E687" i="17"/>
  <c r="AD686" i="17" a="1"/>
  <c r="O686" i="17" s="1" a="1"/>
  <c r="AA686" i="17"/>
  <c r="AC686" i="17" s="1"/>
  <c r="P686" i="17"/>
  <c r="H686" i="17" a="1"/>
  <c r="E686" i="17"/>
  <c r="AD685" i="17" a="1"/>
  <c r="O685" i="17" s="1" a="1"/>
  <c r="AA685" i="17"/>
  <c r="AC685" i="17" s="1"/>
  <c r="P685" i="17"/>
  <c r="H685" i="17" a="1"/>
  <c r="E685" i="17"/>
  <c r="AD684" i="17" a="1"/>
  <c r="O684" i="17" s="1" a="1"/>
  <c r="AA684" i="17"/>
  <c r="AC684" i="17" s="1"/>
  <c r="P684" i="17"/>
  <c r="H684" i="17" a="1"/>
  <c r="E684" i="17"/>
  <c r="AD683" i="17" a="1"/>
  <c r="O683" i="17" s="1" a="1"/>
  <c r="AA683" i="17"/>
  <c r="AC683" i="17" s="1"/>
  <c r="P683" i="17"/>
  <c r="H683" i="17" a="1"/>
  <c r="E683" i="17"/>
  <c r="AD682" i="17" a="1"/>
  <c r="O682" i="17" s="1" a="1"/>
  <c r="AA682" i="17"/>
  <c r="AC682" i="17" s="1"/>
  <c r="P682" i="17"/>
  <c r="H682" i="17" a="1"/>
  <c r="E682" i="17"/>
  <c r="AD681" i="17" a="1"/>
  <c r="O681" i="17" s="1" a="1"/>
  <c r="AA681" i="17"/>
  <c r="AC681" i="17" s="1"/>
  <c r="P681" i="17"/>
  <c r="H681" i="17" a="1"/>
  <c r="E681" i="17"/>
  <c r="AD680" i="17" a="1"/>
  <c r="O680" i="17" s="1" a="1"/>
  <c r="AA680" i="17"/>
  <c r="AC680" i="17" s="1"/>
  <c r="P680" i="17"/>
  <c r="H680" i="17" a="1"/>
  <c r="E680" i="17"/>
  <c r="AD679" i="17" a="1"/>
  <c r="O679" i="17" s="1" a="1"/>
  <c r="AA679" i="17"/>
  <c r="AC679" i="17" s="1"/>
  <c r="P679" i="17"/>
  <c r="H679" i="17" a="1"/>
  <c r="E679" i="17"/>
  <c r="AD678" i="17" a="1"/>
  <c r="O678" i="17" s="1" a="1"/>
  <c r="AA678" i="17"/>
  <c r="AC678" i="17" s="1"/>
  <c r="P678" i="17"/>
  <c r="H678" i="17" a="1"/>
  <c r="E678" i="17"/>
  <c r="AD677" i="17" a="1"/>
  <c r="O677" i="17" s="1" a="1"/>
  <c r="AA677" i="17"/>
  <c r="AC677" i="17" s="1"/>
  <c r="P677" i="17"/>
  <c r="H677" i="17" a="1"/>
  <c r="E677" i="17"/>
  <c r="AD676" i="17" a="1"/>
  <c r="O676" i="17" s="1" a="1"/>
  <c r="AA676" i="17"/>
  <c r="AC676" i="17" s="1"/>
  <c r="P676" i="17"/>
  <c r="H676" i="17" a="1"/>
  <c r="E676" i="17"/>
  <c r="AD675" i="17" a="1"/>
  <c r="O675" i="17" s="1" a="1"/>
  <c r="AA675" i="17"/>
  <c r="AC675" i="17" s="1"/>
  <c r="P675" i="17"/>
  <c r="H675" i="17" a="1"/>
  <c r="E675" i="17"/>
  <c r="AD674" i="17" a="1"/>
  <c r="O674" i="17" s="1" a="1"/>
  <c r="AA674" i="17"/>
  <c r="AC674" i="17" s="1"/>
  <c r="P674" i="17"/>
  <c r="H674" i="17" a="1"/>
  <c r="E674" i="17"/>
  <c r="AD673" i="17" a="1"/>
  <c r="O673" i="17" s="1" a="1"/>
  <c r="AA673" i="17"/>
  <c r="AC673" i="17" s="1"/>
  <c r="P673" i="17"/>
  <c r="H673" i="17" a="1"/>
  <c r="E673" i="17"/>
  <c r="AD672" i="17" a="1"/>
  <c r="O672" i="17" s="1" a="1"/>
  <c r="AA672" i="17"/>
  <c r="AC672" i="17" s="1"/>
  <c r="P672" i="17"/>
  <c r="H672" i="17" a="1"/>
  <c r="E672" i="17"/>
  <c r="AD671" i="17" a="1"/>
  <c r="O671" i="17" s="1" a="1"/>
  <c r="AA671" i="17"/>
  <c r="AC671" i="17" s="1"/>
  <c r="P671" i="17"/>
  <c r="H671" i="17" a="1"/>
  <c r="E671" i="17"/>
  <c r="AD670" i="17" a="1"/>
  <c r="O670" i="17" s="1" a="1"/>
  <c r="AA670" i="17"/>
  <c r="AC670" i="17" s="1"/>
  <c r="P670" i="17"/>
  <c r="H670" i="17" a="1"/>
  <c r="E670" i="17"/>
  <c r="AD669" i="17" a="1"/>
  <c r="O669" i="17" s="1" a="1"/>
  <c r="AA669" i="17"/>
  <c r="AC669" i="17" s="1"/>
  <c r="P669" i="17"/>
  <c r="H669" i="17" a="1"/>
  <c r="E669" i="17"/>
  <c r="AD668" i="17" a="1"/>
  <c r="O668" i="17" s="1" a="1"/>
  <c r="AA668" i="17"/>
  <c r="AC668" i="17" s="1"/>
  <c r="P668" i="17"/>
  <c r="H668" i="17" a="1"/>
  <c r="E668" i="17"/>
  <c r="AD667" i="17" a="1"/>
  <c r="O667" i="17" s="1" a="1"/>
  <c r="AA667" i="17"/>
  <c r="AC667" i="17" s="1"/>
  <c r="P667" i="17"/>
  <c r="H667" i="17" a="1"/>
  <c r="E667" i="17"/>
  <c r="AD666" i="17" a="1"/>
  <c r="O666" i="17" s="1" a="1"/>
  <c r="AA666" i="17"/>
  <c r="AC666" i="17" s="1"/>
  <c r="P666" i="17"/>
  <c r="H666" i="17" a="1"/>
  <c r="E666" i="17"/>
  <c r="AD665" i="17" a="1"/>
  <c r="O665" i="17" s="1" a="1"/>
  <c r="AA665" i="17"/>
  <c r="AC665" i="17" s="1"/>
  <c r="P665" i="17"/>
  <c r="H665" i="17" a="1"/>
  <c r="E665" i="17"/>
  <c r="AD664" i="17" a="1"/>
  <c r="O664" i="17" s="1" a="1"/>
  <c r="AA664" i="17"/>
  <c r="AC664" i="17" s="1"/>
  <c r="P664" i="17"/>
  <c r="H664" i="17" a="1"/>
  <c r="E664" i="17"/>
  <c r="AD663" i="17" a="1"/>
  <c r="O663" i="17" s="1" a="1"/>
  <c r="AA663" i="17"/>
  <c r="AC663" i="17" s="1"/>
  <c r="P663" i="17"/>
  <c r="H663" i="17" a="1"/>
  <c r="E663" i="17"/>
  <c r="AD662" i="17" a="1"/>
  <c r="O662" i="17" s="1" a="1"/>
  <c r="AA662" i="17"/>
  <c r="AC662" i="17" s="1"/>
  <c r="P662" i="17"/>
  <c r="H662" i="17" a="1"/>
  <c r="E662" i="17"/>
  <c r="AD661" i="17" a="1"/>
  <c r="O661" i="17" s="1" a="1"/>
  <c r="AA661" i="17"/>
  <c r="AC661" i="17" s="1"/>
  <c r="P661" i="17"/>
  <c r="H661" i="17" a="1"/>
  <c r="E661" i="17"/>
  <c r="AD660" i="17" a="1"/>
  <c r="O660" i="17" s="1" a="1"/>
  <c r="AA660" i="17"/>
  <c r="AC660" i="17" s="1"/>
  <c r="P660" i="17"/>
  <c r="H660" i="17" a="1"/>
  <c r="E660" i="17"/>
  <c r="AD659" i="17" a="1"/>
  <c r="O659" i="17" s="1" a="1"/>
  <c r="AA659" i="17"/>
  <c r="AC659" i="17" s="1"/>
  <c r="P659" i="17"/>
  <c r="H659" i="17" a="1"/>
  <c r="E659" i="17"/>
  <c r="AD658" i="17" a="1"/>
  <c r="O658" i="17" s="1" a="1"/>
  <c r="AA658" i="17"/>
  <c r="AC658" i="17" s="1"/>
  <c r="P658" i="17"/>
  <c r="H658" i="17" a="1"/>
  <c r="E658" i="17"/>
  <c r="AD657" i="17" a="1"/>
  <c r="O657" i="17" s="1" a="1"/>
  <c r="AA657" i="17"/>
  <c r="AC657" i="17" s="1"/>
  <c r="P657" i="17"/>
  <c r="H657" i="17" a="1"/>
  <c r="E657" i="17"/>
  <c r="AD656" i="17" a="1"/>
  <c r="O656" i="17" s="1" a="1"/>
  <c r="AA656" i="17"/>
  <c r="AC656" i="17" s="1"/>
  <c r="P656" i="17"/>
  <c r="H656" i="17" a="1"/>
  <c r="E656" i="17"/>
  <c r="AD655" i="17" a="1"/>
  <c r="O655" i="17" s="1" a="1"/>
  <c r="AA655" i="17"/>
  <c r="AC655" i="17" s="1"/>
  <c r="P655" i="17"/>
  <c r="H655" i="17" a="1"/>
  <c r="E655" i="17"/>
  <c r="AD654" i="17" a="1"/>
  <c r="O654" i="17" s="1" a="1"/>
  <c r="AA654" i="17"/>
  <c r="AC654" i="17" s="1"/>
  <c r="P654" i="17"/>
  <c r="H654" i="17" a="1"/>
  <c r="E654" i="17"/>
  <c r="AD653" i="17" a="1"/>
  <c r="O653" i="17" s="1" a="1"/>
  <c r="AA653" i="17"/>
  <c r="AC653" i="17" s="1"/>
  <c r="P653" i="17"/>
  <c r="H653" i="17" a="1"/>
  <c r="E653" i="17"/>
  <c r="AD652" i="17" a="1"/>
  <c r="O652" i="17" s="1" a="1"/>
  <c r="AA652" i="17"/>
  <c r="AC652" i="17" s="1"/>
  <c r="P652" i="17"/>
  <c r="H652" i="17" a="1"/>
  <c r="E652" i="17"/>
  <c r="AD651" i="17" a="1"/>
  <c r="O651" i="17" s="1" a="1"/>
  <c r="AA651" i="17"/>
  <c r="AC651" i="17" s="1"/>
  <c r="P651" i="17"/>
  <c r="H651" i="17" a="1"/>
  <c r="E651" i="17"/>
  <c r="AD650" i="17" a="1"/>
  <c r="O650" i="17" s="1" a="1"/>
  <c r="AA650" i="17"/>
  <c r="AC650" i="17" s="1"/>
  <c r="P650" i="17"/>
  <c r="H650" i="17" a="1"/>
  <c r="E650" i="17"/>
  <c r="AD649" i="17" a="1"/>
  <c r="O649" i="17" s="1" a="1"/>
  <c r="AA649" i="17"/>
  <c r="AC649" i="17" s="1"/>
  <c r="P649" i="17"/>
  <c r="H649" i="17" a="1"/>
  <c r="E649" i="17"/>
  <c r="AD648" i="17" a="1"/>
  <c r="O648" i="17" s="1" a="1"/>
  <c r="AA648" i="17"/>
  <c r="AC648" i="17" s="1"/>
  <c r="P648" i="17"/>
  <c r="H648" i="17" a="1"/>
  <c r="E648" i="17"/>
  <c r="AD647" i="17" a="1"/>
  <c r="O647" i="17" s="1" a="1"/>
  <c r="AA647" i="17"/>
  <c r="AC647" i="17" s="1"/>
  <c r="P647" i="17"/>
  <c r="H647" i="17" a="1"/>
  <c r="E647" i="17"/>
  <c r="AD646" i="17" a="1"/>
  <c r="O646" i="17" s="1" a="1"/>
  <c r="AA646" i="17"/>
  <c r="AC646" i="17" s="1"/>
  <c r="R646" i="17"/>
  <c r="P646" i="17"/>
  <c r="H646" i="17" a="1"/>
  <c r="E646" i="17"/>
  <c r="AD645" i="17" a="1"/>
  <c r="O645" i="17" s="1" a="1"/>
  <c r="AA645" i="17"/>
  <c r="AC645" i="17" s="1"/>
  <c r="P645" i="17"/>
  <c r="H645" i="17" a="1"/>
  <c r="E645" i="17"/>
  <c r="AD644" i="17" a="1"/>
  <c r="O644" i="17" s="1" a="1"/>
  <c r="AA644" i="17"/>
  <c r="AC644" i="17" s="1"/>
  <c r="P644" i="17"/>
  <c r="H644" i="17" a="1"/>
  <c r="E644" i="17"/>
  <c r="AD643" i="17" a="1"/>
  <c r="O643" i="17" s="1" a="1"/>
  <c r="AA643" i="17"/>
  <c r="AC643" i="17" s="1"/>
  <c r="P643" i="17"/>
  <c r="H643" i="17" a="1"/>
  <c r="E643" i="17"/>
  <c r="AD642" i="17" a="1"/>
  <c r="O642" i="17" s="1" a="1"/>
  <c r="AA642" i="17"/>
  <c r="AC642" i="17" s="1"/>
  <c r="P642" i="17"/>
  <c r="H642" i="17" a="1"/>
  <c r="E642" i="17"/>
  <c r="AD641" i="17" a="1"/>
  <c r="O641" i="17" s="1" a="1"/>
  <c r="AA641" i="17"/>
  <c r="AC641" i="17" s="1"/>
  <c r="P641" i="17"/>
  <c r="H641" i="17" a="1"/>
  <c r="E641" i="17"/>
  <c r="AD640" i="17" a="1"/>
  <c r="O640" i="17" s="1" a="1"/>
  <c r="AA640" i="17"/>
  <c r="AC640" i="17" s="1"/>
  <c r="P640" i="17"/>
  <c r="H640" i="17" a="1"/>
  <c r="E640" i="17"/>
  <c r="AD639" i="17" a="1"/>
  <c r="O639" i="17" s="1" a="1"/>
  <c r="AA639" i="17"/>
  <c r="AC639" i="17" s="1"/>
  <c r="P639" i="17"/>
  <c r="H639" i="17" a="1"/>
  <c r="E639" i="17"/>
  <c r="AD638" i="17" a="1"/>
  <c r="O638" i="17" s="1" a="1"/>
  <c r="AA638" i="17"/>
  <c r="AC638" i="17" s="1"/>
  <c r="P638" i="17"/>
  <c r="H638" i="17" a="1"/>
  <c r="E638" i="17"/>
  <c r="AD637" i="17" a="1"/>
  <c r="O637" i="17" s="1" a="1"/>
  <c r="AA637" i="17"/>
  <c r="AC637" i="17" s="1"/>
  <c r="P637" i="17"/>
  <c r="H637" i="17" a="1"/>
  <c r="E637" i="17"/>
  <c r="AD636" i="17" a="1"/>
  <c r="O636" i="17" s="1" a="1"/>
  <c r="AA636" i="17"/>
  <c r="AC636" i="17" s="1"/>
  <c r="P636" i="17"/>
  <c r="H636" i="17" a="1"/>
  <c r="E636" i="17"/>
  <c r="AD635" i="17" a="1"/>
  <c r="O635" i="17" s="1" a="1"/>
  <c r="AA635" i="17"/>
  <c r="AC635" i="17" s="1"/>
  <c r="P635" i="17"/>
  <c r="H635" i="17" a="1"/>
  <c r="E635" i="17"/>
  <c r="AD634" i="17" a="1"/>
  <c r="O634" i="17" s="1" a="1"/>
  <c r="AA634" i="17"/>
  <c r="AC634" i="17" s="1"/>
  <c r="P634" i="17"/>
  <c r="H634" i="17" a="1"/>
  <c r="E634" i="17"/>
  <c r="AD633" i="17" a="1"/>
  <c r="O633" i="17" s="1" a="1"/>
  <c r="AA633" i="17"/>
  <c r="AC633" i="17" s="1"/>
  <c r="P633" i="17"/>
  <c r="H633" i="17" a="1"/>
  <c r="E633" i="17"/>
  <c r="AD632" i="17" a="1"/>
  <c r="O632" i="17" s="1" a="1"/>
  <c r="AA632" i="17"/>
  <c r="AC632" i="17" s="1"/>
  <c r="P632" i="17"/>
  <c r="H632" i="17" a="1"/>
  <c r="E632" i="17"/>
  <c r="AD631" i="17" a="1"/>
  <c r="O631" i="17" s="1" a="1"/>
  <c r="AA631" i="17"/>
  <c r="AC631" i="17" s="1"/>
  <c r="P631" i="17"/>
  <c r="H631" i="17" a="1"/>
  <c r="E631" i="17"/>
  <c r="AD630" i="17" a="1"/>
  <c r="O630" i="17" s="1" a="1"/>
  <c r="Z630" i="17"/>
  <c r="AA630" i="17" s="1"/>
  <c r="AC630" i="17" s="1"/>
  <c r="P630" i="17"/>
  <c r="H630" i="17" a="1"/>
  <c r="E630" i="17"/>
  <c r="AD629" i="17" a="1"/>
  <c r="O629" i="17" s="1" a="1"/>
  <c r="Z629" i="17"/>
  <c r="AA629" i="17" s="1"/>
  <c r="AC629" i="17" s="1"/>
  <c r="P629" i="17"/>
  <c r="H629" i="17" a="1"/>
  <c r="E629" i="17"/>
  <c r="AD628" i="17" a="1"/>
  <c r="O628" i="17" s="1" a="1"/>
  <c r="AA628" i="17"/>
  <c r="AC628" i="17" s="1"/>
  <c r="R628" i="17"/>
  <c r="P628" i="17"/>
  <c r="H628" i="17" a="1"/>
  <c r="E628" i="17"/>
  <c r="AD627" i="17" a="1"/>
  <c r="O627" i="17" s="1" a="1"/>
  <c r="R627" i="17"/>
  <c r="Q627" i="17"/>
  <c r="AA627" i="17" s="1"/>
  <c r="AC627" i="17" s="1"/>
  <c r="P627" i="17"/>
  <c r="H627" i="17" a="1"/>
  <c r="E627" i="17"/>
  <c r="AD626" i="17" a="1"/>
  <c r="O626" i="17" s="1" a="1"/>
  <c r="AA626" i="17"/>
  <c r="AC626" i="17" s="1"/>
  <c r="R626" i="17"/>
  <c r="P626" i="17"/>
  <c r="H626" i="17" a="1"/>
  <c r="E626" i="17"/>
  <c r="AD625" i="17" a="1"/>
  <c r="O625" i="17" s="1" a="1"/>
  <c r="AA625" i="17"/>
  <c r="AC625" i="17" s="1"/>
  <c r="P625" i="17"/>
  <c r="H625" i="17" a="1"/>
  <c r="E625" i="17"/>
  <c r="AE624" i="17"/>
  <c r="AD624" i="17" a="1"/>
  <c r="O624" i="17" s="1" a="1"/>
  <c r="AA624" i="17"/>
  <c r="AC624" i="17" s="1"/>
  <c r="P624" i="17"/>
  <c r="J624" i="17"/>
  <c r="H624" i="17" a="1"/>
  <c r="E624" i="17"/>
  <c r="AD623" i="17" a="1"/>
  <c r="O623" i="17" s="1" a="1"/>
  <c r="AA623" i="17"/>
  <c r="AC623" i="17" s="1"/>
  <c r="P623" i="17"/>
  <c r="H623" i="17" a="1"/>
  <c r="E623" i="17"/>
  <c r="AD622" i="17" a="1"/>
  <c r="O622" i="17" s="1" a="1"/>
  <c r="Z622" i="17"/>
  <c r="AA622" i="17" s="1"/>
  <c r="AC622" i="17" s="1"/>
  <c r="P622" i="17"/>
  <c r="H622" i="17" a="1"/>
  <c r="E622" i="17"/>
  <c r="AD621" i="17" a="1"/>
  <c r="O621" i="17" s="1" a="1"/>
  <c r="AA621" i="17"/>
  <c r="AC621" i="17" s="1"/>
  <c r="R621" i="17"/>
  <c r="P621" i="17"/>
  <c r="H621" i="17" a="1"/>
  <c r="E621" i="17"/>
  <c r="AD620" i="17" a="1"/>
  <c r="O620" i="17" s="1" a="1"/>
  <c r="AA620" i="17"/>
  <c r="AC620" i="17" s="1"/>
  <c r="P620" i="17"/>
  <c r="H620" i="17" a="1"/>
  <c r="E620" i="17"/>
  <c r="AD619" i="17" a="1"/>
  <c r="O619" i="17" s="1" a="1"/>
  <c r="AA619" i="17"/>
  <c r="AC619" i="17" s="1"/>
  <c r="P619" i="17"/>
  <c r="H619" i="17" a="1"/>
  <c r="E619" i="17"/>
  <c r="AD618" i="17" a="1"/>
  <c r="O618" i="17" s="1" a="1"/>
  <c r="AA618" i="17"/>
  <c r="AC618" i="17" s="1"/>
  <c r="R618" i="17"/>
  <c r="P618" i="17"/>
  <c r="H618" i="17" a="1"/>
  <c r="E618" i="17"/>
  <c r="AD617" i="17" a="1"/>
  <c r="O617" i="17" s="1" a="1"/>
  <c r="AA617" i="17"/>
  <c r="AC617" i="17" s="1"/>
  <c r="P617" i="17"/>
  <c r="H617" i="17" a="1"/>
  <c r="E617" i="17"/>
  <c r="AD616" i="17" a="1"/>
  <c r="O616" i="17" s="1" a="1"/>
  <c r="AA616" i="17"/>
  <c r="AC616" i="17" s="1"/>
  <c r="P616" i="17"/>
  <c r="H616" i="17" a="1"/>
  <c r="E616" i="17"/>
  <c r="AD615" i="17" a="1"/>
  <c r="O615" i="17" s="1" a="1"/>
  <c r="AA615" i="17"/>
  <c r="AC615" i="17" s="1"/>
  <c r="P615" i="17"/>
  <c r="H615" i="17" a="1"/>
  <c r="E615" i="17"/>
  <c r="AD614" i="17" a="1"/>
  <c r="O614" i="17" s="1" a="1"/>
  <c r="AA614" i="17"/>
  <c r="AC614" i="17" s="1"/>
  <c r="P614" i="17"/>
  <c r="H614" i="17" a="1"/>
  <c r="E614" i="17"/>
  <c r="AD613" i="17" a="1"/>
  <c r="O613" i="17" s="1" a="1"/>
  <c r="AA613" i="17"/>
  <c r="AC613" i="17" s="1"/>
  <c r="P613" i="17"/>
  <c r="H613" i="17" a="1"/>
  <c r="E613" i="17"/>
  <c r="AD612" i="17" a="1"/>
  <c r="O612" i="17" s="1" a="1"/>
  <c r="AA612" i="17"/>
  <c r="AC612" i="17" s="1"/>
  <c r="P612" i="17"/>
  <c r="H612" i="17" a="1"/>
  <c r="E612" i="17"/>
  <c r="AD611" i="17" a="1"/>
  <c r="O611" i="17" s="1" a="1"/>
  <c r="AA611" i="17"/>
  <c r="AC611" i="17" s="1"/>
  <c r="P611" i="17"/>
  <c r="H611" i="17" a="1"/>
  <c r="E611" i="17"/>
  <c r="AD610" i="17" a="1"/>
  <c r="O610" i="17" s="1" a="1"/>
  <c r="AA610" i="17"/>
  <c r="AC610" i="17" s="1"/>
  <c r="P610" i="17"/>
  <c r="H610" i="17" a="1"/>
  <c r="E610" i="17"/>
  <c r="AD609" i="17" a="1"/>
  <c r="O609" i="17" s="1" a="1"/>
  <c r="AA609" i="17"/>
  <c r="AC609" i="17" s="1"/>
  <c r="P609" i="17"/>
  <c r="H609" i="17" a="1"/>
  <c r="E609" i="17"/>
  <c r="AD608" i="17" a="1"/>
  <c r="O608" i="17" s="1" a="1"/>
  <c r="AA608" i="17"/>
  <c r="AC608" i="17" s="1"/>
  <c r="P608" i="17"/>
  <c r="H608" i="17" a="1"/>
  <c r="E608" i="17"/>
  <c r="AD607" i="17" a="1"/>
  <c r="O607" i="17" s="1" a="1"/>
  <c r="AA607" i="17"/>
  <c r="AC607" i="17" s="1"/>
  <c r="P607" i="17"/>
  <c r="H607" i="17" a="1"/>
  <c r="E607" i="17"/>
  <c r="AD606" i="17" a="1"/>
  <c r="O606" i="17" s="1" a="1"/>
  <c r="AA606" i="17"/>
  <c r="AC606" i="17" s="1"/>
  <c r="P606" i="17"/>
  <c r="H606" i="17" a="1"/>
  <c r="E606" i="17"/>
  <c r="AD605" i="17" a="1"/>
  <c r="O605" i="17" s="1" a="1"/>
  <c r="AA605" i="17"/>
  <c r="AC605" i="17" s="1"/>
  <c r="P605" i="17"/>
  <c r="H605" i="17" a="1"/>
  <c r="E605" i="17"/>
  <c r="AD604" i="17" a="1"/>
  <c r="O604" i="17" s="1" a="1"/>
  <c r="AA604" i="17"/>
  <c r="AC604" i="17" s="1"/>
  <c r="P604" i="17"/>
  <c r="H604" i="17" a="1"/>
  <c r="E604" i="17"/>
  <c r="AD603" i="17" a="1"/>
  <c r="O603" i="17" s="1" a="1"/>
  <c r="AA603" i="17"/>
  <c r="AC603" i="17" s="1"/>
  <c r="P603" i="17"/>
  <c r="H603" i="17" a="1"/>
  <c r="E603" i="17"/>
  <c r="AD602" i="17" a="1"/>
  <c r="O602" i="17" s="1" a="1"/>
  <c r="AA602" i="17"/>
  <c r="AC602" i="17" s="1"/>
  <c r="P602" i="17"/>
  <c r="H602" i="17" a="1"/>
  <c r="E602" i="17"/>
  <c r="AD601" i="17" a="1"/>
  <c r="O601" i="17" s="1" a="1"/>
  <c r="AA601" i="17"/>
  <c r="AC601" i="17" s="1"/>
  <c r="P601" i="17"/>
  <c r="H601" i="17" a="1"/>
  <c r="E601" i="17"/>
  <c r="AD600" i="17" a="1"/>
  <c r="O600" i="17" s="1" a="1"/>
  <c r="AA600" i="17"/>
  <c r="AC600" i="17" s="1"/>
  <c r="P600" i="17"/>
  <c r="H600" i="17" a="1"/>
  <c r="E600" i="17"/>
  <c r="AD599" i="17" a="1"/>
  <c r="O599" i="17" s="1" a="1"/>
  <c r="AA599" i="17"/>
  <c r="AC599" i="17" s="1"/>
  <c r="P599" i="17"/>
  <c r="H599" i="17" a="1"/>
  <c r="E599" i="17"/>
  <c r="AD598" i="17" a="1"/>
  <c r="O598" i="17" s="1" a="1"/>
  <c r="AA598" i="17"/>
  <c r="AC598" i="17" s="1"/>
  <c r="P598" i="17"/>
  <c r="H598" i="17" a="1"/>
  <c r="E598" i="17"/>
  <c r="AD597" i="17" a="1"/>
  <c r="O597" i="17" s="1" a="1"/>
  <c r="AA597" i="17"/>
  <c r="AC597" i="17" s="1"/>
  <c r="P597" i="17"/>
  <c r="H597" i="17" a="1"/>
  <c r="E597" i="17"/>
  <c r="AD596" i="17" a="1"/>
  <c r="O596" i="17" s="1" a="1"/>
  <c r="AA596" i="17"/>
  <c r="AC596" i="17" s="1"/>
  <c r="P596" i="17"/>
  <c r="H596" i="17" a="1"/>
  <c r="E596" i="17"/>
  <c r="AD595" i="17" a="1"/>
  <c r="O595" i="17" s="1" a="1"/>
  <c r="AA595" i="17"/>
  <c r="AC595" i="17" s="1"/>
  <c r="P595" i="17"/>
  <c r="H595" i="17" a="1"/>
  <c r="E595" i="17"/>
  <c r="AD594" i="17" a="1"/>
  <c r="O594" i="17" s="1" a="1"/>
  <c r="AA594" i="17"/>
  <c r="AC594" i="17" s="1"/>
  <c r="P594" i="17"/>
  <c r="H594" i="17" a="1"/>
  <c r="E594" i="17"/>
  <c r="AD593" i="17" a="1"/>
  <c r="O593" i="17" s="1" a="1"/>
  <c r="AA593" i="17"/>
  <c r="AC593" i="17" s="1"/>
  <c r="P593" i="17"/>
  <c r="H593" i="17" a="1"/>
  <c r="E593" i="17"/>
  <c r="AD592" i="17" a="1"/>
  <c r="O592" i="17" s="1" a="1"/>
  <c r="AA592" i="17"/>
  <c r="AC592" i="17" s="1"/>
  <c r="P592" i="17"/>
  <c r="H592" i="17" a="1"/>
  <c r="E592" i="17"/>
  <c r="AD591" i="17" a="1"/>
  <c r="O591" i="17" s="1" a="1"/>
  <c r="AA591" i="17"/>
  <c r="AC591" i="17" s="1"/>
  <c r="P591" i="17"/>
  <c r="H591" i="17" a="1"/>
  <c r="E591" i="17"/>
  <c r="AD590" i="17" a="1"/>
  <c r="O590" i="17" s="1" a="1"/>
  <c r="AA590" i="17"/>
  <c r="AC590" i="17" s="1"/>
  <c r="P590" i="17"/>
  <c r="H590" i="17" a="1"/>
  <c r="E590" i="17"/>
  <c r="AD589" i="17" a="1"/>
  <c r="O589" i="17" s="1" a="1"/>
  <c r="AA589" i="17"/>
  <c r="AC589" i="17" s="1"/>
  <c r="P589" i="17"/>
  <c r="H589" i="17" a="1"/>
  <c r="E589" i="17"/>
  <c r="AD588" i="17" a="1"/>
  <c r="O588" i="17" s="1" a="1"/>
  <c r="AA588" i="17"/>
  <c r="AC588" i="17" s="1"/>
  <c r="P588" i="17"/>
  <c r="H588" i="17" a="1"/>
  <c r="E588" i="17"/>
  <c r="AD587" i="17" a="1"/>
  <c r="O587" i="17" s="1" a="1"/>
  <c r="AA587" i="17"/>
  <c r="AC587" i="17" s="1"/>
  <c r="P587" i="17"/>
  <c r="H587" i="17" a="1"/>
  <c r="E587" i="17"/>
  <c r="AD586" i="17" a="1"/>
  <c r="O586" i="17" s="1" a="1"/>
  <c r="AA586" i="17"/>
  <c r="AC586" i="17" s="1"/>
  <c r="P586" i="17"/>
  <c r="H586" i="17" a="1"/>
  <c r="E586" i="17"/>
  <c r="AD585" i="17" a="1"/>
  <c r="O585" i="17" s="1" a="1"/>
  <c r="AA585" i="17"/>
  <c r="AC585" i="17" s="1"/>
  <c r="P585" i="17"/>
  <c r="H585" i="17" a="1"/>
  <c r="E585" i="17"/>
  <c r="AD584" i="17" a="1"/>
  <c r="O584" i="17" s="1" a="1"/>
  <c r="AA584" i="17"/>
  <c r="AC584" i="17" s="1"/>
  <c r="P584" i="17"/>
  <c r="H584" i="17" a="1"/>
  <c r="E584" i="17"/>
  <c r="AD583" i="17" a="1"/>
  <c r="O583" i="17" s="1" a="1"/>
  <c r="AA583" i="17"/>
  <c r="AC583" i="17" s="1"/>
  <c r="P583" i="17"/>
  <c r="H583" i="17" a="1"/>
  <c r="E583" i="17"/>
  <c r="AD582" i="17" a="1"/>
  <c r="O582" i="17" s="1" a="1"/>
  <c r="AA582" i="17"/>
  <c r="AC582" i="17" s="1"/>
  <c r="P582" i="17"/>
  <c r="H582" i="17" a="1"/>
  <c r="E582" i="17"/>
  <c r="AD581" i="17" a="1"/>
  <c r="O581" i="17" s="1" a="1"/>
  <c r="AA581" i="17"/>
  <c r="AC581" i="17" s="1"/>
  <c r="P581" i="17"/>
  <c r="H581" i="17" a="1"/>
  <c r="E581" i="17"/>
  <c r="AD580" i="17" a="1"/>
  <c r="O580" i="17" s="1" a="1"/>
  <c r="AA580" i="17"/>
  <c r="AC580" i="17" s="1"/>
  <c r="P580" i="17"/>
  <c r="H580" i="17" a="1"/>
  <c r="E580" i="17"/>
  <c r="AD579" i="17" a="1"/>
  <c r="O579" i="17" s="1" a="1"/>
  <c r="AA579" i="17"/>
  <c r="AC579" i="17" s="1"/>
  <c r="P579" i="17"/>
  <c r="H579" i="17" a="1"/>
  <c r="E579" i="17"/>
  <c r="AD578" i="17" a="1"/>
  <c r="O578" i="17" s="1" a="1"/>
  <c r="AA578" i="17"/>
  <c r="AC578" i="17" s="1"/>
  <c r="P578" i="17"/>
  <c r="H578" i="17" a="1"/>
  <c r="E578" i="17"/>
  <c r="AD577" i="17" a="1"/>
  <c r="O577" i="17" s="1" a="1"/>
  <c r="AA577" i="17"/>
  <c r="AC577" i="17" s="1"/>
  <c r="P577" i="17"/>
  <c r="H577" i="17" a="1"/>
  <c r="E577" i="17"/>
  <c r="AD576" i="17" a="1"/>
  <c r="O576" i="17" s="1" a="1"/>
  <c r="AA576" i="17"/>
  <c r="AC576" i="17" s="1"/>
  <c r="P576" i="17"/>
  <c r="H576" i="17" a="1"/>
  <c r="E576" i="17"/>
  <c r="AD575" i="17" a="1"/>
  <c r="O575" i="17" s="1" a="1"/>
  <c r="AA575" i="17"/>
  <c r="AC575" i="17" s="1"/>
  <c r="P575" i="17"/>
  <c r="H575" i="17" a="1"/>
  <c r="E575" i="17"/>
  <c r="AD574" i="17" a="1"/>
  <c r="O574" i="17" s="1" a="1"/>
  <c r="AA574" i="17"/>
  <c r="AC574" i="17" s="1"/>
  <c r="P574" i="17"/>
  <c r="H574" i="17" a="1"/>
  <c r="E574" i="17"/>
  <c r="AD573" i="17" a="1"/>
  <c r="O573" i="17" s="1" a="1"/>
  <c r="AA573" i="17"/>
  <c r="AC573" i="17" s="1"/>
  <c r="P573" i="17"/>
  <c r="H573" i="17" a="1"/>
  <c r="E573" i="17"/>
  <c r="AD572" i="17" a="1"/>
  <c r="O572" i="17" s="1" a="1"/>
  <c r="AA572" i="17"/>
  <c r="AC572" i="17" s="1"/>
  <c r="P572" i="17"/>
  <c r="H572" i="17" a="1"/>
  <c r="E572" i="17"/>
  <c r="AD571" i="17" a="1"/>
  <c r="O571" i="17" s="1" a="1"/>
  <c r="AA571" i="17"/>
  <c r="AC571" i="17" s="1"/>
  <c r="P571" i="17"/>
  <c r="J571" i="17"/>
  <c r="H571" i="17" a="1"/>
  <c r="E571" i="17"/>
  <c r="AD570" i="17" a="1"/>
  <c r="O570" i="17" s="1" a="1"/>
  <c r="AA570" i="17"/>
  <c r="AC570" i="17" s="1"/>
  <c r="P570" i="17"/>
  <c r="H570" i="17" a="1"/>
  <c r="E570" i="17"/>
  <c r="AD569" i="17" a="1"/>
  <c r="O569" i="17" s="1" a="1"/>
  <c r="AA569" i="17"/>
  <c r="AC569" i="17" s="1"/>
  <c r="P569" i="17"/>
  <c r="H569" i="17" a="1"/>
  <c r="E569" i="17"/>
  <c r="AD568" i="17" a="1"/>
  <c r="O568" i="17" s="1" a="1"/>
  <c r="AA568" i="17"/>
  <c r="AC568" i="17" s="1"/>
  <c r="P568" i="17"/>
  <c r="H568" i="17" a="1"/>
  <c r="E568" i="17"/>
  <c r="AD567" i="17" a="1"/>
  <c r="O567" i="17" s="1" a="1"/>
  <c r="AA567" i="17"/>
  <c r="AC567" i="17" s="1"/>
  <c r="P567" i="17"/>
  <c r="H567" i="17" a="1"/>
  <c r="E567" i="17"/>
  <c r="AD566" i="17" a="1"/>
  <c r="O566" i="17" s="1" a="1"/>
  <c r="AA566" i="17"/>
  <c r="AC566" i="17" s="1"/>
  <c r="P566" i="17"/>
  <c r="H566" i="17" a="1"/>
  <c r="E566" i="17"/>
  <c r="AD565" i="17" a="1"/>
  <c r="O565" i="17" s="1" a="1"/>
  <c r="AA565" i="17"/>
  <c r="AC565" i="17" s="1"/>
  <c r="P565" i="17"/>
  <c r="H565" i="17" a="1"/>
  <c r="E565" i="17"/>
  <c r="AD564" i="17" a="1"/>
  <c r="O564" i="17" s="1" a="1"/>
  <c r="AA564" i="17"/>
  <c r="AC564" i="17" s="1"/>
  <c r="P564" i="17"/>
  <c r="H564" i="17" a="1"/>
  <c r="E564" i="17"/>
  <c r="AD563" i="17" a="1"/>
  <c r="O563" i="17" s="1" a="1"/>
  <c r="AA563" i="17"/>
  <c r="AC563" i="17" s="1"/>
  <c r="P563" i="17"/>
  <c r="H563" i="17" a="1"/>
  <c r="E563" i="17"/>
  <c r="AD562" i="17" a="1"/>
  <c r="O562" i="17" s="1" a="1"/>
  <c r="AA562" i="17"/>
  <c r="AC562" i="17" s="1"/>
  <c r="P562" i="17"/>
  <c r="H562" i="17" a="1"/>
  <c r="E562" i="17"/>
  <c r="AD561" i="17" a="1"/>
  <c r="O561" i="17" s="1" a="1"/>
  <c r="AA561" i="17"/>
  <c r="AC561" i="17" s="1"/>
  <c r="P561" i="17"/>
  <c r="H561" i="17" a="1"/>
  <c r="E561" i="17"/>
  <c r="AD560" i="17" a="1"/>
  <c r="O560" i="17" s="1" a="1"/>
  <c r="Z560" i="17"/>
  <c r="AA560" i="17" s="1"/>
  <c r="AC560" i="17" s="1"/>
  <c r="P560" i="17"/>
  <c r="H560" i="17" a="1"/>
  <c r="E560" i="17"/>
  <c r="AD559" i="17" a="1"/>
  <c r="O559" i="17" s="1" a="1"/>
  <c r="Z559" i="17"/>
  <c r="AA559" i="17" s="1"/>
  <c r="AC559" i="17" s="1"/>
  <c r="P559" i="17"/>
  <c r="H559" i="17" a="1"/>
  <c r="E559" i="17"/>
  <c r="AD558" i="17" a="1"/>
  <c r="O558" i="17" s="1" a="1"/>
  <c r="Z558" i="17"/>
  <c r="AA558" i="17" s="1"/>
  <c r="AC558" i="17" s="1"/>
  <c r="P558" i="17"/>
  <c r="H558" i="17" a="1"/>
  <c r="E558" i="17"/>
  <c r="AD557" i="17" a="1"/>
  <c r="O557" i="17" s="1" a="1"/>
  <c r="AA557" i="17"/>
  <c r="AC557" i="17" s="1"/>
  <c r="P557" i="17"/>
  <c r="H557" i="17" a="1"/>
  <c r="E557" i="17"/>
  <c r="AE556" i="17"/>
  <c r="AD556" i="17" a="1"/>
  <c r="O556" i="17" s="1" a="1"/>
  <c r="Z556" i="17"/>
  <c r="Q556" i="17"/>
  <c r="P556" i="17"/>
  <c r="J556" i="17"/>
  <c r="H556" i="17" a="1"/>
  <c r="E556" i="17"/>
  <c r="AD555" i="17" a="1"/>
  <c r="O555" i="17" s="1" a="1"/>
  <c r="AA555" i="17"/>
  <c r="AC555" i="17" s="1"/>
  <c r="R555" i="17"/>
  <c r="P555" i="17"/>
  <c r="H555" i="17" a="1"/>
  <c r="E555" i="17"/>
  <c r="AD554" i="17" a="1"/>
  <c r="O554" i="17" s="1" a="1"/>
  <c r="Z554" i="17"/>
  <c r="AA554" i="17" s="1"/>
  <c r="AC554" i="17" s="1"/>
  <c r="R554" i="17"/>
  <c r="P554" i="17"/>
  <c r="H554" i="17" a="1"/>
  <c r="E554" i="17"/>
  <c r="AD553" i="17" a="1"/>
  <c r="O553" i="17" s="1" a="1"/>
  <c r="AA553" i="17"/>
  <c r="AC553" i="17" s="1"/>
  <c r="R553" i="17"/>
  <c r="P553" i="17"/>
  <c r="H553" i="17" a="1"/>
  <c r="E553" i="17"/>
  <c r="AD552" i="17" a="1"/>
  <c r="O552" i="17" s="1" a="1"/>
  <c r="R552" i="17"/>
  <c r="Q552" i="17"/>
  <c r="AA552" i="17" s="1"/>
  <c r="AC552" i="17" s="1"/>
  <c r="P552" i="17"/>
  <c r="H552" i="17" a="1"/>
  <c r="E552" i="17"/>
  <c r="AD551" i="17" a="1"/>
  <c r="O551" i="17" s="1" a="1"/>
  <c r="AA551" i="17"/>
  <c r="AC551" i="17" s="1"/>
  <c r="P551" i="17"/>
  <c r="H551" i="17" a="1"/>
  <c r="E551" i="17"/>
  <c r="AD550" i="17" a="1"/>
  <c r="O550" i="17" s="1" a="1"/>
  <c r="AA550" i="17"/>
  <c r="AC550" i="17" s="1"/>
  <c r="R550" i="17"/>
  <c r="P550" i="17"/>
  <c r="H550" i="17" a="1"/>
  <c r="E550" i="17"/>
  <c r="AD549" i="17" a="1"/>
  <c r="O549" i="17" s="1" a="1"/>
  <c r="Z549" i="17"/>
  <c r="AA549" i="17" s="1"/>
  <c r="AC549" i="17" s="1"/>
  <c r="P549" i="17"/>
  <c r="H549" i="17" a="1"/>
  <c r="E549" i="17"/>
  <c r="AD548" i="17" a="1"/>
  <c r="O548" i="17" s="1" a="1"/>
  <c r="Z548" i="17"/>
  <c r="AA548" i="17" s="1"/>
  <c r="AC548" i="17" s="1"/>
  <c r="P548" i="17"/>
  <c r="H548" i="17" a="1"/>
  <c r="E548" i="17"/>
  <c r="AE547" i="17"/>
  <c r="AD547" i="17" a="1"/>
  <c r="O547" i="17" s="1" a="1"/>
  <c r="AA547" i="17"/>
  <c r="AC547" i="17" s="1"/>
  <c r="P547" i="17"/>
  <c r="J547" i="17"/>
  <c r="H547" i="17" a="1"/>
  <c r="E547" i="17"/>
  <c r="AD546" i="17" a="1"/>
  <c r="O546" i="17" s="1" a="1"/>
  <c r="AA546" i="17"/>
  <c r="AC546" i="17" s="1"/>
  <c r="P546" i="17"/>
  <c r="H546" i="17" a="1"/>
  <c r="E546" i="17"/>
  <c r="AD545" i="17" a="1"/>
  <c r="O545" i="17" s="1" a="1"/>
  <c r="Z545" i="17"/>
  <c r="AA545" i="17" s="1"/>
  <c r="AC545" i="17" s="1"/>
  <c r="P545" i="17"/>
  <c r="H545" i="17" a="1"/>
  <c r="E545" i="17"/>
  <c r="AD544" i="17" a="1"/>
  <c r="O544" i="17" s="1" a="1"/>
  <c r="AA544" i="17"/>
  <c r="AC544" i="17" s="1"/>
  <c r="R544" i="17"/>
  <c r="P544" i="17"/>
  <c r="H544" i="17" a="1"/>
  <c r="E544" i="17"/>
  <c r="AD543" i="17" a="1"/>
  <c r="O543" i="17" s="1" a="1"/>
  <c r="AA543" i="17"/>
  <c r="AC543" i="17" s="1"/>
  <c r="R543" i="17"/>
  <c r="P543" i="17"/>
  <c r="H543" i="17" a="1"/>
  <c r="E543" i="17"/>
  <c r="AD542" i="17" a="1"/>
  <c r="O542" i="17" s="1" a="1"/>
  <c r="AA542" i="17"/>
  <c r="AC542" i="17" s="1"/>
  <c r="R542" i="17"/>
  <c r="P542" i="17"/>
  <c r="H542" i="17" a="1"/>
  <c r="E542" i="17"/>
  <c r="AD541" i="17" a="1"/>
  <c r="O541" i="17" s="1" a="1"/>
  <c r="AA541" i="17"/>
  <c r="AC541" i="17" s="1"/>
  <c r="P541" i="17"/>
  <c r="H541" i="17" a="1"/>
  <c r="E541" i="17"/>
  <c r="AE540" i="17"/>
  <c r="AD540" i="17" a="1"/>
  <c r="O540" i="17" s="1" a="1"/>
  <c r="AA540" i="17"/>
  <c r="AC540" i="17" s="1"/>
  <c r="P540" i="17"/>
  <c r="J540" i="17"/>
  <c r="H540" i="17" a="1"/>
  <c r="E540" i="17"/>
  <c r="AE539" i="17"/>
  <c r="AD539" i="17" a="1"/>
  <c r="O539" i="17" s="1" a="1"/>
  <c r="AA539" i="17"/>
  <c r="AC539" i="17" s="1"/>
  <c r="P539" i="17"/>
  <c r="J539" i="17"/>
  <c r="H539" i="17" a="1"/>
  <c r="E539" i="17"/>
  <c r="AD538" i="17" a="1"/>
  <c r="O538" i="17" s="1" a="1"/>
  <c r="Z538" i="17"/>
  <c r="Q538" i="17"/>
  <c r="P538" i="17"/>
  <c r="H538" i="17" a="1"/>
  <c r="E538" i="17"/>
  <c r="AE537" i="17"/>
  <c r="AD537" i="17" a="1"/>
  <c r="O537" i="17" s="1" a="1"/>
  <c r="Q537" i="17"/>
  <c r="AA537" i="17" s="1"/>
  <c r="AC537" i="17" s="1"/>
  <c r="P537" i="17"/>
  <c r="J537" i="17"/>
  <c r="H537" i="17" a="1"/>
  <c r="E537" i="17"/>
  <c r="AE536" i="17"/>
  <c r="AD536" i="17" a="1"/>
  <c r="O536" i="17" s="1" a="1"/>
  <c r="Z536" i="17"/>
  <c r="Q536" i="17"/>
  <c r="P536" i="17"/>
  <c r="J536" i="17"/>
  <c r="H536" i="17" a="1"/>
  <c r="E536" i="17"/>
  <c r="AD535" i="17" a="1"/>
  <c r="O535" i="17" s="1" a="1"/>
  <c r="Z535" i="17"/>
  <c r="AA535" i="17" s="1"/>
  <c r="AC535" i="17" s="1"/>
  <c r="P535" i="17"/>
  <c r="H535" i="17" a="1"/>
  <c r="E535" i="17"/>
  <c r="AD534" i="17" a="1"/>
  <c r="O534" i="17" s="1" a="1"/>
  <c r="Z534" i="17"/>
  <c r="AA534" i="17" s="1"/>
  <c r="AC534" i="17" s="1"/>
  <c r="P534" i="17"/>
  <c r="H534" i="17" a="1"/>
  <c r="E534" i="17"/>
  <c r="AD533" i="17" a="1"/>
  <c r="O533" i="17" s="1" a="1"/>
  <c r="Z533" i="17"/>
  <c r="AA533" i="17" s="1"/>
  <c r="AC533" i="17" s="1"/>
  <c r="P533" i="17"/>
  <c r="H533" i="17" a="1"/>
  <c r="E533" i="17"/>
  <c r="AE532" i="17"/>
  <c r="AD532" i="17" a="1"/>
  <c r="O532" i="17" s="1" a="1"/>
  <c r="Z532" i="17"/>
  <c r="R532" i="17"/>
  <c r="Q532" i="17"/>
  <c r="P532" i="17"/>
  <c r="H532" i="17" a="1"/>
  <c r="E532" i="17"/>
  <c r="AD531" i="17" a="1"/>
  <c r="O531" i="17" s="1" a="1"/>
  <c r="Z531" i="17"/>
  <c r="AA531" i="17" s="1"/>
  <c r="AC531" i="17" s="1"/>
  <c r="P531" i="17"/>
  <c r="H531" i="17" a="1"/>
  <c r="E531" i="17"/>
  <c r="AD530" i="17" a="1"/>
  <c r="O530" i="17" s="1" a="1"/>
  <c r="Z530" i="17"/>
  <c r="Q530" i="17"/>
  <c r="P530" i="17"/>
  <c r="H530" i="17" a="1"/>
  <c r="E530" i="17"/>
  <c r="AD529" i="17" a="1"/>
  <c r="O529" i="17" s="1" a="1"/>
  <c r="Z529" i="17"/>
  <c r="AA529" i="17" s="1"/>
  <c r="AC529" i="17" s="1"/>
  <c r="R529" i="17"/>
  <c r="P529" i="17"/>
  <c r="H529" i="17" a="1"/>
  <c r="E529" i="17"/>
  <c r="AE528" i="17"/>
  <c r="AD528" i="17" a="1"/>
  <c r="O528" i="17" s="1" a="1"/>
  <c r="AA528" i="17"/>
  <c r="AC528" i="17" s="1"/>
  <c r="R528" i="17"/>
  <c r="P528" i="17"/>
  <c r="J528" i="17"/>
  <c r="H528" i="17" a="1"/>
  <c r="E528" i="17"/>
  <c r="AD527" i="17" a="1"/>
  <c r="O527" i="17" s="1" a="1"/>
  <c r="Z527" i="17"/>
  <c r="AA527" i="17" s="1"/>
  <c r="AC527" i="17" s="1"/>
  <c r="P527" i="17"/>
  <c r="H527" i="17" a="1"/>
  <c r="E527" i="17"/>
  <c r="AD526" i="17" a="1"/>
  <c r="O526" i="17" s="1" a="1"/>
  <c r="Z526" i="17"/>
  <c r="AA526" i="17" s="1"/>
  <c r="AC526" i="17" s="1"/>
  <c r="R526" i="17"/>
  <c r="P526" i="17"/>
  <c r="H526" i="17" a="1"/>
  <c r="E526" i="17"/>
  <c r="AD525" i="17" a="1"/>
  <c r="O525" i="17" s="1" a="1"/>
  <c r="Z525" i="17"/>
  <c r="Q525" i="17"/>
  <c r="P525" i="17"/>
  <c r="H525" i="17" a="1"/>
  <c r="E525" i="17"/>
  <c r="AD524" i="17" a="1"/>
  <c r="O524" i="17" s="1" a="1"/>
  <c r="Z524" i="17"/>
  <c r="AA524" i="17" s="1"/>
  <c r="AC524" i="17" s="1"/>
  <c r="P524" i="17"/>
  <c r="H524" i="17" a="1"/>
  <c r="E524" i="17"/>
  <c r="AE523" i="17"/>
  <c r="AD523" i="17" a="1"/>
  <c r="O523" i="17" s="1" a="1"/>
  <c r="Z523" i="17"/>
  <c r="AA523" i="17" s="1"/>
  <c r="AC523" i="17" s="1"/>
  <c r="P523" i="17"/>
  <c r="J523" i="17"/>
  <c r="H523" i="17" a="1"/>
  <c r="E523" i="17"/>
  <c r="AD522" i="17" a="1"/>
  <c r="O522" i="17" s="1" a="1"/>
  <c r="Z522" i="17"/>
  <c r="AA522" i="17" s="1"/>
  <c r="AC522" i="17" s="1"/>
  <c r="P522" i="17"/>
  <c r="H522" i="17" a="1"/>
  <c r="E522" i="17"/>
  <c r="AD521" i="17" a="1"/>
  <c r="O521" i="17" s="1" a="1"/>
  <c r="Z521" i="17"/>
  <c r="AA521" i="17" s="1"/>
  <c r="AC521" i="17" s="1"/>
  <c r="P521" i="17"/>
  <c r="H521" i="17" a="1"/>
  <c r="E521" i="17"/>
  <c r="AD520" i="17" a="1"/>
  <c r="O520" i="17" s="1" a="1"/>
  <c r="Z520" i="17"/>
  <c r="AA520" i="17" s="1"/>
  <c r="AC520" i="17" s="1"/>
  <c r="P520" i="17"/>
  <c r="H520" i="17" a="1"/>
  <c r="E520" i="17"/>
  <c r="AE519" i="17"/>
  <c r="AD519" i="17" a="1"/>
  <c r="O519" i="17" s="1" a="1"/>
  <c r="Z519" i="17"/>
  <c r="Q519" i="17"/>
  <c r="P519" i="17"/>
  <c r="J519" i="17"/>
  <c r="H519" i="17" a="1"/>
  <c r="E519" i="17"/>
  <c r="AE518" i="17"/>
  <c r="AD518" i="17" a="1"/>
  <c r="O518" i="17" s="1" a="1"/>
  <c r="Z518" i="17"/>
  <c r="R518" i="17"/>
  <c r="Q518" i="17"/>
  <c r="P518" i="17"/>
  <c r="J518" i="17"/>
  <c r="H518" i="17" a="1"/>
  <c r="E518" i="17"/>
  <c r="AE517" i="17"/>
  <c r="AD517" i="17" a="1"/>
  <c r="O517" i="17" s="1" a="1"/>
  <c r="Z517" i="17"/>
  <c r="AA517" i="17" s="1"/>
  <c r="AC517" i="17" s="1"/>
  <c r="P517" i="17"/>
  <c r="J517" i="17"/>
  <c r="H517" i="17" a="1"/>
  <c r="E517" i="17"/>
  <c r="AD516" i="17" a="1"/>
  <c r="O516" i="17" s="1" a="1"/>
  <c r="Z516" i="17"/>
  <c r="Q516" i="17"/>
  <c r="P516" i="17"/>
  <c r="H516" i="17" a="1"/>
  <c r="E516" i="17"/>
  <c r="AE515" i="17"/>
  <c r="AD515" i="17" a="1"/>
  <c r="O515" i="17" s="1" a="1"/>
  <c r="Z515" i="17"/>
  <c r="Q515" i="17"/>
  <c r="P515" i="17"/>
  <c r="J515" i="17"/>
  <c r="H515" i="17" a="1"/>
  <c r="E515" i="17"/>
  <c r="AE514" i="17"/>
  <c r="AD514" i="17" a="1"/>
  <c r="O514" i="17" s="1" a="1"/>
  <c r="Z514" i="17"/>
  <c r="Q514" i="17"/>
  <c r="P514" i="17"/>
  <c r="J514" i="17"/>
  <c r="H514" i="17" a="1"/>
  <c r="E514" i="17"/>
  <c r="AD513" i="17" a="1"/>
  <c r="O513" i="17" s="1" a="1"/>
  <c r="Z513" i="17"/>
  <c r="AA513" i="17" s="1"/>
  <c r="AC513" i="17" s="1"/>
  <c r="P513" i="17"/>
  <c r="H513" i="17" a="1"/>
  <c r="E513" i="17"/>
  <c r="AD512" i="17" a="1"/>
  <c r="O512" i="17" s="1" a="1"/>
  <c r="Z512" i="17"/>
  <c r="Q512" i="17"/>
  <c r="P512" i="17"/>
  <c r="J512" i="17"/>
  <c r="H512" i="17" a="1"/>
  <c r="E512" i="17"/>
  <c r="AD511" i="17" a="1"/>
  <c r="O511" i="17" s="1" a="1"/>
  <c r="Z511" i="17"/>
  <c r="Q511" i="17"/>
  <c r="P511" i="17"/>
  <c r="J511" i="17"/>
  <c r="H511" i="17" a="1"/>
  <c r="E511" i="17"/>
  <c r="AD510" i="17" a="1"/>
  <c r="O510" i="17" s="1" a="1"/>
  <c r="Z510" i="17"/>
  <c r="AA510" i="17" s="1"/>
  <c r="AC510" i="17" s="1"/>
  <c r="P510" i="17"/>
  <c r="H510" i="17" a="1"/>
  <c r="E510" i="17"/>
  <c r="AD509" i="17" a="1"/>
  <c r="O509" i="17" s="1" a="1"/>
  <c r="Z509" i="17"/>
  <c r="Q509" i="17"/>
  <c r="P509" i="17"/>
  <c r="H509" i="17" a="1"/>
  <c r="E509" i="17"/>
  <c r="AD508" i="17" a="1"/>
  <c r="O508" i="17" s="1" a="1"/>
  <c r="Z508" i="17"/>
  <c r="Q508" i="17"/>
  <c r="P508" i="17"/>
  <c r="H508" i="17" a="1"/>
  <c r="E508" i="17"/>
  <c r="AD507" i="17" a="1"/>
  <c r="O507" i="17" s="1" a="1"/>
  <c r="Z507" i="17"/>
  <c r="AA507" i="17" s="1"/>
  <c r="AC507" i="17" s="1"/>
  <c r="P507" i="17"/>
  <c r="H507" i="17" a="1"/>
  <c r="E507" i="17"/>
  <c r="AD506" i="17" a="1"/>
  <c r="O506" i="17" s="1" a="1"/>
  <c r="Z506" i="17"/>
  <c r="AA506" i="17" s="1"/>
  <c r="AC506" i="17" s="1"/>
  <c r="R506" i="17"/>
  <c r="P506" i="17"/>
  <c r="H506" i="17" a="1"/>
  <c r="E506" i="17"/>
  <c r="AD505" i="17" a="1"/>
  <c r="O505" i="17" s="1" a="1"/>
  <c r="R505" i="17"/>
  <c r="Q505" i="17"/>
  <c r="AA505" i="17" s="1"/>
  <c r="AC505" i="17" s="1"/>
  <c r="P505" i="17"/>
  <c r="H505" i="17" a="1"/>
  <c r="E505" i="17"/>
  <c r="AE504" i="17"/>
  <c r="AD504" i="17" a="1"/>
  <c r="O504" i="17" s="1" a="1"/>
  <c r="AA504" i="17"/>
  <c r="AC504" i="17" s="1"/>
  <c r="P504" i="17"/>
  <c r="J504" i="17"/>
  <c r="H504" i="17" a="1"/>
  <c r="E504" i="17"/>
  <c r="AE503" i="17"/>
  <c r="AD503" i="17" a="1"/>
  <c r="O503" i="17" s="1" a="1"/>
  <c r="Z503" i="17"/>
  <c r="AA503" i="17" s="1"/>
  <c r="AC503" i="17" s="1"/>
  <c r="R503" i="17"/>
  <c r="P503" i="17"/>
  <c r="J503" i="17"/>
  <c r="H503" i="17" a="1"/>
  <c r="E503" i="17"/>
  <c r="AE502" i="17"/>
  <c r="AD502" i="17" a="1"/>
  <c r="O502" i="17" s="1" a="1"/>
  <c r="Z502" i="17"/>
  <c r="AA502" i="17" s="1"/>
  <c r="AC502" i="17" s="1"/>
  <c r="R502" i="17"/>
  <c r="P502" i="17"/>
  <c r="J502" i="17"/>
  <c r="H502" i="17" a="1"/>
  <c r="E502" i="17"/>
  <c r="AD501" i="17" a="1"/>
  <c r="O501" i="17" s="1" a="1"/>
  <c r="Z501" i="17"/>
  <c r="AA501" i="17" s="1"/>
  <c r="AC501" i="17" s="1"/>
  <c r="P501" i="17"/>
  <c r="H501" i="17" a="1"/>
  <c r="E501" i="17"/>
  <c r="AD500" i="17" a="1"/>
  <c r="O500" i="17" s="1" a="1"/>
  <c r="Z500" i="17"/>
  <c r="AA500" i="17" s="1"/>
  <c r="AC500" i="17" s="1"/>
  <c r="P500" i="17"/>
  <c r="H500" i="17" a="1"/>
  <c r="E500" i="17"/>
  <c r="AD499" i="17" a="1"/>
  <c r="O499" i="17" s="1" a="1"/>
  <c r="Z499" i="17"/>
  <c r="AA499" i="17" s="1"/>
  <c r="AC499" i="17" s="1"/>
  <c r="P499" i="17"/>
  <c r="H499" i="17" a="1"/>
  <c r="E499" i="17"/>
  <c r="AD498" i="17" a="1"/>
  <c r="O498" i="17" s="1" a="1"/>
  <c r="Z498" i="17"/>
  <c r="AA498" i="17" s="1"/>
  <c r="AC498" i="17" s="1"/>
  <c r="P498" i="17"/>
  <c r="H498" i="17" a="1"/>
  <c r="E498" i="17"/>
  <c r="AD497" i="17" a="1"/>
  <c r="O497" i="17" s="1" a="1"/>
  <c r="Z497" i="17"/>
  <c r="AA497" i="17" s="1"/>
  <c r="AC497" i="17" s="1"/>
  <c r="P497" i="17"/>
  <c r="H497" i="17" a="1"/>
  <c r="E497" i="17"/>
  <c r="AD496" i="17" a="1"/>
  <c r="O496" i="17" s="1" a="1"/>
  <c r="Z496" i="17"/>
  <c r="AA496" i="17" s="1"/>
  <c r="AC496" i="17" s="1"/>
  <c r="P496" i="17"/>
  <c r="H496" i="17" a="1"/>
  <c r="E496" i="17"/>
  <c r="AE495" i="17"/>
  <c r="AD495" i="17" a="1"/>
  <c r="O495" i="17" s="1" a="1"/>
  <c r="Z495" i="17"/>
  <c r="AA495" i="17" s="1"/>
  <c r="AC495" i="17" s="1"/>
  <c r="P495" i="17"/>
  <c r="J495" i="17"/>
  <c r="H495" i="17" a="1"/>
  <c r="E495" i="17"/>
  <c r="AE494" i="17"/>
  <c r="AD494" i="17" a="1"/>
  <c r="O494" i="17" s="1" a="1"/>
  <c r="Z494" i="17"/>
  <c r="AA494" i="17" s="1"/>
  <c r="AC494" i="17" s="1"/>
  <c r="P494" i="17"/>
  <c r="J494" i="17"/>
  <c r="H494" i="17" a="1"/>
  <c r="E494" i="17"/>
  <c r="AD493" i="17" a="1"/>
  <c r="O493" i="17" s="1" a="1"/>
  <c r="Z493" i="17"/>
  <c r="AA493" i="17" s="1"/>
  <c r="AC493" i="17" s="1"/>
  <c r="P493" i="17"/>
  <c r="H493" i="17" a="1"/>
  <c r="E493" i="17"/>
  <c r="AE492" i="17"/>
  <c r="AD492" i="17" a="1"/>
  <c r="O492" i="17" s="1" a="1"/>
  <c r="Z492" i="17"/>
  <c r="Q492" i="17"/>
  <c r="P492" i="17"/>
  <c r="H492" i="17" a="1"/>
  <c r="E492" i="17"/>
  <c r="AD491" i="17" a="1"/>
  <c r="O491" i="17" s="1" a="1"/>
  <c r="Z491" i="17"/>
  <c r="AA491" i="17" s="1"/>
  <c r="AC491" i="17" s="1"/>
  <c r="P491" i="17"/>
  <c r="H491" i="17" a="1"/>
  <c r="E491" i="17"/>
  <c r="AD490" i="17" a="1"/>
  <c r="O490" i="17" s="1" a="1"/>
  <c r="Z490" i="17"/>
  <c r="AA490" i="17" s="1"/>
  <c r="AC490" i="17" s="1"/>
  <c r="P490" i="17"/>
  <c r="H490" i="17" a="1"/>
  <c r="E490" i="17"/>
  <c r="AD489" i="17" a="1"/>
  <c r="O489" i="17" s="1" a="1"/>
  <c r="Z489" i="17"/>
  <c r="AA489" i="17" s="1"/>
  <c r="AC489" i="17" s="1"/>
  <c r="P489" i="17"/>
  <c r="H489" i="17" a="1"/>
  <c r="E489" i="17"/>
  <c r="AD488" i="17" a="1"/>
  <c r="O488" i="17" s="1" a="1"/>
  <c r="Z488" i="17"/>
  <c r="AA488" i="17" s="1"/>
  <c r="AC488" i="17" s="1"/>
  <c r="P488" i="17"/>
  <c r="H488" i="17" a="1"/>
  <c r="E488" i="17"/>
  <c r="AE487" i="17"/>
  <c r="AD487" i="17" a="1"/>
  <c r="O487" i="17" s="1" a="1"/>
  <c r="Z487" i="17"/>
  <c r="AA487" i="17" s="1"/>
  <c r="AC487" i="17" s="1"/>
  <c r="R487" i="17"/>
  <c r="P487" i="17"/>
  <c r="J487" i="17"/>
  <c r="H487" i="17" a="1"/>
  <c r="E487" i="17"/>
  <c r="AE486" i="17"/>
  <c r="AD486" i="17" a="1"/>
  <c r="O486" i="17" s="1" a="1"/>
  <c r="Z486" i="17"/>
  <c r="AA486" i="17" s="1"/>
  <c r="AC486" i="17" s="1"/>
  <c r="P486" i="17"/>
  <c r="J486" i="17"/>
  <c r="H486" i="17" a="1"/>
  <c r="E486" i="17"/>
  <c r="AE485" i="17"/>
  <c r="AD485" i="17" a="1"/>
  <c r="O485" i="17" s="1" a="1"/>
  <c r="Z485" i="17"/>
  <c r="AA485" i="17" s="1"/>
  <c r="AC485" i="17" s="1"/>
  <c r="P485" i="17"/>
  <c r="H485" i="17" a="1"/>
  <c r="E485" i="17"/>
  <c r="AD484" i="17" a="1"/>
  <c r="O484" i="17" s="1" a="1"/>
  <c r="Z484" i="17"/>
  <c r="AA484" i="17" s="1"/>
  <c r="AC484" i="17" s="1"/>
  <c r="P484" i="17"/>
  <c r="H484" i="17" a="1"/>
  <c r="E484" i="17"/>
  <c r="AD483" i="17" a="1"/>
  <c r="O483" i="17" s="1" a="1"/>
  <c r="Z483" i="17"/>
  <c r="AA483" i="17" s="1"/>
  <c r="AC483" i="17" s="1"/>
  <c r="R483" i="17"/>
  <c r="P483" i="17"/>
  <c r="H483" i="17" a="1"/>
  <c r="E483" i="17"/>
  <c r="AD482" i="17" a="1"/>
  <c r="O482" i="17" s="1" a="1"/>
  <c r="Z482" i="17"/>
  <c r="AA482" i="17" s="1"/>
  <c r="AC482" i="17" s="1"/>
  <c r="P482" i="17"/>
  <c r="H482" i="17" a="1"/>
  <c r="E482" i="17"/>
  <c r="AD481" i="17" a="1"/>
  <c r="O481" i="17" s="1" a="1"/>
  <c r="Z481" i="17"/>
  <c r="R481" i="17"/>
  <c r="Q481" i="17"/>
  <c r="P481" i="17"/>
  <c r="H481" i="17" a="1"/>
  <c r="E481" i="17"/>
  <c r="AD480" i="17" a="1"/>
  <c r="O480" i="17" s="1" a="1"/>
  <c r="Z480" i="17"/>
  <c r="AA480" i="17" s="1"/>
  <c r="AC480" i="17" s="1"/>
  <c r="P480" i="17"/>
  <c r="H480" i="17" a="1"/>
  <c r="E480" i="17"/>
  <c r="AD479" i="17" a="1"/>
  <c r="O479" i="17" s="1" a="1"/>
  <c r="Z479" i="17"/>
  <c r="AA479" i="17" s="1"/>
  <c r="AC479" i="17" s="1"/>
  <c r="P479" i="17"/>
  <c r="H479" i="17" a="1"/>
  <c r="E479" i="17"/>
  <c r="AE478" i="17"/>
  <c r="AD478" i="17" a="1"/>
  <c r="O478" i="17" s="1" a="1"/>
  <c r="Z478" i="17"/>
  <c r="AA478" i="17" s="1"/>
  <c r="AC478" i="17" s="1"/>
  <c r="P478" i="17"/>
  <c r="J478" i="17"/>
  <c r="H478" i="17" a="1"/>
  <c r="E478" i="17"/>
  <c r="AD477" i="17" a="1"/>
  <c r="O477" i="17" s="1" a="1"/>
  <c r="Z477" i="17"/>
  <c r="AA477" i="17" s="1"/>
  <c r="AC477" i="17" s="1"/>
  <c r="P477" i="17"/>
  <c r="H477" i="17" a="1"/>
  <c r="E477" i="17"/>
  <c r="AD476" i="17" a="1"/>
  <c r="O476" i="17" s="1" a="1"/>
  <c r="Z476" i="17"/>
  <c r="AA476" i="17" s="1"/>
  <c r="AC476" i="17" s="1"/>
  <c r="P476" i="17"/>
  <c r="J476" i="17"/>
  <c r="H476" i="17" a="1"/>
  <c r="E476" i="17"/>
  <c r="AD475" i="17" a="1"/>
  <c r="O475" i="17" s="1" a="1"/>
  <c r="Z475" i="17"/>
  <c r="AA475" i="17" s="1"/>
  <c r="AC475" i="17" s="1"/>
  <c r="P475" i="17"/>
  <c r="J475" i="17"/>
  <c r="H475" i="17" a="1"/>
  <c r="E475" i="17"/>
  <c r="AD474" i="17" a="1"/>
  <c r="O474" i="17" s="1" a="1"/>
  <c r="Z474" i="17"/>
  <c r="AA474" i="17" s="1"/>
  <c r="AC474" i="17" s="1"/>
  <c r="P474" i="17"/>
  <c r="H474" i="17" a="1"/>
  <c r="E474" i="17"/>
  <c r="AD473" i="17" a="1"/>
  <c r="O473" i="17" s="1" a="1"/>
  <c r="Z473" i="17"/>
  <c r="AA473" i="17" s="1"/>
  <c r="AC473" i="17" s="1"/>
  <c r="P473" i="17"/>
  <c r="H473" i="17" a="1"/>
  <c r="E473" i="17"/>
  <c r="AD472" i="17" a="1"/>
  <c r="O472" i="17" s="1" a="1"/>
  <c r="Z472" i="17"/>
  <c r="AA472" i="17" s="1"/>
  <c r="AC472" i="17" s="1"/>
  <c r="P472" i="17"/>
  <c r="H472" i="17" a="1"/>
  <c r="E472" i="17"/>
  <c r="AD471" i="17" a="1"/>
  <c r="O471" i="17" s="1" a="1"/>
  <c r="Z471" i="17"/>
  <c r="AA471" i="17" s="1"/>
  <c r="AC471" i="17" s="1"/>
  <c r="R471" i="17"/>
  <c r="P471" i="17"/>
  <c r="H471" i="17" a="1"/>
  <c r="E471" i="17"/>
  <c r="AE470" i="17"/>
  <c r="AD470" i="17" a="1"/>
  <c r="O470" i="17" s="1" a="1"/>
  <c r="Z470" i="17"/>
  <c r="Q470" i="17"/>
  <c r="P470" i="17"/>
  <c r="J470" i="17"/>
  <c r="H470" i="17" a="1"/>
  <c r="E470" i="17"/>
  <c r="AD469" i="17" a="1"/>
  <c r="O469" i="17" s="1" a="1"/>
  <c r="Z469" i="17"/>
  <c r="AA469" i="17" s="1"/>
  <c r="AC469" i="17" s="1"/>
  <c r="P469" i="17"/>
  <c r="J469" i="17"/>
  <c r="AE469" i="17" s="1"/>
  <c r="H469" i="17" a="1"/>
  <c r="E469" i="17"/>
  <c r="AD468" i="17" a="1"/>
  <c r="O468" i="17" s="1" a="1"/>
  <c r="Z468" i="17"/>
  <c r="R468" i="17"/>
  <c r="Q468" i="17"/>
  <c r="P468" i="17"/>
  <c r="J468" i="17"/>
  <c r="AE468" i="17" s="1"/>
  <c r="H468" i="17" a="1"/>
  <c r="E468" i="17"/>
  <c r="AD467" i="17" a="1"/>
  <c r="O467" i="17" s="1" a="1"/>
  <c r="Z467" i="17"/>
  <c r="AA467" i="17" s="1"/>
  <c r="AC467" i="17" s="1"/>
  <c r="P467" i="17"/>
  <c r="H467" i="17" a="1"/>
  <c r="E467" i="17"/>
  <c r="AE466" i="17"/>
  <c r="AD466" i="17" a="1"/>
  <c r="O466" i="17" s="1" a="1"/>
  <c r="Z466" i="17"/>
  <c r="AA466" i="17" s="1"/>
  <c r="AC466" i="17" s="1"/>
  <c r="R466" i="17"/>
  <c r="P466" i="17"/>
  <c r="J466" i="17"/>
  <c r="H466" i="17" a="1"/>
  <c r="E466" i="17"/>
  <c r="AE465" i="17"/>
  <c r="AD465" i="17" a="1"/>
  <c r="O465" i="17" s="1" a="1"/>
  <c r="Z465" i="17"/>
  <c r="AA465" i="17" s="1"/>
  <c r="AC465" i="17" s="1"/>
  <c r="P465" i="17"/>
  <c r="H465" i="17" a="1"/>
  <c r="E465" i="17"/>
  <c r="AD464" i="17" a="1"/>
  <c r="O464" i="17" s="1" a="1"/>
  <c r="Z464" i="17"/>
  <c r="R464" i="17"/>
  <c r="Q464" i="17"/>
  <c r="P464" i="17"/>
  <c r="H464" i="17" a="1"/>
  <c r="E464" i="17"/>
  <c r="AD463" i="17" a="1"/>
  <c r="O463" i="17" s="1" a="1"/>
  <c r="Z463" i="17"/>
  <c r="R463" i="17"/>
  <c r="Q463" i="17"/>
  <c r="P463" i="17"/>
  <c r="H463" i="17" a="1"/>
  <c r="E463" i="17"/>
  <c r="AD462" i="17" a="1"/>
  <c r="O462" i="17" s="1" a="1"/>
  <c r="Z462" i="17"/>
  <c r="AA462" i="17" s="1"/>
  <c r="AC462" i="17" s="1"/>
  <c r="R462" i="17"/>
  <c r="P462" i="17"/>
  <c r="H462" i="17" a="1"/>
  <c r="E462" i="17"/>
  <c r="AD461" i="17" a="1"/>
  <c r="O461" i="17" s="1" a="1"/>
  <c r="Z461" i="17"/>
  <c r="Q461" i="17"/>
  <c r="P461" i="17"/>
  <c r="H461" i="17" a="1"/>
  <c r="E461" i="17"/>
  <c r="AE460" i="17"/>
  <c r="AD460" i="17" a="1"/>
  <c r="O460" i="17" s="1" a="1"/>
  <c r="Z460" i="17"/>
  <c r="Q460" i="17"/>
  <c r="P460" i="17"/>
  <c r="H460" i="17" a="1"/>
  <c r="E460" i="17"/>
  <c r="AE459" i="17"/>
  <c r="AD459" i="17" a="1"/>
  <c r="O459" i="17" s="1" a="1"/>
  <c r="Z459" i="17"/>
  <c r="Q459" i="17"/>
  <c r="P459" i="17"/>
  <c r="H459" i="17" a="1"/>
  <c r="E459" i="17"/>
  <c r="AD458" i="17" a="1"/>
  <c r="O458" i="17" s="1" a="1"/>
  <c r="Z458" i="17"/>
  <c r="Q458" i="17"/>
  <c r="P458" i="17"/>
  <c r="H458" i="17" a="1"/>
  <c r="E458" i="17"/>
  <c r="AD457" i="17" a="1"/>
  <c r="O457" i="17" s="1" a="1"/>
  <c r="Z457" i="17"/>
  <c r="Q457" i="17"/>
  <c r="P457" i="17"/>
  <c r="H457" i="17" a="1"/>
  <c r="E457" i="17"/>
  <c r="AE456" i="17"/>
  <c r="AD456" i="17" a="1"/>
  <c r="O456" i="17" s="1" a="1"/>
  <c r="Z456" i="17"/>
  <c r="Q456" i="17"/>
  <c r="P456" i="17"/>
  <c r="J456" i="17"/>
  <c r="H456" i="17" a="1"/>
  <c r="E456" i="17"/>
  <c r="AD455" i="17" a="1"/>
  <c r="O455" i="17" s="1" a="1"/>
  <c r="Z455" i="17"/>
  <c r="Q455" i="17"/>
  <c r="P455" i="17"/>
  <c r="H455" i="17" a="1"/>
  <c r="E455" i="17"/>
  <c r="AD454" i="17" a="1"/>
  <c r="O454" i="17" s="1" a="1"/>
  <c r="Z454" i="17"/>
  <c r="Q454" i="17"/>
  <c r="P454" i="17"/>
  <c r="H454" i="17" a="1"/>
  <c r="E454" i="17"/>
  <c r="AE453" i="17"/>
  <c r="AD453" i="17" a="1"/>
  <c r="O453" i="17" s="1" a="1"/>
  <c r="Z453" i="17"/>
  <c r="Q453" i="17"/>
  <c r="P453" i="17"/>
  <c r="J453" i="17"/>
  <c r="H453" i="17" a="1"/>
  <c r="E453" i="17"/>
  <c r="AD452" i="17" a="1"/>
  <c r="O452" i="17" s="1" a="1"/>
  <c r="AA452" i="17"/>
  <c r="AC452" i="17" s="1"/>
  <c r="P452" i="17"/>
  <c r="H452" i="17" a="1"/>
  <c r="E452" i="17"/>
  <c r="AD451" i="17" a="1"/>
  <c r="O451" i="17" s="1" a="1"/>
  <c r="AA451" i="17"/>
  <c r="AC451" i="17" s="1"/>
  <c r="P451" i="17"/>
  <c r="H451" i="17" a="1"/>
  <c r="E451" i="17"/>
  <c r="AD450" i="17" a="1"/>
  <c r="O450" i="17" s="1" a="1"/>
  <c r="AA450" i="17"/>
  <c r="AC450" i="17" s="1"/>
  <c r="P450" i="17"/>
  <c r="H450" i="17" a="1"/>
  <c r="E450" i="17"/>
  <c r="AD449" i="17" a="1"/>
  <c r="O449" i="17" s="1" a="1"/>
  <c r="AA449" i="17"/>
  <c r="AC449" i="17" s="1"/>
  <c r="P449" i="17"/>
  <c r="H449" i="17" a="1"/>
  <c r="E449" i="17"/>
  <c r="AD448" i="17" a="1"/>
  <c r="O448" i="17" s="1" a="1"/>
  <c r="AA448" i="17"/>
  <c r="AC448" i="17" s="1"/>
  <c r="P448" i="17"/>
  <c r="H448" i="17" a="1"/>
  <c r="E448" i="17"/>
  <c r="AD447" i="17" a="1"/>
  <c r="O447" i="17" s="1" a="1"/>
  <c r="AA447" i="17"/>
  <c r="AC447" i="17" s="1"/>
  <c r="P447" i="17"/>
  <c r="H447" i="17" a="1"/>
  <c r="E447" i="17"/>
  <c r="AD446" i="17" a="1"/>
  <c r="O446" i="17" s="1" a="1"/>
  <c r="AA446" i="17"/>
  <c r="AC446" i="17" s="1"/>
  <c r="P446" i="17"/>
  <c r="H446" i="17" a="1"/>
  <c r="E446" i="17"/>
  <c r="AD445" i="17" a="1"/>
  <c r="O445" i="17" s="1" a="1"/>
  <c r="AA445" i="17"/>
  <c r="AC445" i="17" s="1"/>
  <c r="P445" i="17"/>
  <c r="H445" i="17" a="1"/>
  <c r="E445" i="17"/>
  <c r="AD444" i="17" a="1"/>
  <c r="O444" i="17" s="1" a="1"/>
  <c r="AA444" i="17"/>
  <c r="AC444" i="17" s="1"/>
  <c r="P444" i="17"/>
  <c r="H444" i="17" a="1"/>
  <c r="E444" i="17"/>
  <c r="AD443" i="17" a="1"/>
  <c r="O443" i="17" s="1" a="1"/>
  <c r="AA443" i="17"/>
  <c r="AC443" i="17" s="1"/>
  <c r="P443" i="17"/>
  <c r="H443" i="17" a="1"/>
  <c r="E443" i="17"/>
  <c r="AD442" i="17" a="1"/>
  <c r="O442" i="17" s="1" a="1"/>
  <c r="AA442" i="17"/>
  <c r="AC442" i="17" s="1"/>
  <c r="P442" i="17"/>
  <c r="H442" i="17" a="1"/>
  <c r="E442" i="17"/>
  <c r="AD441" i="17" a="1"/>
  <c r="O441" i="17" s="1" a="1"/>
  <c r="AA441" i="17"/>
  <c r="AC441" i="17" s="1"/>
  <c r="P441" i="17"/>
  <c r="H441" i="17" a="1"/>
  <c r="E441" i="17"/>
  <c r="AD440" i="17" a="1"/>
  <c r="O440" i="17" s="1" a="1"/>
  <c r="AA440" i="17"/>
  <c r="AC440" i="17" s="1"/>
  <c r="P440" i="17"/>
  <c r="H440" i="17" a="1"/>
  <c r="E440" i="17"/>
  <c r="AD439" i="17" a="1"/>
  <c r="O439" i="17" s="1" a="1"/>
  <c r="AA439" i="17"/>
  <c r="AC439" i="17" s="1"/>
  <c r="P439" i="17"/>
  <c r="H439" i="17" a="1"/>
  <c r="E439" i="17"/>
  <c r="AD438" i="17" a="1"/>
  <c r="O438" i="17" s="1" a="1"/>
  <c r="AA438" i="17"/>
  <c r="AC438" i="17" s="1"/>
  <c r="P438" i="17"/>
  <c r="H438" i="17" a="1"/>
  <c r="E438" i="17"/>
  <c r="AD437" i="17" a="1"/>
  <c r="O437" i="17" s="1" a="1"/>
  <c r="AA437" i="17"/>
  <c r="AC437" i="17" s="1"/>
  <c r="P437" i="17"/>
  <c r="H437" i="17" a="1"/>
  <c r="E437" i="17"/>
  <c r="AD436" i="17" a="1"/>
  <c r="O436" i="17" s="1" a="1"/>
  <c r="AA436" i="17"/>
  <c r="AC436" i="17" s="1"/>
  <c r="P436" i="17"/>
  <c r="H436" i="17" a="1"/>
  <c r="E436" i="17"/>
  <c r="AD435" i="17" a="1"/>
  <c r="O435" i="17" s="1" a="1"/>
  <c r="AA435" i="17"/>
  <c r="AC435" i="17" s="1"/>
  <c r="P435" i="17"/>
  <c r="H435" i="17" a="1"/>
  <c r="E435" i="17"/>
  <c r="AD434" i="17" a="1"/>
  <c r="O434" i="17" s="1" a="1"/>
  <c r="AA434" i="17"/>
  <c r="AC434" i="17" s="1"/>
  <c r="P434" i="17"/>
  <c r="H434" i="17" a="1"/>
  <c r="E434" i="17"/>
  <c r="AD433" i="17" a="1"/>
  <c r="O433" i="17" s="1" a="1"/>
  <c r="AA433" i="17"/>
  <c r="AC433" i="17" s="1"/>
  <c r="P433" i="17"/>
  <c r="H433" i="17" a="1"/>
  <c r="E433" i="17"/>
  <c r="AD432" i="17" a="1"/>
  <c r="O432" i="17" s="1" a="1"/>
  <c r="AA432" i="17"/>
  <c r="AC432" i="17" s="1"/>
  <c r="P432" i="17"/>
  <c r="H432" i="17" a="1"/>
  <c r="E432" i="17"/>
  <c r="AD431" i="17" a="1"/>
  <c r="O431" i="17" s="1" a="1"/>
  <c r="AA431" i="17"/>
  <c r="AC431" i="17" s="1"/>
  <c r="P431" i="17"/>
  <c r="H431" i="17" a="1"/>
  <c r="E431" i="17"/>
  <c r="AD430" i="17" a="1"/>
  <c r="O430" i="17" s="1" a="1"/>
  <c r="AA430" i="17"/>
  <c r="AC430" i="17" s="1"/>
  <c r="P430" i="17"/>
  <c r="H430" i="17" a="1"/>
  <c r="E430" i="17"/>
  <c r="AD429" i="17" a="1"/>
  <c r="O429" i="17" s="1" a="1"/>
  <c r="AA429" i="17"/>
  <c r="AC429" i="17" s="1"/>
  <c r="P429" i="17"/>
  <c r="H429" i="17" a="1"/>
  <c r="E429" i="17"/>
  <c r="AD428" i="17" a="1"/>
  <c r="O428" i="17" s="1" a="1"/>
  <c r="AA428" i="17"/>
  <c r="AC428" i="17" s="1"/>
  <c r="P428" i="17"/>
  <c r="H428" i="17" a="1"/>
  <c r="E428" i="17"/>
  <c r="AD427" i="17" a="1"/>
  <c r="O427" i="17" s="1" a="1"/>
  <c r="AA427" i="17"/>
  <c r="AC427" i="17" s="1"/>
  <c r="P427" i="17"/>
  <c r="H427" i="17" a="1"/>
  <c r="E427" i="17"/>
  <c r="AD426" i="17" a="1"/>
  <c r="O426" i="17" s="1" a="1"/>
  <c r="AA426" i="17"/>
  <c r="AC426" i="17" s="1"/>
  <c r="P426" i="17"/>
  <c r="H426" i="17" a="1"/>
  <c r="E426" i="17"/>
  <c r="AD425" i="17" a="1"/>
  <c r="O425" i="17" s="1" a="1"/>
  <c r="AA425" i="17"/>
  <c r="AC425" i="17" s="1"/>
  <c r="P425" i="17"/>
  <c r="H425" i="17" a="1"/>
  <c r="E425" i="17"/>
  <c r="AD424" i="17" a="1"/>
  <c r="O424" i="17" s="1" a="1"/>
  <c r="AA424" i="17"/>
  <c r="AC424" i="17" s="1"/>
  <c r="P424" i="17"/>
  <c r="H424" i="17" a="1"/>
  <c r="E424" i="17"/>
  <c r="AD423" i="17" a="1"/>
  <c r="O423" i="17" s="1" a="1"/>
  <c r="AA423" i="17"/>
  <c r="AC423" i="17" s="1"/>
  <c r="P423" i="17"/>
  <c r="H423" i="17" a="1"/>
  <c r="E423" i="17"/>
  <c r="AD422" i="17" a="1"/>
  <c r="O422" i="17" s="1" a="1"/>
  <c r="AA422" i="17"/>
  <c r="AC422" i="17" s="1"/>
  <c r="P422" i="17"/>
  <c r="H422" i="17" a="1"/>
  <c r="E422" i="17"/>
  <c r="AD421" i="17" a="1"/>
  <c r="O421" i="17" s="1" a="1"/>
  <c r="AA421" i="17"/>
  <c r="AC421" i="17" s="1"/>
  <c r="P421" i="17"/>
  <c r="H421" i="17" a="1"/>
  <c r="E421" i="17"/>
  <c r="AD420" i="17" a="1"/>
  <c r="O420" i="17" s="1" a="1"/>
  <c r="AA420" i="17"/>
  <c r="AC420" i="17" s="1"/>
  <c r="P420" i="17"/>
  <c r="H420" i="17" a="1"/>
  <c r="E420" i="17"/>
  <c r="AD419" i="17" a="1"/>
  <c r="O419" i="17" s="1" a="1"/>
  <c r="AA419" i="17"/>
  <c r="AC419" i="17" s="1"/>
  <c r="P419" i="17"/>
  <c r="H419" i="17" a="1"/>
  <c r="E419" i="17"/>
  <c r="AD418" i="17" a="1"/>
  <c r="O418" i="17" s="1" a="1"/>
  <c r="AA418" i="17"/>
  <c r="AC418" i="17" s="1"/>
  <c r="P418" i="17"/>
  <c r="H418" i="17" a="1"/>
  <c r="E418" i="17"/>
  <c r="AD417" i="17" a="1"/>
  <c r="O417" i="17" s="1" a="1"/>
  <c r="AA417" i="17"/>
  <c r="AC417" i="17" s="1"/>
  <c r="P417" i="17"/>
  <c r="H417" i="17" a="1"/>
  <c r="E417" i="17"/>
  <c r="AD416" i="17" a="1"/>
  <c r="O416" i="17" s="1" a="1"/>
  <c r="AA416" i="17"/>
  <c r="AC416" i="17" s="1"/>
  <c r="P416" i="17"/>
  <c r="H416" i="17" a="1"/>
  <c r="E416" i="17"/>
  <c r="AD415" i="17" a="1"/>
  <c r="O415" i="17" s="1" a="1"/>
  <c r="AA415" i="17"/>
  <c r="AC415" i="17" s="1"/>
  <c r="P415" i="17"/>
  <c r="H415" i="17" a="1"/>
  <c r="E415" i="17"/>
  <c r="AD414" i="17" a="1"/>
  <c r="O414" i="17" s="1" a="1"/>
  <c r="AA414" i="17"/>
  <c r="AC414" i="17" s="1"/>
  <c r="P414" i="17"/>
  <c r="H414" i="17" a="1"/>
  <c r="E414" i="17"/>
  <c r="AD413" i="17" a="1"/>
  <c r="O413" i="17" s="1" a="1"/>
  <c r="AA413" i="17"/>
  <c r="AC413" i="17" s="1"/>
  <c r="P413" i="17"/>
  <c r="H413" i="17" a="1"/>
  <c r="E413" i="17"/>
  <c r="AD412" i="17" a="1"/>
  <c r="O412" i="17" s="1" a="1"/>
  <c r="AA412" i="17"/>
  <c r="AC412" i="17" s="1"/>
  <c r="P412" i="17"/>
  <c r="H412" i="17" a="1"/>
  <c r="E412" i="17"/>
  <c r="AD411" i="17" a="1"/>
  <c r="O411" i="17" s="1" a="1"/>
  <c r="AA411" i="17"/>
  <c r="AC411" i="17" s="1"/>
  <c r="P411" i="17"/>
  <c r="H411" i="17" a="1"/>
  <c r="E411" i="17"/>
  <c r="AD410" i="17" a="1"/>
  <c r="O410" i="17" s="1" a="1"/>
  <c r="AA410" i="17"/>
  <c r="AC410" i="17" s="1"/>
  <c r="P410" i="17"/>
  <c r="H410" i="17" a="1"/>
  <c r="E410" i="17"/>
  <c r="AD409" i="17" a="1"/>
  <c r="O409" i="17" s="1" a="1"/>
  <c r="AA409" i="17"/>
  <c r="AC409" i="17" s="1"/>
  <c r="P409" i="17"/>
  <c r="H409" i="17" a="1"/>
  <c r="E409" i="17"/>
  <c r="AD408" i="17" a="1"/>
  <c r="O408" i="17" s="1" a="1"/>
  <c r="AA408" i="17"/>
  <c r="AC408" i="17" s="1"/>
  <c r="P408" i="17"/>
  <c r="H408" i="17" a="1"/>
  <c r="E408" i="17"/>
  <c r="AD407" i="17" a="1"/>
  <c r="O407" i="17" s="1" a="1"/>
  <c r="AA407" i="17"/>
  <c r="AC407" i="17" s="1"/>
  <c r="P407" i="17"/>
  <c r="H407" i="17" a="1"/>
  <c r="E407" i="17"/>
  <c r="AD406" i="17" a="1"/>
  <c r="O406" i="17" s="1" a="1"/>
  <c r="Z406" i="17"/>
  <c r="R406" i="17"/>
  <c r="Q406" i="17"/>
  <c r="P406" i="17"/>
  <c r="H406" i="17" a="1"/>
  <c r="E406" i="17"/>
  <c r="AD405" i="17" a="1"/>
  <c r="O405" i="17" s="1" a="1"/>
  <c r="AA405" i="17"/>
  <c r="AC405" i="17" s="1"/>
  <c r="P405" i="17"/>
  <c r="H405" i="17" a="1"/>
  <c r="E405" i="17"/>
  <c r="AD404" i="17" a="1"/>
  <c r="O404" i="17" s="1" a="1"/>
  <c r="AA404" i="17"/>
  <c r="AC404" i="17" s="1"/>
  <c r="P404" i="17"/>
  <c r="H404" i="17" a="1"/>
  <c r="E404" i="17"/>
  <c r="AD403" i="17" a="1"/>
  <c r="O403" i="17" s="1" a="1"/>
  <c r="AA403" i="17"/>
  <c r="AC403" i="17" s="1"/>
  <c r="P403" i="17"/>
  <c r="H403" i="17" a="1"/>
  <c r="E403" i="17"/>
  <c r="AD402" i="17" a="1"/>
  <c r="O402" i="17" s="1" a="1"/>
  <c r="AA402" i="17"/>
  <c r="AC402" i="17" s="1"/>
  <c r="P402" i="17"/>
  <c r="H402" i="17" a="1"/>
  <c r="E402" i="17"/>
  <c r="AD401" i="17" a="1"/>
  <c r="O401" i="17" s="1" a="1"/>
  <c r="AA401" i="17"/>
  <c r="AC401" i="17" s="1"/>
  <c r="P401" i="17"/>
  <c r="H401" i="17" a="1"/>
  <c r="E401" i="17"/>
  <c r="AD400" i="17" a="1"/>
  <c r="O400" i="17" s="1" a="1"/>
  <c r="AA400" i="17"/>
  <c r="AC400" i="17" s="1"/>
  <c r="P400" i="17"/>
  <c r="H400" i="17" a="1"/>
  <c r="E400" i="17"/>
  <c r="AD399" i="17" a="1"/>
  <c r="O399" i="17" s="1" a="1"/>
  <c r="AA399" i="17"/>
  <c r="AC399" i="17" s="1"/>
  <c r="P399" i="17"/>
  <c r="H399" i="17" a="1"/>
  <c r="E399" i="17"/>
  <c r="AD398" i="17" a="1"/>
  <c r="O398" i="17" s="1" a="1"/>
  <c r="AA398" i="17"/>
  <c r="AC398" i="17" s="1"/>
  <c r="P398" i="17"/>
  <c r="H398" i="17" a="1"/>
  <c r="E398" i="17"/>
  <c r="AD397" i="17" a="1"/>
  <c r="O397" i="17" s="1" a="1"/>
  <c r="AA397" i="17"/>
  <c r="AC397" i="17" s="1"/>
  <c r="P397" i="17"/>
  <c r="H397" i="17" a="1"/>
  <c r="E397" i="17"/>
  <c r="AD396" i="17" a="1"/>
  <c r="O396" i="17" s="1" a="1"/>
  <c r="AA396" i="17"/>
  <c r="AC396" i="17" s="1"/>
  <c r="P396" i="17"/>
  <c r="H396" i="17" a="1"/>
  <c r="E396" i="17"/>
  <c r="AD395" i="17" a="1"/>
  <c r="O395" i="17" s="1" a="1"/>
  <c r="AA395" i="17"/>
  <c r="AC395" i="17" s="1"/>
  <c r="P395" i="17"/>
  <c r="H395" i="17" a="1"/>
  <c r="E395" i="17"/>
  <c r="AD394" i="17" a="1"/>
  <c r="O394" i="17" s="1" a="1"/>
  <c r="AA394" i="17"/>
  <c r="AC394" i="17" s="1"/>
  <c r="P394" i="17"/>
  <c r="H394" i="17" a="1"/>
  <c r="E394" i="17"/>
  <c r="AD393" i="17" a="1"/>
  <c r="O393" i="17" s="1" a="1"/>
  <c r="AA393" i="17"/>
  <c r="AC393" i="17" s="1"/>
  <c r="P393" i="17"/>
  <c r="H393" i="17" a="1"/>
  <c r="E393" i="17"/>
  <c r="AD392" i="17" a="1"/>
  <c r="O392" i="17" s="1" a="1"/>
  <c r="AA392" i="17"/>
  <c r="AC392" i="17" s="1"/>
  <c r="P392" i="17"/>
  <c r="H392" i="17" a="1"/>
  <c r="E392" i="17"/>
  <c r="AD391" i="17" a="1"/>
  <c r="O391" i="17" s="1" a="1"/>
  <c r="AA391" i="17"/>
  <c r="AC391" i="17" s="1"/>
  <c r="P391" i="17"/>
  <c r="H391" i="17" a="1"/>
  <c r="E391" i="17"/>
  <c r="AD390" i="17" a="1"/>
  <c r="O390" i="17" s="1" a="1"/>
  <c r="AA390" i="17"/>
  <c r="AC390" i="17" s="1"/>
  <c r="P390" i="17"/>
  <c r="H390" i="17" a="1"/>
  <c r="E390" i="17"/>
  <c r="AD389" i="17" a="1"/>
  <c r="O389" i="17" s="1" a="1"/>
  <c r="AA389" i="17"/>
  <c r="AC389" i="17" s="1"/>
  <c r="P389" i="17"/>
  <c r="H389" i="17" a="1"/>
  <c r="E389" i="17"/>
  <c r="AD388" i="17" a="1"/>
  <c r="O388" i="17" s="1" a="1"/>
  <c r="AA388" i="17"/>
  <c r="AC388" i="17" s="1"/>
  <c r="P388" i="17"/>
  <c r="H388" i="17" a="1"/>
  <c r="E388" i="17"/>
  <c r="AD387" i="17" a="1"/>
  <c r="O387" i="17" s="1" a="1"/>
  <c r="AA387" i="17"/>
  <c r="AC387" i="17" s="1"/>
  <c r="P387" i="17"/>
  <c r="H387" i="17" a="1"/>
  <c r="E387" i="17"/>
  <c r="AD386" i="17" a="1"/>
  <c r="O386" i="17" s="1" a="1"/>
  <c r="AA386" i="17"/>
  <c r="AC386" i="17" s="1"/>
  <c r="P386" i="17"/>
  <c r="H386" i="17" a="1"/>
  <c r="E386" i="17"/>
  <c r="AD385" i="17" a="1"/>
  <c r="O385" i="17" s="1" a="1"/>
  <c r="AA385" i="17"/>
  <c r="AC385" i="17" s="1"/>
  <c r="P385" i="17"/>
  <c r="H385" i="17" a="1"/>
  <c r="E385" i="17"/>
  <c r="AD384" i="17" a="1"/>
  <c r="O384" i="17" s="1" a="1"/>
  <c r="AA384" i="17"/>
  <c r="AC384" i="17" s="1"/>
  <c r="P384" i="17"/>
  <c r="H384" i="17" a="1"/>
  <c r="E384" i="17"/>
  <c r="AD383" i="17" a="1"/>
  <c r="O383" i="17" s="1" a="1"/>
  <c r="AA383" i="17"/>
  <c r="AC383" i="17" s="1"/>
  <c r="P383" i="17"/>
  <c r="H383" i="17" a="1"/>
  <c r="E383" i="17"/>
  <c r="AD382" i="17" a="1"/>
  <c r="O382" i="17" s="1" a="1"/>
  <c r="AA382" i="17"/>
  <c r="AC382" i="17" s="1"/>
  <c r="P382" i="17"/>
  <c r="H382" i="17" a="1"/>
  <c r="E382" i="17"/>
  <c r="AD381" i="17" a="1"/>
  <c r="O381" i="17" s="1" a="1"/>
  <c r="AA381" i="17"/>
  <c r="AC381" i="17" s="1"/>
  <c r="P381" i="17"/>
  <c r="H381" i="17" a="1"/>
  <c r="E381" i="17"/>
  <c r="AD380" i="17" a="1"/>
  <c r="O380" i="17" s="1" a="1"/>
  <c r="AA380" i="17"/>
  <c r="AC380" i="17" s="1"/>
  <c r="P380" i="17"/>
  <c r="H380" i="17" a="1"/>
  <c r="E380" i="17"/>
  <c r="AD379" i="17" a="1"/>
  <c r="O379" i="17" s="1" a="1"/>
  <c r="AA379" i="17"/>
  <c r="AC379" i="17" s="1"/>
  <c r="P379" i="17"/>
  <c r="H379" i="17" a="1"/>
  <c r="E379" i="17"/>
  <c r="AD378" i="17" a="1"/>
  <c r="O378" i="17" s="1" a="1"/>
  <c r="AA378" i="17"/>
  <c r="AC378" i="17" s="1"/>
  <c r="P378" i="17"/>
  <c r="H378" i="17" a="1"/>
  <c r="E378" i="17"/>
  <c r="AD377" i="17" a="1"/>
  <c r="O377" i="17" s="1" a="1"/>
  <c r="AA377" i="17"/>
  <c r="AC377" i="17" s="1"/>
  <c r="P377" i="17"/>
  <c r="H377" i="17" a="1"/>
  <c r="E377" i="17"/>
  <c r="AD376" i="17" a="1"/>
  <c r="O376" i="17" s="1" a="1"/>
  <c r="AA376" i="17"/>
  <c r="AC376" i="17" s="1"/>
  <c r="P376" i="17"/>
  <c r="H376" i="17" a="1"/>
  <c r="E376" i="17"/>
  <c r="AD375" i="17" a="1"/>
  <c r="O375" i="17" s="1" a="1"/>
  <c r="AA375" i="17"/>
  <c r="AC375" i="17" s="1"/>
  <c r="P375" i="17"/>
  <c r="H375" i="17" a="1"/>
  <c r="E375" i="17"/>
  <c r="AD374" i="17" a="1"/>
  <c r="O374" i="17" s="1" a="1"/>
  <c r="AA374" i="17"/>
  <c r="AC374" i="17" s="1"/>
  <c r="P374" i="17"/>
  <c r="H374" i="17" a="1"/>
  <c r="E374" i="17"/>
  <c r="AD373" i="17" a="1"/>
  <c r="O373" i="17" s="1" a="1"/>
  <c r="AA373" i="17"/>
  <c r="AC373" i="17" s="1"/>
  <c r="P373" i="17"/>
  <c r="H373" i="17" a="1"/>
  <c r="E373" i="17"/>
  <c r="AD372" i="17" a="1"/>
  <c r="O372" i="17" s="1" a="1"/>
  <c r="AA372" i="17"/>
  <c r="AC372" i="17" s="1"/>
  <c r="P372" i="17"/>
  <c r="H372" i="17" a="1"/>
  <c r="E372" i="17"/>
  <c r="AD371" i="17" a="1"/>
  <c r="O371" i="17" s="1" a="1"/>
  <c r="AA371" i="17"/>
  <c r="AC371" i="17" s="1"/>
  <c r="P371" i="17"/>
  <c r="H371" i="17" a="1"/>
  <c r="E371" i="17"/>
  <c r="AD370" i="17" a="1"/>
  <c r="O370" i="17" s="1" a="1"/>
  <c r="AA370" i="17"/>
  <c r="AC370" i="17" s="1"/>
  <c r="P370" i="17"/>
  <c r="H370" i="17" a="1"/>
  <c r="E370" i="17"/>
  <c r="AD369" i="17" a="1"/>
  <c r="O369" i="17" s="1" a="1"/>
  <c r="AA369" i="17"/>
  <c r="AC369" i="17" s="1"/>
  <c r="P369" i="17"/>
  <c r="H369" i="17" a="1"/>
  <c r="E369" i="17"/>
  <c r="AD368" i="17" a="1"/>
  <c r="O368" i="17" s="1" a="1"/>
  <c r="AA368" i="17"/>
  <c r="AC368" i="17" s="1"/>
  <c r="P368" i="17"/>
  <c r="H368" i="17" a="1"/>
  <c r="E368" i="17"/>
  <c r="AD367" i="17" a="1"/>
  <c r="O367" i="17" s="1" a="1"/>
  <c r="AA367" i="17"/>
  <c r="AC367" i="17" s="1"/>
  <c r="P367" i="17"/>
  <c r="H367" i="17" a="1"/>
  <c r="E367" i="17"/>
  <c r="AD366" i="17" a="1"/>
  <c r="O366" i="17" s="1" a="1"/>
  <c r="AA366" i="17"/>
  <c r="AC366" i="17" s="1"/>
  <c r="P366" i="17"/>
  <c r="H366" i="17" a="1"/>
  <c r="E366" i="17"/>
  <c r="AD365" i="17" a="1"/>
  <c r="O365" i="17" s="1" a="1"/>
  <c r="AA365" i="17"/>
  <c r="AC365" i="17" s="1"/>
  <c r="P365" i="17"/>
  <c r="H365" i="17" a="1"/>
  <c r="E365" i="17"/>
  <c r="AD364" i="17" a="1"/>
  <c r="O364" i="17" s="1" a="1"/>
  <c r="AA364" i="17"/>
  <c r="AC364" i="17" s="1"/>
  <c r="P364" i="17"/>
  <c r="H364" i="17" a="1"/>
  <c r="E364" i="17"/>
  <c r="AD363" i="17" a="1"/>
  <c r="O363" i="17" s="1" a="1"/>
  <c r="AA363" i="17"/>
  <c r="AC363" i="17" s="1"/>
  <c r="P363" i="17"/>
  <c r="H363" i="17" a="1"/>
  <c r="E363" i="17"/>
  <c r="AD362" i="17" a="1"/>
  <c r="O362" i="17" s="1" a="1"/>
  <c r="AA362" i="17"/>
  <c r="AC362" i="17" s="1"/>
  <c r="P362" i="17"/>
  <c r="H362" i="17" a="1"/>
  <c r="E362" i="17"/>
  <c r="AD361" i="17" a="1"/>
  <c r="O361" i="17" s="1" a="1"/>
  <c r="AA361" i="17"/>
  <c r="AC361" i="17" s="1"/>
  <c r="P361" i="17"/>
  <c r="H361" i="17" a="1"/>
  <c r="E361" i="17"/>
  <c r="AD360" i="17" a="1"/>
  <c r="O360" i="17" s="1" a="1"/>
  <c r="AA360" i="17"/>
  <c r="AC360" i="17" s="1"/>
  <c r="P360" i="17"/>
  <c r="H360" i="17" a="1"/>
  <c r="E360" i="17"/>
  <c r="AD359" i="17" a="1"/>
  <c r="O359" i="17" s="1" a="1"/>
  <c r="AA359" i="17"/>
  <c r="AC359" i="17" s="1"/>
  <c r="P359" i="17"/>
  <c r="H359" i="17" a="1"/>
  <c r="E359" i="17"/>
  <c r="AD358" i="17" a="1"/>
  <c r="O358" i="17" s="1" a="1"/>
  <c r="AA358" i="17"/>
  <c r="AC358" i="17" s="1"/>
  <c r="P358" i="17"/>
  <c r="H358" i="17" a="1"/>
  <c r="E358" i="17"/>
  <c r="AD357" i="17" a="1"/>
  <c r="O357" i="17" s="1" a="1"/>
  <c r="AA357" i="17"/>
  <c r="AC357" i="17" s="1"/>
  <c r="P357" i="17"/>
  <c r="H357" i="17" a="1"/>
  <c r="E357" i="17"/>
  <c r="AD356" i="17" a="1"/>
  <c r="O356" i="17" s="1" a="1"/>
  <c r="AA356" i="17"/>
  <c r="AC356" i="17" s="1"/>
  <c r="P356" i="17"/>
  <c r="H356" i="17" a="1"/>
  <c r="E356" i="17"/>
  <c r="AD355" i="17" a="1"/>
  <c r="O355" i="17" s="1" a="1"/>
  <c r="AA355" i="17"/>
  <c r="AC355" i="17" s="1"/>
  <c r="P355" i="17"/>
  <c r="H355" i="17" a="1"/>
  <c r="E355" i="17"/>
  <c r="AD354" i="17" a="1"/>
  <c r="O354" i="17" s="1" a="1"/>
  <c r="AA354" i="17"/>
  <c r="AC354" i="17" s="1"/>
  <c r="P354" i="17"/>
  <c r="H354" i="17" a="1"/>
  <c r="E354" i="17"/>
  <c r="AD353" i="17" a="1"/>
  <c r="O353" i="17" s="1" a="1"/>
  <c r="AA353" i="17"/>
  <c r="AC353" i="17" s="1"/>
  <c r="P353" i="17"/>
  <c r="H353" i="17" a="1"/>
  <c r="E353" i="17"/>
  <c r="AD352" i="17" a="1"/>
  <c r="O352" i="17" s="1" a="1"/>
  <c r="AA352" i="17"/>
  <c r="AC352" i="17" s="1"/>
  <c r="P352" i="17"/>
  <c r="H352" i="17" a="1"/>
  <c r="E352" i="17"/>
  <c r="AD351" i="17" a="1"/>
  <c r="O351" i="17" s="1" a="1"/>
  <c r="AA351" i="17"/>
  <c r="AC351" i="17" s="1"/>
  <c r="P351" i="17"/>
  <c r="H351" i="17" a="1"/>
  <c r="E351" i="17"/>
  <c r="AD350" i="17" a="1"/>
  <c r="O350" i="17" s="1" a="1"/>
  <c r="AA350" i="17"/>
  <c r="AC350" i="17" s="1"/>
  <c r="P350" i="17"/>
  <c r="H350" i="17" a="1"/>
  <c r="E350" i="17"/>
  <c r="AD349" i="17" a="1"/>
  <c r="O349" i="17" s="1" a="1"/>
  <c r="AA349" i="17"/>
  <c r="AC349" i="17" s="1"/>
  <c r="P349" i="17"/>
  <c r="H349" i="17" a="1"/>
  <c r="E349" i="17"/>
  <c r="AD348" i="17" a="1"/>
  <c r="O348" i="17" s="1" a="1"/>
  <c r="AA348" i="17"/>
  <c r="AC348" i="17" s="1"/>
  <c r="P348" i="17"/>
  <c r="H348" i="17" a="1"/>
  <c r="E348" i="17"/>
  <c r="AD347" i="17" a="1"/>
  <c r="O347" i="17" s="1" a="1"/>
  <c r="AA347" i="17"/>
  <c r="AC347" i="17" s="1"/>
  <c r="P347" i="17"/>
  <c r="H347" i="17" a="1"/>
  <c r="E347" i="17"/>
  <c r="AD346" i="17" a="1"/>
  <c r="O346" i="17" s="1" a="1"/>
  <c r="AA346" i="17"/>
  <c r="AC346" i="17" s="1"/>
  <c r="P346" i="17"/>
  <c r="H346" i="17" a="1"/>
  <c r="E346" i="17"/>
  <c r="AD345" i="17" a="1"/>
  <c r="O345" i="17" s="1" a="1"/>
  <c r="AA345" i="17"/>
  <c r="AC345" i="17" s="1"/>
  <c r="P345" i="17"/>
  <c r="H345" i="17" a="1"/>
  <c r="E345" i="17"/>
  <c r="AD344" i="17" a="1"/>
  <c r="O344" i="17" s="1" a="1"/>
  <c r="AA344" i="17"/>
  <c r="AC344" i="17" s="1"/>
  <c r="P344" i="17"/>
  <c r="H344" i="17" a="1"/>
  <c r="E344" i="17"/>
  <c r="AD343" i="17" a="1"/>
  <c r="O343" i="17" s="1" a="1"/>
  <c r="AA343" i="17"/>
  <c r="AC343" i="17" s="1"/>
  <c r="P343" i="17"/>
  <c r="H343" i="17" a="1"/>
  <c r="E343" i="17"/>
  <c r="AD342" i="17" a="1"/>
  <c r="O342" i="17" s="1" a="1"/>
  <c r="AA342" i="17"/>
  <c r="AC342" i="17" s="1"/>
  <c r="P342" i="17"/>
  <c r="H342" i="17" a="1"/>
  <c r="E342" i="17"/>
  <c r="AD341" i="17" a="1"/>
  <c r="O341" i="17" s="1" a="1"/>
  <c r="AA341" i="17"/>
  <c r="AC341" i="17" s="1"/>
  <c r="P341" i="17"/>
  <c r="H341" i="17" a="1"/>
  <c r="E341" i="17"/>
  <c r="AD340" i="17" a="1"/>
  <c r="O340" i="17" s="1" a="1"/>
  <c r="AA340" i="17"/>
  <c r="AC340" i="17" s="1"/>
  <c r="P340" i="17"/>
  <c r="H340" i="17" a="1"/>
  <c r="E340" i="17"/>
  <c r="AD339" i="17" a="1"/>
  <c r="O339" i="17" s="1" a="1"/>
  <c r="AA339" i="17"/>
  <c r="AC339" i="17" s="1"/>
  <c r="P339" i="17"/>
  <c r="H339" i="17" a="1"/>
  <c r="E339" i="17"/>
  <c r="AD338" i="17" a="1"/>
  <c r="O338" i="17" s="1" a="1"/>
  <c r="AA338" i="17"/>
  <c r="AC338" i="17" s="1"/>
  <c r="P338" i="17"/>
  <c r="H338" i="17" a="1"/>
  <c r="E338" i="17"/>
  <c r="AD337" i="17" a="1"/>
  <c r="O337" i="17" s="1" a="1"/>
  <c r="AA337" i="17"/>
  <c r="AC337" i="17" s="1"/>
  <c r="P337" i="17"/>
  <c r="H337" i="17" a="1"/>
  <c r="E337" i="17"/>
  <c r="AD336" i="17" a="1"/>
  <c r="O336" i="17" s="1" a="1"/>
  <c r="AA336" i="17"/>
  <c r="AC336" i="17" s="1"/>
  <c r="P336" i="17"/>
  <c r="H336" i="17" a="1"/>
  <c r="E336" i="17"/>
  <c r="AD335" i="17" a="1"/>
  <c r="O335" i="17" s="1" a="1"/>
  <c r="AA335" i="17"/>
  <c r="AC335" i="17" s="1"/>
  <c r="P335" i="17"/>
  <c r="H335" i="17" a="1"/>
  <c r="E335" i="17"/>
  <c r="AD334" i="17" a="1"/>
  <c r="O334" i="17" s="1" a="1"/>
  <c r="AA334" i="17"/>
  <c r="AC334" i="17" s="1"/>
  <c r="P334" i="17"/>
  <c r="H334" i="17" a="1"/>
  <c r="E334" i="17"/>
  <c r="AD333" i="17" a="1"/>
  <c r="O333" i="17" s="1" a="1"/>
  <c r="AA333" i="17"/>
  <c r="AC333" i="17" s="1"/>
  <c r="P333" i="17"/>
  <c r="H333" i="17" a="1"/>
  <c r="E333" i="17"/>
  <c r="AD332" i="17" a="1"/>
  <c r="O332" i="17" s="1" a="1"/>
  <c r="AA332" i="17"/>
  <c r="AC332" i="17" s="1"/>
  <c r="P332" i="17"/>
  <c r="H332" i="17" a="1"/>
  <c r="E332" i="17"/>
  <c r="AD331" i="17" a="1"/>
  <c r="O331" i="17" s="1" a="1"/>
  <c r="AA331" i="17"/>
  <c r="AC331" i="17" s="1"/>
  <c r="P331" i="17"/>
  <c r="H331" i="17" a="1"/>
  <c r="E331" i="17"/>
  <c r="AD330" i="17" a="1"/>
  <c r="O330" i="17" s="1" a="1"/>
  <c r="AA330" i="17"/>
  <c r="AC330" i="17" s="1"/>
  <c r="P330" i="17"/>
  <c r="H330" i="17" a="1"/>
  <c r="E330" i="17"/>
  <c r="AD329" i="17" a="1"/>
  <c r="O329" i="17" s="1" a="1"/>
  <c r="AA329" i="17"/>
  <c r="AC329" i="17" s="1"/>
  <c r="P329" i="17"/>
  <c r="H329" i="17" a="1"/>
  <c r="E329" i="17"/>
  <c r="AD328" i="17" a="1"/>
  <c r="O328" i="17" s="1" a="1"/>
  <c r="AA328" i="17"/>
  <c r="AC328" i="17" s="1"/>
  <c r="P328" i="17"/>
  <c r="H328" i="17" a="1"/>
  <c r="E328" i="17"/>
  <c r="AD327" i="17" a="1"/>
  <c r="O327" i="17" s="1" a="1"/>
  <c r="AA327" i="17"/>
  <c r="AC327" i="17" s="1"/>
  <c r="P327" i="17"/>
  <c r="H327" i="17" a="1"/>
  <c r="E327" i="17"/>
  <c r="AD326" i="17" a="1"/>
  <c r="O326" i="17" s="1" a="1"/>
  <c r="AA326" i="17"/>
  <c r="AC326" i="17" s="1"/>
  <c r="P326" i="17"/>
  <c r="H326" i="17" a="1"/>
  <c r="E326" i="17"/>
  <c r="AD325" i="17" a="1"/>
  <c r="O325" i="17" s="1" a="1"/>
  <c r="AA325" i="17"/>
  <c r="AC325" i="17" s="1"/>
  <c r="P325" i="17"/>
  <c r="H325" i="17" a="1"/>
  <c r="E325" i="17"/>
  <c r="AD324" i="17" a="1"/>
  <c r="O324" i="17" s="1" a="1"/>
  <c r="AA324" i="17"/>
  <c r="AC324" i="17" s="1"/>
  <c r="P324" i="17"/>
  <c r="H324" i="17" a="1"/>
  <c r="E324" i="17"/>
  <c r="AD323" i="17" a="1"/>
  <c r="O323" i="17" s="1" a="1"/>
  <c r="AA323" i="17"/>
  <c r="AC323" i="17" s="1"/>
  <c r="P323" i="17"/>
  <c r="H323" i="17" a="1"/>
  <c r="E323" i="17"/>
  <c r="AD322" i="17" a="1"/>
  <c r="O322" i="17" s="1" a="1"/>
  <c r="AA322" i="17"/>
  <c r="AC322" i="17" s="1"/>
  <c r="P322" i="17"/>
  <c r="H322" i="17" a="1"/>
  <c r="E322" i="17"/>
  <c r="AD321" i="17" a="1"/>
  <c r="O321" i="17" s="1" a="1"/>
  <c r="AA321" i="17"/>
  <c r="AC321" i="17" s="1"/>
  <c r="P321" i="17"/>
  <c r="H321" i="17" a="1"/>
  <c r="E321" i="17"/>
  <c r="AD320" i="17" a="1"/>
  <c r="O320" i="17" s="1" a="1"/>
  <c r="AA320" i="17"/>
  <c r="AC320" i="17" s="1"/>
  <c r="P320" i="17"/>
  <c r="H320" i="17" a="1"/>
  <c r="E320" i="17"/>
  <c r="AD319" i="17" a="1"/>
  <c r="O319" i="17" s="1" a="1"/>
  <c r="AA319" i="17"/>
  <c r="AC319" i="17" s="1"/>
  <c r="P319" i="17"/>
  <c r="H319" i="17" a="1"/>
  <c r="E319" i="17"/>
  <c r="AD318" i="17" a="1"/>
  <c r="O318" i="17" s="1" a="1"/>
  <c r="AA318" i="17"/>
  <c r="AC318" i="17" s="1"/>
  <c r="P318" i="17"/>
  <c r="H318" i="17" a="1"/>
  <c r="E318" i="17"/>
  <c r="AD317" i="17" a="1"/>
  <c r="O317" i="17" s="1" a="1"/>
  <c r="AA317" i="17"/>
  <c r="AC317" i="17" s="1"/>
  <c r="P317" i="17"/>
  <c r="H317" i="17" a="1"/>
  <c r="E317" i="17"/>
  <c r="AD316" i="17" a="1"/>
  <c r="O316" i="17" s="1" a="1"/>
  <c r="AA316" i="17"/>
  <c r="AC316" i="17" s="1"/>
  <c r="P316" i="17"/>
  <c r="H316" i="17" a="1"/>
  <c r="E316" i="17"/>
  <c r="AD315" i="17" a="1"/>
  <c r="O315" i="17" s="1" a="1"/>
  <c r="AA315" i="17"/>
  <c r="AC315" i="17" s="1"/>
  <c r="P315" i="17"/>
  <c r="H315" i="17" a="1"/>
  <c r="E315" i="17"/>
  <c r="AD314" i="17" a="1"/>
  <c r="O314" i="17" s="1" a="1"/>
  <c r="AA314" i="17"/>
  <c r="AC314" i="17" s="1"/>
  <c r="P314" i="17"/>
  <c r="H314" i="17" a="1"/>
  <c r="E314" i="17"/>
  <c r="AD313" i="17" a="1"/>
  <c r="O313" i="17" s="1" a="1"/>
  <c r="AA313" i="17"/>
  <c r="AC313" i="17" s="1"/>
  <c r="P313" i="17"/>
  <c r="H313" i="17" a="1"/>
  <c r="E313" i="17"/>
  <c r="AD312" i="17" a="1"/>
  <c r="O312" i="17" s="1" a="1"/>
  <c r="AA312" i="17"/>
  <c r="AC312" i="17" s="1"/>
  <c r="P312" i="17"/>
  <c r="H312" i="17" a="1"/>
  <c r="E312" i="17"/>
  <c r="AD311" i="17" a="1"/>
  <c r="O311" i="17" s="1" a="1"/>
  <c r="AA311" i="17"/>
  <c r="AC311" i="17" s="1"/>
  <c r="P311" i="17"/>
  <c r="H311" i="17" a="1"/>
  <c r="E311" i="17"/>
  <c r="AD310" i="17" a="1"/>
  <c r="O310" i="17" s="1" a="1"/>
  <c r="AA310" i="17"/>
  <c r="AC310" i="17" s="1"/>
  <c r="P310" i="17"/>
  <c r="H310" i="17" a="1"/>
  <c r="E310" i="17"/>
  <c r="AD309" i="17" a="1"/>
  <c r="O309" i="17" s="1" a="1"/>
  <c r="AA309" i="17"/>
  <c r="AC309" i="17" s="1"/>
  <c r="P309" i="17"/>
  <c r="H309" i="17" a="1"/>
  <c r="E309" i="17"/>
  <c r="AD308" i="17" a="1"/>
  <c r="O308" i="17" s="1" a="1"/>
  <c r="AA308" i="17"/>
  <c r="AC308" i="17" s="1"/>
  <c r="P308" i="17"/>
  <c r="H308" i="17" a="1"/>
  <c r="E308" i="17"/>
  <c r="AD307" i="17" a="1"/>
  <c r="O307" i="17" s="1" a="1"/>
  <c r="AA307" i="17"/>
  <c r="AC307" i="17" s="1"/>
  <c r="P307" i="17"/>
  <c r="H307" i="17" a="1"/>
  <c r="E307" i="17"/>
  <c r="AD306" i="17" a="1"/>
  <c r="O306" i="17" s="1" a="1"/>
  <c r="AA306" i="17"/>
  <c r="AC306" i="17" s="1"/>
  <c r="P306" i="17"/>
  <c r="H306" i="17" a="1"/>
  <c r="E306" i="17"/>
  <c r="AD305" i="17" a="1"/>
  <c r="O305" i="17" s="1" a="1"/>
  <c r="AA305" i="17"/>
  <c r="AC305" i="17" s="1"/>
  <c r="P305" i="17"/>
  <c r="H305" i="17" a="1"/>
  <c r="E305" i="17"/>
  <c r="AD304" i="17" a="1"/>
  <c r="O304" i="17" s="1" a="1"/>
  <c r="AA304" i="17"/>
  <c r="AC304" i="17" s="1"/>
  <c r="P304" i="17"/>
  <c r="H304" i="17" a="1"/>
  <c r="E304" i="17"/>
  <c r="AD303" i="17" a="1"/>
  <c r="O303" i="17" s="1" a="1"/>
  <c r="AA303" i="17"/>
  <c r="AC303" i="17" s="1"/>
  <c r="P303" i="17"/>
  <c r="H303" i="17" a="1"/>
  <c r="E303" i="17"/>
  <c r="AD302" i="17" a="1"/>
  <c r="O302" i="17" s="1" a="1"/>
  <c r="AA302" i="17"/>
  <c r="AC302" i="17" s="1"/>
  <c r="P302" i="17"/>
  <c r="H302" i="17" a="1"/>
  <c r="E302" i="17"/>
  <c r="AD301" i="17" a="1"/>
  <c r="O301" i="17" s="1" a="1"/>
  <c r="AA301" i="17"/>
  <c r="AC301" i="17" s="1"/>
  <c r="P301" i="17"/>
  <c r="H301" i="17" a="1"/>
  <c r="E301" i="17"/>
  <c r="AD300" i="17" a="1"/>
  <c r="O300" i="17" s="1" a="1"/>
  <c r="AA300" i="17"/>
  <c r="AC300" i="17" s="1"/>
  <c r="P300" i="17"/>
  <c r="H300" i="17" a="1"/>
  <c r="E300" i="17"/>
  <c r="AD299" i="17" a="1"/>
  <c r="O299" i="17" s="1" a="1"/>
  <c r="AA299" i="17"/>
  <c r="AC299" i="17" s="1"/>
  <c r="P299" i="17"/>
  <c r="H299" i="17" a="1"/>
  <c r="E299" i="17"/>
  <c r="AD298" i="17" a="1"/>
  <c r="O298" i="17" s="1" a="1"/>
  <c r="AA298" i="17"/>
  <c r="AC298" i="17" s="1"/>
  <c r="P298" i="17"/>
  <c r="H298" i="17" a="1"/>
  <c r="E298" i="17"/>
  <c r="AD297" i="17" a="1"/>
  <c r="O297" i="17" s="1" a="1"/>
  <c r="AA297" i="17"/>
  <c r="AC297" i="17" s="1"/>
  <c r="P297" i="17"/>
  <c r="H297" i="17" a="1"/>
  <c r="E297" i="17"/>
  <c r="AD296" i="17" a="1"/>
  <c r="O296" i="17" s="1" a="1"/>
  <c r="AA296" i="17"/>
  <c r="AC296" i="17" s="1"/>
  <c r="P296" i="17"/>
  <c r="H296" i="17" a="1"/>
  <c r="E296" i="17"/>
  <c r="AD295" i="17" a="1"/>
  <c r="O295" i="17" s="1" a="1"/>
  <c r="AA295" i="17"/>
  <c r="AC295" i="17" s="1"/>
  <c r="P295" i="17"/>
  <c r="H295" i="17" a="1"/>
  <c r="E295" i="17"/>
  <c r="AD294" i="17" a="1"/>
  <c r="O294" i="17" s="1" a="1"/>
  <c r="AA294" i="17"/>
  <c r="AC294" i="17" s="1"/>
  <c r="P294" i="17"/>
  <c r="H294" i="17" a="1"/>
  <c r="E294" i="17"/>
  <c r="AD293" i="17" a="1"/>
  <c r="O293" i="17" s="1" a="1"/>
  <c r="AA293" i="17"/>
  <c r="AC293" i="17" s="1"/>
  <c r="P293" i="17"/>
  <c r="H293" i="17" a="1"/>
  <c r="E293" i="17"/>
  <c r="AD292" i="17" a="1"/>
  <c r="O292" i="17" s="1" a="1"/>
  <c r="AA292" i="17"/>
  <c r="AC292" i="17" s="1"/>
  <c r="P292" i="17"/>
  <c r="H292" i="17" a="1"/>
  <c r="E292" i="17"/>
  <c r="AD291" i="17" a="1"/>
  <c r="O291" i="17" s="1" a="1"/>
  <c r="AA291" i="17"/>
  <c r="AC291" i="17" s="1"/>
  <c r="P291" i="17"/>
  <c r="H291" i="17" a="1"/>
  <c r="E291" i="17"/>
  <c r="AD290" i="17" a="1"/>
  <c r="O290" i="17" s="1" a="1"/>
  <c r="AA290" i="17"/>
  <c r="AC290" i="17" s="1"/>
  <c r="P290" i="17"/>
  <c r="H290" i="17" a="1"/>
  <c r="E290" i="17"/>
  <c r="AD289" i="17" a="1"/>
  <c r="O289" i="17" s="1" a="1"/>
  <c r="AA289" i="17"/>
  <c r="AC289" i="17" s="1"/>
  <c r="P289" i="17"/>
  <c r="H289" i="17" a="1"/>
  <c r="E289" i="17"/>
  <c r="AD288" i="17" a="1"/>
  <c r="O288" i="17" s="1" a="1"/>
  <c r="AA288" i="17"/>
  <c r="AC288" i="17" s="1"/>
  <c r="P288" i="17"/>
  <c r="H288" i="17" a="1"/>
  <c r="E288" i="17"/>
  <c r="AD287" i="17" a="1"/>
  <c r="O287" i="17" s="1" a="1"/>
  <c r="AA287" i="17"/>
  <c r="AC287" i="17" s="1"/>
  <c r="P287" i="17"/>
  <c r="H287" i="17" a="1"/>
  <c r="E287" i="17"/>
  <c r="AD286" i="17" a="1"/>
  <c r="O286" i="17" s="1" a="1"/>
  <c r="AA286" i="17"/>
  <c r="AC286" i="17" s="1"/>
  <c r="P286" i="17"/>
  <c r="H286" i="17" a="1"/>
  <c r="E286" i="17"/>
  <c r="AD285" i="17" a="1"/>
  <c r="O285" i="17" s="1" a="1"/>
  <c r="Z285" i="17"/>
  <c r="AA285" i="17" s="1"/>
  <c r="AC285" i="17" s="1"/>
  <c r="P285" i="17"/>
  <c r="H285" i="17" a="1"/>
  <c r="E285" i="17"/>
  <c r="AD284" i="17" a="1"/>
  <c r="O284" i="17" s="1" a="1"/>
  <c r="AA284" i="17"/>
  <c r="AC284" i="17" s="1"/>
  <c r="P284" i="17"/>
  <c r="H284" i="17" a="1"/>
  <c r="E284" i="17"/>
  <c r="AD283" i="17" a="1"/>
  <c r="O283" i="17" s="1" a="1"/>
  <c r="AA283" i="17"/>
  <c r="AC283" i="17" s="1"/>
  <c r="P283" i="17"/>
  <c r="H283" i="17" a="1"/>
  <c r="E283" i="17"/>
  <c r="AD282" i="17" a="1"/>
  <c r="O282" i="17" s="1" a="1"/>
  <c r="AA282" i="17"/>
  <c r="AC282" i="17" s="1"/>
  <c r="P282" i="17"/>
  <c r="H282" i="17" a="1"/>
  <c r="E282" i="17"/>
  <c r="AD281" i="17" a="1"/>
  <c r="O281" i="17" s="1" a="1"/>
  <c r="AA281" i="17"/>
  <c r="AC281" i="17" s="1"/>
  <c r="P281" i="17"/>
  <c r="H281" i="17" a="1"/>
  <c r="E281" i="17"/>
  <c r="AD280" i="17" a="1"/>
  <c r="O280" i="17" s="1" a="1"/>
  <c r="AA280" i="17"/>
  <c r="AC280" i="17" s="1"/>
  <c r="P280" i="17"/>
  <c r="H280" i="17" a="1"/>
  <c r="E280" i="17"/>
  <c r="AD279" i="17" a="1"/>
  <c r="O279" i="17" s="1" a="1"/>
  <c r="AA279" i="17"/>
  <c r="AC279" i="17" s="1"/>
  <c r="P279" i="17"/>
  <c r="H279" i="17" a="1"/>
  <c r="E279" i="17"/>
  <c r="AD278" i="17" a="1"/>
  <c r="O278" i="17" s="1" a="1"/>
  <c r="AA278" i="17"/>
  <c r="AC278" i="17" s="1"/>
  <c r="P278" i="17"/>
  <c r="H278" i="17" a="1"/>
  <c r="E278" i="17"/>
  <c r="AD277" i="17" a="1"/>
  <c r="O277" i="17" s="1" a="1"/>
  <c r="AA277" i="17"/>
  <c r="AC277" i="17" s="1"/>
  <c r="P277" i="17"/>
  <c r="H277" i="17" a="1"/>
  <c r="E277" i="17"/>
  <c r="AD276" i="17" a="1"/>
  <c r="O276" i="17" s="1" a="1"/>
  <c r="AA276" i="17"/>
  <c r="AC276" i="17" s="1"/>
  <c r="P276" i="17"/>
  <c r="H276" i="17" a="1"/>
  <c r="E276" i="17"/>
  <c r="AD275" i="17" a="1"/>
  <c r="O275" i="17" s="1" a="1"/>
  <c r="AA275" i="17"/>
  <c r="AC275" i="17" s="1"/>
  <c r="P275" i="17"/>
  <c r="H275" i="17" a="1"/>
  <c r="E275" i="17"/>
  <c r="AD274" i="17" a="1"/>
  <c r="O274" i="17" s="1" a="1"/>
  <c r="AA274" i="17"/>
  <c r="AC274" i="17" s="1"/>
  <c r="P274" i="17"/>
  <c r="H274" i="17" a="1"/>
  <c r="E274" i="17"/>
  <c r="AD273" i="17" a="1"/>
  <c r="O273" i="17" s="1" a="1"/>
  <c r="AA273" i="17"/>
  <c r="AC273" i="17" s="1"/>
  <c r="P273" i="17"/>
  <c r="H273" i="17" a="1"/>
  <c r="E273" i="17"/>
  <c r="AD272" i="17" a="1"/>
  <c r="O272" i="17" s="1" a="1"/>
  <c r="AA272" i="17"/>
  <c r="AC272" i="17" s="1"/>
  <c r="P272" i="17"/>
  <c r="H272" i="17" a="1"/>
  <c r="E272" i="17"/>
  <c r="AD271" i="17" a="1"/>
  <c r="O271" i="17" s="1" a="1"/>
  <c r="AA271" i="17"/>
  <c r="AC271" i="17" s="1"/>
  <c r="P271" i="17"/>
  <c r="H271" i="17" a="1"/>
  <c r="E271" i="17"/>
  <c r="AD270" i="17" a="1"/>
  <c r="O270" i="17" s="1" a="1"/>
  <c r="AA270" i="17"/>
  <c r="AC270" i="17" s="1"/>
  <c r="P270" i="17"/>
  <c r="H270" i="17" a="1"/>
  <c r="E270" i="17"/>
  <c r="AD269" i="17" a="1"/>
  <c r="O269" i="17" s="1" a="1"/>
  <c r="AA269" i="17"/>
  <c r="AC269" i="17" s="1"/>
  <c r="P269" i="17"/>
  <c r="H269" i="17" a="1"/>
  <c r="E269" i="17"/>
  <c r="AD268" i="17" a="1"/>
  <c r="O268" i="17" s="1" a="1"/>
  <c r="AA268" i="17"/>
  <c r="AC268" i="17" s="1"/>
  <c r="P268" i="17"/>
  <c r="H268" i="17" a="1"/>
  <c r="E268" i="17"/>
  <c r="AD267" i="17" a="1"/>
  <c r="O267" i="17" s="1" a="1"/>
  <c r="AA267" i="17"/>
  <c r="AC267" i="17" s="1"/>
  <c r="P267" i="17"/>
  <c r="H267" i="17" a="1"/>
  <c r="E267" i="17"/>
  <c r="AD266" i="17" a="1"/>
  <c r="O266" i="17" s="1" a="1"/>
  <c r="AA266" i="17"/>
  <c r="AC266" i="17" s="1"/>
  <c r="P266" i="17"/>
  <c r="H266" i="17" a="1"/>
  <c r="E266" i="17"/>
  <c r="AD265" i="17" a="1"/>
  <c r="O265" i="17" s="1" a="1"/>
  <c r="AA265" i="17"/>
  <c r="AC265" i="17" s="1"/>
  <c r="P265" i="17"/>
  <c r="H265" i="17" a="1"/>
  <c r="E265" i="17"/>
  <c r="AD264" i="17" a="1"/>
  <c r="O264" i="17" s="1" a="1"/>
  <c r="AA264" i="17"/>
  <c r="AC264" i="17" s="1"/>
  <c r="P264" i="17"/>
  <c r="H264" i="17" a="1"/>
  <c r="E264" i="17"/>
  <c r="AD263" i="17" a="1"/>
  <c r="O263" i="17" s="1" a="1"/>
  <c r="AA263" i="17"/>
  <c r="AC263" i="17" s="1"/>
  <c r="P263" i="17"/>
  <c r="H263" i="17" a="1"/>
  <c r="E263" i="17"/>
  <c r="AD262" i="17" a="1"/>
  <c r="O262" i="17" s="1" a="1"/>
  <c r="AA262" i="17"/>
  <c r="AC262" i="17" s="1"/>
  <c r="P262" i="17"/>
  <c r="H262" i="17" a="1"/>
  <c r="E262" i="17"/>
  <c r="AD261" i="17" a="1"/>
  <c r="O261" i="17" s="1" a="1"/>
  <c r="AA261" i="17"/>
  <c r="AC261" i="17" s="1"/>
  <c r="P261" i="17"/>
  <c r="H261" i="17" a="1"/>
  <c r="E261" i="17"/>
  <c r="AD260" i="17" a="1"/>
  <c r="O260" i="17" s="1" a="1"/>
  <c r="AA260" i="17"/>
  <c r="AC260" i="17" s="1"/>
  <c r="P260" i="17"/>
  <c r="H260" i="17" a="1"/>
  <c r="E260" i="17"/>
  <c r="AD259" i="17" a="1"/>
  <c r="O259" i="17" s="1" a="1"/>
  <c r="AA259" i="17"/>
  <c r="AC259" i="17" s="1"/>
  <c r="P259" i="17"/>
  <c r="H259" i="17" a="1"/>
  <c r="E259" i="17"/>
  <c r="AD258" i="17" a="1"/>
  <c r="O258" i="17" s="1" a="1"/>
  <c r="AA258" i="17"/>
  <c r="AC258" i="17" s="1"/>
  <c r="P258" i="17"/>
  <c r="H258" i="17" a="1"/>
  <c r="E258" i="17"/>
  <c r="AD257" i="17" a="1"/>
  <c r="O257" i="17" s="1" a="1"/>
  <c r="AA257" i="17"/>
  <c r="AC257" i="17" s="1"/>
  <c r="P257" i="17"/>
  <c r="H257" i="17" a="1"/>
  <c r="E257" i="17"/>
  <c r="AD256" i="17" a="1"/>
  <c r="O256" i="17" s="1" a="1"/>
  <c r="AA256" i="17"/>
  <c r="AC256" i="17" s="1"/>
  <c r="P256" i="17"/>
  <c r="H256" i="17" a="1"/>
  <c r="E256" i="17"/>
  <c r="AD255" i="17" a="1"/>
  <c r="O255" i="17" s="1" a="1"/>
  <c r="AA255" i="17"/>
  <c r="AC255" i="17" s="1"/>
  <c r="P255" i="17"/>
  <c r="H255" i="17" a="1"/>
  <c r="E255" i="17"/>
  <c r="AD254" i="17" a="1"/>
  <c r="O254" i="17" s="1" a="1"/>
  <c r="AA254" i="17"/>
  <c r="AC254" i="17" s="1"/>
  <c r="P254" i="17"/>
  <c r="H254" i="17" a="1"/>
  <c r="E254" i="17"/>
  <c r="AD253" i="17" a="1"/>
  <c r="O253" i="17" s="1" a="1"/>
  <c r="AA253" i="17"/>
  <c r="AC253" i="17" s="1"/>
  <c r="P253" i="17"/>
  <c r="H253" i="17" a="1"/>
  <c r="E253" i="17"/>
  <c r="AD252" i="17" a="1"/>
  <c r="O252" i="17" s="1" a="1"/>
  <c r="AA252" i="17"/>
  <c r="AC252" i="17" s="1"/>
  <c r="P252" i="17"/>
  <c r="H252" i="17" a="1"/>
  <c r="E252" i="17"/>
  <c r="AD251" i="17" a="1"/>
  <c r="O251" i="17" s="1" a="1"/>
  <c r="AA251" i="17"/>
  <c r="AC251" i="17" s="1"/>
  <c r="P251" i="17"/>
  <c r="H251" i="17" a="1"/>
  <c r="E251" i="17"/>
  <c r="AD250" i="17" a="1"/>
  <c r="O250" i="17" s="1" a="1"/>
  <c r="AA250" i="17"/>
  <c r="AC250" i="17" s="1"/>
  <c r="P250" i="17"/>
  <c r="H250" i="17" a="1"/>
  <c r="E250" i="17"/>
  <c r="AD249" i="17" a="1"/>
  <c r="O249" i="17" s="1" a="1"/>
  <c r="AA249" i="17"/>
  <c r="AC249" i="17" s="1"/>
  <c r="P249" i="17"/>
  <c r="H249" i="17" a="1"/>
  <c r="E249" i="17"/>
  <c r="AD248" i="17" a="1"/>
  <c r="O248" i="17" s="1" a="1"/>
  <c r="AA248" i="17"/>
  <c r="AC248" i="17" s="1"/>
  <c r="P248" i="17"/>
  <c r="H248" i="17" a="1"/>
  <c r="E248" i="17"/>
  <c r="AD247" i="17" a="1"/>
  <c r="O247" i="17" s="1" a="1"/>
  <c r="AA247" i="17"/>
  <c r="AC247" i="17" s="1"/>
  <c r="P247" i="17"/>
  <c r="H247" i="17" a="1"/>
  <c r="E247" i="17"/>
  <c r="AD246" i="17" a="1"/>
  <c r="O246" i="17" s="1" a="1"/>
  <c r="AA246" i="17"/>
  <c r="AC246" i="17" s="1"/>
  <c r="P246" i="17"/>
  <c r="H246" i="17" a="1"/>
  <c r="E246" i="17"/>
  <c r="AD245" i="17" a="1"/>
  <c r="O245" i="17" s="1" a="1"/>
  <c r="AA245" i="17"/>
  <c r="AC245" i="17" s="1"/>
  <c r="P245" i="17"/>
  <c r="H245" i="17" a="1"/>
  <c r="E245" i="17"/>
  <c r="AD244" i="17" a="1"/>
  <c r="O244" i="17" s="1" a="1"/>
  <c r="AA244" i="17"/>
  <c r="AC244" i="17" s="1"/>
  <c r="P244" i="17"/>
  <c r="H244" i="17" a="1"/>
  <c r="E244" i="17"/>
  <c r="AD243" i="17" a="1"/>
  <c r="O243" i="17" s="1" a="1"/>
  <c r="AA243" i="17"/>
  <c r="AC243" i="17" s="1"/>
  <c r="P243" i="17"/>
  <c r="H243" i="17" a="1"/>
  <c r="E243" i="17"/>
  <c r="AD242" i="17" a="1"/>
  <c r="O242" i="17" s="1" a="1"/>
  <c r="AA242" i="17"/>
  <c r="AC242" i="17" s="1"/>
  <c r="P242" i="17"/>
  <c r="H242" i="17" a="1"/>
  <c r="E242" i="17"/>
  <c r="AD241" i="17" a="1"/>
  <c r="O241" i="17" s="1" a="1"/>
  <c r="AA241" i="17"/>
  <c r="AC241" i="17" s="1"/>
  <c r="P241" i="17"/>
  <c r="H241" i="17" a="1"/>
  <c r="E241" i="17"/>
  <c r="AD240" i="17" a="1"/>
  <c r="O240" i="17" s="1" a="1"/>
  <c r="AA240" i="17"/>
  <c r="AC240" i="17" s="1"/>
  <c r="P240" i="17"/>
  <c r="H240" i="17" a="1"/>
  <c r="E240" i="17"/>
  <c r="AD239" i="17" a="1"/>
  <c r="O239" i="17" s="1" a="1"/>
  <c r="AA239" i="17"/>
  <c r="AC239" i="17" s="1"/>
  <c r="P239" i="17"/>
  <c r="H239" i="17" a="1"/>
  <c r="E239" i="17"/>
  <c r="AD238" i="17" a="1"/>
  <c r="O238" i="17" s="1" a="1"/>
  <c r="AA238" i="17"/>
  <c r="AC238" i="17" s="1"/>
  <c r="P238" i="17"/>
  <c r="H238" i="17" a="1"/>
  <c r="E238" i="17"/>
  <c r="AD237" i="17" a="1"/>
  <c r="O237" i="17" s="1" a="1"/>
  <c r="AA237" i="17"/>
  <c r="AC237" i="17" s="1"/>
  <c r="P237" i="17"/>
  <c r="H237" i="17" a="1"/>
  <c r="E237" i="17"/>
  <c r="AD236" i="17" a="1"/>
  <c r="O236" i="17" s="1" a="1"/>
  <c r="AA236" i="17"/>
  <c r="AC236" i="17" s="1"/>
  <c r="P236" i="17"/>
  <c r="H236" i="17" a="1"/>
  <c r="E236" i="17"/>
  <c r="AD235" i="17" a="1"/>
  <c r="O235" i="17" s="1" a="1"/>
  <c r="Z235" i="17"/>
  <c r="AA235" i="17" s="1"/>
  <c r="AC235" i="17" s="1"/>
  <c r="P235" i="17"/>
  <c r="H235" i="17" a="1"/>
  <c r="E235" i="17"/>
  <c r="AD234" i="17" a="1"/>
  <c r="O234" i="17" s="1" a="1"/>
  <c r="AA234" i="17"/>
  <c r="AC234" i="17" s="1"/>
  <c r="P234" i="17"/>
  <c r="H234" i="17" a="1"/>
  <c r="E234" i="17"/>
  <c r="AD233" i="17" a="1"/>
  <c r="O233" i="17" s="1" a="1"/>
  <c r="AA233" i="17"/>
  <c r="AC233" i="17" s="1"/>
  <c r="P233" i="17"/>
  <c r="H233" i="17" a="1"/>
  <c r="E233" i="17"/>
  <c r="AD232" i="17" a="1"/>
  <c r="O232" i="17" s="1" a="1"/>
  <c r="AA232" i="17"/>
  <c r="AC232" i="17" s="1"/>
  <c r="P232" i="17"/>
  <c r="H232" i="17" a="1"/>
  <c r="E232" i="17"/>
  <c r="AD231" i="17" a="1"/>
  <c r="O231" i="17" s="1" a="1"/>
  <c r="AA231" i="17"/>
  <c r="AC231" i="17" s="1"/>
  <c r="P231" i="17"/>
  <c r="H231" i="17" a="1"/>
  <c r="E231" i="17"/>
  <c r="AD230" i="17" a="1"/>
  <c r="O230" i="17" s="1" a="1"/>
  <c r="AA230" i="17"/>
  <c r="AC230" i="17" s="1"/>
  <c r="P230" i="17"/>
  <c r="H230" i="17" a="1"/>
  <c r="E230" i="17"/>
  <c r="AD229" i="17" a="1"/>
  <c r="O229" i="17" s="1" a="1"/>
  <c r="AA229" i="17"/>
  <c r="AC229" i="17" s="1"/>
  <c r="P229" i="17"/>
  <c r="H229" i="17" a="1"/>
  <c r="E229" i="17"/>
  <c r="AD228" i="17" a="1"/>
  <c r="O228" i="17" s="1" a="1"/>
  <c r="AA228" i="17"/>
  <c r="AC228" i="17" s="1"/>
  <c r="P228" i="17"/>
  <c r="H228" i="17" a="1"/>
  <c r="E228" i="17"/>
  <c r="AD227" i="17" a="1"/>
  <c r="O227" i="17" s="1" a="1"/>
  <c r="AA227" i="17"/>
  <c r="AC227" i="17" s="1"/>
  <c r="P227" i="17"/>
  <c r="H227" i="17" a="1"/>
  <c r="E227" i="17"/>
  <c r="AD226" i="17" a="1"/>
  <c r="O226" i="17" s="1" a="1"/>
  <c r="AA226" i="17"/>
  <c r="AC226" i="17" s="1"/>
  <c r="P226" i="17"/>
  <c r="H226" i="17" a="1"/>
  <c r="E226" i="17"/>
  <c r="AD225" i="17" a="1"/>
  <c r="O225" i="17" s="1" a="1"/>
  <c r="AA225" i="17"/>
  <c r="AC225" i="17" s="1"/>
  <c r="P225" i="17"/>
  <c r="H225" i="17" a="1"/>
  <c r="E225" i="17"/>
  <c r="AD224" i="17" a="1"/>
  <c r="O224" i="17" s="1" a="1"/>
  <c r="AA224" i="17"/>
  <c r="AC224" i="17" s="1"/>
  <c r="P224" i="17"/>
  <c r="H224" i="17" a="1"/>
  <c r="E224" i="17"/>
  <c r="AD223" i="17" a="1"/>
  <c r="O223" i="17" s="1" a="1"/>
  <c r="AA223" i="17"/>
  <c r="AC223" i="17" s="1"/>
  <c r="P223" i="17"/>
  <c r="H223" i="17" a="1"/>
  <c r="E223" i="17"/>
  <c r="AD222" i="17" a="1"/>
  <c r="O222" i="17" s="1" a="1"/>
  <c r="AA222" i="17"/>
  <c r="AC222" i="17" s="1"/>
  <c r="P222" i="17"/>
  <c r="H222" i="17" a="1"/>
  <c r="E222" i="17"/>
  <c r="AD221" i="17" a="1"/>
  <c r="O221" i="17" s="1" a="1"/>
  <c r="AA221" i="17"/>
  <c r="AC221" i="17" s="1"/>
  <c r="P221" i="17"/>
  <c r="H221" i="17" a="1"/>
  <c r="E221" i="17"/>
  <c r="AD220" i="17" a="1"/>
  <c r="O220" i="17" s="1" a="1"/>
  <c r="AA220" i="17"/>
  <c r="AC220" i="17" s="1"/>
  <c r="P220" i="17"/>
  <c r="H220" i="17" a="1"/>
  <c r="E220" i="17"/>
  <c r="AD219" i="17" a="1"/>
  <c r="O219" i="17" s="1" a="1"/>
  <c r="AA219" i="17"/>
  <c r="AC219" i="17" s="1"/>
  <c r="P219" i="17"/>
  <c r="H219" i="17" a="1"/>
  <c r="E219" i="17"/>
  <c r="AD218" i="17" a="1"/>
  <c r="O218" i="17" s="1" a="1"/>
  <c r="AA218" i="17"/>
  <c r="AC218" i="17" s="1"/>
  <c r="P218" i="17"/>
  <c r="H218" i="17" a="1"/>
  <c r="E218" i="17"/>
  <c r="AD217" i="17" a="1"/>
  <c r="O217" i="17" s="1" a="1"/>
  <c r="AA217" i="17"/>
  <c r="AC217" i="17" s="1"/>
  <c r="P217" i="17"/>
  <c r="H217" i="17" a="1"/>
  <c r="E217" i="17"/>
  <c r="AD216" i="17" a="1"/>
  <c r="O216" i="17" s="1" a="1"/>
  <c r="AA216" i="17"/>
  <c r="AC216" i="17" s="1"/>
  <c r="P216" i="17"/>
  <c r="H216" i="17" a="1"/>
  <c r="E216" i="17"/>
  <c r="AD215" i="17" a="1"/>
  <c r="O215" i="17" s="1" a="1"/>
  <c r="AA215" i="17"/>
  <c r="AC215" i="17" s="1"/>
  <c r="P215" i="17"/>
  <c r="H215" i="17" a="1"/>
  <c r="E215" i="17"/>
  <c r="AD214" i="17" a="1"/>
  <c r="O214" i="17" s="1" a="1"/>
  <c r="AA214" i="17"/>
  <c r="AC214" i="17" s="1"/>
  <c r="P214" i="17"/>
  <c r="H214" i="17" a="1"/>
  <c r="E214" i="17"/>
  <c r="AD213" i="17" a="1"/>
  <c r="O213" i="17" s="1" a="1"/>
  <c r="AA213" i="17"/>
  <c r="AC213" i="17" s="1"/>
  <c r="P213" i="17"/>
  <c r="H213" i="17" a="1"/>
  <c r="E213" i="17"/>
  <c r="AD212" i="17" a="1"/>
  <c r="O212" i="17" s="1" a="1"/>
  <c r="AA212" i="17"/>
  <c r="AC212" i="17" s="1"/>
  <c r="P212" i="17"/>
  <c r="H212" i="17" a="1"/>
  <c r="E212" i="17"/>
  <c r="AD211" i="17" a="1"/>
  <c r="O211" i="17" s="1" a="1"/>
  <c r="AA211" i="17"/>
  <c r="AC211" i="17" s="1"/>
  <c r="P211" i="17"/>
  <c r="H211" i="17" a="1"/>
  <c r="E211" i="17"/>
  <c r="AD210" i="17" a="1"/>
  <c r="O210" i="17" s="1" a="1"/>
  <c r="AA210" i="17"/>
  <c r="AC210" i="17" s="1"/>
  <c r="P210" i="17"/>
  <c r="H210" i="17" a="1"/>
  <c r="E210" i="17"/>
  <c r="AD209" i="17" a="1"/>
  <c r="O209" i="17" s="1" a="1"/>
  <c r="AA209" i="17"/>
  <c r="AC209" i="17" s="1"/>
  <c r="P209" i="17"/>
  <c r="H209" i="17" a="1"/>
  <c r="E209" i="17"/>
  <c r="AD208" i="17" a="1"/>
  <c r="O208" i="17" s="1" a="1"/>
  <c r="AA208" i="17"/>
  <c r="AC208" i="17" s="1"/>
  <c r="P208" i="17"/>
  <c r="H208" i="17" a="1"/>
  <c r="E208" i="17"/>
  <c r="AD207" i="17" a="1"/>
  <c r="O207" i="17" s="1" a="1"/>
  <c r="AA207" i="17"/>
  <c r="AC207" i="17" s="1"/>
  <c r="P207" i="17"/>
  <c r="H207" i="17" a="1"/>
  <c r="E207" i="17"/>
  <c r="AD206" i="17" a="1"/>
  <c r="O206" i="17" s="1" a="1"/>
  <c r="AA206" i="17"/>
  <c r="AC206" i="17" s="1"/>
  <c r="P206" i="17"/>
  <c r="H206" i="17" a="1"/>
  <c r="E206" i="17"/>
  <c r="AD205" i="17" a="1"/>
  <c r="O205" i="17" s="1" a="1"/>
  <c r="AA205" i="17"/>
  <c r="AC205" i="17" s="1"/>
  <c r="P205" i="17"/>
  <c r="H205" i="17" a="1"/>
  <c r="E205" i="17"/>
  <c r="AD204" i="17" a="1"/>
  <c r="O204" i="17" s="1" a="1"/>
  <c r="AA204" i="17"/>
  <c r="AC204" i="17" s="1"/>
  <c r="P204" i="17"/>
  <c r="H204" i="17" a="1"/>
  <c r="E204" i="17"/>
  <c r="AD203" i="17" a="1"/>
  <c r="O203" i="17" s="1" a="1"/>
  <c r="AA203" i="17"/>
  <c r="AC203" i="17" s="1"/>
  <c r="P203" i="17"/>
  <c r="H203" i="17" a="1"/>
  <c r="E203" i="17"/>
  <c r="AD202" i="17" a="1"/>
  <c r="O202" i="17" s="1" a="1"/>
  <c r="AA202" i="17"/>
  <c r="AC202" i="17" s="1"/>
  <c r="P202" i="17"/>
  <c r="H202" i="17" a="1"/>
  <c r="E202" i="17"/>
  <c r="AD201" i="17" a="1"/>
  <c r="O201" i="17" s="1" a="1"/>
  <c r="AA201" i="17"/>
  <c r="AC201" i="17" s="1"/>
  <c r="P201" i="17"/>
  <c r="H201" i="17" a="1"/>
  <c r="E201" i="17"/>
  <c r="AD200" i="17" a="1"/>
  <c r="O200" i="17" s="1" a="1"/>
  <c r="AA200" i="17"/>
  <c r="AC200" i="17" s="1"/>
  <c r="P200" i="17"/>
  <c r="H200" i="17" a="1"/>
  <c r="E200" i="17"/>
  <c r="AD199" i="17" a="1"/>
  <c r="O199" i="17" s="1" a="1"/>
  <c r="AA199" i="17"/>
  <c r="AC199" i="17" s="1"/>
  <c r="P199" i="17"/>
  <c r="H199" i="17" a="1"/>
  <c r="E199" i="17"/>
  <c r="AD198" i="17" a="1"/>
  <c r="O198" i="17" s="1" a="1"/>
  <c r="AA198" i="17"/>
  <c r="AC198" i="17" s="1"/>
  <c r="P198" i="17"/>
  <c r="H198" i="17" a="1"/>
  <c r="E198" i="17"/>
  <c r="AD197" i="17" a="1"/>
  <c r="O197" i="17" s="1" a="1"/>
  <c r="AA197" i="17"/>
  <c r="AC197" i="17" s="1"/>
  <c r="P197" i="17"/>
  <c r="H197" i="17" a="1"/>
  <c r="E197" i="17"/>
  <c r="AD196" i="17" a="1"/>
  <c r="O196" i="17" s="1" a="1"/>
  <c r="AA196" i="17"/>
  <c r="AC196" i="17" s="1"/>
  <c r="P196" i="17"/>
  <c r="H196" i="17" a="1"/>
  <c r="E196" i="17"/>
  <c r="AD195" i="17" a="1"/>
  <c r="O195" i="17" s="1" a="1"/>
  <c r="AA195" i="17"/>
  <c r="AC195" i="17" s="1"/>
  <c r="P195" i="17"/>
  <c r="H195" i="17" a="1"/>
  <c r="E195" i="17"/>
  <c r="AD194" i="17" a="1"/>
  <c r="O194" i="17" s="1" a="1"/>
  <c r="AA194" i="17"/>
  <c r="AC194" i="17" s="1"/>
  <c r="P194" i="17"/>
  <c r="H194" i="17" a="1"/>
  <c r="E194" i="17"/>
  <c r="AD193" i="17" a="1"/>
  <c r="O193" i="17" s="1" a="1"/>
  <c r="AA193" i="17"/>
  <c r="AC193" i="17" s="1"/>
  <c r="P193" i="17"/>
  <c r="H193" i="17" a="1"/>
  <c r="E193" i="17"/>
  <c r="AD192" i="17" a="1"/>
  <c r="O192" i="17" s="1" a="1"/>
  <c r="AA192" i="17"/>
  <c r="AC192" i="17" s="1"/>
  <c r="P192" i="17"/>
  <c r="H192" i="17" a="1"/>
  <c r="E192" i="17"/>
  <c r="AD191" i="17" a="1"/>
  <c r="O191" i="17" s="1" a="1"/>
  <c r="AA191" i="17"/>
  <c r="AC191" i="17" s="1"/>
  <c r="P191" i="17"/>
  <c r="H191" i="17" a="1"/>
  <c r="E191" i="17"/>
  <c r="AD190" i="17" a="1"/>
  <c r="O190" i="17" s="1" a="1"/>
  <c r="AA190" i="17"/>
  <c r="AC190" i="17" s="1"/>
  <c r="P190" i="17"/>
  <c r="H190" i="17" a="1"/>
  <c r="E190" i="17"/>
  <c r="AD189" i="17" a="1"/>
  <c r="O189" i="17" s="1" a="1"/>
  <c r="AA189" i="17"/>
  <c r="AC189" i="17" s="1"/>
  <c r="P189" i="17"/>
  <c r="H189" i="17" a="1"/>
  <c r="E189" i="17"/>
  <c r="AD188" i="17" a="1"/>
  <c r="O188" i="17" s="1" a="1"/>
  <c r="AA188" i="17"/>
  <c r="AC188" i="17" s="1"/>
  <c r="P188" i="17"/>
  <c r="H188" i="17" a="1"/>
  <c r="E188" i="17"/>
  <c r="AD187" i="17" a="1"/>
  <c r="O187" i="17" s="1" a="1"/>
  <c r="AA187" i="17"/>
  <c r="AC187" i="17" s="1"/>
  <c r="P187" i="17"/>
  <c r="H187" i="17" a="1"/>
  <c r="E187" i="17"/>
  <c r="AD186" i="17" a="1"/>
  <c r="O186" i="17" s="1" a="1"/>
  <c r="AA186" i="17"/>
  <c r="AC186" i="17" s="1"/>
  <c r="P186" i="17"/>
  <c r="H186" i="17" a="1"/>
  <c r="E186" i="17"/>
  <c r="AD185" i="17" a="1"/>
  <c r="O185" i="17" s="1" a="1"/>
  <c r="AA185" i="17"/>
  <c r="AC185" i="17" s="1"/>
  <c r="P185" i="17"/>
  <c r="H185" i="17" a="1"/>
  <c r="E185" i="17"/>
  <c r="AD184" i="17" a="1"/>
  <c r="O184" i="17" s="1" a="1"/>
  <c r="AA184" i="17"/>
  <c r="AC184" i="17" s="1"/>
  <c r="P184" i="17"/>
  <c r="H184" i="17" a="1"/>
  <c r="E184" i="17"/>
  <c r="AD183" i="17" a="1"/>
  <c r="O183" i="17" s="1" a="1"/>
  <c r="AA183" i="17"/>
  <c r="AC183" i="17" s="1"/>
  <c r="P183" i="17"/>
  <c r="H183" i="17" a="1"/>
  <c r="E183" i="17"/>
  <c r="AD182" i="17" a="1"/>
  <c r="O182" i="17" s="1" a="1"/>
  <c r="AA182" i="17"/>
  <c r="AC182" i="17" s="1"/>
  <c r="P182" i="17"/>
  <c r="H182" i="17" a="1"/>
  <c r="E182" i="17"/>
  <c r="AD181" i="17" a="1"/>
  <c r="O181" i="17" s="1" a="1"/>
  <c r="AA181" i="17"/>
  <c r="AC181" i="17" s="1"/>
  <c r="P181" i="17"/>
  <c r="H181" i="17" a="1"/>
  <c r="E181" i="17"/>
  <c r="AD180" i="17" a="1"/>
  <c r="O180" i="17" s="1" a="1"/>
  <c r="AA180" i="17"/>
  <c r="AC180" i="17" s="1"/>
  <c r="P180" i="17"/>
  <c r="H180" i="17" a="1"/>
  <c r="E180" i="17"/>
  <c r="AD179" i="17" a="1"/>
  <c r="O179" i="17" s="1" a="1"/>
  <c r="AA179" i="17"/>
  <c r="AC179" i="17" s="1"/>
  <c r="P179" i="17"/>
  <c r="H179" i="17" a="1"/>
  <c r="E179" i="17"/>
  <c r="AD178" i="17" a="1"/>
  <c r="O178" i="17" s="1" a="1"/>
  <c r="AA178" i="17"/>
  <c r="AC178" i="17" s="1"/>
  <c r="P178" i="17"/>
  <c r="H178" i="17" a="1"/>
  <c r="E178" i="17"/>
  <c r="AD177" i="17" a="1"/>
  <c r="O177" i="17" s="1" a="1"/>
  <c r="AA177" i="17"/>
  <c r="AC177" i="17" s="1"/>
  <c r="P177" i="17"/>
  <c r="H177" i="17" a="1"/>
  <c r="E177" i="17"/>
  <c r="AD176" i="17" a="1"/>
  <c r="O176" i="17" s="1" a="1"/>
  <c r="AA176" i="17"/>
  <c r="AC176" i="17" s="1"/>
  <c r="P176" i="17"/>
  <c r="H176" i="17" a="1"/>
  <c r="E176" i="17"/>
  <c r="AD175" i="17" a="1"/>
  <c r="O175" i="17" s="1" a="1"/>
  <c r="AA175" i="17"/>
  <c r="AC175" i="17" s="1"/>
  <c r="P175" i="17"/>
  <c r="H175" i="17" a="1"/>
  <c r="E175" i="17"/>
  <c r="AD174" i="17" a="1"/>
  <c r="O174" i="17" s="1" a="1"/>
  <c r="AA174" i="17"/>
  <c r="AC174" i="17" s="1"/>
  <c r="P174" i="17"/>
  <c r="H174" i="17" a="1"/>
  <c r="E174" i="17"/>
  <c r="AD173" i="17" a="1"/>
  <c r="O173" i="17" s="1" a="1"/>
  <c r="AA173" i="17"/>
  <c r="AC173" i="17" s="1"/>
  <c r="P173" i="17"/>
  <c r="H173" i="17" a="1"/>
  <c r="E173" i="17"/>
  <c r="AD172" i="17" a="1"/>
  <c r="O172" i="17" s="1" a="1"/>
  <c r="AA172" i="17"/>
  <c r="AC172" i="17" s="1"/>
  <c r="P172" i="17"/>
  <c r="H172" i="17" a="1"/>
  <c r="E172" i="17"/>
  <c r="AD171" i="17" a="1"/>
  <c r="O171" i="17" s="1" a="1"/>
  <c r="AA171" i="17"/>
  <c r="AC171" i="17" s="1"/>
  <c r="P171" i="17"/>
  <c r="H171" i="17" a="1"/>
  <c r="E171" i="17"/>
  <c r="AD170" i="17" a="1"/>
  <c r="O170" i="17" s="1" a="1"/>
  <c r="AA170" i="17"/>
  <c r="AC170" i="17" s="1"/>
  <c r="P170" i="17"/>
  <c r="H170" i="17" a="1"/>
  <c r="E170" i="17"/>
  <c r="AD169" i="17" a="1"/>
  <c r="O169" i="17" s="1" a="1"/>
  <c r="AA169" i="17"/>
  <c r="AC169" i="17" s="1"/>
  <c r="P169" i="17"/>
  <c r="H169" i="17" a="1"/>
  <c r="E169" i="17"/>
  <c r="AD168" i="17" a="1"/>
  <c r="O168" i="17" s="1" a="1"/>
  <c r="AA168" i="17"/>
  <c r="AC168" i="17" s="1"/>
  <c r="P168" i="17"/>
  <c r="H168" i="17" a="1"/>
  <c r="E168" i="17"/>
  <c r="AD167" i="17" a="1"/>
  <c r="O167" i="17" s="1" a="1"/>
  <c r="AA167" i="17"/>
  <c r="AC167" i="17" s="1"/>
  <c r="P167" i="17"/>
  <c r="H167" i="17" a="1"/>
  <c r="E167" i="17"/>
  <c r="AD166" i="17" a="1"/>
  <c r="O166" i="17" s="1" a="1"/>
  <c r="AA166" i="17"/>
  <c r="AC166" i="17" s="1"/>
  <c r="P166" i="17"/>
  <c r="H166" i="17" a="1"/>
  <c r="E166" i="17"/>
  <c r="AD165" i="17" a="1"/>
  <c r="O165" i="17" s="1" a="1"/>
  <c r="AA165" i="17"/>
  <c r="AC165" i="17" s="1"/>
  <c r="P165" i="17"/>
  <c r="H165" i="17" a="1"/>
  <c r="E165" i="17"/>
  <c r="AD164" i="17" a="1"/>
  <c r="O164" i="17" s="1" a="1"/>
  <c r="AA164" i="17"/>
  <c r="AC164" i="17" s="1"/>
  <c r="P164" i="17"/>
  <c r="H164" i="17" a="1"/>
  <c r="E164" i="17"/>
  <c r="AD163" i="17" a="1"/>
  <c r="O163" i="17" s="1" a="1"/>
  <c r="AA163" i="17"/>
  <c r="AC163" i="17" s="1"/>
  <c r="P163" i="17"/>
  <c r="H163" i="17" a="1"/>
  <c r="E163" i="17"/>
  <c r="AD162" i="17" a="1"/>
  <c r="O162" i="17" s="1" a="1"/>
  <c r="AA162" i="17"/>
  <c r="AC162" i="17" s="1"/>
  <c r="P162" i="17"/>
  <c r="H162" i="17" a="1"/>
  <c r="E162" i="17"/>
  <c r="AD161" i="17" a="1"/>
  <c r="O161" i="17" s="1" a="1"/>
  <c r="AA161" i="17"/>
  <c r="AC161" i="17" s="1"/>
  <c r="P161" i="17"/>
  <c r="H161" i="17" a="1"/>
  <c r="E161" i="17"/>
  <c r="AD160" i="17" a="1"/>
  <c r="O160" i="17" s="1" a="1"/>
  <c r="AA160" i="17"/>
  <c r="AC160" i="17" s="1"/>
  <c r="P160" i="17"/>
  <c r="H160" i="17" a="1"/>
  <c r="E160" i="17"/>
  <c r="AD159" i="17" a="1"/>
  <c r="O159" i="17" s="1" a="1"/>
  <c r="AA159" i="17"/>
  <c r="AC159" i="17" s="1"/>
  <c r="P159" i="17"/>
  <c r="H159" i="17" a="1"/>
  <c r="E159" i="17"/>
  <c r="AD158" i="17" a="1"/>
  <c r="O158" i="17" s="1" a="1"/>
  <c r="AA158" i="17"/>
  <c r="AC158" i="17" s="1"/>
  <c r="P158" i="17"/>
  <c r="H158" i="17" a="1"/>
  <c r="E158" i="17"/>
  <c r="AD157" i="17" a="1"/>
  <c r="O157" i="17" s="1" a="1"/>
  <c r="AA157" i="17"/>
  <c r="AC157" i="17" s="1"/>
  <c r="P157" i="17"/>
  <c r="H157" i="17" a="1"/>
  <c r="E157" i="17"/>
  <c r="AD156" i="17" a="1"/>
  <c r="O156" i="17" s="1" a="1"/>
  <c r="AA156" i="17"/>
  <c r="AC156" i="17" s="1"/>
  <c r="V156" i="17"/>
  <c r="M156" i="17" s="1" a="1"/>
  <c r="N156" i="17" s="1"/>
  <c r="P156" i="17"/>
  <c r="H156" i="17" a="1"/>
  <c r="E156" i="17"/>
  <c r="AD155" i="17" a="1"/>
  <c r="O155" i="17" s="1" a="1"/>
  <c r="AA155" i="17"/>
  <c r="AC155" i="17" s="1"/>
  <c r="P155" i="17"/>
  <c r="H155" i="17" a="1"/>
  <c r="E155" i="17"/>
  <c r="AD154" i="17" a="1"/>
  <c r="O154" i="17" s="1" a="1"/>
  <c r="AA154" i="17"/>
  <c r="AC154" i="17" s="1"/>
  <c r="P154" i="17"/>
  <c r="H154" i="17" a="1"/>
  <c r="E154" i="17"/>
  <c r="AD153" i="17" a="1"/>
  <c r="O153" i="17" s="1" a="1"/>
  <c r="AA153" i="17"/>
  <c r="AC153" i="17" s="1"/>
  <c r="P153" i="17"/>
  <c r="H153" i="17" a="1"/>
  <c r="E153" i="17"/>
  <c r="AD152" i="17" a="1"/>
  <c r="O152" i="17" s="1" a="1"/>
  <c r="AA152" i="17"/>
  <c r="AC152" i="17" s="1"/>
  <c r="P152" i="17"/>
  <c r="H152" i="17" a="1"/>
  <c r="E152" i="17"/>
  <c r="AD151" i="17" a="1"/>
  <c r="O151" i="17" s="1" a="1"/>
  <c r="AA151" i="17"/>
  <c r="AC151" i="17" s="1"/>
  <c r="P151" i="17"/>
  <c r="H151" i="17" a="1"/>
  <c r="E151" i="17"/>
  <c r="AD150" i="17" a="1"/>
  <c r="O150" i="17" s="1" a="1"/>
  <c r="AA150" i="17"/>
  <c r="AC150" i="17" s="1"/>
  <c r="P150" i="17"/>
  <c r="H150" i="17" a="1"/>
  <c r="E150" i="17"/>
  <c r="AD149" i="17" a="1"/>
  <c r="O149" i="17" s="1" a="1"/>
  <c r="AA149" i="17"/>
  <c r="AC149" i="17" s="1"/>
  <c r="P149" i="17"/>
  <c r="H149" i="17" a="1"/>
  <c r="E149" i="17"/>
  <c r="AD148" i="17" a="1"/>
  <c r="O148" i="17" s="1" a="1"/>
  <c r="AA148" i="17"/>
  <c r="AC148" i="17" s="1"/>
  <c r="P148" i="17"/>
  <c r="H148" i="17" a="1"/>
  <c r="E148" i="17"/>
  <c r="AD147" i="17" a="1"/>
  <c r="O147" i="17" s="1" a="1"/>
  <c r="AA147" i="17"/>
  <c r="AC147" i="17" s="1"/>
  <c r="P147" i="17"/>
  <c r="H147" i="17" a="1"/>
  <c r="E147" i="17"/>
  <c r="AD146" i="17" a="1"/>
  <c r="O146" i="17" s="1" a="1"/>
  <c r="AA146" i="17"/>
  <c r="AC146" i="17" s="1"/>
  <c r="P146" i="17"/>
  <c r="H146" i="17" a="1"/>
  <c r="E146" i="17"/>
  <c r="AD145" i="17" a="1"/>
  <c r="O145" i="17" s="1" a="1"/>
  <c r="AA145" i="17"/>
  <c r="AC145" i="17" s="1"/>
  <c r="P145" i="17"/>
  <c r="H145" i="17" a="1"/>
  <c r="E145" i="17"/>
  <c r="AD144" i="17" a="1"/>
  <c r="O144" i="17" s="1" a="1"/>
  <c r="AA144" i="17"/>
  <c r="AC144" i="17" s="1"/>
  <c r="P144" i="17"/>
  <c r="H144" i="17" a="1"/>
  <c r="E144" i="17"/>
  <c r="AD143" i="17" a="1"/>
  <c r="O143" i="17" s="1" a="1"/>
  <c r="AA143" i="17"/>
  <c r="AC143" i="17" s="1"/>
  <c r="P143" i="17"/>
  <c r="H143" i="17" a="1"/>
  <c r="E143" i="17"/>
  <c r="AD142" i="17" a="1"/>
  <c r="O142" i="17" s="1" a="1"/>
  <c r="AA142" i="17"/>
  <c r="AC142" i="17" s="1"/>
  <c r="P142" i="17"/>
  <c r="H142" i="17" a="1"/>
  <c r="E142" i="17"/>
  <c r="AD141" i="17" a="1"/>
  <c r="O141" i="17" s="1" a="1"/>
  <c r="AA141" i="17"/>
  <c r="AC141" i="17" s="1"/>
  <c r="P141" i="17"/>
  <c r="H141" i="17" a="1"/>
  <c r="E141" i="17"/>
  <c r="AD140" i="17" a="1"/>
  <c r="O140" i="17" s="1" a="1"/>
  <c r="AA140" i="17"/>
  <c r="AC140" i="17" s="1"/>
  <c r="P140" i="17"/>
  <c r="H140" i="17" a="1"/>
  <c r="E140" i="17"/>
  <c r="AD139" i="17" a="1"/>
  <c r="O139" i="17" s="1" a="1"/>
  <c r="AA139" i="17"/>
  <c r="AC139" i="17" s="1"/>
  <c r="P139" i="17"/>
  <c r="H139" i="17" a="1"/>
  <c r="E139" i="17"/>
  <c r="AD138" i="17" a="1"/>
  <c r="O138" i="17" s="1" a="1"/>
  <c r="AA138" i="17"/>
  <c r="AC138" i="17" s="1"/>
  <c r="P138" i="17"/>
  <c r="H138" i="17" a="1"/>
  <c r="E138" i="17"/>
  <c r="AD137" i="17" a="1"/>
  <c r="O137" i="17" s="1" a="1"/>
  <c r="AA137" i="17"/>
  <c r="AC137" i="17" s="1"/>
  <c r="P137" i="17"/>
  <c r="H137" i="17" a="1"/>
  <c r="E137" i="17"/>
  <c r="AD136" i="17" a="1"/>
  <c r="O136" i="17" s="1" a="1"/>
  <c r="AA136" i="17"/>
  <c r="AC136" i="17" s="1"/>
  <c r="P136" i="17"/>
  <c r="H136" i="17" a="1"/>
  <c r="E136" i="17"/>
  <c r="AD135" i="17" a="1"/>
  <c r="O135" i="17" s="1" a="1"/>
  <c r="Z135" i="17"/>
  <c r="AA135" i="17" s="1"/>
  <c r="AC135" i="17" s="1"/>
  <c r="P135" i="17"/>
  <c r="H135" i="17" a="1"/>
  <c r="E135" i="17"/>
  <c r="AD134" i="17" a="1"/>
  <c r="O134" i="17" s="1" a="1"/>
  <c r="AA134" i="17"/>
  <c r="AC134" i="17" s="1"/>
  <c r="P134" i="17"/>
  <c r="H134" i="17" a="1"/>
  <c r="E134" i="17"/>
  <c r="AD133" i="17" a="1"/>
  <c r="O133" i="17" s="1" a="1"/>
  <c r="AA133" i="17"/>
  <c r="AC133" i="17" s="1"/>
  <c r="P133" i="17"/>
  <c r="H133" i="17" a="1"/>
  <c r="E133" i="17"/>
  <c r="AD132" i="17" a="1"/>
  <c r="O132" i="17" s="1" a="1"/>
  <c r="AA132" i="17"/>
  <c r="AC132" i="17" s="1"/>
  <c r="P132" i="17"/>
  <c r="H132" i="17" a="1"/>
  <c r="E132" i="17"/>
  <c r="AD131" i="17" a="1"/>
  <c r="O131" i="17" s="1" a="1"/>
  <c r="AA131" i="17"/>
  <c r="AC131" i="17" s="1"/>
  <c r="P131" i="17"/>
  <c r="H131" i="17" a="1"/>
  <c r="E131" i="17"/>
  <c r="AD130" i="17" a="1"/>
  <c r="O130" i="17" s="1" a="1"/>
  <c r="AA130" i="17"/>
  <c r="AC130" i="17" s="1"/>
  <c r="P130" i="17"/>
  <c r="H130" i="17" a="1"/>
  <c r="E130" i="17"/>
  <c r="AD129" i="17" a="1"/>
  <c r="O129" i="17" s="1" a="1"/>
  <c r="AA129" i="17"/>
  <c r="AC129" i="17" s="1"/>
  <c r="P129" i="17"/>
  <c r="H129" i="17" a="1"/>
  <c r="E129" i="17"/>
  <c r="AD128" i="17" a="1"/>
  <c r="O128" i="17" s="1" a="1"/>
  <c r="AA128" i="17"/>
  <c r="AC128" i="17" s="1"/>
  <c r="P128" i="17"/>
  <c r="H128" i="17" a="1"/>
  <c r="E128" i="17"/>
  <c r="AD127" i="17" a="1"/>
  <c r="O127" i="17" s="1" a="1"/>
  <c r="AA127" i="17"/>
  <c r="AC127" i="17" s="1"/>
  <c r="P127" i="17"/>
  <c r="H127" i="17" a="1"/>
  <c r="E127" i="17"/>
  <c r="AD126" i="17" a="1"/>
  <c r="O126" i="17" s="1" a="1"/>
  <c r="AA126" i="17"/>
  <c r="AC126" i="17" s="1"/>
  <c r="P126" i="17"/>
  <c r="H126" i="17" a="1"/>
  <c r="E126" i="17"/>
  <c r="AD125" i="17" a="1"/>
  <c r="O125" i="17" s="1" a="1"/>
  <c r="AA125" i="17"/>
  <c r="AC125" i="17" s="1"/>
  <c r="P125" i="17"/>
  <c r="H125" i="17" a="1"/>
  <c r="E125" i="17"/>
  <c r="AD124" i="17" a="1"/>
  <c r="O124" i="17" s="1" a="1"/>
  <c r="AA124" i="17"/>
  <c r="AC124" i="17" s="1"/>
  <c r="P124" i="17"/>
  <c r="H124" i="17" a="1"/>
  <c r="E124" i="17"/>
  <c r="AD123" i="17" a="1"/>
  <c r="O123" i="17" s="1" a="1"/>
  <c r="AA123" i="17"/>
  <c r="AC123" i="17" s="1"/>
  <c r="P123" i="17"/>
  <c r="H123" i="17" a="1"/>
  <c r="E123" i="17"/>
  <c r="AD122" i="17" a="1"/>
  <c r="O122" i="17" s="1" a="1"/>
  <c r="AA122" i="17"/>
  <c r="AC122" i="17" s="1"/>
  <c r="P122" i="17"/>
  <c r="H122" i="17" a="1"/>
  <c r="E122" i="17"/>
  <c r="AD121" i="17" a="1"/>
  <c r="O121" i="17" s="1" a="1"/>
  <c r="AA121" i="17"/>
  <c r="AC121" i="17" s="1"/>
  <c r="P121" i="17"/>
  <c r="H121" i="17" a="1"/>
  <c r="E121" i="17"/>
  <c r="AD120" i="17" a="1"/>
  <c r="O120" i="17" s="1" a="1"/>
  <c r="AA120" i="17"/>
  <c r="AC120" i="17" s="1"/>
  <c r="P120" i="17"/>
  <c r="H120" i="17" a="1"/>
  <c r="E120" i="17"/>
  <c r="AD119" i="17" a="1"/>
  <c r="O119" i="17" s="1" a="1"/>
  <c r="AA119" i="17"/>
  <c r="AC119" i="17" s="1"/>
  <c r="P119" i="17"/>
  <c r="H119" i="17" a="1"/>
  <c r="E119" i="17"/>
  <c r="AD118" i="17" a="1"/>
  <c r="O118" i="17" s="1" a="1"/>
  <c r="AA118" i="17"/>
  <c r="AC118" i="17" s="1"/>
  <c r="P118" i="17"/>
  <c r="H118" i="17" a="1"/>
  <c r="E118" i="17"/>
  <c r="AD117" i="17" a="1"/>
  <c r="O117" i="17" s="1" a="1"/>
  <c r="AA117" i="17"/>
  <c r="AC117" i="17" s="1"/>
  <c r="P117" i="17"/>
  <c r="H117" i="17" a="1"/>
  <c r="E117" i="17"/>
  <c r="AD116" i="17" a="1"/>
  <c r="O116" i="17" s="1" a="1"/>
  <c r="AA116" i="17"/>
  <c r="AC116" i="17" s="1"/>
  <c r="P116" i="17"/>
  <c r="H116" i="17" a="1"/>
  <c r="E116" i="17"/>
  <c r="AD115" i="17" a="1"/>
  <c r="O115" i="17" s="1" a="1"/>
  <c r="AA115" i="17"/>
  <c r="AC115" i="17" s="1"/>
  <c r="P115" i="17"/>
  <c r="H115" i="17" a="1"/>
  <c r="E115" i="17"/>
  <c r="AD114" i="17" a="1"/>
  <c r="O114" i="17" s="1" a="1"/>
  <c r="AA114" i="17"/>
  <c r="AC114" i="17" s="1"/>
  <c r="P114" i="17"/>
  <c r="H114" i="17" a="1"/>
  <c r="E114" i="17"/>
  <c r="AD113" i="17" a="1"/>
  <c r="O113" i="17" s="1" a="1"/>
  <c r="AA113" i="17"/>
  <c r="AC113" i="17" s="1"/>
  <c r="P113" i="17"/>
  <c r="H113" i="17" a="1"/>
  <c r="E113" i="17"/>
  <c r="AD112" i="17" a="1"/>
  <c r="O112" i="17" s="1" a="1"/>
  <c r="AA112" i="17"/>
  <c r="AC112" i="17" s="1"/>
  <c r="P112" i="17"/>
  <c r="H112" i="17" a="1"/>
  <c r="E112" i="17"/>
  <c r="AD111" i="17" a="1"/>
  <c r="O111" i="17" s="1" a="1"/>
  <c r="AA111" i="17"/>
  <c r="AC111" i="17" s="1"/>
  <c r="P111" i="17"/>
  <c r="H111" i="17" a="1"/>
  <c r="E111" i="17"/>
  <c r="AD110" i="17" a="1"/>
  <c r="O110" i="17" s="1" a="1"/>
  <c r="AA110" i="17"/>
  <c r="AC110" i="17" s="1"/>
  <c r="P110" i="17"/>
  <c r="H110" i="17" a="1"/>
  <c r="E110" i="17"/>
  <c r="AD109" i="17" a="1"/>
  <c r="O109" i="17" s="1" a="1"/>
  <c r="AA109" i="17"/>
  <c r="AC109" i="17" s="1"/>
  <c r="P109" i="17"/>
  <c r="H109" i="17" a="1"/>
  <c r="E109" i="17"/>
  <c r="AD108" i="17" a="1"/>
  <c r="O108" i="17" s="1" a="1"/>
  <c r="AA108" i="17"/>
  <c r="AC108" i="17" s="1"/>
  <c r="P108" i="17"/>
  <c r="H108" i="17" a="1"/>
  <c r="E108" i="17"/>
  <c r="AD107" i="17" a="1"/>
  <c r="O107" i="17" s="1" a="1"/>
  <c r="AA107" i="17"/>
  <c r="AC107" i="17" s="1"/>
  <c r="P107" i="17"/>
  <c r="H107" i="17" a="1"/>
  <c r="E107" i="17"/>
  <c r="AD106" i="17" a="1"/>
  <c r="O106" i="17" s="1" a="1"/>
  <c r="AA106" i="17"/>
  <c r="AC106" i="17" s="1"/>
  <c r="P106" i="17"/>
  <c r="H106" i="17" a="1"/>
  <c r="E106" i="17"/>
  <c r="AD105" i="17" a="1"/>
  <c r="O105" i="17" s="1" a="1"/>
  <c r="AA105" i="17"/>
  <c r="AC105" i="17" s="1"/>
  <c r="P105" i="17"/>
  <c r="H105" i="17" a="1"/>
  <c r="E105" i="17"/>
  <c r="AD104" i="17" a="1"/>
  <c r="O104" i="17" s="1" a="1"/>
  <c r="AA104" i="17"/>
  <c r="AC104" i="17" s="1"/>
  <c r="P104" i="17"/>
  <c r="H104" i="17" a="1"/>
  <c r="E104" i="17"/>
  <c r="AD103" i="17" a="1"/>
  <c r="O103" i="17" s="1" a="1"/>
  <c r="AA103" i="17"/>
  <c r="AC103" i="17" s="1"/>
  <c r="P103" i="17"/>
  <c r="H103" i="17" a="1"/>
  <c r="E103" i="17"/>
  <c r="AD102" i="17" a="1"/>
  <c r="O102" i="17" s="1" a="1"/>
  <c r="Q102" i="17"/>
  <c r="AA102" i="17" s="1"/>
  <c r="AC102" i="17" s="1"/>
  <c r="P102" i="17"/>
  <c r="H102" i="17" a="1"/>
  <c r="E102" i="17"/>
  <c r="AD101" i="17" a="1"/>
  <c r="O101" i="17" s="1" a="1"/>
  <c r="AA101" i="17"/>
  <c r="AC101" i="17" s="1"/>
  <c r="P101" i="17"/>
  <c r="H101" i="17" a="1"/>
  <c r="E101" i="17"/>
  <c r="AD100" i="17" a="1"/>
  <c r="O100" i="17" s="1" a="1"/>
  <c r="AA100" i="17"/>
  <c r="AC100" i="17" s="1"/>
  <c r="P100" i="17"/>
  <c r="H100" i="17" a="1"/>
  <c r="E100" i="17"/>
  <c r="AD99" i="17" a="1"/>
  <c r="O99" i="17" s="1" a="1"/>
  <c r="AA99" i="17"/>
  <c r="AC99" i="17" s="1"/>
  <c r="P99" i="17"/>
  <c r="H99" i="17" a="1"/>
  <c r="E99" i="17"/>
  <c r="AD98" i="17" a="1"/>
  <c r="O98" i="17" s="1" a="1"/>
  <c r="AA98" i="17"/>
  <c r="AC98" i="17" s="1"/>
  <c r="P98" i="17"/>
  <c r="H98" i="17" a="1"/>
  <c r="E98" i="17"/>
  <c r="AD97" i="17" a="1"/>
  <c r="O97" i="17" s="1" a="1"/>
  <c r="AA97" i="17"/>
  <c r="AC97" i="17" s="1"/>
  <c r="P97" i="17"/>
  <c r="H97" i="17" a="1"/>
  <c r="E97" i="17"/>
  <c r="AD96" i="17" a="1"/>
  <c r="O96" i="17" s="1" a="1"/>
  <c r="AA96" i="17"/>
  <c r="AC96" i="17" s="1"/>
  <c r="P96" i="17"/>
  <c r="H96" i="17" a="1"/>
  <c r="E96" i="17"/>
  <c r="AD95" i="17" a="1"/>
  <c r="O95" i="17" s="1" a="1"/>
  <c r="AA95" i="17"/>
  <c r="AC95" i="17" s="1"/>
  <c r="P95" i="17"/>
  <c r="H95" i="17" a="1"/>
  <c r="E95" i="17"/>
  <c r="AD94" i="17" a="1"/>
  <c r="O94" i="17" s="1" a="1"/>
  <c r="AA94" i="17"/>
  <c r="AC94" i="17" s="1"/>
  <c r="P94" i="17"/>
  <c r="H94" i="17" a="1"/>
  <c r="E94" i="17"/>
  <c r="AD93" i="17" a="1"/>
  <c r="O93" i="17" s="1" a="1"/>
  <c r="AA93" i="17"/>
  <c r="AC93" i="17" s="1"/>
  <c r="P93" i="17"/>
  <c r="H93" i="17" a="1"/>
  <c r="E93" i="17"/>
  <c r="AD92" i="17" a="1"/>
  <c r="O92" i="17" s="1" a="1"/>
  <c r="AA92" i="17"/>
  <c r="AC92" i="17" s="1"/>
  <c r="P92" i="17"/>
  <c r="H92" i="17" a="1"/>
  <c r="E92" i="17"/>
  <c r="AD91" i="17" a="1"/>
  <c r="O91" i="17" s="1" a="1"/>
  <c r="AA91" i="17"/>
  <c r="AC91" i="17" s="1"/>
  <c r="P91" i="17"/>
  <c r="H91" i="17" a="1"/>
  <c r="E91" i="17"/>
  <c r="AD90" i="17" a="1"/>
  <c r="O90" i="17" s="1" a="1"/>
  <c r="AA90" i="17"/>
  <c r="AC90" i="17" s="1"/>
  <c r="P90" i="17"/>
  <c r="H90" i="17" a="1"/>
  <c r="E90" i="17"/>
  <c r="AD89" i="17" a="1"/>
  <c r="O89" i="17" s="1" a="1"/>
  <c r="AA89" i="17"/>
  <c r="AC89" i="17" s="1"/>
  <c r="P89" i="17"/>
  <c r="H89" i="17" a="1"/>
  <c r="E89" i="17"/>
  <c r="AD88" i="17" a="1"/>
  <c r="O88" i="17" s="1" a="1"/>
  <c r="AA88" i="17"/>
  <c r="AC88" i="17" s="1"/>
  <c r="P88" i="17"/>
  <c r="H88" i="17" a="1"/>
  <c r="E88" i="17"/>
  <c r="AD87" i="17" a="1"/>
  <c r="O87" i="17" s="1" a="1"/>
  <c r="AA87" i="17"/>
  <c r="AC87" i="17" s="1"/>
  <c r="P87" i="17"/>
  <c r="H87" i="17" a="1"/>
  <c r="E87" i="17"/>
  <c r="AD86" i="17" a="1"/>
  <c r="O86" i="17" s="1" a="1"/>
  <c r="AA86" i="17"/>
  <c r="AC86" i="17" s="1"/>
  <c r="P86" i="17"/>
  <c r="H86" i="17" a="1"/>
  <c r="E86" i="17"/>
  <c r="AD85" i="17" a="1"/>
  <c r="O85" i="17" s="1" a="1"/>
  <c r="AA85" i="17"/>
  <c r="AC85" i="17" s="1"/>
  <c r="P85" i="17"/>
  <c r="H85" i="17" a="1"/>
  <c r="E85" i="17"/>
  <c r="AD84" i="17" a="1"/>
  <c r="O84" i="17" s="1" a="1"/>
  <c r="AA84" i="17"/>
  <c r="AC84" i="17" s="1"/>
  <c r="P84" i="17"/>
  <c r="H84" i="17" a="1"/>
  <c r="E84" i="17"/>
  <c r="AD83" i="17" a="1"/>
  <c r="O83" i="17" s="1" a="1"/>
  <c r="AA83" i="17"/>
  <c r="AC83" i="17" s="1"/>
  <c r="P83" i="17"/>
  <c r="H83" i="17" a="1"/>
  <c r="E83" i="17"/>
  <c r="AD82" i="17" a="1"/>
  <c r="O82" i="17" s="1" a="1"/>
  <c r="AA82" i="17"/>
  <c r="AC82" i="17" s="1"/>
  <c r="P82" i="17"/>
  <c r="H82" i="17" a="1"/>
  <c r="E82" i="17"/>
  <c r="AD81" i="17" a="1"/>
  <c r="O81" i="17" s="1" a="1"/>
  <c r="AA81" i="17"/>
  <c r="AC81" i="17" s="1"/>
  <c r="P81" i="17"/>
  <c r="H81" i="17" a="1"/>
  <c r="E81" i="17"/>
  <c r="AD80" i="17" a="1"/>
  <c r="O80" i="17" s="1" a="1"/>
  <c r="AA80" i="17"/>
  <c r="AC80" i="17" s="1"/>
  <c r="P80" i="17"/>
  <c r="H80" i="17" a="1"/>
  <c r="E80" i="17"/>
  <c r="AD79" i="17" a="1"/>
  <c r="O79" i="17" s="1" a="1"/>
  <c r="AA79" i="17"/>
  <c r="AC79" i="17" s="1"/>
  <c r="P79" i="17"/>
  <c r="H79" i="17" a="1"/>
  <c r="E79" i="17"/>
  <c r="AD78" i="17" a="1"/>
  <c r="O78" i="17" s="1" a="1"/>
  <c r="AA78" i="17"/>
  <c r="AC78" i="17" s="1"/>
  <c r="P78" i="17"/>
  <c r="H78" i="17" a="1"/>
  <c r="E78" i="17"/>
  <c r="AD77" i="17" a="1"/>
  <c r="O77" i="17" s="1" a="1"/>
  <c r="AA77" i="17"/>
  <c r="AC77" i="17" s="1"/>
  <c r="P77" i="17"/>
  <c r="H77" i="17" a="1"/>
  <c r="E77" i="17"/>
  <c r="AD76" i="17" a="1"/>
  <c r="O76" i="17" s="1" a="1"/>
  <c r="AA76" i="17"/>
  <c r="AC76" i="17" s="1"/>
  <c r="P76" i="17"/>
  <c r="H76" i="17" a="1"/>
  <c r="E76" i="17"/>
  <c r="AD75" i="17" a="1"/>
  <c r="O75" i="17" s="1" a="1"/>
  <c r="AA75" i="17"/>
  <c r="AC75" i="17" s="1"/>
  <c r="P75" i="17"/>
  <c r="H75" i="17" a="1"/>
  <c r="E75" i="17"/>
  <c r="AD74" i="17" a="1"/>
  <c r="O74" i="17" s="1" a="1"/>
  <c r="AA74" i="17"/>
  <c r="AC74" i="17" s="1"/>
  <c r="P74" i="17"/>
  <c r="H74" i="17" a="1"/>
  <c r="E74" i="17"/>
  <c r="AD73" i="17" a="1"/>
  <c r="O73" i="17" s="1" a="1"/>
  <c r="AA73" i="17"/>
  <c r="AC73" i="17" s="1"/>
  <c r="P73" i="17"/>
  <c r="H73" i="17" a="1"/>
  <c r="E73" i="17"/>
  <c r="AD72" i="17" a="1"/>
  <c r="O72" i="17" s="1" a="1"/>
  <c r="AA72" i="17"/>
  <c r="AC72" i="17" s="1"/>
  <c r="P72" i="17"/>
  <c r="H72" i="17" a="1"/>
  <c r="E72" i="17"/>
  <c r="AD71" i="17" a="1"/>
  <c r="O71" i="17" s="1" a="1"/>
  <c r="AA71" i="17"/>
  <c r="AC71" i="17" s="1"/>
  <c r="P71" i="17"/>
  <c r="H71" i="17" a="1"/>
  <c r="E71" i="17"/>
  <c r="AD70" i="17" a="1"/>
  <c r="O70" i="17" s="1" a="1"/>
  <c r="P70" i="17"/>
  <c r="H70" i="17" a="1"/>
  <c r="E70" i="17"/>
  <c r="AD69" i="17" a="1"/>
  <c r="O69" i="17" s="1" a="1"/>
  <c r="P69" i="17"/>
  <c r="H69" i="17" a="1"/>
  <c r="E69" i="17"/>
  <c r="AD68" i="17" a="1"/>
  <c r="O68" i="17" s="1" a="1"/>
  <c r="AA68" i="17"/>
  <c r="AC68" i="17" s="1"/>
  <c r="P68" i="17"/>
  <c r="H68" i="17" a="1"/>
  <c r="E68" i="17"/>
  <c r="AD67" i="17" a="1"/>
  <c r="O67" i="17" s="1" a="1"/>
  <c r="AA67" i="17"/>
  <c r="AC67" i="17" s="1"/>
  <c r="P67" i="17"/>
  <c r="H67" i="17" a="1"/>
  <c r="E67" i="17"/>
  <c r="AD66" i="17" a="1"/>
  <c r="O66" i="17" s="1" a="1"/>
  <c r="AA66" i="17"/>
  <c r="AC66" i="17" s="1"/>
  <c r="P66" i="17"/>
  <c r="H66" i="17" a="1"/>
  <c r="E66" i="17"/>
  <c r="AD65" i="17" a="1"/>
  <c r="O65" i="17" s="1" a="1"/>
  <c r="AA65" i="17"/>
  <c r="AC65" i="17" s="1"/>
  <c r="P65" i="17"/>
  <c r="H65" i="17" a="1"/>
  <c r="E65" i="17"/>
  <c r="AD64" i="17" a="1"/>
  <c r="O64" i="17" s="1" a="1"/>
  <c r="AA64" i="17"/>
  <c r="AC64" i="17" s="1"/>
  <c r="P64" i="17"/>
  <c r="H64" i="17" a="1"/>
  <c r="E64" i="17"/>
  <c r="AD63" i="17" a="1"/>
  <c r="O63" i="17" s="1" a="1"/>
  <c r="AA63" i="17"/>
  <c r="AC63" i="17" s="1"/>
  <c r="P63" i="17"/>
  <c r="H63" i="17" a="1"/>
  <c r="E63" i="17"/>
  <c r="AD62" i="17" a="1"/>
  <c r="O62" i="17" s="1" a="1"/>
  <c r="AA62" i="17"/>
  <c r="AC62" i="17" s="1"/>
  <c r="P62" i="17"/>
  <c r="H62" i="17" a="1"/>
  <c r="E62" i="17"/>
  <c r="AD61" i="17" a="1"/>
  <c r="O61" i="17" s="1" a="1"/>
  <c r="AA61" i="17"/>
  <c r="AC61" i="17" s="1"/>
  <c r="P61" i="17"/>
  <c r="H61" i="17" a="1"/>
  <c r="E61" i="17"/>
  <c r="AD60" i="17" a="1"/>
  <c r="O60" i="17" s="1" a="1"/>
  <c r="AA60" i="17"/>
  <c r="AC60" i="17" s="1"/>
  <c r="P60" i="17"/>
  <c r="J60" i="17"/>
  <c r="H60" i="17" a="1"/>
  <c r="E60" i="17"/>
  <c r="AD59" i="17" a="1"/>
  <c r="O59" i="17" s="1" a="1"/>
  <c r="AA59" i="17"/>
  <c r="AC59" i="17" s="1"/>
  <c r="P59" i="17"/>
  <c r="H59" i="17" a="1"/>
  <c r="E59" i="17"/>
  <c r="AD58" i="17" a="1"/>
  <c r="O58" i="17" s="1" a="1"/>
  <c r="AA58" i="17"/>
  <c r="AC58" i="17" s="1"/>
  <c r="P58" i="17"/>
  <c r="H58" i="17" a="1"/>
  <c r="E58" i="17"/>
  <c r="AD57" i="17" a="1"/>
  <c r="O57" i="17" s="1" a="1"/>
  <c r="AA57" i="17"/>
  <c r="AC57" i="17" s="1"/>
  <c r="P57" i="17"/>
  <c r="H57" i="17" a="1"/>
  <c r="E57" i="17"/>
  <c r="AD56" i="17" a="1"/>
  <c r="O56" i="17" s="1" a="1"/>
  <c r="AA56" i="17"/>
  <c r="AC56" i="17" s="1"/>
  <c r="P56" i="17"/>
  <c r="H56" i="17" a="1"/>
  <c r="E56" i="17"/>
  <c r="AD55" i="17" a="1"/>
  <c r="O55" i="17" s="1" a="1"/>
  <c r="AA55" i="17"/>
  <c r="AC55" i="17" s="1"/>
  <c r="P55" i="17"/>
  <c r="H55" i="17" a="1"/>
  <c r="E55" i="17"/>
  <c r="AD54" i="17" a="1"/>
  <c r="O54" i="17" s="1" a="1"/>
  <c r="AA54" i="17"/>
  <c r="AC54" i="17" s="1"/>
  <c r="P54" i="17"/>
  <c r="H54" i="17" a="1"/>
  <c r="E54" i="17"/>
  <c r="AD53" i="17" a="1"/>
  <c r="O53" i="17" s="1" a="1"/>
  <c r="AA53" i="17"/>
  <c r="AC53" i="17" s="1"/>
  <c r="P53" i="17"/>
  <c r="J53" i="17"/>
  <c r="H53" i="17" a="1"/>
  <c r="E53" i="17"/>
  <c r="AD52" i="17" a="1"/>
  <c r="O52" i="17" s="1" a="1"/>
  <c r="AA52" i="17"/>
  <c r="AC52" i="17" s="1"/>
  <c r="P52" i="17"/>
  <c r="H52" i="17" a="1"/>
  <c r="E52" i="17"/>
  <c r="AD51" i="17" a="1"/>
  <c r="O51" i="17" s="1" a="1"/>
  <c r="AA51" i="17"/>
  <c r="AC51" i="17" s="1"/>
  <c r="P51" i="17"/>
  <c r="H51" i="17" a="1"/>
  <c r="E51" i="17"/>
  <c r="AD50" i="17" a="1"/>
  <c r="O50" i="17" s="1" a="1"/>
  <c r="AA50" i="17"/>
  <c r="AC50" i="17" s="1"/>
  <c r="P50" i="17"/>
  <c r="H50" i="17" a="1"/>
  <c r="E50" i="17"/>
  <c r="AD49" i="17" a="1"/>
  <c r="O49" i="17" s="1" a="1"/>
  <c r="AA49" i="17"/>
  <c r="AC49" i="17" s="1"/>
  <c r="P49" i="17"/>
  <c r="H49" i="17" a="1"/>
  <c r="E49" i="17"/>
  <c r="AD48" i="17" a="1"/>
  <c r="O48" i="17" s="1" a="1"/>
  <c r="AA48" i="17"/>
  <c r="AC48" i="17" s="1"/>
  <c r="P48" i="17"/>
  <c r="H48" i="17" a="1"/>
  <c r="E48" i="17"/>
  <c r="AD47" i="17" a="1"/>
  <c r="O47" i="17" s="1" a="1"/>
  <c r="AA47" i="17"/>
  <c r="AC47" i="17" s="1"/>
  <c r="P47" i="17"/>
  <c r="H47" i="17" a="1"/>
  <c r="E47" i="17"/>
  <c r="AD46" i="17" a="1"/>
  <c r="O46" i="17" s="1" a="1"/>
  <c r="AA46" i="17"/>
  <c r="AC46" i="17" s="1"/>
  <c r="P46" i="17"/>
  <c r="H46" i="17" a="1"/>
  <c r="E46" i="17"/>
  <c r="AD45" i="17" a="1"/>
  <c r="O45" i="17" s="1" a="1"/>
  <c r="AA45" i="17"/>
  <c r="AC45" i="17" s="1"/>
  <c r="P45" i="17"/>
  <c r="H45" i="17" a="1"/>
  <c r="E45" i="17"/>
  <c r="AD44" i="17" a="1"/>
  <c r="O44" i="17" s="1" a="1"/>
  <c r="AA44" i="17"/>
  <c r="AC44" i="17" s="1"/>
  <c r="P44" i="17"/>
  <c r="H44" i="17" a="1"/>
  <c r="E44" i="17"/>
  <c r="AD43" i="17" a="1"/>
  <c r="O43" i="17" s="1" a="1"/>
  <c r="AA43" i="17"/>
  <c r="AC43" i="17" s="1"/>
  <c r="R43" i="17"/>
  <c r="P43" i="17"/>
  <c r="H43" i="17" a="1"/>
  <c r="E43" i="17"/>
  <c r="AD42" i="17" a="1"/>
  <c r="O42" i="17" s="1" a="1"/>
  <c r="AA42" i="17"/>
  <c r="AC42" i="17" s="1"/>
  <c r="P42" i="17"/>
  <c r="H42" i="17" a="1"/>
  <c r="E42" i="17"/>
  <c r="AD41" i="17" a="1"/>
  <c r="O41" i="17" s="1" a="1"/>
  <c r="AA41" i="17"/>
  <c r="AC41" i="17" s="1"/>
  <c r="P41" i="17"/>
  <c r="H41" i="17" a="1"/>
  <c r="E41" i="17"/>
  <c r="AD40" i="17" a="1"/>
  <c r="O40" i="17" s="1" a="1"/>
  <c r="AA40" i="17"/>
  <c r="AC40" i="17" s="1"/>
  <c r="P40" i="17"/>
  <c r="H40" i="17" a="1"/>
  <c r="E40" i="17"/>
  <c r="AD39" i="17" a="1"/>
  <c r="O39" i="17" s="1" a="1"/>
  <c r="AA39" i="17"/>
  <c r="AC39" i="17" s="1"/>
  <c r="P39" i="17"/>
  <c r="J39" i="17"/>
  <c r="H39" i="17" a="1"/>
  <c r="E39" i="17"/>
  <c r="AD38" i="17" a="1"/>
  <c r="O38" i="17" s="1" a="1"/>
  <c r="AA38" i="17"/>
  <c r="AC38" i="17" s="1"/>
  <c r="P38" i="17"/>
  <c r="H38" i="17" a="1"/>
  <c r="E38" i="17"/>
  <c r="AD37" i="17" a="1"/>
  <c r="O37" i="17" s="1" a="1"/>
  <c r="AA37" i="17"/>
  <c r="AC37" i="17" s="1"/>
  <c r="P37" i="17"/>
  <c r="H37" i="17" a="1"/>
  <c r="E37" i="17"/>
  <c r="AD36" i="17" a="1"/>
  <c r="O36" i="17" s="1" a="1"/>
  <c r="AA36" i="17"/>
  <c r="AC36" i="17" s="1"/>
  <c r="P36" i="17"/>
  <c r="H36" i="17" a="1"/>
  <c r="E36" i="17"/>
  <c r="AD35" i="17" a="1"/>
  <c r="O35" i="17" s="1" a="1"/>
  <c r="AA35" i="17"/>
  <c r="AC35" i="17" s="1"/>
  <c r="P35" i="17"/>
  <c r="H35" i="17" a="1"/>
  <c r="E35" i="17"/>
  <c r="AD34" i="17" a="1"/>
  <c r="O34" i="17" s="1" a="1"/>
  <c r="AA34" i="17"/>
  <c r="AC34" i="17" s="1"/>
  <c r="P34" i="17"/>
  <c r="H34" i="17" a="1"/>
  <c r="E34" i="17"/>
  <c r="AD33" i="17" a="1"/>
  <c r="O33" i="17" s="1" a="1"/>
  <c r="AA33" i="17"/>
  <c r="AC33" i="17" s="1"/>
  <c r="P33" i="17"/>
  <c r="H33" i="17" a="1"/>
  <c r="E33" i="17"/>
  <c r="AD32" i="17" a="1"/>
  <c r="O32" i="17" s="1" a="1"/>
  <c r="AA32" i="17"/>
  <c r="AC32" i="17" s="1"/>
  <c r="P32" i="17"/>
  <c r="H32" i="17" a="1"/>
  <c r="E32" i="17"/>
  <c r="AD31" i="17" a="1"/>
  <c r="O31" i="17" s="1" a="1"/>
  <c r="AA31" i="17"/>
  <c r="AC31" i="17" s="1"/>
  <c r="P31" i="17"/>
  <c r="H31" i="17" a="1"/>
  <c r="E31" i="17"/>
  <c r="AD30" i="17" a="1"/>
  <c r="O30" i="17" s="1" a="1"/>
  <c r="AA30" i="17"/>
  <c r="AC30" i="17" s="1"/>
  <c r="P30" i="17"/>
  <c r="H30" i="17" a="1"/>
  <c r="E30" i="17"/>
  <c r="AD29" i="17" a="1"/>
  <c r="O29" i="17" s="1" a="1"/>
  <c r="AA29" i="17"/>
  <c r="AC29" i="17" s="1"/>
  <c r="P29" i="17"/>
  <c r="H29" i="17" a="1"/>
  <c r="E29" i="17"/>
  <c r="AD28" i="17" a="1"/>
  <c r="O28" i="17" s="1" a="1"/>
  <c r="AA28" i="17"/>
  <c r="AC28" i="17" s="1"/>
  <c r="P28" i="17"/>
  <c r="H28" i="17" a="1"/>
  <c r="E28" i="17"/>
  <c r="AD27" i="17" a="1"/>
  <c r="O27" i="17" s="1" a="1"/>
  <c r="AA27" i="17"/>
  <c r="AC27" i="17" s="1"/>
  <c r="P27" i="17"/>
  <c r="H27" i="17" a="1"/>
  <c r="E27" i="17"/>
  <c r="AD26" i="17" a="1"/>
  <c r="O26" i="17" s="1" a="1"/>
  <c r="AA26" i="17"/>
  <c r="AC26" i="17" s="1"/>
  <c r="P26" i="17"/>
  <c r="H26" i="17" a="1"/>
  <c r="E26" i="17"/>
  <c r="AD25" i="17" a="1"/>
  <c r="O25" i="17" s="1" a="1"/>
  <c r="AA25" i="17"/>
  <c r="AC25" i="17" s="1"/>
  <c r="P25" i="17"/>
  <c r="H25" i="17" a="1"/>
  <c r="E25" i="17"/>
  <c r="AD24" i="17" a="1"/>
  <c r="O24" i="17" s="1" a="1"/>
  <c r="AA24" i="17"/>
  <c r="AC24" i="17" s="1"/>
  <c r="P24" i="17"/>
  <c r="H24" i="17" a="1"/>
  <c r="E24" i="17"/>
  <c r="AD23" i="17" a="1"/>
  <c r="O23" i="17" s="1" a="1"/>
  <c r="AA23" i="17"/>
  <c r="AC23" i="17" s="1"/>
  <c r="P23" i="17"/>
  <c r="H23" i="17" a="1"/>
  <c r="E23" i="17"/>
  <c r="AD22" i="17" a="1"/>
  <c r="O22" i="17" s="1" a="1"/>
  <c r="AA22" i="17"/>
  <c r="AC22" i="17" s="1"/>
  <c r="P22" i="17"/>
  <c r="H22" i="17" a="1"/>
  <c r="E22" i="17"/>
  <c r="AD21" i="17" a="1"/>
  <c r="O21" i="17" s="1" a="1"/>
  <c r="AA21" i="17"/>
  <c r="AC21" i="17" s="1"/>
  <c r="P21" i="17"/>
  <c r="H21" i="17" a="1"/>
  <c r="E21" i="17"/>
  <c r="AD20" i="17" a="1"/>
  <c r="O20" i="17" s="1" a="1"/>
  <c r="AA20" i="17"/>
  <c r="AC20" i="17" s="1"/>
  <c r="P20" i="17"/>
  <c r="H20" i="17" a="1"/>
  <c r="E20" i="17"/>
  <c r="AD19" i="17" a="1"/>
  <c r="O19" i="17" s="1" a="1"/>
  <c r="AA19" i="17"/>
  <c r="AC19" i="17" s="1"/>
  <c r="P19" i="17"/>
  <c r="H19" i="17" a="1"/>
  <c r="E19" i="17"/>
  <c r="AD18" i="17" a="1"/>
  <c r="O18" i="17" s="1" a="1"/>
  <c r="AA18" i="17"/>
  <c r="AC18" i="17" s="1"/>
  <c r="P18" i="17"/>
  <c r="H18" i="17" a="1"/>
  <c r="E18" i="17"/>
  <c r="AD17" i="17" a="1"/>
  <c r="O17" i="17" s="1" a="1"/>
  <c r="AA17" i="17"/>
  <c r="AC17" i="17" s="1"/>
  <c r="P17" i="17"/>
  <c r="H17" i="17" a="1"/>
  <c r="E17" i="17"/>
  <c r="AD16" i="17" a="1"/>
  <c r="O16" i="17" s="1" a="1"/>
  <c r="AA16" i="17"/>
  <c r="AC16" i="17" s="1"/>
  <c r="R16" i="17"/>
  <c r="P16" i="17"/>
  <c r="H16" i="17" a="1"/>
  <c r="E16" i="17"/>
  <c r="AD15" i="17" a="1"/>
  <c r="O15" i="17" s="1" a="1"/>
  <c r="AA15" i="17"/>
  <c r="AC15" i="17" s="1"/>
  <c r="P15" i="17"/>
  <c r="H15" i="17" a="1"/>
  <c r="E15" i="17"/>
  <c r="AD14" i="17" a="1"/>
  <c r="O14" i="17" s="1" a="1"/>
  <c r="AA14" i="17"/>
  <c r="AC14" i="17" s="1"/>
  <c r="P14" i="17"/>
  <c r="H14" i="17" a="1"/>
  <c r="E14" i="17"/>
  <c r="AD13" i="17" a="1"/>
  <c r="O13" i="17" s="1" a="1"/>
  <c r="AA13" i="17"/>
  <c r="AC13" i="17" s="1"/>
  <c r="P13" i="17"/>
  <c r="H13" i="17" a="1"/>
  <c r="E13" i="17"/>
  <c r="AD12" i="17" a="1"/>
  <c r="O12" i="17" s="1" a="1"/>
  <c r="AA12" i="17"/>
  <c r="AC12" i="17" s="1"/>
  <c r="P12" i="17"/>
  <c r="H12" i="17" a="1"/>
  <c r="E12" i="17"/>
  <c r="AD11" i="17" a="1"/>
  <c r="O11" i="17" s="1" a="1"/>
  <c r="AA11" i="17"/>
  <c r="AC11" i="17" s="1"/>
  <c r="P11" i="17"/>
  <c r="H11" i="17" a="1"/>
  <c r="E11" i="17"/>
  <c r="AD10" i="17" a="1"/>
  <c r="O10" i="17" s="1" a="1"/>
  <c r="AA10" i="17"/>
  <c r="AC10" i="17" s="1"/>
  <c r="P10" i="17"/>
  <c r="H10" i="17" a="1"/>
  <c r="E10" i="17"/>
  <c r="AD9" i="17" a="1"/>
  <c r="O9" i="17" s="1" a="1"/>
  <c r="AA9" i="17"/>
  <c r="AC9" i="17" s="1"/>
  <c r="P9" i="17"/>
  <c r="H9" i="17" a="1"/>
  <c r="E9" i="17"/>
  <c r="AD8" i="17" a="1"/>
  <c r="O8" i="17" s="1" a="1"/>
  <c r="AA8" i="17"/>
  <c r="AC8" i="17" s="1"/>
  <c r="P8" i="17"/>
  <c r="H8" i="17" a="1"/>
  <c r="E8" i="17"/>
  <c r="AD7" i="17" a="1"/>
  <c r="O7" i="17" s="1" a="1"/>
  <c r="AA7" i="17"/>
  <c r="AC7" i="17" s="1"/>
  <c r="P7" i="17"/>
  <c r="H7" i="17" a="1"/>
  <c r="E7" i="17"/>
  <c r="AD6" i="17" a="1"/>
  <c r="O6" i="17" s="1" a="1"/>
  <c r="AA6" i="17"/>
  <c r="AC6" i="17" s="1"/>
  <c r="P6" i="17"/>
  <c r="H6" i="17" a="1"/>
  <c r="E6" i="17"/>
  <c r="AD5" i="17" a="1"/>
  <c r="O5" i="17" s="1" a="1"/>
  <c r="AA5" i="17"/>
  <c r="AC5" i="17" s="1"/>
  <c r="P5" i="17"/>
  <c r="H5" i="17" a="1"/>
  <c r="E5" i="17"/>
  <c r="AD4" i="17" a="1"/>
  <c r="O4" i="17" s="1" a="1"/>
  <c r="AA4" i="17"/>
  <c r="AC4" i="17" s="1"/>
  <c r="P4" i="17"/>
  <c r="H4" i="17" a="1"/>
  <c r="E4" i="17"/>
  <c r="AD3" i="17" a="1"/>
  <c r="O3" i="17" s="1" a="1"/>
  <c r="AA3" i="17"/>
  <c r="AC3" i="17" s="1"/>
  <c r="P3" i="17"/>
  <c r="H3" i="17" a="1"/>
  <c r="E3" i="17"/>
  <c r="AD2" i="17" a="1"/>
  <c r="O2" i="17" s="1" a="1"/>
  <c r="AA2" i="17"/>
  <c r="AC2" i="17" s="1"/>
  <c r="P2" i="17"/>
  <c r="H2" i="17" a="1"/>
  <c r="E2" i="17"/>
  <c r="Q993" i="14"/>
  <c r="P993" i="14"/>
  <c r="O993" i="14"/>
  <c r="N993" i="14"/>
  <c r="M993" i="14"/>
  <c r="K993" i="14"/>
  <c r="J993" i="14"/>
  <c r="B993" i="14"/>
  <c r="Q992" i="14"/>
  <c r="P992" i="14"/>
  <c r="O992" i="14"/>
  <c r="N992" i="14"/>
  <c r="M992" i="14"/>
  <c r="K992" i="14"/>
  <c r="J992" i="14"/>
  <c r="B992" i="14"/>
  <c r="Q991" i="14"/>
  <c r="P991" i="14"/>
  <c r="O991" i="14"/>
  <c r="N991" i="14"/>
  <c r="M991" i="14"/>
  <c r="K991" i="14"/>
  <c r="J991" i="14"/>
  <c r="B991" i="14"/>
  <c r="Q990" i="14"/>
  <c r="P990" i="14"/>
  <c r="O990" i="14"/>
  <c r="N990" i="14"/>
  <c r="M990" i="14"/>
  <c r="K990" i="14"/>
  <c r="J990" i="14"/>
  <c r="B990" i="14"/>
  <c r="Q989" i="14"/>
  <c r="P989" i="14"/>
  <c r="O989" i="14"/>
  <c r="N989" i="14"/>
  <c r="M989" i="14"/>
  <c r="K989" i="14"/>
  <c r="J989" i="14"/>
  <c r="B989" i="14"/>
  <c r="Q988" i="14"/>
  <c r="P988" i="14"/>
  <c r="O988" i="14"/>
  <c r="N988" i="14"/>
  <c r="M988" i="14"/>
  <c r="K988" i="14"/>
  <c r="J988" i="14"/>
  <c r="B988" i="14"/>
  <c r="Q987" i="14"/>
  <c r="P987" i="14"/>
  <c r="O987" i="14"/>
  <c r="N987" i="14"/>
  <c r="M987" i="14"/>
  <c r="K987" i="14"/>
  <c r="J987" i="14"/>
  <c r="B987" i="14"/>
  <c r="Q986" i="14"/>
  <c r="P986" i="14"/>
  <c r="O986" i="14"/>
  <c r="N986" i="14"/>
  <c r="M986" i="14"/>
  <c r="K986" i="14"/>
  <c r="J986" i="14"/>
  <c r="B986" i="14"/>
  <c r="Q985" i="14"/>
  <c r="P985" i="14"/>
  <c r="O985" i="14"/>
  <c r="N985" i="14"/>
  <c r="M985" i="14"/>
  <c r="K985" i="14"/>
  <c r="J985" i="14"/>
  <c r="B985" i="14"/>
  <c r="Q984" i="14"/>
  <c r="P984" i="14"/>
  <c r="O984" i="14"/>
  <c r="N984" i="14"/>
  <c r="M984" i="14"/>
  <c r="K984" i="14"/>
  <c r="J984" i="14"/>
  <c r="B984" i="14"/>
  <c r="Q983" i="14"/>
  <c r="P983" i="14"/>
  <c r="O983" i="14"/>
  <c r="N983" i="14"/>
  <c r="M983" i="14"/>
  <c r="K983" i="14"/>
  <c r="J983" i="14"/>
  <c r="B983" i="14"/>
  <c r="Q982" i="14"/>
  <c r="P982" i="14"/>
  <c r="O982" i="14"/>
  <c r="N982" i="14"/>
  <c r="M982" i="14"/>
  <c r="K982" i="14"/>
  <c r="J982" i="14"/>
  <c r="B982" i="14"/>
  <c r="Q981" i="14"/>
  <c r="P981" i="14"/>
  <c r="O981" i="14"/>
  <c r="N981" i="14"/>
  <c r="M981" i="14"/>
  <c r="K981" i="14"/>
  <c r="J981" i="14"/>
  <c r="B981" i="14"/>
  <c r="Q980" i="14"/>
  <c r="P980" i="14"/>
  <c r="O980" i="14"/>
  <c r="N980" i="14"/>
  <c r="M980" i="14"/>
  <c r="K980" i="14"/>
  <c r="J980" i="14"/>
  <c r="B980" i="14"/>
  <c r="Q979" i="14"/>
  <c r="P979" i="14"/>
  <c r="O979" i="14"/>
  <c r="N979" i="14"/>
  <c r="M979" i="14"/>
  <c r="K979" i="14"/>
  <c r="J979" i="14"/>
  <c r="B979" i="14"/>
  <c r="Q978" i="14"/>
  <c r="P978" i="14"/>
  <c r="O978" i="14"/>
  <c r="N978" i="14"/>
  <c r="M978" i="14"/>
  <c r="K978" i="14"/>
  <c r="J978" i="14"/>
  <c r="B978" i="14"/>
  <c r="Q977" i="14"/>
  <c r="P977" i="14"/>
  <c r="O977" i="14"/>
  <c r="N977" i="14"/>
  <c r="M977" i="14"/>
  <c r="K977" i="14"/>
  <c r="J977" i="14"/>
  <c r="B977" i="14"/>
  <c r="Q976" i="14"/>
  <c r="P976" i="14"/>
  <c r="O976" i="14"/>
  <c r="N976" i="14"/>
  <c r="M976" i="14"/>
  <c r="K976" i="14"/>
  <c r="J976" i="14"/>
  <c r="B976" i="14"/>
  <c r="Q975" i="14"/>
  <c r="P975" i="14"/>
  <c r="O975" i="14"/>
  <c r="N975" i="14"/>
  <c r="M975" i="14"/>
  <c r="K975" i="14"/>
  <c r="J975" i="14"/>
  <c r="B975" i="14"/>
  <c r="Q974" i="14"/>
  <c r="P974" i="14"/>
  <c r="O974" i="14"/>
  <c r="N974" i="14"/>
  <c r="M974" i="14"/>
  <c r="K974" i="14"/>
  <c r="J974" i="14"/>
  <c r="B974" i="14"/>
  <c r="Q973" i="14"/>
  <c r="P973" i="14"/>
  <c r="O973" i="14"/>
  <c r="N973" i="14"/>
  <c r="M973" i="14"/>
  <c r="K973" i="14"/>
  <c r="J973" i="14"/>
  <c r="B973" i="14"/>
  <c r="Q972" i="14"/>
  <c r="P972" i="14"/>
  <c r="O972" i="14"/>
  <c r="N972" i="14"/>
  <c r="M972" i="14"/>
  <c r="K972" i="14"/>
  <c r="J972" i="14"/>
  <c r="B972" i="14"/>
  <c r="Q971" i="14"/>
  <c r="P971" i="14"/>
  <c r="O971" i="14"/>
  <c r="N971" i="14"/>
  <c r="M971" i="14"/>
  <c r="K971" i="14"/>
  <c r="J971" i="14"/>
  <c r="B971" i="14"/>
  <c r="Q970" i="14"/>
  <c r="P970" i="14"/>
  <c r="O970" i="14"/>
  <c r="N970" i="14"/>
  <c r="M970" i="14"/>
  <c r="K970" i="14"/>
  <c r="J970" i="14"/>
  <c r="B970" i="14"/>
  <c r="Q969" i="14"/>
  <c r="P969" i="14"/>
  <c r="O969" i="14"/>
  <c r="N969" i="14"/>
  <c r="M969" i="14"/>
  <c r="K969" i="14"/>
  <c r="J969" i="14"/>
  <c r="B969" i="14"/>
  <c r="Q968" i="14"/>
  <c r="P968" i="14"/>
  <c r="O968" i="14"/>
  <c r="N968" i="14"/>
  <c r="M968" i="14"/>
  <c r="K968" i="14"/>
  <c r="J968" i="14"/>
  <c r="B968" i="14"/>
  <c r="Q967" i="14"/>
  <c r="P967" i="14"/>
  <c r="O967" i="14"/>
  <c r="N967" i="14"/>
  <c r="M967" i="14"/>
  <c r="K967" i="14"/>
  <c r="J967" i="14"/>
  <c r="B967" i="14"/>
  <c r="Q966" i="14"/>
  <c r="P966" i="14"/>
  <c r="O966" i="14"/>
  <c r="N966" i="14"/>
  <c r="M966" i="14"/>
  <c r="K966" i="14"/>
  <c r="J966" i="14"/>
  <c r="B966" i="14"/>
  <c r="Q965" i="14"/>
  <c r="P965" i="14"/>
  <c r="O965" i="14"/>
  <c r="N965" i="14"/>
  <c r="M965" i="14"/>
  <c r="K965" i="14"/>
  <c r="J965" i="14"/>
  <c r="B965" i="14"/>
  <c r="Q964" i="14"/>
  <c r="P964" i="14"/>
  <c r="O964" i="14"/>
  <c r="N964" i="14"/>
  <c r="M964" i="14"/>
  <c r="K964" i="14"/>
  <c r="J964" i="14"/>
  <c r="B964" i="14"/>
  <c r="Q963" i="14"/>
  <c r="P963" i="14"/>
  <c r="O963" i="14"/>
  <c r="N963" i="14"/>
  <c r="M963" i="14"/>
  <c r="K963" i="14"/>
  <c r="J963" i="14"/>
  <c r="B963" i="14"/>
  <c r="Q962" i="14"/>
  <c r="P962" i="14"/>
  <c r="O962" i="14"/>
  <c r="N962" i="14"/>
  <c r="M962" i="14"/>
  <c r="K962" i="14"/>
  <c r="J962" i="14"/>
  <c r="B962" i="14"/>
  <c r="Q961" i="14"/>
  <c r="P961" i="14"/>
  <c r="O961" i="14"/>
  <c r="N961" i="14"/>
  <c r="M961" i="14"/>
  <c r="K961" i="14"/>
  <c r="J961" i="14"/>
  <c r="B961" i="14"/>
  <c r="Q960" i="14"/>
  <c r="P960" i="14"/>
  <c r="O960" i="14"/>
  <c r="N960" i="14"/>
  <c r="M960" i="14"/>
  <c r="K960" i="14"/>
  <c r="J960" i="14"/>
  <c r="B960" i="14"/>
  <c r="Q959" i="14"/>
  <c r="P959" i="14"/>
  <c r="O959" i="14"/>
  <c r="N959" i="14"/>
  <c r="M959" i="14"/>
  <c r="K959" i="14"/>
  <c r="J959" i="14"/>
  <c r="B959" i="14"/>
  <c r="Q958" i="14"/>
  <c r="P958" i="14"/>
  <c r="O958" i="14"/>
  <c r="N958" i="14"/>
  <c r="M958" i="14"/>
  <c r="K958" i="14"/>
  <c r="J958" i="14"/>
  <c r="B958" i="14"/>
  <c r="Q957" i="14"/>
  <c r="P957" i="14"/>
  <c r="O957" i="14"/>
  <c r="N957" i="14"/>
  <c r="M957" i="14"/>
  <c r="K957" i="14"/>
  <c r="J957" i="14"/>
  <c r="B957" i="14"/>
  <c r="Q956" i="14"/>
  <c r="P956" i="14"/>
  <c r="O956" i="14"/>
  <c r="N956" i="14"/>
  <c r="M956" i="14"/>
  <c r="K956" i="14"/>
  <c r="J956" i="14"/>
  <c r="B956" i="14"/>
  <c r="Q955" i="14"/>
  <c r="P955" i="14"/>
  <c r="O955" i="14"/>
  <c r="N955" i="14"/>
  <c r="M955" i="14"/>
  <c r="K955" i="14"/>
  <c r="J955" i="14"/>
  <c r="B955" i="14"/>
  <c r="Q954" i="14"/>
  <c r="P954" i="14"/>
  <c r="O954" i="14"/>
  <c r="N954" i="14"/>
  <c r="M954" i="14"/>
  <c r="K954" i="14"/>
  <c r="J954" i="14"/>
  <c r="B954" i="14"/>
  <c r="Q953" i="14"/>
  <c r="P953" i="14"/>
  <c r="O953" i="14"/>
  <c r="N953" i="14"/>
  <c r="M953" i="14"/>
  <c r="K953" i="14"/>
  <c r="J953" i="14"/>
  <c r="B953" i="14"/>
  <c r="Q952" i="14"/>
  <c r="P952" i="14"/>
  <c r="O952" i="14"/>
  <c r="N952" i="14"/>
  <c r="M952" i="14"/>
  <c r="K952" i="14"/>
  <c r="J952" i="14"/>
  <c r="B952" i="14"/>
  <c r="Q951" i="14"/>
  <c r="P951" i="14"/>
  <c r="O951" i="14"/>
  <c r="N951" i="14"/>
  <c r="M951" i="14"/>
  <c r="K951" i="14"/>
  <c r="J951" i="14"/>
  <c r="B951" i="14"/>
  <c r="Q950" i="14"/>
  <c r="P950" i="14"/>
  <c r="O950" i="14"/>
  <c r="N950" i="14"/>
  <c r="M950" i="14"/>
  <c r="K950" i="14"/>
  <c r="J950" i="14"/>
  <c r="B950" i="14"/>
  <c r="Q949" i="14"/>
  <c r="P949" i="14"/>
  <c r="O949" i="14"/>
  <c r="N949" i="14"/>
  <c r="M949" i="14"/>
  <c r="K949" i="14"/>
  <c r="J949" i="14"/>
  <c r="B949" i="14"/>
  <c r="Q948" i="14"/>
  <c r="P948" i="14"/>
  <c r="O948" i="14"/>
  <c r="N948" i="14"/>
  <c r="M948" i="14"/>
  <c r="K948" i="14"/>
  <c r="J948" i="14"/>
  <c r="B948" i="14"/>
  <c r="Q947" i="14"/>
  <c r="P947" i="14"/>
  <c r="O947" i="14"/>
  <c r="N947" i="14"/>
  <c r="M947" i="14"/>
  <c r="K947" i="14"/>
  <c r="J947" i="14"/>
  <c r="B947" i="14"/>
  <c r="Q946" i="14"/>
  <c r="P946" i="14"/>
  <c r="O946" i="14"/>
  <c r="N946" i="14"/>
  <c r="M946" i="14"/>
  <c r="K946" i="14"/>
  <c r="J946" i="14"/>
  <c r="B946" i="14"/>
  <c r="Q945" i="14"/>
  <c r="P945" i="14"/>
  <c r="O945" i="14"/>
  <c r="N945" i="14"/>
  <c r="M945" i="14"/>
  <c r="K945" i="14"/>
  <c r="J945" i="14"/>
  <c r="B945" i="14"/>
  <c r="Q944" i="14"/>
  <c r="P944" i="14"/>
  <c r="O944" i="14"/>
  <c r="N944" i="14"/>
  <c r="M944" i="14"/>
  <c r="K944" i="14"/>
  <c r="J944" i="14"/>
  <c r="B944" i="14"/>
  <c r="Q943" i="14"/>
  <c r="P943" i="14"/>
  <c r="O943" i="14"/>
  <c r="N943" i="14"/>
  <c r="M943" i="14"/>
  <c r="K943" i="14"/>
  <c r="J943" i="14"/>
  <c r="B943" i="14"/>
  <c r="Q942" i="14"/>
  <c r="P942" i="14"/>
  <c r="O942" i="14"/>
  <c r="N942" i="14"/>
  <c r="M942" i="14"/>
  <c r="K942" i="14"/>
  <c r="J942" i="14"/>
  <c r="B942" i="14"/>
  <c r="Q941" i="14"/>
  <c r="P941" i="14"/>
  <c r="O941" i="14"/>
  <c r="N941" i="14"/>
  <c r="M941" i="14"/>
  <c r="K941" i="14"/>
  <c r="J941" i="14"/>
  <c r="B941" i="14"/>
  <c r="Q940" i="14"/>
  <c r="P940" i="14"/>
  <c r="O940" i="14"/>
  <c r="N940" i="14"/>
  <c r="M940" i="14"/>
  <c r="K940" i="14"/>
  <c r="J940" i="14"/>
  <c r="B940" i="14"/>
  <c r="Q939" i="14"/>
  <c r="P939" i="14"/>
  <c r="O939" i="14"/>
  <c r="N939" i="14"/>
  <c r="M939" i="14"/>
  <c r="K939" i="14"/>
  <c r="J939" i="14"/>
  <c r="B939" i="14"/>
  <c r="Q938" i="14"/>
  <c r="P938" i="14"/>
  <c r="O938" i="14"/>
  <c r="N938" i="14"/>
  <c r="M938" i="14"/>
  <c r="K938" i="14"/>
  <c r="J938" i="14"/>
  <c r="B938" i="14"/>
  <c r="Q937" i="14"/>
  <c r="P937" i="14"/>
  <c r="O937" i="14"/>
  <c r="N937" i="14"/>
  <c r="M937" i="14"/>
  <c r="K937" i="14"/>
  <c r="J937" i="14"/>
  <c r="B937" i="14"/>
  <c r="Q936" i="14"/>
  <c r="P936" i="14"/>
  <c r="O936" i="14"/>
  <c r="N936" i="14"/>
  <c r="M936" i="14"/>
  <c r="K936" i="14"/>
  <c r="J936" i="14"/>
  <c r="B936" i="14"/>
  <c r="Q935" i="14"/>
  <c r="P935" i="14"/>
  <c r="O935" i="14"/>
  <c r="N935" i="14"/>
  <c r="M935" i="14"/>
  <c r="K935" i="14"/>
  <c r="J935" i="14"/>
  <c r="B935" i="14"/>
  <c r="Q934" i="14"/>
  <c r="P934" i="14"/>
  <c r="O934" i="14"/>
  <c r="N934" i="14"/>
  <c r="M934" i="14"/>
  <c r="K934" i="14"/>
  <c r="J934" i="14"/>
  <c r="B934" i="14"/>
  <c r="Q933" i="14"/>
  <c r="P933" i="14"/>
  <c r="O933" i="14"/>
  <c r="N933" i="14"/>
  <c r="M933" i="14"/>
  <c r="K933" i="14"/>
  <c r="J933" i="14"/>
  <c r="B933" i="14"/>
  <c r="Q932" i="14"/>
  <c r="P932" i="14"/>
  <c r="O932" i="14"/>
  <c r="N932" i="14"/>
  <c r="M932" i="14"/>
  <c r="K932" i="14"/>
  <c r="J932" i="14"/>
  <c r="B932" i="14"/>
  <c r="Q931" i="14"/>
  <c r="P931" i="14"/>
  <c r="O931" i="14"/>
  <c r="N931" i="14"/>
  <c r="M931" i="14"/>
  <c r="K931" i="14"/>
  <c r="J931" i="14"/>
  <c r="B931" i="14"/>
  <c r="Q930" i="14"/>
  <c r="P930" i="14"/>
  <c r="O930" i="14"/>
  <c r="N930" i="14"/>
  <c r="M930" i="14"/>
  <c r="K930" i="14"/>
  <c r="J930" i="14"/>
  <c r="B930" i="14"/>
  <c r="Q929" i="14"/>
  <c r="P929" i="14"/>
  <c r="O929" i="14"/>
  <c r="N929" i="14"/>
  <c r="M929" i="14"/>
  <c r="K929" i="14"/>
  <c r="J929" i="14"/>
  <c r="B929" i="14"/>
  <c r="Q928" i="14"/>
  <c r="P928" i="14"/>
  <c r="O928" i="14"/>
  <c r="N928" i="14"/>
  <c r="M928" i="14"/>
  <c r="K928" i="14"/>
  <c r="J928" i="14"/>
  <c r="B928" i="14"/>
  <c r="Q927" i="14"/>
  <c r="P927" i="14"/>
  <c r="O927" i="14"/>
  <c r="N927" i="14"/>
  <c r="M927" i="14"/>
  <c r="K927" i="14"/>
  <c r="J927" i="14"/>
  <c r="B927" i="14"/>
  <c r="Q926" i="14"/>
  <c r="P926" i="14"/>
  <c r="O926" i="14"/>
  <c r="N926" i="14"/>
  <c r="M926" i="14"/>
  <c r="K926" i="14"/>
  <c r="J926" i="14"/>
  <c r="B926" i="14"/>
  <c r="Q925" i="14"/>
  <c r="P925" i="14"/>
  <c r="O925" i="14"/>
  <c r="N925" i="14"/>
  <c r="M925" i="14"/>
  <c r="K925" i="14"/>
  <c r="J925" i="14"/>
  <c r="B925" i="14"/>
  <c r="Q924" i="14"/>
  <c r="P924" i="14"/>
  <c r="O924" i="14"/>
  <c r="N924" i="14"/>
  <c r="M924" i="14"/>
  <c r="K924" i="14"/>
  <c r="J924" i="14"/>
  <c r="B924" i="14"/>
  <c r="Q923" i="14"/>
  <c r="P923" i="14"/>
  <c r="O923" i="14"/>
  <c r="N923" i="14"/>
  <c r="M923" i="14"/>
  <c r="K923" i="14"/>
  <c r="J923" i="14"/>
  <c r="B923" i="14"/>
  <c r="Q922" i="14"/>
  <c r="P922" i="14"/>
  <c r="O922" i="14"/>
  <c r="N922" i="14"/>
  <c r="M922" i="14"/>
  <c r="K922" i="14"/>
  <c r="J922" i="14"/>
  <c r="B922" i="14"/>
  <c r="Q921" i="14"/>
  <c r="P921" i="14"/>
  <c r="O921" i="14"/>
  <c r="N921" i="14"/>
  <c r="M921" i="14"/>
  <c r="K921" i="14"/>
  <c r="J921" i="14"/>
  <c r="B921" i="14"/>
  <c r="Q920" i="14"/>
  <c r="P920" i="14"/>
  <c r="O920" i="14"/>
  <c r="N920" i="14"/>
  <c r="M920" i="14"/>
  <c r="K920" i="14"/>
  <c r="J920" i="14"/>
  <c r="B920" i="14"/>
  <c r="Q919" i="14"/>
  <c r="P919" i="14"/>
  <c r="O919" i="14"/>
  <c r="N919" i="14"/>
  <c r="M919" i="14"/>
  <c r="K919" i="14"/>
  <c r="J919" i="14"/>
  <c r="B919" i="14"/>
  <c r="Q918" i="14"/>
  <c r="P918" i="14"/>
  <c r="O918" i="14"/>
  <c r="N918" i="14"/>
  <c r="M918" i="14"/>
  <c r="K918" i="14"/>
  <c r="J918" i="14"/>
  <c r="B918" i="14"/>
  <c r="Q917" i="14"/>
  <c r="P917" i="14"/>
  <c r="O917" i="14"/>
  <c r="N917" i="14"/>
  <c r="M917" i="14"/>
  <c r="K917" i="14"/>
  <c r="J917" i="14"/>
  <c r="B917" i="14"/>
  <c r="Q916" i="14"/>
  <c r="P916" i="14"/>
  <c r="O916" i="14"/>
  <c r="N916" i="14"/>
  <c r="M916" i="14"/>
  <c r="K916" i="14"/>
  <c r="J916" i="14"/>
  <c r="B916" i="14"/>
  <c r="Q915" i="14"/>
  <c r="P915" i="14"/>
  <c r="O915" i="14"/>
  <c r="N915" i="14"/>
  <c r="M915" i="14"/>
  <c r="K915" i="14"/>
  <c r="J915" i="14"/>
  <c r="B915" i="14"/>
  <c r="Q914" i="14"/>
  <c r="P914" i="14"/>
  <c r="O914" i="14"/>
  <c r="N914" i="14"/>
  <c r="M914" i="14"/>
  <c r="K914" i="14"/>
  <c r="J914" i="14"/>
  <c r="B914" i="14"/>
  <c r="Q913" i="14"/>
  <c r="P913" i="14"/>
  <c r="O913" i="14"/>
  <c r="N913" i="14"/>
  <c r="M913" i="14"/>
  <c r="K913" i="14"/>
  <c r="J913" i="14"/>
  <c r="B913" i="14"/>
  <c r="Q912" i="14"/>
  <c r="P912" i="14"/>
  <c r="O912" i="14"/>
  <c r="N912" i="14"/>
  <c r="M912" i="14"/>
  <c r="K912" i="14"/>
  <c r="J912" i="14"/>
  <c r="B912" i="14"/>
  <c r="Q911" i="14"/>
  <c r="P911" i="14"/>
  <c r="O911" i="14"/>
  <c r="N911" i="14"/>
  <c r="M911" i="14"/>
  <c r="K911" i="14"/>
  <c r="J911" i="14"/>
  <c r="B911" i="14"/>
  <c r="Q910" i="14"/>
  <c r="P910" i="14"/>
  <c r="O910" i="14"/>
  <c r="N910" i="14"/>
  <c r="M910" i="14"/>
  <c r="K910" i="14"/>
  <c r="J910" i="14"/>
  <c r="B910" i="14"/>
  <c r="Q909" i="14"/>
  <c r="P909" i="14"/>
  <c r="O909" i="14"/>
  <c r="N909" i="14"/>
  <c r="M909" i="14"/>
  <c r="K909" i="14"/>
  <c r="J909" i="14"/>
  <c r="B909" i="14"/>
  <c r="Q908" i="14"/>
  <c r="P908" i="14"/>
  <c r="O908" i="14"/>
  <c r="N908" i="14"/>
  <c r="M908" i="14"/>
  <c r="K908" i="14"/>
  <c r="J908" i="14"/>
  <c r="B908" i="14"/>
  <c r="Q907" i="14"/>
  <c r="P907" i="14"/>
  <c r="O907" i="14"/>
  <c r="N907" i="14"/>
  <c r="M907" i="14"/>
  <c r="K907" i="14"/>
  <c r="J907" i="14"/>
  <c r="B907" i="14"/>
  <c r="Q906" i="14"/>
  <c r="P906" i="14"/>
  <c r="O906" i="14"/>
  <c r="N906" i="14"/>
  <c r="M906" i="14"/>
  <c r="K906" i="14"/>
  <c r="J906" i="14"/>
  <c r="B906" i="14"/>
  <c r="Q905" i="14"/>
  <c r="P905" i="14"/>
  <c r="O905" i="14"/>
  <c r="N905" i="14"/>
  <c r="M905" i="14"/>
  <c r="K905" i="14"/>
  <c r="J905" i="14"/>
  <c r="B905" i="14"/>
  <c r="Q904" i="14"/>
  <c r="P904" i="14"/>
  <c r="O904" i="14"/>
  <c r="N904" i="14"/>
  <c r="M904" i="14"/>
  <c r="K904" i="14"/>
  <c r="J904" i="14"/>
  <c r="B904" i="14"/>
  <c r="Q903" i="14"/>
  <c r="P903" i="14"/>
  <c r="O903" i="14"/>
  <c r="N903" i="14"/>
  <c r="M903" i="14"/>
  <c r="K903" i="14"/>
  <c r="J903" i="14"/>
  <c r="B903" i="14"/>
  <c r="Q902" i="14"/>
  <c r="P902" i="14"/>
  <c r="O902" i="14"/>
  <c r="N902" i="14"/>
  <c r="M902" i="14"/>
  <c r="K902" i="14"/>
  <c r="J902" i="14"/>
  <c r="B902" i="14"/>
  <c r="Q901" i="14"/>
  <c r="P901" i="14"/>
  <c r="O901" i="14"/>
  <c r="N901" i="14"/>
  <c r="M901" i="14"/>
  <c r="K901" i="14"/>
  <c r="J901" i="14"/>
  <c r="B901" i="14"/>
  <c r="Q900" i="14"/>
  <c r="P900" i="14"/>
  <c r="O900" i="14"/>
  <c r="N900" i="14"/>
  <c r="M900" i="14"/>
  <c r="K900" i="14"/>
  <c r="J900" i="14"/>
  <c r="B900" i="14"/>
  <c r="Q899" i="14"/>
  <c r="P899" i="14"/>
  <c r="O899" i="14"/>
  <c r="N899" i="14"/>
  <c r="M899" i="14"/>
  <c r="K899" i="14"/>
  <c r="J899" i="14"/>
  <c r="B899" i="14"/>
  <c r="Q898" i="14"/>
  <c r="P898" i="14"/>
  <c r="O898" i="14"/>
  <c r="N898" i="14"/>
  <c r="M898" i="14"/>
  <c r="K898" i="14"/>
  <c r="J898" i="14"/>
  <c r="B898" i="14"/>
  <c r="Q897" i="14"/>
  <c r="P897" i="14"/>
  <c r="O897" i="14"/>
  <c r="N897" i="14"/>
  <c r="M897" i="14"/>
  <c r="K897" i="14"/>
  <c r="J897" i="14"/>
  <c r="B897" i="14"/>
  <c r="Q896" i="14"/>
  <c r="P896" i="14"/>
  <c r="O896" i="14"/>
  <c r="N896" i="14"/>
  <c r="M896" i="14"/>
  <c r="K896" i="14"/>
  <c r="J896" i="14"/>
  <c r="B896" i="14"/>
  <c r="Q895" i="14"/>
  <c r="P895" i="14"/>
  <c r="O895" i="14"/>
  <c r="N895" i="14"/>
  <c r="M895" i="14"/>
  <c r="K895" i="14"/>
  <c r="J895" i="14"/>
  <c r="B895" i="14"/>
  <c r="Q894" i="14"/>
  <c r="P894" i="14"/>
  <c r="O894" i="14"/>
  <c r="N894" i="14"/>
  <c r="M894" i="14"/>
  <c r="K894" i="14"/>
  <c r="J894" i="14"/>
  <c r="B894" i="14"/>
  <c r="Q893" i="14"/>
  <c r="P893" i="14"/>
  <c r="O893" i="14"/>
  <c r="N893" i="14"/>
  <c r="M893" i="14"/>
  <c r="K893" i="14"/>
  <c r="J893" i="14"/>
  <c r="B893" i="14"/>
  <c r="Q892" i="14"/>
  <c r="P892" i="14"/>
  <c r="O892" i="14"/>
  <c r="N892" i="14"/>
  <c r="M892" i="14"/>
  <c r="K892" i="14"/>
  <c r="J892" i="14"/>
  <c r="B892" i="14"/>
  <c r="Q891" i="14"/>
  <c r="P891" i="14"/>
  <c r="O891" i="14"/>
  <c r="N891" i="14"/>
  <c r="M891" i="14"/>
  <c r="K891" i="14"/>
  <c r="J891" i="14"/>
  <c r="B891" i="14"/>
  <c r="Q890" i="14"/>
  <c r="P890" i="14"/>
  <c r="O890" i="14"/>
  <c r="N890" i="14"/>
  <c r="M890" i="14"/>
  <c r="K890" i="14"/>
  <c r="J890" i="14"/>
  <c r="B890" i="14"/>
  <c r="Q889" i="14"/>
  <c r="P889" i="14"/>
  <c r="O889" i="14"/>
  <c r="N889" i="14"/>
  <c r="M889" i="14"/>
  <c r="K889" i="14"/>
  <c r="J889" i="14"/>
  <c r="B889" i="14"/>
  <c r="Q888" i="14"/>
  <c r="P888" i="14"/>
  <c r="O888" i="14"/>
  <c r="N888" i="14"/>
  <c r="M888" i="14"/>
  <c r="K888" i="14"/>
  <c r="J888" i="14"/>
  <c r="B888" i="14"/>
  <c r="Q887" i="14"/>
  <c r="P887" i="14"/>
  <c r="O887" i="14"/>
  <c r="N887" i="14"/>
  <c r="M887" i="14"/>
  <c r="K887" i="14"/>
  <c r="J887" i="14"/>
  <c r="B887" i="14"/>
  <c r="Q886" i="14"/>
  <c r="P886" i="14"/>
  <c r="O886" i="14"/>
  <c r="N886" i="14"/>
  <c r="M886" i="14"/>
  <c r="K886" i="14"/>
  <c r="J886" i="14"/>
  <c r="B886" i="14"/>
  <c r="Q885" i="14"/>
  <c r="P885" i="14"/>
  <c r="O885" i="14"/>
  <c r="N885" i="14"/>
  <c r="M885" i="14"/>
  <c r="K885" i="14"/>
  <c r="J885" i="14"/>
  <c r="B885" i="14"/>
  <c r="Q884" i="14"/>
  <c r="P884" i="14"/>
  <c r="O884" i="14"/>
  <c r="N884" i="14"/>
  <c r="M884" i="14"/>
  <c r="K884" i="14"/>
  <c r="J884" i="14"/>
  <c r="B884" i="14"/>
  <c r="Q883" i="14"/>
  <c r="P883" i="14"/>
  <c r="O883" i="14"/>
  <c r="N883" i="14"/>
  <c r="M883" i="14"/>
  <c r="K883" i="14"/>
  <c r="J883" i="14"/>
  <c r="B883" i="14"/>
  <c r="Q882" i="14"/>
  <c r="P882" i="14"/>
  <c r="O882" i="14"/>
  <c r="N882" i="14"/>
  <c r="M882" i="14"/>
  <c r="K882" i="14"/>
  <c r="J882" i="14"/>
  <c r="B882" i="14"/>
  <c r="Q881" i="14"/>
  <c r="P881" i="14"/>
  <c r="O881" i="14"/>
  <c r="N881" i="14"/>
  <c r="M881" i="14"/>
  <c r="K881" i="14"/>
  <c r="J881" i="14"/>
  <c r="B881" i="14"/>
  <c r="Q880" i="14"/>
  <c r="P880" i="14"/>
  <c r="O880" i="14"/>
  <c r="N880" i="14"/>
  <c r="M880" i="14"/>
  <c r="K880" i="14"/>
  <c r="J880" i="14"/>
  <c r="B880" i="14"/>
  <c r="Q879" i="14"/>
  <c r="P879" i="14"/>
  <c r="O879" i="14"/>
  <c r="N879" i="14"/>
  <c r="M879" i="14"/>
  <c r="K879" i="14"/>
  <c r="J879" i="14"/>
  <c r="B879" i="14"/>
  <c r="Q878" i="14"/>
  <c r="P878" i="14"/>
  <c r="O878" i="14"/>
  <c r="N878" i="14"/>
  <c r="M878" i="14"/>
  <c r="K878" i="14"/>
  <c r="J878" i="14"/>
  <c r="B878" i="14"/>
  <c r="Q877" i="14"/>
  <c r="P877" i="14"/>
  <c r="O877" i="14"/>
  <c r="N877" i="14"/>
  <c r="M877" i="14"/>
  <c r="K877" i="14"/>
  <c r="J877" i="14"/>
  <c r="B877" i="14"/>
  <c r="Q876" i="14"/>
  <c r="P876" i="14"/>
  <c r="O876" i="14"/>
  <c r="N876" i="14"/>
  <c r="M876" i="14"/>
  <c r="K876" i="14"/>
  <c r="J876" i="14"/>
  <c r="B876" i="14"/>
  <c r="Q875" i="14"/>
  <c r="P875" i="14"/>
  <c r="O875" i="14"/>
  <c r="N875" i="14"/>
  <c r="M875" i="14"/>
  <c r="K875" i="14"/>
  <c r="J875" i="14"/>
  <c r="B875" i="14"/>
  <c r="Q874" i="14"/>
  <c r="P874" i="14"/>
  <c r="O874" i="14"/>
  <c r="N874" i="14"/>
  <c r="M874" i="14"/>
  <c r="K874" i="14"/>
  <c r="J874" i="14"/>
  <c r="B874" i="14"/>
  <c r="Q873" i="14"/>
  <c r="P873" i="14"/>
  <c r="O873" i="14"/>
  <c r="N873" i="14"/>
  <c r="M873" i="14"/>
  <c r="K873" i="14"/>
  <c r="J873" i="14"/>
  <c r="B873" i="14"/>
  <c r="Q872" i="14"/>
  <c r="P872" i="14"/>
  <c r="O872" i="14"/>
  <c r="N872" i="14"/>
  <c r="M872" i="14"/>
  <c r="K872" i="14"/>
  <c r="J872" i="14"/>
  <c r="B872" i="14"/>
  <c r="Q871" i="14"/>
  <c r="P871" i="14"/>
  <c r="O871" i="14"/>
  <c r="N871" i="14"/>
  <c r="M871" i="14"/>
  <c r="K871" i="14"/>
  <c r="J871" i="14"/>
  <c r="B871" i="14"/>
  <c r="Q870" i="14"/>
  <c r="P870" i="14"/>
  <c r="O870" i="14"/>
  <c r="N870" i="14"/>
  <c r="M870" i="14"/>
  <c r="K870" i="14"/>
  <c r="J870" i="14"/>
  <c r="B870" i="14"/>
  <c r="Q869" i="14"/>
  <c r="P869" i="14"/>
  <c r="O869" i="14"/>
  <c r="N869" i="14"/>
  <c r="M869" i="14"/>
  <c r="K869" i="14"/>
  <c r="J869" i="14"/>
  <c r="B869" i="14"/>
  <c r="Q868" i="14"/>
  <c r="P868" i="14"/>
  <c r="O868" i="14"/>
  <c r="N868" i="14"/>
  <c r="M868" i="14"/>
  <c r="K868" i="14"/>
  <c r="J868" i="14"/>
  <c r="B868" i="14"/>
  <c r="Q867" i="14"/>
  <c r="P867" i="14"/>
  <c r="O867" i="14"/>
  <c r="N867" i="14"/>
  <c r="M867" i="14"/>
  <c r="K867" i="14"/>
  <c r="J867" i="14"/>
  <c r="B867" i="14"/>
  <c r="Q866" i="14"/>
  <c r="P866" i="14"/>
  <c r="O866" i="14"/>
  <c r="N866" i="14"/>
  <c r="M866" i="14"/>
  <c r="K866" i="14"/>
  <c r="J866" i="14"/>
  <c r="B866" i="14"/>
  <c r="Q865" i="14"/>
  <c r="P865" i="14"/>
  <c r="O865" i="14"/>
  <c r="N865" i="14"/>
  <c r="M865" i="14"/>
  <c r="K865" i="14"/>
  <c r="J865" i="14"/>
  <c r="B865" i="14"/>
  <c r="Q864" i="14"/>
  <c r="P864" i="14"/>
  <c r="O864" i="14"/>
  <c r="N864" i="14"/>
  <c r="M864" i="14"/>
  <c r="K864" i="14"/>
  <c r="J864" i="14"/>
  <c r="B864" i="14"/>
  <c r="Q863" i="14"/>
  <c r="P863" i="14"/>
  <c r="O863" i="14"/>
  <c r="N863" i="14"/>
  <c r="M863" i="14"/>
  <c r="K863" i="14"/>
  <c r="J863" i="14"/>
  <c r="B863" i="14"/>
  <c r="Q862" i="14"/>
  <c r="P862" i="14"/>
  <c r="O862" i="14"/>
  <c r="N862" i="14"/>
  <c r="M862" i="14"/>
  <c r="K862" i="14"/>
  <c r="J862" i="14"/>
  <c r="B862" i="14"/>
  <c r="Q861" i="14"/>
  <c r="P861" i="14"/>
  <c r="O861" i="14"/>
  <c r="N861" i="14"/>
  <c r="M861" i="14"/>
  <c r="K861" i="14"/>
  <c r="J861" i="14"/>
  <c r="B861" i="14"/>
  <c r="Q860" i="14"/>
  <c r="P860" i="14"/>
  <c r="O860" i="14"/>
  <c r="N860" i="14"/>
  <c r="M860" i="14"/>
  <c r="K860" i="14"/>
  <c r="J860" i="14"/>
  <c r="B860" i="14"/>
  <c r="Q859" i="14"/>
  <c r="P859" i="14"/>
  <c r="O859" i="14"/>
  <c r="N859" i="14"/>
  <c r="M859" i="14"/>
  <c r="K859" i="14"/>
  <c r="J859" i="14"/>
  <c r="B859" i="14"/>
  <c r="Q858" i="14"/>
  <c r="P858" i="14"/>
  <c r="O858" i="14"/>
  <c r="N858" i="14"/>
  <c r="M858" i="14"/>
  <c r="K858" i="14"/>
  <c r="J858" i="14"/>
  <c r="B858" i="14"/>
  <c r="Q857" i="14"/>
  <c r="P857" i="14"/>
  <c r="O857" i="14"/>
  <c r="N857" i="14"/>
  <c r="M857" i="14"/>
  <c r="K857" i="14"/>
  <c r="J857" i="14"/>
  <c r="B857" i="14"/>
  <c r="Q856" i="14"/>
  <c r="P856" i="14"/>
  <c r="O856" i="14"/>
  <c r="N856" i="14"/>
  <c r="M856" i="14"/>
  <c r="K856" i="14"/>
  <c r="J856" i="14"/>
  <c r="B856" i="14"/>
  <c r="Q855" i="14"/>
  <c r="P855" i="14"/>
  <c r="O855" i="14"/>
  <c r="N855" i="14"/>
  <c r="M855" i="14"/>
  <c r="K855" i="14"/>
  <c r="J855" i="14"/>
  <c r="B855" i="14"/>
  <c r="Q854" i="14"/>
  <c r="P854" i="14"/>
  <c r="O854" i="14"/>
  <c r="N854" i="14"/>
  <c r="M854" i="14"/>
  <c r="K854" i="14"/>
  <c r="J854" i="14"/>
  <c r="B854" i="14"/>
  <c r="Q853" i="14"/>
  <c r="P853" i="14"/>
  <c r="O853" i="14"/>
  <c r="N853" i="14"/>
  <c r="M853" i="14"/>
  <c r="K853" i="14"/>
  <c r="J853" i="14"/>
  <c r="B853" i="14"/>
  <c r="Q852" i="14"/>
  <c r="P852" i="14"/>
  <c r="O852" i="14"/>
  <c r="N852" i="14"/>
  <c r="M852" i="14"/>
  <c r="K852" i="14"/>
  <c r="J852" i="14"/>
  <c r="B852" i="14"/>
  <c r="Q851" i="14"/>
  <c r="P851" i="14"/>
  <c r="O851" i="14"/>
  <c r="N851" i="14"/>
  <c r="M851" i="14"/>
  <c r="K851" i="14"/>
  <c r="J851" i="14"/>
  <c r="B851" i="14"/>
  <c r="Q850" i="14"/>
  <c r="P850" i="14"/>
  <c r="O850" i="14"/>
  <c r="N850" i="14"/>
  <c r="M850" i="14"/>
  <c r="K850" i="14"/>
  <c r="J850" i="14"/>
  <c r="B850" i="14"/>
  <c r="Q849" i="14"/>
  <c r="P849" i="14"/>
  <c r="O849" i="14"/>
  <c r="N849" i="14"/>
  <c r="M849" i="14"/>
  <c r="K849" i="14"/>
  <c r="J849" i="14"/>
  <c r="B849" i="14"/>
  <c r="Q848" i="14"/>
  <c r="P848" i="14"/>
  <c r="O848" i="14"/>
  <c r="N848" i="14"/>
  <c r="M848" i="14"/>
  <c r="K848" i="14"/>
  <c r="J848" i="14"/>
  <c r="B848" i="14"/>
  <c r="Q847" i="14"/>
  <c r="P847" i="14"/>
  <c r="O847" i="14"/>
  <c r="N847" i="14"/>
  <c r="M847" i="14"/>
  <c r="K847" i="14"/>
  <c r="J847" i="14"/>
  <c r="B847" i="14"/>
  <c r="Q846" i="14"/>
  <c r="P846" i="14"/>
  <c r="O846" i="14"/>
  <c r="N846" i="14"/>
  <c r="M846" i="14"/>
  <c r="K846" i="14"/>
  <c r="J846" i="14"/>
  <c r="B846" i="14"/>
  <c r="Q845" i="14"/>
  <c r="P845" i="14"/>
  <c r="O845" i="14"/>
  <c r="N845" i="14"/>
  <c r="M845" i="14"/>
  <c r="K845" i="14"/>
  <c r="J845" i="14"/>
  <c r="B845" i="14"/>
  <c r="Q844" i="14"/>
  <c r="P844" i="14"/>
  <c r="O844" i="14"/>
  <c r="N844" i="14"/>
  <c r="M844" i="14"/>
  <c r="K844" i="14"/>
  <c r="J844" i="14"/>
  <c r="B844" i="14"/>
  <c r="Q843" i="14"/>
  <c r="P843" i="14"/>
  <c r="O843" i="14"/>
  <c r="N843" i="14"/>
  <c r="M843" i="14"/>
  <c r="K843" i="14"/>
  <c r="J843" i="14"/>
  <c r="B843" i="14"/>
  <c r="Q842" i="14"/>
  <c r="P842" i="14"/>
  <c r="O842" i="14"/>
  <c r="N842" i="14"/>
  <c r="M842" i="14"/>
  <c r="K842" i="14"/>
  <c r="J842" i="14"/>
  <c r="B842" i="14"/>
  <c r="Q841" i="14"/>
  <c r="P841" i="14"/>
  <c r="O841" i="14"/>
  <c r="N841" i="14"/>
  <c r="M841" i="14"/>
  <c r="K841" i="14"/>
  <c r="J841" i="14"/>
  <c r="B841" i="14"/>
  <c r="Q840" i="14"/>
  <c r="P840" i="14"/>
  <c r="O840" i="14"/>
  <c r="N840" i="14"/>
  <c r="M840" i="14"/>
  <c r="K840" i="14"/>
  <c r="J840" i="14"/>
  <c r="B840" i="14"/>
  <c r="Q839" i="14"/>
  <c r="P839" i="14"/>
  <c r="O839" i="14"/>
  <c r="N839" i="14"/>
  <c r="M839" i="14"/>
  <c r="K839" i="14"/>
  <c r="J839" i="14"/>
  <c r="B839" i="14"/>
  <c r="Q838" i="14"/>
  <c r="P838" i="14"/>
  <c r="O838" i="14"/>
  <c r="N838" i="14"/>
  <c r="M838" i="14"/>
  <c r="K838" i="14"/>
  <c r="J838" i="14"/>
  <c r="B838" i="14"/>
  <c r="Q837" i="14"/>
  <c r="P837" i="14"/>
  <c r="O837" i="14"/>
  <c r="N837" i="14"/>
  <c r="M837" i="14"/>
  <c r="K837" i="14"/>
  <c r="J837" i="14"/>
  <c r="B837" i="14"/>
  <c r="Q836" i="14"/>
  <c r="P836" i="14"/>
  <c r="O836" i="14"/>
  <c r="N836" i="14"/>
  <c r="M836" i="14"/>
  <c r="K836" i="14"/>
  <c r="J836" i="14"/>
  <c r="B836" i="14"/>
  <c r="Q835" i="14"/>
  <c r="P835" i="14"/>
  <c r="O835" i="14"/>
  <c r="N835" i="14"/>
  <c r="M835" i="14"/>
  <c r="K835" i="14"/>
  <c r="J835" i="14"/>
  <c r="B835" i="14"/>
  <c r="Q834" i="14"/>
  <c r="P834" i="14"/>
  <c r="O834" i="14"/>
  <c r="N834" i="14"/>
  <c r="M834" i="14"/>
  <c r="K834" i="14"/>
  <c r="J834" i="14"/>
  <c r="B834" i="14"/>
  <c r="Q833" i="14"/>
  <c r="P833" i="14"/>
  <c r="O833" i="14"/>
  <c r="N833" i="14"/>
  <c r="M833" i="14"/>
  <c r="K833" i="14"/>
  <c r="J833" i="14"/>
  <c r="B833" i="14"/>
  <c r="Q832" i="14"/>
  <c r="P832" i="14"/>
  <c r="O832" i="14"/>
  <c r="N832" i="14"/>
  <c r="M832" i="14"/>
  <c r="K832" i="14"/>
  <c r="J832" i="14"/>
  <c r="B832" i="14"/>
  <c r="Q831" i="14"/>
  <c r="P831" i="14"/>
  <c r="O831" i="14"/>
  <c r="N831" i="14"/>
  <c r="M831" i="14"/>
  <c r="K831" i="14"/>
  <c r="J831" i="14"/>
  <c r="B831" i="14"/>
  <c r="Q830" i="14"/>
  <c r="P830" i="14"/>
  <c r="O830" i="14"/>
  <c r="N830" i="14"/>
  <c r="M830" i="14"/>
  <c r="K830" i="14"/>
  <c r="J830" i="14"/>
  <c r="B830" i="14"/>
  <c r="Q829" i="14"/>
  <c r="P829" i="14"/>
  <c r="O829" i="14"/>
  <c r="N829" i="14"/>
  <c r="M829" i="14"/>
  <c r="K829" i="14"/>
  <c r="J829" i="14"/>
  <c r="B829" i="14"/>
  <c r="Q828" i="14"/>
  <c r="P828" i="14"/>
  <c r="O828" i="14"/>
  <c r="N828" i="14"/>
  <c r="M828" i="14"/>
  <c r="K828" i="14"/>
  <c r="J828" i="14"/>
  <c r="B828" i="14"/>
  <c r="Q827" i="14"/>
  <c r="P827" i="14"/>
  <c r="O827" i="14"/>
  <c r="N827" i="14"/>
  <c r="M827" i="14"/>
  <c r="K827" i="14"/>
  <c r="J827" i="14"/>
  <c r="B827" i="14"/>
  <c r="Q826" i="14"/>
  <c r="P826" i="14"/>
  <c r="O826" i="14"/>
  <c r="N826" i="14"/>
  <c r="M826" i="14"/>
  <c r="K826" i="14"/>
  <c r="J826" i="14"/>
  <c r="B826" i="14"/>
  <c r="Q825" i="14"/>
  <c r="P825" i="14"/>
  <c r="O825" i="14"/>
  <c r="N825" i="14"/>
  <c r="M825" i="14"/>
  <c r="K825" i="14"/>
  <c r="J825" i="14"/>
  <c r="B825" i="14"/>
  <c r="Q824" i="14"/>
  <c r="P824" i="14"/>
  <c r="O824" i="14"/>
  <c r="N824" i="14"/>
  <c r="M824" i="14"/>
  <c r="K824" i="14"/>
  <c r="J824" i="14"/>
  <c r="B824" i="14"/>
  <c r="Q823" i="14"/>
  <c r="P823" i="14"/>
  <c r="O823" i="14"/>
  <c r="N823" i="14"/>
  <c r="M823" i="14"/>
  <c r="K823" i="14"/>
  <c r="J823" i="14"/>
  <c r="B823" i="14"/>
  <c r="Q822" i="14"/>
  <c r="P822" i="14"/>
  <c r="O822" i="14"/>
  <c r="N822" i="14"/>
  <c r="M822" i="14"/>
  <c r="K822" i="14"/>
  <c r="J822" i="14"/>
  <c r="B822" i="14"/>
  <c r="Q821" i="14"/>
  <c r="P821" i="14"/>
  <c r="O821" i="14"/>
  <c r="N821" i="14"/>
  <c r="M821" i="14"/>
  <c r="K821" i="14"/>
  <c r="J821" i="14"/>
  <c r="B821" i="14"/>
  <c r="Q820" i="14"/>
  <c r="P820" i="14"/>
  <c r="O820" i="14"/>
  <c r="N820" i="14"/>
  <c r="M820" i="14"/>
  <c r="K820" i="14"/>
  <c r="J820" i="14"/>
  <c r="B820" i="14"/>
  <c r="Q819" i="14"/>
  <c r="P819" i="14"/>
  <c r="O819" i="14"/>
  <c r="N819" i="14"/>
  <c r="M819" i="14"/>
  <c r="K819" i="14"/>
  <c r="J819" i="14"/>
  <c r="B819" i="14"/>
  <c r="Q818" i="14"/>
  <c r="P818" i="14"/>
  <c r="O818" i="14"/>
  <c r="N818" i="14"/>
  <c r="M818" i="14"/>
  <c r="K818" i="14"/>
  <c r="J818" i="14"/>
  <c r="B818" i="14"/>
  <c r="Q817" i="14"/>
  <c r="P817" i="14"/>
  <c r="O817" i="14"/>
  <c r="N817" i="14"/>
  <c r="M817" i="14"/>
  <c r="K817" i="14"/>
  <c r="J817" i="14"/>
  <c r="B817" i="14"/>
  <c r="Q816" i="14"/>
  <c r="P816" i="14"/>
  <c r="O816" i="14"/>
  <c r="N816" i="14"/>
  <c r="M816" i="14"/>
  <c r="K816" i="14"/>
  <c r="J816" i="14"/>
  <c r="B816" i="14"/>
  <c r="Q815" i="14"/>
  <c r="P815" i="14"/>
  <c r="O815" i="14"/>
  <c r="N815" i="14"/>
  <c r="M815" i="14"/>
  <c r="K815" i="14"/>
  <c r="J815" i="14"/>
  <c r="B815" i="14"/>
  <c r="Q814" i="14"/>
  <c r="P814" i="14"/>
  <c r="O814" i="14"/>
  <c r="N814" i="14"/>
  <c r="M814" i="14"/>
  <c r="K814" i="14"/>
  <c r="J814" i="14"/>
  <c r="B814" i="14"/>
  <c r="Q813" i="14"/>
  <c r="P813" i="14"/>
  <c r="O813" i="14"/>
  <c r="N813" i="14"/>
  <c r="M813" i="14"/>
  <c r="K813" i="14"/>
  <c r="J813" i="14"/>
  <c r="B813" i="14"/>
  <c r="Q812" i="14"/>
  <c r="P812" i="14"/>
  <c r="O812" i="14"/>
  <c r="N812" i="14"/>
  <c r="M812" i="14"/>
  <c r="K812" i="14"/>
  <c r="J812" i="14"/>
  <c r="B812" i="14"/>
  <c r="Q811" i="14"/>
  <c r="P811" i="14"/>
  <c r="O811" i="14"/>
  <c r="N811" i="14"/>
  <c r="M811" i="14"/>
  <c r="K811" i="14"/>
  <c r="J811" i="14"/>
  <c r="B811" i="14"/>
  <c r="Q810" i="14"/>
  <c r="P810" i="14"/>
  <c r="O810" i="14"/>
  <c r="N810" i="14"/>
  <c r="M810" i="14"/>
  <c r="K810" i="14"/>
  <c r="J810" i="14"/>
  <c r="B810" i="14"/>
  <c r="Q809" i="14"/>
  <c r="P809" i="14"/>
  <c r="O809" i="14"/>
  <c r="N809" i="14"/>
  <c r="M809" i="14"/>
  <c r="K809" i="14"/>
  <c r="J809" i="14"/>
  <c r="B809" i="14"/>
  <c r="Q808" i="14"/>
  <c r="P808" i="14"/>
  <c r="O808" i="14"/>
  <c r="N808" i="14"/>
  <c r="M808" i="14"/>
  <c r="K808" i="14"/>
  <c r="J808" i="14"/>
  <c r="B808" i="14"/>
  <c r="Q807" i="14"/>
  <c r="P807" i="14"/>
  <c r="O807" i="14"/>
  <c r="N807" i="14"/>
  <c r="M807" i="14"/>
  <c r="K807" i="14"/>
  <c r="J807" i="14"/>
  <c r="B807" i="14"/>
  <c r="Q806" i="14"/>
  <c r="P806" i="14"/>
  <c r="O806" i="14"/>
  <c r="N806" i="14"/>
  <c r="M806" i="14"/>
  <c r="K806" i="14"/>
  <c r="J806" i="14"/>
  <c r="B806" i="14"/>
  <c r="Q805" i="14"/>
  <c r="P805" i="14"/>
  <c r="O805" i="14"/>
  <c r="N805" i="14"/>
  <c r="M805" i="14"/>
  <c r="K805" i="14"/>
  <c r="J805" i="14"/>
  <c r="B805" i="14"/>
  <c r="Q804" i="14"/>
  <c r="P804" i="14"/>
  <c r="O804" i="14"/>
  <c r="N804" i="14"/>
  <c r="M804" i="14"/>
  <c r="K804" i="14"/>
  <c r="J804" i="14"/>
  <c r="B804" i="14"/>
  <c r="Q803" i="14"/>
  <c r="P803" i="14"/>
  <c r="O803" i="14"/>
  <c r="N803" i="14"/>
  <c r="M803" i="14"/>
  <c r="K803" i="14"/>
  <c r="J803" i="14"/>
  <c r="B803" i="14"/>
  <c r="Q802" i="14"/>
  <c r="P802" i="14"/>
  <c r="O802" i="14"/>
  <c r="N802" i="14"/>
  <c r="M802" i="14"/>
  <c r="K802" i="14"/>
  <c r="J802" i="14"/>
  <c r="B802" i="14"/>
  <c r="Q801" i="14"/>
  <c r="P801" i="14"/>
  <c r="O801" i="14"/>
  <c r="N801" i="14"/>
  <c r="M801" i="14"/>
  <c r="K801" i="14"/>
  <c r="J801" i="14"/>
  <c r="B801" i="14"/>
  <c r="Q800" i="14"/>
  <c r="P800" i="14"/>
  <c r="O800" i="14"/>
  <c r="N800" i="14"/>
  <c r="M800" i="14"/>
  <c r="K800" i="14"/>
  <c r="J800" i="14"/>
  <c r="B800" i="14"/>
  <c r="Q799" i="14"/>
  <c r="P799" i="14"/>
  <c r="O799" i="14"/>
  <c r="N799" i="14"/>
  <c r="M799" i="14"/>
  <c r="K799" i="14"/>
  <c r="J799" i="14"/>
  <c r="B799" i="14"/>
  <c r="Q798" i="14"/>
  <c r="P798" i="14"/>
  <c r="O798" i="14"/>
  <c r="N798" i="14"/>
  <c r="M798" i="14"/>
  <c r="K798" i="14"/>
  <c r="J798" i="14"/>
  <c r="B798" i="14"/>
  <c r="Q797" i="14"/>
  <c r="P797" i="14"/>
  <c r="O797" i="14"/>
  <c r="N797" i="14"/>
  <c r="M797" i="14"/>
  <c r="K797" i="14"/>
  <c r="J797" i="14"/>
  <c r="B797" i="14"/>
  <c r="Q796" i="14"/>
  <c r="P796" i="14"/>
  <c r="O796" i="14"/>
  <c r="N796" i="14"/>
  <c r="M796" i="14"/>
  <c r="K796" i="14"/>
  <c r="J796" i="14"/>
  <c r="B796" i="14"/>
  <c r="Q795" i="14"/>
  <c r="P795" i="14"/>
  <c r="O795" i="14"/>
  <c r="N795" i="14"/>
  <c r="M795" i="14"/>
  <c r="K795" i="14"/>
  <c r="J795" i="14"/>
  <c r="B795" i="14"/>
  <c r="Q794" i="14"/>
  <c r="P794" i="14"/>
  <c r="O794" i="14"/>
  <c r="N794" i="14"/>
  <c r="M794" i="14"/>
  <c r="K794" i="14"/>
  <c r="J794" i="14"/>
  <c r="B794" i="14"/>
  <c r="Q793" i="14"/>
  <c r="P793" i="14"/>
  <c r="O793" i="14"/>
  <c r="N793" i="14"/>
  <c r="M793" i="14"/>
  <c r="K793" i="14"/>
  <c r="J793" i="14"/>
  <c r="B793" i="14"/>
  <c r="Q792" i="14"/>
  <c r="P792" i="14"/>
  <c r="O792" i="14"/>
  <c r="N792" i="14"/>
  <c r="M792" i="14"/>
  <c r="K792" i="14"/>
  <c r="J792" i="14"/>
  <c r="B792" i="14"/>
  <c r="Q791" i="14"/>
  <c r="P791" i="14"/>
  <c r="O791" i="14"/>
  <c r="N791" i="14"/>
  <c r="M791" i="14"/>
  <c r="K791" i="14"/>
  <c r="J791" i="14"/>
  <c r="B791" i="14"/>
  <c r="Q790" i="14"/>
  <c r="P790" i="14"/>
  <c r="O790" i="14"/>
  <c r="N790" i="14"/>
  <c r="M790" i="14"/>
  <c r="K790" i="14"/>
  <c r="J790" i="14"/>
  <c r="B790" i="14"/>
  <c r="Q789" i="14"/>
  <c r="P789" i="14"/>
  <c r="O789" i="14"/>
  <c r="N789" i="14"/>
  <c r="M789" i="14"/>
  <c r="K789" i="14"/>
  <c r="J789" i="14"/>
  <c r="B789" i="14"/>
  <c r="Q788" i="14"/>
  <c r="P788" i="14"/>
  <c r="O788" i="14"/>
  <c r="N788" i="14"/>
  <c r="M788" i="14"/>
  <c r="K788" i="14"/>
  <c r="J788" i="14"/>
  <c r="B788" i="14"/>
  <c r="Q787" i="14"/>
  <c r="P787" i="14"/>
  <c r="O787" i="14"/>
  <c r="N787" i="14"/>
  <c r="M787" i="14"/>
  <c r="K787" i="14"/>
  <c r="J787" i="14"/>
  <c r="B787" i="14"/>
  <c r="Q786" i="14"/>
  <c r="P786" i="14"/>
  <c r="O786" i="14"/>
  <c r="N786" i="14"/>
  <c r="M786" i="14"/>
  <c r="K786" i="14"/>
  <c r="J786" i="14"/>
  <c r="B786" i="14"/>
  <c r="Q785" i="14"/>
  <c r="P785" i="14"/>
  <c r="O785" i="14"/>
  <c r="N785" i="14"/>
  <c r="M785" i="14"/>
  <c r="K785" i="14"/>
  <c r="J785" i="14"/>
  <c r="B785" i="14"/>
  <c r="Q784" i="14"/>
  <c r="P784" i="14"/>
  <c r="O784" i="14"/>
  <c r="N784" i="14"/>
  <c r="M784" i="14"/>
  <c r="K784" i="14"/>
  <c r="J784" i="14"/>
  <c r="B784" i="14"/>
  <c r="Q783" i="14"/>
  <c r="P783" i="14"/>
  <c r="O783" i="14"/>
  <c r="N783" i="14"/>
  <c r="M783" i="14"/>
  <c r="K783" i="14"/>
  <c r="J783" i="14"/>
  <c r="B783" i="14"/>
  <c r="Q782" i="14"/>
  <c r="P782" i="14"/>
  <c r="O782" i="14"/>
  <c r="N782" i="14"/>
  <c r="M782" i="14"/>
  <c r="K782" i="14"/>
  <c r="J782" i="14"/>
  <c r="B782" i="14"/>
  <c r="Q781" i="14"/>
  <c r="P781" i="14"/>
  <c r="O781" i="14"/>
  <c r="N781" i="14"/>
  <c r="M781" i="14"/>
  <c r="K781" i="14"/>
  <c r="J781" i="14"/>
  <c r="B781" i="14"/>
  <c r="Q780" i="14"/>
  <c r="P780" i="14"/>
  <c r="O780" i="14"/>
  <c r="N780" i="14"/>
  <c r="M780" i="14"/>
  <c r="K780" i="14"/>
  <c r="J780" i="14"/>
  <c r="B780" i="14"/>
  <c r="Q779" i="14"/>
  <c r="P779" i="14"/>
  <c r="O779" i="14"/>
  <c r="N779" i="14"/>
  <c r="M779" i="14"/>
  <c r="K779" i="14"/>
  <c r="J779" i="14"/>
  <c r="B779" i="14"/>
  <c r="Q778" i="14"/>
  <c r="P778" i="14"/>
  <c r="O778" i="14"/>
  <c r="N778" i="14"/>
  <c r="M778" i="14"/>
  <c r="K778" i="14"/>
  <c r="J778" i="14"/>
  <c r="B778" i="14"/>
  <c r="Q777" i="14"/>
  <c r="P777" i="14"/>
  <c r="O777" i="14"/>
  <c r="N777" i="14"/>
  <c r="M777" i="14"/>
  <c r="K777" i="14"/>
  <c r="J777" i="14"/>
  <c r="B777" i="14"/>
  <c r="Q776" i="14"/>
  <c r="P776" i="14"/>
  <c r="O776" i="14"/>
  <c r="N776" i="14"/>
  <c r="M776" i="14"/>
  <c r="K776" i="14"/>
  <c r="J776" i="14"/>
  <c r="B776" i="14"/>
  <c r="Q775" i="14"/>
  <c r="P775" i="14"/>
  <c r="O775" i="14"/>
  <c r="N775" i="14"/>
  <c r="M775" i="14"/>
  <c r="K775" i="14"/>
  <c r="J775" i="14"/>
  <c r="B775" i="14"/>
  <c r="Q774" i="14"/>
  <c r="P774" i="14"/>
  <c r="O774" i="14"/>
  <c r="N774" i="14"/>
  <c r="M774" i="14"/>
  <c r="K774" i="14"/>
  <c r="J774" i="14"/>
  <c r="B774" i="14"/>
  <c r="Q773" i="14"/>
  <c r="P773" i="14"/>
  <c r="O773" i="14"/>
  <c r="N773" i="14"/>
  <c r="M773" i="14"/>
  <c r="K773" i="14"/>
  <c r="J773" i="14"/>
  <c r="B773" i="14"/>
  <c r="Q772" i="14"/>
  <c r="P772" i="14"/>
  <c r="O772" i="14"/>
  <c r="N772" i="14"/>
  <c r="M772" i="14"/>
  <c r="K772" i="14"/>
  <c r="J772" i="14"/>
  <c r="B772" i="14"/>
  <c r="Q771" i="14"/>
  <c r="P771" i="14"/>
  <c r="O771" i="14"/>
  <c r="N771" i="14"/>
  <c r="M771" i="14"/>
  <c r="K771" i="14"/>
  <c r="J771" i="14"/>
  <c r="B771" i="14"/>
  <c r="Q770" i="14"/>
  <c r="P770" i="14"/>
  <c r="O770" i="14"/>
  <c r="N770" i="14"/>
  <c r="M770" i="14"/>
  <c r="K770" i="14"/>
  <c r="J770" i="14"/>
  <c r="B770" i="14"/>
  <c r="Q769" i="14"/>
  <c r="P769" i="14"/>
  <c r="O769" i="14"/>
  <c r="N769" i="14"/>
  <c r="M769" i="14"/>
  <c r="K769" i="14"/>
  <c r="J769" i="14"/>
  <c r="B769" i="14"/>
  <c r="Q768" i="14"/>
  <c r="P768" i="14"/>
  <c r="O768" i="14"/>
  <c r="N768" i="14"/>
  <c r="M768" i="14"/>
  <c r="K768" i="14"/>
  <c r="J768" i="14"/>
  <c r="B768" i="14"/>
  <c r="Q767" i="14"/>
  <c r="P767" i="14"/>
  <c r="O767" i="14"/>
  <c r="N767" i="14"/>
  <c r="M767" i="14"/>
  <c r="K767" i="14"/>
  <c r="J767" i="14"/>
  <c r="B767" i="14"/>
  <c r="Q766" i="14"/>
  <c r="P766" i="14"/>
  <c r="O766" i="14"/>
  <c r="N766" i="14"/>
  <c r="M766" i="14"/>
  <c r="K766" i="14"/>
  <c r="J766" i="14"/>
  <c r="B766" i="14"/>
  <c r="Q765" i="14"/>
  <c r="P765" i="14"/>
  <c r="O765" i="14"/>
  <c r="N765" i="14"/>
  <c r="M765" i="14"/>
  <c r="K765" i="14"/>
  <c r="J765" i="14"/>
  <c r="B765" i="14"/>
  <c r="Q764" i="14"/>
  <c r="P764" i="14"/>
  <c r="O764" i="14"/>
  <c r="N764" i="14"/>
  <c r="M764" i="14"/>
  <c r="K764" i="14"/>
  <c r="J764" i="14"/>
  <c r="B764" i="14"/>
  <c r="Q763" i="14"/>
  <c r="P763" i="14"/>
  <c r="O763" i="14"/>
  <c r="N763" i="14"/>
  <c r="M763" i="14"/>
  <c r="K763" i="14"/>
  <c r="J763" i="14"/>
  <c r="B763" i="14"/>
  <c r="Q762" i="14"/>
  <c r="P762" i="14"/>
  <c r="O762" i="14"/>
  <c r="N762" i="14"/>
  <c r="M762" i="14"/>
  <c r="K762" i="14"/>
  <c r="J762" i="14"/>
  <c r="B762" i="14"/>
  <c r="Q761" i="14"/>
  <c r="P761" i="14"/>
  <c r="O761" i="14"/>
  <c r="N761" i="14"/>
  <c r="M761" i="14"/>
  <c r="K761" i="14"/>
  <c r="J761" i="14"/>
  <c r="B761" i="14"/>
  <c r="Q760" i="14"/>
  <c r="P760" i="14"/>
  <c r="O760" i="14"/>
  <c r="N760" i="14"/>
  <c r="M760" i="14"/>
  <c r="K760" i="14"/>
  <c r="J760" i="14"/>
  <c r="B760" i="14"/>
  <c r="Q759" i="14"/>
  <c r="P759" i="14"/>
  <c r="O759" i="14"/>
  <c r="N759" i="14"/>
  <c r="M759" i="14"/>
  <c r="K759" i="14"/>
  <c r="J759" i="14"/>
  <c r="B759" i="14"/>
  <c r="Q758" i="14"/>
  <c r="P758" i="14"/>
  <c r="O758" i="14"/>
  <c r="N758" i="14"/>
  <c r="M758" i="14"/>
  <c r="K758" i="14"/>
  <c r="J758" i="14"/>
  <c r="B758" i="14"/>
  <c r="Q757" i="14"/>
  <c r="P757" i="14"/>
  <c r="O757" i="14"/>
  <c r="N757" i="14"/>
  <c r="M757" i="14"/>
  <c r="K757" i="14"/>
  <c r="J757" i="14"/>
  <c r="B757" i="14"/>
  <c r="Q756" i="14"/>
  <c r="P756" i="14"/>
  <c r="O756" i="14"/>
  <c r="N756" i="14"/>
  <c r="M756" i="14"/>
  <c r="K756" i="14"/>
  <c r="J756" i="14"/>
  <c r="B756" i="14"/>
  <c r="Q755" i="14"/>
  <c r="P755" i="14"/>
  <c r="O755" i="14"/>
  <c r="N755" i="14"/>
  <c r="M755" i="14"/>
  <c r="K755" i="14"/>
  <c r="J755" i="14"/>
  <c r="B755" i="14"/>
  <c r="Q754" i="14"/>
  <c r="P754" i="14"/>
  <c r="O754" i="14"/>
  <c r="N754" i="14"/>
  <c r="M754" i="14"/>
  <c r="K754" i="14"/>
  <c r="J754" i="14"/>
  <c r="B754" i="14"/>
  <c r="Q753" i="14"/>
  <c r="P753" i="14"/>
  <c r="O753" i="14"/>
  <c r="N753" i="14"/>
  <c r="M753" i="14"/>
  <c r="K753" i="14"/>
  <c r="J753" i="14"/>
  <c r="B753" i="14"/>
  <c r="Q752" i="14"/>
  <c r="P752" i="14"/>
  <c r="O752" i="14"/>
  <c r="N752" i="14"/>
  <c r="M752" i="14"/>
  <c r="K752" i="14"/>
  <c r="J752" i="14"/>
  <c r="B752" i="14"/>
  <c r="Q751" i="14"/>
  <c r="P751" i="14"/>
  <c r="O751" i="14"/>
  <c r="N751" i="14"/>
  <c r="M751" i="14"/>
  <c r="K751" i="14"/>
  <c r="J751" i="14"/>
  <c r="B751" i="14"/>
  <c r="Q750" i="14"/>
  <c r="P750" i="14"/>
  <c r="O750" i="14"/>
  <c r="N750" i="14"/>
  <c r="M750" i="14"/>
  <c r="K750" i="14"/>
  <c r="J750" i="14"/>
  <c r="B750" i="14"/>
  <c r="Q749" i="14"/>
  <c r="P749" i="14"/>
  <c r="O749" i="14"/>
  <c r="N749" i="14"/>
  <c r="M749" i="14"/>
  <c r="K749" i="14"/>
  <c r="J749" i="14"/>
  <c r="B749" i="14"/>
  <c r="Q748" i="14"/>
  <c r="P748" i="14"/>
  <c r="O748" i="14"/>
  <c r="N748" i="14"/>
  <c r="M748" i="14"/>
  <c r="K748" i="14"/>
  <c r="J748" i="14"/>
  <c r="B748" i="14"/>
  <c r="Q747" i="14"/>
  <c r="P747" i="14"/>
  <c r="O747" i="14"/>
  <c r="N747" i="14"/>
  <c r="M747" i="14"/>
  <c r="K747" i="14"/>
  <c r="J747" i="14"/>
  <c r="B747" i="14"/>
  <c r="Q746" i="14"/>
  <c r="P746" i="14"/>
  <c r="O746" i="14"/>
  <c r="N746" i="14"/>
  <c r="M746" i="14"/>
  <c r="K746" i="14"/>
  <c r="J746" i="14"/>
  <c r="B746" i="14"/>
  <c r="Q745" i="14"/>
  <c r="P745" i="14"/>
  <c r="O745" i="14"/>
  <c r="N745" i="14"/>
  <c r="M745" i="14"/>
  <c r="K745" i="14"/>
  <c r="J745" i="14"/>
  <c r="B745" i="14"/>
  <c r="Q744" i="14"/>
  <c r="P744" i="14"/>
  <c r="O744" i="14"/>
  <c r="N744" i="14"/>
  <c r="M744" i="14"/>
  <c r="K744" i="14"/>
  <c r="J744" i="14"/>
  <c r="B744" i="14"/>
  <c r="Q743" i="14"/>
  <c r="P743" i="14"/>
  <c r="O743" i="14"/>
  <c r="N743" i="14"/>
  <c r="M743" i="14"/>
  <c r="K743" i="14"/>
  <c r="J743" i="14"/>
  <c r="B743" i="14"/>
  <c r="Q742" i="14"/>
  <c r="P742" i="14"/>
  <c r="O742" i="14"/>
  <c r="N742" i="14"/>
  <c r="M742" i="14"/>
  <c r="K742" i="14"/>
  <c r="J742" i="14"/>
  <c r="B742" i="14"/>
  <c r="Q741" i="14"/>
  <c r="P741" i="14"/>
  <c r="O741" i="14"/>
  <c r="N741" i="14"/>
  <c r="M741" i="14"/>
  <c r="K741" i="14"/>
  <c r="J741" i="14"/>
  <c r="B741" i="14"/>
  <c r="Q740" i="14"/>
  <c r="P740" i="14"/>
  <c r="O740" i="14"/>
  <c r="N740" i="14"/>
  <c r="M740" i="14"/>
  <c r="K740" i="14"/>
  <c r="J740" i="14"/>
  <c r="Q739" i="14"/>
  <c r="P739" i="14"/>
  <c r="O739" i="14"/>
  <c r="N739" i="14"/>
  <c r="M739" i="14"/>
  <c r="K739" i="14"/>
  <c r="J739" i="14"/>
  <c r="B739" i="14"/>
  <c r="Q738" i="14"/>
  <c r="P738" i="14"/>
  <c r="O738" i="14"/>
  <c r="N738" i="14"/>
  <c r="M738" i="14"/>
  <c r="K738" i="14"/>
  <c r="J738" i="14"/>
  <c r="B738" i="14"/>
  <c r="Q737" i="14"/>
  <c r="P737" i="14"/>
  <c r="O737" i="14"/>
  <c r="N737" i="14"/>
  <c r="M737" i="14"/>
  <c r="K737" i="14"/>
  <c r="J737" i="14"/>
  <c r="B737" i="14"/>
  <c r="Q736" i="14"/>
  <c r="P736" i="14"/>
  <c r="O736" i="14"/>
  <c r="N736" i="14"/>
  <c r="M736" i="14"/>
  <c r="K736" i="14"/>
  <c r="J736" i="14"/>
  <c r="B736" i="14"/>
  <c r="Q735" i="14"/>
  <c r="P735" i="14"/>
  <c r="O735" i="14"/>
  <c r="N735" i="14"/>
  <c r="M735" i="14"/>
  <c r="K735" i="14"/>
  <c r="J735" i="14"/>
  <c r="B735" i="14"/>
  <c r="Q734" i="14"/>
  <c r="P734" i="14"/>
  <c r="O734" i="14"/>
  <c r="N734" i="14"/>
  <c r="M734" i="14"/>
  <c r="K734" i="14"/>
  <c r="J734" i="14"/>
  <c r="B734" i="14"/>
  <c r="Q733" i="14"/>
  <c r="P733" i="14"/>
  <c r="O733" i="14"/>
  <c r="N733" i="14"/>
  <c r="M733" i="14"/>
  <c r="K733" i="14"/>
  <c r="J733" i="14"/>
  <c r="B733" i="14"/>
  <c r="Q732" i="14"/>
  <c r="P732" i="14"/>
  <c r="O732" i="14"/>
  <c r="N732" i="14"/>
  <c r="M732" i="14"/>
  <c r="K732" i="14"/>
  <c r="J732" i="14"/>
  <c r="B732" i="14"/>
  <c r="Q731" i="14"/>
  <c r="P731" i="14"/>
  <c r="O731" i="14"/>
  <c r="N731" i="14"/>
  <c r="M731" i="14"/>
  <c r="K731" i="14"/>
  <c r="J731" i="14"/>
  <c r="B731" i="14"/>
  <c r="Q730" i="14"/>
  <c r="P730" i="14"/>
  <c r="O730" i="14"/>
  <c r="N730" i="14"/>
  <c r="M730" i="14"/>
  <c r="K730" i="14"/>
  <c r="J730" i="14"/>
  <c r="B730" i="14"/>
  <c r="Q729" i="14"/>
  <c r="P729" i="14"/>
  <c r="O729" i="14"/>
  <c r="N729" i="14"/>
  <c r="M729" i="14"/>
  <c r="K729" i="14"/>
  <c r="J729" i="14"/>
  <c r="B729" i="14"/>
  <c r="Q728" i="14"/>
  <c r="P728" i="14"/>
  <c r="O728" i="14"/>
  <c r="N728" i="14"/>
  <c r="M728" i="14"/>
  <c r="K728" i="14"/>
  <c r="J728" i="14"/>
  <c r="B728" i="14"/>
  <c r="Q727" i="14"/>
  <c r="P727" i="14"/>
  <c r="O727" i="14"/>
  <c r="N727" i="14"/>
  <c r="M727" i="14"/>
  <c r="K727" i="14"/>
  <c r="J727" i="14"/>
  <c r="B727" i="14"/>
  <c r="Q726" i="14"/>
  <c r="P726" i="14"/>
  <c r="O726" i="14"/>
  <c r="N726" i="14"/>
  <c r="M726" i="14"/>
  <c r="K726" i="14"/>
  <c r="J726" i="14"/>
  <c r="B726" i="14"/>
  <c r="Q725" i="14"/>
  <c r="P725" i="14"/>
  <c r="O725" i="14"/>
  <c r="N725" i="14"/>
  <c r="M725" i="14"/>
  <c r="K725" i="14"/>
  <c r="J725" i="14"/>
  <c r="B725" i="14"/>
  <c r="Q724" i="14"/>
  <c r="P724" i="14"/>
  <c r="O724" i="14"/>
  <c r="N724" i="14"/>
  <c r="M724" i="14"/>
  <c r="K724" i="14"/>
  <c r="J724" i="14"/>
  <c r="B724" i="14"/>
  <c r="Q723" i="14"/>
  <c r="P723" i="14"/>
  <c r="O723" i="14"/>
  <c r="N723" i="14"/>
  <c r="M723" i="14"/>
  <c r="K723" i="14"/>
  <c r="J723" i="14"/>
  <c r="B723" i="14"/>
  <c r="Q722" i="14"/>
  <c r="P722" i="14"/>
  <c r="O722" i="14"/>
  <c r="N722" i="14"/>
  <c r="M722" i="14"/>
  <c r="K722" i="14"/>
  <c r="J722" i="14"/>
  <c r="B722" i="14"/>
  <c r="Q721" i="14"/>
  <c r="P721" i="14"/>
  <c r="O721" i="14"/>
  <c r="N721" i="14"/>
  <c r="M721" i="14"/>
  <c r="K721" i="14"/>
  <c r="J721" i="14"/>
  <c r="B721" i="14"/>
  <c r="Q720" i="14"/>
  <c r="P720" i="14"/>
  <c r="O720" i="14"/>
  <c r="N720" i="14"/>
  <c r="M720" i="14"/>
  <c r="K720" i="14"/>
  <c r="J720" i="14"/>
  <c r="B720" i="14"/>
  <c r="Q719" i="14"/>
  <c r="P719" i="14"/>
  <c r="O719" i="14"/>
  <c r="N719" i="14"/>
  <c r="M719" i="14"/>
  <c r="K719" i="14"/>
  <c r="J719" i="14"/>
  <c r="B719" i="14"/>
  <c r="Q718" i="14"/>
  <c r="P718" i="14"/>
  <c r="O718" i="14"/>
  <c r="N718" i="14"/>
  <c r="M718" i="14"/>
  <c r="K718" i="14"/>
  <c r="J718" i="14"/>
  <c r="B718" i="14"/>
  <c r="Q717" i="14"/>
  <c r="P717" i="14"/>
  <c r="O717" i="14"/>
  <c r="N717" i="14"/>
  <c r="M717" i="14"/>
  <c r="K717" i="14"/>
  <c r="J717" i="14"/>
  <c r="B717" i="14"/>
  <c r="Q716" i="14"/>
  <c r="P716" i="14"/>
  <c r="O716" i="14"/>
  <c r="N716" i="14"/>
  <c r="M716" i="14"/>
  <c r="K716" i="14"/>
  <c r="J716" i="14"/>
  <c r="B716" i="14"/>
  <c r="Q715" i="14"/>
  <c r="P715" i="14"/>
  <c r="O715" i="14"/>
  <c r="N715" i="14"/>
  <c r="M715" i="14"/>
  <c r="K715" i="14"/>
  <c r="J715" i="14"/>
  <c r="B715" i="14"/>
  <c r="Q714" i="14"/>
  <c r="P714" i="14"/>
  <c r="O714" i="14"/>
  <c r="N714" i="14"/>
  <c r="M714" i="14"/>
  <c r="K714" i="14"/>
  <c r="J714" i="14"/>
  <c r="B714" i="14"/>
  <c r="Q713" i="14"/>
  <c r="P713" i="14"/>
  <c r="O713" i="14"/>
  <c r="N713" i="14"/>
  <c r="M713" i="14"/>
  <c r="K713" i="14"/>
  <c r="J713" i="14"/>
  <c r="B713" i="14"/>
  <c r="Q712" i="14"/>
  <c r="P712" i="14"/>
  <c r="O712" i="14"/>
  <c r="N712" i="14"/>
  <c r="M712" i="14"/>
  <c r="K712" i="14"/>
  <c r="J712" i="14"/>
  <c r="B712" i="14"/>
  <c r="Q711" i="14"/>
  <c r="P711" i="14"/>
  <c r="O711" i="14"/>
  <c r="N711" i="14"/>
  <c r="M711" i="14"/>
  <c r="K711" i="14"/>
  <c r="J711" i="14"/>
  <c r="B711" i="14"/>
  <c r="Q710" i="14"/>
  <c r="P710" i="14"/>
  <c r="O710" i="14"/>
  <c r="N710" i="14"/>
  <c r="M710" i="14"/>
  <c r="K710" i="14"/>
  <c r="J710" i="14"/>
  <c r="B710" i="14"/>
  <c r="Q709" i="14"/>
  <c r="P709" i="14"/>
  <c r="O709" i="14"/>
  <c r="N709" i="14"/>
  <c r="M709" i="14"/>
  <c r="K709" i="14"/>
  <c r="J709" i="14"/>
  <c r="B709" i="14"/>
  <c r="Q708" i="14"/>
  <c r="P708" i="14"/>
  <c r="O708" i="14"/>
  <c r="N708" i="14"/>
  <c r="M708" i="14"/>
  <c r="K708" i="14"/>
  <c r="J708" i="14"/>
  <c r="B708" i="14"/>
  <c r="Q707" i="14"/>
  <c r="P707" i="14"/>
  <c r="O707" i="14"/>
  <c r="N707" i="14"/>
  <c r="M707" i="14"/>
  <c r="K707" i="14"/>
  <c r="J707" i="14"/>
  <c r="B707" i="14"/>
  <c r="Q706" i="14"/>
  <c r="P706" i="14"/>
  <c r="O706" i="14"/>
  <c r="N706" i="14"/>
  <c r="M706" i="14"/>
  <c r="K706" i="14"/>
  <c r="J706" i="14"/>
  <c r="B706" i="14"/>
  <c r="Q705" i="14"/>
  <c r="P705" i="14"/>
  <c r="O705" i="14"/>
  <c r="N705" i="14"/>
  <c r="M705" i="14"/>
  <c r="K705" i="14"/>
  <c r="J705" i="14"/>
  <c r="B705" i="14"/>
  <c r="Q704" i="14"/>
  <c r="P704" i="14"/>
  <c r="O704" i="14"/>
  <c r="N704" i="14"/>
  <c r="M704" i="14"/>
  <c r="K704" i="14"/>
  <c r="J704" i="14"/>
  <c r="B704" i="14"/>
  <c r="Q703" i="14"/>
  <c r="P703" i="14"/>
  <c r="O703" i="14"/>
  <c r="N703" i="14"/>
  <c r="M703" i="14"/>
  <c r="K703" i="14"/>
  <c r="J703" i="14"/>
  <c r="B703" i="14"/>
  <c r="Q702" i="14"/>
  <c r="P702" i="14"/>
  <c r="O702" i="14"/>
  <c r="N702" i="14"/>
  <c r="M702" i="14"/>
  <c r="K702" i="14"/>
  <c r="J702" i="14"/>
  <c r="B702" i="14"/>
  <c r="Q701" i="14"/>
  <c r="P701" i="14"/>
  <c r="O701" i="14"/>
  <c r="N701" i="14"/>
  <c r="M701" i="14"/>
  <c r="K701" i="14"/>
  <c r="J701" i="14"/>
  <c r="B701" i="14"/>
  <c r="Q700" i="14"/>
  <c r="P700" i="14"/>
  <c r="O700" i="14"/>
  <c r="N700" i="14"/>
  <c r="M700" i="14"/>
  <c r="K700" i="14"/>
  <c r="J700" i="14"/>
  <c r="B700" i="14"/>
  <c r="Q699" i="14"/>
  <c r="P699" i="14"/>
  <c r="O699" i="14"/>
  <c r="N699" i="14"/>
  <c r="M699" i="14"/>
  <c r="K699" i="14"/>
  <c r="J699" i="14"/>
  <c r="B699" i="14"/>
  <c r="Q698" i="14"/>
  <c r="P698" i="14"/>
  <c r="O698" i="14"/>
  <c r="N698" i="14"/>
  <c r="M698" i="14"/>
  <c r="K698" i="14"/>
  <c r="J698" i="14"/>
  <c r="B698" i="14"/>
  <c r="Q697" i="14"/>
  <c r="P697" i="14"/>
  <c r="O697" i="14"/>
  <c r="N697" i="14"/>
  <c r="M697" i="14"/>
  <c r="K697" i="14"/>
  <c r="J697" i="14"/>
  <c r="B697" i="14"/>
  <c r="Q696" i="14"/>
  <c r="P696" i="14"/>
  <c r="O696" i="14"/>
  <c r="N696" i="14"/>
  <c r="M696" i="14"/>
  <c r="K696" i="14"/>
  <c r="J696" i="14"/>
  <c r="B696" i="14"/>
  <c r="Q695" i="14"/>
  <c r="P695" i="14"/>
  <c r="O695" i="14"/>
  <c r="N695" i="14"/>
  <c r="M695" i="14"/>
  <c r="K695" i="14"/>
  <c r="J695" i="14"/>
  <c r="B695" i="14"/>
  <c r="Q694" i="14"/>
  <c r="P694" i="14"/>
  <c r="O694" i="14"/>
  <c r="N694" i="14"/>
  <c r="M694" i="14"/>
  <c r="K694" i="14"/>
  <c r="J694" i="14"/>
  <c r="B694" i="14"/>
  <c r="Q693" i="14"/>
  <c r="P693" i="14"/>
  <c r="O693" i="14"/>
  <c r="N693" i="14"/>
  <c r="M693" i="14"/>
  <c r="K693" i="14"/>
  <c r="J693" i="14"/>
  <c r="B693" i="14"/>
  <c r="Q692" i="14"/>
  <c r="P692" i="14"/>
  <c r="O692" i="14"/>
  <c r="N692" i="14"/>
  <c r="M692" i="14"/>
  <c r="K692" i="14"/>
  <c r="J692" i="14"/>
  <c r="B692" i="14"/>
  <c r="Q691" i="14"/>
  <c r="P691" i="14"/>
  <c r="O691" i="14"/>
  <c r="N691" i="14"/>
  <c r="M691" i="14"/>
  <c r="K691" i="14"/>
  <c r="J691" i="14"/>
  <c r="B691" i="14"/>
  <c r="Q690" i="14"/>
  <c r="P690" i="14"/>
  <c r="O690" i="14"/>
  <c r="N690" i="14"/>
  <c r="M690" i="14"/>
  <c r="K690" i="14"/>
  <c r="J690" i="14"/>
  <c r="B690" i="14"/>
  <c r="Q689" i="14"/>
  <c r="P689" i="14"/>
  <c r="O689" i="14"/>
  <c r="N689" i="14"/>
  <c r="M689" i="14"/>
  <c r="K689" i="14"/>
  <c r="J689" i="14"/>
  <c r="B689" i="14"/>
  <c r="Q688" i="14"/>
  <c r="P688" i="14"/>
  <c r="O688" i="14"/>
  <c r="N688" i="14"/>
  <c r="M688" i="14"/>
  <c r="K688" i="14"/>
  <c r="J688" i="14"/>
  <c r="B688" i="14"/>
  <c r="Q687" i="14"/>
  <c r="P687" i="14"/>
  <c r="O687" i="14"/>
  <c r="N687" i="14"/>
  <c r="M687" i="14"/>
  <c r="K687" i="14"/>
  <c r="J687" i="14"/>
  <c r="B687" i="14"/>
  <c r="Q686" i="14"/>
  <c r="P686" i="14"/>
  <c r="O686" i="14"/>
  <c r="N686" i="14"/>
  <c r="M686" i="14"/>
  <c r="K686" i="14"/>
  <c r="J686" i="14"/>
  <c r="B686" i="14"/>
  <c r="Q685" i="14"/>
  <c r="P685" i="14"/>
  <c r="O685" i="14"/>
  <c r="N685" i="14"/>
  <c r="M685" i="14"/>
  <c r="K685" i="14"/>
  <c r="J685" i="14"/>
  <c r="B685" i="14"/>
  <c r="Q684" i="14"/>
  <c r="P684" i="14"/>
  <c r="O684" i="14"/>
  <c r="N684" i="14"/>
  <c r="M684" i="14"/>
  <c r="K684" i="14"/>
  <c r="J684" i="14"/>
  <c r="B684" i="14"/>
  <c r="Q683" i="14"/>
  <c r="P683" i="14"/>
  <c r="O683" i="14"/>
  <c r="N683" i="14"/>
  <c r="M683" i="14"/>
  <c r="K683" i="14"/>
  <c r="J683" i="14"/>
  <c r="B683" i="14"/>
  <c r="Q682" i="14"/>
  <c r="P682" i="14"/>
  <c r="O682" i="14"/>
  <c r="N682" i="14"/>
  <c r="M682" i="14"/>
  <c r="K682" i="14"/>
  <c r="J682" i="14"/>
  <c r="B682" i="14"/>
  <c r="Q681" i="14"/>
  <c r="P681" i="14"/>
  <c r="O681" i="14"/>
  <c r="N681" i="14"/>
  <c r="M681" i="14"/>
  <c r="K681" i="14"/>
  <c r="J681" i="14"/>
  <c r="B681" i="14"/>
  <c r="Q680" i="14"/>
  <c r="P680" i="14"/>
  <c r="O680" i="14"/>
  <c r="N680" i="14"/>
  <c r="M680" i="14"/>
  <c r="K680" i="14"/>
  <c r="J680" i="14"/>
  <c r="B680" i="14"/>
  <c r="Q679" i="14"/>
  <c r="P679" i="14"/>
  <c r="O679" i="14"/>
  <c r="N679" i="14"/>
  <c r="M679" i="14"/>
  <c r="K679" i="14"/>
  <c r="J679" i="14"/>
  <c r="B679" i="14"/>
  <c r="Q678" i="14"/>
  <c r="P678" i="14"/>
  <c r="O678" i="14"/>
  <c r="N678" i="14"/>
  <c r="M678" i="14"/>
  <c r="K678" i="14"/>
  <c r="J678" i="14"/>
  <c r="B678" i="14"/>
  <c r="Q677" i="14"/>
  <c r="P677" i="14"/>
  <c r="O677" i="14"/>
  <c r="N677" i="14"/>
  <c r="M677" i="14"/>
  <c r="K677" i="14"/>
  <c r="J677" i="14"/>
  <c r="B677" i="14"/>
  <c r="Q676" i="14"/>
  <c r="P676" i="14"/>
  <c r="O676" i="14"/>
  <c r="N676" i="14"/>
  <c r="M676" i="14"/>
  <c r="K676" i="14"/>
  <c r="J676" i="14"/>
  <c r="B676" i="14"/>
  <c r="Q675" i="14"/>
  <c r="P675" i="14"/>
  <c r="O675" i="14"/>
  <c r="N675" i="14"/>
  <c r="M675" i="14"/>
  <c r="K675" i="14"/>
  <c r="J675" i="14"/>
  <c r="B675" i="14"/>
  <c r="Q674" i="14"/>
  <c r="P674" i="14"/>
  <c r="O674" i="14"/>
  <c r="N674" i="14"/>
  <c r="M674" i="14"/>
  <c r="K674" i="14"/>
  <c r="J674" i="14"/>
  <c r="B674" i="14"/>
  <c r="Q673" i="14"/>
  <c r="P673" i="14"/>
  <c r="O673" i="14"/>
  <c r="N673" i="14"/>
  <c r="M673" i="14"/>
  <c r="K673" i="14"/>
  <c r="J673" i="14"/>
  <c r="B673" i="14"/>
  <c r="Q672" i="14"/>
  <c r="P672" i="14"/>
  <c r="O672" i="14"/>
  <c r="N672" i="14"/>
  <c r="M672" i="14"/>
  <c r="K672" i="14"/>
  <c r="J672" i="14"/>
  <c r="B672" i="14"/>
  <c r="Q671" i="14"/>
  <c r="P671" i="14"/>
  <c r="O671" i="14"/>
  <c r="N671" i="14"/>
  <c r="M671" i="14"/>
  <c r="K671" i="14"/>
  <c r="J671" i="14"/>
  <c r="B671" i="14"/>
  <c r="Q670" i="14"/>
  <c r="P670" i="14"/>
  <c r="O670" i="14"/>
  <c r="N670" i="14"/>
  <c r="M670" i="14"/>
  <c r="K670" i="14"/>
  <c r="J670" i="14"/>
  <c r="B670" i="14"/>
  <c r="Q669" i="14"/>
  <c r="P669" i="14"/>
  <c r="O669" i="14"/>
  <c r="N669" i="14"/>
  <c r="M669" i="14"/>
  <c r="K669" i="14"/>
  <c r="J669" i="14"/>
  <c r="B669" i="14"/>
  <c r="Q668" i="14"/>
  <c r="P668" i="14"/>
  <c r="O668" i="14"/>
  <c r="N668" i="14"/>
  <c r="M668" i="14"/>
  <c r="K668" i="14"/>
  <c r="J668" i="14"/>
  <c r="B668" i="14"/>
  <c r="Q667" i="14"/>
  <c r="P667" i="14"/>
  <c r="O667" i="14"/>
  <c r="N667" i="14"/>
  <c r="M667" i="14"/>
  <c r="K667" i="14"/>
  <c r="J667" i="14"/>
  <c r="B667" i="14"/>
  <c r="Q666" i="14"/>
  <c r="P666" i="14"/>
  <c r="O666" i="14"/>
  <c r="N666" i="14"/>
  <c r="M666" i="14"/>
  <c r="K666" i="14"/>
  <c r="J666" i="14"/>
  <c r="B666" i="14"/>
  <c r="Q665" i="14"/>
  <c r="P665" i="14"/>
  <c r="O665" i="14"/>
  <c r="N665" i="14"/>
  <c r="M665" i="14"/>
  <c r="K665" i="14"/>
  <c r="J665" i="14"/>
  <c r="B665" i="14"/>
  <c r="Q664" i="14"/>
  <c r="P664" i="14"/>
  <c r="O664" i="14"/>
  <c r="N664" i="14"/>
  <c r="M664" i="14"/>
  <c r="K664" i="14"/>
  <c r="J664" i="14"/>
  <c r="B664" i="14"/>
  <c r="Q663" i="14"/>
  <c r="P663" i="14"/>
  <c r="O663" i="14"/>
  <c r="N663" i="14"/>
  <c r="M663" i="14"/>
  <c r="K663" i="14"/>
  <c r="J663" i="14"/>
  <c r="B663" i="14"/>
  <c r="Q662" i="14"/>
  <c r="P662" i="14"/>
  <c r="O662" i="14"/>
  <c r="N662" i="14"/>
  <c r="M662" i="14"/>
  <c r="K662" i="14"/>
  <c r="J662" i="14"/>
  <c r="B662" i="14"/>
  <c r="Q661" i="14"/>
  <c r="P661" i="14"/>
  <c r="O661" i="14"/>
  <c r="N661" i="14"/>
  <c r="M661" i="14"/>
  <c r="K661" i="14"/>
  <c r="J661" i="14"/>
  <c r="B661" i="14"/>
  <c r="Q660" i="14"/>
  <c r="P660" i="14"/>
  <c r="O660" i="14"/>
  <c r="N660" i="14"/>
  <c r="M660" i="14"/>
  <c r="K660" i="14"/>
  <c r="J660" i="14"/>
  <c r="B660" i="14"/>
  <c r="Q659" i="14"/>
  <c r="P659" i="14"/>
  <c r="O659" i="14"/>
  <c r="N659" i="14"/>
  <c r="M659" i="14"/>
  <c r="K659" i="14"/>
  <c r="J659" i="14"/>
  <c r="B659" i="14"/>
  <c r="Q658" i="14"/>
  <c r="P658" i="14"/>
  <c r="O658" i="14"/>
  <c r="N658" i="14"/>
  <c r="M658" i="14"/>
  <c r="K658" i="14"/>
  <c r="J658" i="14"/>
  <c r="B658" i="14"/>
  <c r="Q657" i="14"/>
  <c r="P657" i="14"/>
  <c r="O657" i="14"/>
  <c r="N657" i="14"/>
  <c r="M657" i="14"/>
  <c r="K657" i="14"/>
  <c r="J657" i="14"/>
  <c r="B657" i="14"/>
  <c r="Q656" i="14"/>
  <c r="P656" i="14"/>
  <c r="O656" i="14"/>
  <c r="N656" i="14"/>
  <c r="M656" i="14"/>
  <c r="K656" i="14"/>
  <c r="J656" i="14"/>
  <c r="B656" i="14"/>
  <c r="Q655" i="14"/>
  <c r="P655" i="14"/>
  <c r="O655" i="14"/>
  <c r="N655" i="14"/>
  <c r="M655" i="14"/>
  <c r="K655" i="14"/>
  <c r="J655" i="14"/>
  <c r="B655" i="14"/>
  <c r="Q654" i="14"/>
  <c r="P654" i="14"/>
  <c r="O654" i="14"/>
  <c r="N654" i="14"/>
  <c r="M654" i="14"/>
  <c r="K654" i="14"/>
  <c r="J654" i="14"/>
  <c r="B654" i="14"/>
  <c r="Q653" i="14"/>
  <c r="P653" i="14"/>
  <c r="O653" i="14"/>
  <c r="N653" i="14"/>
  <c r="M653" i="14"/>
  <c r="K653" i="14"/>
  <c r="J653" i="14"/>
  <c r="B653" i="14"/>
  <c r="Q652" i="14"/>
  <c r="P652" i="14"/>
  <c r="O652" i="14"/>
  <c r="N652" i="14"/>
  <c r="M652" i="14"/>
  <c r="K652" i="14"/>
  <c r="J652" i="14"/>
  <c r="B652" i="14"/>
  <c r="Q651" i="14"/>
  <c r="P651" i="14"/>
  <c r="O651" i="14"/>
  <c r="N651" i="14"/>
  <c r="M651" i="14"/>
  <c r="K651" i="14"/>
  <c r="J651" i="14"/>
  <c r="B651" i="14"/>
  <c r="Q650" i="14"/>
  <c r="P650" i="14"/>
  <c r="O650" i="14"/>
  <c r="N650" i="14"/>
  <c r="M650" i="14"/>
  <c r="K650" i="14"/>
  <c r="J650" i="14"/>
  <c r="B650" i="14"/>
  <c r="Q649" i="14"/>
  <c r="P649" i="14"/>
  <c r="O649" i="14"/>
  <c r="N649" i="14"/>
  <c r="M649" i="14"/>
  <c r="K649" i="14"/>
  <c r="J649" i="14"/>
  <c r="B649" i="14"/>
  <c r="Q648" i="14"/>
  <c r="P648" i="14"/>
  <c r="O648" i="14"/>
  <c r="N648" i="14"/>
  <c r="M648" i="14"/>
  <c r="K648" i="14"/>
  <c r="J648" i="14"/>
  <c r="B648" i="14"/>
  <c r="Q647" i="14"/>
  <c r="P647" i="14"/>
  <c r="O647" i="14"/>
  <c r="N647" i="14"/>
  <c r="M647" i="14"/>
  <c r="K647" i="14"/>
  <c r="J647" i="14"/>
  <c r="B647" i="14"/>
  <c r="Q646" i="14"/>
  <c r="P646" i="14"/>
  <c r="O646" i="14"/>
  <c r="N646" i="14"/>
  <c r="M646" i="14"/>
  <c r="K646" i="14"/>
  <c r="J646" i="14"/>
  <c r="B646" i="14"/>
  <c r="Q645" i="14"/>
  <c r="P645" i="14"/>
  <c r="O645" i="14"/>
  <c r="N645" i="14"/>
  <c r="M645" i="14"/>
  <c r="K645" i="14"/>
  <c r="J645" i="14"/>
  <c r="B645" i="14"/>
  <c r="Q644" i="14"/>
  <c r="P644" i="14"/>
  <c r="O644" i="14"/>
  <c r="N644" i="14"/>
  <c r="M644" i="14"/>
  <c r="K644" i="14"/>
  <c r="J644" i="14"/>
  <c r="B644" i="14"/>
  <c r="Q643" i="14"/>
  <c r="P643" i="14"/>
  <c r="O643" i="14"/>
  <c r="N643" i="14"/>
  <c r="M643" i="14"/>
  <c r="K643" i="14"/>
  <c r="J643" i="14"/>
  <c r="B643" i="14"/>
  <c r="Q642" i="14"/>
  <c r="P642" i="14"/>
  <c r="O642" i="14"/>
  <c r="N642" i="14"/>
  <c r="M642" i="14"/>
  <c r="K642" i="14"/>
  <c r="J642" i="14"/>
  <c r="B642" i="14"/>
  <c r="Q641" i="14"/>
  <c r="P641" i="14"/>
  <c r="O641" i="14"/>
  <c r="N641" i="14"/>
  <c r="M641" i="14"/>
  <c r="K641" i="14"/>
  <c r="J641" i="14"/>
  <c r="B641" i="14"/>
  <c r="Q640" i="14"/>
  <c r="P640" i="14"/>
  <c r="O640" i="14"/>
  <c r="N640" i="14"/>
  <c r="M640" i="14"/>
  <c r="K640" i="14"/>
  <c r="J640" i="14"/>
  <c r="B640" i="14"/>
  <c r="Q639" i="14"/>
  <c r="P639" i="14"/>
  <c r="O639" i="14"/>
  <c r="N639" i="14"/>
  <c r="M639" i="14"/>
  <c r="K639" i="14"/>
  <c r="J639" i="14"/>
  <c r="B639" i="14"/>
  <c r="Q638" i="14"/>
  <c r="P638" i="14"/>
  <c r="O638" i="14"/>
  <c r="N638" i="14"/>
  <c r="M638" i="14"/>
  <c r="K638" i="14"/>
  <c r="J638" i="14"/>
  <c r="B638" i="14"/>
  <c r="Q637" i="14"/>
  <c r="P637" i="14"/>
  <c r="O637" i="14"/>
  <c r="N637" i="14"/>
  <c r="M637" i="14"/>
  <c r="K637" i="14"/>
  <c r="J637" i="14"/>
  <c r="B637" i="14"/>
  <c r="Q636" i="14"/>
  <c r="P636" i="14"/>
  <c r="O636" i="14"/>
  <c r="N636" i="14"/>
  <c r="M636" i="14"/>
  <c r="K636" i="14"/>
  <c r="J636" i="14"/>
  <c r="B636" i="14"/>
  <c r="Q635" i="14"/>
  <c r="P635" i="14"/>
  <c r="O635" i="14"/>
  <c r="N635" i="14"/>
  <c r="M635" i="14"/>
  <c r="K635" i="14"/>
  <c r="J635" i="14"/>
  <c r="B635" i="14"/>
  <c r="Q634" i="14"/>
  <c r="P634" i="14"/>
  <c r="O634" i="14"/>
  <c r="N634" i="14"/>
  <c r="M634" i="14"/>
  <c r="K634" i="14"/>
  <c r="J634" i="14"/>
  <c r="B634" i="14"/>
  <c r="Q633" i="14"/>
  <c r="P633" i="14"/>
  <c r="O633" i="14"/>
  <c r="N633" i="14"/>
  <c r="M633" i="14"/>
  <c r="K633" i="14"/>
  <c r="J633" i="14"/>
  <c r="B633" i="14"/>
  <c r="Q632" i="14"/>
  <c r="P632" i="14"/>
  <c r="O632" i="14"/>
  <c r="N632" i="14"/>
  <c r="M632" i="14"/>
  <c r="K632" i="14"/>
  <c r="J632" i="14"/>
  <c r="B632" i="14"/>
  <c r="Q631" i="14"/>
  <c r="P631" i="14"/>
  <c r="O631" i="14"/>
  <c r="N631" i="14"/>
  <c r="M631" i="14"/>
  <c r="K631" i="14"/>
  <c r="J631" i="14"/>
  <c r="B631" i="14"/>
  <c r="Q630" i="14"/>
  <c r="P630" i="14"/>
  <c r="O630" i="14"/>
  <c r="N630" i="14"/>
  <c r="M630" i="14"/>
  <c r="K630" i="14"/>
  <c r="J630" i="14"/>
  <c r="B630" i="14"/>
  <c r="Q629" i="14"/>
  <c r="P629" i="14"/>
  <c r="O629" i="14"/>
  <c r="N629" i="14"/>
  <c r="M629" i="14"/>
  <c r="K629" i="14"/>
  <c r="J629" i="14"/>
  <c r="B629" i="14"/>
  <c r="Q628" i="14"/>
  <c r="P628" i="14"/>
  <c r="O628" i="14"/>
  <c r="N628" i="14"/>
  <c r="M628" i="14"/>
  <c r="K628" i="14"/>
  <c r="J628" i="14"/>
  <c r="B628" i="14"/>
  <c r="Q627" i="14"/>
  <c r="P627" i="14"/>
  <c r="O627" i="14"/>
  <c r="N627" i="14"/>
  <c r="M627" i="14"/>
  <c r="K627" i="14"/>
  <c r="J627" i="14"/>
  <c r="B627" i="14"/>
  <c r="Q626" i="14"/>
  <c r="P626" i="14"/>
  <c r="O626" i="14"/>
  <c r="N626" i="14"/>
  <c r="M626" i="14"/>
  <c r="K626" i="14"/>
  <c r="J626" i="14"/>
  <c r="B626" i="14"/>
  <c r="Q625" i="14"/>
  <c r="P625" i="14"/>
  <c r="O625" i="14"/>
  <c r="N625" i="14"/>
  <c r="M625" i="14"/>
  <c r="K625" i="14"/>
  <c r="J625" i="14"/>
  <c r="B625" i="14"/>
  <c r="Q624" i="14"/>
  <c r="P624" i="14"/>
  <c r="O624" i="14"/>
  <c r="N624" i="14"/>
  <c r="M624" i="14"/>
  <c r="K624" i="14"/>
  <c r="J624" i="14"/>
  <c r="B624" i="14"/>
  <c r="Q623" i="14"/>
  <c r="P623" i="14"/>
  <c r="O623" i="14"/>
  <c r="N623" i="14"/>
  <c r="M623" i="14"/>
  <c r="K623" i="14"/>
  <c r="J623" i="14"/>
  <c r="B623" i="14"/>
  <c r="Q622" i="14"/>
  <c r="P622" i="14"/>
  <c r="O622" i="14"/>
  <c r="N622" i="14"/>
  <c r="M622" i="14"/>
  <c r="K622" i="14"/>
  <c r="J622" i="14"/>
  <c r="B622" i="14"/>
  <c r="Q621" i="14"/>
  <c r="P621" i="14"/>
  <c r="O621" i="14"/>
  <c r="N621" i="14"/>
  <c r="M621" i="14"/>
  <c r="K621" i="14"/>
  <c r="J621" i="14"/>
  <c r="B621" i="14"/>
  <c r="Q620" i="14"/>
  <c r="P620" i="14"/>
  <c r="O620" i="14"/>
  <c r="N620" i="14"/>
  <c r="M620" i="14"/>
  <c r="K620" i="14"/>
  <c r="J620" i="14"/>
  <c r="B620" i="14"/>
  <c r="Q619" i="14"/>
  <c r="P619" i="14"/>
  <c r="O619" i="14"/>
  <c r="N619" i="14"/>
  <c r="M619" i="14"/>
  <c r="K619" i="14"/>
  <c r="J619" i="14"/>
  <c r="B619" i="14"/>
  <c r="Q618" i="14"/>
  <c r="P618" i="14"/>
  <c r="O618" i="14"/>
  <c r="N618" i="14"/>
  <c r="M618" i="14"/>
  <c r="K618" i="14"/>
  <c r="J618" i="14"/>
  <c r="B618" i="14"/>
  <c r="Q617" i="14"/>
  <c r="P617" i="14"/>
  <c r="O617" i="14"/>
  <c r="N617" i="14"/>
  <c r="M617" i="14"/>
  <c r="K617" i="14"/>
  <c r="J617" i="14"/>
  <c r="B617" i="14"/>
  <c r="Q616" i="14"/>
  <c r="P616" i="14"/>
  <c r="O616" i="14"/>
  <c r="N616" i="14"/>
  <c r="M616" i="14"/>
  <c r="K616" i="14"/>
  <c r="J616" i="14"/>
  <c r="B616" i="14"/>
  <c r="Q615" i="14"/>
  <c r="P615" i="14"/>
  <c r="O615" i="14"/>
  <c r="N615" i="14"/>
  <c r="M615" i="14"/>
  <c r="K615" i="14"/>
  <c r="J615" i="14"/>
  <c r="B615" i="14"/>
  <c r="Q614" i="14"/>
  <c r="P614" i="14"/>
  <c r="O614" i="14"/>
  <c r="N614" i="14"/>
  <c r="M614" i="14"/>
  <c r="K614" i="14"/>
  <c r="J614" i="14"/>
  <c r="B614" i="14"/>
  <c r="Q613" i="14"/>
  <c r="P613" i="14"/>
  <c r="O613" i="14"/>
  <c r="N613" i="14"/>
  <c r="M613" i="14"/>
  <c r="K613" i="14"/>
  <c r="J613" i="14"/>
  <c r="B613" i="14"/>
  <c r="Q612" i="14"/>
  <c r="P612" i="14"/>
  <c r="O612" i="14"/>
  <c r="N612" i="14"/>
  <c r="M612" i="14"/>
  <c r="K612" i="14"/>
  <c r="J612" i="14"/>
  <c r="B612" i="14"/>
  <c r="Q611" i="14"/>
  <c r="P611" i="14"/>
  <c r="O611" i="14"/>
  <c r="N611" i="14"/>
  <c r="M611" i="14"/>
  <c r="K611" i="14"/>
  <c r="J611" i="14"/>
  <c r="B611" i="14"/>
  <c r="Q610" i="14"/>
  <c r="P610" i="14"/>
  <c r="O610" i="14"/>
  <c r="N610" i="14"/>
  <c r="M610" i="14"/>
  <c r="K610" i="14"/>
  <c r="J610" i="14"/>
  <c r="B610" i="14"/>
  <c r="Q609" i="14"/>
  <c r="P609" i="14"/>
  <c r="O609" i="14"/>
  <c r="N609" i="14"/>
  <c r="M609" i="14"/>
  <c r="K609" i="14"/>
  <c r="J609" i="14"/>
  <c r="B609" i="14"/>
  <c r="Q608" i="14"/>
  <c r="P608" i="14"/>
  <c r="O608" i="14"/>
  <c r="N608" i="14"/>
  <c r="M608" i="14"/>
  <c r="K608" i="14"/>
  <c r="J608" i="14"/>
  <c r="B608" i="14"/>
  <c r="Q607" i="14"/>
  <c r="P607" i="14"/>
  <c r="O607" i="14"/>
  <c r="N607" i="14"/>
  <c r="M607" i="14"/>
  <c r="K607" i="14"/>
  <c r="J607" i="14"/>
  <c r="B607" i="14"/>
  <c r="Q606" i="14"/>
  <c r="P606" i="14"/>
  <c r="O606" i="14"/>
  <c r="N606" i="14"/>
  <c r="M606" i="14"/>
  <c r="K606" i="14"/>
  <c r="J606" i="14"/>
  <c r="B606" i="14"/>
  <c r="Q605" i="14"/>
  <c r="P605" i="14"/>
  <c r="O605" i="14"/>
  <c r="N605" i="14"/>
  <c r="M605" i="14"/>
  <c r="K605" i="14"/>
  <c r="J605" i="14"/>
  <c r="B605" i="14"/>
  <c r="Q604" i="14"/>
  <c r="P604" i="14"/>
  <c r="O604" i="14"/>
  <c r="N604" i="14"/>
  <c r="M604" i="14"/>
  <c r="K604" i="14"/>
  <c r="J604" i="14"/>
  <c r="B604" i="14"/>
  <c r="Q603" i="14"/>
  <c r="P603" i="14"/>
  <c r="O603" i="14"/>
  <c r="N603" i="14"/>
  <c r="M603" i="14"/>
  <c r="K603" i="14"/>
  <c r="J603" i="14"/>
  <c r="B603" i="14"/>
  <c r="Q602" i="14"/>
  <c r="P602" i="14"/>
  <c r="O602" i="14"/>
  <c r="N602" i="14"/>
  <c r="M602" i="14"/>
  <c r="K602" i="14"/>
  <c r="J602" i="14"/>
  <c r="B602" i="14"/>
  <c r="Q601" i="14"/>
  <c r="P601" i="14"/>
  <c r="O601" i="14"/>
  <c r="N601" i="14"/>
  <c r="M601" i="14"/>
  <c r="K601" i="14"/>
  <c r="J601" i="14"/>
  <c r="B601" i="14"/>
  <c r="Q600" i="14"/>
  <c r="P600" i="14"/>
  <c r="O600" i="14"/>
  <c r="N600" i="14"/>
  <c r="M600" i="14"/>
  <c r="K600" i="14"/>
  <c r="J600" i="14"/>
  <c r="B600" i="14"/>
  <c r="Q599" i="14"/>
  <c r="P599" i="14"/>
  <c r="O599" i="14"/>
  <c r="N599" i="14"/>
  <c r="M599" i="14"/>
  <c r="K599" i="14"/>
  <c r="J599" i="14"/>
  <c r="B599" i="14"/>
  <c r="Q598" i="14"/>
  <c r="P598" i="14"/>
  <c r="O598" i="14"/>
  <c r="N598" i="14"/>
  <c r="M598" i="14"/>
  <c r="K598" i="14"/>
  <c r="J598" i="14"/>
  <c r="B598" i="14"/>
  <c r="Q597" i="14"/>
  <c r="P597" i="14"/>
  <c r="O597" i="14"/>
  <c r="N597" i="14"/>
  <c r="M597" i="14"/>
  <c r="K597" i="14"/>
  <c r="J597" i="14"/>
  <c r="B597" i="14"/>
  <c r="Q596" i="14"/>
  <c r="P596" i="14"/>
  <c r="O596" i="14"/>
  <c r="N596" i="14"/>
  <c r="M596" i="14"/>
  <c r="K596" i="14"/>
  <c r="J596" i="14"/>
  <c r="B596" i="14"/>
  <c r="Q595" i="14"/>
  <c r="P595" i="14"/>
  <c r="O595" i="14"/>
  <c r="N595" i="14"/>
  <c r="M595" i="14"/>
  <c r="K595" i="14"/>
  <c r="J595" i="14"/>
  <c r="B595" i="14"/>
  <c r="Q594" i="14"/>
  <c r="P594" i="14"/>
  <c r="O594" i="14"/>
  <c r="N594" i="14"/>
  <c r="M594" i="14"/>
  <c r="K594" i="14"/>
  <c r="J594" i="14"/>
  <c r="B594" i="14"/>
  <c r="Q593" i="14"/>
  <c r="P593" i="14"/>
  <c r="O593" i="14"/>
  <c r="N593" i="14"/>
  <c r="M593" i="14"/>
  <c r="K593" i="14"/>
  <c r="J593" i="14"/>
  <c r="B593" i="14"/>
  <c r="Q592" i="14"/>
  <c r="P592" i="14"/>
  <c r="O592" i="14"/>
  <c r="N592" i="14"/>
  <c r="M592" i="14"/>
  <c r="K592" i="14"/>
  <c r="J592" i="14"/>
  <c r="B592" i="14"/>
  <c r="Q591" i="14"/>
  <c r="P591" i="14"/>
  <c r="O591" i="14"/>
  <c r="N591" i="14"/>
  <c r="M591" i="14"/>
  <c r="K591" i="14"/>
  <c r="J591" i="14"/>
  <c r="B591" i="14"/>
  <c r="Q590" i="14"/>
  <c r="P590" i="14"/>
  <c r="O590" i="14"/>
  <c r="N590" i="14"/>
  <c r="M590" i="14"/>
  <c r="K590" i="14"/>
  <c r="J590" i="14"/>
  <c r="B590" i="14"/>
  <c r="Q589" i="14"/>
  <c r="P589" i="14"/>
  <c r="O589" i="14"/>
  <c r="N589" i="14"/>
  <c r="M589" i="14"/>
  <c r="K589" i="14"/>
  <c r="J589" i="14"/>
  <c r="B589" i="14"/>
  <c r="Q588" i="14"/>
  <c r="P588" i="14"/>
  <c r="O588" i="14"/>
  <c r="N588" i="14"/>
  <c r="M588" i="14"/>
  <c r="K588" i="14"/>
  <c r="J588" i="14"/>
  <c r="B588" i="14"/>
  <c r="Q587" i="14"/>
  <c r="P587" i="14"/>
  <c r="O587" i="14"/>
  <c r="N587" i="14"/>
  <c r="M587" i="14"/>
  <c r="K587" i="14"/>
  <c r="J587" i="14"/>
  <c r="B587" i="14"/>
  <c r="Q586" i="14"/>
  <c r="P586" i="14"/>
  <c r="O586" i="14"/>
  <c r="N586" i="14"/>
  <c r="M586" i="14"/>
  <c r="K586" i="14"/>
  <c r="J586" i="14"/>
  <c r="B586" i="14"/>
  <c r="Q585" i="14"/>
  <c r="P585" i="14"/>
  <c r="O585" i="14"/>
  <c r="N585" i="14"/>
  <c r="M585" i="14"/>
  <c r="K585" i="14"/>
  <c r="J585" i="14"/>
  <c r="B585" i="14"/>
  <c r="Q584" i="14"/>
  <c r="P584" i="14"/>
  <c r="O584" i="14"/>
  <c r="N584" i="14"/>
  <c r="M584" i="14"/>
  <c r="K584" i="14"/>
  <c r="J584" i="14"/>
  <c r="B584" i="14"/>
  <c r="Q583" i="14"/>
  <c r="P583" i="14"/>
  <c r="O583" i="14"/>
  <c r="N583" i="14"/>
  <c r="M583" i="14"/>
  <c r="K583" i="14"/>
  <c r="J583" i="14"/>
  <c r="B583" i="14"/>
  <c r="Q582" i="14"/>
  <c r="P582" i="14"/>
  <c r="O582" i="14"/>
  <c r="N582" i="14"/>
  <c r="M582" i="14"/>
  <c r="K582" i="14"/>
  <c r="J582" i="14"/>
  <c r="B582" i="14"/>
  <c r="Q581" i="14"/>
  <c r="P581" i="14"/>
  <c r="O581" i="14"/>
  <c r="N581" i="14"/>
  <c r="M581" i="14"/>
  <c r="K581" i="14"/>
  <c r="J581" i="14"/>
  <c r="B581" i="14"/>
  <c r="Q580" i="14"/>
  <c r="P580" i="14"/>
  <c r="O580" i="14"/>
  <c r="N580" i="14"/>
  <c r="M580" i="14"/>
  <c r="K580" i="14"/>
  <c r="J580" i="14"/>
  <c r="B580" i="14"/>
  <c r="Q579" i="14"/>
  <c r="P579" i="14"/>
  <c r="O579" i="14"/>
  <c r="N579" i="14"/>
  <c r="M579" i="14"/>
  <c r="K579" i="14"/>
  <c r="J579" i="14"/>
  <c r="B579" i="14"/>
  <c r="Q578" i="14"/>
  <c r="P578" i="14"/>
  <c r="O578" i="14"/>
  <c r="N578" i="14"/>
  <c r="M578" i="14"/>
  <c r="K578" i="14"/>
  <c r="J578" i="14"/>
  <c r="B578" i="14"/>
  <c r="Q577" i="14"/>
  <c r="P577" i="14"/>
  <c r="O577" i="14"/>
  <c r="N577" i="14"/>
  <c r="M577" i="14"/>
  <c r="K577" i="14"/>
  <c r="J577" i="14"/>
  <c r="B577" i="14"/>
  <c r="Q576" i="14"/>
  <c r="P576" i="14"/>
  <c r="O576" i="14"/>
  <c r="N576" i="14"/>
  <c r="M576" i="14"/>
  <c r="K576" i="14"/>
  <c r="J576" i="14"/>
  <c r="B576" i="14"/>
  <c r="Q575" i="14"/>
  <c r="P575" i="14"/>
  <c r="O575" i="14"/>
  <c r="N575" i="14"/>
  <c r="M575" i="14"/>
  <c r="K575" i="14"/>
  <c r="J575" i="14"/>
  <c r="B575" i="14"/>
  <c r="Q574" i="14"/>
  <c r="P574" i="14"/>
  <c r="O574" i="14"/>
  <c r="N574" i="14"/>
  <c r="M574" i="14"/>
  <c r="K574" i="14"/>
  <c r="J574" i="14"/>
  <c r="B574" i="14"/>
  <c r="Q573" i="14"/>
  <c r="P573" i="14"/>
  <c r="O573" i="14"/>
  <c r="N573" i="14"/>
  <c r="M573" i="14"/>
  <c r="K573" i="14"/>
  <c r="J573" i="14"/>
  <c r="B573" i="14"/>
  <c r="Q572" i="14"/>
  <c r="P572" i="14"/>
  <c r="O572" i="14"/>
  <c r="N572" i="14"/>
  <c r="M572" i="14"/>
  <c r="K572" i="14"/>
  <c r="J572" i="14"/>
  <c r="B572" i="14"/>
  <c r="Q571" i="14"/>
  <c r="P571" i="14"/>
  <c r="O571" i="14"/>
  <c r="N571" i="14"/>
  <c r="M571" i="14"/>
  <c r="K571" i="14"/>
  <c r="J571" i="14"/>
  <c r="B571" i="14"/>
  <c r="Q570" i="14"/>
  <c r="P570" i="14"/>
  <c r="O570" i="14"/>
  <c r="N570" i="14"/>
  <c r="M570" i="14"/>
  <c r="K570" i="14"/>
  <c r="J570" i="14"/>
  <c r="B570" i="14"/>
  <c r="Q569" i="14"/>
  <c r="P569" i="14"/>
  <c r="O569" i="14"/>
  <c r="N569" i="14"/>
  <c r="M569" i="14"/>
  <c r="K569" i="14"/>
  <c r="J569" i="14"/>
  <c r="B569" i="14"/>
  <c r="Q568" i="14"/>
  <c r="P568" i="14"/>
  <c r="O568" i="14"/>
  <c r="N568" i="14"/>
  <c r="M568" i="14"/>
  <c r="K568" i="14"/>
  <c r="J568" i="14"/>
  <c r="B568" i="14"/>
  <c r="Q567" i="14"/>
  <c r="P567" i="14"/>
  <c r="O567" i="14"/>
  <c r="N567" i="14"/>
  <c r="M567" i="14"/>
  <c r="K567" i="14"/>
  <c r="J567" i="14"/>
  <c r="B567" i="14"/>
  <c r="Q566" i="14"/>
  <c r="P566" i="14"/>
  <c r="O566" i="14"/>
  <c r="N566" i="14"/>
  <c r="M566" i="14"/>
  <c r="K566" i="14"/>
  <c r="J566" i="14"/>
  <c r="B566" i="14"/>
  <c r="Q565" i="14"/>
  <c r="P565" i="14"/>
  <c r="O565" i="14"/>
  <c r="N565" i="14"/>
  <c r="M565" i="14"/>
  <c r="K565" i="14"/>
  <c r="J565" i="14"/>
  <c r="B565" i="14"/>
  <c r="Q564" i="14"/>
  <c r="P564" i="14"/>
  <c r="O564" i="14"/>
  <c r="N564" i="14"/>
  <c r="M564" i="14"/>
  <c r="K564" i="14"/>
  <c r="J564" i="14"/>
  <c r="B564" i="14"/>
  <c r="Q563" i="14"/>
  <c r="P563" i="14"/>
  <c r="O563" i="14"/>
  <c r="N563" i="14"/>
  <c r="M563" i="14"/>
  <c r="K563" i="14"/>
  <c r="J563" i="14"/>
  <c r="B563" i="14"/>
  <c r="Q562" i="14"/>
  <c r="P562" i="14"/>
  <c r="O562" i="14"/>
  <c r="N562" i="14"/>
  <c r="M562" i="14"/>
  <c r="K562" i="14"/>
  <c r="J562" i="14"/>
  <c r="B562" i="14"/>
  <c r="Q561" i="14"/>
  <c r="P561" i="14"/>
  <c r="O561" i="14"/>
  <c r="N561" i="14"/>
  <c r="M561" i="14"/>
  <c r="K561" i="14"/>
  <c r="J561" i="14"/>
  <c r="B561" i="14"/>
  <c r="Q560" i="14"/>
  <c r="P560" i="14"/>
  <c r="O560" i="14"/>
  <c r="N560" i="14"/>
  <c r="M560" i="14"/>
  <c r="K560" i="14"/>
  <c r="J560" i="14"/>
  <c r="B560" i="14"/>
  <c r="Q559" i="14"/>
  <c r="P559" i="14"/>
  <c r="O559" i="14"/>
  <c r="N559" i="14"/>
  <c r="M559" i="14"/>
  <c r="K559" i="14"/>
  <c r="J559" i="14"/>
  <c r="B559" i="14"/>
  <c r="Q558" i="14"/>
  <c r="P558" i="14"/>
  <c r="O558" i="14"/>
  <c r="N558" i="14"/>
  <c r="M558" i="14"/>
  <c r="K558" i="14"/>
  <c r="J558" i="14"/>
  <c r="B558" i="14"/>
  <c r="Q557" i="14"/>
  <c r="P557" i="14"/>
  <c r="O557" i="14"/>
  <c r="N557" i="14"/>
  <c r="M557" i="14"/>
  <c r="K557" i="14"/>
  <c r="J557" i="14"/>
  <c r="B557" i="14"/>
  <c r="Q556" i="14"/>
  <c r="P556" i="14"/>
  <c r="O556" i="14"/>
  <c r="N556" i="14"/>
  <c r="M556" i="14"/>
  <c r="K556" i="14"/>
  <c r="J556" i="14"/>
  <c r="B556" i="14"/>
  <c r="Q555" i="14"/>
  <c r="P555" i="14"/>
  <c r="O555" i="14"/>
  <c r="N555" i="14"/>
  <c r="M555" i="14"/>
  <c r="K555" i="14"/>
  <c r="J555" i="14"/>
  <c r="B555" i="14"/>
  <c r="Q554" i="14"/>
  <c r="P554" i="14"/>
  <c r="O554" i="14"/>
  <c r="N554" i="14"/>
  <c r="M554" i="14"/>
  <c r="K554" i="14"/>
  <c r="J554" i="14"/>
  <c r="B554" i="14"/>
  <c r="Q553" i="14"/>
  <c r="P553" i="14"/>
  <c r="O553" i="14"/>
  <c r="N553" i="14"/>
  <c r="M553" i="14"/>
  <c r="K553" i="14"/>
  <c r="J553" i="14"/>
  <c r="B553" i="14"/>
  <c r="Q552" i="14"/>
  <c r="P552" i="14"/>
  <c r="O552" i="14"/>
  <c r="N552" i="14"/>
  <c r="M552" i="14"/>
  <c r="K552" i="14"/>
  <c r="J552" i="14"/>
  <c r="B552" i="14"/>
  <c r="Q551" i="14"/>
  <c r="P551" i="14"/>
  <c r="O551" i="14"/>
  <c r="N551" i="14"/>
  <c r="M551" i="14"/>
  <c r="K551" i="14"/>
  <c r="J551" i="14"/>
  <c r="B551" i="14"/>
  <c r="Q550" i="14"/>
  <c r="P550" i="14"/>
  <c r="O550" i="14"/>
  <c r="N550" i="14"/>
  <c r="M550" i="14"/>
  <c r="K550" i="14"/>
  <c r="J550" i="14"/>
  <c r="B550" i="14"/>
  <c r="Q549" i="14"/>
  <c r="P549" i="14"/>
  <c r="O549" i="14"/>
  <c r="N549" i="14"/>
  <c r="M549" i="14"/>
  <c r="K549" i="14"/>
  <c r="J549" i="14"/>
  <c r="B549" i="14"/>
  <c r="Q548" i="14"/>
  <c r="P548" i="14"/>
  <c r="O548" i="14"/>
  <c r="N548" i="14"/>
  <c r="M548" i="14"/>
  <c r="K548" i="14"/>
  <c r="J548" i="14"/>
  <c r="B548" i="14"/>
  <c r="Q547" i="14"/>
  <c r="P547" i="14"/>
  <c r="O547" i="14"/>
  <c r="N547" i="14"/>
  <c r="M547" i="14"/>
  <c r="K547" i="14"/>
  <c r="J547" i="14"/>
  <c r="B547" i="14"/>
  <c r="Q546" i="14"/>
  <c r="P546" i="14"/>
  <c r="O546" i="14"/>
  <c r="N546" i="14"/>
  <c r="M546" i="14"/>
  <c r="K546" i="14"/>
  <c r="J546" i="14"/>
  <c r="B546" i="14"/>
  <c r="Q545" i="14"/>
  <c r="P545" i="14"/>
  <c r="O545" i="14"/>
  <c r="N545" i="14"/>
  <c r="M545" i="14"/>
  <c r="K545" i="14"/>
  <c r="J545" i="14"/>
  <c r="B545" i="14"/>
  <c r="Q544" i="14"/>
  <c r="P544" i="14"/>
  <c r="O544" i="14"/>
  <c r="N544" i="14"/>
  <c r="M544" i="14"/>
  <c r="K544" i="14"/>
  <c r="J544" i="14"/>
  <c r="B544" i="14"/>
  <c r="Q543" i="14"/>
  <c r="P543" i="14"/>
  <c r="O543" i="14"/>
  <c r="N543" i="14"/>
  <c r="M543" i="14"/>
  <c r="K543" i="14"/>
  <c r="J543" i="14"/>
  <c r="B543" i="14"/>
  <c r="Q542" i="14"/>
  <c r="P542" i="14"/>
  <c r="O542" i="14"/>
  <c r="N542" i="14"/>
  <c r="M542" i="14"/>
  <c r="K542" i="14"/>
  <c r="J542" i="14"/>
  <c r="B542" i="14"/>
  <c r="Q541" i="14"/>
  <c r="P541" i="14"/>
  <c r="O541" i="14"/>
  <c r="N541" i="14"/>
  <c r="M541" i="14"/>
  <c r="K541" i="14"/>
  <c r="J541" i="14"/>
  <c r="B541" i="14"/>
  <c r="Q540" i="14"/>
  <c r="P540" i="14"/>
  <c r="O540" i="14"/>
  <c r="N540" i="14"/>
  <c r="M540" i="14"/>
  <c r="K540" i="14"/>
  <c r="J540" i="14"/>
  <c r="B540" i="14"/>
  <c r="Q539" i="14"/>
  <c r="P539" i="14"/>
  <c r="O539" i="14"/>
  <c r="N539" i="14"/>
  <c r="M539" i="14"/>
  <c r="K539" i="14"/>
  <c r="J539" i="14"/>
  <c r="B539" i="14"/>
  <c r="Q538" i="14"/>
  <c r="P538" i="14"/>
  <c r="O538" i="14"/>
  <c r="N538" i="14"/>
  <c r="M538" i="14"/>
  <c r="K538" i="14"/>
  <c r="J538" i="14"/>
  <c r="B538" i="14"/>
  <c r="Q537" i="14"/>
  <c r="P537" i="14"/>
  <c r="O537" i="14"/>
  <c r="N537" i="14"/>
  <c r="M537" i="14"/>
  <c r="K537" i="14"/>
  <c r="J537" i="14"/>
  <c r="B537" i="14"/>
  <c r="Q536" i="14"/>
  <c r="P536" i="14"/>
  <c r="O536" i="14"/>
  <c r="N536" i="14"/>
  <c r="M536" i="14"/>
  <c r="K536" i="14"/>
  <c r="J536" i="14"/>
  <c r="B536" i="14"/>
  <c r="Q535" i="14"/>
  <c r="P535" i="14"/>
  <c r="O535" i="14"/>
  <c r="N535" i="14"/>
  <c r="M535" i="14"/>
  <c r="K535" i="14"/>
  <c r="J535" i="14"/>
  <c r="B535" i="14"/>
  <c r="Q534" i="14"/>
  <c r="P534" i="14"/>
  <c r="O534" i="14"/>
  <c r="N534" i="14"/>
  <c r="M534" i="14"/>
  <c r="K534" i="14"/>
  <c r="J534" i="14"/>
  <c r="B534" i="14"/>
  <c r="Q533" i="14"/>
  <c r="P533" i="14"/>
  <c r="O533" i="14"/>
  <c r="N533" i="14"/>
  <c r="M533" i="14"/>
  <c r="K533" i="14"/>
  <c r="J533" i="14"/>
  <c r="B533" i="14"/>
  <c r="Q532" i="14"/>
  <c r="P532" i="14"/>
  <c r="O532" i="14"/>
  <c r="N532" i="14"/>
  <c r="M532" i="14"/>
  <c r="K532" i="14"/>
  <c r="J532" i="14"/>
  <c r="B532" i="14"/>
  <c r="Q531" i="14"/>
  <c r="P531" i="14"/>
  <c r="O531" i="14"/>
  <c r="N531" i="14"/>
  <c r="M531" i="14"/>
  <c r="K531" i="14"/>
  <c r="J531" i="14"/>
  <c r="B531" i="14"/>
  <c r="Q530" i="14"/>
  <c r="P530" i="14"/>
  <c r="O530" i="14"/>
  <c r="N530" i="14"/>
  <c r="M530" i="14"/>
  <c r="K530" i="14"/>
  <c r="J530" i="14"/>
  <c r="B530" i="14"/>
  <c r="Q529" i="14"/>
  <c r="P529" i="14"/>
  <c r="O529" i="14"/>
  <c r="N529" i="14"/>
  <c r="M529" i="14"/>
  <c r="K529" i="14"/>
  <c r="J529" i="14"/>
  <c r="B529" i="14"/>
  <c r="Q528" i="14"/>
  <c r="P528" i="14"/>
  <c r="O528" i="14"/>
  <c r="N528" i="14"/>
  <c r="M528" i="14"/>
  <c r="K528" i="14"/>
  <c r="J528" i="14"/>
  <c r="B528" i="14"/>
  <c r="Q527" i="14"/>
  <c r="P527" i="14"/>
  <c r="O527" i="14"/>
  <c r="N527" i="14"/>
  <c r="M527" i="14"/>
  <c r="K527" i="14"/>
  <c r="J527" i="14"/>
  <c r="B527" i="14"/>
  <c r="Q526" i="14"/>
  <c r="P526" i="14"/>
  <c r="O526" i="14"/>
  <c r="N526" i="14"/>
  <c r="M526" i="14"/>
  <c r="K526" i="14"/>
  <c r="J526" i="14"/>
  <c r="B526" i="14"/>
  <c r="Q525" i="14"/>
  <c r="P525" i="14"/>
  <c r="O525" i="14"/>
  <c r="N525" i="14"/>
  <c r="M525" i="14"/>
  <c r="K525" i="14"/>
  <c r="J525" i="14"/>
  <c r="B525" i="14"/>
  <c r="Q524" i="14"/>
  <c r="P524" i="14"/>
  <c r="O524" i="14"/>
  <c r="N524" i="14"/>
  <c r="M524" i="14"/>
  <c r="K524" i="14"/>
  <c r="J524" i="14"/>
  <c r="B524" i="14"/>
  <c r="Q523" i="14"/>
  <c r="P523" i="14"/>
  <c r="O523" i="14"/>
  <c r="N523" i="14"/>
  <c r="M523" i="14"/>
  <c r="K523" i="14"/>
  <c r="J523" i="14"/>
  <c r="B523" i="14"/>
  <c r="Q522" i="14"/>
  <c r="P522" i="14"/>
  <c r="O522" i="14"/>
  <c r="N522" i="14"/>
  <c r="M522" i="14"/>
  <c r="K522" i="14"/>
  <c r="J522" i="14"/>
  <c r="B522" i="14"/>
  <c r="Q521" i="14"/>
  <c r="P521" i="14"/>
  <c r="O521" i="14"/>
  <c r="N521" i="14"/>
  <c r="M521" i="14"/>
  <c r="K521" i="14"/>
  <c r="J521" i="14"/>
  <c r="B521" i="14"/>
  <c r="Q520" i="14"/>
  <c r="P520" i="14"/>
  <c r="O520" i="14"/>
  <c r="N520" i="14"/>
  <c r="M520" i="14"/>
  <c r="K520" i="14"/>
  <c r="J520" i="14"/>
  <c r="B520" i="14"/>
  <c r="Q519" i="14"/>
  <c r="P519" i="14"/>
  <c r="O519" i="14"/>
  <c r="N519" i="14"/>
  <c r="M519" i="14"/>
  <c r="K519" i="14"/>
  <c r="J519" i="14"/>
  <c r="B519" i="14"/>
  <c r="Q518" i="14"/>
  <c r="P518" i="14"/>
  <c r="O518" i="14"/>
  <c r="N518" i="14"/>
  <c r="M518" i="14"/>
  <c r="K518" i="14"/>
  <c r="J518" i="14"/>
  <c r="B518" i="14"/>
  <c r="Q517" i="14"/>
  <c r="P517" i="14"/>
  <c r="O517" i="14"/>
  <c r="N517" i="14"/>
  <c r="M517" i="14"/>
  <c r="K517" i="14"/>
  <c r="J517" i="14"/>
  <c r="B517" i="14"/>
  <c r="Q516" i="14"/>
  <c r="P516" i="14"/>
  <c r="O516" i="14"/>
  <c r="N516" i="14"/>
  <c r="M516" i="14"/>
  <c r="K516" i="14"/>
  <c r="J516" i="14"/>
  <c r="B516" i="14"/>
  <c r="Q515" i="14"/>
  <c r="P515" i="14"/>
  <c r="O515" i="14"/>
  <c r="N515" i="14"/>
  <c r="M515" i="14"/>
  <c r="K515" i="14"/>
  <c r="J515" i="14"/>
  <c r="B515" i="14"/>
  <c r="Q514" i="14"/>
  <c r="P514" i="14"/>
  <c r="O514" i="14"/>
  <c r="N514" i="14"/>
  <c r="M514" i="14"/>
  <c r="K514" i="14"/>
  <c r="J514" i="14"/>
  <c r="B514" i="14"/>
  <c r="Q513" i="14"/>
  <c r="P513" i="14"/>
  <c r="O513" i="14"/>
  <c r="N513" i="14"/>
  <c r="M513" i="14"/>
  <c r="K513" i="14"/>
  <c r="J513" i="14"/>
  <c r="B513" i="14"/>
  <c r="Q512" i="14"/>
  <c r="P512" i="14"/>
  <c r="O512" i="14"/>
  <c r="N512" i="14"/>
  <c r="M512" i="14"/>
  <c r="K512" i="14"/>
  <c r="J512" i="14"/>
  <c r="B512" i="14"/>
  <c r="Q511" i="14"/>
  <c r="P511" i="14"/>
  <c r="O511" i="14"/>
  <c r="N511" i="14"/>
  <c r="M511" i="14"/>
  <c r="K511" i="14"/>
  <c r="J511" i="14"/>
  <c r="B511" i="14"/>
  <c r="Q510" i="14"/>
  <c r="P510" i="14"/>
  <c r="O510" i="14"/>
  <c r="N510" i="14"/>
  <c r="M510" i="14"/>
  <c r="K510" i="14"/>
  <c r="J510" i="14"/>
  <c r="B510" i="14"/>
  <c r="Q509" i="14"/>
  <c r="P509" i="14"/>
  <c r="O509" i="14"/>
  <c r="N509" i="14"/>
  <c r="M509" i="14"/>
  <c r="K509" i="14"/>
  <c r="J509" i="14"/>
  <c r="B509" i="14"/>
  <c r="Q508" i="14"/>
  <c r="P508" i="14"/>
  <c r="O508" i="14"/>
  <c r="N508" i="14"/>
  <c r="M508" i="14"/>
  <c r="K508" i="14"/>
  <c r="J508" i="14"/>
  <c r="B508" i="14"/>
  <c r="Q507" i="14"/>
  <c r="P507" i="14"/>
  <c r="O507" i="14"/>
  <c r="N507" i="14"/>
  <c r="M507" i="14"/>
  <c r="K507" i="14"/>
  <c r="J507" i="14"/>
  <c r="B507" i="14"/>
  <c r="Q506" i="14"/>
  <c r="P506" i="14"/>
  <c r="O506" i="14"/>
  <c r="N506" i="14"/>
  <c r="M506" i="14"/>
  <c r="K506" i="14"/>
  <c r="J506" i="14"/>
  <c r="B506" i="14"/>
  <c r="Q505" i="14"/>
  <c r="P505" i="14"/>
  <c r="O505" i="14"/>
  <c r="N505" i="14"/>
  <c r="M505" i="14"/>
  <c r="K505" i="14"/>
  <c r="J505" i="14"/>
  <c r="B505" i="14"/>
  <c r="Q504" i="14"/>
  <c r="P504" i="14"/>
  <c r="O504" i="14"/>
  <c r="N504" i="14"/>
  <c r="M504" i="14"/>
  <c r="K504" i="14"/>
  <c r="J504" i="14"/>
  <c r="B504" i="14"/>
  <c r="Q503" i="14"/>
  <c r="P503" i="14"/>
  <c r="O503" i="14"/>
  <c r="N503" i="14"/>
  <c r="M503" i="14"/>
  <c r="K503" i="14"/>
  <c r="J503" i="14"/>
  <c r="B503" i="14"/>
  <c r="Q502" i="14"/>
  <c r="P502" i="14"/>
  <c r="O502" i="14"/>
  <c r="N502" i="14"/>
  <c r="M502" i="14"/>
  <c r="K502" i="14"/>
  <c r="J502" i="14"/>
  <c r="B502" i="14"/>
  <c r="Q501" i="14"/>
  <c r="P501" i="14"/>
  <c r="O501" i="14"/>
  <c r="N501" i="14"/>
  <c r="M501" i="14"/>
  <c r="K501" i="14"/>
  <c r="J501" i="14"/>
  <c r="B501" i="14"/>
  <c r="Q500" i="14"/>
  <c r="P500" i="14"/>
  <c r="O500" i="14"/>
  <c r="N500" i="14"/>
  <c r="M500" i="14"/>
  <c r="K500" i="14"/>
  <c r="J500" i="14"/>
  <c r="B500" i="14"/>
  <c r="Q499" i="14"/>
  <c r="P499" i="14"/>
  <c r="O499" i="14"/>
  <c r="N499" i="14"/>
  <c r="M499" i="14"/>
  <c r="K499" i="14"/>
  <c r="J499" i="14"/>
  <c r="B499" i="14"/>
  <c r="Q498" i="14"/>
  <c r="P498" i="14"/>
  <c r="O498" i="14"/>
  <c r="N498" i="14"/>
  <c r="M498" i="14"/>
  <c r="K498" i="14"/>
  <c r="J498" i="14"/>
  <c r="B498" i="14"/>
  <c r="Q497" i="14"/>
  <c r="P497" i="14"/>
  <c r="O497" i="14"/>
  <c r="N497" i="14"/>
  <c r="M497" i="14"/>
  <c r="K497" i="14"/>
  <c r="J497" i="14"/>
  <c r="B497" i="14"/>
  <c r="Q496" i="14"/>
  <c r="P496" i="14"/>
  <c r="O496" i="14"/>
  <c r="N496" i="14"/>
  <c r="M496" i="14"/>
  <c r="K496" i="14"/>
  <c r="J496" i="14"/>
  <c r="B496" i="14"/>
  <c r="Q495" i="14"/>
  <c r="P495" i="14"/>
  <c r="O495" i="14"/>
  <c r="N495" i="14"/>
  <c r="M495" i="14"/>
  <c r="K495" i="14"/>
  <c r="J495" i="14"/>
  <c r="B495" i="14"/>
  <c r="Q494" i="14"/>
  <c r="P494" i="14"/>
  <c r="O494" i="14"/>
  <c r="N494" i="14"/>
  <c r="M494" i="14"/>
  <c r="K494" i="14"/>
  <c r="J494" i="14"/>
  <c r="B494" i="14"/>
  <c r="Q493" i="14"/>
  <c r="P493" i="14"/>
  <c r="O493" i="14"/>
  <c r="N493" i="14"/>
  <c r="M493" i="14"/>
  <c r="K493" i="14"/>
  <c r="J493" i="14"/>
  <c r="B493" i="14"/>
  <c r="Q492" i="14"/>
  <c r="P492" i="14"/>
  <c r="O492" i="14"/>
  <c r="N492" i="14"/>
  <c r="M492" i="14"/>
  <c r="K492" i="14"/>
  <c r="J492" i="14"/>
  <c r="B492" i="14"/>
  <c r="Q491" i="14"/>
  <c r="P491" i="14"/>
  <c r="O491" i="14"/>
  <c r="N491" i="14"/>
  <c r="M491" i="14"/>
  <c r="K491" i="14"/>
  <c r="J491" i="14"/>
  <c r="B491" i="14"/>
  <c r="Q490" i="14"/>
  <c r="P490" i="14"/>
  <c r="O490" i="14"/>
  <c r="N490" i="14"/>
  <c r="M490" i="14"/>
  <c r="K490" i="14"/>
  <c r="J490" i="14"/>
  <c r="B490" i="14"/>
  <c r="Q489" i="14"/>
  <c r="P489" i="14"/>
  <c r="O489" i="14"/>
  <c r="N489" i="14"/>
  <c r="M489" i="14"/>
  <c r="K489" i="14"/>
  <c r="J489" i="14"/>
  <c r="B489" i="14"/>
  <c r="Q488" i="14"/>
  <c r="P488" i="14"/>
  <c r="O488" i="14"/>
  <c r="N488" i="14"/>
  <c r="M488" i="14"/>
  <c r="K488" i="14"/>
  <c r="J488" i="14"/>
  <c r="B488" i="14"/>
  <c r="Q487" i="14"/>
  <c r="P487" i="14"/>
  <c r="O487" i="14"/>
  <c r="N487" i="14"/>
  <c r="M487" i="14"/>
  <c r="K487" i="14"/>
  <c r="J487" i="14"/>
  <c r="B487" i="14"/>
  <c r="Q486" i="14"/>
  <c r="P486" i="14"/>
  <c r="O486" i="14"/>
  <c r="N486" i="14"/>
  <c r="M486" i="14"/>
  <c r="K486" i="14"/>
  <c r="J486" i="14"/>
  <c r="B486" i="14"/>
  <c r="Q485" i="14"/>
  <c r="P485" i="14"/>
  <c r="O485" i="14"/>
  <c r="N485" i="14"/>
  <c r="M485" i="14"/>
  <c r="K485" i="14"/>
  <c r="J485" i="14"/>
  <c r="B485" i="14"/>
  <c r="Q484" i="14"/>
  <c r="P484" i="14"/>
  <c r="O484" i="14"/>
  <c r="N484" i="14"/>
  <c r="M484" i="14"/>
  <c r="K484" i="14"/>
  <c r="J484" i="14"/>
  <c r="B484" i="14"/>
  <c r="Q483" i="14"/>
  <c r="P483" i="14"/>
  <c r="O483" i="14"/>
  <c r="N483" i="14"/>
  <c r="M483" i="14"/>
  <c r="K483" i="14"/>
  <c r="J483" i="14"/>
  <c r="B483" i="14"/>
  <c r="Q482" i="14"/>
  <c r="P482" i="14"/>
  <c r="O482" i="14"/>
  <c r="N482" i="14"/>
  <c r="M482" i="14"/>
  <c r="K482" i="14"/>
  <c r="J482" i="14"/>
  <c r="B482" i="14"/>
  <c r="Q481" i="14"/>
  <c r="P481" i="14"/>
  <c r="O481" i="14"/>
  <c r="N481" i="14"/>
  <c r="M481" i="14"/>
  <c r="K481" i="14"/>
  <c r="J481" i="14"/>
  <c r="B481" i="14"/>
  <c r="Q480" i="14"/>
  <c r="P480" i="14"/>
  <c r="O480" i="14"/>
  <c r="N480" i="14"/>
  <c r="M480" i="14"/>
  <c r="K480" i="14"/>
  <c r="J480" i="14"/>
  <c r="B480" i="14"/>
  <c r="Q479" i="14"/>
  <c r="P479" i="14"/>
  <c r="O479" i="14"/>
  <c r="N479" i="14"/>
  <c r="M479" i="14"/>
  <c r="K479" i="14"/>
  <c r="J479" i="14"/>
  <c r="B479" i="14"/>
  <c r="Q478" i="14"/>
  <c r="P478" i="14"/>
  <c r="O478" i="14"/>
  <c r="N478" i="14"/>
  <c r="M478" i="14"/>
  <c r="K478" i="14"/>
  <c r="J478" i="14"/>
  <c r="B478" i="14"/>
  <c r="Q477" i="14"/>
  <c r="P477" i="14"/>
  <c r="O477" i="14"/>
  <c r="N477" i="14"/>
  <c r="M477" i="14"/>
  <c r="K477" i="14"/>
  <c r="J477" i="14"/>
  <c r="B477" i="14"/>
  <c r="Q476" i="14"/>
  <c r="P476" i="14"/>
  <c r="O476" i="14"/>
  <c r="N476" i="14"/>
  <c r="M476" i="14"/>
  <c r="K476" i="14"/>
  <c r="J476" i="14"/>
  <c r="B476" i="14"/>
  <c r="Q475" i="14"/>
  <c r="P475" i="14"/>
  <c r="O475" i="14"/>
  <c r="N475" i="14"/>
  <c r="M475" i="14"/>
  <c r="K475" i="14"/>
  <c r="J475" i="14"/>
  <c r="B475" i="14"/>
  <c r="Q474" i="14"/>
  <c r="P474" i="14"/>
  <c r="O474" i="14"/>
  <c r="N474" i="14"/>
  <c r="M474" i="14"/>
  <c r="K474" i="14"/>
  <c r="J474" i="14"/>
  <c r="B474" i="14"/>
  <c r="Q473" i="14"/>
  <c r="P473" i="14"/>
  <c r="O473" i="14"/>
  <c r="N473" i="14"/>
  <c r="M473" i="14"/>
  <c r="K473" i="14"/>
  <c r="J473" i="14"/>
  <c r="B473" i="14"/>
  <c r="Q472" i="14"/>
  <c r="P472" i="14"/>
  <c r="O472" i="14"/>
  <c r="N472" i="14"/>
  <c r="M472" i="14"/>
  <c r="K472" i="14"/>
  <c r="J472" i="14"/>
  <c r="B472" i="14"/>
  <c r="Q471" i="14"/>
  <c r="P471" i="14"/>
  <c r="O471" i="14"/>
  <c r="N471" i="14"/>
  <c r="M471" i="14"/>
  <c r="K471" i="14"/>
  <c r="J471" i="14"/>
  <c r="B471" i="14"/>
  <c r="Q470" i="14"/>
  <c r="P470" i="14"/>
  <c r="O470" i="14"/>
  <c r="N470" i="14"/>
  <c r="M470" i="14"/>
  <c r="K470" i="14"/>
  <c r="J470" i="14"/>
  <c r="B470" i="14"/>
  <c r="Q469" i="14"/>
  <c r="P469" i="14"/>
  <c r="O469" i="14"/>
  <c r="N469" i="14"/>
  <c r="M469" i="14"/>
  <c r="K469" i="14"/>
  <c r="J469" i="14"/>
  <c r="B469" i="14"/>
  <c r="Q468" i="14"/>
  <c r="P468" i="14"/>
  <c r="O468" i="14"/>
  <c r="N468" i="14"/>
  <c r="M468" i="14"/>
  <c r="K468" i="14"/>
  <c r="J468" i="14"/>
  <c r="B468" i="14"/>
  <c r="Q467" i="14"/>
  <c r="P467" i="14"/>
  <c r="O467" i="14"/>
  <c r="N467" i="14"/>
  <c r="M467" i="14"/>
  <c r="K467" i="14"/>
  <c r="J467" i="14"/>
  <c r="B467" i="14"/>
  <c r="Q466" i="14"/>
  <c r="P466" i="14"/>
  <c r="O466" i="14"/>
  <c r="N466" i="14"/>
  <c r="M466" i="14"/>
  <c r="K466" i="14"/>
  <c r="J466" i="14"/>
  <c r="B466" i="14"/>
  <c r="Q465" i="14"/>
  <c r="P465" i="14"/>
  <c r="O465" i="14"/>
  <c r="N465" i="14"/>
  <c r="M465" i="14"/>
  <c r="K465" i="14"/>
  <c r="J465" i="14"/>
  <c r="B465" i="14"/>
  <c r="Q464" i="14"/>
  <c r="P464" i="14"/>
  <c r="O464" i="14"/>
  <c r="N464" i="14"/>
  <c r="M464" i="14"/>
  <c r="K464" i="14"/>
  <c r="J464" i="14"/>
  <c r="B464" i="14"/>
  <c r="Q463" i="14"/>
  <c r="P463" i="14"/>
  <c r="O463" i="14"/>
  <c r="N463" i="14"/>
  <c r="M463" i="14"/>
  <c r="K463" i="14"/>
  <c r="J463" i="14"/>
  <c r="B463" i="14"/>
  <c r="Q462" i="14"/>
  <c r="P462" i="14"/>
  <c r="O462" i="14"/>
  <c r="N462" i="14"/>
  <c r="M462" i="14"/>
  <c r="K462" i="14"/>
  <c r="J462" i="14"/>
  <c r="B462" i="14"/>
  <c r="Q461" i="14"/>
  <c r="P461" i="14"/>
  <c r="O461" i="14"/>
  <c r="N461" i="14"/>
  <c r="M461" i="14"/>
  <c r="K461" i="14"/>
  <c r="J461" i="14"/>
  <c r="B461" i="14"/>
  <c r="Q460" i="14"/>
  <c r="P460" i="14"/>
  <c r="O460" i="14"/>
  <c r="N460" i="14"/>
  <c r="M460" i="14"/>
  <c r="K460" i="14"/>
  <c r="J460" i="14"/>
  <c r="B460" i="14"/>
  <c r="Q459" i="14"/>
  <c r="P459" i="14"/>
  <c r="O459" i="14"/>
  <c r="N459" i="14"/>
  <c r="M459" i="14"/>
  <c r="K459" i="14"/>
  <c r="J459" i="14"/>
  <c r="B459" i="14"/>
  <c r="Q458" i="14"/>
  <c r="P458" i="14"/>
  <c r="O458" i="14"/>
  <c r="N458" i="14"/>
  <c r="M458" i="14"/>
  <c r="K458" i="14"/>
  <c r="J458" i="14"/>
  <c r="B458" i="14"/>
  <c r="Q457" i="14"/>
  <c r="P457" i="14"/>
  <c r="O457" i="14"/>
  <c r="N457" i="14"/>
  <c r="M457" i="14"/>
  <c r="K457" i="14"/>
  <c r="J457" i="14"/>
  <c r="B457" i="14"/>
  <c r="Q456" i="14"/>
  <c r="P456" i="14"/>
  <c r="O456" i="14"/>
  <c r="N456" i="14"/>
  <c r="M456" i="14"/>
  <c r="K456" i="14"/>
  <c r="J456" i="14"/>
  <c r="B456" i="14"/>
  <c r="Q455" i="14"/>
  <c r="P455" i="14"/>
  <c r="O455" i="14"/>
  <c r="N455" i="14"/>
  <c r="M455" i="14"/>
  <c r="K455" i="14"/>
  <c r="J455" i="14"/>
  <c r="B455" i="14"/>
  <c r="Q454" i="14"/>
  <c r="P454" i="14"/>
  <c r="O454" i="14"/>
  <c r="N454" i="14"/>
  <c r="M454" i="14"/>
  <c r="K454" i="14"/>
  <c r="J454" i="14"/>
  <c r="B454" i="14"/>
  <c r="Q453" i="14"/>
  <c r="P453" i="14"/>
  <c r="O453" i="14"/>
  <c r="N453" i="14"/>
  <c r="M453" i="14"/>
  <c r="K453" i="14"/>
  <c r="J453" i="14"/>
  <c r="B453" i="14"/>
  <c r="Q452" i="14"/>
  <c r="P452" i="14"/>
  <c r="O452" i="14"/>
  <c r="N452" i="14"/>
  <c r="M452" i="14"/>
  <c r="K452" i="14"/>
  <c r="J452" i="14"/>
  <c r="B452" i="14"/>
  <c r="Q451" i="14"/>
  <c r="P451" i="14"/>
  <c r="O451" i="14"/>
  <c r="N451" i="14"/>
  <c r="M451" i="14"/>
  <c r="K451" i="14"/>
  <c r="J451" i="14"/>
  <c r="B451" i="14"/>
  <c r="Q450" i="14"/>
  <c r="P450" i="14"/>
  <c r="O450" i="14"/>
  <c r="N450" i="14"/>
  <c r="M450" i="14"/>
  <c r="K450" i="14"/>
  <c r="J450" i="14"/>
  <c r="B450" i="14"/>
  <c r="Q449" i="14"/>
  <c r="P449" i="14"/>
  <c r="O449" i="14"/>
  <c r="N449" i="14"/>
  <c r="M449" i="14"/>
  <c r="K449" i="14"/>
  <c r="J449" i="14"/>
  <c r="B449" i="14"/>
  <c r="Q448" i="14"/>
  <c r="P448" i="14"/>
  <c r="O448" i="14"/>
  <c r="N448" i="14"/>
  <c r="M448" i="14"/>
  <c r="K448" i="14"/>
  <c r="J448" i="14"/>
  <c r="B448" i="14"/>
  <c r="Q447" i="14"/>
  <c r="P447" i="14"/>
  <c r="O447" i="14"/>
  <c r="N447" i="14"/>
  <c r="M447" i="14"/>
  <c r="K447" i="14"/>
  <c r="J447" i="14"/>
  <c r="B447" i="14"/>
  <c r="Q446" i="14"/>
  <c r="P446" i="14"/>
  <c r="O446" i="14"/>
  <c r="N446" i="14"/>
  <c r="M446" i="14"/>
  <c r="K446" i="14"/>
  <c r="J446" i="14"/>
  <c r="B446" i="14"/>
  <c r="Q445" i="14"/>
  <c r="P445" i="14"/>
  <c r="O445" i="14"/>
  <c r="N445" i="14"/>
  <c r="M445" i="14"/>
  <c r="K445" i="14"/>
  <c r="J445" i="14"/>
  <c r="B445" i="14"/>
  <c r="Q444" i="14"/>
  <c r="P444" i="14"/>
  <c r="O444" i="14"/>
  <c r="N444" i="14"/>
  <c r="M444" i="14"/>
  <c r="K444" i="14"/>
  <c r="J444" i="14"/>
  <c r="B444" i="14"/>
  <c r="Q443" i="14"/>
  <c r="P443" i="14"/>
  <c r="O443" i="14"/>
  <c r="N443" i="14"/>
  <c r="M443" i="14"/>
  <c r="K443" i="14"/>
  <c r="J443" i="14"/>
  <c r="B443" i="14"/>
  <c r="Q442" i="14"/>
  <c r="P442" i="14"/>
  <c r="O442" i="14"/>
  <c r="N442" i="14"/>
  <c r="M442" i="14"/>
  <c r="K442" i="14"/>
  <c r="J442" i="14"/>
  <c r="B442" i="14"/>
  <c r="Q441" i="14"/>
  <c r="P441" i="14"/>
  <c r="O441" i="14"/>
  <c r="N441" i="14"/>
  <c r="M441" i="14"/>
  <c r="K441" i="14"/>
  <c r="J441" i="14"/>
  <c r="B441" i="14"/>
  <c r="Q440" i="14"/>
  <c r="P440" i="14"/>
  <c r="O440" i="14"/>
  <c r="N440" i="14"/>
  <c r="M440" i="14"/>
  <c r="K440" i="14"/>
  <c r="J440" i="14"/>
  <c r="B440" i="14"/>
  <c r="Q439" i="14"/>
  <c r="P439" i="14"/>
  <c r="O439" i="14"/>
  <c r="N439" i="14"/>
  <c r="M439" i="14"/>
  <c r="K439" i="14"/>
  <c r="J439" i="14"/>
  <c r="B439" i="14"/>
  <c r="Q438" i="14"/>
  <c r="P438" i="14"/>
  <c r="O438" i="14"/>
  <c r="N438" i="14"/>
  <c r="M438" i="14"/>
  <c r="K438" i="14"/>
  <c r="J438" i="14"/>
  <c r="B438" i="14"/>
  <c r="Q437" i="14"/>
  <c r="P437" i="14"/>
  <c r="O437" i="14"/>
  <c r="N437" i="14"/>
  <c r="M437" i="14"/>
  <c r="K437" i="14"/>
  <c r="J437" i="14"/>
  <c r="B437" i="14"/>
  <c r="Q436" i="14"/>
  <c r="P436" i="14"/>
  <c r="O436" i="14"/>
  <c r="N436" i="14"/>
  <c r="M436" i="14"/>
  <c r="K436" i="14"/>
  <c r="J436" i="14"/>
  <c r="B436" i="14"/>
  <c r="Q435" i="14"/>
  <c r="P435" i="14"/>
  <c r="O435" i="14"/>
  <c r="N435" i="14"/>
  <c r="M435" i="14"/>
  <c r="K435" i="14"/>
  <c r="J435" i="14"/>
  <c r="B435" i="14"/>
  <c r="Q434" i="14"/>
  <c r="P434" i="14"/>
  <c r="O434" i="14"/>
  <c r="N434" i="14"/>
  <c r="M434" i="14"/>
  <c r="K434" i="14"/>
  <c r="J434" i="14"/>
  <c r="B434" i="14"/>
  <c r="Q433" i="14"/>
  <c r="P433" i="14"/>
  <c r="O433" i="14"/>
  <c r="N433" i="14"/>
  <c r="M433" i="14"/>
  <c r="K433" i="14"/>
  <c r="J433" i="14"/>
  <c r="B433" i="14"/>
  <c r="Q432" i="14"/>
  <c r="P432" i="14"/>
  <c r="O432" i="14"/>
  <c r="N432" i="14"/>
  <c r="M432" i="14"/>
  <c r="K432" i="14"/>
  <c r="J432" i="14"/>
  <c r="B432" i="14"/>
  <c r="Q431" i="14"/>
  <c r="P431" i="14"/>
  <c r="O431" i="14"/>
  <c r="N431" i="14"/>
  <c r="M431" i="14"/>
  <c r="K431" i="14"/>
  <c r="J431" i="14"/>
  <c r="B431" i="14"/>
  <c r="Q430" i="14"/>
  <c r="P430" i="14"/>
  <c r="O430" i="14"/>
  <c r="N430" i="14"/>
  <c r="M430" i="14"/>
  <c r="K430" i="14"/>
  <c r="J430" i="14"/>
  <c r="B430" i="14"/>
  <c r="Q429" i="14"/>
  <c r="P429" i="14"/>
  <c r="O429" i="14"/>
  <c r="N429" i="14"/>
  <c r="M429" i="14"/>
  <c r="K429" i="14"/>
  <c r="J429" i="14"/>
  <c r="B429" i="14"/>
  <c r="Q428" i="14"/>
  <c r="P428" i="14"/>
  <c r="O428" i="14"/>
  <c r="N428" i="14"/>
  <c r="M428" i="14"/>
  <c r="K428" i="14"/>
  <c r="J428" i="14"/>
  <c r="B428" i="14"/>
  <c r="Q427" i="14"/>
  <c r="P427" i="14"/>
  <c r="O427" i="14"/>
  <c r="N427" i="14"/>
  <c r="M427" i="14"/>
  <c r="K427" i="14"/>
  <c r="J427" i="14"/>
  <c r="B427" i="14"/>
  <c r="Q426" i="14"/>
  <c r="P426" i="14"/>
  <c r="O426" i="14"/>
  <c r="N426" i="14"/>
  <c r="M426" i="14"/>
  <c r="K426" i="14"/>
  <c r="J426" i="14"/>
  <c r="B426" i="14"/>
  <c r="Q425" i="14"/>
  <c r="P425" i="14"/>
  <c r="O425" i="14"/>
  <c r="N425" i="14"/>
  <c r="M425" i="14"/>
  <c r="K425" i="14"/>
  <c r="J425" i="14"/>
  <c r="B425" i="14"/>
  <c r="Q424" i="14"/>
  <c r="P424" i="14"/>
  <c r="O424" i="14"/>
  <c r="N424" i="14"/>
  <c r="M424" i="14"/>
  <c r="K424" i="14"/>
  <c r="J424" i="14"/>
  <c r="B424" i="14"/>
  <c r="Q423" i="14"/>
  <c r="P423" i="14"/>
  <c r="O423" i="14"/>
  <c r="N423" i="14"/>
  <c r="M423" i="14"/>
  <c r="K423" i="14"/>
  <c r="J423" i="14"/>
  <c r="B423" i="14"/>
  <c r="Q422" i="14"/>
  <c r="P422" i="14"/>
  <c r="O422" i="14"/>
  <c r="N422" i="14"/>
  <c r="M422" i="14"/>
  <c r="K422" i="14"/>
  <c r="J422" i="14"/>
  <c r="B422" i="14"/>
  <c r="Q421" i="14"/>
  <c r="P421" i="14"/>
  <c r="O421" i="14"/>
  <c r="N421" i="14"/>
  <c r="M421" i="14"/>
  <c r="K421" i="14"/>
  <c r="J421" i="14"/>
  <c r="B421" i="14"/>
  <c r="Q420" i="14"/>
  <c r="P420" i="14"/>
  <c r="O420" i="14"/>
  <c r="N420" i="14"/>
  <c r="M420" i="14"/>
  <c r="K420" i="14"/>
  <c r="J420" i="14"/>
  <c r="B420" i="14"/>
  <c r="Q419" i="14"/>
  <c r="P419" i="14"/>
  <c r="O419" i="14"/>
  <c r="N419" i="14"/>
  <c r="M419" i="14"/>
  <c r="K419" i="14"/>
  <c r="J419" i="14"/>
  <c r="B419" i="14"/>
  <c r="Q418" i="14"/>
  <c r="P418" i="14"/>
  <c r="O418" i="14"/>
  <c r="N418" i="14"/>
  <c r="M418" i="14"/>
  <c r="K418" i="14"/>
  <c r="J418" i="14"/>
  <c r="B418" i="14"/>
  <c r="Q417" i="14"/>
  <c r="P417" i="14"/>
  <c r="O417" i="14"/>
  <c r="N417" i="14"/>
  <c r="M417" i="14"/>
  <c r="K417" i="14"/>
  <c r="J417" i="14"/>
  <c r="B417" i="14"/>
  <c r="Q416" i="14"/>
  <c r="P416" i="14"/>
  <c r="O416" i="14"/>
  <c r="N416" i="14"/>
  <c r="M416" i="14"/>
  <c r="K416" i="14"/>
  <c r="J416" i="14"/>
  <c r="B416" i="14"/>
  <c r="Q415" i="14"/>
  <c r="P415" i="14"/>
  <c r="O415" i="14"/>
  <c r="N415" i="14"/>
  <c r="M415" i="14"/>
  <c r="K415" i="14"/>
  <c r="J415" i="14"/>
  <c r="B415" i="14"/>
  <c r="Q414" i="14"/>
  <c r="P414" i="14"/>
  <c r="O414" i="14"/>
  <c r="N414" i="14"/>
  <c r="M414" i="14"/>
  <c r="K414" i="14"/>
  <c r="J414" i="14"/>
  <c r="B414" i="14"/>
  <c r="Q413" i="14"/>
  <c r="P413" i="14"/>
  <c r="O413" i="14"/>
  <c r="N413" i="14"/>
  <c r="M413" i="14"/>
  <c r="K413" i="14"/>
  <c r="J413" i="14"/>
  <c r="B413" i="14"/>
  <c r="Q412" i="14"/>
  <c r="P412" i="14"/>
  <c r="O412" i="14"/>
  <c r="N412" i="14"/>
  <c r="M412" i="14"/>
  <c r="K412" i="14"/>
  <c r="J412" i="14"/>
  <c r="B412" i="14"/>
  <c r="Q411" i="14"/>
  <c r="P411" i="14"/>
  <c r="O411" i="14"/>
  <c r="N411" i="14"/>
  <c r="M411" i="14"/>
  <c r="K411" i="14"/>
  <c r="J411" i="14"/>
  <c r="B411" i="14"/>
  <c r="Q410" i="14"/>
  <c r="P410" i="14"/>
  <c r="O410" i="14"/>
  <c r="N410" i="14"/>
  <c r="M410" i="14"/>
  <c r="K410" i="14"/>
  <c r="J410" i="14"/>
  <c r="B410" i="14"/>
  <c r="Q409" i="14"/>
  <c r="P409" i="14"/>
  <c r="O409" i="14"/>
  <c r="N409" i="14"/>
  <c r="M409" i="14"/>
  <c r="K409" i="14"/>
  <c r="J409" i="14"/>
  <c r="B409" i="14"/>
  <c r="Q408" i="14"/>
  <c r="P408" i="14"/>
  <c r="O408" i="14"/>
  <c r="N408" i="14"/>
  <c r="M408" i="14"/>
  <c r="K408" i="14"/>
  <c r="J408" i="14"/>
  <c r="B408" i="14"/>
  <c r="Q407" i="14"/>
  <c r="P407" i="14"/>
  <c r="O407" i="14"/>
  <c r="N407" i="14"/>
  <c r="M407" i="14"/>
  <c r="K407" i="14"/>
  <c r="J407" i="14"/>
  <c r="B407" i="14"/>
  <c r="Q406" i="14"/>
  <c r="P406" i="14"/>
  <c r="O406" i="14"/>
  <c r="N406" i="14"/>
  <c r="M406" i="14"/>
  <c r="K406" i="14"/>
  <c r="J406" i="14"/>
  <c r="B406" i="14"/>
  <c r="Q405" i="14"/>
  <c r="P405" i="14"/>
  <c r="O405" i="14"/>
  <c r="N405" i="14"/>
  <c r="M405" i="14"/>
  <c r="K405" i="14"/>
  <c r="J405" i="14"/>
  <c r="B405" i="14"/>
  <c r="Q404" i="14"/>
  <c r="P404" i="14"/>
  <c r="O404" i="14"/>
  <c r="N404" i="14"/>
  <c r="M404" i="14"/>
  <c r="K404" i="14"/>
  <c r="J404" i="14"/>
  <c r="B404" i="14"/>
  <c r="Q403" i="14"/>
  <c r="P403" i="14"/>
  <c r="O403" i="14"/>
  <c r="N403" i="14"/>
  <c r="M403" i="14"/>
  <c r="K403" i="14"/>
  <c r="J403" i="14"/>
  <c r="B403" i="14"/>
  <c r="Q402" i="14"/>
  <c r="P402" i="14"/>
  <c r="O402" i="14"/>
  <c r="N402" i="14"/>
  <c r="M402" i="14"/>
  <c r="K402" i="14"/>
  <c r="J402" i="14"/>
  <c r="B402" i="14"/>
  <c r="Q401" i="14"/>
  <c r="P401" i="14"/>
  <c r="O401" i="14"/>
  <c r="N401" i="14"/>
  <c r="M401" i="14"/>
  <c r="K401" i="14"/>
  <c r="J401" i="14"/>
  <c r="B401" i="14"/>
  <c r="Q400" i="14"/>
  <c r="P400" i="14"/>
  <c r="O400" i="14"/>
  <c r="N400" i="14"/>
  <c r="M400" i="14"/>
  <c r="K400" i="14"/>
  <c r="J400" i="14"/>
  <c r="B400" i="14"/>
  <c r="Q399" i="14"/>
  <c r="P399" i="14"/>
  <c r="O399" i="14"/>
  <c r="N399" i="14"/>
  <c r="M399" i="14"/>
  <c r="K399" i="14"/>
  <c r="J399" i="14"/>
  <c r="B399" i="14"/>
  <c r="Q398" i="14"/>
  <c r="P398" i="14"/>
  <c r="O398" i="14"/>
  <c r="N398" i="14"/>
  <c r="M398" i="14"/>
  <c r="K398" i="14"/>
  <c r="J398" i="14"/>
  <c r="B398" i="14"/>
  <c r="Q397" i="14"/>
  <c r="P397" i="14"/>
  <c r="O397" i="14"/>
  <c r="N397" i="14"/>
  <c r="M397" i="14"/>
  <c r="K397" i="14"/>
  <c r="J397" i="14"/>
  <c r="B397" i="14"/>
  <c r="Q396" i="14"/>
  <c r="P396" i="14"/>
  <c r="O396" i="14"/>
  <c r="N396" i="14"/>
  <c r="M396" i="14"/>
  <c r="K396" i="14"/>
  <c r="J396" i="14"/>
  <c r="B396" i="14"/>
  <c r="Q395" i="14"/>
  <c r="P395" i="14"/>
  <c r="O395" i="14"/>
  <c r="N395" i="14"/>
  <c r="M395" i="14"/>
  <c r="K395" i="14"/>
  <c r="J395" i="14"/>
  <c r="B395" i="14"/>
  <c r="Q394" i="14"/>
  <c r="P394" i="14"/>
  <c r="O394" i="14"/>
  <c r="N394" i="14"/>
  <c r="M394" i="14"/>
  <c r="K394" i="14"/>
  <c r="J394" i="14"/>
  <c r="B394" i="14"/>
  <c r="Q393" i="14"/>
  <c r="P393" i="14"/>
  <c r="O393" i="14"/>
  <c r="N393" i="14"/>
  <c r="M393" i="14"/>
  <c r="K393" i="14"/>
  <c r="J393" i="14"/>
  <c r="B393" i="14"/>
  <c r="Q392" i="14"/>
  <c r="P392" i="14"/>
  <c r="O392" i="14"/>
  <c r="N392" i="14"/>
  <c r="M392" i="14"/>
  <c r="K392" i="14"/>
  <c r="J392" i="14"/>
  <c r="B392" i="14"/>
  <c r="Q391" i="14"/>
  <c r="P391" i="14"/>
  <c r="O391" i="14"/>
  <c r="N391" i="14"/>
  <c r="M391" i="14"/>
  <c r="K391" i="14"/>
  <c r="J391" i="14"/>
  <c r="B391" i="14"/>
  <c r="Q390" i="14"/>
  <c r="P390" i="14"/>
  <c r="O390" i="14"/>
  <c r="N390" i="14"/>
  <c r="M390" i="14"/>
  <c r="K390" i="14"/>
  <c r="J390" i="14"/>
  <c r="B390" i="14"/>
  <c r="Q389" i="14"/>
  <c r="P389" i="14"/>
  <c r="O389" i="14"/>
  <c r="N389" i="14"/>
  <c r="M389" i="14"/>
  <c r="K389" i="14"/>
  <c r="J389" i="14"/>
  <c r="B389" i="14"/>
  <c r="Q388" i="14"/>
  <c r="P388" i="14"/>
  <c r="O388" i="14"/>
  <c r="N388" i="14"/>
  <c r="M388" i="14"/>
  <c r="K388" i="14"/>
  <c r="J388" i="14"/>
  <c r="B388" i="14"/>
  <c r="Q387" i="14"/>
  <c r="P387" i="14"/>
  <c r="O387" i="14"/>
  <c r="N387" i="14"/>
  <c r="M387" i="14"/>
  <c r="K387" i="14"/>
  <c r="J387" i="14"/>
  <c r="B387" i="14"/>
  <c r="Q386" i="14"/>
  <c r="P386" i="14"/>
  <c r="O386" i="14"/>
  <c r="N386" i="14"/>
  <c r="M386" i="14"/>
  <c r="K386" i="14"/>
  <c r="J386" i="14"/>
  <c r="B386" i="14"/>
  <c r="Q385" i="14"/>
  <c r="P385" i="14"/>
  <c r="O385" i="14"/>
  <c r="N385" i="14"/>
  <c r="M385" i="14"/>
  <c r="K385" i="14"/>
  <c r="J385" i="14"/>
  <c r="B385" i="14"/>
  <c r="Q384" i="14"/>
  <c r="P384" i="14"/>
  <c r="O384" i="14"/>
  <c r="N384" i="14"/>
  <c r="M384" i="14"/>
  <c r="K384" i="14"/>
  <c r="J384" i="14"/>
  <c r="B384" i="14"/>
  <c r="Q383" i="14"/>
  <c r="P383" i="14"/>
  <c r="O383" i="14"/>
  <c r="N383" i="14"/>
  <c r="M383" i="14"/>
  <c r="K383" i="14"/>
  <c r="J383" i="14"/>
  <c r="B383" i="14"/>
  <c r="Q382" i="14"/>
  <c r="P382" i="14"/>
  <c r="O382" i="14"/>
  <c r="N382" i="14"/>
  <c r="M382" i="14"/>
  <c r="K382" i="14"/>
  <c r="J382" i="14"/>
  <c r="B382" i="14"/>
  <c r="Q381" i="14"/>
  <c r="P381" i="14"/>
  <c r="O381" i="14"/>
  <c r="N381" i="14"/>
  <c r="M381" i="14"/>
  <c r="K381" i="14"/>
  <c r="J381" i="14"/>
  <c r="B381" i="14"/>
  <c r="Q380" i="14"/>
  <c r="P380" i="14"/>
  <c r="O380" i="14"/>
  <c r="N380" i="14"/>
  <c r="M380" i="14"/>
  <c r="K380" i="14"/>
  <c r="J380" i="14"/>
  <c r="B380" i="14"/>
  <c r="Q379" i="14"/>
  <c r="P379" i="14"/>
  <c r="O379" i="14"/>
  <c r="N379" i="14"/>
  <c r="M379" i="14"/>
  <c r="K379" i="14"/>
  <c r="J379" i="14"/>
  <c r="B379" i="14"/>
  <c r="Q378" i="14"/>
  <c r="P378" i="14"/>
  <c r="O378" i="14"/>
  <c r="N378" i="14"/>
  <c r="M378" i="14"/>
  <c r="K378" i="14"/>
  <c r="J378" i="14"/>
  <c r="B378" i="14"/>
  <c r="Q377" i="14"/>
  <c r="P377" i="14"/>
  <c r="O377" i="14"/>
  <c r="N377" i="14"/>
  <c r="M377" i="14"/>
  <c r="K377" i="14"/>
  <c r="J377" i="14"/>
  <c r="B377" i="14"/>
  <c r="Q376" i="14"/>
  <c r="P376" i="14"/>
  <c r="O376" i="14"/>
  <c r="N376" i="14"/>
  <c r="M376" i="14"/>
  <c r="K376" i="14"/>
  <c r="J376" i="14"/>
  <c r="B376" i="14"/>
  <c r="Q375" i="14"/>
  <c r="P375" i="14"/>
  <c r="O375" i="14"/>
  <c r="N375" i="14"/>
  <c r="M375" i="14"/>
  <c r="K375" i="14"/>
  <c r="J375" i="14"/>
  <c r="B375" i="14"/>
  <c r="Q374" i="14"/>
  <c r="P374" i="14"/>
  <c r="O374" i="14"/>
  <c r="N374" i="14"/>
  <c r="M374" i="14"/>
  <c r="K374" i="14"/>
  <c r="J374" i="14"/>
  <c r="B374" i="14"/>
  <c r="Q373" i="14"/>
  <c r="P373" i="14"/>
  <c r="O373" i="14"/>
  <c r="N373" i="14"/>
  <c r="M373" i="14"/>
  <c r="K373" i="14"/>
  <c r="J373" i="14"/>
  <c r="B373" i="14"/>
  <c r="Q372" i="14"/>
  <c r="P372" i="14"/>
  <c r="O372" i="14"/>
  <c r="N372" i="14"/>
  <c r="M372" i="14"/>
  <c r="K372" i="14"/>
  <c r="J372" i="14"/>
  <c r="B372" i="14"/>
  <c r="Q371" i="14"/>
  <c r="P371" i="14"/>
  <c r="O371" i="14"/>
  <c r="N371" i="14"/>
  <c r="M371" i="14"/>
  <c r="K371" i="14"/>
  <c r="J371" i="14"/>
  <c r="B371" i="14"/>
  <c r="Q370" i="14"/>
  <c r="P370" i="14"/>
  <c r="O370" i="14"/>
  <c r="N370" i="14"/>
  <c r="M370" i="14"/>
  <c r="K370" i="14"/>
  <c r="J370" i="14"/>
  <c r="B370" i="14"/>
  <c r="Q369" i="14"/>
  <c r="P369" i="14"/>
  <c r="O369" i="14"/>
  <c r="N369" i="14"/>
  <c r="M369" i="14"/>
  <c r="K369" i="14"/>
  <c r="J369" i="14"/>
  <c r="B369" i="14"/>
  <c r="Q368" i="14"/>
  <c r="P368" i="14"/>
  <c r="O368" i="14"/>
  <c r="N368" i="14"/>
  <c r="M368" i="14"/>
  <c r="K368" i="14"/>
  <c r="J368" i="14"/>
  <c r="B368" i="14"/>
  <c r="Q367" i="14"/>
  <c r="P367" i="14"/>
  <c r="O367" i="14"/>
  <c r="N367" i="14"/>
  <c r="M367" i="14"/>
  <c r="K367" i="14"/>
  <c r="J367" i="14"/>
  <c r="B367" i="14"/>
  <c r="Q366" i="14"/>
  <c r="P366" i="14"/>
  <c r="O366" i="14"/>
  <c r="N366" i="14"/>
  <c r="M366" i="14"/>
  <c r="K366" i="14"/>
  <c r="J366" i="14"/>
  <c r="B366" i="14"/>
  <c r="Q365" i="14"/>
  <c r="P365" i="14"/>
  <c r="O365" i="14"/>
  <c r="N365" i="14"/>
  <c r="M365" i="14"/>
  <c r="K365" i="14"/>
  <c r="J365" i="14"/>
  <c r="B365" i="14"/>
  <c r="Q364" i="14"/>
  <c r="P364" i="14"/>
  <c r="O364" i="14"/>
  <c r="N364" i="14"/>
  <c r="M364" i="14"/>
  <c r="K364" i="14"/>
  <c r="J364" i="14"/>
  <c r="B364" i="14"/>
  <c r="Q363" i="14"/>
  <c r="P363" i="14"/>
  <c r="O363" i="14"/>
  <c r="N363" i="14"/>
  <c r="M363" i="14"/>
  <c r="K363" i="14"/>
  <c r="J363" i="14"/>
  <c r="B363" i="14"/>
  <c r="Q362" i="14"/>
  <c r="P362" i="14"/>
  <c r="O362" i="14"/>
  <c r="N362" i="14"/>
  <c r="M362" i="14"/>
  <c r="K362" i="14"/>
  <c r="J362" i="14"/>
  <c r="B362" i="14"/>
  <c r="Q361" i="14"/>
  <c r="P361" i="14"/>
  <c r="O361" i="14"/>
  <c r="N361" i="14"/>
  <c r="M361" i="14"/>
  <c r="K361" i="14"/>
  <c r="J361" i="14"/>
  <c r="B361" i="14"/>
  <c r="Q360" i="14"/>
  <c r="P360" i="14"/>
  <c r="O360" i="14"/>
  <c r="N360" i="14"/>
  <c r="M360" i="14"/>
  <c r="K360" i="14"/>
  <c r="J360" i="14"/>
  <c r="B360" i="14"/>
  <c r="Q359" i="14"/>
  <c r="P359" i="14"/>
  <c r="O359" i="14"/>
  <c r="N359" i="14"/>
  <c r="M359" i="14"/>
  <c r="K359" i="14"/>
  <c r="J359" i="14"/>
  <c r="B359" i="14"/>
  <c r="Q358" i="14"/>
  <c r="P358" i="14"/>
  <c r="O358" i="14"/>
  <c r="N358" i="14"/>
  <c r="M358" i="14"/>
  <c r="K358" i="14"/>
  <c r="J358" i="14"/>
  <c r="B358" i="14"/>
  <c r="Q357" i="14"/>
  <c r="P357" i="14"/>
  <c r="O357" i="14"/>
  <c r="N357" i="14"/>
  <c r="M357" i="14"/>
  <c r="K357" i="14"/>
  <c r="J357" i="14"/>
  <c r="B357" i="14"/>
  <c r="Q356" i="14"/>
  <c r="P356" i="14"/>
  <c r="O356" i="14"/>
  <c r="N356" i="14"/>
  <c r="M356" i="14"/>
  <c r="K356" i="14"/>
  <c r="J356" i="14"/>
  <c r="B356" i="14"/>
  <c r="Q355" i="14"/>
  <c r="P355" i="14"/>
  <c r="O355" i="14"/>
  <c r="N355" i="14"/>
  <c r="M355" i="14"/>
  <c r="K355" i="14"/>
  <c r="J355" i="14"/>
  <c r="B355" i="14"/>
  <c r="Q354" i="14"/>
  <c r="P354" i="14"/>
  <c r="O354" i="14"/>
  <c r="N354" i="14"/>
  <c r="M354" i="14"/>
  <c r="K354" i="14"/>
  <c r="J354" i="14"/>
  <c r="B354" i="14"/>
  <c r="Q353" i="14"/>
  <c r="P353" i="14"/>
  <c r="O353" i="14"/>
  <c r="N353" i="14"/>
  <c r="M353" i="14"/>
  <c r="K353" i="14"/>
  <c r="J353" i="14"/>
  <c r="B353" i="14"/>
  <c r="Q352" i="14"/>
  <c r="P352" i="14"/>
  <c r="O352" i="14"/>
  <c r="N352" i="14"/>
  <c r="M352" i="14"/>
  <c r="K352" i="14"/>
  <c r="J352" i="14"/>
  <c r="B352" i="14"/>
  <c r="Q351" i="14"/>
  <c r="P351" i="14"/>
  <c r="O351" i="14"/>
  <c r="N351" i="14"/>
  <c r="M351" i="14"/>
  <c r="K351" i="14"/>
  <c r="J351" i="14"/>
  <c r="B351" i="14"/>
  <c r="Q350" i="14"/>
  <c r="P350" i="14"/>
  <c r="O350" i="14"/>
  <c r="N350" i="14"/>
  <c r="M350" i="14"/>
  <c r="K350" i="14"/>
  <c r="J350" i="14"/>
  <c r="B350" i="14"/>
  <c r="Q349" i="14"/>
  <c r="P349" i="14"/>
  <c r="O349" i="14"/>
  <c r="N349" i="14"/>
  <c r="M349" i="14"/>
  <c r="K349" i="14"/>
  <c r="J349" i="14"/>
  <c r="B349" i="14"/>
  <c r="Q348" i="14"/>
  <c r="P348" i="14"/>
  <c r="O348" i="14"/>
  <c r="N348" i="14"/>
  <c r="M348" i="14"/>
  <c r="K348" i="14"/>
  <c r="J348" i="14"/>
  <c r="B348" i="14"/>
  <c r="Q347" i="14"/>
  <c r="P347" i="14"/>
  <c r="O347" i="14"/>
  <c r="N347" i="14"/>
  <c r="M347" i="14"/>
  <c r="K347" i="14"/>
  <c r="J347" i="14"/>
  <c r="B347" i="14"/>
  <c r="Q346" i="14"/>
  <c r="P346" i="14"/>
  <c r="O346" i="14"/>
  <c r="N346" i="14"/>
  <c r="M346" i="14"/>
  <c r="K346" i="14"/>
  <c r="J346" i="14"/>
  <c r="B346" i="14"/>
  <c r="Q345" i="14"/>
  <c r="P345" i="14"/>
  <c r="O345" i="14"/>
  <c r="N345" i="14"/>
  <c r="M345" i="14"/>
  <c r="K345" i="14"/>
  <c r="J345" i="14"/>
  <c r="B345" i="14"/>
  <c r="Q344" i="14"/>
  <c r="P344" i="14"/>
  <c r="O344" i="14"/>
  <c r="N344" i="14"/>
  <c r="M344" i="14"/>
  <c r="K344" i="14"/>
  <c r="J344" i="14"/>
  <c r="B344" i="14"/>
  <c r="Q343" i="14"/>
  <c r="P343" i="14"/>
  <c r="O343" i="14"/>
  <c r="N343" i="14"/>
  <c r="M343" i="14"/>
  <c r="K343" i="14"/>
  <c r="J343" i="14"/>
  <c r="B343" i="14"/>
  <c r="Q342" i="14"/>
  <c r="P342" i="14"/>
  <c r="O342" i="14"/>
  <c r="N342" i="14"/>
  <c r="M342" i="14"/>
  <c r="K342" i="14"/>
  <c r="J342" i="14"/>
  <c r="B342" i="14"/>
  <c r="Q341" i="14"/>
  <c r="P341" i="14"/>
  <c r="O341" i="14"/>
  <c r="N341" i="14"/>
  <c r="M341" i="14"/>
  <c r="K341" i="14"/>
  <c r="J341" i="14"/>
  <c r="B341" i="14"/>
  <c r="Q340" i="14"/>
  <c r="P340" i="14"/>
  <c r="O340" i="14"/>
  <c r="N340" i="14"/>
  <c r="M340" i="14"/>
  <c r="K340" i="14"/>
  <c r="J340" i="14"/>
  <c r="B340" i="14"/>
  <c r="Q339" i="14"/>
  <c r="P339" i="14"/>
  <c r="O339" i="14"/>
  <c r="N339" i="14"/>
  <c r="M339" i="14"/>
  <c r="K339" i="14"/>
  <c r="J339" i="14"/>
  <c r="B339" i="14"/>
  <c r="Q338" i="14"/>
  <c r="P338" i="14"/>
  <c r="O338" i="14"/>
  <c r="N338" i="14"/>
  <c r="M338" i="14"/>
  <c r="K338" i="14"/>
  <c r="J338" i="14"/>
  <c r="B338" i="14"/>
  <c r="Q337" i="14"/>
  <c r="P337" i="14"/>
  <c r="O337" i="14"/>
  <c r="N337" i="14"/>
  <c r="M337" i="14"/>
  <c r="K337" i="14"/>
  <c r="J337" i="14"/>
  <c r="B337" i="14"/>
  <c r="Q336" i="14"/>
  <c r="P336" i="14"/>
  <c r="O336" i="14"/>
  <c r="N336" i="14"/>
  <c r="M336" i="14"/>
  <c r="K336" i="14"/>
  <c r="J336" i="14"/>
  <c r="B336" i="14"/>
  <c r="Q335" i="14"/>
  <c r="P335" i="14"/>
  <c r="O335" i="14"/>
  <c r="N335" i="14"/>
  <c r="M335" i="14"/>
  <c r="K335" i="14"/>
  <c r="J335" i="14"/>
  <c r="B335" i="14"/>
  <c r="Q334" i="14"/>
  <c r="P334" i="14"/>
  <c r="O334" i="14"/>
  <c r="N334" i="14"/>
  <c r="M334" i="14"/>
  <c r="K334" i="14"/>
  <c r="J334" i="14"/>
  <c r="B334" i="14"/>
  <c r="Q333" i="14"/>
  <c r="P333" i="14"/>
  <c r="O333" i="14"/>
  <c r="N333" i="14"/>
  <c r="M333" i="14"/>
  <c r="K333" i="14"/>
  <c r="J333" i="14"/>
  <c r="B333" i="14"/>
  <c r="Q332" i="14"/>
  <c r="P332" i="14"/>
  <c r="O332" i="14"/>
  <c r="N332" i="14"/>
  <c r="M332" i="14"/>
  <c r="K332" i="14"/>
  <c r="J332" i="14"/>
  <c r="B332" i="14"/>
  <c r="Q331" i="14"/>
  <c r="P331" i="14"/>
  <c r="O331" i="14"/>
  <c r="N331" i="14"/>
  <c r="M331" i="14"/>
  <c r="K331" i="14"/>
  <c r="J331" i="14"/>
  <c r="B331" i="14"/>
  <c r="Q330" i="14"/>
  <c r="P330" i="14"/>
  <c r="O330" i="14"/>
  <c r="N330" i="14"/>
  <c r="M330" i="14"/>
  <c r="K330" i="14"/>
  <c r="J330" i="14"/>
  <c r="B330" i="14"/>
  <c r="Q329" i="14"/>
  <c r="P329" i="14"/>
  <c r="O329" i="14"/>
  <c r="N329" i="14"/>
  <c r="M329" i="14"/>
  <c r="K329" i="14"/>
  <c r="J329" i="14"/>
  <c r="B329" i="14"/>
  <c r="Q328" i="14"/>
  <c r="P328" i="14"/>
  <c r="O328" i="14"/>
  <c r="N328" i="14"/>
  <c r="M328" i="14"/>
  <c r="K328" i="14"/>
  <c r="J328" i="14"/>
  <c r="B328" i="14"/>
  <c r="Q327" i="14"/>
  <c r="P327" i="14"/>
  <c r="O327" i="14"/>
  <c r="N327" i="14"/>
  <c r="M327" i="14"/>
  <c r="K327" i="14"/>
  <c r="J327" i="14"/>
  <c r="B327" i="14"/>
  <c r="Q326" i="14"/>
  <c r="P326" i="14"/>
  <c r="O326" i="14"/>
  <c r="N326" i="14"/>
  <c r="M326" i="14"/>
  <c r="K326" i="14"/>
  <c r="J326" i="14"/>
  <c r="B326" i="14"/>
  <c r="Q325" i="14"/>
  <c r="P325" i="14"/>
  <c r="O325" i="14"/>
  <c r="N325" i="14"/>
  <c r="M325" i="14"/>
  <c r="K325" i="14"/>
  <c r="J325" i="14"/>
  <c r="B325" i="14"/>
  <c r="Q324" i="14"/>
  <c r="P324" i="14"/>
  <c r="O324" i="14"/>
  <c r="N324" i="14"/>
  <c r="M324" i="14"/>
  <c r="K324" i="14"/>
  <c r="J324" i="14"/>
  <c r="B324" i="14"/>
  <c r="Q323" i="14"/>
  <c r="P323" i="14"/>
  <c r="O323" i="14"/>
  <c r="N323" i="14"/>
  <c r="M323" i="14"/>
  <c r="K323" i="14"/>
  <c r="J323" i="14"/>
  <c r="B323" i="14"/>
  <c r="Q322" i="14"/>
  <c r="P322" i="14"/>
  <c r="O322" i="14"/>
  <c r="N322" i="14"/>
  <c r="M322" i="14"/>
  <c r="K322" i="14"/>
  <c r="J322" i="14"/>
  <c r="B322" i="14"/>
  <c r="Q321" i="14"/>
  <c r="P321" i="14"/>
  <c r="O321" i="14"/>
  <c r="N321" i="14"/>
  <c r="M321" i="14"/>
  <c r="K321" i="14"/>
  <c r="J321" i="14"/>
  <c r="B321" i="14"/>
  <c r="Q320" i="14"/>
  <c r="P320" i="14"/>
  <c r="O320" i="14"/>
  <c r="N320" i="14"/>
  <c r="M320" i="14"/>
  <c r="K320" i="14"/>
  <c r="J320" i="14"/>
  <c r="B320" i="14"/>
  <c r="Q319" i="14"/>
  <c r="P319" i="14"/>
  <c r="O319" i="14"/>
  <c r="N319" i="14"/>
  <c r="M319" i="14"/>
  <c r="K319" i="14"/>
  <c r="J319" i="14"/>
  <c r="B319" i="14"/>
  <c r="Q318" i="14"/>
  <c r="P318" i="14"/>
  <c r="O318" i="14"/>
  <c r="N318" i="14"/>
  <c r="M318" i="14"/>
  <c r="K318" i="14"/>
  <c r="J318" i="14"/>
  <c r="B318" i="14"/>
  <c r="Q317" i="14"/>
  <c r="P317" i="14"/>
  <c r="O317" i="14"/>
  <c r="N317" i="14"/>
  <c r="M317" i="14"/>
  <c r="K317" i="14"/>
  <c r="J317" i="14"/>
  <c r="B317" i="14"/>
  <c r="Q316" i="14"/>
  <c r="P316" i="14"/>
  <c r="O316" i="14"/>
  <c r="N316" i="14"/>
  <c r="M316" i="14"/>
  <c r="K316" i="14"/>
  <c r="J316" i="14"/>
  <c r="B316" i="14"/>
  <c r="Q315" i="14"/>
  <c r="P315" i="14"/>
  <c r="O315" i="14"/>
  <c r="N315" i="14"/>
  <c r="M315" i="14"/>
  <c r="K315" i="14"/>
  <c r="J315" i="14"/>
  <c r="B315" i="14"/>
  <c r="Q314" i="14"/>
  <c r="P314" i="14"/>
  <c r="O314" i="14"/>
  <c r="N314" i="14"/>
  <c r="M314" i="14"/>
  <c r="K314" i="14"/>
  <c r="J314" i="14"/>
  <c r="B314" i="14"/>
  <c r="Q313" i="14"/>
  <c r="P313" i="14"/>
  <c r="O313" i="14"/>
  <c r="N313" i="14"/>
  <c r="M313" i="14"/>
  <c r="K313" i="14"/>
  <c r="J313" i="14"/>
  <c r="B313" i="14"/>
  <c r="Q312" i="14"/>
  <c r="P312" i="14"/>
  <c r="O312" i="14"/>
  <c r="N312" i="14"/>
  <c r="M312" i="14"/>
  <c r="K312" i="14"/>
  <c r="J312" i="14"/>
  <c r="B312" i="14"/>
  <c r="Q311" i="14"/>
  <c r="P311" i="14"/>
  <c r="O311" i="14"/>
  <c r="N311" i="14"/>
  <c r="M311" i="14"/>
  <c r="K311" i="14"/>
  <c r="J311" i="14"/>
  <c r="B311" i="14"/>
  <c r="Q310" i="14"/>
  <c r="P310" i="14"/>
  <c r="O310" i="14"/>
  <c r="N310" i="14"/>
  <c r="M310" i="14"/>
  <c r="K310" i="14"/>
  <c r="J310" i="14"/>
  <c r="B310" i="14"/>
  <c r="Q309" i="14"/>
  <c r="P309" i="14"/>
  <c r="O309" i="14"/>
  <c r="N309" i="14"/>
  <c r="M309" i="14"/>
  <c r="K309" i="14"/>
  <c r="J309" i="14"/>
  <c r="B309" i="14"/>
  <c r="Q308" i="14"/>
  <c r="P308" i="14"/>
  <c r="O308" i="14"/>
  <c r="N308" i="14"/>
  <c r="M308" i="14"/>
  <c r="K308" i="14"/>
  <c r="J308" i="14"/>
  <c r="B308" i="14"/>
  <c r="Q307" i="14"/>
  <c r="P307" i="14"/>
  <c r="O307" i="14"/>
  <c r="N307" i="14"/>
  <c r="M307" i="14"/>
  <c r="K307" i="14"/>
  <c r="J307" i="14"/>
  <c r="B307" i="14"/>
  <c r="Q306" i="14"/>
  <c r="P306" i="14"/>
  <c r="O306" i="14"/>
  <c r="N306" i="14"/>
  <c r="M306" i="14"/>
  <c r="K306" i="14"/>
  <c r="J306" i="14"/>
  <c r="B306" i="14"/>
  <c r="Q305" i="14"/>
  <c r="P305" i="14"/>
  <c r="O305" i="14"/>
  <c r="N305" i="14"/>
  <c r="M305" i="14"/>
  <c r="K305" i="14"/>
  <c r="J305" i="14"/>
  <c r="B305" i="14"/>
  <c r="Q304" i="14"/>
  <c r="P304" i="14"/>
  <c r="O304" i="14"/>
  <c r="N304" i="14"/>
  <c r="M304" i="14"/>
  <c r="K304" i="14"/>
  <c r="J304" i="14"/>
  <c r="B304" i="14"/>
  <c r="Q303" i="14"/>
  <c r="P303" i="14"/>
  <c r="O303" i="14"/>
  <c r="N303" i="14"/>
  <c r="M303" i="14"/>
  <c r="K303" i="14"/>
  <c r="J303" i="14"/>
  <c r="B303" i="14"/>
  <c r="Q302" i="14"/>
  <c r="P302" i="14"/>
  <c r="O302" i="14"/>
  <c r="N302" i="14"/>
  <c r="M302" i="14"/>
  <c r="K302" i="14"/>
  <c r="J302" i="14"/>
  <c r="B302" i="14"/>
  <c r="Q301" i="14"/>
  <c r="P301" i="14"/>
  <c r="O301" i="14"/>
  <c r="N301" i="14"/>
  <c r="M301" i="14"/>
  <c r="K301" i="14"/>
  <c r="J301" i="14"/>
  <c r="B301" i="14"/>
  <c r="Q300" i="14"/>
  <c r="P300" i="14"/>
  <c r="O300" i="14"/>
  <c r="N300" i="14"/>
  <c r="M300" i="14"/>
  <c r="K300" i="14"/>
  <c r="J300" i="14"/>
  <c r="B300" i="14"/>
  <c r="Q299" i="14"/>
  <c r="P299" i="14"/>
  <c r="O299" i="14"/>
  <c r="N299" i="14"/>
  <c r="M299" i="14"/>
  <c r="K299" i="14"/>
  <c r="J299" i="14"/>
  <c r="B299" i="14"/>
  <c r="Q298" i="14"/>
  <c r="P298" i="14"/>
  <c r="O298" i="14"/>
  <c r="N298" i="14"/>
  <c r="M298" i="14"/>
  <c r="K298" i="14"/>
  <c r="J298" i="14"/>
  <c r="B298" i="14"/>
  <c r="Q297" i="14"/>
  <c r="P297" i="14"/>
  <c r="O297" i="14"/>
  <c r="N297" i="14"/>
  <c r="M297" i="14"/>
  <c r="K297" i="14"/>
  <c r="J297" i="14"/>
  <c r="B297" i="14"/>
  <c r="Q296" i="14"/>
  <c r="P296" i="14"/>
  <c r="O296" i="14"/>
  <c r="N296" i="14"/>
  <c r="M296" i="14"/>
  <c r="K296" i="14"/>
  <c r="J296" i="14"/>
  <c r="B296" i="14"/>
  <c r="Q295" i="14"/>
  <c r="P295" i="14"/>
  <c r="O295" i="14"/>
  <c r="N295" i="14"/>
  <c r="M295" i="14"/>
  <c r="K295" i="14"/>
  <c r="J295" i="14"/>
  <c r="B295" i="14"/>
  <c r="Q294" i="14"/>
  <c r="P294" i="14"/>
  <c r="O294" i="14"/>
  <c r="N294" i="14"/>
  <c r="M294" i="14"/>
  <c r="K294" i="14"/>
  <c r="J294" i="14"/>
  <c r="B294" i="14"/>
  <c r="Q293" i="14"/>
  <c r="P293" i="14"/>
  <c r="O293" i="14"/>
  <c r="N293" i="14"/>
  <c r="M293" i="14"/>
  <c r="K293" i="14"/>
  <c r="J293" i="14"/>
  <c r="B293" i="14"/>
  <c r="Q292" i="14"/>
  <c r="P292" i="14"/>
  <c r="O292" i="14"/>
  <c r="N292" i="14"/>
  <c r="M292" i="14"/>
  <c r="K292" i="14"/>
  <c r="J292" i="14"/>
  <c r="B292" i="14"/>
  <c r="Q291" i="14"/>
  <c r="P291" i="14"/>
  <c r="O291" i="14"/>
  <c r="N291" i="14"/>
  <c r="M291" i="14"/>
  <c r="K291" i="14"/>
  <c r="J291" i="14"/>
  <c r="B291" i="14"/>
  <c r="Q290" i="14"/>
  <c r="P290" i="14"/>
  <c r="O290" i="14"/>
  <c r="N290" i="14"/>
  <c r="M290" i="14"/>
  <c r="K290" i="14"/>
  <c r="J290" i="14"/>
  <c r="B290" i="14"/>
  <c r="Q289" i="14"/>
  <c r="P289" i="14"/>
  <c r="O289" i="14"/>
  <c r="N289" i="14"/>
  <c r="M289" i="14"/>
  <c r="K289" i="14"/>
  <c r="J289" i="14"/>
  <c r="B289" i="14"/>
  <c r="Q288" i="14"/>
  <c r="P288" i="14"/>
  <c r="O288" i="14"/>
  <c r="N288" i="14"/>
  <c r="M288" i="14"/>
  <c r="K288" i="14"/>
  <c r="J288" i="14"/>
  <c r="B288" i="14"/>
  <c r="Q287" i="14"/>
  <c r="P287" i="14"/>
  <c r="O287" i="14"/>
  <c r="N287" i="14"/>
  <c r="M287" i="14"/>
  <c r="K287" i="14"/>
  <c r="J287" i="14"/>
  <c r="B287" i="14"/>
  <c r="Q286" i="14"/>
  <c r="P286" i="14"/>
  <c r="O286" i="14"/>
  <c r="N286" i="14"/>
  <c r="M286" i="14"/>
  <c r="K286" i="14"/>
  <c r="J286" i="14"/>
  <c r="B286" i="14"/>
  <c r="Q285" i="14"/>
  <c r="P285" i="14"/>
  <c r="O285" i="14"/>
  <c r="N285" i="14"/>
  <c r="M285" i="14"/>
  <c r="K285" i="14"/>
  <c r="J285" i="14"/>
  <c r="B285" i="14"/>
  <c r="Q284" i="14"/>
  <c r="P284" i="14"/>
  <c r="O284" i="14"/>
  <c r="N284" i="14"/>
  <c r="M284" i="14"/>
  <c r="K284" i="14"/>
  <c r="J284" i="14"/>
  <c r="B284" i="14"/>
  <c r="Q283" i="14"/>
  <c r="P283" i="14"/>
  <c r="O283" i="14"/>
  <c r="N283" i="14"/>
  <c r="M283" i="14"/>
  <c r="K283" i="14"/>
  <c r="J283" i="14"/>
  <c r="B283" i="14"/>
  <c r="Q282" i="14"/>
  <c r="P282" i="14"/>
  <c r="O282" i="14"/>
  <c r="N282" i="14"/>
  <c r="M282" i="14"/>
  <c r="K282" i="14"/>
  <c r="J282" i="14"/>
  <c r="B282" i="14"/>
  <c r="Q281" i="14"/>
  <c r="P281" i="14"/>
  <c r="O281" i="14"/>
  <c r="N281" i="14"/>
  <c r="M281" i="14"/>
  <c r="K281" i="14"/>
  <c r="J281" i="14"/>
  <c r="B281" i="14"/>
  <c r="Q280" i="14"/>
  <c r="P280" i="14"/>
  <c r="O280" i="14"/>
  <c r="N280" i="14"/>
  <c r="M280" i="14"/>
  <c r="K280" i="14"/>
  <c r="J280" i="14"/>
  <c r="B280" i="14"/>
  <c r="Q279" i="14"/>
  <c r="P279" i="14"/>
  <c r="O279" i="14"/>
  <c r="N279" i="14"/>
  <c r="M279" i="14"/>
  <c r="K279" i="14"/>
  <c r="J279" i="14"/>
  <c r="B279" i="14"/>
  <c r="Q278" i="14"/>
  <c r="P278" i="14"/>
  <c r="O278" i="14"/>
  <c r="N278" i="14"/>
  <c r="M278" i="14"/>
  <c r="K278" i="14"/>
  <c r="J278" i="14"/>
  <c r="B278" i="14"/>
  <c r="Q277" i="14"/>
  <c r="P277" i="14"/>
  <c r="O277" i="14"/>
  <c r="N277" i="14"/>
  <c r="M277" i="14"/>
  <c r="K277" i="14"/>
  <c r="J277" i="14"/>
  <c r="B277" i="14"/>
  <c r="Q276" i="14"/>
  <c r="P276" i="14"/>
  <c r="O276" i="14"/>
  <c r="N276" i="14"/>
  <c r="M276" i="14"/>
  <c r="K276" i="14"/>
  <c r="J276" i="14"/>
  <c r="B276" i="14"/>
  <c r="Q275" i="14"/>
  <c r="P275" i="14"/>
  <c r="O275" i="14"/>
  <c r="N275" i="14"/>
  <c r="M275" i="14"/>
  <c r="K275" i="14"/>
  <c r="J275" i="14"/>
  <c r="B275" i="14"/>
  <c r="Q274" i="14"/>
  <c r="P274" i="14"/>
  <c r="O274" i="14"/>
  <c r="N274" i="14"/>
  <c r="M274" i="14"/>
  <c r="K274" i="14"/>
  <c r="J274" i="14"/>
  <c r="B274" i="14"/>
  <c r="Q273" i="14"/>
  <c r="P273" i="14"/>
  <c r="O273" i="14"/>
  <c r="N273" i="14"/>
  <c r="M273" i="14"/>
  <c r="K273" i="14"/>
  <c r="J273" i="14"/>
  <c r="B273" i="14"/>
  <c r="Q272" i="14"/>
  <c r="P272" i="14"/>
  <c r="O272" i="14"/>
  <c r="N272" i="14"/>
  <c r="M272" i="14"/>
  <c r="K272" i="14"/>
  <c r="J272" i="14"/>
  <c r="B272" i="14"/>
  <c r="Q271" i="14"/>
  <c r="P271" i="14"/>
  <c r="O271" i="14"/>
  <c r="N271" i="14"/>
  <c r="M271" i="14"/>
  <c r="K271" i="14"/>
  <c r="J271" i="14"/>
  <c r="B271" i="14"/>
  <c r="Q270" i="14"/>
  <c r="P270" i="14"/>
  <c r="O270" i="14"/>
  <c r="N270" i="14"/>
  <c r="M270" i="14"/>
  <c r="K270" i="14"/>
  <c r="J270" i="14"/>
  <c r="B270" i="14"/>
  <c r="Q269" i="14"/>
  <c r="P269" i="14"/>
  <c r="O269" i="14"/>
  <c r="N269" i="14"/>
  <c r="M269" i="14"/>
  <c r="K269" i="14"/>
  <c r="J269" i="14"/>
  <c r="B269" i="14"/>
  <c r="Q268" i="14"/>
  <c r="P268" i="14"/>
  <c r="O268" i="14"/>
  <c r="N268" i="14"/>
  <c r="M268" i="14"/>
  <c r="K268" i="14"/>
  <c r="J268" i="14"/>
  <c r="B268" i="14"/>
  <c r="Q267" i="14"/>
  <c r="P267" i="14"/>
  <c r="O267" i="14"/>
  <c r="N267" i="14"/>
  <c r="M267" i="14"/>
  <c r="K267" i="14"/>
  <c r="J267" i="14"/>
  <c r="B267" i="14"/>
  <c r="Q266" i="14"/>
  <c r="P266" i="14"/>
  <c r="O266" i="14"/>
  <c r="N266" i="14"/>
  <c r="M266" i="14"/>
  <c r="K266" i="14"/>
  <c r="J266" i="14"/>
  <c r="B266" i="14"/>
  <c r="Q265" i="14"/>
  <c r="P265" i="14"/>
  <c r="O265" i="14"/>
  <c r="N265" i="14"/>
  <c r="M265" i="14"/>
  <c r="K265" i="14"/>
  <c r="J265" i="14"/>
  <c r="B265" i="14"/>
  <c r="Q264" i="14"/>
  <c r="P264" i="14"/>
  <c r="O264" i="14"/>
  <c r="N264" i="14"/>
  <c r="M264" i="14"/>
  <c r="K264" i="14"/>
  <c r="J264" i="14"/>
  <c r="B264" i="14"/>
  <c r="Q263" i="14"/>
  <c r="P263" i="14"/>
  <c r="O263" i="14"/>
  <c r="N263" i="14"/>
  <c r="M263" i="14"/>
  <c r="K263" i="14"/>
  <c r="J263" i="14"/>
  <c r="B263" i="14"/>
  <c r="Q262" i="14"/>
  <c r="P262" i="14"/>
  <c r="O262" i="14"/>
  <c r="N262" i="14"/>
  <c r="M262" i="14"/>
  <c r="K262" i="14"/>
  <c r="J262" i="14"/>
  <c r="B262" i="14"/>
  <c r="Q261" i="14"/>
  <c r="P261" i="14"/>
  <c r="O261" i="14"/>
  <c r="N261" i="14"/>
  <c r="M261" i="14"/>
  <c r="K261" i="14"/>
  <c r="J261" i="14"/>
  <c r="B261" i="14"/>
  <c r="Q260" i="14"/>
  <c r="P260" i="14"/>
  <c r="O260" i="14"/>
  <c r="N260" i="14"/>
  <c r="M260" i="14"/>
  <c r="K260" i="14"/>
  <c r="J260" i="14"/>
  <c r="B260" i="14"/>
  <c r="Q259" i="14"/>
  <c r="P259" i="14"/>
  <c r="O259" i="14"/>
  <c r="N259" i="14"/>
  <c r="M259" i="14"/>
  <c r="K259" i="14"/>
  <c r="J259" i="14"/>
  <c r="B259" i="14"/>
  <c r="Q258" i="14"/>
  <c r="P258" i="14"/>
  <c r="O258" i="14"/>
  <c r="N258" i="14"/>
  <c r="M258" i="14"/>
  <c r="K258" i="14"/>
  <c r="J258" i="14"/>
  <c r="B258" i="14"/>
  <c r="Q257" i="14"/>
  <c r="P257" i="14"/>
  <c r="O257" i="14"/>
  <c r="N257" i="14"/>
  <c r="M257" i="14"/>
  <c r="K257" i="14"/>
  <c r="J257" i="14"/>
  <c r="B257" i="14"/>
  <c r="Q256" i="14"/>
  <c r="P256" i="14"/>
  <c r="O256" i="14"/>
  <c r="N256" i="14"/>
  <c r="M256" i="14"/>
  <c r="K256" i="14"/>
  <c r="J256" i="14"/>
  <c r="B256" i="14"/>
  <c r="Q255" i="14"/>
  <c r="P255" i="14"/>
  <c r="O255" i="14"/>
  <c r="N255" i="14"/>
  <c r="M255" i="14"/>
  <c r="K255" i="14"/>
  <c r="J255" i="14"/>
  <c r="B255" i="14"/>
  <c r="Q254" i="14"/>
  <c r="P254" i="14"/>
  <c r="O254" i="14"/>
  <c r="N254" i="14"/>
  <c r="M254" i="14"/>
  <c r="K254" i="14"/>
  <c r="J254" i="14"/>
  <c r="B254" i="14"/>
  <c r="Q253" i="14"/>
  <c r="P253" i="14"/>
  <c r="O253" i="14"/>
  <c r="N253" i="14"/>
  <c r="M253" i="14"/>
  <c r="K253" i="14"/>
  <c r="J253" i="14"/>
  <c r="B253" i="14"/>
  <c r="Q252" i="14"/>
  <c r="P252" i="14"/>
  <c r="O252" i="14"/>
  <c r="N252" i="14"/>
  <c r="M252" i="14"/>
  <c r="K252" i="14"/>
  <c r="J252" i="14"/>
  <c r="B252" i="14"/>
  <c r="Q251" i="14"/>
  <c r="P251" i="14"/>
  <c r="O251" i="14"/>
  <c r="N251" i="14"/>
  <c r="M251" i="14"/>
  <c r="K251" i="14"/>
  <c r="J251" i="14"/>
  <c r="B251" i="14"/>
  <c r="Q250" i="14"/>
  <c r="P250" i="14"/>
  <c r="O250" i="14"/>
  <c r="N250" i="14"/>
  <c r="M250" i="14"/>
  <c r="K250" i="14"/>
  <c r="J250" i="14"/>
  <c r="B250" i="14"/>
  <c r="Q249" i="14"/>
  <c r="P249" i="14"/>
  <c r="O249" i="14"/>
  <c r="N249" i="14"/>
  <c r="M249" i="14"/>
  <c r="K249" i="14"/>
  <c r="J249" i="14"/>
  <c r="B249" i="14"/>
  <c r="Q248" i="14"/>
  <c r="P248" i="14"/>
  <c r="O248" i="14"/>
  <c r="N248" i="14"/>
  <c r="M248" i="14"/>
  <c r="K248" i="14"/>
  <c r="J248" i="14"/>
  <c r="B248" i="14"/>
  <c r="Q247" i="14"/>
  <c r="P247" i="14"/>
  <c r="O247" i="14"/>
  <c r="N247" i="14"/>
  <c r="M247" i="14"/>
  <c r="K247" i="14"/>
  <c r="J247" i="14"/>
  <c r="B247" i="14"/>
  <c r="Q246" i="14"/>
  <c r="P246" i="14"/>
  <c r="O246" i="14"/>
  <c r="N246" i="14"/>
  <c r="M246" i="14"/>
  <c r="K246" i="14"/>
  <c r="J246" i="14"/>
  <c r="B246" i="14"/>
  <c r="Q245" i="14"/>
  <c r="P245" i="14"/>
  <c r="O245" i="14"/>
  <c r="N245" i="14"/>
  <c r="M245" i="14"/>
  <c r="K245" i="14"/>
  <c r="J245" i="14"/>
  <c r="B245" i="14"/>
  <c r="Q244" i="14"/>
  <c r="P244" i="14"/>
  <c r="O244" i="14"/>
  <c r="N244" i="14"/>
  <c r="M244" i="14"/>
  <c r="K244" i="14"/>
  <c r="J244" i="14"/>
  <c r="B244" i="14"/>
  <c r="Q243" i="14"/>
  <c r="P243" i="14"/>
  <c r="O243" i="14"/>
  <c r="N243" i="14"/>
  <c r="M243" i="14"/>
  <c r="K243" i="14"/>
  <c r="J243" i="14"/>
  <c r="B243" i="14"/>
  <c r="Q242" i="14"/>
  <c r="P242" i="14"/>
  <c r="O242" i="14"/>
  <c r="N242" i="14"/>
  <c r="M242" i="14"/>
  <c r="K242" i="14"/>
  <c r="J242" i="14"/>
  <c r="B242" i="14"/>
  <c r="Q241" i="14"/>
  <c r="P241" i="14"/>
  <c r="O241" i="14"/>
  <c r="N241" i="14"/>
  <c r="M241" i="14"/>
  <c r="K241" i="14"/>
  <c r="J241" i="14"/>
  <c r="B241" i="14"/>
  <c r="Q240" i="14"/>
  <c r="P240" i="14"/>
  <c r="O240" i="14"/>
  <c r="N240" i="14"/>
  <c r="M240" i="14"/>
  <c r="K240" i="14"/>
  <c r="J240" i="14"/>
  <c r="B240" i="14"/>
  <c r="Q239" i="14"/>
  <c r="P239" i="14"/>
  <c r="O239" i="14"/>
  <c r="N239" i="14"/>
  <c r="M239" i="14"/>
  <c r="K239" i="14"/>
  <c r="J239" i="14"/>
  <c r="B239" i="14"/>
  <c r="Q238" i="14"/>
  <c r="P238" i="14"/>
  <c r="O238" i="14"/>
  <c r="N238" i="14"/>
  <c r="M238" i="14"/>
  <c r="K238" i="14"/>
  <c r="J238" i="14"/>
  <c r="B238" i="14"/>
  <c r="Q237" i="14"/>
  <c r="P237" i="14"/>
  <c r="O237" i="14"/>
  <c r="N237" i="14"/>
  <c r="M237" i="14"/>
  <c r="K237" i="14"/>
  <c r="J237" i="14"/>
  <c r="B237" i="14"/>
  <c r="Q236" i="14"/>
  <c r="P236" i="14"/>
  <c r="O236" i="14"/>
  <c r="N236" i="14"/>
  <c r="M236" i="14"/>
  <c r="K236" i="14"/>
  <c r="J236" i="14"/>
  <c r="B236" i="14"/>
  <c r="Q235" i="14"/>
  <c r="P235" i="14"/>
  <c r="O235" i="14"/>
  <c r="N235" i="14"/>
  <c r="M235" i="14"/>
  <c r="K235" i="14"/>
  <c r="J235" i="14"/>
  <c r="B235" i="14"/>
  <c r="Q234" i="14"/>
  <c r="P234" i="14"/>
  <c r="O234" i="14"/>
  <c r="N234" i="14"/>
  <c r="M234" i="14"/>
  <c r="K234" i="14"/>
  <c r="J234" i="14"/>
  <c r="B234" i="14"/>
  <c r="Q233" i="14"/>
  <c r="P233" i="14"/>
  <c r="O233" i="14"/>
  <c r="N233" i="14"/>
  <c r="M233" i="14"/>
  <c r="K233" i="14"/>
  <c r="J233" i="14"/>
  <c r="B233" i="14"/>
  <c r="Q232" i="14"/>
  <c r="P232" i="14"/>
  <c r="O232" i="14"/>
  <c r="N232" i="14"/>
  <c r="M232" i="14"/>
  <c r="K232" i="14"/>
  <c r="J232" i="14"/>
  <c r="B232" i="14"/>
  <c r="Q231" i="14"/>
  <c r="P231" i="14"/>
  <c r="O231" i="14"/>
  <c r="N231" i="14"/>
  <c r="M231" i="14"/>
  <c r="K231" i="14"/>
  <c r="J231" i="14"/>
  <c r="B231" i="14"/>
  <c r="Q230" i="14"/>
  <c r="P230" i="14"/>
  <c r="O230" i="14"/>
  <c r="N230" i="14"/>
  <c r="M230" i="14"/>
  <c r="K230" i="14"/>
  <c r="J230" i="14"/>
  <c r="B230" i="14"/>
  <c r="Q229" i="14"/>
  <c r="P229" i="14"/>
  <c r="O229" i="14"/>
  <c r="N229" i="14"/>
  <c r="M229" i="14"/>
  <c r="K229" i="14"/>
  <c r="J229" i="14"/>
  <c r="B229" i="14"/>
  <c r="Q228" i="14"/>
  <c r="P228" i="14"/>
  <c r="O228" i="14"/>
  <c r="N228" i="14"/>
  <c r="M228" i="14"/>
  <c r="K228" i="14"/>
  <c r="J228" i="14"/>
  <c r="B228" i="14"/>
  <c r="Q227" i="14"/>
  <c r="P227" i="14"/>
  <c r="O227" i="14"/>
  <c r="N227" i="14"/>
  <c r="M227" i="14"/>
  <c r="K227" i="14"/>
  <c r="J227" i="14"/>
  <c r="B227" i="14"/>
  <c r="Q226" i="14"/>
  <c r="P226" i="14"/>
  <c r="O226" i="14"/>
  <c r="N226" i="14"/>
  <c r="M226" i="14"/>
  <c r="K226" i="14"/>
  <c r="J226" i="14"/>
  <c r="B226" i="14"/>
  <c r="Q225" i="14"/>
  <c r="P225" i="14"/>
  <c r="O225" i="14"/>
  <c r="N225" i="14"/>
  <c r="M225" i="14"/>
  <c r="K225" i="14"/>
  <c r="J225" i="14"/>
  <c r="B225" i="14"/>
  <c r="Q224" i="14"/>
  <c r="P224" i="14"/>
  <c r="O224" i="14"/>
  <c r="N224" i="14"/>
  <c r="M224" i="14"/>
  <c r="K224" i="14"/>
  <c r="J224" i="14"/>
  <c r="B224" i="14"/>
  <c r="Q223" i="14"/>
  <c r="P223" i="14"/>
  <c r="O223" i="14"/>
  <c r="N223" i="14"/>
  <c r="M223" i="14"/>
  <c r="K223" i="14"/>
  <c r="J223" i="14"/>
  <c r="B223" i="14"/>
  <c r="Q222" i="14"/>
  <c r="P222" i="14"/>
  <c r="O222" i="14"/>
  <c r="N222" i="14"/>
  <c r="M222" i="14"/>
  <c r="K222" i="14"/>
  <c r="J222" i="14"/>
  <c r="B222" i="14"/>
  <c r="Q221" i="14"/>
  <c r="P221" i="14"/>
  <c r="O221" i="14"/>
  <c r="N221" i="14"/>
  <c r="M221" i="14"/>
  <c r="K221" i="14"/>
  <c r="J221" i="14"/>
  <c r="B221" i="14"/>
  <c r="Q220" i="14"/>
  <c r="P220" i="14"/>
  <c r="O220" i="14"/>
  <c r="N220" i="14"/>
  <c r="M220" i="14"/>
  <c r="K220" i="14"/>
  <c r="J220" i="14"/>
  <c r="B220" i="14"/>
  <c r="Q219" i="14"/>
  <c r="P219" i="14"/>
  <c r="O219" i="14"/>
  <c r="N219" i="14"/>
  <c r="M219" i="14"/>
  <c r="K219" i="14"/>
  <c r="J219" i="14"/>
  <c r="B219" i="14"/>
  <c r="Q218" i="14"/>
  <c r="P218" i="14"/>
  <c r="O218" i="14"/>
  <c r="N218" i="14"/>
  <c r="M218" i="14"/>
  <c r="K218" i="14"/>
  <c r="J218" i="14"/>
  <c r="B218" i="14"/>
  <c r="Q217" i="14"/>
  <c r="P217" i="14"/>
  <c r="O217" i="14"/>
  <c r="N217" i="14"/>
  <c r="M217" i="14"/>
  <c r="K217" i="14"/>
  <c r="J217" i="14"/>
  <c r="B217" i="14"/>
  <c r="Q216" i="14"/>
  <c r="P216" i="14"/>
  <c r="O216" i="14"/>
  <c r="N216" i="14"/>
  <c r="M216" i="14"/>
  <c r="K216" i="14"/>
  <c r="J216" i="14"/>
  <c r="B216" i="14"/>
  <c r="Q215" i="14"/>
  <c r="P215" i="14"/>
  <c r="O215" i="14"/>
  <c r="N215" i="14"/>
  <c r="M215" i="14"/>
  <c r="K215" i="14"/>
  <c r="J215" i="14"/>
  <c r="B215" i="14"/>
  <c r="Q214" i="14"/>
  <c r="P214" i="14"/>
  <c r="O214" i="14"/>
  <c r="N214" i="14"/>
  <c r="M214" i="14"/>
  <c r="K214" i="14"/>
  <c r="J214" i="14"/>
  <c r="B214" i="14"/>
  <c r="Q213" i="14"/>
  <c r="P213" i="14"/>
  <c r="O213" i="14"/>
  <c r="N213" i="14"/>
  <c r="M213" i="14"/>
  <c r="K213" i="14"/>
  <c r="J213" i="14"/>
  <c r="B213" i="14"/>
  <c r="Q212" i="14"/>
  <c r="P212" i="14"/>
  <c r="O212" i="14"/>
  <c r="N212" i="14"/>
  <c r="M212" i="14"/>
  <c r="K212" i="14"/>
  <c r="J212" i="14"/>
  <c r="B212" i="14"/>
  <c r="Q211" i="14"/>
  <c r="P211" i="14"/>
  <c r="O211" i="14"/>
  <c r="N211" i="14"/>
  <c r="M211" i="14"/>
  <c r="K211" i="14"/>
  <c r="J211" i="14"/>
  <c r="B211" i="14"/>
  <c r="Q210" i="14"/>
  <c r="P210" i="14"/>
  <c r="O210" i="14"/>
  <c r="N210" i="14"/>
  <c r="M210" i="14"/>
  <c r="K210" i="14"/>
  <c r="J210" i="14"/>
  <c r="B210" i="14"/>
  <c r="Q209" i="14"/>
  <c r="P209" i="14"/>
  <c r="O209" i="14"/>
  <c r="N209" i="14"/>
  <c r="M209" i="14"/>
  <c r="K209" i="14"/>
  <c r="J209" i="14"/>
  <c r="B209" i="14"/>
  <c r="Q208" i="14"/>
  <c r="P208" i="14"/>
  <c r="O208" i="14"/>
  <c r="N208" i="14"/>
  <c r="M208" i="14"/>
  <c r="K208" i="14"/>
  <c r="J208" i="14"/>
  <c r="B208" i="14"/>
  <c r="Q207" i="14"/>
  <c r="P207" i="14"/>
  <c r="O207" i="14"/>
  <c r="N207" i="14"/>
  <c r="M207" i="14"/>
  <c r="K207" i="14"/>
  <c r="J207" i="14"/>
  <c r="B207" i="14"/>
  <c r="Q206" i="14"/>
  <c r="P206" i="14"/>
  <c r="O206" i="14"/>
  <c r="N206" i="14"/>
  <c r="M206" i="14"/>
  <c r="K206" i="14"/>
  <c r="J206" i="14"/>
  <c r="B206" i="14"/>
  <c r="Q205" i="14"/>
  <c r="P205" i="14"/>
  <c r="O205" i="14"/>
  <c r="N205" i="14"/>
  <c r="M205" i="14"/>
  <c r="K205" i="14"/>
  <c r="J205" i="14"/>
  <c r="B205" i="14"/>
  <c r="Q204" i="14"/>
  <c r="P204" i="14"/>
  <c r="O204" i="14"/>
  <c r="N204" i="14"/>
  <c r="M204" i="14"/>
  <c r="K204" i="14"/>
  <c r="J204" i="14"/>
  <c r="B204" i="14"/>
  <c r="Q203" i="14"/>
  <c r="P203" i="14"/>
  <c r="O203" i="14"/>
  <c r="N203" i="14"/>
  <c r="M203" i="14"/>
  <c r="K203" i="14"/>
  <c r="J203" i="14"/>
  <c r="B203" i="14"/>
  <c r="Q202" i="14"/>
  <c r="P202" i="14"/>
  <c r="O202" i="14"/>
  <c r="N202" i="14"/>
  <c r="M202" i="14"/>
  <c r="K202" i="14"/>
  <c r="J202" i="14"/>
  <c r="B202" i="14"/>
  <c r="Q201" i="14"/>
  <c r="P201" i="14"/>
  <c r="O201" i="14"/>
  <c r="N201" i="14"/>
  <c r="M201" i="14"/>
  <c r="K201" i="14"/>
  <c r="J201" i="14"/>
  <c r="B201" i="14"/>
  <c r="Q200" i="14"/>
  <c r="P200" i="14"/>
  <c r="O200" i="14"/>
  <c r="N200" i="14"/>
  <c r="M200" i="14"/>
  <c r="K200" i="14"/>
  <c r="J200" i="14"/>
  <c r="B200" i="14"/>
  <c r="Q199" i="14"/>
  <c r="P199" i="14"/>
  <c r="O199" i="14"/>
  <c r="N199" i="14"/>
  <c r="M199" i="14"/>
  <c r="K199" i="14"/>
  <c r="J199" i="14"/>
  <c r="B199" i="14"/>
  <c r="Q198" i="14"/>
  <c r="P198" i="14"/>
  <c r="O198" i="14"/>
  <c r="N198" i="14"/>
  <c r="M198" i="14"/>
  <c r="K198" i="14"/>
  <c r="J198" i="14"/>
  <c r="B198" i="14"/>
  <c r="Q197" i="14"/>
  <c r="P197" i="14"/>
  <c r="O197" i="14"/>
  <c r="N197" i="14"/>
  <c r="M197" i="14"/>
  <c r="K197" i="14"/>
  <c r="J197" i="14"/>
  <c r="B197" i="14"/>
  <c r="Q196" i="14"/>
  <c r="P196" i="14"/>
  <c r="O196" i="14"/>
  <c r="N196" i="14"/>
  <c r="M196" i="14"/>
  <c r="K196" i="14"/>
  <c r="J196" i="14"/>
  <c r="B196" i="14"/>
  <c r="Q195" i="14"/>
  <c r="P195" i="14"/>
  <c r="O195" i="14"/>
  <c r="N195" i="14"/>
  <c r="M195" i="14"/>
  <c r="K195" i="14"/>
  <c r="J195" i="14"/>
  <c r="B195" i="14"/>
  <c r="Q194" i="14"/>
  <c r="P194" i="14"/>
  <c r="O194" i="14"/>
  <c r="N194" i="14"/>
  <c r="M194" i="14"/>
  <c r="K194" i="14"/>
  <c r="J194" i="14"/>
  <c r="B194" i="14"/>
  <c r="Q193" i="14"/>
  <c r="P193" i="14"/>
  <c r="O193" i="14"/>
  <c r="N193" i="14"/>
  <c r="M193" i="14"/>
  <c r="K193" i="14"/>
  <c r="J193" i="14"/>
  <c r="B193" i="14"/>
  <c r="Q192" i="14"/>
  <c r="P192" i="14"/>
  <c r="O192" i="14"/>
  <c r="N192" i="14"/>
  <c r="M192" i="14"/>
  <c r="K192" i="14"/>
  <c r="J192" i="14"/>
  <c r="B192" i="14"/>
  <c r="Q191" i="14"/>
  <c r="P191" i="14"/>
  <c r="O191" i="14"/>
  <c r="N191" i="14"/>
  <c r="M191" i="14"/>
  <c r="K191" i="14"/>
  <c r="J191" i="14"/>
  <c r="B191" i="14"/>
  <c r="Q190" i="14"/>
  <c r="P190" i="14"/>
  <c r="O190" i="14"/>
  <c r="N190" i="14"/>
  <c r="M190" i="14"/>
  <c r="K190" i="14"/>
  <c r="J190" i="14"/>
  <c r="B190" i="14"/>
  <c r="Q189" i="14"/>
  <c r="P189" i="14"/>
  <c r="O189" i="14"/>
  <c r="N189" i="14"/>
  <c r="M189" i="14"/>
  <c r="K189" i="14"/>
  <c r="J189" i="14"/>
  <c r="B189" i="14"/>
  <c r="Q188" i="14"/>
  <c r="P188" i="14"/>
  <c r="O188" i="14"/>
  <c r="N188" i="14"/>
  <c r="M188" i="14"/>
  <c r="K188" i="14"/>
  <c r="J188" i="14"/>
  <c r="B188" i="14"/>
  <c r="Q187" i="14"/>
  <c r="P187" i="14"/>
  <c r="O187" i="14"/>
  <c r="N187" i="14"/>
  <c r="M187" i="14"/>
  <c r="K187" i="14"/>
  <c r="J187" i="14"/>
  <c r="B187" i="14"/>
  <c r="Q186" i="14"/>
  <c r="P186" i="14"/>
  <c r="O186" i="14"/>
  <c r="N186" i="14"/>
  <c r="M186" i="14"/>
  <c r="K186" i="14"/>
  <c r="J186" i="14"/>
  <c r="B186" i="14"/>
  <c r="Q185" i="14"/>
  <c r="P185" i="14"/>
  <c r="O185" i="14"/>
  <c r="N185" i="14"/>
  <c r="M185" i="14"/>
  <c r="K185" i="14"/>
  <c r="J185" i="14"/>
  <c r="B185" i="14"/>
  <c r="Q184" i="14"/>
  <c r="P184" i="14"/>
  <c r="O184" i="14"/>
  <c r="N184" i="14"/>
  <c r="M184" i="14"/>
  <c r="K184" i="14"/>
  <c r="J184" i="14"/>
  <c r="B184" i="14"/>
  <c r="Q183" i="14"/>
  <c r="P183" i="14"/>
  <c r="O183" i="14"/>
  <c r="N183" i="14"/>
  <c r="M183" i="14"/>
  <c r="K183" i="14"/>
  <c r="J183" i="14"/>
  <c r="B183" i="14"/>
  <c r="Q182" i="14"/>
  <c r="P182" i="14"/>
  <c r="O182" i="14"/>
  <c r="N182" i="14"/>
  <c r="M182" i="14"/>
  <c r="K182" i="14"/>
  <c r="J182" i="14"/>
  <c r="B182" i="14"/>
  <c r="Q181" i="14"/>
  <c r="P181" i="14"/>
  <c r="O181" i="14"/>
  <c r="N181" i="14"/>
  <c r="M181" i="14"/>
  <c r="K181" i="14"/>
  <c r="J181" i="14"/>
  <c r="B181" i="14"/>
  <c r="Q180" i="14"/>
  <c r="P180" i="14"/>
  <c r="O180" i="14"/>
  <c r="N180" i="14"/>
  <c r="M180" i="14"/>
  <c r="K180" i="14"/>
  <c r="J180" i="14"/>
  <c r="B180" i="14"/>
  <c r="Q179" i="14"/>
  <c r="P179" i="14"/>
  <c r="O179" i="14"/>
  <c r="N179" i="14"/>
  <c r="M179" i="14"/>
  <c r="K179" i="14"/>
  <c r="J179" i="14"/>
  <c r="B179" i="14"/>
  <c r="Q178" i="14"/>
  <c r="P178" i="14"/>
  <c r="O178" i="14"/>
  <c r="N178" i="14"/>
  <c r="M178" i="14"/>
  <c r="K178" i="14"/>
  <c r="J178" i="14"/>
  <c r="B178" i="14"/>
  <c r="Q177" i="14"/>
  <c r="P177" i="14"/>
  <c r="O177" i="14"/>
  <c r="N177" i="14"/>
  <c r="M177" i="14"/>
  <c r="K177" i="14"/>
  <c r="J177" i="14"/>
  <c r="B177" i="14"/>
  <c r="Q176" i="14"/>
  <c r="P176" i="14"/>
  <c r="O176" i="14"/>
  <c r="N176" i="14"/>
  <c r="M176" i="14"/>
  <c r="K176" i="14"/>
  <c r="J176" i="14"/>
  <c r="B176" i="14"/>
  <c r="Q175" i="14"/>
  <c r="P175" i="14"/>
  <c r="O175" i="14"/>
  <c r="N175" i="14"/>
  <c r="M175" i="14"/>
  <c r="K175" i="14"/>
  <c r="J175" i="14"/>
  <c r="B175" i="14"/>
  <c r="Q174" i="14"/>
  <c r="P174" i="14"/>
  <c r="O174" i="14"/>
  <c r="N174" i="14"/>
  <c r="M174" i="14"/>
  <c r="K174" i="14"/>
  <c r="J174" i="14"/>
  <c r="B174" i="14"/>
  <c r="Q173" i="14"/>
  <c r="P173" i="14"/>
  <c r="O173" i="14"/>
  <c r="N173" i="14"/>
  <c r="M173" i="14"/>
  <c r="K173" i="14"/>
  <c r="J173" i="14"/>
  <c r="B173" i="14"/>
  <c r="Q172" i="14"/>
  <c r="P172" i="14"/>
  <c r="O172" i="14"/>
  <c r="N172" i="14"/>
  <c r="M172" i="14"/>
  <c r="K172" i="14"/>
  <c r="J172" i="14"/>
  <c r="B172" i="14"/>
  <c r="Q171" i="14"/>
  <c r="P171" i="14"/>
  <c r="O171" i="14"/>
  <c r="N171" i="14"/>
  <c r="M171" i="14"/>
  <c r="K171" i="14"/>
  <c r="J171" i="14"/>
  <c r="B171" i="14"/>
  <c r="Q170" i="14"/>
  <c r="P170" i="14"/>
  <c r="O170" i="14"/>
  <c r="N170" i="14"/>
  <c r="M170" i="14"/>
  <c r="K170" i="14"/>
  <c r="J170" i="14"/>
  <c r="B170" i="14"/>
  <c r="Q169" i="14"/>
  <c r="P169" i="14"/>
  <c r="O169" i="14"/>
  <c r="N169" i="14"/>
  <c r="M169" i="14"/>
  <c r="K169" i="14"/>
  <c r="J169" i="14"/>
  <c r="B169" i="14"/>
  <c r="Q168" i="14"/>
  <c r="P168" i="14"/>
  <c r="O168" i="14"/>
  <c r="N168" i="14"/>
  <c r="M168" i="14"/>
  <c r="K168" i="14"/>
  <c r="J168" i="14"/>
  <c r="B168" i="14"/>
  <c r="Q167" i="14"/>
  <c r="P167" i="14"/>
  <c r="O167" i="14"/>
  <c r="N167" i="14"/>
  <c r="M167" i="14"/>
  <c r="K167" i="14"/>
  <c r="J167" i="14"/>
  <c r="B167" i="14"/>
  <c r="Q166" i="14"/>
  <c r="P166" i="14"/>
  <c r="O166" i="14"/>
  <c r="N166" i="14"/>
  <c r="M166" i="14"/>
  <c r="K166" i="14"/>
  <c r="J166" i="14"/>
  <c r="B166" i="14"/>
  <c r="Q165" i="14"/>
  <c r="P165" i="14"/>
  <c r="O165" i="14"/>
  <c r="N165" i="14"/>
  <c r="M165" i="14"/>
  <c r="K165" i="14"/>
  <c r="J165" i="14"/>
  <c r="B165" i="14"/>
  <c r="Q164" i="14"/>
  <c r="P164" i="14"/>
  <c r="O164" i="14"/>
  <c r="N164" i="14"/>
  <c r="M164" i="14"/>
  <c r="K164" i="14"/>
  <c r="J164" i="14"/>
  <c r="B164" i="14"/>
  <c r="Q163" i="14"/>
  <c r="P163" i="14"/>
  <c r="O163" i="14"/>
  <c r="N163" i="14"/>
  <c r="M163" i="14"/>
  <c r="K163" i="14"/>
  <c r="J163" i="14"/>
  <c r="B163" i="14"/>
  <c r="Q162" i="14"/>
  <c r="P162" i="14"/>
  <c r="O162" i="14"/>
  <c r="N162" i="14"/>
  <c r="M162" i="14"/>
  <c r="K162" i="14"/>
  <c r="J162" i="14"/>
  <c r="B162" i="14"/>
  <c r="Q161" i="14"/>
  <c r="P161" i="14"/>
  <c r="O161" i="14"/>
  <c r="N161" i="14"/>
  <c r="M161" i="14"/>
  <c r="K161" i="14"/>
  <c r="J161" i="14"/>
  <c r="B161" i="14"/>
  <c r="Q160" i="14"/>
  <c r="P160" i="14"/>
  <c r="O160" i="14"/>
  <c r="N160" i="14"/>
  <c r="M160" i="14"/>
  <c r="K160" i="14"/>
  <c r="J160" i="14"/>
  <c r="B160" i="14"/>
  <c r="Q159" i="14"/>
  <c r="P159" i="14"/>
  <c r="O159" i="14"/>
  <c r="N159" i="14"/>
  <c r="M159" i="14"/>
  <c r="K159" i="14"/>
  <c r="J159" i="14"/>
  <c r="B159" i="14"/>
  <c r="Q158" i="14"/>
  <c r="P158" i="14"/>
  <c r="O158" i="14"/>
  <c r="N158" i="14"/>
  <c r="M158" i="14"/>
  <c r="K158" i="14"/>
  <c r="J158" i="14"/>
  <c r="B158" i="14"/>
  <c r="Q157" i="14"/>
  <c r="P157" i="14"/>
  <c r="O157" i="14"/>
  <c r="N157" i="14"/>
  <c r="M157" i="14"/>
  <c r="K157" i="14"/>
  <c r="J157" i="14"/>
  <c r="B157" i="14"/>
  <c r="Q156" i="14"/>
  <c r="P156" i="14"/>
  <c r="O156" i="14"/>
  <c r="N156" i="14"/>
  <c r="M156" i="14"/>
  <c r="K156" i="14"/>
  <c r="J156" i="14"/>
  <c r="B156" i="14"/>
  <c r="Q155" i="14"/>
  <c r="P155" i="14"/>
  <c r="O155" i="14"/>
  <c r="N155" i="14"/>
  <c r="M155" i="14"/>
  <c r="K155" i="14"/>
  <c r="J155" i="14"/>
  <c r="B155" i="14"/>
  <c r="Q154" i="14"/>
  <c r="P154" i="14"/>
  <c r="O154" i="14"/>
  <c r="N154" i="14"/>
  <c r="M154" i="14"/>
  <c r="K154" i="14"/>
  <c r="J154" i="14"/>
  <c r="B154" i="14"/>
  <c r="Q153" i="14"/>
  <c r="P153" i="14"/>
  <c r="O153" i="14"/>
  <c r="N153" i="14"/>
  <c r="M153" i="14"/>
  <c r="K153" i="14"/>
  <c r="J153" i="14"/>
  <c r="B153" i="14"/>
  <c r="Q152" i="14"/>
  <c r="P152" i="14"/>
  <c r="O152" i="14"/>
  <c r="N152" i="14"/>
  <c r="M152" i="14"/>
  <c r="K152" i="14"/>
  <c r="J152" i="14"/>
  <c r="B152" i="14"/>
  <c r="Q151" i="14"/>
  <c r="P151" i="14"/>
  <c r="O151" i="14"/>
  <c r="N151" i="14"/>
  <c r="M151" i="14"/>
  <c r="K151" i="14"/>
  <c r="J151" i="14"/>
  <c r="B151" i="14"/>
  <c r="Q150" i="14"/>
  <c r="P150" i="14"/>
  <c r="O150" i="14"/>
  <c r="N150" i="14"/>
  <c r="M150" i="14"/>
  <c r="K150" i="14"/>
  <c r="J150" i="14"/>
  <c r="B150" i="14"/>
  <c r="Q149" i="14"/>
  <c r="P149" i="14"/>
  <c r="O149" i="14"/>
  <c r="N149" i="14"/>
  <c r="M149" i="14"/>
  <c r="K149" i="14"/>
  <c r="J149" i="14"/>
  <c r="B149" i="14"/>
  <c r="Q148" i="14"/>
  <c r="P148" i="14"/>
  <c r="O148" i="14"/>
  <c r="N148" i="14"/>
  <c r="M148" i="14"/>
  <c r="K148" i="14"/>
  <c r="J148" i="14"/>
  <c r="B148" i="14"/>
  <c r="Q147" i="14"/>
  <c r="P147" i="14"/>
  <c r="O147" i="14"/>
  <c r="N147" i="14"/>
  <c r="M147" i="14"/>
  <c r="K147" i="14"/>
  <c r="J147" i="14"/>
  <c r="B147" i="14"/>
  <c r="Q146" i="14"/>
  <c r="P146" i="14"/>
  <c r="O146" i="14"/>
  <c r="N146" i="14"/>
  <c r="M146" i="14"/>
  <c r="K146" i="14"/>
  <c r="J146" i="14"/>
  <c r="B146" i="14"/>
  <c r="Q145" i="14"/>
  <c r="P145" i="14"/>
  <c r="O145" i="14"/>
  <c r="N145" i="14"/>
  <c r="M145" i="14"/>
  <c r="K145" i="14"/>
  <c r="J145" i="14"/>
  <c r="B145" i="14"/>
  <c r="Q144" i="14"/>
  <c r="P144" i="14"/>
  <c r="O144" i="14"/>
  <c r="N144" i="14"/>
  <c r="M144" i="14"/>
  <c r="K144" i="14"/>
  <c r="J144" i="14"/>
  <c r="B144" i="14"/>
  <c r="Q143" i="14"/>
  <c r="P143" i="14"/>
  <c r="O143" i="14"/>
  <c r="N143" i="14"/>
  <c r="M143" i="14"/>
  <c r="K143" i="14"/>
  <c r="J143" i="14"/>
  <c r="B143" i="14"/>
  <c r="Q142" i="14"/>
  <c r="P142" i="14"/>
  <c r="O142" i="14"/>
  <c r="N142" i="14"/>
  <c r="M142" i="14"/>
  <c r="K142" i="14"/>
  <c r="J142" i="14"/>
  <c r="B142" i="14"/>
  <c r="Q141" i="14"/>
  <c r="P141" i="14"/>
  <c r="O141" i="14"/>
  <c r="N141" i="14"/>
  <c r="M141" i="14"/>
  <c r="K141" i="14"/>
  <c r="J141" i="14"/>
  <c r="B141" i="14"/>
  <c r="Q140" i="14"/>
  <c r="P140" i="14"/>
  <c r="O140" i="14"/>
  <c r="N140" i="14"/>
  <c r="M140" i="14"/>
  <c r="K140" i="14"/>
  <c r="J140" i="14"/>
  <c r="B140" i="14"/>
  <c r="Q139" i="14"/>
  <c r="P139" i="14"/>
  <c r="O139" i="14"/>
  <c r="N139" i="14"/>
  <c r="M139" i="14"/>
  <c r="K139" i="14"/>
  <c r="J139" i="14"/>
  <c r="B139" i="14"/>
  <c r="Q138" i="14"/>
  <c r="P138" i="14"/>
  <c r="O138" i="14"/>
  <c r="N138" i="14"/>
  <c r="M138" i="14"/>
  <c r="K138" i="14"/>
  <c r="J138" i="14"/>
  <c r="B138" i="14"/>
  <c r="Q137" i="14"/>
  <c r="P137" i="14"/>
  <c r="O137" i="14"/>
  <c r="N137" i="14"/>
  <c r="M137" i="14"/>
  <c r="K137" i="14"/>
  <c r="J137" i="14"/>
  <c r="B137" i="14"/>
  <c r="Q136" i="14"/>
  <c r="P136" i="14"/>
  <c r="O136" i="14"/>
  <c r="N136" i="14"/>
  <c r="M136" i="14"/>
  <c r="K136" i="14"/>
  <c r="J136" i="14"/>
  <c r="B136" i="14"/>
  <c r="Q135" i="14"/>
  <c r="P135" i="14"/>
  <c r="O135" i="14"/>
  <c r="N135" i="14"/>
  <c r="M135" i="14"/>
  <c r="K135" i="14"/>
  <c r="J135" i="14"/>
  <c r="B135" i="14"/>
  <c r="Q134" i="14"/>
  <c r="P134" i="14"/>
  <c r="O134" i="14"/>
  <c r="N134" i="14"/>
  <c r="M134" i="14"/>
  <c r="K134" i="14"/>
  <c r="J134" i="14"/>
  <c r="B134" i="14"/>
  <c r="Q133" i="14"/>
  <c r="P133" i="14"/>
  <c r="O133" i="14"/>
  <c r="N133" i="14"/>
  <c r="M133" i="14"/>
  <c r="K133" i="14"/>
  <c r="J133" i="14"/>
  <c r="B133" i="14"/>
  <c r="Q132" i="14"/>
  <c r="P132" i="14"/>
  <c r="O132" i="14"/>
  <c r="N132" i="14"/>
  <c r="M132" i="14"/>
  <c r="K132" i="14"/>
  <c r="J132" i="14"/>
  <c r="B132" i="14"/>
  <c r="Q131" i="14"/>
  <c r="P131" i="14"/>
  <c r="O131" i="14"/>
  <c r="N131" i="14"/>
  <c r="M131" i="14"/>
  <c r="K131" i="14"/>
  <c r="J131" i="14"/>
  <c r="B131" i="14"/>
  <c r="Q130" i="14"/>
  <c r="P130" i="14"/>
  <c r="O130" i="14"/>
  <c r="N130" i="14"/>
  <c r="M130" i="14"/>
  <c r="K130" i="14"/>
  <c r="J130" i="14"/>
  <c r="B130" i="14"/>
  <c r="Q129" i="14"/>
  <c r="P129" i="14"/>
  <c r="O129" i="14"/>
  <c r="N129" i="14"/>
  <c r="M129" i="14"/>
  <c r="K129" i="14"/>
  <c r="J129" i="14"/>
  <c r="B129" i="14"/>
  <c r="Q128" i="14"/>
  <c r="P128" i="14"/>
  <c r="O128" i="14"/>
  <c r="N128" i="14"/>
  <c r="M128" i="14"/>
  <c r="K128" i="14"/>
  <c r="J128" i="14"/>
  <c r="B128" i="14"/>
  <c r="Q127" i="14"/>
  <c r="P127" i="14"/>
  <c r="O127" i="14"/>
  <c r="N127" i="14"/>
  <c r="M127" i="14"/>
  <c r="K127" i="14"/>
  <c r="J127" i="14"/>
  <c r="B127" i="14"/>
  <c r="Q126" i="14"/>
  <c r="P126" i="14"/>
  <c r="O126" i="14"/>
  <c r="N126" i="14"/>
  <c r="M126" i="14"/>
  <c r="K126" i="14"/>
  <c r="J126" i="14"/>
  <c r="B126" i="14"/>
  <c r="Q125" i="14"/>
  <c r="P125" i="14"/>
  <c r="O125" i="14"/>
  <c r="N125" i="14"/>
  <c r="M125" i="14"/>
  <c r="K125" i="14"/>
  <c r="J125" i="14"/>
  <c r="B125" i="14"/>
  <c r="Q124" i="14"/>
  <c r="P124" i="14"/>
  <c r="O124" i="14"/>
  <c r="N124" i="14"/>
  <c r="M124" i="14"/>
  <c r="K124" i="14"/>
  <c r="J124" i="14"/>
  <c r="B124" i="14"/>
  <c r="Q123" i="14"/>
  <c r="P123" i="14"/>
  <c r="O123" i="14"/>
  <c r="N123" i="14"/>
  <c r="M123" i="14"/>
  <c r="K123" i="14"/>
  <c r="J123" i="14"/>
  <c r="B123" i="14"/>
  <c r="Q122" i="14"/>
  <c r="P122" i="14"/>
  <c r="O122" i="14"/>
  <c r="N122" i="14"/>
  <c r="M122" i="14"/>
  <c r="K122" i="14"/>
  <c r="J122" i="14"/>
  <c r="B122" i="14"/>
  <c r="Q121" i="14"/>
  <c r="P121" i="14"/>
  <c r="O121" i="14"/>
  <c r="N121" i="14"/>
  <c r="M121" i="14"/>
  <c r="K121" i="14"/>
  <c r="J121" i="14"/>
  <c r="B121" i="14"/>
  <c r="Q120" i="14"/>
  <c r="P120" i="14"/>
  <c r="O120" i="14"/>
  <c r="N120" i="14"/>
  <c r="M120" i="14"/>
  <c r="K120" i="14"/>
  <c r="J120" i="14"/>
  <c r="B120" i="14"/>
  <c r="Q119" i="14"/>
  <c r="P119" i="14"/>
  <c r="O119" i="14"/>
  <c r="N119" i="14"/>
  <c r="M119" i="14"/>
  <c r="K119" i="14"/>
  <c r="J119" i="14"/>
  <c r="B119" i="14"/>
  <c r="Q118" i="14"/>
  <c r="P118" i="14"/>
  <c r="O118" i="14"/>
  <c r="N118" i="14"/>
  <c r="M118" i="14"/>
  <c r="K118" i="14"/>
  <c r="J118" i="14"/>
  <c r="B118" i="14"/>
  <c r="Q117" i="14"/>
  <c r="P117" i="14"/>
  <c r="O117" i="14"/>
  <c r="N117" i="14"/>
  <c r="M117" i="14"/>
  <c r="K117" i="14"/>
  <c r="J117" i="14"/>
  <c r="B117" i="14"/>
  <c r="Q116" i="14"/>
  <c r="P116" i="14"/>
  <c r="O116" i="14"/>
  <c r="N116" i="14"/>
  <c r="M116" i="14"/>
  <c r="K116" i="14"/>
  <c r="J116" i="14"/>
  <c r="B116" i="14"/>
  <c r="Q115" i="14"/>
  <c r="P115" i="14"/>
  <c r="O115" i="14"/>
  <c r="N115" i="14"/>
  <c r="M115" i="14"/>
  <c r="K115" i="14"/>
  <c r="J115" i="14"/>
  <c r="B115" i="14"/>
  <c r="Q114" i="14"/>
  <c r="P114" i="14"/>
  <c r="O114" i="14"/>
  <c r="N114" i="14"/>
  <c r="M114" i="14"/>
  <c r="K114" i="14"/>
  <c r="J114" i="14"/>
  <c r="B114" i="14"/>
  <c r="Q113" i="14"/>
  <c r="P113" i="14"/>
  <c r="O113" i="14"/>
  <c r="N113" i="14"/>
  <c r="M113" i="14"/>
  <c r="K113" i="14"/>
  <c r="J113" i="14"/>
  <c r="B113" i="14"/>
  <c r="Q112" i="14"/>
  <c r="P112" i="14"/>
  <c r="O112" i="14"/>
  <c r="N112" i="14"/>
  <c r="M112" i="14"/>
  <c r="K112" i="14"/>
  <c r="J112" i="14"/>
  <c r="B112" i="14"/>
  <c r="Q111" i="14"/>
  <c r="P111" i="14"/>
  <c r="O111" i="14"/>
  <c r="N111" i="14"/>
  <c r="M111" i="14"/>
  <c r="K111" i="14"/>
  <c r="J111" i="14"/>
  <c r="B111" i="14"/>
  <c r="Q110" i="14"/>
  <c r="P110" i="14"/>
  <c r="O110" i="14"/>
  <c r="N110" i="14"/>
  <c r="M110" i="14"/>
  <c r="K110" i="14"/>
  <c r="J110" i="14"/>
  <c r="B110" i="14"/>
  <c r="Q109" i="14"/>
  <c r="P109" i="14"/>
  <c r="O109" i="14"/>
  <c r="N109" i="14"/>
  <c r="M109" i="14"/>
  <c r="K109" i="14"/>
  <c r="J109" i="14"/>
  <c r="B109" i="14"/>
  <c r="Q108" i="14"/>
  <c r="P108" i="14"/>
  <c r="O108" i="14"/>
  <c r="N108" i="14"/>
  <c r="M108" i="14"/>
  <c r="K108" i="14"/>
  <c r="J108" i="14"/>
  <c r="B108" i="14"/>
  <c r="Q107" i="14"/>
  <c r="P107" i="14"/>
  <c r="O107" i="14"/>
  <c r="N107" i="14"/>
  <c r="M107" i="14"/>
  <c r="K107" i="14"/>
  <c r="J107" i="14"/>
  <c r="B107" i="14"/>
  <c r="Q106" i="14"/>
  <c r="P106" i="14"/>
  <c r="O106" i="14"/>
  <c r="N106" i="14"/>
  <c r="M106" i="14"/>
  <c r="K106" i="14"/>
  <c r="J106" i="14"/>
  <c r="B106" i="14"/>
  <c r="Q105" i="14"/>
  <c r="P105" i="14"/>
  <c r="O105" i="14"/>
  <c r="N105" i="14"/>
  <c r="M105" i="14"/>
  <c r="K105" i="14"/>
  <c r="J105" i="14"/>
  <c r="B105" i="14"/>
  <c r="Q104" i="14"/>
  <c r="P104" i="14"/>
  <c r="O104" i="14"/>
  <c r="N104" i="14"/>
  <c r="M104" i="14"/>
  <c r="K104" i="14"/>
  <c r="J104" i="14"/>
  <c r="B104" i="14"/>
  <c r="Q103" i="14"/>
  <c r="P103" i="14"/>
  <c r="O103" i="14"/>
  <c r="N103" i="14"/>
  <c r="M103" i="14"/>
  <c r="K103" i="14"/>
  <c r="J103" i="14"/>
  <c r="B103" i="14"/>
  <c r="Q102" i="14"/>
  <c r="P102" i="14"/>
  <c r="O102" i="14"/>
  <c r="N102" i="14"/>
  <c r="M102" i="14"/>
  <c r="K102" i="14"/>
  <c r="J102" i="14"/>
  <c r="B102" i="14"/>
  <c r="Q101" i="14"/>
  <c r="P101" i="14"/>
  <c r="O101" i="14"/>
  <c r="N101" i="14"/>
  <c r="M101" i="14"/>
  <c r="K101" i="14"/>
  <c r="J101" i="14"/>
  <c r="B101" i="14"/>
  <c r="Q100" i="14"/>
  <c r="P100" i="14"/>
  <c r="O100" i="14"/>
  <c r="N100" i="14"/>
  <c r="M100" i="14"/>
  <c r="K100" i="14"/>
  <c r="J100" i="14"/>
  <c r="B100" i="14"/>
  <c r="Q99" i="14"/>
  <c r="P99" i="14"/>
  <c r="O99" i="14"/>
  <c r="N99" i="14"/>
  <c r="M99" i="14"/>
  <c r="K99" i="14"/>
  <c r="J99" i="14"/>
  <c r="B99" i="14"/>
  <c r="Q98" i="14"/>
  <c r="P98" i="14"/>
  <c r="O98" i="14"/>
  <c r="N98" i="14"/>
  <c r="M98" i="14"/>
  <c r="K98" i="14"/>
  <c r="J98" i="14"/>
  <c r="B98" i="14"/>
  <c r="Q97" i="14"/>
  <c r="P97" i="14"/>
  <c r="O97" i="14"/>
  <c r="N97" i="14"/>
  <c r="M97" i="14"/>
  <c r="K97" i="14"/>
  <c r="J97" i="14"/>
  <c r="B97" i="14"/>
  <c r="Q96" i="14"/>
  <c r="P96" i="14"/>
  <c r="O96" i="14"/>
  <c r="N96" i="14"/>
  <c r="M96" i="14"/>
  <c r="K96" i="14"/>
  <c r="J96" i="14"/>
  <c r="B96" i="14"/>
  <c r="Q95" i="14"/>
  <c r="P95" i="14"/>
  <c r="O95" i="14"/>
  <c r="N95" i="14"/>
  <c r="M95" i="14"/>
  <c r="K95" i="14"/>
  <c r="J95" i="14"/>
  <c r="B95" i="14"/>
  <c r="Q94" i="14"/>
  <c r="P94" i="14"/>
  <c r="O94" i="14"/>
  <c r="N94" i="14"/>
  <c r="M94" i="14"/>
  <c r="K94" i="14"/>
  <c r="J94" i="14"/>
  <c r="B94" i="14"/>
  <c r="Q93" i="14"/>
  <c r="P93" i="14"/>
  <c r="O93" i="14"/>
  <c r="N93" i="14"/>
  <c r="M93" i="14"/>
  <c r="K93" i="14"/>
  <c r="J93" i="14"/>
  <c r="B93" i="14"/>
  <c r="Q92" i="14"/>
  <c r="P92" i="14"/>
  <c r="O92" i="14"/>
  <c r="N92" i="14"/>
  <c r="M92" i="14"/>
  <c r="K92" i="14"/>
  <c r="J92" i="14"/>
  <c r="B92" i="14"/>
  <c r="Q91" i="14"/>
  <c r="P91" i="14"/>
  <c r="O91" i="14"/>
  <c r="N91" i="14"/>
  <c r="M91" i="14"/>
  <c r="K91" i="14"/>
  <c r="J91" i="14"/>
  <c r="B91" i="14"/>
  <c r="Q90" i="14"/>
  <c r="P90" i="14"/>
  <c r="O90" i="14"/>
  <c r="N90" i="14"/>
  <c r="M90" i="14"/>
  <c r="K90" i="14"/>
  <c r="J90" i="14"/>
  <c r="B90" i="14"/>
  <c r="Q89" i="14"/>
  <c r="P89" i="14"/>
  <c r="O89" i="14"/>
  <c r="N89" i="14"/>
  <c r="M89" i="14"/>
  <c r="K89" i="14"/>
  <c r="J89" i="14"/>
  <c r="B89" i="14"/>
  <c r="Q88" i="14"/>
  <c r="P88" i="14"/>
  <c r="O88" i="14"/>
  <c r="N88" i="14"/>
  <c r="M88" i="14"/>
  <c r="K88" i="14"/>
  <c r="J88" i="14"/>
  <c r="B88" i="14"/>
  <c r="Q87" i="14"/>
  <c r="P87" i="14"/>
  <c r="O87" i="14"/>
  <c r="N87" i="14"/>
  <c r="M87" i="14"/>
  <c r="K87" i="14"/>
  <c r="J87" i="14"/>
  <c r="B87" i="14"/>
  <c r="Q86" i="14"/>
  <c r="P86" i="14"/>
  <c r="O86" i="14"/>
  <c r="N86" i="14"/>
  <c r="M86" i="14"/>
  <c r="K86" i="14"/>
  <c r="J86" i="14"/>
  <c r="B86" i="14"/>
  <c r="Q85" i="14"/>
  <c r="P85" i="14"/>
  <c r="O85" i="14"/>
  <c r="N85" i="14"/>
  <c r="M85" i="14"/>
  <c r="K85" i="14"/>
  <c r="J85" i="14"/>
  <c r="B85" i="14"/>
  <c r="Q84" i="14"/>
  <c r="P84" i="14"/>
  <c r="O84" i="14"/>
  <c r="N84" i="14"/>
  <c r="M84" i="14"/>
  <c r="K84" i="14"/>
  <c r="J84" i="14"/>
  <c r="B84" i="14"/>
  <c r="Q83" i="14"/>
  <c r="P83" i="14"/>
  <c r="O83" i="14"/>
  <c r="N83" i="14"/>
  <c r="M83" i="14"/>
  <c r="K83" i="14"/>
  <c r="J83" i="14"/>
  <c r="B83" i="14"/>
  <c r="Q82" i="14"/>
  <c r="P82" i="14"/>
  <c r="O82" i="14"/>
  <c r="N82" i="14"/>
  <c r="M82" i="14"/>
  <c r="K82" i="14"/>
  <c r="J82" i="14"/>
  <c r="B82" i="14"/>
  <c r="Q81" i="14"/>
  <c r="P81" i="14"/>
  <c r="O81" i="14"/>
  <c r="N81" i="14"/>
  <c r="M81" i="14"/>
  <c r="K81" i="14"/>
  <c r="J81" i="14"/>
  <c r="B81" i="14"/>
  <c r="Q80" i="14"/>
  <c r="P80" i="14"/>
  <c r="O80" i="14"/>
  <c r="N80" i="14"/>
  <c r="M80" i="14"/>
  <c r="K80" i="14"/>
  <c r="J80" i="14"/>
  <c r="B80" i="14"/>
  <c r="Q79" i="14"/>
  <c r="P79" i="14"/>
  <c r="O79" i="14"/>
  <c r="N79" i="14"/>
  <c r="M79" i="14"/>
  <c r="K79" i="14"/>
  <c r="J79" i="14"/>
  <c r="B79" i="14"/>
  <c r="Q78" i="14"/>
  <c r="P78" i="14"/>
  <c r="O78" i="14"/>
  <c r="N78" i="14"/>
  <c r="M78" i="14"/>
  <c r="K78" i="14"/>
  <c r="J78" i="14"/>
  <c r="B78" i="14"/>
  <c r="Q77" i="14"/>
  <c r="P77" i="14"/>
  <c r="O77" i="14"/>
  <c r="N77" i="14"/>
  <c r="M77" i="14"/>
  <c r="K77" i="14"/>
  <c r="J77" i="14"/>
  <c r="B77" i="14"/>
  <c r="Q76" i="14"/>
  <c r="P76" i="14"/>
  <c r="O76" i="14"/>
  <c r="N76" i="14"/>
  <c r="M76" i="14"/>
  <c r="K76" i="14"/>
  <c r="J76" i="14"/>
  <c r="B76" i="14"/>
  <c r="Q75" i="14"/>
  <c r="P75" i="14"/>
  <c r="O75" i="14"/>
  <c r="N75" i="14"/>
  <c r="M75" i="14"/>
  <c r="K75" i="14"/>
  <c r="J75" i="14"/>
  <c r="B75" i="14"/>
  <c r="Q74" i="14"/>
  <c r="P74" i="14"/>
  <c r="O74" i="14"/>
  <c r="N74" i="14"/>
  <c r="M74" i="14"/>
  <c r="K74" i="14"/>
  <c r="J74" i="14"/>
  <c r="B74" i="14"/>
  <c r="Q73" i="14"/>
  <c r="P73" i="14"/>
  <c r="O73" i="14"/>
  <c r="N73" i="14"/>
  <c r="M73" i="14"/>
  <c r="K73" i="14"/>
  <c r="J73" i="14"/>
  <c r="B73" i="14"/>
  <c r="Q72" i="14"/>
  <c r="P72" i="14"/>
  <c r="O72" i="14"/>
  <c r="N72" i="14"/>
  <c r="M72" i="14"/>
  <c r="K72" i="14"/>
  <c r="J72" i="14"/>
  <c r="B72" i="14"/>
  <c r="Q71" i="14"/>
  <c r="P71" i="14"/>
  <c r="O71" i="14"/>
  <c r="N71" i="14"/>
  <c r="M71" i="14"/>
  <c r="K71" i="14"/>
  <c r="J71" i="14"/>
  <c r="B71" i="14"/>
  <c r="Q70" i="14"/>
  <c r="P70" i="14"/>
  <c r="O70" i="14"/>
  <c r="N70" i="14"/>
  <c r="M70" i="14"/>
  <c r="K70" i="14"/>
  <c r="J70" i="14"/>
  <c r="B70" i="14"/>
  <c r="Q69" i="14"/>
  <c r="P69" i="14"/>
  <c r="O69" i="14"/>
  <c r="N69" i="14"/>
  <c r="M69" i="14"/>
  <c r="K69" i="14"/>
  <c r="J69" i="14"/>
  <c r="B69" i="14"/>
  <c r="Q68" i="14"/>
  <c r="P68" i="14"/>
  <c r="O68" i="14"/>
  <c r="N68" i="14"/>
  <c r="M68" i="14"/>
  <c r="K68" i="14"/>
  <c r="J68" i="14"/>
  <c r="B68" i="14"/>
  <c r="Q67" i="14"/>
  <c r="P67" i="14"/>
  <c r="O67" i="14"/>
  <c r="N67" i="14"/>
  <c r="M67" i="14"/>
  <c r="K67" i="14"/>
  <c r="J67" i="14"/>
  <c r="B67" i="14"/>
  <c r="Q66" i="14"/>
  <c r="P66" i="14"/>
  <c r="O66" i="14"/>
  <c r="N66" i="14"/>
  <c r="M66" i="14"/>
  <c r="K66" i="14"/>
  <c r="J66" i="14"/>
  <c r="B66" i="14"/>
  <c r="Q65" i="14"/>
  <c r="P65" i="14"/>
  <c r="O65" i="14"/>
  <c r="N65" i="14"/>
  <c r="M65" i="14"/>
  <c r="K65" i="14"/>
  <c r="J65" i="14"/>
  <c r="B65" i="14"/>
  <c r="Q64" i="14"/>
  <c r="P64" i="14"/>
  <c r="O64" i="14"/>
  <c r="N64" i="14"/>
  <c r="M64" i="14"/>
  <c r="K64" i="14"/>
  <c r="J64" i="14"/>
  <c r="B64" i="14"/>
  <c r="Q63" i="14"/>
  <c r="P63" i="14"/>
  <c r="O63" i="14"/>
  <c r="N63" i="14"/>
  <c r="M63" i="14"/>
  <c r="K63" i="14"/>
  <c r="J63" i="14"/>
  <c r="B63" i="14"/>
  <c r="Q62" i="14"/>
  <c r="P62" i="14"/>
  <c r="O62" i="14"/>
  <c r="N62" i="14"/>
  <c r="M62" i="14"/>
  <c r="K62" i="14"/>
  <c r="J62" i="14"/>
  <c r="B62" i="14"/>
  <c r="Q61" i="14"/>
  <c r="P61" i="14"/>
  <c r="O61" i="14"/>
  <c r="N61" i="14"/>
  <c r="M61" i="14"/>
  <c r="K61" i="14"/>
  <c r="J61" i="14"/>
  <c r="B61" i="14"/>
  <c r="Q60" i="14"/>
  <c r="P60" i="14"/>
  <c r="O60" i="14"/>
  <c r="N60" i="14"/>
  <c r="M60" i="14"/>
  <c r="K60" i="14"/>
  <c r="J60" i="14"/>
  <c r="B60" i="14"/>
  <c r="Q59" i="14"/>
  <c r="P59" i="14"/>
  <c r="O59" i="14"/>
  <c r="N59" i="14"/>
  <c r="M59" i="14"/>
  <c r="K59" i="14"/>
  <c r="J59" i="14"/>
  <c r="B59" i="14"/>
  <c r="Q58" i="14"/>
  <c r="P58" i="14"/>
  <c r="O58" i="14"/>
  <c r="N58" i="14"/>
  <c r="M58" i="14"/>
  <c r="K58" i="14"/>
  <c r="J58" i="14"/>
  <c r="B58" i="14"/>
  <c r="Q57" i="14"/>
  <c r="P57" i="14"/>
  <c r="O57" i="14"/>
  <c r="N57" i="14"/>
  <c r="M57" i="14"/>
  <c r="K57" i="14"/>
  <c r="J57" i="14"/>
  <c r="B57" i="14"/>
  <c r="Q56" i="14"/>
  <c r="P56" i="14"/>
  <c r="O56" i="14"/>
  <c r="N56" i="14"/>
  <c r="M56" i="14"/>
  <c r="K56" i="14"/>
  <c r="J56" i="14"/>
  <c r="B56" i="14"/>
  <c r="Q55" i="14"/>
  <c r="P55" i="14"/>
  <c r="O55" i="14"/>
  <c r="N55" i="14"/>
  <c r="M55" i="14"/>
  <c r="K55" i="14"/>
  <c r="J55" i="14"/>
  <c r="B55" i="14"/>
  <c r="Q54" i="14"/>
  <c r="P54" i="14"/>
  <c r="O54" i="14"/>
  <c r="N54" i="14"/>
  <c r="M54" i="14"/>
  <c r="K54" i="14"/>
  <c r="J54" i="14"/>
  <c r="B54" i="14"/>
  <c r="Q53" i="14"/>
  <c r="P53" i="14"/>
  <c r="O53" i="14"/>
  <c r="N53" i="14"/>
  <c r="M53" i="14"/>
  <c r="K53" i="14"/>
  <c r="J53" i="14"/>
  <c r="B53" i="14"/>
  <c r="Q52" i="14"/>
  <c r="P52" i="14"/>
  <c r="O52" i="14"/>
  <c r="N52" i="14"/>
  <c r="M52" i="14"/>
  <c r="K52" i="14"/>
  <c r="J52" i="14"/>
  <c r="B52" i="14"/>
  <c r="Q51" i="14"/>
  <c r="P51" i="14"/>
  <c r="O51" i="14"/>
  <c r="N51" i="14"/>
  <c r="M51" i="14"/>
  <c r="K51" i="14"/>
  <c r="J51" i="14"/>
  <c r="B51" i="14"/>
  <c r="Q50" i="14"/>
  <c r="P50" i="14"/>
  <c r="O50" i="14"/>
  <c r="N50" i="14"/>
  <c r="M50" i="14"/>
  <c r="K50" i="14"/>
  <c r="J50" i="14"/>
  <c r="B50" i="14"/>
  <c r="Q49" i="14"/>
  <c r="P49" i="14"/>
  <c r="O49" i="14"/>
  <c r="N49" i="14"/>
  <c r="M49" i="14"/>
  <c r="K49" i="14"/>
  <c r="J49" i="14"/>
  <c r="B49" i="14"/>
  <c r="Q48" i="14"/>
  <c r="P48" i="14"/>
  <c r="O48" i="14"/>
  <c r="N48" i="14"/>
  <c r="M48" i="14"/>
  <c r="K48" i="14"/>
  <c r="J48" i="14"/>
  <c r="B48" i="14"/>
  <c r="Q47" i="14"/>
  <c r="P47" i="14"/>
  <c r="O47" i="14"/>
  <c r="N47" i="14"/>
  <c r="M47" i="14"/>
  <c r="K47" i="14"/>
  <c r="J47" i="14"/>
  <c r="B47" i="14"/>
  <c r="Q46" i="14"/>
  <c r="P46" i="14"/>
  <c r="O46" i="14"/>
  <c r="N46" i="14"/>
  <c r="M46" i="14"/>
  <c r="K46" i="14"/>
  <c r="J46" i="14"/>
  <c r="B46" i="14"/>
  <c r="Q45" i="14"/>
  <c r="P45" i="14"/>
  <c r="O45" i="14"/>
  <c r="N45" i="14"/>
  <c r="M45" i="14"/>
  <c r="K45" i="14"/>
  <c r="J45" i="14"/>
  <c r="B45" i="14"/>
  <c r="Q44" i="14"/>
  <c r="P44" i="14"/>
  <c r="O44" i="14"/>
  <c r="N44" i="14"/>
  <c r="M44" i="14"/>
  <c r="K44" i="14"/>
  <c r="J44" i="14"/>
  <c r="B44" i="14"/>
  <c r="Q43" i="14"/>
  <c r="P43" i="14"/>
  <c r="O43" i="14"/>
  <c r="N43" i="14"/>
  <c r="M43" i="14"/>
  <c r="K43" i="14"/>
  <c r="J43" i="14"/>
  <c r="B43" i="14"/>
  <c r="Q42" i="14"/>
  <c r="P42" i="14"/>
  <c r="O42" i="14"/>
  <c r="N42" i="14"/>
  <c r="M42" i="14"/>
  <c r="K42" i="14"/>
  <c r="J42" i="14"/>
  <c r="B42" i="14"/>
  <c r="Q41" i="14"/>
  <c r="P41" i="14"/>
  <c r="O41" i="14"/>
  <c r="N41" i="14"/>
  <c r="M41" i="14"/>
  <c r="K41" i="14"/>
  <c r="J41" i="14"/>
  <c r="B41" i="14"/>
  <c r="Q40" i="14"/>
  <c r="P40" i="14"/>
  <c r="O40" i="14"/>
  <c r="N40" i="14"/>
  <c r="M40" i="14"/>
  <c r="K40" i="14"/>
  <c r="J40" i="14"/>
  <c r="B40" i="14"/>
  <c r="Q39" i="14"/>
  <c r="P39" i="14"/>
  <c r="O39" i="14"/>
  <c r="N39" i="14"/>
  <c r="M39" i="14"/>
  <c r="K39" i="14"/>
  <c r="J39" i="14"/>
  <c r="B39" i="14"/>
  <c r="Q38" i="14"/>
  <c r="P38" i="14"/>
  <c r="O38" i="14"/>
  <c r="N38" i="14"/>
  <c r="M38" i="14"/>
  <c r="K38" i="14"/>
  <c r="J38" i="14"/>
  <c r="B38" i="14"/>
  <c r="Q37" i="14"/>
  <c r="P37" i="14"/>
  <c r="O37" i="14"/>
  <c r="N37" i="14"/>
  <c r="M37" i="14"/>
  <c r="K37" i="14"/>
  <c r="J37" i="14"/>
  <c r="B37" i="14"/>
  <c r="Q36" i="14"/>
  <c r="P36" i="14"/>
  <c r="O36" i="14"/>
  <c r="N36" i="14"/>
  <c r="M36" i="14"/>
  <c r="K36" i="14"/>
  <c r="J36" i="14"/>
  <c r="B36" i="14"/>
  <c r="Q35" i="14"/>
  <c r="P35" i="14"/>
  <c r="O35" i="14"/>
  <c r="N35" i="14"/>
  <c r="M35" i="14"/>
  <c r="K35" i="14"/>
  <c r="J35" i="14"/>
  <c r="B35" i="14"/>
  <c r="Q34" i="14"/>
  <c r="P34" i="14"/>
  <c r="O34" i="14"/>
  <c r="N34" i="14"/>
  <c r="M34" i="14"/>
  <c r="K34" i="14"/>
  <c r="J34" i="14"/>
  <c r="B34" i="14"/>
  <c r="Q33" i="14"/>
  <c r="P33" i="14"/>
  <c r="O33" i="14"/>
  <c r="N33" i="14"/>
  <c r="M33" i="14"/>
  <c r="K33" i="14"/>
  <c r="J33" i="14"/>
  <c r="B33" i="14"/>
  <c r="Q32" i="14"/>
  <c r="P32" i="14"/>
  <c r="O32" i="14"/>
  <c r="N32" i="14"/>
  <c r="M32" i="14"/>
  <c r="K32" i="14"/>
  <c r="J32" i="14"/>
  <c r="B32" i="14"/>
  <c r="Q31" i="14"/>
  <c r="P31" i="14"/>
  <c r="O31" i="14"/>
  <c r="N31" i="14"/>
  <c r="M31" i="14"/>
  <c r="K31" i="14"/>
  <c r="J31" i="14"/>
  <c r="B31" i="14"/>
  <c r="Q30" i="14"/>
  <c r="P30" i="14"/>
  <c r="O30" i="14"/>
  <c r="N30" i="14"/>
  <c r="M30" i="14"/>
  <c r="K30" i="14"/>
  <c r="J30" i="14"/>
  <c r="B30" i="14"/>
  <c r="Q29" i="14"/>
  <c r="P29" i="14"/>
  <c r="O29" i="14"/>
  <c r="N29" i="14"/>
  <c r="M29" i="14"/>
  <c r="K29" i="14"/>
  <c r="J29" i="14"/>
  <c r="B29" i="14"/>
  <c r="Q28" i="14"/>
  <c r="P28" i="14"/>
  <c r="O28" i="14"/>
  <c r="N28" i="14"/>
  <c r="M28" i="14"/>
  <c r="K28" i="14"/>
  <c r="J28" i="14"/>
  <c r="B28" i="14"/>
  <c r="Q27" i="14"/>
  <c r="P27" i="14"/>
  <c r="O27" i="14"/>
  <c r="N27" i="14"/>
  <c r="M27" i="14"/>
  <c r="K27" i="14"/>
  <c r="J27" i="14"/>
  <c r="B27" i="14"/>
  <c r="Q26" i="14"/>
  <c r="P26" i="14"/>
  <c r="O26" i="14"/>
  <c r="N26" i="14"/>
  <c r="M26" i="14"/>
  <c r="K26" i="14"/>
  <c r="J26" i="14"/>
  <c r="B26" i="14"/>
  <c r="Q25" i="14"/>
  <c r="P25" i="14"/>
  <c r="O25" i="14"/>
  <c r="N25" i="14"/>
  <c r="M25" i="14"/>
  <c r="K25" i="14"/>
  <c r="J25" i="14"/>
  <c r="B25" i="14"/>
  <c r="Q24" i="14"/>
  <c r="P24" i="14"/>
  <c r="O24" i="14"/>
  <c r="N24" i="14"/>
  <c r="M24" i="14"/>
  <c r="K24" i="14"/>
  <c r="J24" i="14"/>
  <c r="B24" i="14"/>
  <c r="Q23" i="14"/>
  <c r="P23" i="14"/>
  <c r="O23" i="14"/>
  <c r="N23" i="14"/>
  <c r="M23" i="14"/>
  <c r="K23" i="14"/>
  <c r="J23" i="14"/>
  <c r="B23" i="14"/>
  <c r="Q22" i="14"/>
  <c r="P22" i="14"/>
  <c r="O22" i="14"/>
  <c r="N22" i="14"/>
  <c r="M22" i="14"/>
  <c r="K22" i="14"/>
  <c r="J22" i="14"/>
  <c r="B22" i="14"/>
  <c r="Q21" i="14"/>
  <c r="P21" i="14"/>
  <c r="O21" i="14"/>
  <c r="N21" i="14"/>
  <c r="M21" i="14"/>
  <c r="K21" i="14"/>
  <c r="J21" i="14"/>
  <c r="B21" i="14"/>
  <c r="Q20" i="14"/>
  <c r="P20" i="14"/>
  <c r="O20" i="14"/>
  <c r="N20" i="14"/>
  <c r="M20" i="14"/>
  <c r="K20" i="14"/>
  <c r="J20" i="14"/>
  <c r="B20" i="14"/>
  <c r="Q19" i="14"/>
  <c r="P19" i="14"/>
  <c r="O19" i="14"/>
  <c r="N19" i="14"/>
  <c r="M19" i="14"/>
  <c r="K19" i="14"/>
  <c r="J19" i="14"/>
  <c r="B19" i="14"/>
  <c r="Q18" i="14"/>
  <c r="P18" i="14"/>
  <c r="O18" i="14"/>
  <c r="N18" i="14"/>
  <c r="M18" i="14"/>
  <c r="K18" i="14"/>
  <c r="J18" i="14"/>
  <c r="B18" i="14"/>
  <c r="Q17" i="14"/>
  <c r="P17" i="14"/>
  <c r="O17" i="14"/>
  <c r="N17" i="14"/>
  <c r="M17" i="14"/>
  <c r="K17" i="14"/>
  <c r="J17" i="14"/>
  <c r="B17" i="14"/>
  <c r="Q16" i="14"/>
  <c r="P16" i="14"/>
  <c r="O16" i="14"/>
  <c r="N16" i="14"/>
  <c r="M16" i="14"/>
  <c r="K16" i="14"/>
  <c r="J16" i="14"/>
  <c r="B16" i="14"/>
  <c r="Q15" i="14"/>
  <c r="P15" i="14"/>
  <c r="O15" i="14"/>
  <c r="N15" i="14"/>
  <c r="M15" i="14"/>
  <c r="K15" i="14"/>
  <c r="J15" i="14"/>
  <c r="B15" i="14"/>
  <c r="Q14" i="14"/>
  <c r="P14" i="14"/>
  <c r="O14" i="14"/>
  <c r="N14" i="14"/>
  <c r="M14" i="14"/>
  <c r="K14" i="14"/>
  <c r="J14" i="14"/>
  <c r="B14" i="14"/>
  <c r="Q13" i="14"/>
  <c r="P13" i="14"/>
  <c r="O13" i="14"/>
  <c r="N13" i="14"/>
  <c r="M13" i="14"/>
  <c r="K13" i="14"/>
  <c r="J13" i="14"/>
  <c r="B13" i="14"/>
  <c r="Q12" i="14"/>
  <c r="P12" i="14"/>
  <c r="O12" i="14"/>
  <c r="N12" i="14"/>
  <c r="M12" i="14"/>
  <c r="K12" i="14"/>
  <c r="J12" i="14"/>
  <c r="B12" i="14"/>
  <c r="Q11" i="14"/>
  <c r="P11" i="14"/>
  <c r="O11" i="14"/>
  <c r="N11" i="14"/>
  <c r="M11" i="14"/>
  <c r="K11" i="14"/>
  <c r="J11" i="14"/>
  <c r="B11" i="14"/>
  <c r="Q10" i="14"/>
  <c r="P10" i="14"/>
  <c r="O10" i="14"/>
  <c r="N10" i="14"/>
  <c r="M10" i="14"/>
  <c r="K10" i="14"/>
  <c r="J10" i="14"/>
  <c r="B10" i="14"/>
  <c r="Q9" i="14"/>
  <c r="P9" i="14"/>
  <c r="O9" i="14"/>
  <c r="N9" i="14"/>
  <c r="M9" i="14"/>
  <c r="K9" i="14"/>
  <c r="J9" i="14"/>
  <c r="B9" i="14"/>
  <c r="Q8" i="14"/>
  <c r="P8" i="14"/>
  <c r="O8" i="14"/>
  <c r="N8" i="14"/>
  <c r="M8" i="14"/>
  <c r="K8" i="14"/>
  <c r="J8" i="14"/>
  <c r="B8" i="14"/>
  <c r="Q7" i="14"/>
  <c r="P7" i="14"/>
  <c r="O7" i="14"/>
  <c r="N7" i="14"/>
  <c r="M7" i="14"/>
  <c r="K7" i="14"/>
  <c r="J7" i="14"/>
  <c r="B7" i="14"/>
  <c r="Q6" i="14"/>
  <c r="P6" i="14"/>
  <c r="O6" i="14"/>
  <c r="N6" i="14"/>
  <c r="M6" i="14"/>
  <c r="K6" i="14"/>
  <c r="J6" i="14"/>
  <c r="B6" i="14"/>
  <c r="Q5" i="14"/>
  <c r="P5" i="14"/>
  <c r="O5" i="14"/>
  <c r="N5" i="14"/>
  <c r="M5" i="14"/>
  <c r="K5" i="14"/>
  <c r="J5" i="14"/>
  <c r="B5" i="14"/>
  <c r="Q4" i="14"/>
  <c r="P4" i="14"/>
  <c r="O4" i="14"/>
  <c r="N4" i="14"/>
  <c r="M4" i="14"/>
  <c r="K4" i="14"/>
  <c r="J4" i="14"/>
  <c r="B4" i="14"/>
  <c r="Q3" i="14"/>
  <c r="P3" i="14"/>
  <c r="O3" i="14"/>
  <c r="N3" i="14"/>
  <c r="M3" i="14"/>
  <c r="K3" i="14"/>
  <c r="J3" i="14"/>
  <c r="B3" i="14"/>
  <c r="Q2" i="14"/>
  <c r="P2" i="14"/>
  <c r="O2" i="14"/>
  <c r="N2" i="14"/>
  <c r="M2" i="14"/>
  <c r="K2" i="14"/>
  <c r="J2" i="14"/>
  <c r="B2" i="14"/>
  <c r="AM1051" i="17" l="1"/>
  <c r="AL1051" i="17"/>
  <c r="AN1051" i="17" s="1"/>
  <c r="C1051" i="14" a="1"/>
  <c r="F1058" i="24" a="1"/>
  <c r="E1058" i="24"/>
  <c r="D1058" i="24"/>
  <c r="C1058" i="24"/>
  <c r="B1058" i="24" a="1"/>
  <c r="F1057" i="24" a="1"/>
  <c r="E1057" i="24"/>
  <c r="D1057" i="24"/>
  <c r="C1057" i="24"/>
  <c r="B1057" i="24" a="1"/>
  <c r="F1056" i="24" a="1"/>
  <c r="E1056" i="24"/>
  <c r="D1056" i="24"/>
  <c r="C1056" i="24"/>
  <c r="B1056" i="24" a="1"/>
  <c r="F1055" i="24" a="1"/>
  <c r="E1055" i="24"/>
  <c r="D1055" i="24"/>
  <c r="C1055" i="24"/>
  <c r="B1055" i="24" a="1"/>
  <c r="F1054" i="24" a="1"/>
  <c r="D1054" i="24"/>
  <c r="E1054" i="24"/>
  <c r="C1054" i="24"/>
  <c r="B1054" i="24" a="1"/>
  <c r="F1053" i="24" a="1"/>
  <c r="E1053" i="24"/>
  <c r="D1053" i="24"/>
  <c r="C1053" i="24"/>
  <c r="B1053" i="24" a="1"/>
  <c r="F1052" i="24" a="1"/>
  <c r="E1052" i="24"/>
  <c r="C1052" i="24"/>
  <c r="D1052" i="24"/>
  <c r="B1052" i="24" a="1"/>
  <c r="F1050" i="24" a="1"/>
  <c r="F1051" i="24" a="1"/>
  <c r="E1051" i="24"/>
  <c r="D1051" i="24"/>
  <c r="C1051" i="24"/>
  <c r="B1051" i="24" a="1"/>
  <c r="AM1050" i="17"/>
  <c r="AL1050" i="17"/>
  <c r="AN1050" i="17" s="1"/>
  <c r="E1050" i="24"/>
  <c r="D1050" i="24"/>
  <c r="L1050" i="14" s="1"/>
  <c r="C1050" i="24"/>
  <c r="B1050" i="24" a="1"/>
  <c r="C1050" i="14" a="1"/>
  <c r="E1049" i="24"/>
  <c r="AM1049" i="17"/>
  <c r="AL1049" i="17"/>
  <c r="AN1049" i="17" s="1"/>
  <c r="C1049" i="14" a="1"/>
  <c r="D1049" i="24"/>
  <c r="L1049" i="14" s="1"/>
  <c r="C1049" i="24"/>
  <c r="F1049" i="24" a="1"/>
  <c r="B1049" i="24" a="1"/>
  <c r="E1022" i="24"/>
  <c r="E1043" i="24"/>
  <c r="E649" i="24"/>
  <c r="E650" i="24"/>
  <c r="E651" i="24"/>
  <c r="E652" i="24"/>
  <c r="E653" i="24"/>
  <c r="E654" i="24"/>
  <c r="E1044" i="24"/>
  <c r="H1048" i="14"/>
  <c r="E1048" i="24"/>
  <c r="H1032" i="14"/>
  <c r="H1031" i="14"/>
  <c r="H1029" i="14"/>
  <c r="H912" i="14"/>
  <c r="H917" i="14"/>
  <c r="H918" i="14"/>
  <c r="H919" i="14"/>
  <c r="H920" i="14"/>
  <c r="H934" i="14"/>
  <c r="H935" i="14"/>
  <c r="D1010" i="14" a="1"/>
  <c r="D1029" i="14" a="1"/>
  <c r="H1046" i="14"/>
  <c r="H1047" i="14"/>
  <c r="H1036" i="14"/>
  <c r="H1035" i="14"/>
  <c r="H1034" i="14"/>
  <c r="H1033" i="14"/>
  <c r="H1026" i="14"/>
  <c r="H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956" i="14"/>
  <c r="H961" i="14"/>
  <c r="H962" i="14"/>
  <c r="H981" i="14"/>
  <c r="H984" i="14"/>
  <c r="H985" i="14"/>
  <c r="H986" i="14"/>
  <c r="H987" i="14"/>
  <c r="H988" i="14"/>
  <c r="H989" i="14"/>
  <c r="H990" i="14"/>
  <c r="H991" i="14"/>
  <c r="H992" i="14"/>
  <c r="H993" i="14"/>
  <c r="H1014" i="14"/>
  <c r="H1016" i="14"/>
  <c r="H1017" i="14"/>
  <c r="AH1046" i="1"/>
  <c r="E1046" i="24" s="1"/>
  <c r="AH1047" i="1"/>
  <c r="E1047" i="24" s="1"/>
  <c r="C1046" i="14" a="1"/>
  <c r="AL1046" i="17"/>
  <c r="AN1046" i="17" s="1"/>
  <c r="AM1046" i="17"/>
  <c r="C1047" i="14" a="1"/>
  <c r="AL1047" i="17"/>
  <c r="AN1047" i="17" s="1"/>
  <c r="AM1047" i="17"/>
  <c r="C1048" i="14" a="1"/>
  <c r="AL1048" i="17"/>
  <c r="AN1048" i="17" s="1"/>
  <c r="AM1048" i="17"/>
  <c r="D1035" i="14" a="1"/>
  <c r="D1030" i="14" a="1"/>
  <c r="D1031" i="14" a="1"/>
  <c r="D1032" i="14" a="1"/>
  <c r="D1033" i="14" a="1"/>
  <c r="D1034" i="14" a="1"/>
  <c r="F1048" i="24" a="1"/>
  <c r="C1048" i="24"/>
  <c r="D1048" i="24"/>
  <c r="L1048" i="14" s="1"/>
  <c r="B1048" i="24" a="1"/>
  <c r="C1047" i="24"/>
  <c r="D1047" i="24"/>
  <c r="L1047" i="14" s="1"/>
  <c r="B1047" i="24" a="1"/>
  <c r="F1047" i="24" a="1"/>
  <c r="D1046" i="24"/>
  <c r="C1046" i="24"/>
  <c r="B1046" i="24" a="1"/>
  <c r="F1046" i="24" a="1"/>
  <c r="H1045" i="14"/>
  <c r="H1044" i="14"/>
  <c r="AM1045" i="17"/>
  <c r="AL1045" i="17"/>
  <c r="AN1045" i="17" s="1"/>
  <c r="AM1044" i="17"/>
  <c r="AL1044" i="17"/>
  <c r="AN1044" i="17" s="1"/>
  <c r="D1038" i="14" a="1"/>
  <c r="D1037" i="14" a="1"/>
  <c r="D1036" i="14" a="1"/>
  <c r="AH1045" i="1"/>
  <c r="E1045" i="24" s="1"/>
  <c r="C1045" i="14" a="1"/>
  <c r="C1044" i="14" a="1"/>
  <c r="F1045" i="24" a="1"/>
  <c r="D1045" i="24"/>
  <c r="L1045" i="14" s="1"/>
  <c r="C1045" i="24"/>
  <c r="B1045" i="24" a="1"/>
  <c r="F1044" i="24" a="1"/>
  <c r="C1044" i="24"/>
  <c r="B1044" i="24" a="1"/>
  <c r="D1044" i="24"/>
  <c r="L1044" i="14" s="1"/>
  <c r="AM1043" i="17"/>
  <c r="AL1043" i="17"/>
  <c r="AN1043" i="17" s="1"/>
  <c r="H1043" i="14"/>
  <c r="C1043" i="14" a="1"/>
  <c r="AH1042" i="1"/>
  <c r="E1042" i="24" s="1"/>
  <c r="AH1041" i="1"/>
  <c r="E1041" i="24" s="1"/>
  <c r="D1043" i="24"/>
  <c r="L1043" i="14" s="1"/>
  <c r="B1043" i="24" a="1"/>
  <c r="F1043" i="24" a="1"/>
  <c r="C1043" i="24"/>
  <c r="AM1042" i="17"/>
  <c r="AL1042" i="17"/>
  <c r="AN1042" i="17" s="1"/>
  <c r="H1042" i="14"/>
  <c r="C1042" i="14" a="1"/>
  <c r="AH1040" i="1"/>
  <c r="E1040" i="24" s="1"/>
  <c r="F1042" i="24" a="1"/>
  <c r="C1042" i="24"/>
  <c r="D1042" i="24"/>
  <c r="B1042" i="24" a="1"/>
  <c r="AM1041" i="17"/>
  <c r="AL1041" i="17"/>
  <c r="AN1041" i="17" s="1"/>
  <c r="H1041" i="14"/>
  <c r="AH1039" i="1"/>
  <c r="E1039" i="24" s="1"/>
  <c r="C1041" i="14" a="1"/>
  <c r="D1041" i="24"/>
  <c r="L1041" i="14" s="1"/>
  <c r="C1041" i="24"/>
  <c r="B1041" i="24" a="1"/>
  <c r="F1041" i="24" a="1"/>
  <c r="F1040" i="24" a="1"/>
  <c r="D1040" i="24"/>
  <c r="C1040" i="24"/>
  <c r="B1040" i="24" a="1"/>
  <c r="AM1040" i="17"/>
  <c r="AL1040" i="17"/>
  <c r="AN1040" i="17" s="1"/>
  <c r="H1040" i="14"/>
  <c r="AM1039" i="17"/>
  <c r="AL1039" i="17"/>
  <c r="AN1039" i="17" s="1"/>
  <c r="H1039" i="14"/>
  <c r="H1030" i="14"/>
  <c r="C1040" i="14" a="1"/>
  <c r="C1039" i="14" a="1"/>
  <c r="D1027" i="14" a="1"/>
  <c r="C1039" i="24"/>
  <c r="D1039" i="24"/>
  <c r="L1039" i="14" s="1"/>
  <c r="B1039" i="24" a="1"/>
  <c r="F1039" i="24" a="1"/>
  <c r="AH355" i="1"/>
  <c r="D1025" i="14" a="1"/>
  <c r="D1026" i="14" a="1"/>
  <c r="D1028" i="14" a="1"/>
  <c r="AH1036" i="1"/>
  <c r="AH1037" i="1"/>
  <c r="AH1038" i="1"/>
  <c r="AL1009" i="17"/>
  <c r="AN1009" i="17" s="1"/>
  <c r="AM1009" i="17"/>
  <c r="AL1008" i="17"/>
  <c r="AN1008" i="17" s="1"/>
  <c r="AM1008" i="17"/>
  <c r="AM1024" i="17"/>
  <c r="AL1024" i="17"/>
  <c r="AN1024" i="17" s="1"/>
  <c r="AL1023" i="17"/>
  <c r="AN1023" i="17" s="1"/>
  <c r="AM1023" i="17"/>
  <c r="AL1016" i="17"/>
  <c r="AN1016" i="17" s="1"/>
  <c r="AM1016" i="17"/>
  <c r="AL1012" i="17"/>
  <c r="AN1012" i="17" s="1"/>
  <c r="AM1012" i="17"/>
  <c r="AL1007" i="17"/>
  <c r="AN1007" i="17" s="1"/>
  <c r="AM1007" i="17"/>
  <c r="AL649" i="17"/>
  <c r="AN649" i="17" s="1"/>
  <c r="AM649" i="17"/>
  <c r="AM650" i="17"/>
  <c r="AL650" i="17"/>
  <c r="AN650" i="17" s="1"/>
  <c r="AL651" i="17"/>
  <c r="AN651" i="17" s="1"/>
  <c r="AM651" i="17"/>
  <c r="AM652" i="17"/>
  <c r="AL652" i="17"/>
  <c r="AN652" i="17" s="1"/>
  <c r="AL653" i="17"/>
  <c r="AN653" i="17" s="1"/>
  <c r="AM653" i="17"/>
  <c r="AM654" i="17"/>
  <c r="AL654" i="17"/>
  <c r="AN654" i="17" s="1"/>
  <c r="AL1022" i="17"/>
  <c r="AN1022" i="17" s="1"/>
  <c r="AM1022" i="17"/>
  <c r="AL1021" i="17"/>
  <c r="AN1021" i="17" s="1"/>
  <c r="AM1021" i="17"/>
  <c r="AL1020" i="17"/>
  <c r="AN1020" i="17" s="1"/>
  <c r="AM1020" i="17"/>
  <c r="AL1019" i="17"/>
  <c r="AN1019" i="17" s="1"/>
  <c r="AM1019" i="17"/>
  <c r="AM1018" i="17"/>
  <c r="AL1018" i="17"/>
  <c r="AN1018" i="17" s="1"/>
  <c r="C3" i="14" a="1"/>
  <c r="AL3" i="17"/>
  <c r="AN3" i="17" s="1"/>
  <c r="C2" i="14" a="1"/>
  <c r="AL2" i="17"/>
  <c r="AN2" i="17" s="1"/>
  <c r="C649" i="14" a="1"/>
  <c r="C650" i="14" a="1"/>
  <c r="C651" i="14" a="1"/>
  <c r="C652" i="14" a="1"/>
  <c r="C653" i="14" a="1"/>
  <c r="C654" i="14" a="1"/>
  <c r="D994" i="14" a="1"/>
  <c r="D995" i="14" a="1"/>
  <c r="D1002" i="14" a="1"/>
  <c r="D1004" i="14" a="1"/>
  <c r="D1005" i="14" a="1"/>
  <c r="D1011" i="14" a="1"/>
  <c r="C1021" i="14" a="1"/>
  <c r="D1006" i="14" a="1"/>
  <c r="D1038" i="24"/>
  <c r="C1038" i="24"/>
  <c r="B1038" i="24" a="1"/>
  <c r="F1038" i="24" a="1"/>
  <c r="D1017" i="14" a="1"/>
  <c r="D1037" i="24"/>
  <c r="F1037" i="24" a="1"/>
  <c r="C1037" i="24"/>
  <c r="B1037" i="24" a="1"/>
  <c r="F1036" i="24" a="1"/>
  <c r="D1036" i="24"/>
  <c r="C1036" i="24"/>
  <c r="B1036" i="24" a="1"/>
  <c r="D1035" i="24"/>
  <c r="C1035" i="24"/>
  <c r="B1035" i="24" a="1"/>
  <c r="F1035" i="24" a="1"/>
  <c r="D1003" i="14" a="1"/>
  <c r="F1034" i="24" a="1"/>
  <c r="D1034" i="24"/>
  <c r="C1034" i="24"/>
  <c r="B1034" i="24" a="1"/>
  <c r="F1032" i="24" a="1"/>
  <c r="D1033" i="24"/>
  <c r="B1033" i="24" a="1"/>
  <c r="F1033" i="24" a="1"/>
  <c r="C1033" i="24"/>
  <c r="H1024" i="14"/>
  <c r="D1032" i="24"/>
  <c r="C1032" i="24"/>
  <c r="B1032" i="24" a="1"/>
  <c r="F1030" i="24" a="1"/>
  <c r="F1031" i="24" a="1"/>
  <c r="D1031" i="24"/>
  <c r="L1031" i="14" s="1"/>
  <c r="C1031" i="24"/>
  <c r="B1031" i="24" a="1"/>
  <c r="H1023" i="14"/>
  <c r="H1022" i="14"/>
  <c r="H1021" i="14"/>
  <c r="D1030" i="24"/>
  <c r="B1030" i="24" a="1"/>
  <c r="C1030" i="24"/>
  <c r="D1001" i="14" a="1"/>
  <c r="C1029" i="24"/>
  <c r="B1029" i="24" a="1"/>
  <c r="D1029" i="24"/>
  <c r="L1029" i="14" s="1"/>
  <c r="F1029" i="24" a="1"/>
  <c r="H1028" i="14"/>
  <c r="H1020" i="14"/>
  <c r="F1028" i="24" a="1"/>
  <c r="D1028" i="24"/>
  <c r="L1028" i="14" s="1"/>
  <c r="C1028" i="24"/>
  <c r="B1028" i="24" a="1"/>
  <c r="D998" i="14" a="1"/>
  <c r="D1027" i="24"/>
  <c r="L1027" i="14" s="1"/>
  <c r="C1027" i="24"/>
  <c r="B1027" i="24" a="1"/>
  <c r="F1027" i="24" a="1"/>
  <c r="H1027" i="14"/>
  <c r="C1089" i="24"/>
  <c r="F1026" i="24" a="1"/>
  <c r="D1026" i="24"/>
  <c r="L1026" i="14" s="1"/>
  <c r="C1026" i="24"/>
  <c r="B1026" i="24" a="1"/>
  <c r="E1080" i="24"/>
  <c r="E1081" i="24"/>
  <c r="E1082" i="24"/>
  <c r="E1083" i="24"/>
  <c r="E1084" i="24"/>
  <c r="E1085" i="24"/>
  <c r="E1086" i="24"/>
  <c r="E1087" i="24"/>
  <c r="E1108" i="24"/>
  <c r="E1109" i="24"/>
  <c r="E1110" i="24"/>
  <c r="E1111" i="24"/>
  <c r="E1112" i="24"/>
  <c r="E1113" i="24"/>
  <c r="E1114" i="24"/>
  <c r="E1115" i="24"/>
  <c r="D997" i="14" a="1"/>
  <c r="E997" i="24" s="1"/>
  <c r="H1025" i="14"/>
  <c r="F1025" i="24" a="1"/>
  <c r="D1025" i="24"/>
  <c r="L1025" i="14" s="1"/>
  <c r="C1025" i="24"/>
  <c r="B1025" i="24" a="1"/>
  <c r="E1024" i="24"/>
  <c r="F1024" i="24" a="1"/>
  <c r="D1024" i="24"/>
  <c r="C1024" i="24"/>
  <c r="B1024" i="24" a="1"/>
  <c r="C1024" i="14" a="1"/>
  <c r="C1023" i="14" a="1"/>
  <c r="E1023" i="24"/>
  <c r="C1022" i="14" a="1"/>
  <c r="D1023" i="24"/>
  <c r="C1023" i="24"/>
  <c r="B1023" i="24" a="1"/>
  <c r="F1023" i="24" a="1"/>
  <c r="AH911" i="1"/>
  <c r="AH910" i="1"/>
  <c r="F1022" i="24" a="1"/>
  <c r="D1022" i="24"/>
  <c r="C1022" i="24"/>
  <c r="B1022" i="24" a="1"/>
  <c r="H1019" i="14"/>
  <c r="H1018" i="14"/>
  <c r="F1021" i="24" a="1"/>
  <c r="D1021" i="24"/>
  <c r="C1021" i="24"/>
  <c r="B1021" i="24" a="1"/>
  <c r="F1020" i="24" a="1"/>
  <c r="D1020" i="24"/>
  <c r="L1020" i="14" s="1"/>
  <c r="C1020" i="24"/>
  <c r="B1020" i="24" a="1"/>
  <c r="E1020" i="24"/>
  <c r="C1020" i="14" a="1"/>
  <c r="F1019" i="24" a="1"/>
  <c r="D1019" i="24"/>
  <c r="L1019" i="14" s="1"/>
  <c r="C1019" i="24"/>
  <c r="B1019" i="24" a="1"/>
  <c r="C1019" i="14" a="1"/>
  <c r="E1019" i="24"/>
  <c r="AH314" i="1"/>
  <c r="E1018" i="24"/>
  <c r="C1018" i="14" a="1"/>
  <c r="F1018" i="24" a="1"/>
  <c r="D1018" i="24"/>
  <c r="C1018" i="24"/>
  <c r="B1018" i="24" a="1"/>
  <c r="F411" i="24" a="1"/>
  <c r="F395" i="24" a="1"/>
  <c r="F384" i="24" a="1"/>
  <c r="F351" i="24" a="1"/>
  <c r="F336" i="24" a="1"/>
  <c r="F307" i="24" a="1"/>
  <c r="F293" i="24" a="1"/>
  <c r="F275" i="24" a="1"/>
  <c r="F263" i="24" a="1"/>
  <c r="F250" i="24" a="1"/>
  <c r="F238" i="24" a="1"/>
  <c r="F216" i="24" a="1"/>
  <c r="F200" i="24" a="1"/>
  <c r="F199" i="24" a="1"/>
  <c r="F198" i="24" a="1"/>
  <c r="F197" i="24" a="1"/>
  <c r="F196" i="24" a="1"/>
  <c r="F195" i="24" a="1"/>
  <c r="F194" i="24" a="1"/>
  <c r="F193" i="24" a="1"/>
  <c r="F192" i="24" a="1"/>
  <c r="F191" i="24" a="1"/>
  <c r="F417" i="24" a="1"/>
  <c r="F391" i="24" a="1"/>
  <c r="F374" i="24" a="1"/>
  <c r="F365" i="24" a="1"/>
  <c r="F352" i="24" a="1"/>
  <c r="F339" i="24" a="1"/>
  <c r="F317" i="24" a="1"/>
  <c r="F301" i="24" a="1"/>
  <c r="F286" i="24" a="1"/>
  <c r="F270" i="24" a="1"/>
  <c r="F259" i="24" a="1"/>
  <c r="F247" i="24" a="1"/>
  <c r="F235" i="24" a="1"/>
  <c r="F221" i="24" a="1"/>
  <c r="F206" i="24" a="1"/>
  <c r="F496" i="24" a="1"/>
  <c r="F477" i="24" a="1"/>
  <c r="F470" i="24" a="1"/>
  <c r="F449" i="24" a="1"/>
  <c r="F441" i="24" a="1"/>
  <c r="F428" i="24" a="1"/>
  <c r="F420" i="24" a="1"/>
  <c r="F410" i="24" a="1"/>
  <c r="F389" i="24" a="1"/>
  <c r="F382" i="24" a="1"/>
  <c r="F361" i="24" a="1"/>
  <c r="F349" i="24" a="1"/>
  <c r="F333" i="24" a="1"/>
  <c r="F320" i="24" a="1"/>
  <c r="F310" i="24" a="1"/>
  <c r="F297" i="24" a="1"/>
  <c r="F289" i="24" a="1"/>
  <c r="F274" i="24" a="1"/>
  <c r="F260" i="24" a="1"/>
  <c r="F231" i="24" a="1"/>
  <c r="F658" i="24" a="1"/>
  <c r="F646" i="24" a="1"/>
  <c r="F639" i="24" a="1"/>
  <c r="F635" i="24" a="1"/>
  <c r="F630" i="24" a="1"/>
  <c r="F621" i="24" a="1"/>
  <c r="F610" i="24" a="1"/>
  <c r="F608" i="24" a="1"/>
  <c r="F601" i="24" a="1"/>
  <c r="F595" i="24" a="1"/>
  <c r="F586" i="24" a="1"/>
  <c r="F580" i="24" a="1"/>
  <c r="F572" i="24" a="1"/>
  <c r="F559" i="24" a="1"/>
  <c r="F551" i="24" a="1"/>
  <c r="F542" i="24" a="1"/>
  <c r="F528" i="24" a="1"/>
  <c r="F521" i="24" a="1"/>
  <c r="F516" i="24" a="1"/>
  <c r="F511" i="24" a="1"/>
  <c r="F499" i="24" a="1"/>
  <c r="F490" i="24" a="1"/>
  <c r="F479" i="24" a="1"/>
  <c r="F468" i="24" a="1"/>
  <c r="F462" i="24" a="1"/>
  <c r="F452" i="24" a="1"/>
  <c r="F445" i="24" a="1"/>
  <c r="F438" i="24" a="1"/>
  <c r="F433" i="24" a="1"/>
  <c r="F425" i="24" a="1"/>
  <c r="F413" i="24" a="1"/>
  <c r="F401" i="24" a="1"/>
  <c r="F387" i="24" a="1"/>
  <c r="F377" i="24" a="1"/>
  <c r="F357" i="24" a="1"/>
  <c r="F345" i="24" a="1"/>
  <c r="F324" i="24" a="1"/>
  <c r="F312" i="24" a="1"/>
  <c r="F298" i="24" a="1"/>
  <c r="F284" i="24" a="1"/>
  <c r="F276" i="24" a="1"/>
  <c r="F269" i="24" a="1"/>
  <c r="F256" i="24" a="1"/>
  <c r="F245" i="24" a="1"/>
  <c r="F228" i="24" a="1"/>
  <c r="F212" i="24" a="1"/>
  <c r="F359" i="24" a="1"/>
  <c r="F342" i="24" a="1"/>
  <c r="F328" i="24" a="1"/>
  <c r="F315" i="24" a="1"/>
  <c r="F304" i="24" a="1"/>
  <c r="F272" i="24" a="1"/>
  <c r="F255" i="24" a="1"/>
  <c r="F225" i="24" a="1"/>
  <c r="F523" i="24" a="1"/>
  <c r="F506" i="24" a="1"/>
  <c r="F494" i="24" a="1"/>
  <c r="F486" i="24" a="1"/>
  <c r="F476" i="24" a="1"/>
  <c r="F467" i="24" a="1"/>
  <c r="F448" i="24" a="1"/>
  <c r="F429" i="24" a="1"/>
  <c r="F421" i="24" a="1"/>
  <c r="F406" i="24" a="1"/>
  <c r="F398" i="24" a="1"/>
  <c r="F383" i="24" a="1"/>
  <c r="F372" i="24" a="1"/>
  <c r="F363" i="24" a="1"/>
  <c r="F348" i="24" a="1"/>
  <c r="F322" i="24" a="1"/>
  <c r="F308" i="24" a="1"/>
  <c r="F296" i="24" a="1"/>
  <c r="F281" i="24" a="1"/>
  <c r="F261" i="24" a="1"/>
  <c r="F242" i="24" a="1"/>
  <c r="F226" i="24" a="1"/>
  <c r="F208" i="24" a="1"/>
  <c r="F471" i="24" a="1"/>
  <c r="F454" i="24" a="1"/>
  <c r="F233" i="24" a="1"/>
  <c r="F211" i="24" a="1"/>
  <c r="F558" i="24" a="1"/>
  <c r="F540" i="24" a="1"/>
  <c r="F534" i="24" a="1"/>
  <c r="F518" i="24" a="1"/>
  <c r="F508" i="24" a="1"/>
  <c r="F500" i="24" a="1"/>
  <c r="F481" i="24" a="1"/>
  <c r="F465" i="24" a="1"/>
  <c r="F459" i="24" a="1"/>
  <c r="F455" i="24" a="1"/>
  <c r="F426" i="24" a="1"/>
  <c r="F415" i="24" a="1"/>
  <c r="F404" i="24" a="1"/>
  <c r="F394" i="24" a="1"/>
  <c r="F369" i="24" a="1"/>
  <c r="F346" i="24" a="1"/>
  <c r="F330" i="24" a="1"/>
  <c r="F316" i="24" a="1"/>
  <c r="F303" i="24" a="1"/>
  <c r="F271" i="24" a="1"/>
  <c r="F253" i="24" a="1"/>
  <c r="F240" i="24" a="1"/>
  <c r="F594" i="24" a="1"/>
  <c r="F578" i="24" a="1"/>
  <c r="F568" i="24" a="1"/>
  <c r="F557" i="24" a="1"/>
  <c r="F549" i="24" a="1"/>
  <c r="F538" i="24" a="1"/>
  <c r="F531" i="24" a="1"/>
  <c r="F525" i="24" a="1"/>
  <c r="F505" i="24" a="1"/>
  <c r="F487" i="24" a="1"/>
  <c r="F466" i="24" a="1"/>
  <c r="F457" i="24" a="1"/>
  <c r="F435" i="24" a="1"/>
  <c r="F422" i="24" a="1"/>
  <c r="F409" i="24" a="1"/>
  <c r="F399" i="24" a="1"/>
  <c r="F381" i="24" a="1"/>
  <c r="F362" i="24" a="1"/>
  <c r="F343" i="24" a="1"/>
  <c r="F332" i="24" a="1"/>
  <c r="F321" i="24" a="1"/>
  <c r="F309" i="24" a="1"/>
  <c r="F295" i="24" a="1"/>
  <c r="F290" i="24" a="1"/>
  <c r="F280" i="24" a="1"/>
  <c r="F273" i="24" a="1"/>
  <c r="F252" i="24" a="1"/>
  <c r="F232" i="24" a="1"/>
  <c r="F207" i="24" a="1"/>
  <c r="F691" i="24" a="1"/>
  <c r="F675" i="24" a="1"/>
  <c r="F670" i="24" a="1"/>
  <c r="F663" i="24" a="1"/>
  <c r="F650" i="24" a="1"/>
  <c r="F642" i="24" a="1"/>
  <c r="F636" i="24" a="1"/>
  <c r="F629" i="24" a="1"/>
  <c r="F622" i="24" a="1"/>
  <c r="F615" i="24" a="1"/>
  <c r="F606" i="24" a="1"/>
  <c r="F597" i="24" a="1"/>
  <c r="F589" i="24" a="1"/>
  <c r="F573" i="24" a="1"/>
  <c r="F565" i="24" a="1"/>
  <c r="F556" i="24" a="1"/>
  <c r="F548" i="24" a="1"/>
  <c r="F543" i="24" a="1"/>
  <c r="F537" i="24" a="1"/>
  <c r="F530" i="24" a="1"/>
  <c r="F524" i="24" a="1"/>
  <c r="F514" i="24" a="1"/>
  <c r="F507" i="24" a="1"/>
  <c r="F495" i="24" a="1"/>
  <c r="F491" i="24" a="1"/>
  <c r="F482" i="24" a="1"/>
  <c r="F461" i="24" a="1"/>
  <c r="F447" i="24" a="1"/>
  <c r="F430" i="24" a="1"/>
  <c r="F419" i="24" a="1"/>
  <c r="F405" i="24" a="1"/>
  <c r="F397" i="24" a="1"/>
  <c r="F371" i="24" a="1"/>
  <c r="F360" i="24" a="1"/>
  <c r="F347" i="24" a="1"/>
  <c r="F334" i="24" a="1"/>
  <c r="F319" i="24" a="1"/>
  <c r="F292" i="24" a="1"/>
  <c r="F282" i="24" a="1"/>
  <c r="F262" i="24" a="1"/>
  <c r="F243" i="24" a="1"/>
  <c r="F227" i="24" a="1"/>
  <c r="F214" i="24" a="1"/>
  <c r="F209" i="24" a="1"/>
  <c r="F254" i="24" a="1"/>
  <c r="F223" i="24" a="1"/>
  <c r="F210" i="24" a="1"/>
  <c r="F702" i="24" a="1"/>
  <c r="F686" i="24" a="1"/>
  <c r="F681" i="24" a="1"/>
  <c r="F671" i="24" a="1"/>
  <c r="F664" i="24" a="1"/>
  <c r="F659" i="24" a="1"/>
  <c r="F512" i="24" a="1"/>
  <c r="F501" i="24" a="1"/>
  <c r="F488" i="24" a="1"/>
  <c r="F480" i="24" a="1"/>
  <c r="F472" i="24" a="1"/>
  <c r="F460" i="24" a="1"/>
  <c r="F446" i="24" a="1"/>
  <c r="F432" i="24" a="1"/>
  <c r="F414" i="24" a="1"/>
  <c r="F403" i="24" a="1"/>
  <c r="F386" i="24" a="1"/>
  <c r="F373" i="24" a="1"/>
  <c r="F358" i="24" a="1"/>
  <c r="F341" i="24" a="1"/>
  <c r="F329" i="24" a="1"/>
  <c r="F305" i="24" a="1"/>
  <c r="F291" i="24" a="1"/>
  <c r="F241" i="24" a="1"/>
  <c r="F224" i="24" a="1"/>
  <c r="F456" i="24" a="1"/>
  <c r="F439" i="24" a="1"/>
  <c r="F434" i="24" a="1"/>
  <c r="F424" i="24" a="1"/>
  <c r="F408" i="24" a="1"/>
  <c r="F400" i="24" a="1"/>
  <c r="F388" i="24" a="1"/>
  <c r="F378" i="24" a="1"/>
  <c r="F368" i="24" a="1"/>
  <c r="F353" i="24" a="1"/>
  <c r="F327" i="24" a="1"/>
  <c r="F314" i="24" a="1"/>
  <c r="F302" i="24" a="1"/>
  <c r="F287" i="24" a="1"/>
  <c r="F278" i="24" a="1"/>
  <c r="F266" i="24" a="1"/>
  <c r="F248" i="24" a="1"/>
  <c r="F236" i="24" a="1"/>
  <c r="F222" i="24" a="1"/>
  <c r="F204" i="24" a="1"/>
  <c r="F607" i="24" a="1"/>
  <c r="F588" i="24" a="1"/>
  <c r="F582" i="24" a="1"/>
  <c r="F574" i="24" a="1"/>
  <c r="F566" i="24" a="1"/>
  <c r="F560" i="24" a="1"/>
  <c r="F554" i="24" a="1"/>
  <c r="F541" i="24" a="1"/>
  <c r="F529" i="24" a="1"/>
  <c r="F522" i="24" a="1"/>
  <c r="F515" i="24" a="1"/>
  <c r="F504" i="24" a="1"/>
  <c r="F498" i="24" a="1"/>
  <c r="F489" i="24" a="1"/>
  <c r="F478" i="24" a="1"/>
  <c r="F469" i="24" a="1"/>
  <c r="F463" i="24" a="1"/>
  <c r="F453" i="24" a="1"/>
  <c r="F443" i="24" a="1"/>
  <c r="F437" i="24" a="1"/>
  <c r="F418" i="24" a="1"/>
  <c r="F393" i="24" a="1"/>
  <c r="F376" i="24" a="1"/>
  <c r="F364" i="24" a="1"/>
  <c r="F356" i="24" a="1"/>
  <c r="F338" i="24" a="1"/>
  <c r="F318" i="24" a="1"/>
  <c r="F300" i="24" a="1"/>
  <c r="F283" i="24" a="1"/>
  <c r="F265" i="24" a="1"/>
  <c r="F258" i="24" a="1"/>
  <c r="F244" i="24" a="1"/>
  <c r="F237" i="24" a="1"/>
  <c r="F220" i="24" a="1"/>
  <c r="F205" i="24" a="1"/>
  <c r="F217" i="24" a="1"/>
  <c r="F690" i="24" a="1"/>
  <c r="F680" i="24" a="1"/>
  <c r="F676" i="24" a="1"/>
  <c r="F669" i="24" a="1"/>
  <c r="F665" i="24" a="1"/>
  <c r="F657" i="24" a="1"/>
  <c r="F654" i="24" a="1"/>
  <c r="F649" i="24" a="1"/>
  <c r="F641" i="24" a="1"/>
  <c r="F634" i="24" a="1"/>
  <c r="F628" i="24" a="1"/>
  <c r="F619" i="24" a="1"/>
  <c r="F617" i="24" a="1"/>
  <c r="F612" i="24" a="1"/>
  <c r="F605" i="24" a="1"/>
  <c r="F596" i="24" a="1"/>
  <c r="F591" i="24" a="1"/>
  <c r="F584" i="24" a="1"/>
  <c r="F577" i="24" a="1"/>
  <c r="F570" i="24" a="1"/>
  <c r="F563" i="24" a="1"/>
  <c r="F550" i="24" a="1"/>
  <c r="F545" i="24" a="1"/>
  <c r="F539" i="24" a="1"/>
  <c r="F532" i="24" a="1"/>
  <c r="F526" i="24" a="1"/>
  <c r="F517" i="24" a="1"/>
  <c r="F509" i="24" a="1"/>
  <c r="F502" i="24" a="1"/>
  <c r="F492" i="24" a="1"/>
  <c r="F485" i="24" a="1"/>
  <c r="F474" i="24" a="1"/>
  <c r="F450" i="24" a="1"/>
  <c r="F436" i="24" a="1"/>
  <c r="F423" i="24" a="1"/>
  <c r="F396" i="24" a="1"/>
  <c r="F385" i="24" a="1"/>
  <c r="F379" i="24" a="1"/>
  <c r="F370" i="24" a="1"/>
  <c r="F340" i="24" a="1"/>
  <c r="F331" i="24" a="1"/>
  <c r="F306" i="24" a="1"/>
  <c r="F294" i="24" a="1"/>
  <c r="F230" i="24" a="1"/>
  <c r="F1017" i="24" a="1"/>
  <c r="F1016" i="24" a="1"/>
  <c r="F1015" i="24" a="1"/>
  <c r="F1014" i="24" a="1"/>
  <c r="F1013" i="24" a="1"/>
  <c r="F1012" i="24" a="1"/>
  <c r="F1011" i="24" a="1"/>
  <c r="F1010" i="24" a="1"/>
  <c r="F1009" i="24" a="1"/>
  <c r="F1008" i="24" a="1"/>
  <c r="F1007" i="24" a="1"/>
  <c r="F1006" i="24" a="1"/>
  <c r="F1005" i="24" a="1"/>
  <c r="F1004" i="24" a="1"/>
  <c r="F1003" i="24" a="1"/>
  <c r="F1002" i="24" a="1"/>
  <c r="F1001" i="24" a="1"/>
  <c r="F1000" i="24" a="1"/>
  <c r="F999" i="24" a="1"/>
  <c r="F998" i="24" a="1"/>
  <c r="F997" i="24" a="1"/>
  <c r="F996" i="24" a="1"/>
  <c r="F995" i="24" a="1"/>
  <c r="F994" i="24" a="1"/>
  <c r="F993" i="24" a="1"/>
  <c r="F992" i="24" a="1"/>
  <c r="F991" i="24" a="1"/>
  <c r="F990" i="24" a="1"/>
  <c r="F989" i="24" a="1"/>
  <c r="F988" i="24" a="1"/>
  <c r="F987" i="24" a="1"/>
  <c r="F986" i="24" a="1"/>
  <c r="F985" i="24" a="1"/>
  <c r="F984" i="24" a="1"/>
  <c r="F983" i="24" a="1"/>
  <c r="F982" i="24" a="1"/>
  <c r="F981" i="24" a="1"/>
  <c r="F980" i="24" a="1"/>
  <c r="F979" i="24" a="1"/>
  <c r="F978" i="24" a="1"/>
  <c r="F977" i="24" a="1"/>
  <c r="F976" i="24" a="1"/>
  <c r="F975" i="24" a="1"/>
  <c r="F974" i="24" a="1"/>
  <c r="F973" i="24" a="1"/>
  <c r="F972" i="24" a="1"/>
  <c r="F971" i="24" a="1"/>
  <c r="F970" i="24" a="1"/>
  <c r="F969" i="24" a="1"/>
  <c r="F968" i="24" a="1"/>
  <c r="F967" i="24" a="1"/>
  <c r="F966" i="24" a="1"/>
  <c r="F965" i="24" a="1"/>
  <c r="F964" i="24" a="1"/>
  <c r="F963" i="24" a="1"/>
  <c r="F962" i="24" a="1"/>
  <c r="F961" i="24" a="1"/>
  <c r="F960" i="24" a="1"/>
  <c r="F959" i="24" a="1"/>
  <c r="F958" i="24" a="1"/>
  <c r="F957" i="24" a="1"/>
  <c r="F956" i="24" a="1"/>
  <c r="F955" i="24" a="1"/>
  <c r="F954" i="24" a="1"/>
  <c r="F953" i="24" a="1"/>
  <c r="F952" i="24" a="1"/>
  <c r="F951" i="24" a="1"/>
  <c r="F950" i="24" a="1"/>
  <c r="F949" i="24" a="1"/>
  <c r="F948" i="24" a="1"/>
  <c r="F947" i="24" a="1"/>
  <c r="F946" i="24" a="1"/>
  <c r="F945" i="24" a="1"/>
  <c r="F944" i="24" a="1"/>
  <c r="F943" i="24" a="1"/>
  <c r="F942" i="24" a="1"/>
  <c r="F941" i="24" a="1"/>
  <c r="F940" i="24" a="1"/>
  <c r="F939" i="24" a="1"/>
  <c r="F938" i="24" a="1"/>
  <c r="F937" i="24" a="1"/>
  <c r="F936" i="24" a="1"/>
  <c r="F935" i="24" a="1"/>
  <c r="F934" i="24" a="1"/>
  <c r="F933" i="24" a="1"/>
  <c r="F932" i="24" a="1"/>
  <c r="F931" i="24" a="1"/>
  <c r="F930" i="24" a="1"/>
  <c r="F929" i="24" a="1"/>
  <c r="F928" i="24" a="1"/>
  <c r="F927" i="24" a="1"/>
  <c r="F926" i="24" a="1"/>
  <c r="F925" i="24" a="1"/>
  <c r="F924" i="24" a="1"/>
  <c r="F923" i="24" a="1"/>
  <c r="F922" i="24" a="1"/>
  <c r="F921" i="24" a="1"/>
  <c r="F920" i="24" a="1"/>
  <c r="F919" i="24" a="1"/>
  <c r="F918" i="24" a="1"/>
  <c r="F917" i="24" a="1"/>
  <c r="F916" i="24" a="1"/>
  <c r="F915" i="24" a="1"/>
  <c r="F914" i="24" a="1"/>
  <c r="F913" i="24" a="1"/>
  <c r="F912" i="24" a="1"/>
  <c r="F911" i="24" a="1"/>
  <c r="F910" i="24" a="1"/>
  <c r="F909" i="24" a="1"/>
  <c r="F908" i="24" a="1"/>
  <c r="F907" i="24" a="1"/>
  <c r="F906" i="24" a="1"/>
  <c r="F905" i="24" a="1"/>
  <c r="F904" i="24" a="1"/>
  <c r="F903" i="24" a="1"/>
  <c r="F902" i="24" a="1"/>
  <c r="F900" i="24" a="1"/>
  <c r="F899" i="24" a="1"/>
  <c r="F898" i="24" a="1"/>
  <c r="F897" i="24" a="1"/>
  <c r="F896" i="24" a="1"/>
  <c r="F895" i="24" a="1"/>
  <c r="F894" i="24" a="1"/>
  <c r="F892" i="24" a="1"/>
  <c r="F891" i="24" a="1"/>
  <c r="F889" i="24" a="1"/>
  <c r="F888" i="24" a="1"/>
  <c r="F886" i="24" a="1"/>
  <c r="F884" i="24" a="1"/>
  <c r="F882" i="24" a="1"/>
  <c r="F880" i="24" a="1"/>
  <c r="F878" i="24" a="1"/>
  <c r="F876" i="24" a="1"/>
  <c r="F874" i="24" a="1"/>
  <c r="F872" i="24" a="1"/>
  <c r="F869" i="24" a="1"/>
  <c r="F868" i="24" a="1"/>
  <c r="F866" i="24" a="1"/>
  <c r="F864" i="24" a="1"/>
  <c r="F862" i="24" a="1"/>
  <c r="F860" i="24" a="1"/>
  <c r="F858" i="24" a="1"/>
  <c r="F856" i="24" a="1"/>
  <c r="F854" i="24" a="1"/>
  <c r="F852" i="24" a="1"/>
  <c r="F850" i="24" a="1"/>
  <c r="F848" i="24" a="1"/>
  <c r="F846" i="24" a="1"/>
  <c r="F845" i="24" a="1"/>
  <c r="F843" i="24" a="1"/>
  <c r="F841" i="24" a="1"/>
  <c r="F839" i="24" a="1"/>
  <c r="F837" i="24" a="1"/>
  <c r="F835" i="24" a="1"/>
  <c r="F832" i="24" a="1"/>
  <c r="F830" i="24" a="1"/>
  <c r="F828" i="24" a="1"/>
  <c r="F826" i="24" a="1"/>
  <c r="F824" i="24" a="1"/>
  <c r="F821" i="24" a="1"/>
  <c r="F819" i="24" a="1"/>
  <c r="F817" i="24" a="1"/>
  <c r="F815" i="24" a="1"/>
  <c r="F813" i="24" a="1"/>
  <c r="F810" i="24" a="1"/>
  <c r="F807" i="24" a="1"/>
  <c r="F805" i="24" a="1"/>
  <c r="F803" i="24" a="1"/>
  <c r="F801" i="24" a="1"/>
  <c r="F798" i="24" a="1"/>
  <c r="F796" i="24" a="1"/>
  <c r="F788" i="24" a="1"/>
  <c r="F786" i="24" a="1"/>
  <c r="F784" i="24" a="1"/>
  <c r="F782" i="24" a="1"/>
  <c r="F779" i="24" a="1"/>
  <c r="F777" i="24" a="1"/>
  <c r="F776" i="24" a="1"/>
  <c r="F774" i="24" a="1"/>
  <c r="F773" i="24" a="1"/>
  <c r="F770" i="24" a="1"/>
  <c r="F768" i="24" a="1"/>
  <c r="F766" i="24" a="1"/>
  <c r="F764" i="24" a="1"/>
  <c r="F762" i="24" a="1"/>
  <c r="F760" i="24" a="1"/>
  <c r="F758" i="24" a="1"/>
  <c r="F756" i="24" a="1"/>
  <c r="F754" i="24" a="1"/>
  <c r="F752" i="24" a="1"/>
  <c r="F750" i="24" a="1"/>
  <c r="F748" i="24" a="1"/>
  <c r="F747" i="24" a="1"/>
  <c r="F746" i="24" a="1"/>
  <c r="F744" i="24" a="1"/>
  <c r="F742" i="24" a="1"/>
  <c r="F740" i="24" a="1"/>
  <c r="F738" i="24" a="1"/>
  <c r="F736" i="24" a="1"/>
  <c r="F733" i="24" a="1"/>
  <c r="F731" i="24" a="1"/>
  <c r="F729" i="24" a="1"/>
  <c r="F728" i="24" a="1"/>
  <c r="F726" i="24" a="1"/>
  <c r="F724" i="24" a="1"/>
  <c r="F723" i="24" a="1"/>
  <c r="F719" i="24" a="1"/>
  <c r="F716" i="24" a="1"/>
  <c r="F711" i="24" a="1"/>
  <c r="F708" i="24" a="1"/>
  <c r="F705" i="24" a="1"/>
  <c r="F701" i="24" a="1"/>
  <c r="F698" i="24" a="1"/>
  <c r="F695" i="24" a="1"/>
  <c r="F688" i="24" a="1"/>
  <c r="F684" i="24" a="1"/>
  <c r="F678" i="24" a="1"/>
  <c r="F672" i="24" a="1"/>
  <c r="F666" i="24" a="1"/>
  <c r="F662" i="24" a="1"/>
  <c r="F655" i="24" a="1"/>
  <c r="F651" i="24" a="1"/>
  <c r="F645" i="24" a="1"/>
  <c r="F640" i="24" a="1"/>
  <c r="F633" i="24" a="1"/>
  <c r="F625" i="24" a="1"/>
  <c r="F620" i="24" a="1"/>
  <c r="F616" i="24" a="1"/>
  <c r="F611" i="24" a="1"/>
  <c r="F604" i="24" a="1"/>
  <c r="F600" i="24" a="1"/>
  <c r="F592" i="24" a="1"/>
  <c r="F583" i="24" a="1"/>
  <c r="F576" i="24" a="1"/>
  <c r="F569" i="24" a="1"/>
  <c r="F564" i="24" a="1"/>
  <c r="F552" i="24" a="1"/>
  <c r="F547" i="24" a="1"/>
  <c r="F544" i="24" a="1"/>
  <c r="F533" i="24" a="1"/>
  <c r="F520" i="24" a="1"/>
  <c r="F513" i="24" a="1"/>
  <c r="F503" i="24" a="1"/>
  <c r="F493" i="24" a="1"/>
  <c r="F484" i="24" a="1"/>
  <c r="F475" i="24" a="1"/>
  <c r="F464" i="24" a="1"/>
  <c r="F442" i="24" a="1"/>
  <c r="F427" i="24" a="1"/>
  <c r="F412" i="24" a="1"/>
  <c r="F402" i="24" a="1"/>
  <c r="F390" i="24" a="1"/>
  <c r="F380" i="24" a="1"/>
  <c r="F350" i="24" a="1"/>
  <c r="F335" i="24" a="1"/>
  <c r="F323" i="24" a="1"/>
  <c r="F264" i="24" a="1"/>
  <c r="F251" i="24" a="1"/>
  <c r="F239" i="24" a="1"/>
  <c r="F215" i="24" a="1"/>
  <c r="F201" i="24" a="1"/>
  <c r="F901" i="24" a="1"/>
  <c r="F893" i="24" a="1"/>
  <c r="F890" i="24" a="1"/>
  <c r="F887" i="24" a="1"/>
  <c r="F885" i="24" a="1"/>
  <c r="F883" i="24" a="1"/>
  <c r="F881" i="24" a="1"/>
  <c r="F879" i="24" a="1"/>
  <c r="F877" i="24" a="1"/>
  <c r="F875" i="24" a="1"/>
  <c r="F873" i="24" a="1"/>
  <c r="F871" i="24" a="1"/>
  <c r="F870" i="24" a="1"/>
  <c r="F867" i="24" a="1"/>
  <c r="F865" i="24" a="1"/>
  <c r="F863" i="24" a="1"/>
  <c r="F861" i="24" a="1"/>
  <c r="F859" i="24" a="1"/>
  <c r="F857" i="24" a="1"/>
  <c r="F855" i="24" a="1"/>
  <c r="F853" i="24" a="1"/>
  <c r="F851" i="24" a="1"/>
  <c r="F849" i="24" a="1"/>
  <c r="F847" i="24" a="1"/>
  <c r="F844" i="24" a="1"/>
  <c r="F842" i="24" a="1"/>
  <c r="F840" i="24" a="1"/>
  <c r="F838" i="24" a="1"/>
  <c r="F836" i="24" a="1"/>
  <c r="F834" i="24" a="1"/>
  <c r="F833" i="24" a="1"/>
  <c r="F831" i="24" a="1"/>
  <c r="F829" i="24" a="1"/>
  <c r="F827" i="24" a="1"/>
  <c r="F825" i="24" a="1"/>
  <c r="F823" i="24" a="1"/>
  <c r="F822" i="24" a="1"/>
  <c r="F820" i="24" a="1"/>
  <c r="F818" i="24" a="1"/>
  <c r="F816" i="24" a="1"/>
  <c r="F814" i="24" a="1"/>
  <c r="F812" i="24" a="1"/>
  <c r="F811" i="24" a="1"/>
  <c r="F809" i="24" a="1"/>
  <c r="F808" i="24" a="1"/>
  <c r="F806" i="24" a="1"/>
  <c r="F804" i="24" a="1"/>
  <c r="F802" i="24" a="1"/>
  <c r="F800" i="24" a="1"/>
  <c r="F799" i="24" a="1"/>
  <c r="F797" i="24" a="1"/>
  <c r="F795" i="24" a="1"/>
  <c r="F794" i="24" a="1"/>
  <c r="F793" i="24" a="1"/>
  <c r="F792" i="24" a="1"/>
  <c r="F791" i="24" a="1"/>
  <c r="F790" i="24" a="1"/>
  <c r="F789" i="24" a="1"/>
  <c r="F787" i="24" a="1"/>
  <c r="F785" i="24" a="1"/>
  <c r="F783" i="24" a="1"/>
  <c r="F781" i="24" a="1"/>
  <c r="F780" i="24" a="1"/>
  <c r="F778" i="24" a="1"/>
  <c r="F775" i="24" a="1"/>
  <c r="F772" i="24" a="1"/>
  <c r="F771" i="24" a="1"/>
  <c r="F769" i="24" a="1"/>
  <c r="F767" i="24" a="1"/>
  <c r="F765" i="24" a="1"/>
  <c r="F763" i="24" a="1"/>
  <c r="F761" i="24" a="1"/>
  <c r="F759" i="24" a="1"/>
  <c r="F757" i="24" a="1"/>
  <c r="F755" i="24" a="1"/>
  <c r="F753" i="24" a="1"/>
  <c r="F751" i="24" a="1"/>
  <c r="F749" i="24" a="1"/>
  <c r="F745" i="24" a="1"/>
  <c r="F743" i="24" a="1"/>
  <c r="F741" i="24" a="1"/>
  <c r="F739" i="24" a="1"/>
  <c r="F737" i="24" a="1"/>
  <c r="F735" i="24" a="1"/>
  <c r="F732" i="24" a="1"/>
  <c r="F730" i="24" a="1"/>
  <c r="F718" i="24" a="1"/>
  <c r="F715" i="24" a="1"/>
  <c r="F713" i="24" a="1"/>
  <c r="F712" i="24" a="1"/>
  <c r="F709" i="24" a="1"/>
  <c r="F706" i="24" a="1"/>
  <c r="F704" i="24" a="1"/>
  <c r="F699" i="24" a="1"/>
  <c r="F696" i="24" a="1"/>
  <c r="F693" i="24" a="1"/>
  <c r="F687" i="24" a="1"/>
  <c r="F683" i="24" a="1"/>
  <c r="F679" i="24" a="1"/>
  <c r="F674" i="24" a="1"/>
  <c r="F668" i="24" a="1"/>
  <c r="F661" i="24" a="1"/>
  <c r="F652" i="24" a="1"/>
  <c r="F647" i="24" a="1"/>
  <c r="F644" i="24" a="1"/>
  <c r="F638" i="24" a="1"/>
  <c r="F631" i="24" a="1"/>
  <c r="F627" i="24" a="1"/>
  <c r="F624" i="24" a="1"/>
  <c r="F618" i="24" a="1"/>
  <c r="F614" i="24" a="1"/>
  <c r="F609" i="24" a="1"/>
  <c r="F602" i="24" a="1"/>
  <c r="F599" i="24" a="1"/>
  <c r="F590" i="24" a="1"/>
  <c r="F585" i="24" a="1"/>
  <c r="F579" i="24" a="1"/>
  <c r="F571" i="24" a="1"/>
  <c r="F561" i="24" a="1"/>
  <c r="F553" i="24" a="1"/>
  <c r="F546" i="24" a="1"/>
  <c r="F536" i="24" a="1"/>
  <c r="F527" i="24" a="1"/>
  <c r="F366" i="24" a="1"/>
  <c r="F354" i="24" a="1"/>
  <c r="F337" i="24" a="1"/>
  <c r="F326" i="24" a="1"/>
  <c r="F313" i="24" a="1"/>
  <c r="F299" i="24" a="1"/>
  <c r="F285" i="24" a="1"/>
  <c r="F279" i="24" a="1"/>
  <c r="F267" i="24" a="1"/>
  <c r="F257" i="24" a="1"/>
  <c r="F246" i="24" a="1"/>
  <c r="F234" i="24" a="1"/>
  <c r="F219" i="24" a="1"/>
  <c r="F213" i="24" a="1"/>
  <c r="F202" i="24" a="1"/>
  <c r="F734" i="24" a="1"/>
  <c r="F727" i="24" a="1"/>
  <c r="F725" i="24" a="1"/>
  <c r="F722" i="24" a="1"/>
  <c r="F721" i="24" a="1"/>
  <c r="F720" i="24" a="1"/>
  <c r="F717" i="24" a="1"/>
  <c r="F714" i="24" a="1"/>
  <c r="F710" i="24" a="1"/>
  <c r="F707" i="24" a="1"/>
  <c r="F703" i="24" a="1"/>
  <c r="F700" i="24" a="1"/>
  <c r="F697" i="24" a="1"/>
  <c r="F694" i="24" a="1"/>
  <c r="F692" i="24" a="1"/>
  <c r="F689" i="24" a="1"/>
  <c r="F685" i="24" a="1"/>
  <c r="F682" i="24" a="1"/>
  <c r="F677" i="24" a="1"/>
  <c r="F673" i="24" a="1"/>
  <c r="F667" i="24" a="1"/>
  <c r="F660" i="24" a="1"/>
  <c r="F656" i="24" a="1"/>
  <c r="F653" i="24" a="1"/>
  <c r="F648" i="24" a="1"/>
  <c r="F643" i="24" a="1"/>
  <c r="F637" i="24" a="1"/>
  <c r="F632" i="24" a="1"/>
  <c r="F626" i="24" a="1"/>
  <c r="F623" i="24" a="1"/>
  <c r="F613" i="24" a="1"/>
  <c r="F603" i="24" a="1"/>
  <c r="F598" i="24" a="1"/>
  <c r="F593" i="24" a="1"/>
  <c r="F587" i="24" a="1"/>
  <c r="F581" i="24" a="1"/>
  <c r="F575" i="24" a="1"/>
  <c r="F567" i="24" a="1"/>
  <c r="F562" i="24" a="1"/>
  <c r="F555" i="24" a="1"/>
  <c r="F535" i="24" a="1"/>
  <c r="F519" i="24" a="1"/>
  <c r="F510" i="24" a="1"/>
  <c r="F497" i="24" a="1"/>
  <c r="F483" i="24" a="1"/>
  <c r="F473" i="24" a="1"/>
  <c r="F458" i="24" a="1"/>
  <c r="F451" i="24" a="1"/>
  <c r="F444" i="24" a="1"/>
  <c r="F440" i="24" a="1"/>
  <c r="F431" i="24" a="1"/>
  <c r="F416" i="24" a="1"/>
  <c r="F407" i="24" a="1"/>
  <c r="F392" i="24" a="1"/>
  <c r="F375" i="24" a="1"/>
  <c r="F367" i="24" a="1"/>
  <c r="F355" i="24" a="1"/>
  <c r="F344" i="24" a="1"/>
  <c r="F325" i="24" a="1"/>
  <c r="F311" i="24" a="1"/>
  <c r="F288" i="24" a="1"/>
  <c r="F277" i="24" a="1"/>
  <c r="F268" i="24" a="1"/>
  <c r="F249" i="24" a="1"/>
  <c r="F229" i="24" a="1"/>
  <c r="F218" i="24" a="1"/>
  <c r="F203" i="24" a="1"/>
  <c r="D1013" i="14" a="1"/>
  <c r="D1014" i="14" a="1"/>
  <c r="D1015" i="14" a="1"/>
  <c r="F190" i="24" a="1"/>
  <c r="F189" i="24" a="1"/>
  <c r="F188" i="24" a="1"/>
  <c r="F187" i="24" a="1"/>
  <c r="F186" i="24" a="1"/>
  <c r="F185" i="24" a="1"/>
  <c r="F184" i="24" a="1"/>
  <c r="F183" i="24" a="1"/>
  <c r="F182" i="24" a="1"/>
  <c r="F181" i="24" a="1"/>
  <c r="F180" i="24" a="1"/>
  <c r="F179" i="24" a="1"/>
  <c r="F178" i="24" a="1"/>
  <c r="F177" i="24" a="1"/>
  <c r="F176" i="24" a="1"/>
  <c r="F175" i="24" a="1"/>
  <c r="F174" i="24" a="1"/>
  <c r="F173" i="24" a="1"/>
  <c r="F172" i="24" a="1"/>
  <c r="F171" i="24" a="1"/>
  <c r="F170" i="24" a="1"/>
  <c r="F169" i="24" a="1"/>
  <c r="F168" i="24" a="1"/>
  <c r="F167" i="24" a="1"/>
  <c r="F166" i="24" a="1"/>
  <c r="F165" i="24" a="1"/>
  <c r="F164" i="24" a="1"/>
  <c r="F163" i="24" a="1"/>
  <c r="F162" i="24" a="1"/>
  <c r="F161" i="24" a="1"/>
  <c r="F160" i="24" a="1"/>
  <c r="F159" i="24" a="1"/>
  <c r="F158" i="24" a="1"/>
  <c r="F157" i="24" a="1"/>
  <c r="F156" i="24" a="1"/>
  <c r="F155" i="24" a="1"/>
  <c r="F154" i="24" a="1"/>
  <c r="F153" i="24" a="1"/>
  <c r="F152" i="24" a="1"/>
  <c r="F151" i="24" a="1"/>
  <c r="F150" i="24" a="1"/>
  <c r="F149" i="24" a="1"/>
  <c r="F148" i="24" a="1"/>
  <c r="F147" i="24" a="1"/>
  <c r="F146" i="24" a="1"/>
  <c r="F145" i="24" a="1"/>
  <c r="F144" i="24" a="1"/>
  <c r="F143" i="24" a="1"/>
  <c r="F142" i="24" a="1"/>
  <c r="F141" i="24" a="1"/>
  <c r="F140" i="24" a="1"/>
  <c r="F139" i="24" a="1"/>
  <c r="F138" i="24" a="1"/>
  <c r="F137" i="24" a="1"/>
  <c r="F136" i="24" a="1"/>
  <c r="F135" i="24" a="1"/>
  <c r="F134" i="24" a="1"/>
  <c r="F133" i="24" a="1"/>
  <c r="F132" i="24" a="1"/>
  <c r="F131" i="24" a="1"/>
  <c r="F130" i="24" a="1"/>
  <c r="F129" i="24" a="1"/>
  <c r="F128" i="24" a="1"/>
  <c r="F127" i="24" a="1"/>
  <c r="F126" i="24" a="1"/>
  <c r="F125" i="24" a="1"/>
  <c r="F124" i="24" a="1"/>
  <c r="F123" i="24" a="1"/>
  <c r="F122" i="24" a="1"/>
  <c r="F121" i="24" a="1"/>
  <c r="F120" i="24" a="1"/>
  <c r="F119" i="24" a="1"/>
  <c r="F118" i="24" a="1"/>
  <c r="F117" i="24" a="1"/>
  <c r="F116" i="24" a="1"/>
  <c r="F115" i="24" a="1"/>
  <c r="F114" i="24" a="1"/>
  <c r="F113" i="24" a="1"/>
  <c r="F112" i="24" a="1"/>
  <c r="F111" i="24" a="1"/>
  <c r="F110" i="24" a="1"/>
  <c r="F109" i="24" a="1"/>
  <c r="F108" i="24" a="1"/>
  <c r="F107" i="24" a="1"/>
  <c r="F106" i="24" a="1"/>
  <c r="F105" i="24" a="1"/>
  <c r="F104" i="24" a="1"/>
  <c r="F103" i="24" a="1"/>
  <c r="F102" i="24" a="1"/>
  <c r="F101" i="24" a="1"/>
  <c r="F100" i="24" a="1"/>
  <c r="F99" i="24" a="1"/>
  <c r="F98" i="24" a="1"/>
  <c r="F97" i="24" a="1"/>
  <c r="F96" i="24" a="1"/>
  <c r="F95" i="24" a="1"/>
  <c r="F94" i="24" a="1"/>
  <c r="F93" i="24" a="1"/>
  <c r="F92" i="24" a="1"/>
  <c r="F91" i="24" a="1"/>
  <c r="F90" i="24" a="1"/>
  <c r="F89" i="24" a="1"/>
  <c r="F88" i="24" a="1"/>
  <c r="F87" i="24" a="1"/>
  <c r="F86" i="24" a="1"/>
  <c r="F85" i="24" a="1"/>
  <c r="F84" i="24" a="1"/>
  <c r="F83" i="24" a="1"/>
  <c r="F82" i="24" a="1"/>
  <c r="F81" i="24" a="1"/>
  <c r="F80" i="24" a="1"/>
  <c r="F79" i="24" a="1"/>
  <c r="F78" i="24" a="1"/>
  <c r="F77" i="24" a="1"/>
  <c r="F76" i="24" a="1"/>
  <c r="F75" i="24" a="1"/>
  <c r="F74" i="24" a="1"/>
  <c r="F73" i="24" a="1"/>
  <c r="F72" i="24" a="1"/>
  <c r="F71" i="24" a="1"/>
  <c r="F70" i="24" a="1"/>
  <c r="F69" i="24" a="1"/>
  <c r="F68" i="24" a="1"/>
  <c r="F67" i="24" a="1"/>
  <c r="F66" i="24" a="1"/>
  <c r="F65" i="24" a="1"/>
  <c r="F64" i="24" a="1"/>
  <c r="F63" i="24" a="1"/>
  <c r="F62" i="24" a="1"/>
  <c r="F61" i="24" a="1"/>
  <c r="F60" i="24" a="1"/>
  <c r="F59" i="24" a="1"/>
  <c r="F58" i="24" a="1"/>
  <c r="F57" i="24" a="1"/>
  <c r="F56" i="24" a="1"/>
  <c r="F55" i="24" a="1"/>
  <c r="F54" i="24" a="1"/>
  <c r="F53" i="24" a="1"/>
  <c r="F52" i="24" a="1"/>
  <c r="F51" i="24" a="1"/>
  <c r="F50" i="24" a="1"/>
  <c r="F49" i="24" a="1"/>
  <c r="F48" i="24" a="1"/>
  <c r="F47" i="24" a="1"/>
  <c r="F46" i="24" a="1"/>
  <c r="F45" i="24" a="1"/>
  <c r="F44" i="24" a="1"/>
  <c r="F43" i="24" a="1"/>
  <c r="F42" i="24" a="1"/>
  <c r="F41" i="24" a="1"/>
  <c r="F40" i="24" a="1"/>
  <c r="F39" i="24" a="1"/>
  <c r="F38" i="24" a="1"/>
  <c r="F37" i="24" a="1"/>
  <c r="F36" i="24" a="1"/>
  <c r="F35" i="24" a="1"/>
  <c r="F34" i="24" a="1"/>
  <c r="F33" i="24" a="1"/>
  <c r="F32" i="24" a="1"/>
  <c r="F31" i="24" a="1"/>
  <c r="F30" i="24" a="1"/>
  <c r="F29" i="24" a="1"/>
  <c r="F28" i="24" a="1"/>
  <c r="F27" i="24" a="1"/>
  <c r="F26" i="24" a="1"/>
  <c r="F25" i="24" a="1"/>
  <c r="F24" i="24" a="1"/>
  <c r="F23" i="24" a="1"/>
  <c r="F22" i="24" a="1"/>
  <c r="F21" i="24" a="1"/>
  <c r="F20" i="24" a="1"/>
  <c r="F19" i="24" a="1"/>
  <c r="F18" i="24" a="1"/>
  <c r="F17" i="24" a="1"/>
  <c r="F16" i="24" a="1"/>
  <c r="F15" i="24" a="1"/>
  <c r="F14" i="24" a="1"/>
  <c r="F13" i="24" a="1"/>
  <c r="F12" i="24" a="1"/>
  <c r="F11" i="24" a="1"/>
  <c r="F10" i="24" a="1"/>
  <c r="F9" i="24" a="1"/>
  <c r="F8" i="24" a="1"/>
  <c r="F7" i="24" a="1"/>
  <c r="F6" i="24" a="1"/>
  <c r="F5" i="24" a="1"/>
  <c r="F4" i="24" a="1"/>
  <c r="F3" i="24" a="1"/>
  <c r="F2" i="24" a="1"/>
  <c r="D996" i="14" a="1"/>
  <c r="D945" i="14" a="1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1015" i="14"/>
  <c r="AH1017" i="1"/>
  <c r="D1017" i="24"/>
  <c r="L1017" i="14" s="1"/>
  <c r="C1017" i="24"/>
  <c r="B1017" i="24" a="1"/>
  <c r="G1115" i="24"/>
  <c r="H1115" i="24"/>
  <c r="I1115" i="24"/>
  <c r="J1115" i="24"/>
  <c r="K1115" i="24"/>
  <c r="L1115" i="24"/>
  <c r="M1115" i="24"/>
  <c r="N1115" i="24"/>
  <c r="O1115" i="24"/>
  <c r="O1114" i="24"/>
  <c r="K1114" i="24"/>
  <c r="L1114" i="24"/>
  <c r="G1114" i="24"/>
  <c r="M1114" i="24"/>
  <c r="H1114" i="24"/>
  <c r="I1114" i="24"/>
  <c r="J1114" i="24"/>
  <c r="N1114" i="24"/>
  <c r="H1113" i="24"/>
  <c r="I1113" i="24"/>
  <c r="J1113" i="24"/>
  <c r="K1113" i="24"/>
  <c r="L1113" i="24"/>
  <c r="M1113" i="24"/>
  <c r="N1113" i="24"/>
  <c r="O1113" i="24"/>
  <c r="G1113" i="24"/>
  <c r="G1112" i="24"/>
  <c r="H1112" i="24"/>
  <c r="I1112" i="24"/>
  <c r="J1112" i="24"/>
  <c r="K1112" i="24"/>
  <c r="L1112" i="24"/>
  <c r="M1112" i="24"/>
  <c r="O1112" i="24"/>
  <c r="N1112" i="24"/>
  <c r="G1111" i="24"/>
  <c r="M1111" i="24"/>
  <c r="J1111" i="24"/>
  <c r="H1111" i="24"/>
  <c r="I1111" i="24"/>
  <c r="K1111" i="24"/>
  <c r="L1111" i="24"/>
  <c r="O1111" i="24"/>
  <c r="N1111" i="24"/>
  <c r="G1110" i="24"/>
  <c r="H1110" i="24"/>
  <c r="J1110" i="24"/>
  <c r="K1110" i="24"/>
  <c r="L1110" i="24"/>
  <c r="M1110" i="24"/>
  <c r="N1110" i="24"/>
  <c r="O1110" i="24"/>
  <c r="I1110" i="24"/>
  <c r="L1109" i="24"/>
  <c r="G1109" i="24"/>
  <c r="I1109" i="24"/>
  <c r="J1109" i="24"/>
  <c r="K1109" i="24"/>
  <c r="M1109" i="24"/>
  <c r="O1109" i="24"/>
  <c r="H1109" i="24"/>
  <c r="N1109" i="24"/>
  <c r="G1108" i="24"/>
  <c r="H1108" i="24"/>
  <c r="I1108" i="24"/>
  <c r="J1108" i="24"/>
  <c r="K1108" i="24"/>
  <c r="L1108" i="24"/>
  <c r="M1108" i="24"/>
  <c r="N1108" i="24"/>
  <c r="O1108" i="24"/>
  <c r="G1107" i="24"/>
  <c r="H1107" i="24"/>
  <c r="I1107" i="24"/>
  <c r="J1107" i="24"/>
  <c r="K1107" i="24"/>
  <c r="L1107" i="24"/>
  <c r="M1107" i="24"/>
  <c r="N1107" i="24"/>
  <c r="O1107" i="24"/>
  <c r="H1106" i="24"/>
  <c r="M1106" i="24"/>
  <c r="O1106" i="24"/>
  <c r="J1106" i="24"/>
  <c r="L1106" i="24"/>
  <c r="G1106" i="24"/>
  <c r="I1106" i="24"/>
  <c r="K1106" i="24"/>
  <c r="N1106" i="24"/>
  <c r="G1105" i="24"/>
  <c r="J1105" i="24"/>
  <c r="L1105" i="24"/>
  <c r="M1105" i="24"/>
  <c r="O1105" i="24"/>
  <c r="H1105" i="24"/>
  <c r="K1105" i="24"/>
  <c r="N1105" i="24"/>
  <c r="I1105" i="24"/>
  <c r="H1104" i="24"/>
  <c r="J1104" i="24"/>
  <c r="L1104" i="24"/>
  <c r="M1104" i="24"/>
  <c r="O1104" i="24"/>
  <c r="K1104" i="24"/>
  <c r="G1104" i="24"/>
  <c r="I1104" i="24"/>
  <c r="N1104" i="24"/>
  <c r="H1103" i="24"/>
  <c r="J1103" i="24"/>
  <c r="N1103" i="24"/>
  <c r="G1103" i="24"/>
  <c r="I1103" i="24"/>
  <c r="K1103" i="24"/>
  <c r="L1103" i="24"/>
  <c r="M1103" i="24"/>
  <c r="O1103" i="24"/>
  <c r="I1102" i="24"/>
  <c r="L1102" i="24"/>
  <c r="M1102" i="24"/>
  <c r="O1102" i="24"/>
  <c r="G1102" i="24"/>
  <c r="H1102" i="24"/>
  <c r="J1102" i="24"/>
  <c r="K1102" i="24"/>
  <c r="N1102" i="24"/>
  <c r="I1101" i="24"/>
  <c r="M1101" i="24"/>
  <c r="N1101" i="24"/>
  <c r="G1101" i="24"/>
  <c r="J1101" i="24"/>
  <c r="L1101" i="24"/>
  <c r="O1101" i="24"/>
  <c r="H1101" i="24"/>
  <c r="K1101" i="24"/>
  <c r="L1100" i="24"/>
  <c r="G1100" i="24"/>
  <c r="H1100" i="24"/>
  <c r="I1100" i="24"/>
  <c r="J1100" i="24"/>
  <c r="K1100" i="24"/>
  <c r="M1100" i="24"/>
  <c r="N1100" i="24"/>
  <c r="O1100" i="24"/>
  <c r="G1099" i="24"/>
  <c r="I1099" i="24"/>
  <c r="K1099" i="24"/>
  <c r="M1099" i="24"/>
  <c r="N1099" i="24"/>
  <c r="O1099" i="24"/>
  <c r="H1099" i="24"/>
  <c r="L1099" i="24"/>
  <c r="J1099" i="24"/>
  <c r="J1098" i="24"/>
  <c r="H1098" i="24"/>
  <c r="N1098" i="24"/>
  <c r="G1098" i="24"/>
  <c r="I1098" i="24"/>
  <c r="K1098" i="24"/>
  <c r="L1098" i="24"/>
  <c r="M1098" i="24"/>
  <c r="O1098" i="24"/>
  <c r="G1097" i="24"/>
  <c r="I1097" i="24"/>
  <c r="K1097" i="24"/>
  <c r="L1097" i="24"/>
  <c r="M1097" i="24"/>
  <c r="N1097" i="24"/>
  <c r="O1097" i="24"/>
  <c r="J1097" i="24"/>
  <c r="H1097" i="24"/>
  <c r="G1096" i="24"/>
  <c r="I1096" i="24"/>
  <c r="J1096" i="24"/>
  <c r="K1096" i="24"/>
  <c r="L1096" i="24"/>
  <c r="M1096" i="24"/>
  <c r="N1096" i="24"/>
  <c r="O1096" i="24"/>
  <c r="H1096" i="24"/>
  <c r="H1095" i="24"/>
  <c r="N1095" i="24"/>
  <c r="G1095" i="24"/>
  <c r="I1095" i="24"/>
  <c r="J1095" i="24"/>
  <c r="K1095" i="24"/>
  <c r="L1095" i="24"/>
  <c r="M1095" i="24"/>
  <c r="O1095" i="24"/>
  <c r="G1094" i="24"/>
  <c r="H1094" i="24"/>
  <c r="J1094" i="24"/>
  <c r="L1094" i="24"/>
  <c r="N1094" i="24"/>
  <c r="I1094" i="24"/>
  <c r="K1094" i="24"/>
  <c r="M1094" i="24"/>
  <c r="O1094" i="24"/>
  <c r="J1093" i="24"/>
  <c r="K1093" i="24"/>
  <c r="G1093" i="24"/>
  <c r="I1093" i="24"/>
  <c r="M1093" i="24"/>
  <c r="O1093" i="24"/>
  <c r="L1093" i="24"/>
  <c r="H1093" i="24"/>
  <c r="N1093" i="24"/>
  <c r="J1092" i="24"/>
  <c r="O1092" i="24"/>
  <c r="H1092" i="24"/>
  <c r="M1092" i="24"/>
  <c r="G1092" i="24"/>
  <c r="K1092" i="24"/>
  <c r="N1092" i="24"/>
  <c r="I1092" i="24"/>
  <c r="L1092" i="24"/>
  <c r="I1091" i="24"/>
  <c r="K1091" i="24"/>
  <c r="M1091" i="24"/>
  <c r="O1091" i="24"/>
  <c r="G1091" i="24"/>
  <c r="J1091" i="24"/>
  <c r="L1091" i="24"/>
  <c r="N1091" i="24"/>
  <c r="H1091" i="24"/>
  <c r="G1090" i="24"/>
  <c r="I1090" i="24"/>
  <c r="J1090" i="24"/>
  <c r="L1090" i="24"/>
  <c r="M1090" i="24"/>
  <c r="O1090" i="24"/>
  <c r="H1090" i="24"/>
  <c r="K1090" i="24"/>
  <c r="N1090" i="24"/>
  <c r="H1089" i="24"/>
  <c r="J1089" i="24"/>
  <c r="L1089" i="24"/>
  <c r="M1089" i="24"/>
  <c r="O1089" i="24"/>
  <c r="G1089" i="24"/>
  <c r="I1089" i="24"/>
  <c r="K1089" i="24"/>
  <c r="N1089" i="24"/>
  <c r="H1088" i="24"/>
  <c r="K1088" i="24"/>
  <c r="N1088" i="24"/>
  <c r="G1088" i="24"/>
  <c r="I1088" i="24"/>
  <c r="J1088" i="24"/>
  <c r="L1088" i="24"/>
  <c r="M1088" i="24"/>
  <c r="O1088" i="24"/>
  <c r="I1087" i="24"/>
  <c r="K1087" i="24"/>
  <c r="M1087" i="24"/>
  <c r="O1087" i="24"/>
  <c r="G1087" i="24"/>
  <c r="J1087" i="24"/>
  <c r="L1087" i="24"/>
  <c r="N1087" i="24"/>
  <c r="H1087" i="24"/>
  <c r="H1086" i="24"/>
  <c r="I1086" i="24"/>
  <c r="K1086" i="24"/>
  <c r="L1086" i="24"/>
  <c r="M1086" i="24"/>
  <c r="N1086" i="24"/>
  <c r="O1086" i="24"/>
  <c r="G1086" i="24"/>
  <c r="J1086" i="24"/>
  <c r="I1085" i="24"/>
  <c r="J1085" i="24"/>
  <c r="K1085" i="24"/>
  <c r="M1085" i="24"/>
  <c r="N1085" i="24"/>
  <c r="O1085" i="24"/>
  <c r="G1085" i="24"/>
  <c r="H1085" i="24"/>
  <c r="L1085" i="24"/>
  <c r="H1084" i="24"/>
  <c r="K1084" i="24"/>
  <c r="G1084" i="24"/>
  <c r="J1084" i="24"/>
  <c r="L1084" i="24"/>
  <c r="M1084" i="24"/>
  <c r="N1084" i="24"/>
  <c r="O1084" i="24"/>
  <c r="I1084" i="24"/>
  <c r="G1083" i="24"/>
  <c r="H1083" i="24"/>
  <c r="I1083" i="24"/>
  <c r="J1083" i="24"/>
  <c r="K1083" i="24"/>
  <c r="L1083" i="24"/>
  <c r="M1083" i="24"/>
  <c r="N1083" i="24"/>
  <c r="O1083" i="24"/>
  <c r="I1082" i="24"/>
  <c r="K1082" i="24"/>
  <c r="N1082" i="24"/>
  <c r="G1082" i="24"/>
  <c r="H1082" i="24"/>
  <c r="J1082" i="24"/>
  <c r="L1082" i="24"/>
  <c r="M1082" i="24"/>
  <c r="O1082" i="24"/>
  <c r="L1081" i="24"/>
  <c r="I1081" i="24"/>
  <c r="K1081" i="24"/>
  <c r="M1081" i="24"/>
  <c r="O1081" i="24"/>
  <c r="G1081" i="24"/>
  <c r="H1081" i="24"/>
  <c r="J1081" i="24"/>
  <c r="N1081" i="24"/>
  <c r="J1080" i="24"/>
  <c r="G1080" i="24"/>
  <c r="I1080" i="24"/>
  <c r="K1080" i="24"/>
  <c r="M1080" i="24"/>
  <c r="N1080" i="24"/>
  <c r="O1080" i="24"/>
  <c r="H1080" i="24"/>
  <c r="L1080" i="24"/>
  <c r="J1079" i="24"/>
  <c r="K1079" i="24"/>
  <c r="M1079" i="24"/>
  <c r="N1079" i="24"/>
  <c r="O1079" i="24"/>
  <c r="G1079" i="24"/>
  <c r="H1079" i="24"/>
  <c r="I1079" i="24"/>
  <c r="L1079" i="24"/>
  <c r="G1078" i="24"/>
  <c r="I1078" i="24"/>
  <c r="J1078" i="24"/>
  <c r="L1078" i="24"/>
  <c r="N1078" i="24"/>
  <c r="H1078" i="24"/>
  <c r="K1078" i="24"/>
  <c r="M1078" i="24"/>
  <c r="O1078" i="24"/>
  <c r="H1077" i="24"/>
  <c r="J1077" i="24"/>
  <c r="K1077" i="24"/>
  <c r="M1077" i="24"/>
  <c r="N1077" i="24"/>
  <c r="O1077" i="24"/>
  <c r="I1077" i="24"/>
  <c r="G1077" i="24"/>
  <c r="L1077" i="24"/>
  <c r="H1076" i="24"/>
  <c r="J1076" i="24"/>
  <c r="G1076" i="24"/>
  <c r="I1076" i="24"/>
  <c r="K1076" i="24"/>
  <c r="L1076" i="24"/>
  <c r="M1076" i="24"/>
  <c r="N1076" i="24"/>
  <c r="O1076" i="24"/>
  <c r="G1075" i="24"/>
  <c r="I1075" i="24"/>
  <c r="J1075" i="24"/>
  <c r="K1075" i="24"/>
  <c r="L1075" i="24"/>
  <c r="M1075" i="24"/>
  <c r="N1075" i="24"/>
  <c r="O1075" i="24"/>
  <c r="H1075" i="24"/>
  <c r="G1074" i="24"/>
  <c r="I1074" i="24"/>
  <c r="J1074" i="24"/>
  <c r="K1074" i="24"/>
  <c r="L1074" i="24"/>
  <c r="M1074" i="24"/>
  <c r="N1074" i="24"/>
  <c r="O1074" i="24"/>
  <c r="H1074" i="24"/>
  <c r="G1073" i="24"/>
  <c r="H1073" i="24"/>
  <c r="I1073" i="24"/>
  <c r="J1073" i="24"/>
  <c r="K1073" i="24"/>
  <c r="L1073" i="24"/>
  <c r="M1073" i="24"/>
  <c r="N1073" i="24"/>
  <c r="O1073" i="24"/>
  <c r="G1072" i="24"/>
  <c r="H1072" i="24"/>
  <c r="I1072" i="24"/>
  <c r="J1072" i="24"/>
  <c r="K1072" i="24"/>
  <c r="L1072" i="24"/>
  <c r="M1072" i="24"/>
  <c r="N1072" i="24"/>
  <c r="O1072" i="24"/>
  <c r="J1071" i="24"/>
  <c r="K1071" i="24"/>
  <c r="L1071" i="24"/>
  <c r="M1071" i="24"/>
  <c r="O1071" i="24"/>
  <c r="H1071" i="24"/>
  <c r="G1071" i="24"/>
  <c r="I1071" i="24"/>
  <c r="N1071" i="24"/>
  <c r="I1070" i="24"/>
  <c r="L1070" i="24"/>
  <c r="G1070" i="24"/>
  <c r="H1070" i="24"/>
  <c r="J1070" i="24"/>
  <c r="K1070" i="24"/>
  <c r="M1070" i="24"/>
  <c r="N1070" i="24"/>
  <c r="O1070" i="24"/>
  <c r="G1069" i="24"/>
  <c r="H1069" i="24"/>
  <c r="I1069" i="24"/>
  <c r="J1069" i="24"/>
  <c r="K1069" i="24"/>
  <c r="L1069" i="24"/>
  <c r="M1069" i="24"/>
  <c r="N1069" i="24"/>
  <c r="O1069" i="24"/>
  <c r="I1068" i="24"/>
  <c r="L1068" i="24"/>
  <c r="G1068" i="24"/>
  <c r="J1068" i="24"/>
  <c r="K1068" i="24"/>
  <c r="M1068" i="24"/>
  <c r="N1068" i="24"/>
  <c r="O1068" i="24"/>
  <c r="H1068" i="24"/>
  <c r="G1067" i="24"/>
  <c r="H1067" i="24"/>
  <c r="I1067" i="24"/>
  <c r="J1067" i="24"/>
  <c r="K1067" i="24"/>
  <c r="L1067" i="24"/>
  <c r="M1067" i="24"/>
  <c r="N1067" i="24"/>
  <c r="O1067" i="24"/>
  <c r="J1066" i="24"/>
  <c r="L1066" i="24"/>
  <c r="M1066" i="24"/>
  <c r="O1066" i="24"/>
  <c r="G1066" i="24"/>
  <c r="I1066" i="24"/>
  <c r="N1066" i="24"/>
  <c r="H1066" i="24"/>
  <c r="K1066" i="24"/>
  <c r="G1065" i="24"/>
  <c r="H1065" i="24"/>
  <c r="I1065" i="24"/>
  <c r="J1065" i="24"/>
  <c r="K1065" i="24"/>
  <c r="L1065" i="24"/>
  <c r="M1065" i="24"/>
  <c r="N1065" i="24"/>
  <c r="O1065" i="24"/>
  <c r="H1064" i="24"/>
  <c r="I1064" i="24"/>
  <c r="L1064" i="24"/>
  <c r="N1064" i="24"/>
  <c r="G1064" i="24"/>
  <c r="J1064" i="24"/>
  <c r="M1064" i="24"/>
  <c r="O1064" i="24"/>
  <c r="K1064" i="24"/>
  <c r="I1063" i="24"/>
  <c r="J1063" i="24"/>
  <c r="K1063" i="24"/>
  <c r="L1063" i="24"/>
  <c r="N1063" i="24"/>
  <c r="O1063" i="24"/>
  <c r="G1063" i="24"/>
  <c r="H1063" i="24"/>
  <c r="M1063" i="24"/>
  <c r="K1062" i="24"/>
  <c r="L1062" i="24"/>
  <c r="N1062" i="24"/>
  <c r="H1062" i="24"/>
  <c r="I1062" i="24"/>
  <c r="G1062" i="24"/>
  <c r="J1062" i="24"/>
  <c r="M1062" i="24"/>
  <c r="O1062" i="24"/>
  <c r="G1061" i="24"/>
  <c r="I1061" i="24"/>
  <c r="J1061" i="24"/>
  <c r="K1061" i="24"/>
  <c r="L1061" i="24"/>
  <c r="M1061" i="24"/>
  <c r="N1061" i="24"/>
  <c r="O1061" i="24"/>
  <c r="H1061" i="24"/>
  <c r="I1060" i="24"/>
  <c r="J1060" i="24"/>
  <c r="K1060" i="24"/>
  <c r="L1060" i="24"/>
  <c r="M1060" i="24"/>
  <c r="N1060" i="24"/>
  <c r="O1060" i="24"/>
  <c r="G1060" i="24"/>
  <c r="H1060" i="24"/>
  <c r="H1059" i="24"/>
  <c r="I1059" i="24"/>
  <c r="J1059" i="24"/>
  <c r="K1059" i="24"/>
  <c r="L1059" i="24"/>
  <c r="M1059" i="24"/>
  <c r="N1059" i="24"/>
  <c r="O1059" i="24"/>
  <c r="G1059" i="24"/>
  <c r="D944" i="14" a="1"/>
  <c r="D943" i="14" a="1"/>
  <c r="D942" i="14" a="1"/>
  <c r="D941" i="14" a="1"/>
  <c r="D940" i="14" a="1"/>
  <c r="D939" i="14" a="1"/>
  <c r="H1013" i="14"/>
  <c r="AH1013" i="1"/>
  <c r="AH1015" i="1"/>
  <c r="AH1016" i="1"/>
  <c r="E1016" i="24" s="1"/>
  <c r="C1016" i="14" a="1"/>
  <c r="D938" i="14" a="1"/>
  <c r="D937" i="14" a="1"/>
  <c r="D936" i="14" a="1"/>
  <c r="D1016" i="24"/>
  <c r="L1016" i="14" s="1"/>
  <c r="C1016" i="24"/>
  <c r="B1016" i="24" a="1"/>
  <c r="H1012" i="14"/>
  <c r="D1015" i="24"/>
  <c r="L1015" i="14" s="1"/>
  <c r="C1015" i="24"/>
  <c r="B1015" i="24" a="1"/>
  <c r="H1010" i="14"/>
  <c r="D1014" i="24"/>
  <c r="L1014" i="14" s="1"/>
  <c r="C1014" i="24"/>
  <c r="B1014" i="24" a="1"/>
  <c r="D1013" i="24"/>
  <c r="L1013" i="14" s="1"/>
  <c r="C1013" i="24"/>
  <c r="B1013" i="24" a="1"/>
  <c r="D989" i="14" a="1"/>
  <c r="D988" i="14" a="1"/>
  <c r="AH563" i="1"/>
  <c r="AH531" i="1"/>
  <c r="AH551" i="1"/>
  <c r="D1012" i="24"/>
  <c r="C1012" i="24"/>
  <c r="B1012" i="24" a="1"/>
  <c r="AH404" i="1"/>
  <c r="AH439" i="1"/>
  <c r="AH1012" i="1"/>
  <c r="E1012" i="24" s="1"/>
  <c r="C1012" i="14" a="1"/>
  <c r="D987" i="14" a="1"/>
  <c r="D986" i="14" a="1"/>
  <c r="D985" i="14" a="1"/>
  <c r="D984" i="14" a="1"/>
  <c r="D983" i="14" a="1"/>
  <c r="D982" i="14" a="1"/>
  <c r="D981" i="14" a="1"/>
  <c r="D980" i="14" a="1"/>
  <c r="D979" i="14" a="1"/>
  <c r="D978" i="14" a="1"/>
  <c r="D972" i="14" a="1"/>
  <c r="D971" i="14" a="1"/>
  <c r="D970" i="14" a="1"/>
  <c r="D969" i="14" a="1"/>
  <c r="D968" i="14" a="1"/>
  <c r="D916" i="14" a="1"/>
  <c r="D915" i="14" a="1"/>
  <c r="D914" i="14" a="1"/>
  <c r="D913" i="14" a="1"/>
  <c r="D912" i="14" a="1"/>
  <c r="D911" i="14" a="1"/>
  <c r="AH413" i="1"/>
  <c r="AH1010" i="1"/>
  <c r="D999" i="14" a="1"/>
  <c r="D1000" i="14" a="1"/>
  <c r="D919" i="14" a="1"/>
  <c r="D918" i="14" a="1"/>
  <c r="D917" i="14" a="1"/>
  <c r="AH1011" i="1"/>
  <c r="D990" i="14" a="1"/>
  <c r="D993" i="14" a="1"/>
  <c r="D992" i="14" a="1"/>
  <c r="D991" i="14" a="1"/>
  <c r="D967" i="14" a="1"/>
  <c r="D1011" i="24"/>
  <c r="C1011" i="24"/>
  <c r="B1011" i="24" a="1"/>
  <c r="H1011" i="14"/>
  <c r="H1007" i="14"/>
  <c r="H1005" i="14"/>
  <c r="H1003" i="14"/>
  <c r="H1002" i="14"/>
  <c r="H1001" i="14"/>
  <c r="AH612" i="1"/>
  <c r="AH1008" i="1"/>
  <c r="D1010" i="24"/>
  <c r="C1010" i="24"/>
  <c r="B1010" i="24" a="1"/>
  <c r="H1009" i="14"/>
  <c r="H1000" i="14"/>
  <c r="C1009" i="14" a="1"/>
  <c r="D1009" i="24"/>
  <c r="B1009" i="24" a="1"/>
  <c r="C1009" i="24"/>
  <c r="H1008" i="14"/>
  <c r="H999" i="14"/>
  <c r="H998" i="14"/>
  <c r="D1008" i="24"/>
  <c r="C1008" i="24"/>
  <c r="B1008" i="24" a="1"/>
  <c r="AH1007" i="1"/>
  <c r="AH601" i="1"/>
  <c r="AH602" i="1"/>
  <c r="AH599" i="1"/>
  <c r="C1008" i="14" a="1"/>
  <c r="D973" i="14" a="1"/>
  <c r="D1007" i="24"/>
  <c r="C1007" i="24"/>
  <c r="B1007" i="24" a="1"/>
  <c r="AH1005" i="1"/>
  <c r="C1007" i="14" a="1"/>
  <c r="D39" i="14" a="1"/>
  <c r="D38" i="14" a="1"/>
  <c r="D37" i="14" a="1"/>
  <c r="D36" i="14" a="1"/>
  <c r="D35" i="14" a="1"/>
  <c r="D34" i="14" a="1"/>
  <c r="D33" i="14" a="1"/>
  <c r="D32" i="14" a="1"/>
  <c r="D31" i="14" a="1"/>
  <c r="D30" i="14" a="1"/>
  <c r="D29" i="14" a="1"/>
  <c r="D28" i="14" a="1"/>
  <c r="D27" i="14" a="1"/>
  <c r="D26" i="14" a="1"/>
  <c r="D25" i="14" a="1"/>
  <c r="H1006" i="14"/>
  <c r="D1006" i="24"/>
  <c r="C1006" i="24"/>
  <c r="B1006" i="24" a="1"/>
  <c r="AH54" i="1"/>
  <c r="D977" i="14" a="1"/>
  <c r="AH1004" i="1"/>
  <c r="AH1003" i="1"/>
  <c r="D1005" i="24"/>
  <c r="C1005" i="24"/>
  <c r="B1005" i="24" a="1"/>
  <c r="D887" i="14" a="1"/>
  <c r="D24" i="14" a="1"/>
  <c r="D23" i="14" a="1"/>
  <c r="D22" i="14" a="1"/>
  <c r="H1004" i="14"/>
  <c r="AH244" i="1"/>
  <c r="AH241" i="1"/>
  <c r="D21" i="14" a="1"/>
  <c r="D20" i="14" a="1"/>
  <c r="C1004" i="24"/>
  <c r="D1004" i="24"/>
  <c r="B1004" i="24" a="1"/>
  <c r="H995" i="14"/>
  <c r="H696" i="14"/>
  <c r="AH605" i="1"/>
  <c r="AH47" i="1"/>
  <c r="AH603" i="1"/>
  <c r="AH606" i="1"/>
  <c r="AH600" i="1"/>
  <c r="D976" i="14" a="1"/>
  <c r="D975" i="14" a="1"/>
  <c r="D974" i="14" a="1"/>
  <c r="D870" i="14" a="1"/>
  <c r="D869" i="14" a="1"/>
  <c r="D868" i="14" a="1"/>
  <c r="D867" i="14" a="1"/>
  <c r="D866" i="14" a="1"/>
  <c r="D865" i="14" a="1"/>
  <c r="D792" i="14" a="1"/>
  <c r="E792" i="14" s="1"/>
  <c r="D791" i="14" a="1"/>
  <c r="E791" i="14" s="1"/>
  <c r="E795" i="14" s="1"/>
  <c r="D790" i="14" a="1"/>
  <c r="E790" i="14" s="1"/>
  <c r="D789" i="14" a="1"/>
  <c r="D788" i="14" a="1"/>
  <c r="D787" i="14" a="1"/>
  <c r="D557" i="14" a="1"/>
  <c r="D556" i="14" a="1"/>
  <c r="D487" i="14" a="1"/>
  <c r="D486" i="14" a="1"/>
  <c r="D485" i="14" a="1"/>
  <c r="D484" i="14" a="1"/>
  <c r="D483" i="14" a="1"/>
  <c r="D482" i="14" a="1"/>
  <c r="D481" i="14" a="1"/>
  <c r="D480" i="14" a="1"/>
  <c r="D19" i="14" a="1"/>
  <c r="D18" i="14" a="1"/>
  <c r="D1003" i="24"/>
  <c r="C1003" i="24"/>
  <c r="B1003" i="24" a="1"/>
  <c r="AA1002" i="17"/>
  <c r="AC1002" i="17" s="1"/>
  <c r="AH596" i="1"/>
  <c r="AH593" i="1"/>
  <c r="AH598" i="1"/>
  <c r="AH597" i="1"/>
  <c r="AH224" i="1"/>
  <c r="AH932" i="1"/>
  <c r="AH427" i="1"/>
  <c r="AH590" i="1"/>
  <c r="AH1002" i="1"/>
  <c r="AH235" i="1"/>
  <c r="AH578" i="1"/>
  <c r="D966" i="14" a="1"/>
  <c r="D786" i="14" a="1"/>
  <c r="D785" i="14" a="1"/>
  <c r="D555" i="14" a="1"/>
  <c r="D554" i="14" a="1"/>
  <c r="D1002" i="24"/>
  <c r="C1002" i="24"/>
  <c r="B1002" i="24" a="1"/>
  <c r="AH9" i="1"/>
  <c r="AH141" i="1"/>
  <c r="D713" i="14" a="1"/>
  <c r="D712" i="14" a="1"/>
  <c r="D13" i="14" a="1"/>
  <c r="D1001" i="24"/>
  <c r="C1001" i="24"/>
  <c r="B1001" i="24" a="1"/>
  <c r="D1000" i="24"/>
  <c r="C1000" i="24"/>
  <c r="B1000" i="24" a="1"/>
  <c r="D999" i="24"/>
  <c r="C999" i="24"/>
  <c r="B999" i="24" a="1"/>
  <c r="H924" i="14"/>
  <c r="AH964" i="1"/>
  <c r="D946" i="14" a="1"/>
  <c r="D910" i="14" a="1"/>
  <c r="D909" i="14" a="1"/>
  <c r="D908" i="14" a="1"/>
  <c r="D907" i="14" a="1"/>
  <c r="D906" i="14" a="1"/>
  <c r="D905" i="14" a="1"/>
  <c r="D904" i="14" a="1"/>
  <c r="D903" i="14" a="1"/>
  <c r="D902" i="14" a="1"/>
  <c r="D901" i="14" a="1"/>
  <c r="D900" i="14" a="1"/>
  <c r="D899" i="14" a="1"/>
  <c r="D898" i="14" a="1"/>
  <c r="D897" i="14" a="1"/>
  <c r="D896" i="14" a="1"/>
  <c r="D895" i="14" a="1"/>
  <c r="D894" i="14" a="1"/>
  <c r="D893" i="14" a="1"/>
  <c r="D892" i="14" a="1"/>
  <c r="E892" i="14" s="1"/>
  <c r="D891" i="14" a="1"/>
  <c r="D890" i="14" a="1"/>
  <c r="D889" i="14" a="1"/>
  <c r="D888" i="14" a="1"/>
  <c r="D947" i="14" a="1"/>
  <c r="AH604" i="1"/>
  <c r="AH423" i="1"/>
  <c r="D998" i="24"/>
  <c r="C998" i="24"/>
  <c r="B998" i="24" a="1"/>
  <c r="D949" i="14" a="1"/>
  <c r="D948" i="14" a="1"/>
  <c r="D553" i="14" a="1"/>
  <c r="D552" i="14" a="1"/>
  <c r="D551" i="14" a="1"/>
  <c r="D258" i="14" a="1"/>
  <c r="D257" i="14" a="1"/>
  <c r="D256" i="14" a="1"/>
  <c r="D255" i="14" a="1"/>
  <c r="D254" i="14" a="1"/>
  <c r="D253" i="14" a="1"/>
  <c r="D252" i="14" a="1"/>
  <c r="D251" i="14" a="1"/>
  <c r="D250" i="14" a="1"/>
  <c r="D249" i="14" a="1"/>
  <c r="D248" i="14" a="1"/>
  <c r="D247" i="14" a="1"/>
  <c r="D784" i="14" a="1"/>
  <c r="D783" i="14" a="1"/>
  <c r="D782" i="14" a="1"/>
  <c r="D781" i="14" a="1"/>
  <c r="D780" i="14" a="1"/>
  <c r="D550" i="14" a="1"/>
  <c r="D549" i="14" a="1"/>
  <c r="D548" i="14" a="1"/>
  <c r="D547" i="14" a="1"/>
  <c r="D490" i="14" a="1"/>
  <c r="D479" i="14" a="1"/>
  <c r="D478" i="14" a="1"/>
  <c r="D477" i="14" a="1"/>
  <c r="D476" i="14" a="1"/>
  <c r="D475" i="14" a="1"/>
  <c r="D246" i="14" a="1"/>
  <c r="D245" i="14" a="1"/>
  <c r="D244" i="14" a="1"/>
  <c r="D243" i="14" a="1"/>
  <c r="D242" i="14" a="1"/>
  <c r="D241" i="14" a="1"/>
  <c r="D12" i="14" a="1"/>
  <c r="D11" i="14" a="1"/>
  <c r="D10" i="14" a="1"/>
  <c r="D9" i="14" a="1"/>
  <c r="AH33" i="1"/>
  <c r="AH582" i="1"/>
  <c r="AH842" i="1"/>
  <c r="AH27" i="1"/>
  <c r="AH624" i="1"/>
  <c r="AH757" i="1"/>
  <c r="AH844" i="1"/>
  <c r="AH615" i="1"/>
  <c r="D711" i="14" a="1"/>
  <c r="D710" i="14" a="1"/>
  <c r="D697" i="14" a="1"/>
  <c r="D696" i="14" a="1"/>
  <c r="D489" i="14" a="1"/>
  <c r="D488" i="14" a="1"/>
  <c r="D240" i="14" a="1"/>
  <c r="H997" i="14"/>
  <c r="D997" i="24"/>
  <c r="C997" i="24"/>
  <c r="B997" i="24" a="1"/>
  <c r="H701" i="14"/>
  <c r="AH591" i="1"/>
  <c r="AH898" i="1"/>
  <c r="AH617" i="1"/>
  <c r="AH905" i="1"/>
  <c r="AH594" i="1"/>
  <c r="AH813" i="1"/>
  <c r="AH289" i="1"/>
  <c r="AH247" i="1"/>
  <c r="AH2" i="1"/>
  <c r="E2" i="24" s="1"/>
  <c r="AH873" i="1"/>
  <c r="D779" i="14" a="1"/>
  <c r="D695" i="14" a="1"/>
  <c r="D694" i="14" a="1"/>
  <c r="D693" i="14" a="1"/>
  <c r="D546" i="14" a="1"/>
  <c r="D474" i="14" a="1"/>
  <c r="D473" i="14" a="1"/>
  <c r="D472" i="14" a="1"/>
  <c r="D417" i="14" a="1"/>
  <c r="D416" i="14" a="1"/>
  <c r="D415" i="14" a="1"/>
  <c r="D414" i="14" a="1"/>
  <c r="D413" i="14" a="1"/>
  <c r="D8" i="14" a="1"/>
  <c r="H996" i="14"/>
  <c r="D996" i="24"/>
  <c r="C996" i="24"/>
  <c r="B996" i="24" a="1"/>
  <c r="H931" i="14"/>
  <c r="H585" i="14"/>
  <c r="H583" i="14"/>
  <c r="H579" i="14"/>
  <c r="AH294" i="1"/>
  <c r="AH929" i="1"/>
  <c r="AH792" i="1"/>
  <c r="AH767" i="1"/>
  <c r="AH585" i="1"/>
  <c r="AH580" i="1"/>
  <c r="AH579" i="1"/>
  <c r="AH577" i="1"/>
  <c r="AH574" i="1"/>
  <c r="AH570" i="1"/>
  <c r="AH569" i="1"/>
  <c r="AH385" i="1"/>
  <c r="AH252" i="1"/>
  <c r="AH584" i="1"/>
  <c r="AH248" i="1"/>
  <c r="AH610" i="1"/>
  <c r="AH167" i="1"/>
  <c r="AH144" i="1"/>
  <c r="AH249" i="1"/>
  <c r="D965" i="14" a="1"/>
  <c r="D864" i="14" a="1"/>
  <c r="D863" i="14" a="1"/>
  <c r="D860" i="14" a="1"/>
  <c r="D862" i="14" a="1"/>
  <c r="D861" i="14" a="1"/>
  <c r="D859" i="14" a="1"/>
  <c r="D858" i="14" a="1"/>
  <c r="D857" i="14" a="1"/>
  <c r="D856" i="14" a="1"/>
  <c r="D855" i="14" a="1"/>
  <c r="D854" i="14" a="1"/>
  <c r="D853" i="14" a="1"/>
  <c r="D852" i="14" a="1"/>
  <c r="D851" i="14" a="1"/>
  <c r="D850" i="14" a="1"/>
  <c r="D849" i="14" a="1"/>
  <c r="D848" i="14" a="1"/>
  <c r="D847" i="14" a="1"/>
  <c r="D846" i="14" a="1"/>
  <c r="D845" i="14" a="1"/>
  <c r="D844" i="14" a="1"/>
  <c r="D778" i="14" a="1"/>
  <c r="D777" i="14" a="1"/>
  <c r="D776" i="14" a="1"/>
  <c r="D775" i="14" a="1"/>
  <c r="D471" i="14" a="1"/>
  <c r="D470" i="14" a="1"/>
  <c r="D469" i="14" a="1"/>
  <c r="D468" i="14" a="1"/>
  <c r="D467" i="14" a="1"/>
  <c r="D466" i="14" a="1"/>
  <c r="D465" i="14" a="1"/>
  <c r="D464" i="14" a="1"/>
  <c r="D463" i="14" a="1"/>
  <c r="D412" i="14" a="1"/>
  <c r="D411" i="14" a="1"/>
  <c r="D7" i="14" a="1"/>
  <c r="D6" i="14" a="1"/>
  <c r="D5" i="14" a="1"/>
  <c r="H932" i="14"/>
  <c r="H586" i="14"/>
  <c r="H584" i="14"/>
  <c r="H582" i="14"/>
  <c r="H581" i="14"/>
  <c r="H580" i="14"/>
  <c r="H578" i="14"/>
  <c r="H577" i="14"/>
  <c r="AH425" i="1"/>
  <c r="AA985" i="17"/>
  <c r="AC985" i="17" s="1"/>
  <c r="AA792" i="17"/>
  <c r="AC792" i="17" s="1"/>
  <c r="AA556" i="17"/>
  <c r="AC556" i="17" s="1"/>
  <c r="AA538" i="17"/>
  <c r="AC538" i="17" s="1"/>
  <c r="AA536" i="17"/>
  <c r="AC536" i="17" s="1"/>
  <c r="AA532" i="17"/>
  <c r="AC532" i="17" s="1"/>
  <c r="AA530" i="17"/>
  <c r="AC530" i="17" s="1"/>
  <c r="AA525" i="17"/>
  <c r="AC525" i="17" s="1"/>
  <c r="AA519" i="17"/>
  <c r="AC519" i="17" s="1"/>
  <c r="AA518" i="17"/>
  <c r="AC518" i="17" s="1"/>
  <c r="AA516" i="17"/>
  <c r="AC516" i="17" s="1"/>
  <c r="AA515" i="17"/>
  <c r="AC515" i="17" s="1"/>
  <c r="AA514" i="17"/>
  <c r="AC514" i="17" s="1"/>
  <c r="AA512" i="17"/>
  <c r="AC512" i="17" s="1"/>
  <c r="AA511" i="17"/>
  <c r="AC511" i="17" s="1"/>
  <c r="AA509" i="17"/>
  <c r="AC509" i="17" s="1"/>
  <c r="AA508" i="17"/>
  <c r="AC508" i="17" s="1"/>
  <c r="AA492" i="17"/>
  <c r="AC492" i="17" s="1"/>
  <c r="AA481" i="17"/>
  <c r="AC481" i="17" s="1"/>
  <c r="AA470" i="17"/>
  <c r="AC470" i="17" s="1"/>
  <c r="AA468" i="17"/>
  <c r="AC468" i="17" s="1"/>
  <c r="AA464" i="17"/>
  <c r="AC464" i="17" s="1"/>
  <c r="AA463" i="17"/>
  <c r="AC463" i="17" s="1"/>
  <c r="AA461" i="17"/>
  <c r="AC461" i="17" s="1"/>
  <c r="AA460" i="17"/>
  <c r="AC460" i="17" s="1"/>
  <c r="AA459" i="17"/>
  <c r="AC459" i="17" s="1"/>
  <c r="AA458" i="17"/>
  <c r="AC458" i="17" s="1"/>
  <c r="AA457" i="17"/>
  <c r="AC457" i="17" s="1"/>
  <c r="AA456" i="17"/>
  <c r="AC456" i="17" s="1"/>
  <c r="AA455" i="17"/>
  <c r="AC455" i="17" s="1"/>
  <c r="AA454" i="17"/>
  <c r="AC454" i="17" s="1"/>
  <c r="AA453" i="17"/>
  <c r="AC453" i="17" s="1"/>
  <c r="AA406" i="17"/>
  <c r="AC406" i="17" s="1"/>
  <c r="D995" i="24"/>
  <c r="C995" i="24"/>
  <c r="B995" i="24" a="1"/>
  <c r="D964" i="14" a="1"/>
  <c r="D963" i="14" a="1"/>
  <c r="E963" i="14" s="1"/>
  <c r="E964" i="14" s="1"/>
  <c r="D962" i="14" a="1"/>
  <c r="D961" i="14" a="1"/>
  <c r="E961" i="14" s="1"/>
  <c r="D960" i="14" a="1"/>
  <c r="D959" i="14" a="1"/>
  <c r="D958" i="14" a="1"/>
  <c r="D953" i="14" a="1"/>
  <c r="D952" i="14" a="1"/>
  <c r="D951" i="14" a="1"/>
  <c r="D950" i="14" a="1"/>
  <c r="E950" i="14" s="1"/>
  <c r="D886" i="14" a="1"/>
  <c r="D885" i="14" a="1"/>
  <c r="D884" i="14" a="1"/>
  <c r="H933" i="14"/>
  <c r="H921" i="14"/>
  <c r="AH644" i="1"/>
  <c r="AH502" i="1"/>
  <c r="AH424" i="1"/>
  <c r="AH571" i="1"/>
  <c r="AH362" i="1"/>
  <c r="AH922" i="1"/>
  <c r="AH623" i="1"/>
  <c r="AH607" i="1"/>
  <c r="AH628" i="1"/>
  <c r="AH568" i="1"/>
  <c r="AH921" i="1"/>
  <c r="AH829" i="1"/>
  <c r="AH939" i="1"/>
  <c r="AH891" i="1"/>
  <c r="AH575" i="1"/>
  <c r="AH12" i="1"/>
  <c r="AH41" i="1"/>
  <c r="AH614" i="1"/>
  <c r="AH796" i="1"/>
  <c r="AH320" i="1"/>
  <c r="AH229" i="1"/>
  <c r="AH232" i="1"/>
  <c r="AH156" i="1"/>
  <c r="AH766" i="1"/>
  <c r="AH488" i="1"/>
  <c r="AH906" i="1"/>
  <c r="AH872" i="1"/>
  <c r="AH165" i="1"/>
  <c r="AH608" i="1"/>
  <c r="AH896" i="1"/>
  <c r="AH828" i="1"/>
  <c r="AH573" i="1"/>
  <c r="AH142" i="1"/>
  <c r="AH146" i="1"/>
  <c r="AH219" i="1"/>
  <c r="AH595" i="1"/>
  <c r="AH17" i="1"/>
  <c r="AH586" i="1"/>
  <c r="AH130" i="1"/>
  <c r="AH587" i="1"/>
  <c r="AH261" i="1"/>
  <c r="AH895" i="1"/>
  <c r="AH633" i="1"/>
  <c r="AH983" i="1"/>
  <c r="AH971" i="1"/>
  <c r="AH503" i="1"/>
  <c r="AH871" i="1"/>
  <c r="AH371" i="1"/>
  <c r="AH326" i="1"/>
  <c r="AH643" i="1"/>
  <c r="AH589" i="1"/>
  <c r="AH576" i="1"/>
  <c r="AH572" i="1"/>
  <c r="AH823" i="1"/>
  <c r="AH16" i="1"/>
  <c r="AH611" i="1"/>
  <c r="AH581" i="1"/>
  <c r="AH414" i="1"/>
  <c r="AH758" i="1"/>
  <c r="AH583" i="1"/>
  <c r="AH894" i="1"/>
  <c r="AH592" i="1"/>
  <c r="AH588" i="1"/>
  <c r="AH609" i="1"/>
  <c r="AH799" i="1"/>
  <c r="AH485" i="1"/>
  <c r="AH276" i="1"/>
  <c r="AH496" i="1"/>
  <c r="AH134" i="1"/>
  <c r="AH132" i="1"/>
  <c r="AH95" i="1"/>
  <c r="AH6" i="1"/>
  <c r="AH477" i="1"/>
  <c r="AH275" i="1"/>
  <c r="AH110" i="1"/>
  <c r="AH4" i="1"/>
  <c r="AH125" i="1"/>
  <c r="AH626" i="1"/>
  <c r="AH613" i="1"/>
  <c r="AH448" i="1"/>
  <c r="AH364" i="1"/>
  <c r="AH791" i="1"/>
  <c r="AH874" i="1"/>
  <c r="AH635" i="1"/>
  <c r="AH879" i="1"/>
  <c r="AH801" i="1"/>
  <c r="AH642" i="1"/>
  <c r="AH641" i="1"/>
  <c r="AH271" i="1"/>
  <c r="AH270" i="1"/>
  <c r="D957" i="14" a="1"/>
  <c r="D956" i="14" a="1"/>
  <c r="D955" i="14" a="1"/>
  <c r="D954" i="14" a="1"/>
  <c r="D774" i="14" a="1"/>
  <c r="D773" i="14" a="1"/>
  <c r="D772" i="14" a="1"/>
  <c r="D771" i="14" a="1"/>
  <c r="D770" i="14" a="1"/>
  <c r="D769" i="14" a="1"/>
  <c r="D768" i="14" a="1"/>
  <c r="D767" i="14" a="1"/>
  <c r="D715" i="14" a="1"/>
  <c r="D714" i="14" a="1"/>
  <c r="D692" i="14" a="1"/>
  <c r="D691" i="14" a="1"/>
  <c r="D690" i="14" a="1"/>
  <c r="D689" i="14" a="1"/>
  <c r="D688" i="14" a="1"/>
  <c r="D687" i="14" a="1"/>
  <c r="D686" i="14" a="1"/>
  <c r="D685" i="14" a="1"/>
  <c r="D684" i="14" a="1"/>
  <c r="D683" i="14" a="1"/>
  <c r="D682" i="14" a="1"/>
  <c r="D634" i="14" a="1"/>
  <c r="D633" i="14" a="1"/>
  <c r="D632" i="14" a="1"/>
  <c r="D631" i="14" a="1"/>
  <c r="D630" i="14" a="1"/>
  <c r="D629" i="14" a="1"/>
  <c r="D628" i="14" a="1"/>
  <c r="D627" i="14" a="1"/>
  <c r="D626" i="14" a="1"/>
  <c r="D625" i="14" a="1"/>
  <c r="D624" i="14" a="1"/>
  <c r="D623" i="14" a="1"/>
  <c r="D622" i="14" a="1"/>
  <c r="D621" i="14" a="1"/>
  <c r="D620" i="14" a="1"/>
  <c r="D619" i="14" a="1"/>
  <c r="D618" i="14" a="1"/>
  <c r="D617" i="14" a="1"/>
  <c r="D616" i="14" a="1"/>
  <c r="D545" i="14" a="1"/>
  <c r="D544" i="14" a="1"/>
  <c r="D543" i="14" a="1"/>
  <c r="D462" i="14" a="1"/>
  <c r="D461" i="14" a="1"/>
  <c r="D239" i="14" a="1"/>
  <c r="D238" i="14" a="1"/>
  <c r="D168" i="14" a="1"/>
  <c r="D167" i="14" a="1"/>
  <c r="D166" i="14" a="1"/>
  <c r="D165" i="14" a="1"/>
  <c r="D164" i="14" a="1"/>
  <c r="D163" i="14" a="1"/>
  <c r="D162" i="14" a="1"/>
  <c r="D161" i="14" a="1"/>
  <c r="D160" i="14" a="1"/>
  <c r="D159" i="14" a="1"/>
  <c r="D158" i="14" a="1"/>
  <c r="D157" i="14" a="1"/>
  <c r="D156" i="14" a="1"/>
  <c r="D155" i="14" a="1"/>
  <c r="D154" i="14" a="1"/>
  <c r="D153" i="14" a="1"/>
  <c r="D152" i="14" a="1"/>
  <c r="D151" i="14" a="1"/>
  <c r="D150" i="14" a="1"/>
  <c r="D149" i="14" a="1"/>
  <c r="D148" i="14" a="1"/>
  <c r="D147" i="14" a="1"/>
  <c r="D146" i="14" a="1"/>
  <c r="D145" i="14" a="1"/>
  <c r="D144" i="14" a="1"/>
  <c r="D53" i="14" a="1"/>
  <c r="D52" i="14" a="1"/>
  <c r="D51" i="14" a="1"/>
  <c r="D50" i="14" a="1"/>
  <c r="D49" i="14" a="1"/>
  <c r="D48" i="14" a="1"/>
  <c r="D47" i="14" a="1"/>
  <c r="D46" i="14" a="1"/>
  <c r="D45" i="14" a="1"/>
  <c r="D44" i="14" a="1"/>
  <c r="D43" i="14" a="1"/>
  <c r="D42" i="14" a="1"/>
  <c r="D41" i="14" a="1"/>
  <c r="D40" i="14" a="1"/>
  <c r="D4" i="14" a="1"/>
  <c r="H994" i="14"/>
  <c r="H922" i="14"/>
  <c r="AH886" i="1"/>
  <c r="AH883" i="1"/>
  <c r="AH878" i="1"/>
  <c r="AH963" i="1"/>
  <c r="AH274" i="1"/>
  <c r="AH272" i="1"/>
  <c r="AH266" i="1"/>
  <c r="AH435" i="1"/>
  <c r="AH336" i="1"/>
  <c r="AH170" i="1"/>
  <c r="AH122" i="1"/>
  <c r="AH96" i="1"/>
  <c r="AH259" i="1"/>
  <c r="AH203" i="1"/>
  <c r="AH316" i="1"/>
  <c r="AH756" i="1"/>
  <c r="AH646" i="1"/>
  <c r="AH632" i="1"/>
  <c r="AH283" i="1"/>
  <c r="AH860" i="1"/>
  <c r="AH885" i="1"/>
  <c r="AH759" i="1"/>
  <c r="AH987" i="1"/>
  <c r="AH881" i="1"/>
  <c r="AH830" i="1"/>
  <c r="AH802" i="1"/>
  <c r="AH797" i="1"/>
  <c r="AH630" i="1"/>
  <c r="AH267" i="1"/>
  <c r="AH285" i="1"/>
  <c r="AH77" i="1"/>
  <c r="AH10" i="1"/>
  <c r="AH497" i="1"/>
  <c r="AH893" i="1"/>
  <c r="AH290" i="1"/>
  <c r="AH972" i="1"/>
  <c r="AH538" i="1"/>
  <c r="AH196" i="1"/>
  <c r="AH961" i="1"/>
  <c r="AH973" i="1"/>
  <c r="AH909" i="1"/>
  <c r="AH140" i="1"/>
  <c r="AH137" i="1"/>
  <c r="AH974" i="1"/>
  <c r="AH936" i="1"/>
  <c r="AH260" i="1"/>
  <c r="AH937" i="1"/>
  <c r="AH935" i="1"/>
  <c r="AH931" i="1"/>
  <c r="AH930" i="1"/>
  <c r="AH928" i="1"/>
  <c r="AH882" i="1"/>
  <c r="AH3" i="1"/>
  <c r="E3" i="24" s="1"/>
  <c r="AH962" i="1"/>
  <c r="AH892" i="1"/>
  <c r="AH831" i="1"/>
  <c r="AH798" i="1"/>
  <c r="AH918" i="1"/>
  <c r="AH765" i="1"/>
  <c r="AH634" i="1"/>
  <c r="AH627" i="1"/>
  <c r="AH354" i="1"/>
  <c r="AH849" i="1"/>
  <c r="AH441" i="1"/>
  <c r="AH282" i="1"/>
  <c r="AH638" i="1"/>
  <c r="AH629" i="1"/>
  <c r="AH498" i="1"/>
  <c r="AH490" i="1"/>
  <c r="AH645" i="1"/>
  <c r="AH618" i="1"/>
  <c r="AH625" i="1"/>
  <c r="AH387" i="1"/>
  <c r="AH381" i="1"/>
  <c r="AH369" i="1"/>
  <c r="AH268" i="1"/>
  <c r="AH129" i="1"/>
  <c r="AH111" i="1"/>
  <c r="AH89" i="1"/>
  <c r="AH640" i="1"/>
  <c r="AH386" i="1"/>
  <c r="AH339" i="1"/>
  <c r="AH315" i="1"/>
  <c r="AH295" i="1"/>
  <c r="AH211" i="1"/>
  <c r="AH149" i="1"/>
  <c r="AH147" i="1"/>
  <c r="AH145" i="1"/>
  <c r="AH138" i="1"/>
  <c r="AH117" i="1"/>
  <c r="AH112" i="1"/>
  <c r="AH107" i="1"/>
  <c r="AH269" i="1"/>
  <c r="AH103" i="1"/>
  <c r="AH382" i="1"/>
  <c r="AH286" i="1"/>
  <c r="AH539" i="1"/>
  <c r="AH504" i="1"/>
  <c r="AH487" i="1"/>
  <c r="AH206" i="1"/>
  <c r="AH200" i="1"/>
  <c r="AH118" i="1"/>
  <c r="AH636" i="1"/>
  <c r="AH631" i="1"/>
  <c r="AH473" i="1"/>
  <c r="AH383" i="1"/>
  <c r="AH361" i="1"/>
  <c r="AH220" i="1"/>
  <c r="AH143" i="1"/>
  <c r="AH484" i="1"/>
  <c r="AH358" i="1"/>
  <c r="AH639" i="1"/>
  <c r="AH139" i="1"/>
  <c r="AH822" i="1"/>
  <c r="AH795" i="1"/>
  <c r="AH647" i="1"/>
  <c r="AH622" i="1"/>
  <c r="AH616" i="1"/>
  <c r="AH457" i="1"/>
  <c r="AH888" i="1"/>
  <c r="AH821" i="1"/>
  <c r="AH800" i="1"/>
  <c r="AH648" i="1"/>
  <c r="AH637" i="1"/>
  <c r="AH619" i="1"/>
  <c r="AH218" i="1"/>
  <c r="AH198" i="1"/>
  <c r="D920" i="14" a="1"/>
  <c r="D883" i="14" a="1"/>
  <c r="D882" i="14" a="1"/>
  <c r="D881" i="14" a="1"/>
  <c r="D880" i="14" a="1"/>
  <c r="D879" i="14" a="1"/>
  <c r="D878" i="14" a="1"/>
  <c r="D877" i="14" a="1"/>
  <c r="D876" i="14" a="1"/>
  <c r="D875" i="14" a="1"/>
  <c r="D874" i="14" a="1"/>
  <c r="D873" i="14" a="1"/>
  <c r="D872" i="14" a="1"/>
  <c r="D871" i="14" a="1"/>
  <c r="D843" i="14" a="1"/>
  <c r="D842" i="14" a="1"/>
  <c r="D841" i="14" a="1"/>
  <c r="D840" i="14" a="1"/>
  <c r="D839" i="14" a="1"/>
  <c r="D838" i="14" a="1"/>
  <c r="D837" i="14" a="1"/>
  <c r="D836" i="14" a="1"/>
  <c r="D835" i="14" a="1"/>
  <c r="D834" i="14" a="1"/>
  <c r="D833" i="14" a="1"/>
  <c r="D832" i="14" a="1"/>
  <c r="D831" i="14" a="1"/>
  <c r="D830" i="14" a="1"/>
  <c r="D829" i="14" a="1"/>
  <c r="D828" i="14" a="1"/>
  <c r="D827" i="14" a="1"/>
  <c r="D826" i="14" a="1"/>
  <c r="D807" i="14" a="1"/>
  <c r="E807" i="14" s="1"/>
  <c r="D806" i="14" a="1"/>
  <c r="D805" i="14" a="1"/>
  <c r="E805" i="14" s="1"/>
  <c r="D804" i="14" a="1"/>
  <c r="E804" i="14" s="1"/>
  <c r="E815" i="14" s="1"/>
  <c r="D803" i="14" a="1"/>
  <c r="D802" i="14" a="1"/>
  <c r="D801" i="14" a="1"/>
  <c r="D800" i="14" a="1"/>
  <c r="D799" i="14" a="1"/>
  <c r="E799" i="14" s="1"/>
  <c r="D798" i="14" a="1"/>
  <c r="D797" i="14" a="1"/>
  <c r="D796" i="14" a="1"/>
  <c r="D795" i="14" a="1"/>
  <c r="D794" i="14" a="1"/>
  <c r="D793" i="14" a="1"/>
  <c r="E793" i="14" s="1"/>
  <c r="E794" i="14" s="1"/>
  <c r="D766" i="14" a="1"/>
  <c r="D765" i="14" a="1"/>
  <c r="D764" i="14" a="1"/>
  <c r="D763" i="14" a="1"/>
  <c r="D762" i="14" a="1"/>
  <c r="D761" i="14" a="1"/>
  <c r="D760" i="14" a="1"/>
  <c r="D759" i="14" a="1"/>
  <c r="D758" i="14" a="1"/>
  <c r="D757" i="14" a="1"/>
  <c r="D756" i="14" a="1"/>
  <c r="D755" i="14" a="1"/>
  <c r="D754" i="14" a="1"/>
  <c r="D753" i="14" a="1"/>
  <c r="D752" i="14" a="1"/>
  <c r="D751" i="14" a="1"/>
  <c r="D750" i="14" a="1"/>
  <c r="D749" i="14" a="1"/>
  <c r="D748" i="14" a="1"/>
  <c r="D747" i="14" a="1"/>
  <c r="D746" i="14" a="1"/>
  <c r="D745" i="14" a="1"/>
  <c r="D744" i="14" a="1"/>
  <c r="D743" i="14" a="1"/>
  <c r="D742" i="14" a="1"/>
  <c r="D741" i="14" a="1"/>
  <c r="D740" i="14" a="1"/>
  <c r="D739" i="14" a="1"/>
  <c r="D738" i="14" a="1"/>
  <c r="D737" i="14" a="1"/>
  <c r="D736" i="14" a="1"/>
  <c r="D735" i="14" a="1"/>
  <c r="D734" i="14" a="1"/>
  <c r="D733" i="14" a="1"/>
  <c r="D732" i="14" a="1"/>
  <c r="D731" i="14" a="1"/>
  <c r="D730" i="14" a="1"/>
  <c r="D729" i="14" a="1"/>
  <c r="D728" i="14" a="1"/>
  <c r="D727" i="14" a="1"/>
  <c r="D726" i="14" a="1"/>
  <c r="D725" i="14" a="1"/>
  <c r="D724" i="14" a="1"/>
  <c r="D723" i="14" a="1"/>
  <c r="D722" i="14" a="1"/>
  <c r="D721" i="14" a="1"/>
  <c r="D720" i="14" a="1"/>
  <c r="D719" i="14" a="1"/>
  <c r="D718" i="14" a="1"/>
  <c r="D717" i="14" a="1"/>
  <c r="D716" i="14" a="1"/>
  <c r="D681" i="14" a="1"/>
  <c r="D680" i="14" a="1"/>
  <c r="D679" i="14" a="1"/>
  <c r="D678" i="14" a="1"/>
  <c r="D677" i="14" a="1"/>
  <c r="D676" i="14" a="1"/>
  <c r="D675" i="14" a="1"/>
  <c r="D674" i="14" a="1"/>
  <c r="D673" i="14" a="1"/>
  <c r="D672" i="14" a="1"/>
  <c r="D671" i="14" a="1"/>
  <c r="D670" i="14" a="1"/>
  <c r="D669" i="14" a="1"/>
  <c r="D668" i="14" a="1"/>
  <c r="D667" i="14" a="1"/>
  <c r="D666" i="14" a="1"/>
  <c r="D665" i="14" a="1"/>
  <c r="D664" i="14" a="1"/>
  <c r="D663" i="14" a="1"/>
  <c r="D662" i="14" a="1"/>
  <c r="D661" i="14" a="1"/>
  <c r="D660" i="14" a="1"/>
  <c r="D659" i="14" a="1"/>
  <c r="D658" i="14" a="1"/>
  <c r="D657" i="14" a="1"/>
  <c r="D656" i="14" a="1"/>
  <c r="D655" i="14" a="1"/>
  <c r="D648" i="14" a="1"/>
  <c r="D647" i="14" a="1"/>
  <c r="D646" i="14" a="1"/>
  <c r="D645" i="14" a="1"/>
  <c r="D644" i="14" a="1"/>
  <c r="D643" i="14" a="1"/>
  <c r="D642" i="14" a="1"/>
  <c r="D641" i="14" a="1"/>
  <c r="D640" i="14" a="1"/>
  <c r="D639" i="14" a="1"/>
  <c r="D638" i="14" a="1"/>
  <c r="D637" i="14" a="1"/>
  <c r="D636" i="14" a="1"/>
  <c r="D635" i="14" a="1"/>
  <c r="D615" i="14" a="1"/>
  <c r="D614" i="14" a="1"/>
  <c r="D613" i="14" a="1"/>
  <c r="D612" i="14" a="1"/>
  <c r="D611" i="14" a="1"/>
  <c r="D610" i="14" a="1"/>
  <c r="D609" i="14" a="1"/>
  <c r="D608" i="14" a="1"/>
  <c r="D607" i="14" a="1"/>
  <c r="D606" i="14" a="1"/>
  <c r="D605" i="14" a="1"/>
  <c r="D604" i="14" a="1"/>
  <c r="D603" i="14" a="1"/>
  <c r="D602" i="14" a="1"/>
  <c r="D601" i="14" a="1"/>
  <c r="D600" i="14" a="1"/>
  <c r="D599" i="14" a="1"/>
  <c r="D598" i="14" a="1"/>
  <c r="D597" i="14" a="1"/>
  <c r="D596" i="14" a="1"/>
  <c r="D595" i="14" a="1"/>
  <c r="D594" i="14" a="1"/>
  <c r="D593" i="14" a="1"/>
  <c r="D592" i="14" a="1"/>
  <c r="D588" i="14" a="1"/>
  <c r="D587" i="14" a="1"/>
  <c r="D586" i="14" a="1"/>
  <c r="D585" i="14" a="1"/>
  <c r="D584" i="14" a="1"/>
  <c r="D583" i="14" a="1"/>
  <c r="D582" i="14" a="1"/>
  <c r="D581" i="14" a="1"/>
  <c r="D580" i="14" a="1"/>
  <c r="D579" i="14" a="1"/>
  <c r="D578" i="14" a="1"/>
  <c r="D577" i="14" a="1"/>
  <c r="D576" i="14" a="1"/>
  <c r="D575" i="14" a="1"/>
  <c r="D574" i="14" a="1"/>
  <c r="D573" i="14" a="1"/>
  <c r="D572" i="14" a="1"/>
  <c r="E572" i="14" s="1"/>
  <c r="E573" i="14" s="1"/>
  <c r="D571" i="14" a="1"/>
  <c r="D570" i="14" a="1"/>
  <c r="E570" i="14" s="1"/>
  <c r="E571" i="14" s="1"/>
  <c r="E962" i="14" s="1"/>
  <c r="D569" i="14" a="1"/>
  <c r="D568" i="14" a="1"/>
  <c r="E568" i="14" s="1"/>
  <c r="D567" i="14" a="1"/>
  <c r="D566" i="14" a="1"/>
  <c r="D565" i="14" a="1"/>
  <c r="D564" i="14" a="1"/>
  <c r="D563" i="14" a="1"/>
  <c r="D562" i="14" a="1"/>
  <c r="D561" i="14" a="1"/>
  <c r="D560" i="14" a="1"/>
  <c r="D559" i="14" a="1"/>
  <c r="D558" i="14" a="1"/>
  <c r="D542" i="14" a="1"/>
  <c r="D541" i="14" a="1"/>
  <c r="D540" i="14" a="1"/>
  <c r="D539" i="14" a="1"/>
  <c r="D538" i="14" a="1"/>
  <c r="D537" i="14" a="1"/>
  <c r="D536" i="14" a="1"/>
  <c r="D535" i="14" a="1"/>
  <c r="D534" i="14" a="1"/>
  <c r="D533" i="14" a="1"/>
  <c r="D532" i="14" a="1"/>
  <c r="D531" i="14" a="1"/>
  <c r="D530" i="14" a="1"/>
  <c r="D529" i="14" a="1"/>
  <c r="D528" i="14" a="1"/>
  <c r="D527" i="14" a="1"/>
  <c r="D526" i="14" a="1"/>
  <c r="D525" i="14" a="1"/>
  <c r="D524" i="14" a="1"/>
  <c r="D523" i="14" a="1"/>
  <c r="D522" i="14" a="1"/>
  <c r="D521" i="14" a="1"/>
  <c r="D520" i="14" a="1"/>
  <c r="D519" i="14" a="1"/>
  <c r="D518" i="14" a="1"/>
  <c r="D517" i="14" a="1"/>
  <c r="D516" i="14" a="1"/>
  <c r="D515" i="14" a="1"/>
  <c r="D514" i="14" a="1"/>
  <c r="D513" i="14" a="1"/>
  <c r="D512" i="14" a="1"/>
  <c r="D511" i="14" a="1"/>
  <c r="D510" i="14" a="1"/>
  <c r="D509" i="14" a="1"/>
  <c r="D508" i="14" a="1"/>
  <c r="D507" i="14" a="1"/>
  <c r="D506" i="14" a="1"/>
  <c r="D505" i="14" a="1"/>
  <c r="D504" i="14" a="1"/>
  <c r="D503" i="14" a="1"/>
  <c r="D502" i="14" a="1"/>
  <c r="D501" i="14" a="1"/>
  <c r="D500" i="14" a="1"/>
  <c r="D499" i="14" a="1"/>
  <c r="D498" i="14" a="1"/>
  <c r="D497" i="14" a="1"/>
  <c r="D496" i="14" a="1"/>
  <c r="D495" i="14" a="1"/>
  <c r="D494" i="14" a="1"/>
  <c r="D493" i="14" a="1"/>
  <c r="D492" i="14" a="1"/>
  <c r="D491" i="14" a="1"/>
  <c r="D433" i="14" a="1"/>
  <c r="D432" i="14" a="1"/>
  <c r="D431" i="14" a="1"/>
  <c r="D430" i="14" a="1"/>
  <c r="D429" i="14" a="1"/>
  <c r="D428" i="14" a="1"/>
  <c r="D427" i="14" a="1"/>
  <c r="D426" i="14" a="1"/>
  <c r="D425" i="14" a="1"/>
  <c r="D424" i="14" a="1"/>
  <c r="D423" i="14" a="1"/>
  <c r="D422" i="14" a="1"/>
  <c r="D421" i="14" a="1"/>
  <c r="D420" i="14" a="1"/>
  <c r="D419" i="14" a="1"/>
  <c r="D418" i="14" a="1"/>
  <c r="D410" i="14" a="1"/>
  <c r="D409" i="14" a="1"/>
  <c r="D408" i="14" a="1"/>
  <c r="D407" i="14" a="1"/>
  <c r="D406" i="14" a="1"/>
  <c r="D405" i="14" a="1"/>
  <c r="D404" i="14" a="1"/>
  <c r="D403" i="14" a="1"/>
  <c r="D402" i="14" a="1"/>
  <c r="D401" i="14" a="1"/>
  <c r="D400" i="14" a="1"/>
  <c r="D399" i="14" a="1"/>
  <c r="D398" i="14" a="1"/>
  <c r="D397" i="14" a="1"/>
  <c r="D396" i="14" a="1"/>
  <c r="D395" i="14" a="1"/>
  <c r="D394" i="14" a="1"/>
  <c r="D393" i="14" a="1"/>
  <c r="D392" i="14" a="1"/>
  <c r="D391" i="14" a="1"/>
  <c r="D390" i="14" a="1"/>
  <c r="D389" i="14" a="1"/>
  <c r="D388" i="14" a="1"/>
  <c r="D387" i="14" a="1"/>
  <c r="D386" i="14" a="1"/>
  <c r="D385" i="14" a="1"/>
  <c r="D384" i="14" a="1"/>
  <c r="D383" i="14" a="1"/>
  <c r="D382" i="14" a="1"/>
  <c r="D381" i="14" a="1"/>
  <c r="D380" i="14" a="1"/>
  <c r="D379" i="14" a="1"/>
  <c r="D378" i="14" a="1"/>
  <c r="D377" i="14" a="1"/>
  <c r="D376" i="14" a="1"/>
  <c r="D375" i="14" a="1"/>
  <c r="D374" i="14" a="1"/>
  <c r="D373" i="14" a="1"/>
  <c r="D372" i="14" a="1"/>
  <c r="D371" i="14" a="1"/>
  <c r="D370" i="14" a="1"/>
  <c r="D369" i="14" a="1"/>
  <c r="D368" i="14" a="1"/>
  <c r="D367" i="14" a="1"/>
  <c r="D366" i="14" a="1"/>
  <c r="D365" i="14" a="1"/>
  <c r="D364" i="14" a="1"/>
  <c r="D363" i="14" a="1"/>
  <c r="D362" i="14" a="1"/>
  <c r="D361" i="14" a="1"/>
  <c r="D360" i="14" a="1"/>
  <c r="D359" i="14" a="1"/>
  <c r="D358" i="14" a="1"/>
  <c r="D357" i="14" a="1"/>
  <c r="D356" i="14" a="1"/>
  <c r="D355" i="14" a="1"/>
  <c r="D354" i="14" a="1"/>
  <c r="D353" i="14" a="1"/>
  <c r="D352" i="14" a="1"/>
  <c r="D351" i="14" a="1"/>
  <c r="D350" i="14" a="1"/>
  <c r="D349" i="14" a="1"/>
  <c r="D304" i="14" a="1"/>
  <c r="D303" i="14" a="1"/>
  <c r="D302" i="14" a="1"/>
  <c r="D301" i="14" a="1"/>
  <c r="D300" i="14" a="1"/>
  <c r="D299" i="14" a="1"/>
  <c r="D298" i="14" a="1"/>
  <c r="D297" i="14" a="1"/>
  <c r="D296" i="14" a="1"/>
  <c r="D295" i="14" a="1"/>
  <c r="D294" i="14" a="1"/>
  <c r="D293" i="14" a="1"/>
  <c r="D292" i="14" a="1"/>
  <c r="D291" i="14" a="1"/>
  <c r="D290" i="14" a="1"/>
  <c r="D289" i="14" a="1"/>
  <c r="D288" i="14" a="1"/>
  <c r="D287" i="14" a="1"/>
  <c r="D286" i="14" a="1"/>
  <c r="D285" i="14" a="1"/>
  <c r="D284" i="14" a="1"/>
  <c r="D283" i="14" a="1"/>
  <c r="D282" i="14" a="1"/>
  <c r="D281" i="14" a="1"/>
  <c r="D280" i="14" a="1"/>
  <c r="D279" i="14" a="1"/>
  <c r="D278" i="14" a="1"/>
  <c r="D277" i="14" a="1"/>
  <c r="D276" i="14" a="1"/>
  <c r="D275" i="14" a="1"/>
  <c r="D274" i="14" a="1"/>
  <c r="D273" i="14" a="1"/>
  <c r="D272" i="14" a="1"/>
  <c r="D271" i="14" a="1"/>
  <c r="D270" i="14" a="1"/>
  <c r="D269" i="14" a="1"/>
  <c r="D268" i="14" a="1"/>
  <c r="D267" i="14" a="1"/>
  <c r="D266" i="14" a="1"/>
  <c r="D265" i="14" a="1"/>
  <c r="D264" i="14" a="1"/>
  <c r="D263" i="14" a="1"/>
  <c r="D262" i="14" a="1"/>
  <c r="D261" i="14" a="1"/>
  <c r="D260" i="14" a="1"/>
  <c r="D259" i="14" a="1"/>
  <c r="D143" i="14" a="1"/>
  <c r="D142" i="14" a="1"/>
  <c r="D141" i="14" a="1"/>
  <c r="D140" i="14" a="1"/>
  <c r="D139" i="14" a="1"/>
  <c r="D138" i="14" a="1"/>
  <c r="D137" i="14" a="1"/>
  <c r="D136" i="14" a="1"/>
  <c r="D135" i="14" a="1"/>
  <c r="D134" i="14" a="1"/>
  <c r="D133" i="14" a="1"/>
  <c r="D132" i="14" a="1"/>
  <c r="D131" i="14" a="1"/>
  <c r="D130" i="14" a="1"/>
  <c r="D129" i="14" a="1"/>
  <c r="D128" i="14" a="1"/>
  <c r="D127" i="14" a="1"/>
  <c r="D126" i="14" a="1"/>
  <c r="D125" i="14" a="1"/>
  <c r="D124" i="14" a="1"/>
  <c r="D123" i="14" a="1"/>
  <c r="D122" i="14" a="1"/>
  <c r="D121" i="14" a="1"/>
  <c r="D120" i="14" a="1"/>
  <c r="D17" i="14" a="1"/>
  <c r="D16" i="14" a="1"/>
  <c r="D15" i="14" a="1"/>
  <c r="D14" i="14" a="1"/>
  <c r="C994" i="24"/>
  <c r="D994" i="24"/>
  <c r="B994" i="24" a="1"/>
  <c r="H930" i="14"/>
  <c r="H923" i="14"/>
  <c r="H812" i="14"/>
  <c r="H809" i="14"/>
  <c r="H808" i="14"/>
  <c r="H709" i="14"/>
  <c r="H708" i="14"/>
  <c r="H706" i="14"/>
  <c r="H705" i="14"/>
  <c r="H702" i="14"/>
  <c r="H700" i="14"/>
  <c r="H697" i="14"/>
  <c r="H695" i="14"/>
  <c r="H473" i="14"/>
  <c r="H472" i="14"/>
  <c r="H471" i="14"/>
  <c r="H313" i="14"/>
  <c r="H312" i="14"/>
  <c r="H311" i="14"/>
  <c r="H310" i="14"/>
  <c r="H309" i="14"/>
  <c r="H308" i="14"/>
  <c r="D993" i="24"/>
  <c r="L993" i="14" s="1"/>
  <c r="C993" i="24"/>
  <c r="B993" i="24" a="1"/>
  <c r="D992" i="24"/>
  <c r="B992" i="24" a="1"/>
  <c r="D991" i="24"/>
  <c r="B991" i="24" a="1"/>
  <c r="D990" i="24"/>
  <c r="B990" i="24" a="1"/>
  <c r="D989" i="24"/>
  <c r="L989" i="14" s="1"/>
  <c r="B989" i="24" a="1"/>
  <c r="D988" i="24"/>
  <c r="L988" i="14" s="1"/>
  <c r="B988" i="24" a="1"/>
  <c r="D987" i="24"/>
  <c r="L987" i="14" s="1"/>
  <c r="B987" i="24" a="1"/>
  <c r="D986" i="24"/>
  <c r="L986" i="14" s="1"/>
  <c r="B986" i="24" a="1"/>
  <c r="D985" i="24"/>
  <c r="B985" i="24" a="1"/>
  <c r="D984" i="24"/>
  <c r="B984" i="24" a="1"/>
  <c r="D983" i="24"/>
  <c r="B983" i="24" a="1"/>
  <c r="D982" i="24"/>
  <c r="B982" i="24" a="1"/>
  <c r="D981" i="24"/>
  <c r="B981" i="24" a="1"/>
  <c r="D980" i="24"/>
  <c r="B980" i="24" a="1"/>
  <c r="D979" i="24"/>
  <c r="B979" i="24" a="1"/>
  <c r="D978" i="24"/>
  <c r="B978" i="24" a="1"/>
  <c r="D977" i="24"/>
  <c r="B977" i="24" a="1"/>
  <c r="D976" i="24"/>
  <c r="B976" i="24" a="1"/>
  <c r="D975" i="24"/>
  <c r="B975" i="24" a="1"/>
  <c r="D974" i="24"/>
  <c r="B974" i="24" a="1"/>
  <c r="D973" i="24"/>
  <c r="B973" i="24" a="1"/>
  <c r="D972" i="24"/>
  <c r="B972" i="24" a="1"/>
  <c r="D971" i="24"/>
  <c r="B971" i="24" a="1"/>
  <c r="D970" i="24"/>
  <c r="B970" i="24" a="1"/>
  <c r="D969" i="24"/>
  <c r="B969" i="24" a="1"/>
  <c r="D968" i="24"/>
  <c r="B968" i="24" a="1"/>
  <c r="D967" i="24"/>
  <c r="B967" i="24" a="1"/>
  <c r="D966" i="24"/>
  <c r="B966" i="24" a="1"/>
  <c r="D965" i="24"/>
  <c r="B965" i="24" a="1"/>
  <c r="D964" i="24"/>
  <c r="B964" i="24" a="1"/>
  <c r="D963" i="24"/>
  <c r="B963" i="24" a="1"/>
  <c r="D962" i="24"/>
  <c r="B962" i="24" a="1"/>
  <c r="D961" i="24"/>
  <c r="B961" i="24" a="1"/>
  <c r="D960" i="24"/>
  <c r="B960" i="24" a="1"/>
  <c r="D959" i="24"/>
  <c r="B959" i="24" a="1"/>
  <c r="D958" i="24"/>
  <c r="B958" i="24" a="1"/>
  <c r="D957" i="24"/>
  <c r="B957" i="24" a="1"/>
  <c r="D956" i="24"/>
  <c r="B956" i="24" a="1"/>
  <c r="D955" i="24"/>
  <c r="B955" i="24" a="1"/>
  <c r="D954" i="24"/>
  <c r="B954" i="24" a="1"/>
  <c r="D953" i="24"/>
  <c r="B953" i="24" a="1"/>
  <c r="D952" i="24"/>
  <c r="B952" i="24" a="1"/>
  <c r="D951" i="24"/>
  <c r="B951" i="24" a="1"/>
  <c r="D950" i="24"/>
  <c r="B950" i="24" a="1"/>
  <c r="D949" i="24"/>
  <c r="B949" i="24" a="1"/>
  <c r="D948" i="24"/>
  <c r="B948" i="24" a="1"/>
  <c r="D947" i="24"/>
  <c r="B947" i="24" a="1"/>
  <c r="D946" i="24"/>
  <c r="B946" i="24" a="1"/>
  <c r="D945" i="24"/>
  <c r="B945" i="24" a="1"/>
  <c r="D944" i="24"/>
  <c r="B944" i="24" a="1"/>
  <c r="D943" i="24"/>
  <c r="B943" i="24" a="1"/>
  <c r="D942" i="24"/>
  <c r="B942" i="24" a="1"/>
  <c r="D941" i="24"/>
  <c r="B941" i="24" a="1"/>
  <c r="D940" i="24"/>
  <c r="B940" i="24" a="1"/>
  <c r="D939" i="24"/>
  <c r="B939" i="24" a="1"/>
  <c r="D938" i="24"/>
  <c r="B938" i="24" a="1"/>
  <c r="D937" i="24"/>
  <c r="B937" i="24" a="1"/>
  <c r="D936" i="24"/>
  <c r="B936" i="24" a="1"/>
  <c r="D935" i="24"/>
  <c r="C935" i="24"/>
  <c r="B935" i="24" a="1"/>
  <c r="D934" i="24"/>
  <c r="C934" i="24"/>
  <c r="B934" i="24" a="1"/>
  <c r="D933" i="24"/>
  <c r="C933" i="24"/>
  <c r="B933" i="24" a="1"/>
  <c r="D932" i="24"/>
  <c r="C932" i="24"/>
  <c r="B932" i="24" a="1"/>
  <c r="D931" i="24"/>
  <c r="C931" i="24"/>
  <c r="B931" i="24" a="1"/>
  <c r="D930" i="24"/>
  <c r="C930" i="24"/>
  <c r="B930" i="24" a="1"/>
  <c r="H929" i="14"/>
  <c r="H928" i="14"/>
  <c r="H927" i="14"/>
  <c r="H926" i="14"/>
  <c r="H925" i="14"/>
  <c r="H813" i="14"/>
  <c r="H811" i="14"/>
  <c r="H810" i="14"/>
  <c r="H807" i="14"/>
  <c r="H707" i="14"/>
  <c r="H704" i="14"/>
  <c r="H703" i="14"/>
  <c r="H699" i="14"/>
  <c r="H698" i="14"/>
  <c r="H433" i="14"/>
  <c r="H355" i="14"/>
  <c r="H354" i="14"/>
  <c r="H353" i="14"/>
  <c r="H352" i="14"/>
  <c r="H351" i="14"/>
  <c r="H350" i="14"/>
  <c r="H349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B182" i="24" a="1"/>
  <c r="C182" i="24"/>
  <c r="D182" i="24"/>
  <c r="L182" i="14" s="1"/>
  <c r="B183" i="24" a="1"/>
  <c r="C183" i="24"/>
  <c r="D183" i="24"/>
  <c r="L183" i="14" s="1"/>
  <c r="B184" i="24" a="1"/>
  <c r="C184" i="24"/>
  <c r="D184" i="24"/>
  <c r="L184" i="14" s="1"/>
  <c r="B185" i="24" a="1"/>
  <c r="C185" i="24"/>
  <c r="D185" i="24"/>
  <c r="L185" i="14" s="1"/>
  <c r="B186" i="24" a="1"/>
  <c r="C186" i="24"/>
  <c r="D186" i="24"/>
  <c r="L186" i="14" s="1"/>
  <c r="B187" i="24" a="1"/>
  <c r="C187" i="24"/>
  <c r="D187" i="24"/>
  <c r="L187" i="14" s="1"/>
  <c r="B188" i="24" a="1"/>
  <c r="C188" i="24"/>
  <c r="D188" i="24"/>
  <c r="L188" i="14" s="1"/>
  <c r="B189" i="24" a="1"/>
  <c r="C189" i="24"/>
  <c r="D189" i="24"/>
  <c r="L189" i="14" s="1"/>
  <c r="B190" i="24" a="1"/>
  <c r="C190" i="24"/>
  <c r="D190" i="24"/>
  <c r="L190" i="14" s="1"/>
  <c r="B191" i="24" a="1"/>
  <c r="C191" i="24"/>
  <c r="D191" i="24"/>
  <c r="L191" i="14" s="1"/>
  <c r="B192" i="24" a="1"/>
  <c r="D310" i="24"/>
  <c r="L310" i="14" s="1"/>
  <c r="C310" i="24"/>
  <c r="B310" i="24" a="1"/>
  <c r="D309" i="24"/>
  <c r="L309" i="14" s="1"/>
  <c r="C309" i="24"/>
  <c r="B309" i="24" a="1"/>
  <c r="D308" i="24"/>
  <c r="L308" i="14" s="1"/>
  <c r="C308" i="24"/>
  <c r="B308" i="24" a="1"/>
  <c r="D307" i="24"/>
  <c r="L307" i="14" s="1"/>
  <c r="C307" i="24"/>
  <c r="B307" i="24" a="1"/>
  <c r="D306" i="24"/>
  <c r="L306" i="14" s="1"/>
  <c r="C306" i="24"/>
  <c r="B306" i="24" a="1"/>
  <c r="D305" i="24"/>
  <c r="L305" i="14" s="1"/>
  <c r="C305" i="24"/>
  <c r="B305" i="24" a="1"/>
  <c r="D304" i="24"/>
  <c r="L304" i="14" s="1"/>
  <c r="C304" i="24"/>
  <c r="B304" i="24" a="1"/>
  <c r="D303" i="24"/>
  <c r="L303" i="14" s="1"/>
  <c r="C303" i="24"/>
  <c r="B303" i="24" a="1"/>
  <c r="D302" i="24"/>
  <c r="L302" i="14" s="1"/>
  <c r="C302" i="24"/>
  <c r="B302" i="24" a="1"/>
  <c r="D301" i="24"/>
  <c r="L301" i="14" s="1"/>
  <c r="C301" i="24"/>
  <c r="B301" i="24" a="1"/>
  <c r="D300" i="24"/>
  <c r="L300" i="14" s="1"/>
  <c r="C300" i="24"/>
  <c r="B300" i="24" a="1"/>
  <c r="D299" i="24"/>
  <c r="L299" i="14" s="1"/>
  <c r="C299" i="24"/>
  <c r="B299" i="24" a="1"/>
  <c r="D298" i="24"/>
  <c r="L298" i="14" s="1"/>
  <c r="C298" i="24"/>
  <c r="B298" i="24" a="1"/>
  <c r="D297" i="24"/>
  <c r="L297" i="14" s="1"/>
  <c r="C297" i="24"/>
  <c r="B297" i="24" a="1"/>
  <c r="D296" i="24"/>
  <c r="L296" i="14" s="1"/>
  <c r="C296" i="24"/>
  <c r="B296" i="24" a="1"/>
  <c r="D295" i="24"/>
  <c r="L295" i="14" s="1"/>
  <c r="C295" i="24"/>
  <c r="B295" i="24" a="1"/>
  <c r="D294" i="24"/>
  <c r="L294" i="14" s="1"/>
  <c r="C294" i="24"/>
  <c r="B294" i="24" a="1"/>
  <c r="D293" i="24"/>
  <c r="L293" i="14" s="1"/>
  <c r="C293" i="24"/>
  <c r="B293" i="24" a="1"/>
  <c r="D292" i="24"/>
  <c r="L292" i="14" s="1"/>
  <c r="C292" i="24"/>
  <c r="B292" i="24" a="1"/>
  <c r="D291" i="24"/>
  <c r="L291" i="14" s="1"/>
  <c r="C291" i="24"/>
  <c r="B291" i="24" a="1"/>
  <c r="D290" i="24"/>
  <c r="L290" i="14" s="1"/>
  <c r="C290" i="24"/>
  <c r="B290" i="24" a="1"/>
  <c r="D289" i="24"/>
  <c r="L289" i="14" s="1"/>
  <c r="C289" i="24"/>
  <c r="B289" i="24" a="1"/>
  <c r="D288" i="24"/>
  <c r="L288" i="14" s="1"/>
  <c r="C288" i="24"/>
  <c r="B288" i="24" a="1"/>
  <c r="D287" i="24"/>
  <c r="L287" i="14" s="1"/>
  <c r="C287" i="24"/>
  <c r="B287" i="24" a="1"/>
  <c r="D286" i="24"/>
  <c r="C286" i="24"/>
  <c r="B286" i="24" a="1"/>
  <c r="D285" i="24"/>
  <c r="L285" i="14" s="1"/>
  <c r="C285" i="24"/>
  <c r="B285" i="24" a="1"/>
  <c r="D284" i="24"/>
  <c r="L284" i="14" s="1"/>
  <c r="C284" i="24"/>
  <c r="B284" i="24" a="1"/>
  <c r="D283" i="24"/>
  <c r="L283" i="14" s="1"/>
  <c r="C283" i="24"/>
  <c r="B283" i="24" a="1"/>
  <c r="D282" i="24"/>
  <c r="C282" i="24"/>
  <c r="B282" i="24" a="1"/>
  <c r="D281" i="24"/>
  <c r="L281" i="14" s="1"/>
  <c r="D929" i="24"/>
  <c r="L929" i="14" s="1"/>
  <c r="C929" i="24"/>
  <c r="B929" i="24" a="1"/>
  <c r="D928" i="24"/>
  <c r="C928" i="24"/>
  <c r="B928" i="24" a="1"/>
  <c r="D927" i="24"/>
  <c r="L927" i="14" s="1"/>
  <c r="C927" i="24"/>
  <c r="B927" i="24" a="1"/>
  <c r="D926" i="24"/>
  <c r="C926" i="24"/>
  <c r="B926" i="24" a="1"/>
  <c r="D925" i="24"/>
  <c r="C925" i="24"/>
  <c r="B925" i="24" a="1"/>
  <c r="D924" i="24"/>
  <c r="C924" i="24"/>
  <c r="B924" i="24" a="1"/>
  <c r="D923" i="24"/>
  <c r="C923" i="24"/>
  <c r="B923" i="24" a="1"/>
  <c r="D922" i="24"/>
  <c r="C922" i="24"/>
  <c r="B922" i="24" a="1"/>
  <c r="D921" i="24"/>
  <c r="C921" i="24"/>
  <c r="B921" i="24" a="1"/>
  <c r="D920" i="24"/>
  <c r="C920" i="24"/>
  <c r="B920" i="24" a="1"/>
  <c r="D919" i="24"/>
  <c r="C919" i="24"/>
  <c r="B919" i="24" a="1"/>
  <c r="D918" i="24"/>
  <c r="C918" i="24"/>
  <c r="B918" i="24" a="1"/>
  <c r="D917" i="24"/>
  <c r="C917" i="24"/>
  <c r="B917" i="24" a="1"/>
  <c r="D916" i="24"/>
  <c r="C916" i="24"/>
  <c r="B916" i="24" a="1"/>
  <c r="D915" i="24"/>
  <c r="C915" i="24"/>
  <c r="B915" i="24" a="1"/>
  <c r="D914" i="24"/>
  <c r="C914" i="24"/>
  <c r="B914" i="24" a="1"/>
  <c r="D913" i="24"/>
  <c r="C913" i="24"/>
  <c r="B913" i="24" a="1"/>
  <c r="D912" i="24"/>
  <c r="C912" i="24"/>
  <c r="B912" i="24" a="1"/>
  <c r="D911" i="24"/>
  <c r="C911" i="24"/>
  <c r="B911" i="24" a="1"/>
  <c r="D910" i="24"/>
  <c r="C910" i="24"/>
  <c r="B910" i="24" a="1"/>
  <c r="D909" i="24"/>
  <c r="C909" i="24"/>
  <c r="B909" i="24" a="1"/>
  <c r="D908" i="24"/>
  <c r="C908" i="24"/>
  <c r="B908" i="24" a="1"/>
  <c r="D907" i="24"/>
  <c r="C907" i="24"/>
  <c r="B907" i="24" a="1"/>
  <c r="D906" i="24"/>
  <c r="C906" i="24"/>
  <c r="B906" i="24" a="1"/>
  <c r="D905" i="24"/>
  <c r="C905" i="24"/>
  <c r="B905" i="24" a="1"/>
  <c r="D904" i="24"/>
  <c r="C904" i="24"/>
  <c r="B904" i="24" a="1"/>
  <c r="D903" i="24"/>
  <c r="C903" i="24"/>
  <c r="B903" i="24" a="1"/>
  <c r="D902" i="24"/>
  <c r="C902" i="24"/>
  <c r="B902" i="24" a="1"/>
  <c r="D901" i="24"/>
  <c r="C901" i="24"/>
  <c r="B901" i="24" a="1"/>
  <c r="D900" i="24"/>
  <c r="C900" i="24"/>
  <c r="B900" i="24" a="1"/>
  <c r="D899" i="24"/>
  <c r="C899" i="24"/>
  <c r="B899" i="24" a="1"/>
  <c r="D898" i="24"/>
  <c r="C898" i="24"/>
  <c r="B898" i="24" a="1"/>
  <c r="D897" i="24"/>
  <c r="C897" i="24"/>
  <c r="B897" i="24" a="1"/>
  <c r="D896" i="24"/>
  <c r="C896" i="24"/>
  <c r="B896" i="24" a="1"/>
  <c r="D895" i="24"/>
  <c r="C895" i="24"/>
  <c r="B895" i="24" a="1"/>
  <c r="D894" i="24"/>
  <c r="C894" i="24"/>
  <c r="B894" i="24" a="1"/>
  <c r="D893" i="24"/>
  <c r="C893" i="24"/>
  <c r="B893" i="24" a="1"/>
  <c r="D892" i="24"/>
  <c r="C892" i="24"/>
  <c r="B892" i="24" a="1"/>
  <c r="D891" i="24"/>
  <c r="C891" i="24"/>
  <c r="B891" i="24" a="1"/>
  <c r="D890" i="24"/>
  <c r="C890" i="24"/>
  <c r="B890" i="24" a="1"/>
  <c r="D889" i="24"/>
  <c r="C889" i="24"/>
  <c r="B889" i="24" a="1"/>
  <c r="D888" i="24"/>
  <c r="C888" i="24"/>
  <c r="B888" i="24" a="1"/>
  <c r="D887" i="24"/>
  <c r="C887" i="24"/>
  <c r="B887" i="24" a="1"/>
  <c r="D886" i="24"/>
  <c r="C886" i="24"/>
  <c r="B886" i="24" a="1"/>
  <c r="D885" i="24"/>
  <c r="C885" i="24"/>
  <c r="B885" i="24" a="1"/>
  <c r="D884" i="24"/>
  <c r="C884" i="24"/>
  <c r="B884" i="24" a="1"/>
  <c r="D883" i="24"/>
  <c r="C883" i="24"/>
  <c r="B883" i="24" a="1"/>
  <c r="D882" i="24"/>
  <c r="C882" i="24"/>
  <c r="B882" i="24" a="1"/>
  <c r="D881" i="24"/>
  <c r="C881" i="24"/>
  <c r="B881" i="24" a="1"/>
  <c r="D880" i="24"/>
  <c r="C880" i="24"/>
  <c r="B880" i="24" a="1"/>
  <c r="D879" i="24"/>
  <c r="C879" i="24"/>
  <c r="B879" i="24" a="1"/>
  <c r="D878" i="24"/>
  <c r="C878" i="24"/>
  <c r="B878" i="24" a="1"/>
  <c r="D877" i="24"/>
  <c r="C877" i="24"/>
  <c r="B877" i="24" a="1"/>
  <c r="D876" i="24"/>
  <c r="C876" i="24"/>
  <c r="B876" i="24" a="1"/>
  <c r="D875" i="24"/>
  <c r="C875" i="24"/>
  <c r="B875" i="24" a="1"/>
  <c r="D874" i="24"/>
  <c r="C874" i="24"/>
  <c r="B874" i="24" a="1"/>
  <c r="D873" i="24"/>
  <c r="C873" i="24"/>
  <c r="B873" i="24" a="1"/>
  <c r="D872" i="24"/>
  <c r="C872" i="24"/>
  <c r="B872" i="24" a="1"/>
  <c r="D871" i="24"/>
  <c r="C871" i="24"/>
  <c r="B871" i="24" a="1"/>
  <c r="D870" i="24"/>
  <c r="C870" i="24"/>
  <c r="B870" i="24" a="1"/>
  <c r="D869" i="24"/>
  <c r="C869" i="24"/>
  <c r="B869" i="24" a="1"/>
  <c r="D868" i="24"/>
  <c r="C868" i="24"/>
  <c r="B868" i="24" a="1"/>
  <c r="D867" i="24"/>
  <c r="C867" i="24"/>
  <c r="B867" i="24" a="1"/>
  <c r="D866" i="24"/>
  <c r="C866" i="24"/>
  <c r="B866" i="24" a="1"/>
  <c r="D865" i="24"/>
  <c r="C865" i="24"/>
  <c r="B865" i="24" a="1"/>
  <c r="D864" i="24"/>
  <c r="C864" i="24"/>
  <c r="B864" i="24" a="1"/>
  <c r="D863" i="24"/>
  <c r="C863" i="24"/>
  <c r="B863" i="24" a="1"/>
  <c r="D862" i="24"/>
  <c r="C862" i="24"/>
  <c r="B862" i="24" a="1"/>
  <c r="D861" i="24"/>
  <c r="C861" i="24"/>
  <c r="B861" i="24" a="1"/>
  <c r="D860" i="24"/>
  <c r="L860" i="14" s="1"/>
  <c r="C860" i="24"/>
  <c r="B860" i="24" a="1"/>
  <c r="D859" i="24"/>
  <c r="L859" i="14" s="1"/>
  <c r="C859" i="24"/>
  <c r="B859" i="24" a="1"/>
  <c r="D858" i="24"/>
  <c r="L858" i="14" s="1"/>
  <c r="C858" i="24"/>
  <c r="B858" i="24" a="1"/>
  <c r="D857" i="24"/>
  <c r="L857" i="14" s="1"/>
  <c r="C857" i="24"/>
  <c r="B857" i="24" a="1"/>
  <c r="D856" i="24"/>
  <c r="L856" i="14" s="1"/>
  <c r="C856" i="24"/>
  <c r="B856" i="24" a="1"/>
  <c r="D855" i="24"/>
  <c r="L855" i="14" s="1"/>
  <c r="C855" i="24"/>
  <c r="B855" i="24" a="1"/>
  <c r="D854" i="24"/>
  <c r="L854" i="14" s="1"/>
  <c r="C854" i="24"/>
  <c r="B854" i="24" a="1"/>
  <c r="D853" i="24"/>
  <c r="L853" i="14" s="1"/>
  <c r="C853" i="24"/>
  <c r="B853" i="24" a="1"/>
  <c r="D852" i="24"/>
  <c r="L852" i="14" s="1"/>
  <c r="C852" i="24"/>
  <c r="B852" i="24" a="1"/>
  <c r="D851" i="24"/>
  <c r="L851" i="14" s="1"/>
  <c r="C851" i="24"/>
  <c r="B851" i="24" a="1"/>
  <c r="D850" i="24"/>
  <c r="L850" i="14" s="1"/>
  <c r="C850" i="24"/>
  <c r="B850" i="24" a="1"/>
  <c r="D849" i="24"/>
  <c r="L849" i="14" s="1"/>
  <c r="C849" i="24"/>
  <c r="B849" i="24" a="1"/>
  <c r="D848" i="24"/>
  <c r="L848" i="14" s="1"/>
  <c r="C848" i="24"/>
  <c r="B848" i="24" a="1"/>
  <c r="D847" i="24"/>
  <c r="L847" i="14" s="1"/>
  <c r="C847" i="24"/>
  <c r="B847" i="24" a="1"/>
  <c r="D846" i="24"/>
  <c r="L846" i="14" s="1"/>
  <c r="C846" i="24"/>
  <c r="B846" i="24" a="1"/>
  <c r="D845" i="24"/>
  <c r="L845" i="14" s="1"/>
  <c r="C845" i="24"/>
  <c r="B845" i="24" a="1"/>
  <c r="D844" i="24"/>
  <c r="L844" i="14" s="1"/>
  <c r="C844" i="24"/>
  <c r="B844" i="24" a="1"/>
  <c r="D843" i="24"/>
  <c r="L843" i="14" s="1"/>
  <c r="C843" i="24"/>
  <c r="B843" i="24" a="1"/>
  <c r="D842" i="24"/>
  <c r="L842" i="14" s="1"/>
  <c r="C842" i="24"/>
  <c r="B842" i="24" a="1"/>
  <c r="D841" i="24"/>
  <c r="L841" i="14" s="1"/>
  <c r="C841" i="24"/>
  <c r="B841" i="24" a="1"/>
  <c r="D840" i="24"/>
  <c r="L840" i="14" s="1"/>
  <c r="C840" i="24"/>
  <c r="B840" i="24" a="1"/>
  <c r="D839" i="24"/>
  <c r="L839" i="14" s="1"/>
  <c r="C839" i="24"/>
  <c r="B839" i="24" a="1"/>
  <c r="D838" i="24"/>
  <c r="L838" i="14" s="1"/>
  <c r="C838" i="24"/>
  <c r="B838" i="24" a="1"/>
  <c r="D837" i="24"/>
  <c r="L837" i="14" s="1"/>
  <c r="C837" i="24"/>
  <c r="B837" i="24" a="1"/>
  <c r="D836" i="24"/>
  <c r="L836" i="14" s="1"/>
  <c r="C836" i="24"/>
  <c r="B836" i="24" a="1"/>
  <c r="D835" i="24"/>
  <c r="L835" i="14" s="1"/>
  <c r="C835" i="24"/>
  <c r="B835" i="24" a="1"/>
  <c r="D834" i="24"/>
  <c r="L834" i="14" s="1"/>
  <c r="C834" i="24"/>
  <c r="B834" i="24" a="1"/>
  <c r="D833" i="24"/>
  <c r="L833" i="14" s="1"/>
  <c r="C833" i="24"/>
  <c r="B833" i="24" a="1"/>
  <c r="D832" i="24"/>
  <c r="L832" i="14" s="1"/>
  <c r="C832" i="24"/>
  <c r="B832" i="24" a="1"/>
  <c r="D831" i="24"/>
  <c r="L831" i="14" s="1"/>
  <c r="C831" i="24"/>
  <c r="B831" i="24" a="1"/>
  <c r="D830" i="24"/>
  <c r="L830" i="14" s="1"/>
  <c r="C830" i="24"/>
  <c r="B830" i="24" a="1"/>
  <c r="D829" i="24"/>
  <c r="L829" i="14" s="1"/>
  <c r="C829" i="24"/>
  <c r="B829" i="24" a="1"/>
  <c r="D828" i="24"/>
  <c r="L828" i="14" s="1"/>
  <c r="C828" i="24"/>
  <c r="B828" i="24" a="1"/>
  <c r="D827" i="24"/>
  <c r="L827" i="14" s="1"/>
  <c r="C827" i="24"/>
  <c r="B827" i="24" a="1"/>
  <c r="D779" i="24"/>
  <c r="L779" i="14" s="1"/>
  <c r="B779" i="24" a="1"/>
  <c r="C778" i="24"/>
  <c r="B778" i="24" a="1"/>
  <c r="D777" i="24"/>
  <c r="L777" i="14" s="1"/>
  <c r="B777" i="24" a="1"/>
  <c r="D776" i="24"/>
  <c r="L776" i="14" s="1"/>
  <c r="C776" i="24"/>
  <c r="D775" i="24"/>
  <c r="L775" i="14" s="1"/>
  <c r="B775" i="24" a="1"/>
  <c r="C774" i="24"/>
  <c r="D772" i="24"/>
  <c r="L772" i="14" s="1"/>
  <c r="C772" i="24"/>
  <c r="D771" i="24"/>
  <c r="L771" i="14" s="1"/>
  <c r="C770" i="24"/>
  <c r="C769" i="24"/>
  <c r="B769" i="24" a="1"/>
  <c r="C768" i="24"/>
  <c r="B768" i="24" a="1"/>
  <c r="C767" i="24"/>
  <c r="D766" i="24"/>
  <c r="L766" i="14" s="1"/>
  <c r="B766" i="24" a="1"/>
  <c r="D765" i="24"/>
  <c r="L765" i="14" s="1"/>
  <c r="C765" i="24"/>
  <c r="B765" i="24" a="1"/>
  <c r="C764" i="24"/>
  <c r="D763" i="24"/>
  <c r="L763" i="14" s="1"/>
  <c r="B763" i="24" a="1"/>
  <c r="C762" i="24"/>
  <c r="B762" i="24" a="1"/>
  <c r="C761" i="24"/>
  <c r="C760" i="24"/>
  <c r="D759" i="24"/>
  <c r="L759" i="14" s="1"/>
  <c r="B759" i="24" a="1"/>
  <c r="C758" i="24"/>
  <c r="B758" i="24" a="1"/>
  <c r="D757" i="24"/>
  <c r="L757" i="14" s="1"/>
  <c r="C757" i="24"/>
  <c r="C756" i="24"/>
  <c r="C755" i="24"/>
  <c r="C754" i="24"/>
  <c r="C753" i="24"/>
  <c r="C752" i="24"/>
  <c r="B752" i="24" a="1"/>
  <c r="D751" i="24"/>
  <c r="L751" i="14" s="1"/>
  <c r="B751" i="24" a="1"/>
  <c r="D750" i="24"/>
  <c r="L750" i="14" s="1"/>
  <c r="B750" i="24" a="1"/>
  <c r="D749" i="24"/>
  <c r="L749" i="14" s="1"/>
  <c r="B749" i="24" a="1"/>
  <c r="C747" i="24"/>
  <c r="D746" i="24"/>
  <c r="L746" i="14" s="1"/>
  <c r="D745" i="24"/>
  <c r="L745" i="14" s="1"/>
  <c r="C745" i="24"/>
  <c r="B745" i="24" a="1"/>
  <c r="C744" i="24"/>
  <c r="D743" i="24"/>
  <c r="L743" i="14" s="1"/>
  <c r="B743" i="24" a="1"/>
  <c r="D742" i="24"/>
  <c r="B742" i="24" a="1"/>
  <c r="D741" i="24"/>
  <c r="L741" i="14" s="1"/>
  <c r="C741" i="24"/>
  <c r="C740" i="24"/>
  <c r="C739" i="24"/>
  <c r="C738" i="24"/>
  <c r="C737" i="24"/>
  <c r="C736" i="24"/>
  <c r="B736" i="24" a="1"/>
  <c r="C735" i="24"/>
  <c r="D733" i="24"/>
  <c r="L733" i="14" s="1"/>
  <c r="C733" i="24"/>
  <c r="B733" i="24" a="1"/>
  <c r="C732" i="24"/>
  <c r="D731" i="24"/>
  <c r="L731" i="14" s="1"/>
  <c r="D730" i="24"/>
  <c r="L730" i="14" s="1"/>
  <c r="B730" i="24" a="1"/>
  <c r="D729" i="24"/>
  <c r="L729" i="14" s="1"/>
  <c r="B729" i="24" a="1"/>
  <c r="C728" i="24"/>
  <c r="C727" i="24"/>
  <c r="C726" i="24"/>
  <c r="D725" i="24"/>
  <c r="L725" i="14" s="1"/>
  <c r="B725" i="24" a="1"/>
  <c r="D724" i="24"/>
  <c r="L724" i="14" s="1"/>
  <c r="C724" i="24"/>
  <c r="B724" i="24" a="1"/>
  <c r="C281" i="24"/>
  <c r="B281" i="24" a="1"/>
  <c r="D280" i="24"/>
  <c r="L280" i="14" s="1"/>
  <c r="C280" i="24"/>
  <c r="B280" i="24" a="1"/>
  <c r="D279" i="24"/>
  <c r="L279" i="14" s="1"/>
  <c r="C279" i="24"/>
  <c r="B279" i="24" a="1"/>
  <c r="D278" i="24"/>
  <c r="L278" i="14" s="1"/>
  <c r="C278" i="24"/>
  <c r="B278" i="24" a="1"/>
  <c r="D277" i="24"/>
  <c r="L277" i="14" s="1"/>
  <c r="C277" i="24"/>
  <c r="B277" i="24" a="1"/>
  <c r="D276" i="24"/>
  <c r="L276" i="14" s="1"/>
  <c r="C276" i="24"/>
  <c r="B276" i="24" a="1"/>
  <c r="D275" i="24"/>
  <c r="L275" i="14" s="1"/>
  <c r="C275" i="24"/>
  <c r="B275" i="24" a="1"/>
  <c r="D274" i="24"/>
  <c r="L274" i="14" s="1"/>
  <c r="C274" i="24"/>
  <c r="B274" i="24" a="1"/>
  <c r="D273" i="24"/>
  <c r="L273" i="14" s="1"/>
  <c r="C273" i="24"/>
  <c r="B273" i="24" a="1"/>
  <c r="D272" i="24"/>
  <c r="L272" i="14" s="1"/>
  <c r="C272" i="24"/>
  <c r="B272" i="24" a="1"/>
  <c r="D271" i="24"/>
  <c r="L271" i="14" s="1"/>
  <c r="C271" i="24"/>
  <c r="B271" i="24" a="1"/>
  <c r="D270" i="24"/>
  <c r="L270" i="14" s="1"/>
  <c r="C270" i="24"/>
  <c r="B270" i="24" a="1"/>
  <c r="D269" i="24"/>
  <c r="L269" i="14" s="1"/>
  <c r="C269" i="24"/>
  <c r="B269" i="24" a="1"/>
  <c r="D268" i="24"/>
  <c r="L268" i="14" s="1"/>
  <c r="C268" i="24"/>
  <c r="B268" i="24" a="1"/>
  <c r="D267" i="24"/>
  <c r="L267" i="14" s="1"/>
  <c r="C267" i="24"/>
  <c r="B267" i="24" a="1"/>
  <c r="D266" i="24"/>
  <c r="L266" i="14" s="1"/>
  <c r="C266" i="24"/>
  <c r="B266" i="24" a="1"/>
  <c r="D265" i="24"/>
  <c r="L265" i="14" s="1"/>
  <c r="C265" i="24"/>
  <c r="B265" i="24" a="1"/>
  <c r="D264" i="24"/>
  <c r="L264" i="14" s="1"/>
  <c r="C264" i="24"/>
  <c r="B264" i="24" a="1"/>
  <c r="D263" i="24"/>
  <c r="L263" i="14" s="1"/>
  <c r="C263" i="24"/>
  <c r="B263" i="24" a="1"/>
  <c r="C3" i="24"/>
  <c r="B5" i="24" a="1"/>
  <c r="C10" i="24"/>
  <c r="D12" i="24"/>
  <c r="L12" i="14" s="1"/>
  <c r="D13" i="24"/>
  <c r="L13" i="14" s="1"/>
  <c r="D16" i="24"/>
  <c r="L16" i="14" s="1"/>
  <c r="C17" i="24"/>
  <c r="C20" i="24"/>
  <c r="C21" i="24"/>
  <c r="B25" i="24" a="1"/>
  <c r="B28" i="24" a="1"/>
  <c r="D262" i="24"/>
  <c r="L262" i="14" s="1"/>
  <c r="C262" i="24"/>
  <c r="B262" i="24" a="1"/>
  <c r="D261" i="24"/>
  <c r="L261" i="14" s="1"/>
  <c r="C261" i="24"/>
  <c r="B261" i="24" a="1"/>
  <c r="D260" i="24"/>
  <c r="L260" i="14" s="1"/>
  <c r="C260" i="24"/>
  <c r="B260" i="24" a="1"/>
  <c r="D259" i="24"/>
  <c r="L259" i="14" s="1"/>
  <c r="C259" i="24"/>
  <c r="B259" i="24" a="1"/>
  <c r="D258" i="24"/>
  <c r="L258" i="14" s="1"/>
  <c r="C258" i="24"/>
  <c r="B258" i="24" a="1"/>
  <c r="D257" i="24"/>
  <c r="L257" i="14" s="1"/>
  <c r="C257" i="24"/>
  <c r="B257" i="24" a="1"/>
  <c r="C30" i="24"/>
  <c r="D256" i="24"/>
  <c r="L256" i="14" s="1"/>
  <c r="C256" i="24"/>
  <c r="D32" i="24"/>
  <c r="L32" i="14" s="1"/>
  <c r="D35" i="24"/>
  <c r="L35" i="14" s="1"/>
  <c r="B256" i="24" a="1"/>
  <c r="D37" i="24"/>
  <c r="L37" i="14" s="1"/>
  <c r="B39" i="24" a="1"/>
  <c r="D255" i="24"/>
  <c r="L255" i="14" s="1"/>
  <c r="D40" i="24"/>
  <c r="L40" i="14" s="1"/>
  <c r="C41" i="24"/>
  <c r="C255" i="24"/>
  <c r="B255" i="24" a="1"/>
  <c r="D43" i="24"/>
  <c r="L43" i="14" s="1"/>
  <c r="B45" i="24" a="1"/>
  <c r="D254" i="24"/>
  <c r="L254" i="14" s="1"/>
  <c r="C254" i="24"/>
  <c r="B254" i="24" a="1"/>
  <c r="D253" i="24"/>
  <c r="L253" i="14" s="1"/>
  <c r="C46" i="24"/>
  <c r="C253" i="24"/>
  <c r="B253" i="24" a="1"/>
  <c r="C47" i="24"/>
  <c r="D252" i="24"/>
  <c r="L252" i="14" s="1"/>
  <c r="B50" i="24" a="1"/>
  <c r="C252" i="24"/>
  <c r="B252" i="24" a="1"/>
  <c r="D251" i="24"/>
  <c r="L251" i="14" s="1"/>
  <c r="C251" i="24"/>
  <c r="C52" i="24"/>
  <c r="B251" i="24" a="1"/>
  <c r="D53" i="24"/>
  <c r="L53" i="14" s="1"/>
  <c r="D250" i="24"/>
  <c r="L250" i="14" s="1"/>
  <c r="C54" i="24"/>
  <c r="C250" i="24"/>
  <c r="B250" i="24" a="1"/>
  <c r="B55" i="24" a="1"/>
  <c r="C55" i="24"/>
  <c r="D249" i="24"/>
  <c r="L249" i="14" s="1"/>
  <c r="C249" i="24"/>
  <c r="D55" i="24"/>
  <c r="L55" i="14" s="1"/>
  <c r="B249" i="24" a="1"/>
  <c r="B56" i="24" a="1"/>
  <c r="C56" i="24"/>
  <c r="D56" i="24"/>
  <c r="L56" i="14" s="1"/>
  <c r="D248" i="24"/>
  <c r="L248" i="14" s="1"/>
  <c r="C248" i="24"/>
  <c r="B57" i="24" a="1"/>
  <c r="C57" i="24"/>
  <c r="D57" i="24"/>
  <c r="L57" i="14" s="1"/>
  <c r="B248" i="24" a="1"/>
  <c r="B58" i="24" a="1"/>
  <c r="C58" i="24"/>
  <c r="D58" i="24"/>
  <c r="L58" i="14" s="1"/>
  <c r="B59" i="24" a="1"/>
  <c r="C59" i="24"/>
  <c r="D59" i="24"/>
  <c r="L59" i="14" s="1"/>
  <c r="B60" i="24" a="1"/>
  <c r="C60" i="24"/>
  <c r="D60" i="24"/>
  <c r="L60" i="14" s="1"/>
  <c r="B61" i="24" a="1"/>
  <c r="C61" i="24"/>
  <c r="D61" i="24"/>
  <c r="L61" i="14" s="1"/>
  <c r="B62" i="24" a="1"/>
  <c r="C62" i="24"/>
  <c r="D62" i="24"/>
  <c r="L62" i="14" s="1"/>
  <c r="B63" i="24" a="1"/>
  <c r="C63" i="24"/>
  <c r="D63" i="24"/>
  <c r="L63" i="14" s="1"/>
  <c r="B64" i="24" a="1"/>
  <c r="C64" i="24"/>
  <c r="D64" i="24"/>
  <c r="L64" i="14" s="1"/>
  <c r="B65" i="24" a="1"/>
  <c r="C65" i="24"/>
  <c r="D65" i="24"/>
  <c r="L65" i="14" s="1"/>
  <c r="B66" i="24" a="1"/>
  <c r="C66" i="24"/>
  <c r="D66" i="24"/>
  <c r="L66" i="14" s="1"/>
  <c r="B67" i="24" a="1"/>
  <c r="D826" i="24"/>
  <c r="L826" i="14" s="1"/>
  <c r="C826" i="24"/>
  <c r="B826" i="24" a="1"/>
  <c r="D825" i="24"/>
  <c r="L825" i="14" s="1"/>
  <c r="C825" i="24"/>
  <c r="B825" i="24" a="1"/>
  <c r="D824" i="24"/>
  <c r="L824" i="14" s="1"/>
  <c r="C824" i="24"/>
  <c r="B824" i="24" a="1"/>
  <c r="D823" i="24"/>
  <c r="L823" i="14" s="1"/>
  <c r="C823" i="24"/>
  <c r="B823" i="24" a="1"/>
  <c r="D822" i="24"/>
  <c r="L822" i="14" s="1"/>
  <c r="C822" i="24"/>
  <c r="B822" i="24" a="1"/>
  <c r="D821" i="24"/>
  <c r="L821" i="14" s="1"/>
  <c r="C821" i="24"/>
  <c r="B821" i="24" a="1"/>
  <c r="D820" i="24"/>
  <c r="L820" i="14" s="1"/>
  <c r="C820" i="24"/>
  <c r="B820" i="24" a="1"/>
  <c r="D819" i="24"/>
  <c r="L819" i="14" s="1"/>
  <c r="C819" i="24"/>
  <c r="B819" i="24" a="1"/>
  <c r="D818" i="24"/>
  <c r="L818" i="14" s="1"/>
  <c r="C818" i="24"/>
  <c r="B818" i="24" a="1"/>
  <c r="D817" i="24"/>
  <c r="L817" i="14" s="1"/>
  <c r="C817" i="24"/>
  <c r="B817" i="24" a="1"/>
  <c r="D816" i="24"/>
  <c r="L816" i="14" s="1"/>
  <c r="C816" i="24"/>
  <c r="B816" i="24" a="1"/>
  <c r="D815" i="24"/>
  <c r="L815" i="14" s="1"/>
  <c r="C815" i="24"/>
  <c r="B815" i="24" a="1"/>
  <c r="D814" i="24"/>
  <c r="L814" i="14" s="1"/>
  <c r="C814" i="24"/>
  <c r="B814" i="24" a="1"/>
  <c r="D813" i="24"/>
  <c r="L813" i="14" s="1"/>
  <c r="C813" i="24"/>
  <c r="B813" i="24" a="1"/>
  <c r="D812" i="24"/>
  <c r="L812" i="14" s="1"/>
  <c r="C812" i="24"/>
  <c r="B812" i="24" a="1"/>
  <c r="D811" i="24"/>
  <c r="L811" i="14" s="1"/>
  <c r="C811" i="24"/>
  <c r="B811" i="24" a="1"/>
  <c r="D810" i="24"/>
  <c r="L810" i="14" s="1"/>
  <c r="C810" i="24"/>
  <c r="B810" i="24" a="1"/>
  <c r="D809" i="24"/>
  <c r="L809" i="14" s="1"/>
  <c r="C809" i="24"/>
  <c r="B809" i="24" a="1"/>
  <c r="D808" i="24"/>
  <c r="L808" i="14" s="1"/>
  <c r="C808" i="24"/>
  <c r="B808" i="24" a="1"/>
  <c r="D807" i="24"/>
  <c r="L807" i="14" s="1"/>
  <c r="C807" i="24"/>
  <c r="B807" i="24" a="1"/>
  <c r="D806" i="24"/>
  <c r="L806" i="14" s="1"/>
  <c r="C806" i="24"/>
  <c r="B806" i="24" a="1"/>
  <c r="D805" i="24"/>
  <c r="L805" i="14" s="1"/>
  <c r="C805" i="24"/>
  <c r="B805" i="24" a="1"/>
  <c r="D804" i="24"/>
  <c r="L804" i="14" s="1"/>
  <c r="C804" i="24"/>
  <c r="B804" i="24" a="1"/>
  <c r="D803" i="24"/>
  <c r="L803" i="14" s="1"/>
  <c r="C803" i="24"/>
  <c r="B803" i="24" a="1"/>
  <c r="D802" i="24"/>
  <c r="L802" i="14" s="1"/>
  <c r="C802" i="24"/>
  <c r="B802" i="24" a="1"/>
  <c r="D801" i="24"/>
  <c r="C801" i="24"/>
  <c r="B801" i="24" a="1"/>
  <c r="D800" i="24"/>
  <c r="L800" i="14" s="1"/>
  <c r="C800" i="24"/>
  <c r="B800" i="24" a="1"/>
  <c r="D799" i="24"/>
  <c r="L799" i="14" s="1"/>
  <c r="C799" i="24"/>
  <c r="B799" i="24" a="1"/>
  <c r="D798" i="24"/>
  <c r="L798" i="14" s="1"/>
  <c r="C798" i="24"/>
  <c r="B798" i="24" a="1"/>
  <c r="D797" i="24"/>
  <c r="L797" i="14" s="1"/>
  <c r="C797" i="24"/>
  <c r="B797" i="24" a="1"/>
  <c r="D796" i="24"/>
  <c r="L796" i="14" s="1"/>
  <c r="C796" i="24"/>
  <c r="B796" i="24" a="1"/>
  <c r="D795" i="24"/>
  <c r="L795" i="14" s="1"/>
  <c r="C795" i="24"/>
  <c r="B795" i="24" a="1"/>
  <c r="D794" i="24"/>
  <c r="L794" i="14" s="1"/>
  <c r="C794" i="24"/>
  <c r="B794" i="24" a="1"/>
  <c r="D793" i="24"/>
  <c r="L793" i="14" s="1"/>
  <c r="C793" i="24"/>
  <c r="B793" i="24" a="1"/>
  <c r="D792" i="24"/>
  <c r="L792" i="14" s="1"/>
  <c r="C792" i="24"/>
  <c r="B792" i="24" a="1"/>
  <c r="D791" i="24"/>
  <c r="L791" i="14" s="1"/>
  <c r="C791" i="24"/>
  <c r="B791" i="24" a="1"/>
  <c r="D790" i="24"/>
  <c r="L790" i="14" s="1"/>
  <c r="C790" i="24"/>
  <c r="B790" i="24" a="1"/>
  <c r="D789" i="24"/>
  <c r="L789" i="14" s="1"/>
  <c r="C789" i="24"/>
  <c r="B789" i="24" a="1"/>
  <c r="D788" i="24"/>
  <c r="L788" i="14" s="1"/>
  <c r="C788" i="24"/>
  <c r="B788" i="24" a="1"/>
  <c r="D787" i="24"/>
  <c r="L787" i="14" s="1"/>
  <c r="C787" i="24"/>
  <c r="B787" i="24" a="1"/>
  <c r="D786" i="24"/>
  <c r="L786" i="14" s="1"/>
  <c r="C786" i="24"/>
  <c r="B786" i="24" a="1"/>
  <c r="D785" i="24"/>
  <c r="L785" i="14" s="1"/>
  <c r="C785" i="24"/>
  <c r="B785" i="24" a="1"/>
  <c r="D784" i="24"/>
  <c r="L784" i="14" s="1"/>
  <c r="C784" i="24"/>
  <c r="B784" i="24" a="1"/>
  <c r="D783" i="24"/>
  <c r="L783" i="14" s="1"/>
  <c r="C783" i="24"/>
  <c r="B783" i="24" a="1"/>
  <c r="D782" i="24"/>
  <c r="L782" i="14" s="1"/>
  <c r="C782" i="24"/>
  <c r="B782" i="24" a="1"/>
  <c r="D781" i="24"/>
  <c r="L781" i="14" s="1"/>
  <c r="C781" i="24"/>
  <c r="B781" i="24" a="1"/>
  <c r="D780" i="24"/>
  <c r="L780" i="14" s="1"/>
  <c r="C780" i="24"/>
  <c r="B780" i="24" a="1"/>
  <c r="C779" i="24"/>
  <c r="D778" i="24"/>
  <c r="L778" i="14" s="1"/>
  <c r="C777" i="24"/>
  <c r="B776" i="24" a="1"/>
  <c r="C775" i="24"/>
  <c r="D774" i="24"/>
  <c r="L774" i="14" s="1"/>
  <c r="B774" i="24" a="1"/>
  <c r="D773" i="24"/>
  <c r="L773" i="14" s="1"/>
  <c r="C773" i="24"/>
  <c r="B773" i="24" a="1"/>
  <c r="B772" i="24" a="1"/>
  <c r="C771" i="24"/>
  <c r="B771" i="24" a="1"/>
  <c r="D770" i="24"/>
  <c r="L770" i="14" s="1"/>
  <c r="B770" i="24" a="1"/>
  <c r="D769" i="24"/>
  <c r="L769" i="14" s="1"/>
  <c r="D768" i="24"/>
  <c r="L768" i="14" s="1"/>
  <c r="D767" i="24"/>
  <c r="L767" i="14" s="1"/>
  <c r="B767" i="24" a="1"/>
  <c r="C766" i="24"/>
  <c r="D764" i="24"/>
  <c r="L764" i="14" s="1"/>
  <c r="B764" i="24" a="1"/>
  <c r="C763" i="24"/>
  <c r="D762" i="24"/>
  <c r="L762" i="14" s="1"/>
  <c r="D761" i="24"/>
  <c r="L761" i="14" s="1"/>
  <c r="B761" i="24" a="1"/>
  <c r="D760" i="24"/>
  <c r="L760" i="14" s="1"/>
  <c r="B760" i="24" a="1"/>
  <c r="C759" i="24"/>
  <c r="D758" i="24"/>
  <c r="L758" i="14" s="1"/>
  <c r="B757" i="24" a="1"/>
  <c r="D756" i="24"/>
  <c r="L756" i="14" s="1"/>
  <c r="B756" i="24" a="1"/>
  <c r="D755" i="24"/>
  <c r="L755" i="14" s="1"/>
  <c r="B755" i="24" a="1"/>
  <c r="D754" i="24"/>
  <c r="B754" i="24" a="1"/>
  <c r="D753" i="24"/>
  <c r="L753" i="14" s="1"/>
  <c r="B753" i="24" a="1"/>
  <c r="D752" i="24"/>
  <c r="L752" i="14" s="1"/>
  <c r="C751" i="24"/>
  <c r="C750" i="24"/>
  <c r="C749" i="24"/>
  <c r="D748" i="24"/>
  <c r="L748" i="14" s="1"/>
  <c r="C748" i="24"/>
  <c r="B748" i="24" a="1"/>
  <c r="D747" i="24"/>
  <c r="L747" i="14" s="1"/>
  <c r="B747" i="24" a="1"/>
  <c r="C746" i="24"/>
  <c r="B746" i="24" a="1"/>
  <c r="D744" i="24"/>
  <c r="L744" i="14" s="1"/>
  <c r="B744" i="24" a="1"/>
  <c r="C743" i="24"/>
  <c r="C742" i="24"/>
  <c r="B741" i="24" a="1"/>
  <c r="D740" i="24"/>
  <c r="B740" i="24" a="1"/>
  <c r="D739" i="24"/>
  <c r="L739" i="14" s="1"/>
  <c r="B739" i="24" a="1"/>
  <c r="D738" i="24"/>
  <c r="L738" i="14" s="1"/>
  <c r="B738" i="24" a="1"/>
  <c r="D737" i="24"/>
  <c r="L737" i="14" s="1"/>
  <c r="B737" i="24" a="1"/>
  <c r="D736" i="24"/>
  <c r="L736" i="14" s="1"/>
  <c r="D735" i="24"/>
  <c r="L735" i="14" s="1"/>
  <c r="B735" i="24" a="1"/>
  <c r="D734" i="24"/>
  <c r="L734" i="14" s="1"/>
  <c r="C734" i="24"/>
  <c r="B734" i="24" a="1"/>
  <c r="D732" i="24"/>
  <c r="L732" i="14" s="1"/>
  <c r="B732" i="24" a="1"/>
  <c r="C731" i="24"/>
  <c r="B731" i="24" a="1"/>
  <c r="C730" i="24"/>
  <c r="C729" i="24"/>
  <c r="D728" i="24"/>
  <c r="B728" i="24" a="1"/>
  <c r="D727" i="24"/>
  <c r="L727" i="14" s="1"/>
  <c r="B727" i="24" a="1"/>
  <c r="D726" i="24"/>
  <c r="L726" i="14" s="1"/>
  <c r="B726" i="24" a="1"/>
  <c r="C725" i="24"/>
  <c r="C67" i="24"/>
  <c r="D67" i="24"/>
  <c r="L67" i="14" s="1"/>
  <c r="D247" i="24"/>
  <c r="L247" i="14" s="1"/>
  <c r="C247" i="24"/>
  <c r="B247" i="24" a="1"/>
  <c r="B68" i="24" a="1"/>
  <c r="C68" i="24"/>
  <c r="D68" i="24"/>
  <c r="L68" i="14" s="1"/>
  <c r="B69" i="24" a="1"/>
  <c r="D246" i="24"/>
  <c r="L246" i="14" s="1"/>
  <c r="C246" i="24"/>
  <c r="C69" i="24"/>
  <c r="D69" i="24"/>
  <c r="L69" i="14" s="1"/>
  <c r="B246" i="24" a="1"/>
  <c r="D245" i="24"/>
  <c r="L245" i="14" s="1"/>
  <c r="C245" i="24"/>
  <c r="B245" i="24" a="1"/>
  <c r="D244" i="24"/>
  <c r="L244" i="14" s="1"/>
  <c r="C244" i="24"/>
  <c r="B244" i="24" a="1"/>
  <c r="D243" i="24"/>
  <c r="L243" i="14" s="1"/>
  <c r="C243" i="24"/>
  <c r="B243" i="24" a="1"/>
  <c r="B70" i="24" a="1"/>
  <c r="C70" i="24"/>
  <c r="D242" i="24"/>
  <c r="L242" i="14" s="1"/>
  <c r="C242" i="24"/>
  <c r="D70" i="24"/>
  <c r="L70" i="14" s="1"/>
  <c r="B242" i="24" a="1"/>
  <c r="B71" i="24" a="1"/>
  <c r="C71" i="24"/>
  <c r="D71" i="24"/>
  <c r="L71" i="14" s="1"/>
  <c r="D241" i="24"/>
  <c r="L241" i="14" s="1"/>
  <c r="B72" i="24" a="1"/>
  <c r="C72" i="24"/>
  <c r="C241" i="24"/>
  <c r="D72" i="24"/>
  <c r="L72" i="14" s="1"/>
  <c r="B241" i="24" a="1"/>
  <c r="D240" i="24"/>
  <c r="L240" i="14" s="1"/>
  <c r="C240" i="24"/>
  <c r="B240" i="24" a="1"/>
  <c r="B73" i="24" a="1"/>
  <c r="C73" i="24"/>
  <c r="D73" i="24"/>
  <c r="L73" i="14" s="1"/>
  <c r="D239" i="24"/>
  <c r="L239" i="14" s="1"/>
  <c r="C239" i="24"/>
  <c r="B239" i="24" a="1"/>
  <c r="D238" i="24"/>
  <c r="L238" i="14" s="1"/>
  <c r="C238" i="24"/>
  <c r="B238" i="24" a="1"/>
  <c r="B74" i="24" a="1"/>
  <c r="C74" i="24"/>
  <c r="D237" i="24"/>
  <c r="L237" i="14" s="1"/>
  <c r="D74" i="24"/>
  <c r="L74" i="14" s="1"/>
  <c r="C237" i="24"/>
  <c r="B75" i="24" a="1"/>
  <c r="B237" i="24" a="1"/>
  <c r="D236" i="24"/>
  <c r="L236" i="14" s="1"/>
  <c r="C75" i="24"/>
  <c r="D75" i="24"/>
  <c r="L75" i="14" s="1"/>
  <c r="B76" i="24" a="1"/>
  <c r="C76" i="24"/>
  <c r="D76" i="24"/>
  <c r="L76" i="14" s="1"/>
  <c r="B77" i="24" a="1"/>
  <c r="C77" i="24"/>
  <c r="D77" i="24"/>
  <c r="L77" i="14" s="1"/>
  <c r="B78" i="24" a="1"/>
  <c r="C78" i="24"/>
  <c r="D78" i="24"/>
  <c r="L78" i="14" s="1"/>
  <c r="B79" i="24" a="1"/>
  <c r="C79" i="24"/>
  <c r="D79" i="24"/>
  <c r="L79" i="14" s="1"/>
  <c r="B80" i="24" a="1"/>
  <c r="C80" i="24"/>
  <c r="D80" i="24"/>
  <c r="L80" i="14" s="1"/>
  <c r="B81" i="24" a="1"/>
  <c r="C81" i="24"/>
  <c r="D81" i="24"/>
  <c r="L81" i="14" s="1"/>
  <c r="B82" i="24" a="1"/>
  <c r="C82" i="24"/>
  <c r="D82" i="24"/>
  <c r="L82" i="14" s="1"/>
  <c r="B83" i="24" a="1"/>
  <c r="C83" i="24"/>
  <c r="D83" i="24"/>
  <c r="L83" i="14" s="1"/>
  <c r="B84" i="24" a="1"/>
  <c r="C84" i="24"/>
  <c r="D84" i="24"/>
  <c r="L84" i="14" s="1"/>
  <c r="B85" i="24" a="1"/>
  <c r="D723" i="24"/>
  <c r="L723" i="14" s="1"/>
  <c r="C723" i="24"/>
  <c r="B723" i="24" a="1"/>
  <c r="D722" i="24"/>
  <c r="L722" i="14" s="1"/>
  <c r="C722" i="24"/>
  <c r="B722" i="24" a="1"/>
  <c r="D721" i="24"/>
  <c r="L721" i="14" s="1"/>
  <c r="C721" i="24"/>
  <c r="B721" i="24" a="1"/>
  <c r="D720" i="24"/>
  <c r="L720" i="14" s="1"/>
  <c r="C720" i="24"/>
  <c r="B720" i="24" a="1"/>
  <c r="D719" i="24"/>
  <c r="L719" i="14" s="1"/>
  <c r="C719" i="24"/>
  <c r="B719" i="24" a="1"/>
  <c r="D718" i="24"/>
  <c r="L718" i="14" s="1"/>
  <c r="C718" i="24"/>
  <c r="B718" i="24" a="1"/>
  <c r="D717" i="24"/>
  <c r="L717" i="14" s="1"/>
  <c r="C717" i="24"/>
  <c r="B717" i="24" a="1"/>
  <c r="D716" i="24"/>
  <c r="L716" i="14" s="1"/>
  <c r="C716" i="24"/>
  <c r="B716" i="24" a="1"/>
  <c r="D715" i="24"/>
  <c r="L715" i="14" s="1"/>
  <c r="C715" i="24"/>
  <c r="B715" i="24" a="1"/>
  <c r="D714" i="24"/>
  <c r="L714" i="14" s="1"/>
  <c r="C714" i="24"/>
  <c r="B714" i="24" a="1"/>
  <c r="D713" i="24"/>
  <c r="L713" i="14" s="1"/>
  <c r="C713" i="24"/>
  <c r="B713" i="24" a="1"/>
  <c r="D712" i="24"/>
  <c r="L712" i="14" s="1"/>
  <c r="C712" i="24"/>
  <c r="B712" i="24" a="1"/>
  <c r="D711" i="24"/>
  <c r="L711" i="14" s="1"/>
  <c r="C711" i="24"/>
  <c r="B711" i="24" a="1"/>
  <c r="D710" i="24"/>
  <c r="L710" i="14" s="1"/>
  <c r="C710" i="24"/>
  <c r="B710" i="24" a="1"/>
  <c r="D709" i="24"/>
  <c r="L709" i="14" s="1"/>
  <c r="C709" i="24"/>
  <c r="B709" i="24" a="1"/>
  <c r="D708" i="24"/>
  <c r="L708" i="14" s="1"/>
  <c r="C708" i="24"/>
  <c r="B708" i="24" a="1"/>
  <c r="D707" i="24"/>
  <c r="L707" i="14" s="1"/>
  <c r="C707" i="24"/>
  <c r="B707" i="24" a="1"/>
  <c r="D706" i="24"/>
  <c r="L706" i="14" s="1"/>
  <c r="C706" i="24"/>
  <c r="B706" i="24" a="1"/>
  <c r="D705" i="24"/>
  <c r="L705" i="14" s="1"/>
  <c r="C705" i="24"/>
  <c r="B705" i="24" a="1"/>
  <c r="D704" i="24"/>
  <c r="L704" i="14" s="1"/>
  <c r="C704" i="24"/>
  <c r="B704" i="24" a="1"/>
  <c r="D703" i="24"/>
  <c r="L703" i="14" s="1"/>
  <c r="C703" i="24"/>
  <c r="B703" i="24" a="1"/>
  <c r="D702" i="24"/>
  <c r="L702" i="14" s="1"/>
  <c r="C702" i="24"/>
  <c r="B702" i="24" a="1"/>
  <c r="D701" i="24"/>
  <c r="L701" i="14" s="1"/>
  <c r="C701" i="24"/>
  <c r="B701" i="24" a="1"/>
  <c r="D700" i="24"/>
  <c r="L700" i="14" s="1"/>
  <c r="C700" i="24"/>
  <c r="B700" i="24" a="1"/>
  <c r="D699" i="24"/>
  <c r="L699" i="14" s="1"/>
  <c r="C699" i="24"/>
  <c r="B699" i="24" a="1"/>
  <c r="D698" i="24"/>
  <c r="L698" i="14" s="1"/>
  <c r="C698" i="24"/>
  <c r="B698" i="24" a="1"/>
  <c r="D697" i="24"/>
  <c r="L697" i="14" s="1"/>
  <c r="C697" i="24"/>
  <c r="B697" i="24" a="1"/>
  <c r="D696" i="24"/>
  <c r="L696" i="14" s="1"/>
  <c r="C696" i="24"/>
  <c r="B696" i="24" a="1"/>
  <c r="D695" i="24"/>
  <c r="L695" i="14" s="1"/>
  <c r="C695" i="24"/>
  <c r="B695" i="24" a="1"/>
  <c r="D694" i="24"/>
  <c r="L694" i="14" s="1"/>
  <c r="C694" i="24"/>
  <c r="B694" i="24" a="1"/>
  <c r="D693" i="24"/>
  <c r="L693" i="14" s="1"/>
  <c r="C693" i="24"/>
  <c r="B693" i="24" a="1"/>
  <c r="D692" i="24"/>
  <c r="L692" i="14" s="1"/>
  <c r="C692" i="24"/>
  <c r="B692" i="24" a="1"/>
  <c r="D691" i="24"/>
  <c r="L691" i="14" s="1"/>
  <c r="C691" i="24"/>
  <c r="B691" i="24" a="1"/>
  <c r="D690" i="24"/>
  <c r="L690" i="14" s="1"/>
  <c r="C690" i="24"/>
  <c r="B690" i="24" a="1"/>
  <c r="D689" i="24"/>
  <c r="L689" i="14" s="1"/>
  <c r="C689" i="24"/>
  <c r="B689" i="24" a="1"/>
  <c r="D688" i="24"/>
  <c r="L688" i="14" s="1"/>
  <c r="C688" i="24"/>
  <c r="B688" i="24" a="1"/>
  <c r="D687" i="24"/>
  <c r="L687" i="14" s="1"/>
  <c r="C687" i="24"/>
  <c r="B687" i="24" a="1"/>
  <c r="D686" i="24"/>
  <c r="L686" i="14" s="1"/>
  <c r="C686" i="24"/>
  <c r="B686" i="24" a="1"/>
  <c r="D685" i="24"/>
  <c r="L685" i="14" s="1"/>
  <c r="C685" i="24"/>
  <c r="B685" i="24" a="1"/>
  <c r="D684" i="24"/>
  <c r="L684" i="14" s="1"/>
  <c r="C684" i="24"/>
  <c r="B684" i="24" a="1"/>
  <c r="D683" i="24"/>
  <c r="L683" i="14" s="1"/>
  <c r="C683" i="24"/>
  <c r="B683" i="24" a="1"/>
  <c r="D682" i="24"/>
  <c r="L682" i="14" s="1"/>
  <c r="C682" i="24"/>
  <c r="B682" i="24" a="1"/>
  <c r="D681" i="24"/>
  <c r="L681" i="14" s="1"/>
  <c r="C681" i="24"/>
  <c r="B681" i="24" a="1"/>
  <c r="D680" i="24"/>
  <c r="L680" i="14" s="1"/>
  <c r="C680" i="24"/>
  <c r="B680" i="24" a="1"/>
  <c r="D679" i="24"/>
  <c r="L679" i="14" s="1"/>
  <c r="C679" i="24"/>
  <c r="B679" i="24" a="1"/>
  <c r="D678" i="24"/>
  <c r="L678" i="14" s="1"/>
  <c r="C678" i="24"/>
  <c r="B678" i="24" a="1"/>
  <c r="D677" i="24"/>
  <c r="L677" i="14" s="1"/>
  <c r="C677" i="24"/>
  <c r="B677" i="24" a="1"/>
  <c r="D676" i="24"/>
  <c r="L676" i="14" s="1"/>
  <c r="C676" i="24"/>
  <c r="B676" i="24" a="1"/>
  <c r="D675" i="24"/>
  <c r="L675" i="14" s="1"/>
  <c r="C675" i="24"/>
  <c r="B675" i="24" a="1"/>
  <c r="D674" i="24"/>
  <c r="L674" i="14" s="1"/>
  <c r="C674" i="24"/>
  <c r="B674" i="24" a="1"/>
  <c r="D673" i="24"/>
  <c r="L673" i="14" s="1"/>
  <c r="C673" i="24"/>
  <c r="B673" i="24" a="1"/>
  <c r="D672" i="24"/>
  <c r="L672" i="14" s="1"/>
  <c r="C672" i="24"/>
  <c r="B672" i="24" a="1"/>
  <c r="D671" i="24"/>
  <c r="L671" i="14" s="1"/>
  <c r="C671" i="24"/>
  <c r="B671" i="24" a="1"/>
  <c r="D670" i="24"/>
  <c r="L670" i="14" s="1"/>
  <c r="C670" i="24"/>
  <c r="B670" i="24" a="1"/>
  <c r="D669" i="24"/>
  <c r="L669" i="14" s="1"/>
  <c r="C669" i="24"/>
  <c r="B669" i="24" a="1"/>
  <c r="D668" i="24"/>
  <c r="L668" i="14" s="1"/>
  <c r="C668" i="24"/>
  <c r="B668" i="24" a="1"/>
  <c r="D667" i="24"/>
  <c r="L667" i="14" s="1"/>
  <c r="C667" i="24"/>
  <c r="B667" i="24" a="1"/>
  <c r="D666" i="24"/>
  <c r="L666" i="14" s="1"/>
  <c r="C666" i="24"/>
  <c r="B666" i="24" a="1"/>
  <c r="D665" i="24"/>
  <c r="L665" i="14" s="1"/>
  <c r="C665" i="24"/>
  <c r="B665" i="24" a="1"/>
  <c r="D664" i="24"/>
  <c r="L664" i="14" s="1"/>
  <c r="C664" i="24"/>
  <c r="B664" i="24" a="1"/>
  <c r="D663" i="24"/>
  <c r="L663" i="14" s="1"/>
  <c r="C663" i="24"/>
  <c r="B663" i="24" a="1"/>
  <c r="D662" i="24"/>
  <c r="L662" i="14" s="1"/>
  <c r="C662" i="24"/>
  <c r="B662" i="24" a="1"/>
  <c r="D661" i="24"/>
  <c r="L661" i="14" s="1"/>
  <c r="C661" i="24"/>
  <c r="B661" i="24" a="1"/>
  <c r="D660" i="24"/>
  <c r="L660" i="14" s="1"/>
  <c r="C660" i="24"/>
  <c r="B660" i="24" a="1"/>
  <c r="D659" i="24"/>
  <c r="L659" i="14" s="1"/>
  <c r="C659" i="24"/>
  <c r="B659" i="24" a="1"/>
  <c r="D658" i="24"/>
  <c r="L658" i="14" s="1"/>
  <c r="C658" i="24"/>
  <c r="B658" i="24" a="1"/>
  <c r="D657" i="24"/>
  <c r="L657" i="14" s="1"/>
  <c r="C657" i="24"/>
  <c r="B657" i="24" a="1"/>
  <c r="D656" i="24"/>
  <c r="L656" i="14" s="1"/>
  <c r="C656" i="24"/>
  <c r="B656" i="24" a="1"/>
  <c r="D655" i="24"/>
  <c r="L655" i="14" s="1"/>
  <c r="C655" i="24"/>
  <c r="B655" i="24" a="1"/>
  <c r="D654" i="24"/>
  <c r="L654" i="14" s="1"/>
  <c r="C654" i="24"/>
  <c r="B654" i="24" a="1"/>
  <c r="D653" i="24"/>
  <c r="L653" i="14" s="1"/>
  <c r="C653" i="24"/>
  <c r="B653" i="24" a="1"/>
  <c r="D652" i="24"/>
  <c r="L652" i="14" s="1"/>
  <c r="C652" i="24"/>
  <c r="B652" i="24" a="1"/>
  <c r="D651" i="24"/>
  <c r="L651" i="14" s="1"/>
  <c r="C651" i="24"/>
  <c r="B651" i="24" a="1"/>
  <c r="D650" i="24"/>
  <c r="L650" i="14" s="1"/>
  <c r="C650" i="24"/>
  <c r="B650" i="24" a="1"/>
  <c r="D649" i="24"/>
  <c r="L649" i="14" s="1"/>
  <c r="C649" i="24"/>
  <c r="B649" i="24" a="1"/>
  <c r="D648" i="24"/>
  <c r="L648" i="14" s="1"/>
  <c r="C648" i="24"/>
  <c r="B648" i="24" a="1"/>
  <c r="D647" i="24"/>
  <c r="L647" i="14" s="1"/>
  <c r="C647" i="24"/>
  <c r="B647" i="24" a="1"/>
  <c r="D646" i="24"/>
  <c r="L646" i="14" s="1"/>
  <c r="C646" i="24"/>
  <c r="B646" i="24" a="1"/>
  <c r="D645" i="24"/>
  <c r="L645" i="14" s="1"/>
  <c r="C645" i="24"/>
  <c r="B645" i="24" a="1"/>
  <c r="D644" i="24"/>
  <c r="L644" i="14" s="1"/>
  <c r="C644" i="24"/>
  <c r="B644" i="24" a="1"/>
  <c r="D643" i="24"/>
  <c r="L643" i="14" s="1"/>
  <c r="C643" i="24"/>
  <c r="B643" i="24" a="1"/>
  <c r="D642" i="24"/>
  <c r="L642" i="14" s="1"/>
  <c r="C642" i="24"/>
  <c r="B642" i="24" a="1"/>
  <c r="D641" i="24"/>
  <c r="L641" i="14" s="1"/>
  <c r="C641" i="24"/>
  <c r="B641" i="24" a="1"/>
  <c r="D640" i="24"/>
  <c r="L640" i="14" s="1"/>
  <c r="C640" i="24"/>
  <c r="B640" i="24" a="1"/>
  <c r="D639" i="24"/>
  <c r="L639" i="14" s="1"/>
  <c r="C639" i="24"/>
  <c r="B639" i="24" a="1"/>
  <c r="D638" i="24"/>
  <c r="L638" i="14" s="1"/>
  <c r="C638" i="24"/>
  <c r="B638" i="24" a="1"/>
  <c r="D637" i="24"/>
  <c r="L637" i="14" s="1"/>
  <c r="C637" i="24"/>
  <c r="B637" i="24" a="1"/>
  <c r="D636" i="24"/>
  <c r="L636" i="14" s="1"/>
  <c r="C636" i="24"/>
  <c r="B636" i="24" a="1"/>
  <c r="D635" i="24"/>
  <c r="L635" i="14" s="1"/>
  <c r="C635" i="24"/>
  <c r="B635" i="24" a="1"/>
  <c r="D634" i="24"/>
  <c r="L634" i="14" s="1"/>
  <c r="C634" i="24"/>
  <c r="B634" i="24" a="1"/>
  <c r="D633" i="24"/>
  <c r="L633" i="14" s="1"/>
  <c r="C633" i="24"/>
  <c r="B633" i="24" a="1"/>
  <c r="D632" i="24"/>
  <c r="L632" i="14" s="1"/>
  <c r="C632" i="24"/>
  <c r="B632" i="24" a="1"/>
  <c r="D631" i="24"/>
  <c r="L631" i="14" s="1"/>
  <c r="C631" i="24"/>
  <c r="B631" i="24" a="1"/>
  <c r="D630" i="24"/>
  <c r="L630" i="14" s="1"/>
  <c r="C630" i="24"/>
  <c r="B630" i="24" a="1"/>
  <c r="D629" i="24"/>
  <c r="L629" i="14" s="1"/>
  <c r="C629" i="24"/>
  <c r="B629" i="24" a="1"/>
  <c r="D628" i="24"/>
  <c r="L628" i="14" s="1"/>
  <c r="C628" i="24"/>
  <c r="B628" i="24" a="1"/>
  <c r="D627" i="24"/>
  <c r="L627" i="14" s="1"/>
  <c r="C627" i="24"/>
  <c r="B627" i="24" a="1"/>
  <c r="D626" i="24"/>
  <c r="L626" i="14" s="1"/>
  <c r="C626" i="24"/>
  <c r="B626" i="24" a="1"/>
  <c r="D625" i="24"/>
  <c r="C625" i="24"/>
  <c r="B625" i="24" a="1"/>
  <c r="D624" i="24"/>
  <c r="L624" i="14" s="1"/>
  <c r="C624" i="24"/>
  <c r="B624" i="24" a="1"/>
  <c r="D623" i="24"/>
  <c r="L623" i="14" s="1"/>
  <c r="C623" i="24"/>
  <c r="B623" i="24" a="1"/>
  <c r="D622" i="24"/>
  <c r="L622" i="14" s="1"/>
  <c r="C622" i="24"/>
  <c r="B622" i="24" a="1"/>
  <c r="D621" i="24"/>
  <c r="L621" i="14" s="1"/>
  <c r="C621" i="24"/>
  <c r="B621" i="24" a="1"/>
  <c r="D620" i="24"/>
  <c r="L620" i="14" s="1"/>
  <c r="C620" i="24"/>
  <c r="B620" i="24" a="1"/>
  <c r="B442" i="24" a="1"/>
  <c r="B439" i="24" a="1"/>
  <c r="C438" i="24"/>
  <c r="D436" i="24"/>
  <c r="L436" i="14" s="1"/>
  <c r="B436" i="24" a="1"/>
  <c r="C433" i="24"/>
  <c r="D432" i="24"/>
  <c r="L432" i="14" s="1"/>
  <c r="B432" i="24" a="1"/>
  <c r="C431" i="24"/>
  <c r="D429" i="24"/>
  <c r="L429" i="14" s="1"/>
  <c r="B429" i="24" a="1"/>
  <c r="B428" i="24" a="1"/>
  <c r="D426" i="24"/>
  <c r="L426" i="14" s="1"/>
  <c r="B426" i="24" a="1"/>
  <c r="B425" i="24" a="1"/>
  <c r="C424" i="24"/>
  <c r="D421" i="24"/>
  <c r="L421" i="14" s="1"/>
  <c r="C420" i="24"/>
  <c r="D417" i="24"/>
  <c r="L417" i="14" s="1"/>
  <c r="B417" i="24" a="1"/>
  <c r="C416" i="24"/>
  <c r="D415" i="24"/>
  <c r="L415" i="14" s="1"/>
  <c r="D414" i="24"/>
  <c r="L414" i="14" s="1"/>
  <c r="B36" i="24" a="1"/>
  <c r="C31" i="24"/>
  <c r="D27" i="24"/>
  <c r="L27" i="14" s="1"/>
  <c r="D25" i="24"/>
  <c r="L25" i="14" s="1"/>
  <c r="C22" i="24"/>
  <c r="B19" i="24" a="1"/>
  <c r="B18" i="24" a="1"/>
  <c r="C15" i="24"/>
  <c r="C14" i="24"/>
  <c r="C12" i="24"/>
  <c r="D11" i="24"/>
  <c r="L11" i="14" s="1"/>
  <c r="B10" i="24" a="1"/>
  <c r="C8" i="24"/>
  <c r="D7" i="24"/>
  <c r="L7" i="14" s="1"/>
  <c r="C5" i="24"/>
  <c r="D4" i="24"/>
  <c r="L4" i="14" s="1"/>
  <c r="C2" i="24"/>
  <c r="C85" i="24"/>
  <c r="D85" i="24"/>
  <c r="L85" i="14" s="1"/>
  <c r="C236" i="24"/>
  <c r="B236" i="24" a="1"/>
  <c r="B86" i="24" a="1"/>
  <c r="D235" i="24"/>
  <c r="L235" i="14" s="1"/>
  <c r="C86" i="24"/>
  <c r="D86" i="24"/>
  <c r="L86" i="14" s="1"/>
  <c r="C235" i="24"/>
  <c r="B235" i="24" a="1"/>
  <c r="B87" i="24" a="1"/>
  <c r="C87" i="24"/>
  <c r="D87" i="24"/>
  <c r="L87" i="14" s="1"/>
  <c r="B88" i="24" a="1"/>
  <c r="C88" i="24"/>
  <c r="D234" i="24"/>
  <c r="L234" i="14" s="1"/>
  <c r="C234" i="24"/>
  <c r="D88" i="24"/>
  <c r="L88" i="14" s="1"/>
  <c r="B234" i="24" a="1"/>
  <c r="D233" i="24"/>
  <c r="L233" i="14" s="1"/>
  <c r="C233" i="24"/>
  <c r="B233" i="24" a="1"/>
  <c r="B89" i="24" a="1"/>
  <c r="C89" i="24"/>
  <c r="D89" i="24"/>
  <c r="L89" i="14" s="1"/>
  <c r="D232" i="24"/>
  <c r="L232" i="14" s="1"/>
  <c r="B90" i="24" a="1"/>
  <c r="C90" i="24"/>
  <c r="C232" i="24"/>
  <c r="D90" i="24"/>
  <c r="L90" i="14" s="1"/>
  <c r="B232" i="24" a="1"/>
  <c r="B91" i="24" a="1"/>
  <c r="C91" i="24"/>
  <c r="D231" i="24"/>
  <c r="L231" i="14" s="1"/>
  <c r="C231" i="24"/>
  <c r="D91" i="24"/>
  <c r="L91" i="14" s="1"/>
  <c r="B92" i="24" a="1"/>
  <c r="C92" i="24"/>
  <c r="D92" i="24"/>
  <c r="L92" i="14" s="1"/>
  <c r="B231" i="24" a="1"/>
  <c r="B93" i="24" a="1"/>
  <c r="C93" i="24"/>
  <c r="D230" i="24"/>
  <c r="L230" i="14" s="1"/>
  <c r="C230" i="24"/>
  <c r="B230" i="24" a="1"/>
  <c r="D93" i="24"/>
  <c r="L93" i="14" s="1"/>
  <c r="D229" i="24"/>
  <c r="L229" i="14" s="1"/>
  <c r="C229" i="24"/>
  <c r="B229" i="24" a="1"/>
  <c r="B94" i="24" a="1"/>
  <c r="C94" i="24"/>
  <c r="D94" i="24"/>
  <c r="L94" i="14" s="1"/>
  <c r="D228" i="24"/>
  <c r="L228" i="14" s="1"/>
  <c r="C228" i="24"/>
  <c r="B228" i="24" a="1"/>
  <c r="B95" i="24" a="1"/>
  <c r="C95" i="24"/>
  <c r="D95" i="24"/>
  <c r="L95" i="14" s="1"/>
  <c r="B96" i="24" a="1"/>
  <c r="C96" i="24"/>
  <c r="D96" i="24"/>
  <c r="L96" i="14" s="1"/>
  <c r="B97" i="24" a="1"/>
  <c r="C97" i="24"/>
  <c r="D97" i="24"/>
  <c r="L97" i="14" s="1"/>
  <c r="B98" i="24" a="1"/>
  <c r="C98" i="24"/>
  <c r="D98" i="24"/>
  <c r="L98" i="14" s="1"/>
  <c r="B99" i="24" a="1"/>
  <c r="C99" i="24"/>
  <c r="D99" i="24"/>
  <c r="L99" i="14" s="1"/>
  <c r="B100" i="24" a="1"/>
  <c r="C100" i="24"/>
  <c r="D100" i="24"/>
  <c r="L100" i="14" s="1"/>
  <c r="B101" i="24" a="1"/>
  <c r="C101" i="24"/>
  <c r="D101" i="24"/>
  <c r="L101" i="14" s="1"/>
  <c r="B102" i="24" a="1"/>
  <c r="C102" i="24"/>
  <c r="D227" i="24"/>
  <c r="L227" i="14" s="1"/>
  <c r="C227" i="24"/>
  <c r="B227" i="24" a="1"/>
  <c r="D226" i="24"/>
  <c r="L226" i="14" s="1"/>
  <c r="C226" i="24"/>
  <c r="B226" i="24" a="1"/>
  <c r="D225" i="24"/>
  <c r="L225" i="14" s="1"/>
  <c r="C225" i="24"/>
  <c r="B225" i="24" a="1"/>
  <c r="D224" i="24"/>
  <c r="L224" i="14" s="1"/>
  <c r="C224" i="24"/>
  <c r="B224" i="24" a="1"/>
  <c r="D102" i="24"/>
  <c r="L102" i="14" s="1"/>
  <c r="D223" i="24"/>
  <c r="L223" i="14" s="1"/>
  <c r="C223" i="24"/>
  <c r="B223" i="24" a="1"/>
  <c r="B103" i="24" a="1"/>
  <c r="D222" i="24"/>
  <c r="L222" i="14" s="1"/>
  <c r="C103" i="24"/>
  <c r="D103" i="24"/>
  <c r="L103" i="14" s="1"/>
  <c r="C222" i="24"/>
  <c r="B222" i="24" a="1"/>
  <c r="D221" i="24"/>
  <c r="L221" i="14" s="1"/>
  <c r="C221" i="24"/>
  <c r="B221" i="24" a="1"/>
  <c r="D220" i="24"/>
  <c r="L220" i="14" s="1"/>
  <c r="C220" i="24"/>
  <c r="B220" i="24" a="1"/>
  <c r="D219" i="24"/>
  <c r="L219" i="14" s="1"/>
  <c r="C219" i="24"/>
  <c r="B219" i="24" a="1"/>
  <c r="D218" i="24"/>
  <c r="L218" i="14" s="1"/>
  <c r="C218" i="24"/>
  <c r="B218" i="24" a="1"/>
  <c r="D217" i="24"/>
  <c r="L217" i="14" s="1"/>
  <c r="C217" i="24"/>
  <c r="B217" i="24" a="1"/>
  <c r="D216" i="24"/>
  <c r="L216" i="14" s="1"/>
  <c r="B216" i="24" a="1"/>
  <c r="D215" i="24"/>
  <c r="L215" i="14" s="1"/>
  <c r="C214" i="24"/>
  <c r="D213" i="24"/>
  <c r="L213" i="14" s="1"/>
  <c r="C213" i="24"/>
  <c r="D211" i="24"/>
  <c r="L211" i="14" s="1"/>
  <c r="B211" i="24" a="1"/>
  <c r="D210" i="24"/>
  <c r="L210" i="14" s="1"/>
  <c r="C210" i="24"/>
  <c r="B210" i="24" a="1"/>
  <c r="B209" i="24" a="1"/>
  <c r="D208" i="24"/>
  <c r="L208" i="14" s="1"/>
  <c r="D207" i="24"/>
  <c r="L207" i="14" s="1"/>
  <c r="C141" i="24"/>
  <c r="B140" i="24" a="1"/>
  <c r="C139" i="24"/>
  <c r="C138" i="24"/>
  <c r="C137" i="24"/>
  <c r="D136" i="24"/>
  <c r="L136" i="14" s="1"/>
  <c r="B136" i="24" a="1"/>
  <c r="D135" i="24"/>
  <c r="L135" i="14" s="1"/>
  <c r="C135" i="24"/>
  <c r="C133" i="24"/>
  <c r="B132" i="24" a="1"/>
  <c r="B131" i="24" a="1"/>
  <c r="B130" i="24" a="1"/>
  <c r="D129" i="24"/>
  <c r="L129" i="14" s="1"/>
  <c r="D128" i="24"/>
  <c r="L128" i="14" s="1"/>
  <c r="C127" i="24"/>
  <c r="C126" i="24"/>
  <c r="C125" i="24"/>
  <c r="B121" i="24" a="1"/>
  <c r="D120" i="24"/>
  <c r="L120" i="14" s="1"/>
  <c r="B119" i="24" a="1"/>
  <c r="C118" i="24"/>
  <c r="D117" i="24"/>
  <c r="L117" i="14" s="1"/>
  <c r="B117" i="24" a="1"/>
  <c r="B115" i="24" a="1"/>
  <c r="B113" i="24" a="1"/>
  <c r="C112" i="24"/>
  <c r="C111" i="24"/>
  <c r="C110" i="24"/>
  <c r="C109" i="24"/>
  <c r="B109" i="24" a="1"/>
  <c r="B108" i="24" a="1"/>
  <c r="D107" i="24"/>
  <c r="L107" i="14" s="1"/>
  <c r="B105" i="24" a="1"/>
  <c r="D104" i="24"/>
  <c r="L104" i="14" s="1"/>
  <c r="D619" i="24"/>
  <c r="L619" i="14" s="1"/>
  <c r="C619" i="24"/>
  <c r="B619" i="24" a="1"/>
  <c r="D618" i="24"/>
  <c r="L618" i="14" s="1"/>
  <c r="C618" i="24"/>
  <c r="B618" i="24" a="1"/>
  <c r="D617" i="24"/>
  <c r="L617" i="14" s="1"/>
  <c r="C617" i="24"/>
  <c r="B617" i="24" a="1"/>
  <c r="D616" i="24"/>
  <c r="L616" i="14" s="1"/>
  <c r="C616" i="24"/>
  <c r="B616" i="24" a="1"/>
  <c r="D615" i="24"/>
  <c r="L615" i="14" s="1"/>
  <c r="C615" i="24"/>
  <c r="B615" i="24" a="1"/>
  <c r="D614" i="24"/>
  <c r="L614" i="14" s="1"/>
  <c r="C614" i="24"/>
  <c r="B614" i="24" a="1"/>
  <c r="D613" i="24"/>
  <c r="L613" i="14" s="1"/>
  <c r="C613" i="24"/>
  <c r="B613" i="24" a="1"/>
  <c r="D612" i="24"/>
  <c r="L612" i="14" s="1"/>
  <c r="C612" i="24"/>
  <c r="B612" i="24" a="1"/>
  <c r="D611" i="24"/>
  <c r="C611" i="24"/>
  <c r="B611" i="24" a="1"/>
  <c r="D610" i="24"/>
  <c r="L610" i="14" s="1"/>
  <c r="C610" i="24"/>
  <c r="B610" i="24" a="1"/>
  <c r="D609" i="24"/>
  <c r="L609" i="14" s="1"/>
  <c r="C609" i="24"/>
  <c r="B609" i="24" a="1"/>
  <c r="D608" i="24"/>
  <c r="C608" i="24"/>
  <c r="B608" i="24" a="1"/>
  <c r="D607" i="24"/>
  <c r="L607" i="14" s="1"/>
  <c r="C607" i="24"/>
  <c r="B607" i="24" a="1"/>
  <c r="D606" i="24"/>
  <c r="L606" i="14" s="1"/>
  <c r="C606" i="24"/>
  <c r="B606" i="24" a="1"/>
  <c r="D605" i="24"/>
  <c r="L605" i="14" s="1"/>
  <c r="C605" i="24"/>
  <c r="B605" i="24" a="1"/>
  <c r="D604" i="24"/>
  <c r="L604" i="14" s="1"/>
  <c r="C604" i="24"/>
  <c r="B604" i="24" a="1"/>
  <c r="D603" i="24"/>
  <c r="L603" i="14" s="1"/>
  <c r="C603" i="24"/>
  <c r="B603" i="24" a="1"/>
  <c r="D602" i="24"/>
  <c r="L602" i="14" s="1"/>
  <c r="C602" i="24"/>
  <c r="B602" i="24" a="1"/>
  <c r="D601" i="24"/>
  <c r="L601" i="14" s="1"/>
  <c r="C601" i="24"/>
  <c r="B601" i="24" a="1"/>
  <c r="D600" i="24"/>
  <c r="L600" i="14" s="1"/>
  <c r="C600" i="24"/>
  <c r="B600" i="24" a="1"/>
  <c r="D599" i="24"/>
  <c r="L599" i="14" s="1"/>
  <c r="C599" i="24"/>
  <c r="B599" i="24" a="1"/>
  <c r="D598" i="24"/>
  <c r="L598" i="14" s="1"/>
  <c r="C598" i="24"/>
  <c r="B598" i="24" a="1"/>
  <c r="D597" i="24"/>
  <c r="L597" i="14" s="1"/>
  <c r="C597" i="24"/>
  <c r="B597" i="24" a="1"/>
  <c r="D596" i="24"/>
  <c r="L596" i="14" s="1"/>
  <c r="C596" i="24"/>
  <c r="B596" i="24" a="1"/>
  <c r="D595" i="24"/>
  <c r="L595" i="14" s="1"/>
  <c r="C595" i="24"/>
  <c r="B595" i="24" a="1"/>
  <c r="D594" i="24"/>
  <c r="L594" i="14" s="1"/>
  <c r="C594" i="24"/>
  <c r="B594" i="24" a="1"/>
  <c r="D593" i="24"/>
  <c r="L593" i="14" s="1"/>
  <c r="C593" i="24"/>
  <c r="B593" i="24" a="1"/>
  <c r="D592" i="24"/>
  <c r="L592" i="14" s="1"/>
  <c r="C592" i="24"/>
  <c r="B592" i="24" a="1"/>
  <c r="D591" i="24"/>
  <c r="L591" i="14" s="1"/>
  <c r="C591" i="24"/>
  <c r="B591" i="24" a="1"/>
  <c r="D590" i="24"/>
  <c r="L590" i="14" s="1"/>
  <c r="C590" i="24"/>
  <c r="B590" i="24" a="1"/>
  <c r="D589" i="24"/>
  <c r="L589" i="14" s="1"/>
  <c r="C589" i="24"/>
  <c r="B589" i="24" a="1"/>
  <c r="D588" i="24"/>
  <c r="L588" i="14" s="1"/>
  <c r="C588" i="24"/>
  <c r="B588" i="24" a="1"/>
  <c r="D587" i="24"/>
  <c r="L587" i="14" s="1"/>
  <c r="C587" i="24"/>
  <c r="B587" i="24" a="1"/>
  <c r="D586" i="24"/>
  <c r="L586" i="14" s="1"/>
  <c r="C586" i="24"/>
  <c r="B586" i="24" a="1"/>
  <c r="D585" i="24"/>
  <c r="L585" i="14" s="1"/>
  <c r="C585" i="24"/>
  <c r="B585" i="24" a="1"/>
  <c r="D584" i="24"/>
  <c r="L584" i="14" s="1"/>
  <c r="C584" i="24"/>
  <c r="B584" i="24" a="1"/>
  <c r="D583" i="24"/>
  <c r="L583" i="14" s="1"/>
  <c r="C583" i="24"/>
  <c r="B583" i="24" a="1"/>
  <c r="D582" i="24"/>
  <c r="L582" i="14" s="1"/>
  <c r="C582" i="24"/>
  <c r="B582" i="24" a="1"/>
  <c r="D581" i="24"/>
  <c r="L581" i="14" s="1"/>
  <c r="C581" i="24"/>
  <c r="B581" i="24" a="1"/>
  <c r="D580" i="24"/>
  <c r="L580" i="14" s="1"/>
  <c r="C580" i="24"/>
  <c r="B580" i="24" a="1"/>
  <c r="D579" i="24"/>
  <c r="L579" i="14" s="1"/>
  <c r="C579" i="24"/>
  <c r="B579" i="24" a="1"/>
  <c r="D578" i="24"/>
  <c r="L578" i="14" s="1"/>
  <c r="C578" i="24"/>
  <c r="B578" i="24" a="1"/>
  <c r="D577" i="24"/>
  <c r="L577" i="14" s="1"/>
  <c r="C577" i="24"/>
  <c r="B577" i="24" a="1"/>
  <c r="D576" i="24"/>
  <c r="L576" i="14" s="1"/>
  <c r="C576" i="24"/>
  <c r="B576" i="24" a="1"/>
  <c r="D575" i="24"/>
  <c r="L575" i="14" s="1"/>
  <c r="C575" i="24"/>
  <c r="B575" i="24" a="1"/>
  <c r="D574" i="24"/>
  <c r="L574" i="14" s="1"/>
  <c r="C574" i="24"/>
  <c r="B574" i="24" a="1"/>
  <c r="D573" i="24"/>
  <c r="L573" i="14" s="1"/>
  <c r="C573" i="24"/>
  <c r="B573" i="24" a="1"/>
  <c r="D572" i="24"/>
  <c r="L572" i="14" s="1"/>
  <c r="C572" i="24"/>
  <c r="B572" i="24" a="1"/>
  <c r="D571" i="24"/>
  <c r="L571" i="14" s="1"/>
  <c r="C571" i="24"/>
  <c r="B571" i="24" a="1"/>
  <c r="D570" i="24"/>
  <c r="L570" i="14" s="1"/>
  <c r="C570" i="24"/>
  <c r="B570" i="24" a="1"/>
  <c r="D569" i="24"/>
  <c r="L569" i="14" s="1"/>
  <c r="C569" i="24"/>
  <c r="B569" i="24" a="1"/>
  <c r="D568" i="24"/>
  <c r="L568" i="14" s="1"/>
  <c r="C568" i="24"/>
  <c r="B568" i="24" a="1"/>
  <c r="D567" i="24"/>
  <c r="L567" i="14" s="1"/>
  <c r="C567" i="24"/>
  <c r="B567" i="24" a="1"/>
  <c r="D566" i="24"/>
  <c r="L566" i="14" s="1"/>
  <c r="C566" i="24"/>
  <c r="B566" i="24" a="1"/>
  <c r="D565" i="24"/>
  <c r="L565" i="14" s="1"/>
  <c r="C565" i="24"/>
  <c r="B565" i="24" a="1"/>
  <c r="D564" i="24"/>
  <c r="L564" i="14" s="1"/>
  <c r="C564" i="24"/>
  <c r="B564" i="24" a="1"/>
  <c r="D563" i="24"/>
  <c r="L563" i="14" s="1"/>
  <c r="C563" i="24"/>
  <c r="B563" i="24" a="1"/>
  <c r="D562" i="24"/>
  <c r="L562" i="14" s="1"/>
  <c r="C562" i="24"/>
  <c r="B562" i="24" a="1"/>
  <c r="D561" i="24"/>
  <c r="L561" i="14" s="1"/>
  <c r="C561" i="24"/>
  <c r="B561" i="24" a="1"/>
  <c r="D560" i="24"/>
  <c r="L560" i="14" s="1"/>
  <c r="C560" i="24"/>
  <c r="B560" i="24" a="1"/>
  <c r="D559" i="24"/>
  <c r="L559" i="14" s="1"/>
  <c r="C559" i="24"/>
  <c r="B559" i="24" a="1"/>
  <c r="D558" i="24"/>
  <c r="L558" i="14" s="1"/>
  <c r="C558" i="24"/>
  <c r="B558" i="24" a="1"/>
  <c r="D557" i="24"/>
  <c r="L557" i="14" s="1"/>
  <c r="C557" i="24"/>
  <c r="B557" i="24" a="1"/>
  <c r="D556" i="24"/>
  <c r="L556" i="14" s="1"/>
  <c r="C556" i="24"/>
  <c r="B556" i="24" a="1"/>
  <c r="D555" i="24"/>
  <c r="L555" i="14" s="1"/>
  <c r="C555" i="24"/>
  <c r="B555" i="24" a="1"/>
  <c r="D554" i="24"/>
  <c r="L554" i="14" s="1"/>
  <c r="C554" i="24"/>
  <c r="B554" i="24" a="1"/>
  <c r="D553" i="24"/>
  <c r="L553" i="14" s="1"/>
  <c r="C553" i="24"/>
  <c r="B553" i="24" a="1"/>
  <c r="D552" i="24"/>
  <c r="L552" i="14" s="1"/>
  <c r="C552" i="24"/>
  <c r="B552" i="24" a="1"/>
  <c r="D551" i="24"/>
  <c r="C551" i="24"/>
  <c r="B551" i="24" a="1"/>
  <c r="D550" i="24"/>
  <c r="L550" i="14" s="1"/>
  <c r="C550" i="24"/>
  <c r="B550" i="24" a="1"/>
  <c r="D549" i="24"/>
  <c r="L549" i="14" s="1"/>
  <c r="C549" i="24"/>
  <c r="B549" i="24" a="1"/>
  <c r="D548" i="24"/>
  <c r="L548" i="14" s="1"/>
  <c r="C548" i="24"/>
  <c r="B548" i="24" a="1"/>
  <c r="D547" i="24"/>
  <c r="L547" i="14" s="1"/>
  <c r="C547" i="24"/>
  <c r="B547" i="24" a="1"/>
  <c r="D546" i="24"/>
  <c r="L546" i="14" s="1"/>
  <c r="C546" i="24"/>
  <c r="B546" i="24" a="1"/>
  <c r="D545" i="24"/>
  <c r="L545" i="14" s="1"/>
  <c r="C545" i="24"/>
  <c r="B545" i="24" a="1"/>
  <c r="D544" i="24"/>
  <c r="L544" i="14" s="1"/>
  <c r="C544" i="24"/>
  <c r="B544" i="24" a="1"/>
  <c r="D543" i="24"/>
  <c r="L543" i="14" s="1"/>
  <c r="C543" i="24"/>
  <c r="B543" i="24" a="1"/>
  <c r="D542" i="24"/>
  <c r="L542" i="14" s="1"/>
  <c r="C542" i="24"/>
  <c r="B542" i="24" a="1"/>
  <c r="D541" i="24"/>
  <c r="L541" i="14" s="1"/>
  <c r="C541" i="24"/>
  <c r="B541" i="24" a="1"/>
  <c r="D540" i="24"/>
  <c r="L540" i="14" s="1"/>
  <c r="C540" i="24"/>
  <c r="B540" i="24" a="1"/>
  <c r="D539" i="24"/>
  <c r="L539" i="14" s="1"/>
  <c r="C539" i="24"/>
  <c r="B539" i="24" a="1"/>
  <c r="D538" i="24"/>
  <c r="L538" i="14" s="1"/>
  <c r="C538" i="24"/>
  <c r="B538" i="24" a="1"/>
  <c r="D537" i="24"/>
  <c r="L537" i="14" s="1"/>
  <c r="C537" i="24"/>
  <c r="B537" i="24" a="1"/>
  <c r="D536" i="24"/>
  <c r="L536" i="14" s="1"/>
  <c r="C536" i="24"/>
  <c r="B536" i="24" a="1"/>
  <c r="D535" i="24"/>
  <c r="L535" i="14" s="1"/>
  <c r="C535" i="24"/>
  <c r="B535" i="24" a="1"/>
  <c r="D534" i="24"/>
  <c r="L534" i="14" s="1"/>
  <c r="C534" i="24"/>
  <c r="B534" i="24" a="1"/>
  <c r="D533" i="24"/>
  <c r="L533" i="14" s="1"/>
  <c r="C533" i="24"/>
  <c r="B533" i="24" a="1"/>
  <c r="D532" i="24"/>
  <c r="L532" i="14" s="1"/>
  <c r="C532" i="24"/>
  <c r="B532" i="24" a="1"/>
  <c r="D531" i="24"/>
  <c r="L531" i="14" s="1"/>
  <c r="C531" i="24"/>
  <c r="B531" i="24" a="1"/>
  <c r="D530" i="24"/>
  <c r="L530" i="14" s="1"/>
  <c r="C530" i="24"/>
  <c r="B530" i="24" a="1"/>
  <c r="D529" i="24"/>
  <c r="L529" i="14" s="1"/>
  <c r="C529" i="24"/>
  <c r="B529" i="24" a="1"/>
  <c r="D528" i="24"/>
  <c r="L528" i="14" s="1"/>
  <c r="C528" i="24"/>
  <c r="B528" i="24" a="1"/>
  <c r="D527" i="24"/>
  <c r="L527" i="14" s="1"/>
  <c r="C527" i="24"/>
  <c r="B527" i="24" a="1"/>
  <c r="D526" i="24"/>
  <c r="L526" i="14" s="1"/>
  <c r="C526" i="24"/>
  <c r="B526" i="24" a="1"/>
  <c r="D525" i="24"/>
  <c r="L525" i="14" s="1"/>
  <c r="C525" i="24"/>
  <c r="B525" i="24" a="1"/>
  <c r="D524" i="24"/>
  <c r="L524" i="14" s="1"/>
  <c r="C524" i="24"/>
  <c r="B524" i="24" a="1"/>
  <c r="D523" i="24"/>
  <c r="L523" i="14" s="1"/>
  <c r="C523" i="24"/>
  <c r="B523" i="24" a="1"/>
  <c r="D522" i="24"/>
  <c r="L522" i="14" s="1"/>
  <c r="C522" i="24"/>
  <c r="B522" i="24" a="1"/>
  <c r="D521" i="24"/>
  <c r="L521" i="14" s="1"/>
  <c r="C521" i="24"/>
  <c r="B521" i="24" a="1"/>
  <c r="D520" i="24"/>
  <c r="L520" i="14" s="1"/>
  <c r="C520" i="24"/>
  <c r="B520" i="24" a="1"/>
  <c r="D519" i="24"/>
  <c r="L519" i="14" s="1"/>
  <c r="C519" i="24"/>
  <c r="B519" i="24" a="1"/>
  <c r="D518" i="24"/>
  <c r="L518" i="14" s="1"/>
  <c r="C518" i="24"/>
  <c r="B518" i="24" a="1"/>
  <c r="D517" i="24"/>
  <c r="L517" i="14" s="1"/>
  <c r="C517" i="24"/>
  <c r="B517" i="24" a="1"/>
  <c r="D468" i="24"/>
  <c r="B468" i="24" a="1"/>
  <c r="D467" i="24"/>
  <c r="L467" i="14" s="1"/>
  <c r="B467" i="24" a="1"/>
  <c r="C466" i="24"/>
  <c r="D465" i="24"/>
  <c r="L465" i="14" s="1"/>
  <c r="B465" i="24" a="1"/>
  <c r="D464" i="24"/>
  <c r="D463" i="24"/>
  <c r="L463" i="14" s="1"/>
  <c r="C461" i="24"/>
  <c r="D460" i="24"/>
  <c r="L460" i="14" s="1"/>
  <c r="B460" i="24" a="1"/>
  <c r="D459" i="24"/>
  <c r="L459" i="14" s="1"/>
  <c r="B459" i="24" a="1"/>
  <c r="D458" i="24"/>
  <c r="L458" i="14" s="1"/>
  <c r="B458" i="24" a="1"/>
  <c r="D457" i="24"/>
  <c r="L457" i="14" s="1"/>
  <c r="B457" i="24" a="1"/>
  <c r="D456" i="24"/>
  <c r="L456" i="14" s="1"/>
  <c r="C455" i="24"/>
  <c r="D454" i="24"/>
  <c r="L454" i="14" s="1"/>
  <c r="B454" i="24" a="1"/>
  <c r="D453" i="24"/>
  <c r="L453" i="14" s="1"/>
  <c r="B453" i="24" a="1"/>
  <c r="D452" i="24"/>
  <c r="L452" i="14" s="1"/>
  <c r="C451" i="24"/>
  <c r="D450" i="24"/>
  <c r="L450" i="14" s="1"/>
  <c r="D449" i="24"/>
  <c r="L449" i="14" s="1"/>
  <c r="B449" i="24" a="1"/>
  <c r="D448" i="24"/>
  <c r="L448" i="14" s="1"/>
  <c r="C448" i="24"/>
  <c r="B448" i="24" a="1"/>
  <c r="C447" i="24"/>
  <c r="B447" i="24" a="1"/>
  <c r="C446" i="24"/>
  <c r="C445" i="24"/>
  <c r="C444" i="24"/>
  <c r="C443" i="24"/>
  <c r="D442" i="24"/>
  <c r="L442" i="14" s="1"/>
  <c r="C441" i="24"/>
  <c r="B441" i="24" a="1"/>
  <c r="D440" i="24"/>
  <c r="L440" i="14" s="1"/>
  <c r="B440" i="24" a="1"/>
  <c r="D439" i="24"/>
  <c r="L439" i="14" s="1"/>
  <c r="C437" i="24"/>
  <c r="C436" i="24"/>
  <c r="D435" i="24"/>
  <c r="L435" i="14" s="1"/>
  <c r="B435" i="24" a="1"/>
  <c r="D434" i="24"/>
  <c r="L434" i="14" s="1"/>
  <c r="B434" i="24" a="1"/>
  <c r="D433" i="24"/>
  <c r="L433" i="14" s="1"/>
  <c r="B433" i="24" a="1"/>
  <c r="C432" i="24"/>
  <c r="D431" i="24"/>
  <c r="L431" i="14" s="1"/>
  <c r="B431" i="24" a="1"/>
  <c r="C430" i="24"/>
  <c r="B430" i="24" a="1"/>
  <c r="D428" i="24"/>
  <c r="L428" i="14" s="1"/>
  <c r="D427" i="24"/>
  <c r="L427" i="14" s="1"/>
  <c r="C427" i="24"/>
  <c r="C426" i="24"/>
  <c r="D425" i="24"/>
  <c r="L425" i="14" s="1"/>
  <c r="B424" i="24" a="1"/>
  <c r="D423" i="24"/>
  <c r="L423" i="14" s="1"/>
  <c r="B423" i="24" a="1"/>
  <c r="D422" i="24"/>
  <c r="L422" i="14" s="1"/>
  <c r="C422" i="24"/>
  <c r="C421" i="24"/>
  <c r="D419" i="24"/>
  <c r="L419" i="14" s="1"/>
  <c r="B419" i="24" a="1"/>
  <c r="D418" i="24"/>
  <c r="L418" i="14" s="1"/>
  <c r="B418" i="24" a="1"/>
  <c r="C417" i="24"/>
  <c r="D416" i="24"/>
  <c r="L416" i="14" s="1"/>
  <c r="B416" i="24" a="1"/>
  <c r="B415" i="24" a="1"/>
  <c r="C414" i="24"/>
  <c r="D36" i="24"/>
  <c r="L36" i="14" s="1"/>
  <c r="B34" i="24" a="1"/>
  <c r="B33" i="24" a="1"/>
  <c r="B32" i="24" a="1"/>
  <c r="D29" i="24"/>
  <c r="L29" i="14" s="1"/>
  <c r="D28" i="24"/>
  <c r="L28" i="14" s="1"/>
  <c r="C27" i="24"/>
  <c r="D24" i="24"/>
  <c r="L24" i="14" s="1"/>
  <c r="D23" i="24"/>
  <c r="L23" i="14" s="1"/>
  <c r="B23" i="24" a="1"/>
  <c r="D20" i="24"/>
  <c r="L20" i="14" s="1"/>
  <c r="C19" i="24"/>
  <c r="D18" i="24"/>
  <c r="L18" i="14" s="1"/>
  <c r="B16" i="24" a="1"/>
  <c r="D14" i="24"/>
  <c r="L14" i="14" s="1"/>
  <c r="B11" i="24" a="1"/>
  <c r="C9" i="24"/>
  <c r="B6" i="24" a="1"/>
  <c r="C4" i="24"/>
  <c r="B104" i="24" a="1"/>
  <c r="B53" i="24" a="1"/>
  <c r="D52" i="24"/>
  <c r="L52" i="14" s="1"/>
  <c r="D51" i="24"/>
  <c r="L51" i="14" s="1"/>
  <c r="D50" i="24"/>
  <c r="L50" i="14" s="1"/>
  <c r="B48" i="24" a="1"/>
  <c r="B47" i="24" a="1"/>
  <c r="B42" i="24" a="1"/>
  <c r="B41" i="24" a="1"/>
  <c r="C40" i="24"/>
  <c r="C39" i="24"/>
  <c r="D38" i="24"/>
  <c r="L38" i="14" s="1"/>
  <c r="C36" i="24"/>
  <c r="C35" i="24"/>
  <c r="C34" i="24"/>
  <c r="C29" i="24"/>
  <c r="C28" i="24"/>
  <c r="D26" i="24"/>
  <c r="L26" i="14" s="1"/>
  <c r="B22" i="24" a="1"/>
  <c r="D19" i="24"/>
  <c r="L19" i="14" s="1"/>
  <c r="C18" i="24"/>
  <c r="B17" i="24" a="1"/>
  <c r="D8" i="24"/>
  <c r="L8" i="14" s="1"/>
  <c r="C6" i="24"/>
  <c r="B4" i="24" a="1"/>
  <c r="B2" i="24" a="1"/>
  <c r="C192" i="24"/>
  <c r="D192" i="24"/>
  <c r="L192" i="14" s="1"/>
  <c r="B193" i="24" a="1"/>
  <c r="C193" i="24"/>
  <c r="D193" i="24"/>
  <c r="L193" i="14" s="1"/>
  <c r="B194" i="24" a="1"/>
  <c r="C194" i="24"/>
  <c r="D194" i="24"/>
  <c r="L194" i="14" s="1"/>
  <c r="B195" i="24" a="1"/>
  <c r="C195" i="24"/>
  <c r="D195" i="24"/>
  <c r="L195" i="14" s="1"/>
  <c r="B196" i="24" a="1"/>
  <c r="C196" i="24"/>
  <c r="D196" i="24"/>
  <c r="L196" i="14" s="1"/>
  <c r="B197" i="24" a="1"/>
  <c r="C197" i="24"/>
  <c r="D197" i="24"/>
  <c r="L197" i="14" s="1"/>
  <c r="B198" i="24" a="1"/>
  <c r="C198" i="24"/>
  <c r="D198" i="24"/>
  <c r="L198" i="14" s="1"/>
  <c r="B199" i="24" a="1"/>
  <c r="C199" i="24"/>
  <c r="D199" i="24"/>
  <c r="L199" i="14" s="1"/>
  <c r="B200" i="24" a="1"/>
  <c r="C200" i="24"/>
  <c r="D200" i="24"/>
  <c r="L200" i="14" s="1"/>
  <c r="B201" i="24" a="1"/>
  <c r="C201" i="24"/>
  <c r="D201" i="24"/>
  <c r="L201" i="14" s="1"/>
  <c r="B202" i="24" a="1"/>
  <c r="C202" i="24"/>
  <c r="D202" i="24"/>
  <c r="L202" i="14" s="1"/>
  <c r="B203" i="24" a="1"/>
  <c r="C203" i="24"/>
  <c r="D203" i="24"/>
  <c r="L203" i="14" s="1"/>
  <c r="B204" i="24" a="1"/>
  <c r="C204" i="24"/>
  <c r="D204" i="24"/>
  <c r="L204" i="14" s="1"/>
  <c r="D3" i="24"/>
  <c r="L3" i="14" s="1"/>
  <c r="D6" i="24"/>
  <c r="L6" i="14" s="1"/>
  <c r="C7" i="24"/>
  <c r="B21" i="24" a="1"/>
  <c r="B205" i="24" a="1"/>
  <c r="C205" i="24"/>
  <c r="D205" i="24"/>
  <c r="L205" i="14" s="1"/>
  <c r="B206" i="24" a="1"/>
  <c r="C206" i="24"/>
  <c r="D206" i="24"/>
  <c r="L206" i="14" s="1"/>
  <c r="B207" i="24" a="1"/>
  <c r="C207" i="24"/>
  <c r="D22" i="24"/>
  <c r="L22" i="14" s="1"/>
  <c r="C23" i="24"/>
  <c r="C25" i="24"/>
  <c r="C26" i="24"/>
  <c r="B27" i="24" a="1"/>
  <c r="B29" i="24" a="1"/>
  <c r="B30" i="24" a="1"/>
  <c r="D30" i="24"/>
  <c r="L30" i="14" s="1"/>
  <c r="C32" i="24"/>
  <c r="C33" i="24"/>
  <c r="D34" i="24"/>
  <c r="L34" i="14" s="1"/>
  <c r="B38" i="24" a="1"/>
  <c r="B40" i="24" a="1"/>
  <c r="D41" i="24"/>
  <c r="L41" i="14" s="1"/>
  <c r="D42" i="24"/>
  <c r="L42" i="14" s="1"/>
  <c r="B43" i="24" a="1"/>
  <c r="B44" i="24" a="1"/>
  <c r="C44" i="24"/>
  <c r="D45" i="24"/>
  <c r="L45" i="14" s="1"/>
  <c r="D48" i="24"/>
  <c r="L48" i="14" s="1"/>
  <c r="B49" i="24" a="1"/>
  <c r="D49" i="24"/>
  <c r="L49" i="14" s="1"/>
  <c r="B51" i="24" a="1"/>
  <c r="B52" i="24" a="1"/>
  <c r="C53" i="24"/>
  <c r="B54" i="24" a="1"/>
  <c r="D54" i="24"/>
  <c r="L54" i="14" s="1"/>
  <c r="D105" i="24"/>
  <c r="L105" i="14" s="1"/>
  <c r="C106" i="24"/>
  <c r="C107" i="24"/>
  <c r="C108" i="24"/>
  <c r="B111" i="24" a="1"/>
  <c r="B112" i="24" a="1"/>
  <c r="D113" i="24"/>
  <c r="L113" i="14" s="1"/>
  <c r="B114" i="24" a="1"/>
  <c r="D114" i="24"/>
  <c r="L114" i="14" s="1"/>
  <c r="D516" i="24"/>
  <c r="L516" i="14" s="1"/>
  <c r="C516" i="24"/>
  <c r="B516" i="24" a="1"/>
  <c r="D515" i="24"/>
  <c r="L515" i="14" s="1"/>
  <c r="C515" i="24"/>
  <c r="B515" i="24" a="1"/>
  <c r="D514" i="24"/>
  <c r="L514" i="14" s="1"/>
  <c r="C514" i="24"/>
  <c r="B514" i="24" a="1"/>
  <c r="D513" i="24"/>
  <c r="L513" i="14" s="1"/>
  <c r="C513" i="24"/>
  <c r="B513" i="24" a="1"/>
  <c r="D512" i="24"/>
  <c r="L512" i="14" s="1"/>
  <c r="C512" i="24"/>
  <c r="B512" i="24" a="1"/>
  <c r="D511" i="24"/>
  <c r="L511" i="14" s="1"/>
  <c r="C511" i="24"/>
  <c r="B511" i="24" a="1"/>
  <c r="D510" i="24"/>
  <c r="L510" i="14" s="1"/>
  <c r="C510" i="24"/>
  <c r="B510" i="24" a="1"/>
  <c r="D509" i="24"/>
  <c r="L509" i="14" s="1"/>
  <c r="C509" i="24"/>
  <c r="B509" i="24" a="1"/>
  <c r="D508" i="24"/>
  <c r="L508" i="14" s="1"/>
  <c r="C508" i="24"/>
  <c r="B508" i="24" a="1"/>
  <c r="D507" i="24"/>
  <c r="L507" i="14" s="1"/>
  <c r="C507" i="24"/>
  <c r="B507" i="24" a="1"/>
  <c r="D506" i="24"/>
  <c r="L506" i="14" s="1"/>
  <c r="C506" i="24"/>
  <c r="B506" i="24" a="1"/>
  <c r="D505" i="24"/>
  <c r="L505" i="14" s="1"/>
  <c r="C505" i="24"/>
  <c r="B505" i="24" a="1"/>
  <c r="D504" i="24"/>
  <c r="L504" i="14" s="1"/>
  <c r="C504" i="24"/>
  <c r="B504" i="24" a="1"/>
  <c r="D503" i="24"/>
  <c r="L503" i="14" s="1"/>
  <c r="C503" i="24"/>
  <c r="B503" i="24" a="1"/>
  <c r="D502" i="24"/>
  <c r="L502" i="14" s="1"/>
  <c r="C502" i="24"/>
  <c r="B502" i="24" a="1"/>
  <c r="D501" i="24"/>
  <c r="L501" i="14" s="1"/>
  <c r="C501" i="24"/>
  <c r="B501" i="24" a="1"/>
  <c r="D500" i="24"/>
  <c r="L500" i="14" s="1"/>
  <c r="C500" i="24"/>
  <c r="B500" i="24" a="1"/>
  <c r="D499" i="24"/>
  <c r="L499" i="14" s="1"/>
  <c r="C499" i="24"/>
  <c r="B499" i="24" a="1"/>
  <c r="D498" i="24"/>
  <c r="L498" i="14" s="1"/>
  <c r="C498" i="24"/>
  <c r="B498" i="24" a="1"/>
  <c r="D497" i="24"/>
  <c r="L497" i="14" s="1"/>
  <c r="C497" i="24"/>
  <c r="B497" i="24" a="1"/>
  <c r="D496" i="24"/>
  <c r="L496" i="14" s="1"/>
  <c r="C496" i="24"/>
  <c r="B496" i="24" a="1"/>
  <c r="D495" i="24"/>
  <c r="L495" i="14" s="1"/>
  <c r="C495" i="24"/>
  <c r="B495" i="24" a="1"/>
  <c r="D494" i="24"/>
  <c r="L494" i="14" s="1"/>
  <c r="C494" i="24"/>
  <c r="B494" i="24" a="1"/>
  <c r="D493" i="24"/>
  <c r="L493" i="14" s="1"/>
  <c r="C493" i="24"/>
  <c r="B493" i="24" a="1"/>
  <c r="D492" i="24"/>
  <c r="L492" i="14" s="1"/>
  <c r="C492" i="24"/>
  <c r="B492" i="24" a="1"/>
  <c r="D491" i="24"/>
  <c r="L491" i="14" s="1"/>
  <c r="C491" i="24"/>
  <c r="B491" i="24" a="1"/>
  <c r="D490" i="24"/>
  <c r="L490" i="14" s="1"/>
  <c r="C490" i="24"/>
  <c r="B490" i="24" a="1"/>
  <c r="D489" i="24"/>
  <c r="L489" i="14" s="1"/>
  <c r="C489" i="24"/>
  <c r="B489" i="24" a="1"/>
  <c r="D488" i="24"/>
  <c r="L488" i="14" s="1"/>
  <c r="C488" i="24"/>
  <c r="B488" i="24" a="1"/>
  <c r="D487" i="24"/>
  <c r="L487" i="14" s="1"/>
  <c r="C487" i="24"/>
  <c r="B487" i="24" a="1"/>
  <c r="D486" i="24"/>
  <c r="L486" i="14" s="1"/>
  <c r="C486" i="24"/>
  <c r="B486" i="24" a="1"/>
  <c r="D485" i="24"/>
  <c r="L485" i="14" s="1"/>
  <c r="C485" i="24"/>
  <c r="B485" i="24" a="1"/>
  <c r="D484" i="24"/>
  <c r="L484" i="14" s="1"/>
  <c r="C484" i="24"/>
  <c r="B484" i="24" a="1"/>
  <c r="D483" i="24"/>
  <c r="L483" i="14" s="1"/>
  <c r="C483" i="24"/>
  <c r="B483" i="24" a="1"/>
  <c r="D482" i="24"/>
  <c r="L482" i="14" s="1"/>
  <c r="C482" i="24"/>
  <c r="B482" i="24" a="1"/>
  <c r="D481" i="24"/>
  <c r="L481" i="14" s="1"/>
  <c r="C481" i="24"/>
  <c r="B481" i="24" a="1"/>
  <c r="D480" i="24"/>
  <c r="L480" i="14" s="1"/>
  <c r="C480" i="24"/>
  <c r="B480" i="24" a="1"/>
  <c r="D479" i="24"/>
  <c r="L479" i="14" s="1"/>
  <c r="C479" i="24"/>
  <c r="B479" i="24" a="1"/>
  <c r="D478" i="24"/>
  <c r="L478" i="14" s="1"/>
  <c r="C478" i="24"/>
  <c r="B478" i="24" a="1"/>
  <c r="D477" i="24"/>
  <c r="L477" i="14" s="1"/>
  <c r="C477" i="24"/>
  <c r="B477" i="24" a="1"/>
  <c r="D476" i="24"/>
  <c r="L476" i="14" s="1"/>
  <c r="C476" i="24"/>
  <c r="B476" i="24" a="1"/>
  <c r="D475" i="24"/>
  <c r="L475" i="14" s="1"/>
  <c r="C475" i="24"/>
  <c r="B475" i="24" a="1"/>
  <c r="D474" i="24"/>
  <c r="L474" i="14" s="1"/>
  <c r="C474" i="24"/>
  <c r="B474" i="24" a="1"/>
  <c r="D473" i="24"/>
  <c r="L473" i="14" s="1"/>
  <c r="C473" i="24"/>
  <c r="B473" i="24" a="1"/>
  <c r="D472" i="24"/>
  <c r="L472" i="14" s="1"/>
  <c r="C472" i="24"/>
  <c r="B472" i="24" a="1"/>
  <c r="D471" i="24"/>
  <c r="L471" i="14" s="1"/>
  <c r="C471" i="24"/>
  <c r="B471" i="24" a="1"/>
  <c r="D470" i="24"/>
  <c r="L470" i="14" s="1"/>
  <c r="C470" i="24"/>
  <c r="B470" i="24" a="1"/>
  <c r="D469" i="24"/>
  <c r="L469" i="14" s="1"/>
  <c r="C469" i="24"/>
  <c r="B469" i="24" a="1"/>
  <c r="C468" i="24"/>
  <c r="C467" i="24"/>
  <c r="D466" i="24"/>
  <c r="L466" i="14" s="1"/>
  <c r="B466" i="24" a="1"/>
  <c r="C465" i="24"/>
  <c r="C464" i="24"/>
  <c r="B464" i="24" a="1"/>
  <c r="C463" i="24"/>
  <c r="B463" i="24" a="1"/>
  <c r="D462" i="24"/>
  <c r="L462" i="14" s="1"/>
  <c r="C462" i="24"/>
  <c r="B462" i="24" a="1"/>
  <c r="D461" i="24"/>
  <c r="L461" i="14" s="1"/>
  <c r="B461" i="24" a="1"/>
  <c r="C460" i="24"/>
  <c r="C459" i="24"/>
  <c r="C458" i="24"/>
  <c r="C457" i="24"/>
  <c r="C456" i="24"/>
  <c r="B456" i="24" a="1"/>
  <c r="D455" i="24"/>
  <c r="L455" i="14" s="1"/>
  <c r="B455" i="24" a="1"/>
  <c r="C454" i="24"/>
  <c r="C453" i="24"/>
  <c r="C452" i="24"/>
  <c r="B452" i="24" a="1"/>
  <c r="D451" i="24"/>
  <c r="L451" i="14" s="1"/>
  <c r="B451" i="24" a="1"/>
  <c r="C450" i="24"/>
  <c r="B450" i="24" a="1"/>
  <c r="C449" i="24"/>
  <c r="D447" i="24"/>
  <c r="L447" i="14" s="1"/>
  <c r="D446" i="24"/>
  <c r="L446" i="14" s="1"/>
  <c r="B446" i="24" a="1"/>
  <c r="D445" i="24"/>
  <c r="L445" i="14" s="1"/>
  <c r="B445" i="24" a="1"/>
  <c r="D444" i="24"/>
  <c r="L444" i="14" s="1"/>
  <c r="B444" i="24" a="1"/>
  <c r="D443" i="24"/>
  <c r="L443" i="14" s="1"/>
  <c r="B443" i="24" a="1"/>
  <c r="C442" i="24"/>
  <c r="D441" i="24"/>
  <c r="L441" i="14" s="1"/>
  <c r="C440" i="24"/>
  <c r="C439" i="24"/>
  <c r="D438" i="24"/>
  <c r="L438" i="14" s="1"/>
  <c r="B438" i="24" a="1"/>
  <c r="D437" i="24"/>
  <c r="L437" i="14" s="1"/>
  <c r="B437" i="24" a="1"/>
  <c r="C435" i="24"/>
  <c r="C434" i="24"/>
  <c r="D430" i="24"/>
  <c r="L430" i="14" s="1"/>
  <c r="C429" i="24"/>
  <c r="C428" i="24"/>
  <c r="B427" i="24" a="1"/>
  <c r="C425" i="24"/>
  <c r="D424" i="24"/>
  <c r="L424" i="14" s="1"/>
  <c r="C423" i="24"/>
  <c r="B422" i="24" a="1"/>
  <c r="B421" i="24" a="1"/>
  <c r="D420" i="24"/>
  <c r="L420" i="14" s="1"/>
  <c r="B420" i="24" a="1"/>
  <c r="C419" i="24"/>
  <c r="C418" i="24"/>
  <c r="C415" i="24"/>
  <c r="B414" i="24" a="1"/>
  <c r="C37" i="24"/>
  <c r="B35" i="24" a="1"/>
  <c r="D33" i="24"/>
  <c r="L33" i="14" s="1"/>
  <c r="B31" i="24" a="1"/>
  <c r="B26" i="24" a="1"/>
  <c r="C24" i="24"/>
  <c r="D21" i="24"/>
  <c r="L21" i="14" s="1"/>
  <c r="D17" i="24"/>
  <c r="L17" i="14" s="1"/>
  <c r="C16" i="24"/>
  <c r="C13" i="24"/>
  <c r="D10" i="24"/>
  <c r="L10" i="14" s="1"/>
  <c r="D9" i="24"/>
  <c r="L9" i="14" s="1"/>
  <c r="B7" i="24" a="1"/>
  <c r="B3" i="24" a="1"/>
  <c r="D2" i="24"/>
  <c r="L2" i="14" s="1"/>
  <c r="D115" i="24"/>
  <c r="L115" i="14" s="1"/>
  <c r="B116" i="24" a="1"/>
  <c r="D116" i="24"/>
  <c r="L116" i="14" s="1"/>
  <c r="D119" i="24"/>
  <c r="L119" i="14" s="1"/>
  <c r="C120" i="24"/>
  <c r="C121" i="24"/>
  <c r="C122" i="24"/>
  <c r="C123" i="24"/>
  <c r="C124" i="24"/>
  <c r="D126" i="24"/>
  <c r="L126" i="14" s="1"/>
  <c r="B128" i="24" a="1"/>
  <c r="B129" i="24" a="1"/>
  <c r="C130" i="24"/>
  <c r="D131" i="24"/>
  <c r="L131" i="14" s="1"/>
  <c r="C132" i="24"/>
  <c r="C134" i="24"/>
  <c r="D137" i="24"/>
  <c r="L137" i="14" s="1"/>
  <c r="B138" i="24" a="1"/>
  <c r="D139" i="24"/>
  <c r="L139" i="14" s="1"/>
  <c r="D140" i="24"/>
  <c r="L140" i="14" s="1"/>
  <c r="B142" i="24" a="1"/>
  <c r="C142" i="24"/>
  <c r="D142" i="24"/>
  <c r="L142" i="14" s="1"/>
  <c r="B143" i="24" a="1"/>
  <c r="C143" i="24"/>
  <c r="D143" i="24"/>
  <c r="L143" i="14" s="1"/>
  <c r="B144" i="24" a="1"/>
  <c r="C144" i="24"/>
  <c r="D144" i="24"/>
  <c r="L144" i="14" s="1"/>
  <c r="B145" i="24" a="1"/>
  <c r="C145" i="24"/>
  <c r="D145" i="24"/>
  <c r="L145" i="14" s="1"/>
  <c r="B146" i="24" a="1"/>
  <c r="C146" i="24"/>
  <c r="D146" i="24"/>
  <c r="L146" i="14" s="1"/>
  <c r="B147" i="24" a="1"/>
  <c r="C147" i="24"/>
  <c r="D147" i="24"/>
  <c r="L147" i="14" s="1"/>
  <c r="B148" i="24" a="1"/>
  <c r="C148" i="24"/>
  <c r="D148" i="24"/>
  <c r="L148" i="14" s="1"/>
  <c r="B149" i="24" a="1"/>
  <c r="C149" i="24"/>
  <c r="D149" i="24"/>
  <c r="L149" i="14" s="1"/>
  <c r="B150" i="24" a="1"/>
  <c r="C150" i="24"/>
  <c r="D150" i="24"/>
  <c r="L150" i="14" s="1"/>
  <c r="B151" i="24" a="1"/>
  <c r="C151" i="24"/>
  <c r="D151" i="24"/>
  <c r="L151" i="14" s="1"/>
  <c r="B152" i="24" a="1"/>
  <c r="C152" i="24"/>
  <c r="D152" i="24"/>
  <c r="L152" i="14" s="1"/>
  <c r="B153" i="24" a="1"/>
  <c r="C153" i="24"/>
  <c r="D153" i="24"/>
  <c r="L153" i="14" s="1"/>
  <c r="B154" i="24" a="1"/>
  <c r="C154" i="24"/>
  <c r="D154" i="24"/>
  <c r="L154" i="14" s="1"/>
  <c r="B155" i="24" a="1"/>
  <c r="C155" i="24"/>
  <c r="D155" i="24"/>
  <c r="L155" i="14" s="1"/>
  <c r="B156" i="24" a="1"/>
  <c r="C156" i="24"/>
  <c r="D156" i="24"/>
  <c r="L156" i="14" s="1"/>
  <c r="B157" i="24" a="1"/>
  <c r="C157" i="24"/>
  <c r="D157" i="24"/>
  <c r="L157" i="14" s="1"/>
  <c r="B158" i="24" a="1"/>
  <c r="C158" i="24"/>
  <c r="D158" i="24"/>
  <c r="L158" i="14" s="1"/>
  <c r="B159" i="24" a="1"/>
  <c r="C159" i="24"/>
  <c r="D159" i="24"/>
  <c r="L159" i="14" s="1"/>
  <c r="B160" i="24" a="1"/>
  <c r="C160" i="24"/>
  <c r="D160" i="24"/>
  <c r="L160" i="14" s="1"/>
  <c r="B161" i="24" a="1"/>
  <c r="C161" i="24"/>
  <c r="D161" i="24"/>
  <c r="L161" i="14" s="1"/>
  <c r="B162" i="24" a="1"/>
  <c r="C162" i="24"/>
  <c r="D162" i="24"/>
  <c r="L162" i="14" s="1"/>
  <c r="B163" i="24" a="1"/>
  <c r="C163" i="24"/>
  <c r="D163" i="24"/>
  <c r="L163" i="14" s="1"/>
  <c r="B164" i="24" a="1"/>
  <c r="C164" i="24"/>
  <c r="D164" i="24"/>
  <c r="L164" i="14" s="1"/>
  <c r="B165" i="24" a="1"/>
  <c r="C165" i="24"/>
  <c r="D165" i="24"/>
  <c r="L165" i="14" s="1"/>
  <c r="B166" i="24" a="1"/>
  <c r="C166" i="24"/>
  <c r="D166" i="24"/>
  <c r="L166" i="14" s="1"/>
  <c r="B167" i="24" a="1"/>
  <c r="C167" i="24"/>
  <c r="D167" i="24"/>
  <c r="L167" i="14" s="1"/>
  <c r="B168" i="24" a="1"/>
  <c r="C168" i="24"/>
  <c r="D168" i="24"/>
  <c r="L168" i="14" s="1"/>
  <c r="B169" i="24" a="1"/>
  <c r="C169" i="24"/>
  <c r="D169" i="24"/>
  <c r="L169" i="14" s="1"/>
  <c r="B170" i="24" a="1"/>
  <c r="D413" i="24"/>
  <c r="L413" i="14" s="1"/>
  <c r="C413" i="24"/>
  <c r="B413" i="24" a="1"/>
  <c r="D412" i="24"/>
  <c r="L412" i="14" s="1"/>
  <c r="C412" i="24"/>
  <c r="B412" i="24" a="1"/>
  <c r="D411" i="24"/>
  <c r="L411" i="14" s="1"/>
  <c r="C411" i="24"/>
  <c r="B411" i="24" a="1"/>
  <c r="D410" i="24"/>
  <c r="L410" i="14" s="1"/>
  <c r="C410" i="24"/>
  <c r="B410" i="24" a="1"/>
  <c r="D409" i="24"/>
  <c r="L409" i="14" s="1"/>
  <c r="C409" i="24"/>
  <c r="B409" i="24" a="1"/>
  <c r="D408" i="24"/>
  <c r="L408" i="14" s="1"/>
  <c r="C408" i="24"/>
  <c r="B408" i="24" a="1"/>
  <c r="D407" i="24"/>
  <c r="L407" i="14" s="1"/>
  <c r="C407" i="24"/>
  <c r="B407" i="24" a="1"/>
  <c r="D406" i="24"/>
  <c r="L406" i="14" s="1"/>
  <c r="C406" i="24"/>
  <c r="B406" i="24" a="1"/>
  <c r="D405" i="24"/>
  <c r="L405" i="14" s="1"/>
  <c r="C405" i="24"/>
  <c r="B405" i="24" a="1"/>
  <c r="D404" i="24"/>
  <c r="L404" i="14" s="1"/>
  <c r="C404" i="24"/>
  <c r="B404" i="24" a="1"/>
  <c r="D403" i="24"/>
  <c r="L403" i="14" s="1"/>
  <c r="C403" i="24"/>
  <c r="B403" i="24" a="1"/>
  <c r="D402" i="24"/>
  <c r="L402" i="14" s="1"/>
  <c r="C402" i="24"/>
  <c r="B402" i="24" a="1"/>
  <c r="D401" i="24"/>
  <c r="L401" i="14" s="1"/>
  <c r="C401" i="24"/>
  <c r="B401" i="24" a="1"/>
  <c r="D400" i="24"/>
  <c r="L400" i="14" s="1"/>
  <c r="C400" i="24"/>
  <c r="B400" i="24" a="1"/>
  <c r="D399" i="24"/>
  <c r="L399" i="14" s="1"/>
  <c r="C399" i="24"/>
  <c r="B399" i="24" a="1"/>
  <c r="D398" i="24"/>
  <c r="L398" i="14" s="1"/>
  <c r="C398" i="24"/>
  <c r="B398" i="24" a="1"/>
  <c r="D397" i="24"/>
  <c r="L397" i="14" s="1"/>
  <c r="C397" i="24"/>
  <c r="B397" i="24" a="1"/>
  <c r="D396" i="24"/>
  <c r="L396" i="14" s="1"/>
  <c r="C396" i="24"/>
  <c r="B396" i="24" a="1"/>
  <c r="D395" i="24"/>
  <c r="L395" i="14" s="1"/>
  <c r="C395" i="24"/>
  <c r="B395" i="24" a="1"/>
  <c r="D394" i="24"/>
  <c r="L394" i="14" s="1"/>
  <c r="C394" i="24"/>
  <c r="B394" i="24" a="1"/>
  <c r="D393" i="24"/>
  <c r="L393" i="14" s="1"/>
  <c r="C393" i="24"/>
  <c r="B393" i="24" a="1"/>
  <c r="D392" i="24"/>
  <c r="L392" i="14" s="1"/>
  <c r="C392" i="24"/>
  <c r="B392" i="24" a="1"/>
  <c r="D391" i="24"/>
  <c r="L391" i="14" s="1"/>
  <c r="C391" i="24"/>
  <c r="B391" i="24" a="1"/>
  <c r="D390" i="24"/>
  <c r="L390" i="14" s="1"/>
  <c r="C390" i="24"/>
  <c r="B390" i="24" a="1"/>
  <c r="D389" i="24"/>
  <c r="L389" i="14" s="1"/>
  <c r="C389" i="24"/>
  <c r="B389" i="24" a="1"/>
  <c r="D388" i="24"/>
  <c r="L388" i="14" s="1"/>
  <c r="C388" i="24"/>
  <c r="B388" i="24" a="1"/>
  <c r="D387" i="24"/>
  <c r="L387" i="14" s="1"/>
  <c r="C387" i="24"/>
  <c r="B387" i="24" a="1"/>
  <c r="D386" i="24"/>
  <c r="L386" i="14" s="1"/>
  <c r="C386" i="24"/>
  <c r="B386" i="24" a="1"/>
  <c r="D385" i="24"/>
  <c r="L385" i="14" s="1"/>
  <c r="C385" i="24"/>
  <c r="B385" i="24" a="1"/>
  <c r="D384" i="24"/>
  <c r="L384" i="14" s="1"/>
  <c r="C384" i="24"/>
  <c r="B384" i="24" a="1"/>
  <c r="D383" i="24"/>
  <c r="L383" i="14" s="1"/>
  <c r="C383" i="24"/>
  <c r="B383" i="24" a="1"/>
  <c r="D382" i="24"/>
  <c r="L382" i="14" s="1"/>
  <c r="C382" i="24"/>
  <c r="B382" i="24" a="1"/>
  <c r="D381" i="24"/>
  <c r="L381" i="14" s="1"/>
  <c r="C381" i="24"/>
  <c r="B381" i="24" a="1"/>
  <c r="D380" i="24"/>
  <c r="L380" i="14" s="1"/>
  <c r="C380" i="24"/>
  <c r="B380" i="24" a="1"/>
  <c r="D379" i="24"/>
  <c r="L379" i="14" s="1"/>
  <c r="C379" i="24"/>
  <c r="B379" i="24" a="1"/>
  <c r="D378" i="24"/>
  <c r="L378" i="14" s="1"/>
  <c r="C378" i="24"/>
  <c r="B378" i="24" a="1"/>
  <c r="D377" i="24"/>
  <c r="L377" i="14" s="1"/>
  <c r="C377" i="24"/>
  <c r="B377" i="24" a="1"/>
  <c r="D376" i="24"/>
  <c r="L376" i="14" s="1"/>
  <c r="C376" i="24"/>
  <c r="B376" i="24" a="1"/>
  <c r="D375" i="24"/>
  <c r="L375" i="14" s="1"/>
  <c r="C375" i="24"/>
  <c r="B375" i="24" a="1"/>
  <c r="D374" i="24"/>
  <c r="L374" i="14" s="1"/>
  <c r="C374" i="24"/>
  <c r="B374" i="24" a="1"/>
  <c r="D373" i="24"/>
  <c r="L373" i="14" s="1"/>
  <c r="C373" i="24"/>
  <c r="B373" i="24" a="1"/>
  <c r="D372" i="24"/>
  <c r="L372" i="14" s="1"/>
  <c r="C372" i="24"/>
  <c r="B372" i="24" a="1"/>
  <c r="D371" i="24"/>
  <c r="L371" i="14" s="1"/>
  <c r="C371" i="24"/>
  <c r="B371" i="24" a="1"/>
  <c r="D370" i="24"/>
  <c r="L370" i="14" s="1"/>
  <c r="C370" i="24"/>
  <c r="B370" i="24" a="1"/>
  <c r="D369" i="24"/>
  <c r="L369" i="14" s="1"/>
  <c r="C369" i="24"/>
  <c r="B369" i="24" a="1"/>
  <c r="D368" i="24"/>
  <c r="L368" i="14" s="1"/>
  <c r="C368" i="24"/>
  <c r="B368" i="24" a="1"/>
  <c r="D367" i="24"/>
  <c r="L367" i="14" s="1"/>
  <c r="C367" i="24"/>
  <c r="B367" i="24" a="1"/>
  <c r="D366" i="24"/>
  <c r="L366" i="14" s="1"/>
  <c r="C366" i="24"/>
  <c r="B366" i="24" a="1"/>
  <c r="D365" i="24"/>
  <c r="L365" i="14" s="1"/>
  <c r="C365" i="24"/>
  <c r="B365" i="24" a="1"/>
  <c r="D364" i="24"/>
  <c r="L364" i="14" s="1"/>
  <c r="C364" i="24"/>
  <c r="B364" i="24" a="1"/>
  <c r="D363" i="24"/>
  <c r="L363" i="14" s="1"/>
  <c r="C363" i="24"/>
  <c r="B363" i="24" a="1"/>
  <c r="D362" i="24"/>
  <c r="L362" i="14" s="1"/>
  <c r="C362" i="24"/>
  <c r="B362" i="24" a="1"/>
  <c r="D361" i="24"/>
  <c r="L361" i="14" s="1"/>
  <c r="C361" i="24"/>
  <c r="B361" i="24" a="1"/>
  <c r="D360" i="24"/>
  <c r="L360" i="14" s="1"/>
  <c r="C360" i="24"/>
  <c r="B360" i="24" a="1"/>
  <c r="D359" i="24"/>
  <c r="L359" i="14" s="1"/>
  <c r="C359" i="24"/>
  <c r="B359" i="24" a="1"/>
  <c r="D358" i="24"/>
  <c r="L358" i="14" s="1"/>
  <c r="C358" i="24"/>
  <c r="B358" i="24" a="1"/>
  <c r="D357" i="24"/>
  <c r="L357" i="14" s="1"/>
  <c r="C357" i="24"/>
  <c r="B357" i="24" a="1"/>
  <c r="D356" i="24"/>
  <c r="L356" i="14" s="1"/>
  <c r="C356" i="24"/>
  <c r="B356" i="24" a="1"/>
  <c r="D355" i="24"/>
  <c r="L355" i="14" s="1"/>
  <c r="C355" i="24"/>
  <c r="B355" i="24" a="1"/>
  <c r="D354" i="24"/>
  <c r="L354" i="14" s="1"/>
  <c r="C354" i="24"/>
  <c r="B354" i="24" a="1"/>
  <c r="D353" i="24"/>
  <c r="L353" i="14" s="1"/>
  <c r="C353" i="24"/>
  <c r="B353" i="24" a="1"/>
  <c r="D352" i="24"/>
  <c r="L352" i="14" s="1"/>
  <c r="C352" i="24"/>
  <c r="B352" i="24" a="1"/>
  <c r="D351" i="24"/>
  <c r="L351" i="14" s="1"/>
  <c r="C351" i="24"/>
  <c r="B351" i="24" a="1"/>
  <c r="D350" i="24"/>
  <c r="L350" i="14" s="1"/>
  <c r="C350" i="24"/>
  <c r="B350" i="24" a="1"/>
  <c r="D349" i="24"/>
  <c r="L349" i="14" s="1"/>
  <c r="C349" i="24"/>
  <c r="B349" i="24" a="1"/>
  <c r="D348" i="24"/>
  <c r="L348" i="14" s="1"/>
  <c r="C348" i="24"/>
  <c r="B348" i="24" a="1"/>
  <c r="D347" i="24"/>
  <c r="L347" i="14" s="1"/>
  <c r="C347" i="24"/>
  <c r="B347" i="24" a="1"/>
  <c r="D346" i="24"/>
  <c r="L346" i="14" s="1"/>
  <c r="C346" i="24"/>
  <c r="B346" i="24" a="1"/>
  <c r="D345" i="24"/>
  <c r="L345" i="14" s="1"/>
  <c r="C345" i="24"/>
  <c r="B345" i="24" a="1"/>
  <c r="D344" i="24"/>
  <c r="L344" i="14" s="1"/>
  <c r="C344" i="24"/>
  <c r="B344" i="24" a="1"/>
  <c r="D343" i="24"/>
  <c r="L343" i="14" s="1"/>
  <c r="C343" i="24"/>
  <c r="B343" i="24" a="1"/>
  <c r="D342" i="24"/>
  <c r="L342" i="14" s="1"/>
  <c r="C342" i="24"/>
  <c r="B342" i="24" a="1"/>
  <c r="D341" i="24"/>
  <c r="L341" i="14" s="1"/>
  <c r="C341" i="24"/>
  <c r="B341" i="24" a="1"/>
  <c r="D340" i="24"/>
  <c r="L340" i="14" s="1"/>
  <c r="C340" i="24"/>
  <c r="B340" i="24" a="1"/>
  <c r="D339" i="24"/>
  <c r="L339" i="14" s="1"/>
  <c r="C339" i="24"/>
  <c r="B339" i="24" a="1"/>
  <c r="D338" i="24"/>
  <c r="L338" i="14" s="1"/>
  <c r="C338" i="24"/>
  <c r="B338" i="24" a="1"/>
  <c r="D337" i="24"/>
  <c r="L337" i="14" s="1"/>
  <c r="C337" i="24"/>
  <c r="B337" i="24" a="1"/>
  <c r="D336" i="24"/>
  <c r="L336" i="14" s="1"/>
  <c r="C336" i="24"/>
  <c r="B336" i="24" a="1"/>
  <c r="D335" i="24"/>
  <c r="L335" i="14" s="1"/>
  <c r="C335" i="24"/>
  <c r="B335" i="24" a="1"/>
  <c r="D334" i="24"/>
  <c r="L334" i="14" s="1"/>
  <c r="C334" i="24"/>
  <c r="B334" i="24" a="1"/>
  <c r="D333" i="24"/>
  <c r="L333" i="14" s="1"/>
  <c r="C333" i="24"/>
  <c r="B333" i="24" a="1"/>
  <c r="D332" i="24"/>
  <c r="L332" i="14" s="1"/>
  <c r="C332" i="24"/>
  <c r="B332" i="24" a="1"/>
  <c r="D331" i="24"/>
  <c r="L331" i="14" s="1"/>
  <c r="C331" i="24"/>
  <c r="B331" i="24" a="1"/>
  <c r="D330" i="24"/>
  <c r="L330" i="14" s="1"/>
  <c r="C330" i="24"/>
  <c r="B330" i="24" a="1"/>
  <c r="D329" i="24"/>
  <c r="L329" i="14" s="1"/>
  <c r="C329" i="24"/>
  <c r="B329" i="24" a="1"/>
  <c r="D328" i="24"/>
  <c r="L328" i="14" s="1"/>
  <c r="C328" i="24"/>
  <c r="B328" i="24" a="1"/>
  <c r="D327" i="24"/>
  <c r="L327" i="14" s="1"/>
  <c r="C327" i="24"/>
  <c r="B327" i="24" a="1"/>
  <c r="D326" i="24"/>
  <c r="L326" i="14" s="1"/>
  <c r="C326" i="24"/>
  <c r="B326" i="24" a="1"/>
  <c r="D325" i="24"/>
  <c r="L325" i="14" s="1"/>
  <c r="C325" i="24"/>
  <c r="B325" i="24" a="1"/>
  <c r="D324" i="24"/>
  <c r="L324" i="14" s="1"/>
  <c r="C324" i="24"/>
  <c r="B324" i="24" a="1"/>
  <c r="D323" i="24"/>
  <c r="L323" i="14" s="1"/>
  <c r="C323" i="24"/>
  <c r="B323" i="24" a="1"/>
  <c r="D322" i="24"/>
  <c r="L322" i="14" s="1"/>
  <c r="C322" i="24"/>
  <c r="B322" i="24" a="1"/>
  <c r="D321" i="24"/>
  <c r="L321" i="14" s="1"/>
  <c r="C321" i="24"/>
  <c r="B321" i="24" a="1"/>
  <c r="D320" i="24"/>
  <c r="L320" i="14" s="1"/>
  <c r="C320" i="24"/>
  <c r="B320" i="24" a="1"/>
  <c r="D319" i="24"/>
  <c r="L319" i="14" s="1"/>
  <c r="C319" i="24"/>
  <c r="B319" i="24" a="1"/>
  <c r="D318" i="24"/>
  <c r="L318" i="14" s="1"/>
  <c r="C318" i="24"/>
  <c r="B318" i="24" a="1"/>
  <c r="D317" i="24"/>
  <c r="L317" i="14" s="1"/>
  <c r="C317" i="24"/>
  <c r="B317" i="24" a="1"/>
  <c r="D316" i="24"/>
  <c r="L316" i="14" s="1"/>
  <c r="C316" i="24"/>
  <c r="B316" i="24" a="1"/>
  <c r="D315" i="24"/>
  <c r="L315" i="14" s="1"/>
  <c r="C315" i="24"/>
  <c r="B315" i="24" a="1"/>
  <c r="D314" i="24"/>
  <c r="L314" i="14" s="1"/>
  <c r="C314" i="24"/>
  <c r="B314" i="24" a="1"/>
  <c r="D313" i="24"/>
  <c r="L313" i="14" s="1"/>
  <c r="C313" i="24"/>
  <c r="B313" i="24" a="1"/>
  <c r="D312" i="24"/>
  <c r="L312" i="14" s="1"/>
  <c r="C312" i="24"/>
  <c r="B312" i="24" a="1"/>
  <c r="D311" i="24"/>
  <c r="L311" i="14" s="1"/>
  <c r="C311" i="24"/>
  <c r="B311" i="24" a="1"/>
  <c r="C216" i="24"/>
  <c r="C215" i="24"/>
  <c r="B215" i="24" a="1"/>
  <c r="D214" i="24"/>
  <c r="L214" i="14" s="1"/>
  <c r="B214" i="24" a="1"/>
  <c r="B213" i="24" a="1"/>
  <c r="D212" i="24"/>
  <c r="L212" i="14" s="1"/>
  <c r="C212" i="24"/>
  <c r="B212" i="24" a="1"/>
  <c r="C211" i="24"/>
  <c r="D209" i="24"/>
  <c r="L209" i="14" s="1"/>
  <c r="C209" i="24"/>
  <c r="C208" i="24"/>
  <c r="B208" i="24" a="1"/>
  <c r="D141" i="24"/>
  <c r="L141" i="14" s="1"/>
  <c r="B141" i="24" a="1"/>
  <c r="C140" i="24"/>
  <c r="B139" i="24" a="1"/>
  <c r="D138" i="24"/>
  <c r="L138" i="14" s="1"/>
  <c r="B137" i="24" a="1"/>
  <c r="C136" i="24"/>
  <c r="B135" i="24" a="1"/>
  <c r="D134" i="24"/>
  <c r="L134" i="14" s="1"/>
  <c r="B134" i="24" a="1"/>
  <c r="D133" i="24"/>
  <c r="L133" i="14" s="1"/>
  <c r="B133" i="24" a="1"/>
  <c r="D132" i="24"/>
  <c r="L132" i="14" s="1"/>
  <c r="C131" i="24"/>
  <c r="D130" i="24"/>
  <c r="L130" i="14" s="1"/>
  <c r="C129" i="24"/>
  <c r="C128" i="24"/>
  <c r="D127" i="24"/>
  <c r="L127" i="14" s="1"/>
  <c r="B127" i="24" a="1"/>
  <c r="B126" i="24" a="1"/>
  <c r="D125" i="24"/>
  <c r="L125" i="14" s="1"/>
  <c r="B125" i="24" a="1"/>
  <c r="D124" i="24"/>
  <c r="L124" i="14" s="1"/>
  <c r="B124" i="24" a="1"/>
  <c r="D123" i="24"/>
  <c r="L123" i="14" s="1"/>
  <c r="B123" i="24" a="1"/>
  <c r="D122" i="24"/>
  <c r="L122" i="14" s="1"/>
  <c r="B122" i="24" a="1"/>
  <c r="D121" i="24"/>
  <c r="L121" i="14" s="1"/>
  <c r="B120" i="24" a="1"/>
  <c r="C119" i="24"/>
  <c r="D118" i="24"/>
  <c r="L118" i="14" s="1"/>
  <c r="B118" i="24" a="1"/>
  <c r="C117" i="24"/>
  <c r="C116" i="24"/>
  <c r="C115" i="24"/>
  <c r="C114" i="24"/>
  <c r="C113" i="24"/>
  <c r="D112" i="24"/>
  <c r="L112" i="14" s="1"/>
  <c r="D111" i="24"/>
  <c r="L111" i="14" s="1"/>
  <c r="D110" i="24"/>
  <c r="L110" i="14" s="1"/>
  <c r="B110" i="24" a="1"/>
  <c r="D109" i="24"/>
  <c r="L109" i="14" s="1"/>
  <c r="D108" i="24"/>
  <c r="L108" i="14" s="1"/>
  <c r="B107" i="24" a="1"/>
  <c r="D106" i="24"/>
  <c r="L106" i="14" s="1"/>
  <c r="B106" i="24" a="1"/>
  <c r="C105" i="24"/>
  <c r="C104" i="24"/>
  <c r="C51" i="24"/>
  <c r="C50" i="24"/>
  <c r="C49" i="24"/>
  <c r="C48" i="24"/>
  <c r="D47" i="24"/>
  <c r="L47" i="14" s="1"/>
  <c r="D46" i="24"/>
  <c r="L46" i="14" s="1"/>
  <c r="B46" i="24" a="1"/>
  <c r="C45" i="24"/>
  <c r="D44" i="24"/>
  <c r="L44" i="14" s="1"/>
  <c r="C43" i="24"/>
  <c r="C42" i="24"/>
  <c r="D39" i="24"/>
  <c r="L39" i="14" s="1"/>
  <c r="C38" i="24"/>
  <c r="B37" i="24" a="1"/>
  <c r="D31" i="24"/>
  <c r="L31" i="14" s="1"/>
  <c r="B24" i="24" a="1"/>
  <c r="B20" i="24" a="1"/>
  <c r="D15" i="24"/>
  <c r="L15" i="14" s="1"/>
  <c r="B15" i="24" a="1"/>
  <c r="B14" i="24" a="1"/>
  <c r="B13" i="24" a="1"/>
  <c r="B12" i="24" a="1"/>
  <c r="C11" i="24"/>
  <c r="B9" i="24" a="1"/>
  <c r="B8" i="24" a="1"/>
  <c r="D5" i="24"/>
  <c r="L5" i="14" s="1"/>
  <c r="C170" i="24"/>
  <c r="D170" i="24"/>
  <c r="L170" i="14" s="1"/>
  <c r="B171" i="24" a="1"/>
  <c r="C171" i="24"/>
  <c r="D171" i="24"/>
  <c r="L171" i="14" s="1"/>
  <c r="B172" i="24" a="1"/>
  <c r="C172" i="24"/>
  <c r="D172" i="24"/>
  <c r="L172" i="14" s="1"/>
  <c r="B173" i="24" a="1"/>
  <c r="C173" i="24"/>
  <c r="D173" i="24"/>
  <c r="L173" i="14" s="1"/>
  <c r="B174" i="24" a="1"/>
  <c r="C174" i="24"/>
  <c r="D174" i="24"/>
  <c r="L174" i="14" s="1"/>
  <c r="B175" i="24" a="1"/>
  <c r="C175" i="24"/>
  <c r="D175" i="24"/>
  <c r="L175" i="14" s="1"/>
  <c r="B176" i="24" a="1"/>
  <c r="C176" i="24"/>
  <c r="D176" i="24"/>
  <c r="L176" i="14" s="1"/>
  <c r="B177" i="24" a="1"/>
  <c r="C177" i="24"/>
  <c r="D177" i="24"/>
  <c r="L177" i="14" s="1"/>
  <c r="B178" i="24" a="1"/>
  <c r="C178" i="24"/>
  <c r="D178" i="24"/>
  <c r="L178" i="14" s="1"/>
  <c r="B179" i="24" a="1"/>
  <c r="C179" i="24"/>
  <c r="D179" i="24"/>
  <c r="L179" i="14" s="1"/>
  <c r="B180" i="24" a="1"/>
  <c r="C180" i="24"/>
  <c r="D180" i="24"/>
  <c r="L180" i="14" s="1"/>
  <c r="B181" i="24" a="1"/>
  <c r="C181" i="24"/>
  <c r="D181" i="24"/>
  <c r="L181" i="14" s="1"/>
  <c r="D935" i="14" a="1"/>
  <c r="D934" i="14" a="1"/>
  <c r="D933" i="14" a="1"/>
  <c r="D932" i="14" a="1"/>
  <c r="D931" i="14" a="1"/>
  <c r="D930" i="14" a="1"/>
  <c r="D929" i="14" a="1"/>
  <c r="D928" i="14" a="1"/>
  <c r="D927" i="14" a="1"/>
  <c r="D926" i="14" a="1"/>
  <c r="D925" i="14" a="1"/>
  <c r="D924" i="14" a="1"/>
  <c r="D923" i="14" a="1"/>
  <c r="D922" i="14" a="1"/>
  <c r="D921" i="14" a="1"/>
  <c r="D825" i="14" a="1"/>
  <c r="D824" i="14" a="1"/>
  <c r="D823" i="14" a="1"/>
  <c r="D822" i="14" a="1"/>
  <c r="E822" i="14" s="1"/>
  <c r="D821" i="14" a="1"/>
  <c r="D820" i="14" a="1"/>
  <c r="D819" i="14" a="1"/>
  <c r="D818" i="14" a="1"/>
  <c r="D817" i="14" a="1"/>
  <c r="D816" i="14" a="1"/>
  <c r="D815" i="14" a="1"/>
  <c r="D814" i="14" a="1"/>
  <c r="D813" i="14" a="1"/>
  <c r="D812" i="14" a="1"/>
  <c r="D811" i="14" a="1"/>
  <c r="D810" i="14" a="1"/>
  <c r="D809" i="14" a="1"/>
  <c r="D808" i="14" a="1"/>
  <c r="D709" i="14" a="1"/>
  <c r="D708" i="14" a="1"/>
  <c r="D707" i="14" a="1"/>
  <c r="D706" i="14" a="1"/>
  <c r="D705" i="14" a="1"/>
  <c r="D704" i="14" a="1"/>
  <c r="D703" i="14" a="1"/>
  <c r="D702" i="14" a="1"/>
  <c r="D701" i="14" a="1"/>
  <c r="D700" i="14" a="1"/>
  <c r="D699" i="14" a="1"/>
  <c r="D698" i="14" a="1"/>
  <c r="D591" i="14" a="1"/>
  <c r="D590" i="14" a="1"/>
  <c r="D589" i="14" a="1"/>
  <c r="D460" i="14" a="1"/>
  <c r="D459" i="14" a="1"/>
  <c r="D458" i="14" a="1"/>
  <c r="D457" i="14" a="1"/>
  <c r="D456" i="14" a="1"/>
  <c r="D455" i="14" a="1"/>
  <c r="D454" i="14" a="1"/>
  <c r="D453" i="14" a="1"/>
  <c r="D452" i="14" a="1"/>
  <c r="D451" i="14" a="1"/>
  <c r="D450" i="14" a="1"/>
  <c r="D449" i="14" a="1"/>
  <c r="D448" i="14" a="1"/>
  <c r="D447" i="14" a="1"/>
  <c r="D446" i="14" a="1"/>
  <c r="D445" i="14" a="1"/>
  <c r="D444" i="14" a="1"/>
  <c r="D443" i="14" a="1"/>
  <c r="D442" i="14" a="1"/>
  <c r="D441" i="14" a="1"/>
  <c r="D440" i="14" a="1"/>
  <c r="D439" i="14" a="1"/>
  <c r="D438" i="14" a="1"/>
  <c r="D437" i="14" a="1"/>
  <c r="D436" i="14" a="1"/>
  <c r="D435" i="14" a="1"/>
  <c r="D434" i="14" a="1"/>
  <c r="D348" i="14" a="1"/>
  <c r="D347" i="14" a="1"/>
  <c r="D346" i="14" a="1"/>
  <c r="D345" i="14" a="1"/>
  <c r="D344" i="14" a="1"/>
  <c r="D343" i="14" a="1"/>
  <c r="D342" i="14" a="1"/>
  <c r="D341" i="14" a="1"/>
  <c r="D340" i="14" a="1"/>
  <c r="D339" i="14" a="1"/>
  <c r="D338" i="14" a="1"/>
  <c r="D337" i="14" a="1"/>
  <c r="D336" i="14" a="1"/>
  <c r="D335" i="14" a="1"/>
  <c r="D334" i="14" a="1"/>
  <c r="D333" i="14" a="1"/>
  <c r="D332" i="14" a="1"/>
  <c r="D331" i="14" a="1"/>
  <c r="D330" i="14" a="1"/>
  <c r="D329" i="14" a="1"/>
  <c r="D328" i="14" a="1"/>
  <c r="D327" i="14" a="1"/>
  <c r="D326" i="14" a="1"/>
  <c r="D325" i="14" a="1"/>
  <c r="D324" i="14" a="1"/>
  <c r="D323" i="14" a="1"/>
  <c r="D322" i="14" a="1"/>
  <c r="D321" i="14" a="1"/>
  <c r="D320" i="14" a="1"/>
  <c r="D319" i="14" a="1"/>
  <c r="D318" i="14" a="1"/>
  <c r="D317" i="14" a="1"/>
  <c r="D316" i="14" a="1"/>
  <c r="D315" i="14" a="1"/>
  <c r="D314" i="14" a="1"/>
  <c r="D313" i="14" a="1"/>
  <c r="D312" i="14" a="1"/>
  <c r="D311" i="14" a="1"/>
  <c r="D310" i="14" a="1"/>
  <c r="D309" i="14" a="1"/>
  <c r="D308" i="14" a="1"/>
  <c r="D307" i="14" a="1"/>
  <c r="D306" i="14" a="1"/>
  <c r="D305" i="14" a="1"/>
  <c r="D237" i="14" a="1"/>
  <c r="D236" i="14" a="1"/>
  <c r="D235" i="14" a="1"/>
  <c r="D234" i="14" a="1"/>
  <c r="D233" i="14" a="1"/>
  <c r="D232" i="14" a="1"/>
  <c r="D231" i="14" a="1"/>
  <c r="D230" i="14" a="1"/>
  <c r="D229" i="14" a="1"/>
  <c r="D228" i="14" a="1"/>
  <c r="D227" i="14" a="1"/>
  <c r="D226" i="14" a="1"/>
  <c r="D225" i="14" a="1"/>
  <c r="D224" i="14" a="1"/>
  <c r="D223" i="14" a="1"/>
  <c r="D222" i="14" a="1"/>
  <c r="D221" i="14" a="1"/>
  <c r="D220" i="14" a="1"/>
  <c r="D219" i="14" a="1"/>
  <c r="D218" i="14" a="1"/>
  <c r="D217" i="14" a="1"/>
  <c r="D216" i="14" a="1"/>
  <c r="D215" i="14" a="1"/>
  <c r="D214" i="14" a="1"/>
  <c r="D213" i="14" a="1"/>
  <c r="D212" i="14" a="1"/>
  <c r="D211" i="14" a="1"/>
  <c r="D210" i="14" a="1"/>
  <c r="D209" i="14" a="1"/>
  <c r="D208" i="14" a="1"/>
  <c r="D207" i="14" a="1"/>
  <c r="D206" i="14" a="1"/>
  <c r="D205" i="14" a="1"/>
  <c r="D204" i="14" a="1"/>
  <c r="D203" i="14" a="1"/>
  <c r="D202" i="14" a="1"/>
  <c r="D201" i="14" a="1"/>
  <c r="D200" i="14" a="1"/>
  <c r="D199" i="14" a="1"/>
  <c r="D198" i="14" a="1"/>
  <c r="D197" i="14" a="1"/>
  <c r="D196" i="14" a="1"/>
  <c r="D195" i="14" a="1"/>
  <c r="D194" i="14" a="1"/>
  <c r="D193" i="14" a="1"/>
  <c r="D192" i="14" a="1"/>
  <c r="D191" i="14" a="1"/>
  <c r="D190" i="14" a="1"/>
  <c r="D189" i="14" a="1"/>
  <c r="D188" i="14" a="1"/>
  <c r="D187" i="14" a="1"/>
  <c r="D186" i="14" a="1"/>
  <c r="D185" i="14" a="1"/>
  <c r="D184" i="14" a="1"/>
  <c r="D183" i="14" a="1"/>
  <c r="D182" i="14" a="1"/>
  <c r="D181" i="14" a="1"/>
  <c r="D180" i="14" a="1"/>
  <c r="D179" i="14" a="1"/>
  <c r="D178" i="14" a="1"/>
  <c r="D177" i="14" a="1"/>
  <c r="D176" i="14" a="1"/>
  <c r="D175" i="14" a="1"/>
  <c r="D174" i="14" a="1"/>
  <c r="D173" i="14" a="1"/>
  <c r="D172" i="14" a="1"/>
  <c r="D171" i="14" a="1"/>
  <c r="D170" i="14" a="1"/>
  <c r="D169" i="14" a="1"/>
  <c r="D119" i="14" a="1"/>
  <c r="D118" i="14" a="1"/>
  <c r="D117" i="14" a="1"/>
  <c r="D116" i="14" a="1"/>
  <c r="D115" i="14" a="1"/>
  <c r="D114" i="14" a="1"/>
  <c r="D113" i="14" a="1"/>
  <c r="D112" i="14" a="1"/>
  <c r="D111" i="14" a="1"/>
  <c r="D110" i="14" a="1"/>
  <c r="D109" i="14" a="1"/>
  <c r="D108" i="14" a="1"/>
  <c r="D107" i="14" a="1"/>
  <c r="D106" i="14" a="1"/>
  <c r="D105" i="14" a="1"/>
  <c r="D104" i="14" a="1"/>
  <c r="D103" i="14" a="1"/>
  <c r="D102" i="14" a="1"/>
  <c r="D101" i="14" a="1"/>
  <c r="D100" i="14" a="1"/>
  <c r="D99" i="14" a="1"/>
  <c r="D98" i="14" a="1"/>
  <c r="D97" i="14" a="1"/>
  <c r="D96" i="14" a="1"/>
  <c r="D95" i="14" a="1"/>
  <c r="D94" i="14" a="1"/>
  <c r="D93" i="14" a="1"/>
  <c r="D92" i="14" a="1"/>
  <c r="D91" i="14" a="1"/>
  <c r="D90" i="14" a="1"/>
  <c r="D89" i="14" a="1"/>
  <c r="D88" i="14" a="1"/>
  <c r="D87" i="14" a="1"/>
  <c r="D86" i="14" a="1"/>
  <c r="D85" i="14" a="1"/>
  <c r="D84" i="14" a="1"/>
  <c r="D83" i="14" a="1"/>
  <c r="D82" i="14" a="1"/>
  <c r="D81" i="14" a="1"/>
  <c r="D80" i="14" a="1"/>
  <c r="D79" i="14" a="1"/>
  <c r="D78" i="14" a="1"/>
  <c r="D77" i="14" a="1"/>
  <c r="D76" i="14" a="1"/>
  <c r="D75" i="14" a="1"/>
  <c r="D74" i="14" a="1"/>
  <c r="D73" i="14" a="1"/>
  <c r="D72" i="14" a="1"/>
  <c r="D71" i="14" a="1"/>
  <c r="D70" i="14" a="1"/>
  <c r="D69" i="14" a="1"/>
  <c r="D68" i="14" a="1"/>
  <c r="D67" i="14" a="1"/>
  <c r="D66" i="14" a="1"/>
  <c r="D65" i="14" a="1"/>
  <c r="D64" i="14" a="1"/>
  <c r="D63" i="14" a="1"/>
  <c r="D62" i="14" a="1"/>
  <c r="D61" i="14" a="1"/>
  <c r="D60" i="14" a="1"/>
  <c r="D59" i="14" a="1"/>
  <c r="D58" i="14" a="1"/>
  <c r="D57" i="14" a="1"/>
  <c r="D56" i="14" a="1"/>
  <c r="D55" i="14" a="1"/>
  <c r="D54" i="14" a="1"/>
  <c r="C992" i="24"/>
  <c r="C991" i="24"/>
  <c r="C990" i="24"/>
  <c r="C989" i="24"/>
  <c r="C988" i="24"/>
  <c r="C987" i="24"/>
  <c r="C986" i="24"/>
  <c r="C985" i="24"/>
  <c r="C984" i="24"/>
  <c r="H983" i="14"/>
  <c r="C983" i="24"/>
  <c r="H982" i="14"/>
  <c r="C982" i="24"/>
  <c r="C981" i="24"/>
  <c r="C980" i="24"/>
  <c r="H980" i="14"/>
  <c r="H979" i="14"/>
  <c r="C979" i="24"/>
  <c r="H978" i="14"/>
  <c r="C978" i="24"/>
  <c r="C977" i="24"/>
  <c r="H977" i="14"/>
  <c r="H976" i="14"/>
  <c r="C976" i="24"/>
  <c r="H975" i="14"/>
  <c r="C975" i="24"/>
  <c r="C974" i="24"/>
  <c r="H974" i="14"/>
  <c r="H973" i="14"/>
  <c r="C973" i="24"/>
  <c r="H972" i="14"/>
  <c r="C972" i="24"/>
  <c r="C971" i="24"/>
  <c r="H971" i="14"/>
  <c r="C970" i="24"/>
  <c r="H970" i="14"/>
  <c r="C969" i="24"/>
  <c r="H969" i="14"/>
  <c r="C968" i="24"/>
  <c r="H968" i="14"/>
  <c r="C967" i="24"/>
  <c r="H967" i="14"/>
  <c r="H966" i="14"/>
  <c r="C966" i="24"/>
  <c r="H965" i="14"/>
  <c r="C965" i="24"/>
  <c r="H964" i="14"/>
  <c r="C964" i="24"/>
  <c r="C963" i="24"/>
  <c r="H963" i="14"/>
  <c r="C962" i="24"/>
  <c r="C961" i="24"/>
  <c r="C960" i="24"/>
  <c r="H960" i="14"/>
  <c r="C959" i="24"/>
  <c r="H959" i="14"/>
  <c r="C958" i="24"/>
  <c r="H958" i="14"/>
  <c r="H957" i="14"/>
  <c r="C957" i="24"/>
  <c r="C956" i="24"/>
  <c r="C955" i="24"/>
  <c r="H955" i="14"/>
  <c r="C954" i="24"/>
  <c r="H954" i="14"/>
  <c r="H953" i="14"/>
  <c r="C953" i="24"/>
  <c r="H952" i="14"/>
  <c r="C952" i="24"/>
  <c r="H951" i="14"/>
  <c r="C951" i="24"/>
  <c r="H950" i="14"/>
  <c r="C950" i="24"/>
  <c r="H949" i="14"/>
  <c r="C949" i="24"/>
  <c r="H948" i="14"/>
  <c r="C948" i="24"/>
  <c r="H947" i="14"/>
  <c r="C947" i="24"/>
  <c r="C946" i="24"/>
  <c r="H946" i="14"/>
  <c r="C945" i="24"/>
  <c r="H945" i="14"/>
  <c r="C944" i="24"/>
  <c r="H944" i="14"/>
  <c r="H943" i="14"/>
  <c r="C943" i="24"/>
  <c r="H942" i="14"/>
  <c r="C942" i="24"/>
  <c r="H941" i="14"/>
  <c r="C941" i="24"/>
  <c r="H940" i="14"/>
  <c r="C940" i="24"/>
  <c r="C939" i="24"/>
  <c r="H939" i="14"/>
  <c r="H938" i="14"/>
  <c r="C938" i="24"/>
  <c r="C937" i="24"/>
  <c r="H937" i="14"/>
  <c r="C936" i="24"/>
  <c r="H936" i="14"/>
  <c r="H916" i="14"/>
  <c r="H915" i="14"/>
  <c r="H914" i="14"/>
  <c r="H913" i="14"/>
  <c r="H911" i="14"/>
  <c r="H910" i="14"/>
  <c r="H909" i="14"/>
  <c r="H908" i="14"/>
  <c r="H907" i="14"/>
  <c r="H906" i="14"/>
  <c r="H905" i="14"/>
  <c r="H904" i="14"/>
  <c r="H903" i="14"/>
  <c r="H902" i="14"/>
  <c r="H901" i="14"/>
  <c r="H900" i="14"/>
  <c r="H899" i="14"/>
  <c r="H898" i="14"/>
  <c r="H897" i="14"/>
  <c r="H896" i="14"/>
  <c r="H895" i="14"/>
  <c r="H894" i="14"/>
  <c r="H893" i="14"/>
  <c r="H892" i="14"/>
  <c r="H891" i="14"/>
  <c r="H890" i="14"/>
  <c r="H889" i="14"/>
  <c r="H888" i="14"/>
  <c r="H887" i="14"/>
  <c r="H886" i="14"/>
  <c r="H885" i="14"/>
  <c r="H883" i="14"/>
  <c r="H882" i="14"/>
  <c r="H881" i="14"/>
  <c r="H880" i="14"/>
  <c r="H876" i="14"/>
  <c r="H875" i="14"/>
  <c r="H874" i="14"/>
  <c r="H872" i="14"/>
  <c r="H871" i="14"/>
  <c r="H870" i="14"/>
  <c r="H869" i="14"/>
  <c r="H868" i="14"/>
  <c r="H864" i="14"/>
  <c r="H863" i="14"/>
  <c r="H861" i="14"/>
  <c r="H860" i="14"/>
  <c r="H859" i="14"/>
  <c r="H858" i="14"/>
  <c r="H857" i="14"/>
  <c r="H856" i="14"/>
  <c r="H855" i="14"/>
  <c r="H852" i="14"/>
  <c r="H851" i="14"/>
  <c r="H850" i="14"/>
  <c r="H849" i="14"/>
  <c r="H848" i="14"/>
  <c r="H846" i="14"/>
  <c r="H844" i="14"/>
  <c r="H843" i="14"/>
  <c r="H842" i="14"/>
  <c r="H841" i="14"/>
  <c r="H840" i="14"/>
  <c r="H839" i="14"/>
  <c r="H837" i="14"/>
  <c r="H836" i="14"/>
  <c r="H835" i="14"/>
  <c r="H834" i="14"/>
  <c r="H833" i="14"/>
  <c r="H832" i="14"/>
  <c r="H831" i="14"/>
  <c r="H829" i="14"/>
  <c r="H828" i="14"/>
  <c r="H827" i="14"/>
  <c r="H826" i="14"/>
  <c r="H761" i="14"/>
  <c r="H760" i="14"/>
  <c r="H758" i="14"/>
  <c r="H756" i="14"/>
  <c r="H755" i="14"/>
  <c r="H754" i="14"/>
  <c r="H753" i="14"/>
  <c r="H752" i="14"/>
  <c r="H751" i="14"/>
  <c r="H750" i="14"/>
  <c r="H749" i="14"/>
  <c r="H748" i="14"/>
  <c r="H747" i="14"/>
  <c r="H745" i="14"/>
  <c r="H744" i="14"/>
  <c r="H743" i="14"/>
  <c r="H741" i="14"/>
  <c r="H740" i="14"/>
  <c r="H739" i="14"/>
  <c r="H738" i="14"/>
  <c r="H737" i="14"/>
  <c r="H736" i="14"/>
  <c r="H735" i="14"/>
  <c r="H734" i="14"/>
  <c r="H733" i="14"/>
  <c r="H731" i="14"/>
  <c r="H730" i="14"/>
  <c r="H729" i="14"/>
  <c r="H728" i="14"/>
  <c r="H727" i="14"/>
  <c r="H726" i="14"/>
  <c r="H725" i="14"/>
  <c r="H724" i="14"/>
  <c r="H722" i="14"/>
  <c r="H721" i="14"/>
  <c r="H720" i="14"/>
  <c r="H719" i="14"/>
  <c r="H718" i="14"/>
  <c r="H716" i="14"/>
  <c r="H715" i="14"/>
  <c r="H714" i="14"/>
  <c r="H713" i="14"/>
  <c r="H712" i="14"/>
  <c r="H711" i="14"/>
  <c r="H616" i="14"/>
  <c r="H615" i="14"/>
  <c r="H614" i="14"/>
  <c r="H613" i="14"/>
  <c r="H612" i="14"/>
  <c r="H611" i="14"/>
  <c r="H610" i="14"/>
  <c r="H609" i="14"/>
  <c r="H608" i="14"/>
  <c r="H607" i="14"/>
  <c r="H606" i="14"/>
  <c r="H605" i="14"/>
  <c r="H604" i="14"/>
  <c r="H603" i="14"/>
  <c r="H601" i="14"/>
  <c r="H600" i="14"/>
  <c r="H598" i="14"/>
  <c r="H597" i="14"/>
  <c r="H596" i="14"/>
  <c r="H595" i="14"/>
  <c r="H594" i="14"/>
  <c r="H593" i="14"/>
  <c r="H592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E1018" i="14" l="1"/>
  <c r="L1018" i="14"/>
  <c r="L1051" i="14"/>
  <c r="G1058" i="24"/>
  <c r="H1058" i="24"/>
  <c r="I1058" i="24"/>
  <c r="J1058" i="24"/>
  <c r="K1058" i="24"/>
  <c r="L1058" i="24"/>
  <c r="M1058" i="24"/>
  <c r="N1058" i="24"/>
  <c r="O1058" i="24"/>
  <c r="E1030" i="24"/>
  <c r="C1030" i="14" a="1"/>
  <c r="G1057" i="24"/>
  <c r="H1057" i="24"/>
  <c r="I1057" i="24"/>
  <c r="J1057" i="24"/>
  <c r="K1057" i="24"/>
  <c r="L1057" i="24"/>
  <c r="M1057" i="24"/>
  <c r="N1057" i="24"/>
  <c r="O1057" i="24"/>
  <c r="L1032" i="14"/>
  <c r="G1056" i="24"/>
  <c r="H1056" i="24"/>
  <c r="I1056" i="24"/>
  <c r="J1056" i="24"/>
  <c r="K1056" i="24"/>
  <c r="L1056" i="24"/>
  <c r="M1056" i="24"/>
  <c r="N1056" i="24"/>
  <c r="O1056" i="24"/>
  <c r="G1055" i="24"/>
  <c r="H1055" i="24"/>
  <c r="I1055" i="24"/>
  <c r="J1055" i="24"/>
  <c r="K1055" i="24"/>
  <c r="L1055" i="24"/>
  <c r="M1055" i="24"/>
  <c r="N1055" i="24"/>
  <c r="O1055" i="24"/>
  <c r="L625" i="14"/>
  <c r="G1054" i="24"/>
  <c r="H1054" i="24"/>
  <c r="I1054" i="24"/>
  <c r="J1054" i="24"/>
  <c r="K1054" i="24"/>
  <c r="L1054" i="24"/>
  <c r="M1054" i="24"/>
  <c r="N1054" i="24"/>
  <c r="O1054" i="24"/>
  <c r="G1053" i="24"/>
  <c r="H1053" i="24"/>
  <c r="I1053" i="24"/>
  <c r="J1053" i="24"/>
  <c r="K1053" i="24"/>
  <c r="L1053" i="24"/>
  <c r="M1053" i="24"/>
  <c r="N1053" i="24"/>
  <c r="O1053" i="24"/>
  <c r="G1052" i="24"/>
  <c r="H1052" i="24"/>
  <c r="I1052" i="24"/>
  <c r="J1052" i="24"/>
  <c r="K1052" i="24"/>
  <c r="L1052" i="24"/>
  <c r="M1052" i="24"/>
  <c r="N1052" i="24"/>
  <c r="O1052" i="24"/>
  <c r="L468" i="14"/>
  <c r="E894" i="14"/>
  <c r="H1050" i="24"/>
  <c r="J1050" i="24"/>
  <c r="L1050" i="24"/>
  <c r="O1050" i="24"/>
  <c r="G1050" i="24"/>
  <c r="I1050" i="24"/>
  <c r="K1050" i="24"/>
  <c r="M1050" i="24"/>
  <c r="N1050" i="24"/>
  <c r="G1051" i="24"/>
  <c r="H1051" i="24"/>
  <c r="I1051" i="24"/>
  <c r="J1051" i="24"/>
  <c r="K1051" i="24"/>
  <c r="L1051" i="24"/>
  <c r="M1051" i="24"/>
  <c r="N1051" i="24"/>
  <c r="O1051" i="24"/>
  <c r="L464" i="14"/>
  <c r="E803" i="14"/>
  <c r="L1046" i="14"/>
  <c r="E1029" i="14"/>
  <c r="C1029" i="14" a="1"/>
  <c r="E797" i="14"/>
  <c r="E798" i="14" s="1"/>
  <c r="E808" i="14"/>
  <c r="E806" i="14"/>
  <c r="E823" i="14"/>
  <c r="E574" i="14"/>
  <c r="E575" i="14" s="1"/>
  <c r="E796" i="14"/>
  <c r="E816" i="14"/>
  <c r="E817" i="14" s="1"/>
  <c r="E992" i="14"/>
  <c r="E1002" i="14" s="1"/>
  <c r="E583" i="24"/>
  <c r="E624" i="24"/>
  <c r="E1017" i="24"/>
  <c r="E423" i="24"/>
  <c r="E424" i="24"/>
  <c r="N1049" i="24"/>
  <c r="G1049" i="24"/>
  <c r="I1049" i="24"/>
  <c r="K1049" i="24"/>
  <c r="J1049" i="24"/>
  <c r="L1049" i="24"/>
  <c r="M1049" i="24"/>
  <c r="O1049" i="24"/>
  <c r="H1049" i="24"/>
  <c r="E842" i="24"/>
  <c r="E427" i="24"/>
  <c r="E873" i="24"/>
  <c r="E1015" i="24"/>
  <c r="E1013" i="24"/>
  <c r="E54" i="24"/>
  <c r="AL1010" i="17"/>
  <c r="AN1010" i="17" s="1"/>
  <c r="AM1010" i="17"/>
  <c r="E1029" i="24"/>
  <c r="AL1029" i="17"/>
  <c r="AN1029" i="17" s="1"/>
  <c r="AM1029" i="17"/>
  <c r="E1005" i="24"/>
  <c r="E632" i="24"/>
  <c r="E627" i="24"/>
  <c r="E622" i="24"/>
  <c r="E619" i="24"/>
  <c r="E631" i="24"/>
  <c r="E618" i="24"/>
  <c r="E634" i="24"/>
  <c r="E630" i="24"/>
  <c r="E625" i="24"/>
  <c r="E629" i="24"/>
  <c r="E849" i="24"/>
  <c r="E767" i="24"/>
  <c r="E616" i="24"/>
  <c r="E570" i="24"/>
  <c r="E504" i="24"/>
  <c r="E498" i="24"/>
  <c r="E497" i="24"/>
  <c r="E490" i="24"/>
  <c r="E10" i="24"/>
  <c r="E473" i="24"/>
  <c r="E140" i="24"/>
  <c r="E139" i="24"/>
  <c r="E138" i="24"/>
  <c r="E137" i="24"/>
  <c r="E129" i="24"/>
  <c r="E122" i="24"/>
  <c r="E17" i="24"/>
  <c r="E16" i="24"/>
  <c r="E1036" i="24"/>
  <c r="E791" i="24"/>
  <c r="E910" i="24"/>
  <c r="E488" i="24"/>
  <c r="E414" i="24"/>
  <c r="E6" i="24"/>
  <c r="E485" i="24"/>
  <c r="E487" i="24"/>
  <c r="E484" i="24"/>
  <c r="E477" i="24"/>
  <c r="E895" i="24"/>
  <c r="E894" i="24"/>
  <c r="E892" i="24"/>
  <c r="E888" i="24"/>
  <c r="E12" i="24"/>
  <c r="E167" i="24"/>
  <c r="E802" i="24"/>
  <c r="E801" i="24"/>
  <c r="E800" i="24"/>
  <c r="E799" i="24"/>
  <c r="E759" i="24"/>
  <c r="E756" i="24"/>
  <c r="E569" i="24"/>
  <c r="E568" i="24"/>
  <c r="E503" i="24"/>
  <c r="E502" i="24"/>
  <c r="E496" i="24"/>
  <c r="E260" i="24"/>
  <c r="E259" i="24"/>
  <c r="E143" i="24"/>
  <c r="E142" i="24"/>
  <c r="E134" i="24"/>
  <c r="E132" i="24"/>
  <c r="E130" i="24"/>
  <c r="E125" i="24"/>
  <c r="E95" i="24"/>
  <c r="E315" i="24"/>
  <c r="E206" i="24"/>
  <c r="E211" i="24"/>
  <c r="E96" i="24"/>
  <c r="E229" i="24"/>
  <c r="E339" i="24"/>
  <c r="E336" i="24"/>
  <c r="E316" i="24"/>
  <c r="E232" i="24"/>
  <c r="E218" i="24"/>
  <c r="E203" i="24"/>
  <c r="E77" i="24"/>
  <c r="E219" i="24"/>
  <c r="E89" i="24"/>
  <c r="E220" i="24"/>
  <c r="E170" i="24"/>
  <c r="E118" i="24"/>
  <c r="E117" i="24"/>
  <c r="E112" i="24"/>
  <c r="E111" i="24"/>
  <c r="E110" i="24"/>
  <c r="E107" i="24"/>
  <c r="E103" i="24"/>
  <c r="E1003" i="24"/>
  <c r="E939" i="24"/>
  <c r="E792" i="24"/>
  <c r="E937" i="24"/>
  <c r="E936" i="24"/>
  <c r="E987" i="24"/>
  <c r="E983" i="24"/>
  <c r="E918" i="24"/>
  <c r="E33" i="24"/>
  <c r="E27" i="24"/>
  <c r="E911" i="24"/>
  <c r="E252" i="24"/>
  <c r="E249" i="24"/>
  <c r="E248" i="24"/>
  <c r="E247" i="24"/>
  <c r="E165" i="24"/>
  <c r="E156" i="24"/>
  <c r="E149" i="24"/>
  <c r="E147" i="24"/>
  <c r="E146" i="24"/>
  <c r="E145" i="24"/>
  <c r="E144" i="24"/>
  <c r="E47" i="24"/>
  <c r="E41" i="24"/>
  <c r="E4" i="24"/>
  <c r="E798" i="24"/>
  <c r="E797" i="24"/>
  <c r="E796" i="24"/>
  <c r="E795" i="24"/>
  <c r="E766" i="24"/>
  <c r="E765" i="24"/>
  <c r="E758" i="24"/>
  <c r="E757" i="24"/>
  <c r="E563" i="24"/>
  <c r="E539" i="24"/>
  <c r="E538" i="24"/>
  <c r="E425" i="24"/>
  <c r="E295" i="24"/>
  <c r="E294" i="24"/>
  <c r="E290" i="24"/>
  <c r="E289" i="24"/>
  <c r="E286" i="24"/>
  <c r="E285" i="24"/>
  <c r="E283" i="24"/>
  <c r="E282" i="24"/>
  <c r="E276" i="24"/>
  <c r="E275" i="24"/>
  <c r="E274" i="24"/>
  <c r="E272" i="24"/>
  <c r="E271" i="24"/>
  <c r="E270" i="24"/>
  <c r="E269" i="24"/>
  <c r="E268" i="24"/>
  <c r="E267" i="24"/>
  <c r="E266" i="24"/>
  <c r="E261" i="24"/>
  <c r="E141" i="24"/>
  <c r="E314" i="24"/>
  <c r="E326" i="24"/>
  <c r="E235" i="24"/>
  <c r="E435" i="24"/>
  <c r="E320" i="24"/>
  <c r="E590" i="24"/>
  <c r="E457" i="24"/>
  <c r="E448" i="24"/>
  <c r="E591" i="24"/>
  <c r="E931" i="24"/>
  <c r="E929" i="24"/>
  <c r="E813" i="24"/>
  <c r="E932" i="24"/>
  <c r="E930" i="24"/>
  <c r="E589" i="24"/>
  <c r="E224" i="24"/>
  <c r="E922" i="24"/>
  <c r="E823" i="24"/>
  <c r="E822" i="24"/>
  <c r="E821" i="24"/>
  <c r="E441" i="24"/>
  <c r="E200" i="24"/>
  <c r="E198" i="24"/>
  <c r="E196" i="24"/>
  <c r="E1010" i="24"/>
  <c r="C1010" i="14" a="1"/>
  <c r="AL1038" i="17"/>
  <c r="AN1038" i="17" s="1"/>
  <c r="E1038" i="24"/>
  <c r="C1037" i="14" a="1"/>
  <c r="E1037" i="24"/>
  <c r="C1002" i="14" a="1"/>
  <c r="E1002" i="24"/>
  <c r="C1004" i="14" a="1"/>
  <c r="E1004" i="24"/>
  <c r="C1011" i="14" a="1"/>
  <c r="E1011" i="24"/>
  <c r="AL1035" i="17"/>
  <c r="AN1035" i="17" s="1"/>
  <c r="AM1035" i="17"/>
  <c r="AL1030" i="17"/>
  <c r="AN1030" i="17" s="1"/>
  <c r="AM1030" i="17"/>
  <c r="AL1031" i="17"/>
  <c r="AN1031" i="17" s="1"/>
  <c r="AM1031" i="17"/>
  <c r="AL1032" i="17"/>
  <c r="AN1032" i="17" s="1"/>
  <c r="AM1032" i="17"/>
  <c r="AM1033" i="17"/>
  <c r="AL1033" i="17"/>
  <c r="AN1033" i="17" s="1"/>
  <c r="AM1034" i="17"/>
  <c r="AL1034" i="17"/>
  <c r="AN1034" i="17" s="1"/>
  <c r="C1036" i="14" a="1"/>
  <c r="AL1036" i="17"/>
  <c r="AN1036" i="17" s="1"/>
  <c r="AM1036" i="17"/>
  <c r="E1031" i="24"/>
  <c r="C1031" i="14" a="1"/>
  <c r="E1032" i="24"/>
  <c r="C1032" i="14" a="1"/>
  <c r="E1035" i="24"/>
  <c r="C1035" i="14" a="1"/>
  <c r="AM1038" i="17"/>
  <c r="C1038" i="14" a="1"/>
  <c r="AM1037" i="17"/>
  <c r="AL1037" i="17"/>
  <c r="AN1037" i="17" s="1"/>
  <c r="C1033" i="14" a="1"/>
  <c r="E1033" i="24"/>
  <c r="C994" i="14" a="1"/>
  <c r="E994" i="24"/>
  <c r="E1034" i="24"/>
  <c r="C1034" i="14" a="1"/>
  <c r="AL1026" i="17"/>
  <c r="AN1026" i="17" s="1"/>
  <c r="AM1026" i="17"/>
  <c r="M1048" i="24"/>
  <c r="H1048" i="24"/>
  <c r="I1048" i="24"/>
  <c r="K1048" i="24"/>
  <c r="N1048" i="24"/>
  <c r="G1048" i="24"/>
  <c r="J1048" i="24"/>
  <c r="L1048" i="24"/>
  <c r="O1048" i="24"/>
  <c r="H1047" i="24"/>
  <c r="J1047" i="24"/>
  <c r="K1047" i="24"/>
  <c r="M1047" i="24"/>
  <c r="O1047" i="24"/>
  <c r="G1047" i="24"/>
  <c r="I1047" i="24"/>
  <c r="L1047" i="24"/>
  <c r="N1047" i="24"/>
  <c r="G1046" i="24"/>
  <c r="I1046" i="24"/>
  <c r="K1046" i="24"/>
  <c r="M1046" i="24"/>
  <c r="O1046" i="24"/>
  <c r="H1046" i="24"/>
  <c r="J1046" i="24"/>
  <c r="L1046" i="24"/>
  <c r="N1046" i="24"/>
  <c r="L1037" i="14"/>
  <c r="H1045" i="24"/>
  <c r="I1045" i="24"/>
  <c r="L1045" i="24"/>
  <c r="M1045" i="24"/>
  <c r="O1045" i="24"/>
  <c r="G1045" i="24"/>
  <c r="K1045" i="24"/>
  <c r="N1045" i="24"/>
  <c r="J1045" i="24"/>
  <c r="G1044" i="24"/>
  <c r="H1044" i="24"/>
  <c r="I1044" i="24"/>
  <c r="J1044" i="24"/>
  <c r="K1044" i="24"/>
  <c r="L1044" i="24"/>
  <c r="M1044" i="24"/>
  <c r="N1044" i="24"/>
  <c r="O1044" i="24"/>
  <c r="C1028" i="14" a="1"/>
  <c r="E1028" i="24"/>
  <c r="C1026" i="14" a="1"/>
  <c r="E1026" i="24"/>
  <c r="H1043" i="24"/>
  <c r="J1043" i="24"/>
  <c r="K1043" i="24"/>
  <c r="L1043" i="24"/>
  <c r="N1043" i="24"/>
  <c r="O1043" i="24"/>
  <c r="G1043" i="24"/>
  <c r="I1043" i="24"/>
  <c r="M1043" i="24"/>
  <c r="AL1028" i="17"/>
  <c r="AN1028" i="17" s="1"/>
  <c r="AM1028" i="17"/>
  <c r="H1042" i="24"/>
  <c r="J1042" i="24"/>
  <c r="L1042" i="24"/>
  <c r="N1042" i="24"/>
  <c r="G1042" i="24"/>
  <c r="I1042" i="24"/>
  <c r="K1042" i="24"/>
  <c r="M1042" i="24"/>
  <c r="O1042" i="24"/>
  <c r="G1041" i="24"/>
  <c r="H1041" i="24"/>
  <c r="I1041" i="24"/>
  <c r="J1041" i="24"/>
  <c r="K1041" i="24"/>
  <c r="L1041" i="24"/>
  <c r="M1041" i="24"/>
  <c r="N1041" i="24"/>
  <c r="O1041" i="24"/>
  <c r="L1040" i="14"/>
  <c r="E1027" i="24"/>
  <c r="C1027" i="14" a="1"/>
  <c r="AL1027" i="17"/>
  <c r="AN1027" i="17" s="1"/>
  <c r="AM1027" i="17"/>
  <c r="L1035" i="14"/>
  <c r="L1042" i="14"/>
  <c r="AM1025" i="17"/>
  <c r="AL1025" i="17"/>
  <c r="AN1025" i="17" s="1"/>
  <c r="C1025" i="14" a="1"/>
  <c r="E1025" i="24"/>
  <c r="I1040" i="24"/>
  <c r="J1040" i="24"/>
  <c r="K1040" i="24"/>
  <c r="M1040" i="24"/>
  <c r="N1040" i="24"/>
  <c r="O1040" i="24"/>
  <c r="G1040" i="24"/>
  <c r="L1040" i="24"/>
  <c r="H1040" i="24"/>
  <c r="J1039" i="24"/>
  <c r="M1039" i="24"/>
  <c r="N1039" i="24"/>
  <c r="H1039" i="24"/>
  <c r="K1039" i="24"/>
  <c r="G1039" i="24"/>
  <c r="I1039" i="24"/>
  <c r="L1039" i="24"/>
  <c r="O1039" i="24"/>
  <c r="I1038" i="24"/>
  <c r="J1038" i="24"/>
  <c r="L1038" i="24"/>
  <c r="M1038" i="24"/>
  <c r="N1038" i="24"/>
  <c r="O1038" i="24"/>
  <c r="K1038" i="24"/>
  <c r="G1038" i="24"/>
  <c r="H1038" i="24"/>
  <c r="H1037" i="24"/>
  <c r="K1037" i="24"/>
  <c r="G1037" i="24"/>
  <c r="I1037" i="24"/>
  <c r="J1037" i="24"/>
  <c r="L1037" i="24"/>
  <c r="M1037" i="24"/>
  <c r="N1037" i="24"/>
  <c r="O1037" i="24"/>
  <c r="G1036" i="24"/>
  <c r="H1036" i="24"/>
  <c r="I1036" i="24"/>
  <c r="J1036" i="24"/>
  <c r="K1036" i="24"/>
  <c r="L1036" i="24"/>
  <c r="M1036" i="24"/>
  <c r="N1036" i="24"/>
  <c r="O1036" i="24"/>
  <c r="I1035" i="24"/>
  <c r="K1035" i="24"/>
  <c r="N1035" i="24"/>
  <c r="G1035" i="24"/>
  <c r="J1035" i="24"/>
  <c r="M1035" i="24"/>
  <c r="H1035" i="24"/>
  <c r="L1035" i="24"/>
  <c r="O1035" i="24"/>
  <c r="AL994" i="17"/>
  <c r="AN994" i="17" s="1"/>
  <c r="AM994" i="17"/>
  <c r="C995" i="14" a="1"/>
  <c r="AL995" i="17"/>
  <c r="AN995" i="17" s="1"/>
  <c r="AM995" i="17"/>
  <c r="AL1002" i="17"/>
  <c r="AN1002" i="17" s="1"/>
  <c r="AM1002" i="17"/>
  <c r="AL1004" i="17"/>
  <c r="AN1004" i="17" s="1"/>
  <c r="AM1004" i="17"/>
  <c r="C1005" i="14" a="1"/>
  <c r="AL1005" i="17"/>
  <c r="AN1005" i="17" s="1"/>
  <c r="AM1005" i="17"/>
  <c r="AM1011" i="17"/>
  <c r="AL1011" i="17"/>
  <c r="AN1011" i="17" s="1"/>
  <c r="C1006" i="14" a="1"/>
  <c r="AL1006" i="17"/>
  <c r="AN1006" i="17" s="1"/>
  <c r="AM1006" i="17"/>
  <c r="AM1017" i="17"/>
  <c r="AL1017" i="17"/>
  <c r="AN1017" i="17" s="1"/>
  <c r="C1003" i="14" a="1"/>
  <c r="AM1003" i="17"/>
  <c r="AL1003" i="17"/>
  <c r="AN1003" i="17" s="1"/>
  <c r="AL1001" i="17"/>
  <c r="AN1001" i="17" s="1"/>
  <c r="C1001" i="14" a="1"/>
  <c r="AM1001" i="17"/>
  <c r="AM998" i="17"/>
  <c r="AL998" i="17"/>
  <c r="AN998" i="17" s="1"/>
  <c r="AM997" i="17"/>
  <c r="AL997" i="17"/>
  <c r="AN997" i="17" s="1"/>
  <c r="AM1013" i="17"/>
  <c r="AL1013" i="17"/>
  <c r="AN1013" i="17" s="1"/>
  <c r="AM1014" i="17"/>
  <c r="AL1014" i="17"/>
  <c r="AN1014" i="17" s="1"/>
  <c r="AM1015" i="17"/>
  <c r="AL1015" i="17"/>
  <c r="AN1015" i="17" s="1"/>
  <c r="AM996" i="17"/>
  <c r="AL996" i="17"/>
  <c r="AN996" i="17" s="1"/>
  <c r="AL945" i="17"/>
  <c r="AN945" i="17" s="1"/>
  <c r="AM945" i="17"/>
  <c r="AM944" i="17"/>
  <c r="AL944" i="17"/>
  <c r="AN944" i="17" s="1"/>
  <c r="AM943" i="17"/>
  <c r="AL943" i="17"/>
  <c r="AN943" i="17" s="1"/>
  <c r="AM942" i="17"/>
  <c r="AL942" i="17"/>
  <c r="AN942" i="17" s="1"/>
  <c r="AM941" i="17"/>
  <c r="AL941" i="17"/>
  <c r="AN941" i="17" s="1"/>
  <c r="AM940" i="17"/>
  <c r="AL940" i="17"/>
  <c r="AN940" i="17" s="1"/>
  <c r="AM939" i="17"/>
  <c r="AL939" i="17"/>
  <c r="AN939" i="17" s="1"/>
  <c r="AL938" i="17"/>
  <c r="AN938" i="17" s="1"/>
  <c r="AM938" i="17"/>
  <c r="AL937" i="17"/>
  <c r="AN937" i="17" s="1"/>
  <c r="AM937" i="17"/>
  <c r="AM936" i="17"/>
  <c r="AL936" i="17"/>
  <c r="AN936" i="17" s="1"/>
  <c r="AL989" i="17"/>
  <c r="AN989" i="17" s="1"/>
  <c r="AM989" i="17"/>
  <c r="AM988" i="17"/>
  <c r="AL988" i="17"/>
  <c r="AN988" i="17" s="1"/>
  <c r="AM987" i="17"/>
  <c r="AL987" i="17"/>
  <c r="AN987" i="17" s="1"/>
  <c r="AM986" i="17"/>
  <c r="AL986" i="17"/>
  <c r="AN986" i="17" s="1"/>
  <c r="AM985" i="17"/>
  <c r="AL985" i="17"/>
  <c r="AN985" i="17" s="1"/>
  <c r="AM984" i="17"/>
  <c r="AL984" i="17"/>
  <c r="AN984" i="17" s="1"/>
  <c r="AM983" i="17"/>
  <c r="AL983" i="17"/>
  <c r="AN983" i="17" s="1"/>
  <c r="AL982" i="17"/>
  <c r="AN982" i="17" s="1"/>
  <c r="AM982" i="17"/>
  <c r="AL981" i="17"/>
  <c r="AN981" i="17" s="1"/>
  <c r="AM981" i="17"/>
  <c r="AM980" i="17"/>
  <c r="AL980" i="17"/>
  <c r="AN980" i="17" s="1"/>
  <c r="AM979" i="17"/>
  <c r="AL979" i="17"/>
  <c r="AN979" i="17" s="1"/>
  <c r="AM978" i="17"/>
  <c r="AL978" i="17"/>
  <c r="AN978" i="17" s="1"/>
  <c r="AM972" i="17"/>
  <c r="AL972" i="17"/>
  <c r="AN972" i="17" s="1"/>
  <c r="AL971" i="17"/>
  <c r="AN971" i="17" s="1"/>
  <c r="AM971" i="17"/>
  <c r="AL970" i="17"/>
  <c r="AN970" i="17" s="1"/>
  <c r="AM970" i="17"/>
  <c r="AM969" i="17"/>
  <c r="AL969" i="17"/>
  <c r="AN969" i="17" s="1"/>
  <c r="AM968" i="17"/>
  <c r="AL968" i="17"/>
  <c r="AN968" i="17" s="1"/>
  <c r="AL916" i="17"/>
  <c r="AN916" i="17" s="1"/>
  <c r="AM916" i="17"/>
  <c r="AM915" i="17"/>
  <c r="AL915" i="17"/>
  <c r="AN915" i="17" s="1"/>
  <c r="AM914" i="17"/>
  <c r="AL914" i="17"/>
  <c r="AN914" i="17" s="1"/>
  <c r="AL913" i="17"/>
  <c r="AN913" i="17" s="1"/>
  <c r="AM913" i="17"/>
  <c r="AL912" i="17"/>
  <c r="AN912" i="17" s="1"/>
  <c r="AM912" i="17"/>
  <c r="AL911" i="17"/>
  <c r="AN911" i="17" s="1"/>
  <c r="AM911" i="17"/>
  <c r="AL999" i="17"/>
  <c r="AN999" i="17" s="1"/>
  <c r="AM999" i="17"/>
  <c r="AL1000" i="17"/>
  <c r="AN1000" i="17" s="1"/>
  <c r="AM1000" i="17"/>
  <c r="AM919" i="17"/>
  <c r="AL919" i="17"/>
  <c r="AN919" i="17" s="1"/>
  <c r="AM918" i="17"/>
  <c r="AL918" i="17"/>
  <c r="AN918" i="17" s="1"/>
  <c r="AM917" i="17"/>
  <c r="AL917" i="17"/>
  <c r="AN917" i="17" s="1"/>
  <c r="AL990" i="17"/>
  <c r="AN990" i="17" s="1"/>
  <c r="AM990" i="17"/>
  <c r="AL993" i="17"/>
  <c r="AN993" i="17" s="1"/>
  <c r="AM993" i="17"/>
  <c r="AM992" i="17"/>
  <c r="AL992" i="17"/>
  <c r="AN992" i="17" s="1"/>
  <c r="AM991" i="17"/>
  <c r="AL991" i="17"/>
  <c r="AN991" i="17" s="1"/>
  <c r="AL967" i="17"/>
  <c r="AN967" i="17" s="1"/>
  <c r="AM967" i="17"/>
  <c r="AM973" i="17"/>
  <c r="AL973" i="17"/>
  <c r="AN973" i="17" s="1"/>
  <c r="AM39" i="17"/>
  <c r="AL39" i="17"/>
  <c r="AN39" i="17" s="1"/>
  <c r="AM38" i="17"/>
  <c r="AL38" i="17"/>
  <c r="AN38" i="17" s="1"/>
  <c r="AL37" i="17"/>
  <c r="AN37" i="17" s="1"/>
  <c r="AM37" i="17"/>
  <c r="AL36" i="17"/>
  <c r="AN36" i="17" s="1"/>
  <c r="AM36" i="17"/>
  <c r="AL35" i="17"/>
  <c r="AN35" i="17" s="1"/>
  <c r="AM35" i="17"/>
  <c r="AL34" i="17"/>
  <c r="AN34" i="17" s="1"/>
  <c r="AM34" i="17"/>
  <c r="AL33" i="17"/>
  <c r="AN33" i="17" s="1"/>
  <c r="AM33" i="17"/>
  <c r="AM32" i="17"/>
  <c r="AL32" i="17"/>
  <c r="AN32" i="17" s="1"/>
  <c r="AM31" i="17"/>
  <c r="AL31" i="17"/>
  <c r="AN31" i="17" s="1"/>
  <c r="AM30" i="17"/>
  <c r="AL30" i="17"/>
  <c r="AN30" i="17" s="1"/>
  <c r="AM29" i="17"/>
  <c r="AL29" i="17"/>
  <c r="AN29" i="17" s="1"/>
  <c r="AL28" i="17"/>
  <c r="AN28" i="17" s="1"/>
  <c r="AM28" i="17"/>
  <c r="AM27" i="17"/>
  <c r="AL27" i="17"/>
  <c r="AN27" i="17" s="1"/>
  <c r="AL26" i="17"/>
  <c r="AN26" i="17" s="1"/>
  <c r="AM26" i="17"/>
  <c r="AM25" i="17"/>
  <c r="AL25" i="17"/>
  <c r="AN25" i="17" s="1"/>
  <c r="AL977" i="17"/>
  <c r="AN977" i="17" s="1"/>
  <c r="AM977" i="17"/>
  <c r="AM887" i="17"/>
  <c r="AL887" i="17"/>
  <c r="AN887" i="17" s="1"/>
  <c r="AM24" i="17"/>
  <c r="AL24" i="17"/>
  <c r="AN24" i="17" s="1"/>
  <c r="AM23" i="17"/>
  <c r="AL23" i="17"/>
  <c r="AN23" i="17" s="1"/>
  <c r="AM22" i="17"/>
  <c r="AL22" i="17"/>
  <c r="AN22" i="17" s="1"/>
  <c r="AM21" i="17"/>
  <c r="AL21" i="17"/>
  <c r="AN21" i="17" s="1"/>
  <c r="AM20" i="17"/>
  <c r="AL20" i="17"/>
  <c r="AN20" i="17" s="1"/>
  <c r="AM976" i="17"/>
  <c r="AL976" i="17"/>
  <c r="AN976" i="17" s="1"/>
  <c r="AM975" i="17"/>
  <c r="AL975" i="17"/>
  <c r="AN975" i="17" s="1"/>
  <c r="AL974" i="17"/>
  <c r="AN974" i="17" s="1"/>
  <c r="AM974" i="17"/>
  <c r="AL870" i="17"/>
  <c r="AN870" i="17" s="1"/>
  <c r="AM870" i="17"/>
  <c r="AL869" i="17"/>
  <c r="AN869" i="17" s="1"/>
  <c r="AM869" i="17"/>
  <c r="AL868" i="17"/>
  <c r="AN868" i="17" s="1"/>
  <c r="AM868" i="17"/>
  <c r="AL867" i="17"/>
  <c r="AN867" i="17" s="1"/>
  <c r="AM867" i="17"/>
  <c r="AM866" i="17"/>
  <c r="AL866" i="17"/>
  <c r="AN866" i="17" s="1"/>
  <c r="AL865" i="17"/>
  <c r="AN865" i="17" s="1"/>
  <c r="AM865" i="17"/>
  <c r="AL792" i="17"/>
  <c r="AN792" i="17" s="1"/>
  <c r="AM792" i="17"/>
  <c r="AL791" i="17"/>
  <c r="AN791" i="17" s="1"/>
  <c r="AM791" i="17"/>
  <c r="AL790" i="17"/>
  <c r="AN790" i="17" s="1"/>
  <c r="AM790" i="17"/>
  <c r="AL789" i="17"/>
  <c r="AN789" i="17" s="1"/>
  <c r="AM789" i="17"/>
  <c r="AM788" i="17"/>
  <c r="AL788" i="17"/>
  <c r="AN788" i="17" s="1"/>
  <c r="AL787" i="17"/>
  <c r="AN787" i="17" s="1"/>
  <c r="AM787" i="17"/>
  <c r="AL557" i="17"/>
  <c r="AN557" i="17" s="1"/>
  <c r="AM557" i="17"/>
  <c r="AL556" i="17"/>
  <c r="AN556" i="17" s="1"/>
  <c r="AM556" i="17"/>
  <c r="AL487" i="17"/>
  <c r="AN487" i="17" s="1"/>
  <c r="AM487" i="17"/>
  <c r="AM486" i="17"/>
  <c r="AL486" i="17"/>
  <c r="AN486" i="17" s="1"/>
  <c r="AM485" i="17"/>
  <c r="AL485" i="17"/>
  <c r="AN485" i="17" s="1"/>
  <c r="AL484" i="17"/>
  <c r="AN484" i="17" s="1"/>
  <c r="AM484" i="17"/>
  <c r="AL483" i="17"/>
  <c r="AN483" i="17" s="1"/>
  <c r="AM483" i="17"/>
  <c r="AL482" i="17"/>
  <c r="AN482" i="17" s="1"/>
  <c r="AM482" i="17"/>
  <c r="AM481" i="17"/>
  <c r="AL481" i="17"/>
  <c r="AN481" i="17" s="1"/>
  <c r="AM480" i="17"/>
  <c r="AL480" i="17"/>
  <c r="AN480" i="17" s="1"/>
  <c r="AL19" i="17"/>
  <c r="AN19" i="17" s="1"/>
  <c r="AM19" i="17"/>
  <c r="AM18" i="17"/>
  <c r="AL18" i="17"/>
  <c r="AN18" i="17" s="1"/>
  <c r="AL966" i="17"/>
  <c r="AN966" i="17" s="1"/>
  <c r="AM966" i="17"/>
  <c r="AL786" i="17"/>
  <c r="AN786" i="17" s="1"/>
  <c r="AM786" i="17"/>
  <c r="AL785" i="17"/>
  <c r="AN785" i="17" s="1"/>
  <c r="AM785" i="17"/>
  <c r="AL555" i="17"/>
  <c r="AN555" i="17" s="1"/>
  <c r="AM555" i="17"/>
  <c r="AL554" i="17"/>
  <c r="AN554" i="17" s="1"/>
  <c r="AM554" i="17"/>
  <c r="AL713" i="17"/>
  <c r="AN713" i="17" s="1"/>
  <c r="AM713" i="17"/>
  <c r="AM712" i="17"/>
  <c r="AL712" i="17"/>
  <c r="AN712" i="17" s="1"/>
  <c r="AL13" i="17"/>
  <c r="AN13" i="17" s="1"/>
  <c r="AM13" i="17"/>
  <c r="AM946" i="17"/>
  <c r="AL946" i="17"/>
  <c r="AN946" i="17" s="1"/>
  <c r="AM910" i="17"/>
  <c r="AL910" i="17"/>
  <c r="AN910" i="17" s="1"/>
  <c r="AM909" i="17"/>
  <c r="AL909" i="17"/>
  <c r="AN909" i="17" s="1"/>
  <c r="AL908" i="17"/>
  <c r="AN908" i="17" s="1"/>
  <c r="AM908" i="17"/>
  <c r="AM907" i="17"/>
  <c r="AL907" i="17"/>
  <c r="AN907" i="17" s="1"/>
  <c r="AL906" i="17"/>
  <c r="AN906" i="17" s="1"/>
  <c r="AM906" i="17"/>
  <c r="AM905" i="17"/>
  <c r="AL905" i="17"/>
  <c r="AN905" i="17" s="1"/>
  <c r="AL904" i="17"/>
  <c r="AN904" i="17" s="1"/>
  <c r="AM904" i="17"/>
  <c r="AM903" i="17"/>
  <c r="AL903" i="17"/>
  <c r="AN903" i="17" s="1"/>
  <c r="AL902" i="17"/>
  <c r="AN902" i="17" s="1"/>
  <c r="AM902" i="17"/>
  <c r="AL901" i="17"/>
  <c r="AN901" i="17" s="1"/>
  <c r="AM901" i="17"/>
  <c r="AL900" i="17"/>
  <c r="AN900" i="17" s="1"/>
  <c r="AM900" i="17"/>
  <c r="AL899" i="17"/>
  <c r="AN899" i="17" s="1"/>
  <c r="AM899" i="17"/>
  <c r="AL898" i="17"/>
  <c r="AN898" i="17" s="1"/>
  <c r="AM898" i="17"/>
  <c r="AL897" i="17"/>
  <c r="AN897" i="17" s="1"/>
  <c r="AM897" i="17"/>
  <c r="AM896" i="17"/>
  <c r="AL896" i="17"/>
  <c r="AN896" i="17" s="1"/>
  <c r="AM895" i="17"/>
  <c r="AL895" i="17"/>
  <c r="AN895" i="17" s="1"/>
  <c r="AM894" i="17"/>
  <c r="AL894" i="17"/>
  <c r="AN894" i="17" s="1"/>
  <c r="AL893" i="17"/>
  <c r="AN893" i="17" s="1"/>
  <c r="AM893" i="17"/>
  <c r="AL892" i="17"/>
  <c r="AN892" i="17" s="1"/>
  <c r="AM892" i="17"/>
  <c r="AL891" i="17"/>
  <c r="AN891" i="17" s="1"/>
  <c r="AM891" i="17"/>
  <c r="AL890" i="17"/>
  <c r="AN890" i="17" s="1"/>
  <c r="AM890" i="17"/>
  <c r="AL889" i="17"/>
  <c r="AN889" i="17" s="1"/>
  <c r="AM889" i="17"/>
  <c r="AM888" i="17"/>
  <c r="AL888" i="17"/>
  <c r="AN888" i="17" s="1"/>
  <c r="AM947" i="17"/>
  <c r="AL947" i="17"/>
  <c r="AN947" i="17" s="1"/>
  <c r="AM949" i="17"/>
  <c r="AL949" i="17"/>
  <c r="AN949" i="17" s="1"/>
  <c r="AL948" i="17"/>
  <c r="AN948" i="17" s="1"/>
  <c r="AM948" i="17"/>
  <c r="AM553" i="17"/>
  <c r="AL553" i="17"/>
  <c r="AN553" i="17" s="1"/>
  <c r="AL552" i="17"/>
  <c r="AN552" i="17" s="1"/>
  <c r="AM552" i="17"/>
  <c r="AL551" i="17"/>
  <c r="AN551" i="17" s="1"/>
  <c r="AM551" i="17"/>
  <c r="AL258" i="17"/>
  <c r="AN258" i="17" s="1"/>
  <c r="AM258" i="17"/>
  <c r="AL257" i="17"/>
  <c r="AN257" i="17" s="1"/>
  <c r="AM257" i="17"/>
  <c r="AL256" i="17"/>
  <c r="AN256" i="17" s="1"/>
  <c r="AM256" i="17"/>
  <c r="AL255" i="17"/>
  <c r="AN255" i="17" s="1"/>
  <c r="AM255" i="17"/>
  <c r="AM254" i="17"/>
  <c r="AL254" i="17"/>
  <c r="AN254" i="17" s="1"/>
  <c r="AM253" i="17"/>
  <c r="AL253" i="17"/>
  <c r="AN253" i="17" s="1"/>
  <c r="AL252" i="17"/>
  <c r="AN252" i="17" s="1"/>
  <c r="AM252" i="17"/>
  <c r="AM251" i="17"/>
  <c r="AL251" i="17"/>
  <c r="AN251" i="17" s="1"/>
  <c r="AL250" i="17"/>
  <c r="AN250" i="17" s="1"/>
  <c r="AM250" i="17"/>
  <c r="AL249" i="17"/>
  <c r="AN249" i="17" s="1"/>
  <c r="AM249" i="17"/>
  <c r="AL248" i="17"/>
  <c r="AN248" i="17" s="1"/>
  <c r="AM248" i="17"/>
  <c r="AM247" i="17"/>
  <c r="AL247" i="17"/>
  <c r="AN247" i="17" s="1"/>
  <c r="AL784" i="17"/>
  <c r="AN784" i="17" s="1"/>
  <c r="AM784" i="17"/>
  <c r="AM783" i="17"/>
  <c r="AL783" i="17"/>
  <c r="AN783" i="17" s="1"/>
  <c r="AM782" i="17"/>
  <c r="AL782" i="17"/>
  <c r="AN782" i="17" s="1"/>
  <c r="AL781" i="17"/>
  <c r="AN781" i="17" s="1"/>
  <c r="AM781" i="17"/>
  <c r="AL780" i="17"/>
  <c r="AN780" i="17" s="1"/>
  <c r="AM780" i="17"/>
  <c r="AM550" i="17"/>
  <c r="AL550" i="17"/>
  <c r="AN550" i="17" s="1"/>
  <c r="AL549" i="17"/>
  <c r="AN549" i="17" s="1"/>
  <c r="AM549" i="17"/>
  <c r="AL548" i="17"/>
  <c r="AN548" i="17" s="1"/>
  <c r="AM548" i="17"/>
  <c r="AM547" i="17"/>
  <c r="AL547" i="17"/>
  <c r="AN547" i="17" s="1"/>
  <c r="AM490" i="17"/>
  <c r="AL490" i="17"/>
  <c r="AN490" i="17" s="1"/>
  <c r="AL479" i="17"/>
  <c r="AN479" i="17" s="1"/>
  <c r="AM479" i="17"/>
  <c r="AM478" i="17"/>
  <c r="AL478" i="17"/>
  <c r="AN478" i="17" s="1"/>
  <c r="AM477" i="17"/>
  <c r="AL477" i="17"/>
  <c r="AN477" i="17" s="1"/>
  <c r="AM476" i="17"/>
  <c r="AL476" i="17"/>
  <c r="AN476" i="17" s="1"/>
  <c r="AM475" i="17"/>
  <c r="AL475" i="17"/>
  <c r="AN475" i="17" s="1"/>
  <c r="AM246" i="17"/>
  <c r="AL246" i="17"/>
  <c r="AN246" i="17" s="1"/>
  <c r="AL245" i="17"/>
  <c r="AN245" i="17" s="1"/>
  <c r="AM245" i="17"/>
  <c r="AM244" i="17"/>
  <c r="AL244" i="17"/>
  <c r="AN244" i="17" s="1"/>
  <c r="AM243" i="17"/>
  <c r="AL243" i="17"/>
  <c r="AN243" i="17" s="1"/>
  <c r="AL242" i="17"/>
  <c r="AN242" i="17" s="1"/>
  <c r="AM242" i="17"/>
  <c r="AL241" i="17"/>
  <c r="AN241" i="17" s="1"/>
  <c r="AM241" i="17"/>
  <c r="AL12" i="17"/>
  <c r="AN12" i="17" s="1"/>
  <c r="AM12" i="17"/>
  <c r="AL11" i="17"/>
  <c r="AN11" i="17" s="1"/>
  <c r="AM11" i="17"/>
  <c r="AL10" i="17"/>
  <c r="AN10" i="17" s="1"/>
  <c r="AM10" i="17"/>
  <c r="AM9" i="17"/>
  <c r="AL9" i="17"/>
  <c r="AN9" i="17" s="1"/>
  <c r="AM711" i="17"/>
  <c r="AL711" i="17"/>
  <c r="AN711" i="17" s="1"/>
  <c r="AL710" i="17"/>
  <c r="AN710" i="17" s="1"/>
  <c r="AM710" i="17"/>
  <c r="AL697" i="17"/>
  <c r="AN697" i="17" s="1"/>
  <c r="AM697" i="17"/>
  <c r="AL696" i="17"/>
  <c r="AN696" i="17" s="1"/>
  <c r="AM696" i="17"/>
  <c r="AM489" i="17"/>
  <c r="AL489" i="17"/>
  <c r="AN489" i="17" s="1"/>
  <c r="AL488" i="17"/>
  <c r="AN488" i="17" s="1"/>
  <c r="AM488" i="17"/>
  <c r="AM240" i="17"/>
  <c r="AL240" i="17"/>
  <c r="AN240" i="17" s="1"/>
  <c r="AM779" i="17"/>
  <c r="AL779" i="17"/>
  <c r="AN779" i="17" s="1"/>
  <c r="AM695" i="17"/>
  <c r="AL695" i="17"/>
  <c r="AN695" i="17" s="1"/>
  <c r="AM694" i="17"/>
  <c r="AL694" i="17"/>
  <c r="AN694" i="17" s="1"/>
  <c r="AL693" i="17"/>
  <c r="AN693" i="17" s="1"/>
  <c r="AM693" i="17"/>
  <c r="AM546" i="17"/>
  <c r="AL546" i="17"/>
  <c r="AN546" i="17" s="1"/>
  <c r="AM474" i="17"/>
  <c r="AL474" i="17"/>
  <c r="AN474" i="17" s="1"/>
  <c r="AL473" i="17"/>
  <c r="AN473" i="17" s="1"/>
  <c r="AM473" i="17"/>
  <c r="AL472" i="17"/>
  <c r="AN472" i="17" s="1"/>
  <c r="AM472" i="17"/>
  <c r="AM417" i="17"/>
  <c r="AL417" i="17"/>
  <c r="AN417" i="17" s="1"/>
  <c r="AM416" i="17"/>
  <c r="AL416" i="17"/>
  <c r="AN416" i="17" s="1"/>
  <c r="AM415" i="17"/>
  <c r="AL415" i="17"/>
  <c r="AN415" i="17" s="1"/>
  <c r="AM414" i="17"/>
  <c r="AL414" i="17"/>
  <c r="AN414" i="17" s="1"/>
  <c r="AL413" i="17"/>
  <c r="AN413" i="17" s="1"/>
  <c r="AM413" i="17"/>
  <c r="AM8" i="17"/>
  <c r="AL8" i="17"/>
  <c r="AN8" i="17" s="1"/>
  <c r="AL965" i="17"/>
  <c r="AN965" i="17" s="1"/>
  <c r="AM965" i="17"/>
  <c r="AM864" i="17"/>
  <c r="AL864" i="17"/>
  <c r="AN864" i="17" s="1"/>
  <c r="AM863" i="17"/>
  <c r="AL863" i="17"/>
  <c r="AN863" i="17" s="1"/>
  <c r="AL860" i="17"/>
  <c r="AN860" i="17" s="1"/>
  <c r="AM860" i="17"/>
  <c r="AL862" i="17"/>
  <c r="AN862" i="17" s="1"/>
  <c r="AM862" i="17"/>
  <c r="AM861" i="17"/>
  <c r="AL861" i="17"/>
  <c r="AN861" i="17" s="1"/>
  <c r="AM859" i="17"/>
  <c r="AL859" i="17"/>
  <c r="AN859" i="17" s="1"/>
  <c r="AM858" i="17"/>
  <c r="AL858" i="17"/>
  <c r="AN858" i="17" s="1"/>
  <c r="AL857" i="17"/>
  <c r="AN857" i="17" s="1"/>
  <c r="AM857" i="17"/>
  <c r="AL856" i="17"/>
  <c r="AN856" i="17" s="1"/>
  <c r="AM856" i="17"/>
  <c r="AL855" i="17"/>
  <c r="AN855" i="17" s="1"/>
  <c r="AM855" i="17"/>
  <c r="AM854" i="17"/>
  <c r="AL854" i="17"/>
  <c r="AN854" i="17" s="1"/>
  <c r="AM853" i="17"/>
  <c r="AL853" i="17"/>
  <c r="AN853" i="17" s="1"/>
  <c r="AL852" i="17"/>
  <c r="AN852" i="17" s="1"/>
  <c r="AM852" i="17"/>
  <c r="AL851" i="17"/>
  <c r="AN851" i="17" s="1"/>
  <c r="AM851" i="17"/>
  <c r="AM850" i="17"/>
  <c r="AL850" i="17"/>
  <c r="AN850" i="17" s="1"/>
  <c r="AL849" i="17"/>
  <c r="AN849" i="17" s="1"/>
  <c r="AM849" i="17"/>
  <c r="AL848" i="17"/>
  <c r="AN848" i="17" s="1"/>
  <c r="AM848" i="17"/>
  <c r="AM847" i="17"/>
  <c r="AL847" i="17"/>
  <c r="AN847" i="17" s="1"/>
  <c r="AM846" i="17"/>
  <c r="AL846" i="17"/>
  <c r="AN846" i="17" s="1"/>
  <c r="AM845" i="17"/>
  <c r="AL845" i="17"/>
  <c r="AN845" i="17" s="1"/>
  <c r="AM844" i="17"/>
  <c r="AL844" i="17"/>
  <c r="AN844" i="17" s="1"/>
  <c r="AL778" i="17"/>
  <c r="AN778" i="17" s="1"/>
  <c r="AM778" i="17"/>
  <c r="AL777" i="17"/>
  <c r="AN777" i="17" s="1"/>
  <c r="AM777" i="17"/>
  <c r="AM776" i="17"/>
  <c r="AL776" i="17"/>
  <c r="AN776" i="17" s="1"/>
  <c r="AM775" i="17"/>
  <c r="AL775" i="17"/>
  <c r="AN775" i="17" s="1"/>
  <c r="AL471" i="17"/>
  <c r="AN471" i="17" s="1"/>
  <c r="AM471" i="17"/>
  <c r="AL470" i="17"/>
  <c r="AN470" i="17" s="1"/>
  <c r="AM470" i="17"/>
  <c r="AM469" i="17"/>
  <c r="AL469" i="17"/>
  <c r="AN469" i="17" s="1"/>
  <c r="AL468" i="17"/>
  <c r="AN468" i="17" s="1"/>
  <c r="AM468" i="17"/>
  <c r="AL467" i="17"/>
  <c r="AN467" i="17" s="1"/>
  <c r="AM467" i="17"/>
  <c r="AM466" i="17"/>
  <c r="AL466" i="17"/>
  <c r="AN466" i="17" s="1"/>
  <c r="AM465" i="17"/>
  <c r="AL465" i="17"/>
  <c r="AN465" i="17" s="1"/>
  <c r="AL464" i="17"/>
  <c r="AN464" i="17" s="1"/>
  <c r="AM464" i="17"/>
  <c r="AM463" i="17"/>
  <c r="AL463" i="17"/>
  <c r="AN463" i="17" s="1"/>
  <c r="AL412" i="17"/>
  <c r="AN412" i="17" s="1"/>
  <c r="AM412" i="17"/>
  <c r="AL411" i="17"/>
  <c r="AN411" i="17" s="1"/>
  <c r="AM411" i="17"/>
  <c r="AL7" i="17"/>
  <c r="AN7" i="17" s="1"/>
  <c r="AM7" i="17"/>
  <c r="AM6" i="17"/>
  <c r="AL6" i="17"/>
  <c r="AN6" i="17" s="1"/>
  <c r="AL5" i="17"/>
  <c r="AN5" i="17" s="1"/>
  <c r="AM5" i="17"/>
  <c r="AL964" i="17"/>
  <c r="AN964" i="17" s="1"/>
  <c r="AM964" i="17"/>
  <c r="AL963" i="17"/>
  <c r="AN963" i="17" s="1"/>
  <c r="AM963" i="17"/>
  <c r="AM962" i="17"/>
  <c r="AL962" i="17"/>
  <c r="AN962" i="17" s="1"/>
  <c r="AL961" i="17"/>
  <c r="AN961" i="17" s="1"/>
  <c r="AM961" i="17"/>
  <c r="AM960" i="17"/>
  <c r="AL960" i="17"/>
  <c r="AN960" i="17" s="1"/>
  <c r="AM959" i="17"/>
  <c r="AL959" i="17"/>
  <c r="AN959" i="17" s="1"/>
  <c r="AL958" i="17"/>
  <c r="AN958" i="17" s="1"/>
  <c r="AM958" i="17"/>
  <c r="AL953" i="17"/>
  <c r="AN953" i="17" s="1"/>
  <c r="AM953" i="17"/>
  <c r="AM952" i="17"/>
  <c r="AL952" i="17"/>
  <c r="AN952" i="17" s="1"/>
  <c r="AL951" i="17"/>
  <c r="AN951" i="17" s="1"/>
  <c r="AM951" i="17"/>
  <c r="AM950" i="17"/>
  <c r="AL950" i="17"/>
  <c r="AN950" i="17" s="1"/>
  <c r="AL886" i="17"/>
  <c r="AN886" i="17" s="1"/>
  <c r="AM886" i="17"/>
  <c r="AL885" i="17"/>
  <c r="AN885" i="17" s="1"/>
  <c r="AM885" i="17"/>
  <c r="AM884" i="17"/>
  <c r="AL884" i="17"/>
  <c r="AN884" i="17" s="1"/>
  <c r="AM957" i="17"/>
  <c r="AL957" i="17"/>
  <c r="AN957" i="17" s="1"/>
  <c r="AL956" i="17"/>
  <c r="AN956" i="17" s="1"/>
  <c r="AM956" i="17"/>
  <c r="AL955" i="17"/>
  <c r="AN955" i="17" s="1"/>
  <c r="AM955" i="17"/>
  <c r="AL954" i="17"/>
  <c r="AN954" i="17" s="1"/>
  <c r="AM954" i="17"/>
  <c r="AM774" i="17"/>
  <c r="AL774" i="17"/>
  <c r="AN774" i="17" s="1"/>
  <c r="AM773" i="17"/>
  <c r="AL773" i="17"/>
  <c r="AN773" i="17" s="1"/>
  <c r="AM772" i="17"/>
  <c r="AL772" i="17"/>
  <c r="AN772" i="17" s="1"/>
  <c r="AM771" i="17"/>
  <c r="AL771" i="17"/>
  <c r="AN771" i="17" s="1"/>
  <c r="AM770" i="17"/>
  <c r="AL770" i="17"/>
  <c r="AN770" i="17" s="1"/>
  <c r="AL769" i="17"/>
  <c r="AN769" i="17" s="1"/>
  <c r="AM769" i="17"/>
  <c r="AL768" i="17"/>
  <c r="AN768" i="17" s="1"/>
  <c r="AM768" i="17"/>
  <c r="AL767" i="17"/>
  <c r="AN767" i="17" s="1"/>
  <c r="AM767" i="17"/>
  <c r="AL715" i="17"/>
  <c r="AN715" i="17" s="1"/>
  <c r="AM715" i="17"/>
  <c r="AL714" i="17"/>
  <c r="AN714" i="17" s="1"/>
  <c r="AM714" i="17"/>
  <c r="AL692" i="17"/>
  <c r="AN692" i="17" s="1"/>
  <c r="AM692" i="17"/>
  <c r="AL691" i="17"/>
  <c r="AN691" i="17" s="1"/>
  <c r="AM691" i="17"/>
  <c r="AL690" i="17"/>
  <c r="AN690" i="17" s="1"/>
  <c r="AM690" i="17"/>
  <c r="AM689" i="17"/>
  <c r="AL689" i="17"/>
  <c r="AN689" i="17" s="1"/>
  <c r="AL688" i="17"/>
  <c r="AN688" i="17" s="1"/>
  <c r="AM688" i="17"/>
  <c r="AL687" i="17"/>
  <c r="AN687" i="17" s="1"/>
  <c r="AM687" i="17"/>
  <c r="AL686" i="17"/>
  <c r="AN686" i="17" s="1"/>
  <c r="AM686" i="17"/>
  <c r="AM685" i="17"/>
  <c r="AL685" i="17"/>
  <c r="AN685" i="17" s="1"/>
  <c r="AM684" i="17"/>
  <c r="AL684" i="17"/>
  <c r="AN684" i="17" s="1"/>
  <c r="AM683" i="17"/>
  <c r="AL683" i="17"/>
  <c r="AN683" i="17" s="1"/>
  <c r="AM682" i="17"/>
  <c r="AL682" i="17"/>
  <c r="AN682" i="17" s="1"/>
  <c r="AL634" i="17"/>
  <c r="AN634" i="17" s="1"/>
  <c r="AM634" i="17"/>
  <c r="AL633" i="17"/>
  <c r="AN633" i="17" s="1"/>
  <c r="AM633" i="17"/>
  <c r="AL632" i="17"/>
  <c r="AN632" i="17" s="1"/>
  <c r="AM632" i="17"/>
  <c r="AL631" i="17"/>
  <c r="AN631" i="17" s="1"/>
  <c r="AM631" i="17"/>
  <c r="AM630" i="17"/>
  <c r="AL630" i="17"/>
  <c r="AN630" i="17" s="1"/>
  <c r="AM629" i="17"/>
  <c r="AL629" i="17"/>
  <c r="AN629" i="17" s="1"/>
  <c r="AL628" i="17"/>
  <c r="AN628" i="17" s="1"/>
  <c r="AM628" i="17"/>
  <c r="AM627" i="17"/>
  <c r="AL627" i="17"/>
  <c r="AN627" i="17" s="1"/>
  <c r="AM626" i="17"/>
  <c r="AL626" i="17"/>
  <c r="AN626" i="17" s="1"/>
  <c r="AM625" i="17"/>
  <c r="AL625" i="17"/>
  <c r="AN625" i="17" s="1"/>
  <c r="AM624" i="17"/>
  <c r="AL624" i="17"/>
  <c r="AN624" i="17" s="1"/>
  <c r="AM623" i="17"/>
  <c r="AL623" i="17"/>
  <c r="AN623" i="17" s="1"/>
  <c r="AM622" i="17"/>
  <c r="AL622" i="17"/>
  <c r="AN622" i="17" s="1"/>
  <c r="AM621" i="17"/>
  <c r="AL621" i="17"/>
  <c r="AN621" i="17" s="1"/>
  <c r="AM620" i="17"/>
  <c r="AL620" i="17"/>
  <c r="AN620" i="17" s="1"/>
  <c r="AM619" i="17"/>
  <c r="AL619" i="17"/>
  <c r="AN619" i="17" s="1"/>
  <c r="AM618" i="17"/>
  <c r="AL618" i="17"/>
  <c r="AN618" i="17" s="1"/>
  <c r="AL617" i="17"/>
  <c r="AN617" i="17" s="1"/>
  <c r="AM617" i="17"/>
  <c r="AL616" i="17"/>
  <c r="AN616" i="17" s="1"/>
  <c r="AM616" i="17"/>
  <c r="AM545" i="17"/>
  <c r="AL545" i="17"/>
  <c r="AN545" i="17" s="1"/>
  <c r="AM544" i="17"/>
  <c r="AL544" i="17"/>
  <c r="AN544" i="17" s="1"/>
  <c r="AL543" i="17"/>
  <c r="AN543" i="17" s="1"/>
  <c r="AM543" i="17"/>
  <c r="AL462" i="17"/>
  <c r="AN462" i="17" s="1"/>
  <c r="AM462" i="17"/>
  <c r="AM461" i="17"/>
  <c r="AL461" i="17"/>
  <c r="AN461" i="17" s="1"/>
  <c r="AL239" i="17"/>
  <c r="AN239" i="17" s="1"/>
  <c r="AM239" i="17"/>
  <c r="AM238" i="17"/>
  <c r="AL238" i="17"/>
  <c r="AN238" i="17" s="1"/>
  <c r="AL168" i="17"/>
  <c r="AN168" i="17" s="1"/>
  <c r="AM168" i="17"/>
  <c r="AM167" i="17"/>
  <c r="AL167" i="17"/>
  <c r="AN167" i="17" s="1"/>
  <c r="AL166" i="17"/>
  <c r="AN166" i="17" s="1"/>
  <c r="AM166" i="17"/>
  <c r="AL165" i="17"/>
  <c r="AN165" i="17" s="1"/>
  <c r="AM165" i="17"/>
  <c r="AL164" i="17"/>
  <c r="AN164" i="17" s="1"/>
  <c r="AM164" i="17"/>
  <c r="AL163" i="17"/>
  <c r="AN163" i="17" s="1"/>
  <c r="AM163" i="17"/>
  <c r="AM162" i="17"/>
  <c r="AL162" i="17"/>
  <c r="AN162" i="17" s="1"/>
  <c r="AM161" i="17"/>
  <c r="AL161" i="17"/>
  <c r="AN161" i="17" s="1"/>
  <c r="AM160" i="17"/>
  <c r="AL160" i="17"/>
  <c r="AN160" i="17" s="1"/>
  <c r="AL159" i="17"/>
  <c r="AN159" i="17" s="1"/>
  <c r="AM159" i="17"/>
  <c r="AL158" i="17"/>
  <c r="AN158" i="17" s="1"/>
  <c r="AM158" i="17"/>
  <c r="AL157" i="17"/>
  <c r="AN157" i="17" s="1"/>
  <c r="AM157" i="17"/>
  <c r="AL156" i="17"/>
  <c r="AN156" i="17" s="1"/>
  <c r="AM156" i="17"/>
  <c r="AL155" i="17"/>
  <c r="AN155" i="17" s="1"/>
  <c r="AM155" i="17"/>
  <c r="AM154" i="17"/>
  <c r="AL154" i="17"/>
  <c r="AN154" i="17" s="1"/>
  <c r="AL153" i="17"/>
  <c r="AN153" i="17" s="1"/>
  <c r="AM153" i="17"/>
  <c r="AM152" i="17"/>
  <c r="AL152" i="17"/>
  <c r="AN152" i="17" s="1"/>
  <c r="AL151" i="17"/>
  <c r="AN151" i="17" s="1"/>
  <c r="AM151" i="17"/>
  <c r="AM150" i="17"/>
  <c r="AL150" i="17"/>
  <c r="AN150" i="17" s="1"/>
  <c r="AM149" i="17"/>
  <c r="AL149" i="17"/>
  <c r="AN149" i="17" s="1"/>
  <c r="AM148" i="17"/>
  <c r="AL148" i="17"/>
  <c r="AN148" i="17" s="1"/>
  <c r="AM147" i="17"/>
  <c r="AL147" i="17"/>
  <c r="AN147" i="17" s="1"/>
  <c r="AM146" i="17"/>
  <c r="AL146" i="17"/>
  <c r="AN146" i="17" s="1"/>
  <c r="AL145" i="17"/>
  <c r="AN145" i="17" s="1"/>
  <c r="AM145" i="17"/>
  <c r="AM144" i="17"/>
  <c r="AL144" i="17"/>
  <c r="AN144" i="17" s="1"/>
  <c r="AL53" i="17"/>
  <c r="AN53" i="17" s="1"/>
  <c r="AM53" i="17"/>
  <c r="AL52" i="17"/>
  <c r="AN52" i="17" s="1"/>
  <c r="AM52" i="17"/>
  <c r="AM51" i="17"/>
  <c r="AL51" i="17"/>
  <c r="AN51" i="17" s="1"/>
  <c r="AM50" i="17"/>
  <c r="AL50" i="17"/>
  <c r="AN50" i="17" s="1"/>
  <c r="AM49" i="17"/>
  <c r="AL49" i="17"/>
  <c r="AN49" i="17" s="1"/>
  <c r="AM48" i="17"/>
  <c r="AL48" i="17"/>
  <c r="AN48" i="17" s="1"/>
  <c r="AM47" i="17"/>
  <c r="AL47" i="17"/>
  <c r="AN47" i="17" s="1"/>
  <c r="AM46" i="17"/>
  <c r="AL46" i="17"/>
  <c r="AN46" i="17" s="1"/>
  <c r="AL45" i="17"/>
  <c r="AN45" i="17" s="1"/>
  <c r="AM45" i="17"/>
  <c r="AM44" i="17"/>
  <c r="AL44" i="17"/>
  <c r="AN44" i="17" s="1"/>
  <c r="AM43" i="17"/>
  <c r="AL43" i="17"/>
  <c r="AN43" i="17" s="1"/>
  <c r="AM42" i="17"/>
  <c r="AL42" i="17"/>
  <c r="AN42" i="17" s="1"/>
  <c r="AM41" i="17"/>
  <c r="AL41" i="17"/>
  <c r="AN41" i="17" s="1"/>
  <c r="AM40" i="17"/>
  <c r="AL40" i="17"/>
  <c r="AN40" i="17" s="1"/>
  <c r="AM4" i="17"/>
  <c r="AL4" i="17"/>
  <c r="AN4" i="17" s="1"/>
  <c r="AM920" i="17"/>
  <c r="AL920" i="17"/>
  <c r="AN920" i="17" s="1"/>
  <c r="AM883" i="17"/>
  <c r="AL883" i="17"/>
  <c r="AN883" i="17" s="1"/>
  <c r="AM882" i="17"/>
  <c r="AL882" i="17"/>
  <c r="AN882" i="17" s="1"/>
  <c r="AM881" i="17"/>
  <c r="AL881" i="17"/>
  <c r="AN881" i="17" s="1"/>
  <c r="AM880" i="17"/>
  <c r="AL880" i="17"/>
  <c r="AN880" i="17" s="1"/>
  <c r="AL879" i="17"/>
  <c r="AN879" i="17" s="1"/>
  <c r="AM879" i="17"/>
  <c r="AM878" i="17"/>
  <c r="AL878" i="17"/>
  <c r="AN878" i="17" s="1"/>
  <c r="AL877" i="17"/>
  <c r="AN877" i="17" s="1"/>
  <c r="AM877" i="17"/>
  <c r="AL876" i="17"/>
  <c r="AN876" i="17" s="1"/>
  <c r="AM876" i="17"/>
  <c r="AM875" i="17"/>
  <c r="AL875" i="17"/>
  <c r="AN875" i="17" s="1"/>
  <c r="AM874" i="17"/>
  <c r="AL874" i="17"/>
  <c r="AN874" i="17" s="1"/>
  <c r="AL873" i="17"/>
  <c r="AN873" i="17" s="1"/>
  <c r="AM873" i="17"/>
  <c r="AL872" i="17"/>
  <c r="AN872" i="17" s="1"/>
  <c r="AM872" i="17"/>
  <c r="AL871" i="17"/>
  <c r="AN871" i="17" s="1"/>
  <c r="AM871" i="17"/>
  <c r="AL843" i="17"/>
  <c r="AN843" i="17" s="1"/>
  <c r="AM843" i="17"/>
  <c r="AL842" i="17"/>
  <c r="AN842" i="17" s="1"/>
  <c r="AM842" i="17"/>
  <c r="AM841" i="17"/>
  <c r="AL841" i="17"/>
  <c r="AN841" i="17" s="1"/>
  <c r="AM840" i="17"/>
  <c r="AL840" i="17"/>
  <c r="AN840" i="17" s="1"/>
  <c r="AL839" i="17"/>
  <c r="AN839" i="17" s="1"/>
  <c r="AM839" i="17"/>
  <c r="AL838" i="17"/>
  <c r="AN838" i="17" s="1"/>
  <c r="AM838" i="17"/>
  <c r="AM837" i="17"/>
  <c r="AL837" i="17"/>
  <c r="AN837" i="17" s="1"/>
  <c r="AM836" i="17"/>
  <c r="AL836" i="17"/>
  <c r="AN836" i="17" s="1"/>
  <c r="AM835" i="17"/>
  <c r="AL835" i="17"/>
  <c r="AN835" i="17" s="1"/>
  <c r="AL834" i="17"/>
  <c r="AN834" i="17" s="1"/>
  <c r="AM834" i="17"/>
  <c r="AL833" i="17"/>
  <c r="AN833" i="17" s="1"/>
  <c r="AM833" i="17"/>
  <c r="AL832" i="17"/>
  <c r="AN832" i="17" s="1"/>
  <c r="AM832" i="17"/>
  <c r="AL831" i="17"/>
  <c r="AN831" i="17" s="1"/>
  <c r="AM831" i="17"/>
  <c r="AM830" i="17"/>
  <c r="AL830" i="17"/>
  <c r="AN830" i="17" s="1"/>
  <c r="AM829" i="17"/>
  <c r="AL829" i="17"/>
  <c r="AN829" i="17" s="1"/>
  <c r="AM828" i="17"/>
  <c r="AL828" i="17"/>
  <c r="AN828" i="17" s="1"/>
  <c r="AL827" i="17"/>
  <c r="AN827" i="17" s="1"/>
  <c r="AM827" i="17"/>
  <c r="AL826" i="17"/>
  <c r="AN826" i="17" s="1"/>
  <c r="AM826" i="17"/>
  <c r="AM807" i="17"/>
  <c r="AL807" i="17"/>
  <c r="AN807" i="17" s="1"/>
  <c r="AM806" i="17"/>
  <c r="AL806" i="17"/>
  <c r="AN806" i="17" s="1"/>
  <c r="AM805" i="17"/>
  <c r="AL805" i="17"/>
  <c r="AN805" i="17" s="1"/>
  <c r="AM804" i="17"/>
  <c r="AL804" i="17"/>
  <c r="AN804" i="17" s="1"/>
  <c r="AM803" i="17"/>
  <c r="AL803" i="17"/>
  <c r="AN803" i="17" s="1"/>
  <c r="AM802" i="17"/>
  <c r="AL802" i="17"/>
  <c r="AN802" i="17" s="1"/>
  <c r="AL801" i="17"/>
  <c r="AN801" i="17" s="1"/>
  <c r="AM801" i="17"/>
  <c r="AL800" i="17"/>
  <c r="AN800" i="17" s="1"/>
  <c r="AM800" i="17"/>
  <c r="AL799" i="17"/>
  <c r="AN799" i="17" s="1"/>
  <c r="AM799" i="17"/>
  <c r="AL798" i="17"/>
  <c r="AN798" i="17" s="1"/>
  <c r="AM798" i="17"/>
  <c r="AM797" i="17"/>
  <c r="AL797" i="17"/>
  <c r="AN797" i="17" s="1"/>
  <c r="AM796" i="17"/>
  <c r="AL796" i="17"/>
  <c r="AN796" i="17" s="1"/>
  <c r="AL795" i="17"/>
  <c r="AN795" i="17" s="1"/>
  <c r="AM795" i="17"/>
  <c r="AM794" i="17"/>
  <c r="AL794" i="17"/>
  <c r="AN794" i="17" s="1"/>
  <c r="AM793" i="17"/>
  <c r="AL793" i="17"/>
  <c r="AN793" i="17" s="1"/>
  <c r="AM766" i="17"/>
  <c r="AL766" i="17"/>
  <c r="AN766" i="17" s="1"/>
  <c r="AM765" i="17"/>
  <c r="AL765" i="17"/>
  <c r="AN765" i="17" s="1"/>
  <c r="AL764" i="17"/>
  <c r="AN764" i="17" s="1"/>
  <c r="AM764" i="17"/>
  <c r="AL763" i="17"/>
  <c r="AN763" i="17" s="1"/>
  <c r="AM763" i="17"/>
  <c r="AL762" i="17"/>
  <c r="AN762" i="17" s="1"/>
  <c r="AM762" i="17"/>
  <c r="AM761" i="17"/>
  <c r="AL761" i="17"/>
  <c r="AN761" i="17" s="1"/>
  <c r="AL760" i="17"/>
  <c r="AN760" i="17" s="1"/>
  <c r="AM760" i="17"/>
  <c r="AM759" i="17"/>
  <c r="AL759" i="17"/>
  <c r="AN759" i="17" s="1"/>
  <c r="AL758" i="17"/>
  <c r="AN758" i="17" s="1"/>
  <c r="AM758" i="17"/>
  <c r="AM757" i="17"/>
  <c r="AL757" i="17"/>
  <c r="AN757" i="17" s="1"/>
  <c r="AL756" i="17"/>
  <c r="AN756" i="17" s="1"/>
  <c r="AM756" i="17"/>
  <c r="AL755" i="17"/>
  <c r="AN755" i="17" s="1"/>
  <c r="AM755" i="17"/>
  <c r="AL754" i="17"/>
  <c r="AN754" i="17" s="1"/>
  <c r="AM754" i="17"/>
  <c r="AM753" i="17"/>
  <c r="AL753" i="17"/>
  <c r="AN753" i="17" s="1"/>
  <c r="AM752" i="17"/>
  <c r="AL752" i="17"/>
  <c r="AN752" i="17" s="1"/>
  <c r="AL751" i="17"/>
  <c r="AN751" i="17" s="1"/>
  <c r="AM751" i="17"/>
  <c r="AM750" i="17"/>
  <c r="AL750" i="17"/>
  <c r="AN750" i="17" s="1"/>
  <c r="AM749" i="17"/>
  <c r="AL749" i="17"/>
  <c r="AN749" i="17" s="1"/>
  <c r="AL748" i="17"/>
  <c r="AN748" i="17" s="1"/>
  <c r="AM748" i="17"/>
  <c r="AL747" i="17"/>
  <c r="AN747" i="17" s="1"/>
  <c r="AM747" i="17"/>
  <c r="AM746" i="17"/>
  <c r="AL746" i="17"/>
  <c r="AN746" i="17" s="1"/>
  <c r="AL745" i="17"/>
  <c r="AN745" i="17" s="1"/>
  <c r="AM745" i="17"/>
  <c r="AL744" i="17"/>
  <c r="AN744" i="17" s="1"/>
  <c r="AM744" i="17"/>
  <c r="AL743" i="17"/>
  <c r="AN743" i="17" s="1"/>
  <c r="AM743" i="17"/>
  <c r="AL742" i="17"/>
  <c r="AN742" i="17" s="1"/>
  <c r="AM742" i="17"/>
  <c r="AM741" i="17"/>
  <c r="AL741" i="17"/>
  <c r="AN741" i="17" s="1"/>
  <c r="AL740" i="17"/>
  <c r="AN740" i="17" s="1"/>
  <c r="AM740" i="17"/>
  <c r="AM739" i="17"/>
  <c r="AL739" i="17"/>
  <c r="AN739" i="17" s="1"/>
  <c r="AL738" i="17"/>
  <c r="AN738" i="17" s="1"/>
  <c r="AM738" i="17"/>
  <c r="AL737" i="17"/>
  <c r="AN737" i="17" s="1"/>
  <c r="AM737" i="17"/>
  <c r="AM736" i="17"/>
  <c r="AL736" i="17"/>
  <c r="AN736" i="17" s="1"/>
  <c r="AM735" i="17"/>
  <c r="AL735" i="17"/>
  <c r="AN735" i="17" s="1"/>
  <c r="AM734" i="17"/>
  <c r="AL734" i="17"/>
  <c r="AN734" i="17" s="1"/>
  <c r="AL733" i="17"/>
  <c r="AN733" i="17" s="1"/>
  <c r="AM733" i="17"/>
  <c r="AL732" i="17"/>
  <c r="AN732" i="17" s="1"/>
  <c r="AM732" i="17"/>
  <c r="AM731" i="17"/>
  <c r="AL731" i="17"/>
  <c r="AN731" i="17" s="1"/>
  <c r="AL730" i="17"/>
  <c r="AN730" i="17" s="1"/>
  <c r="AM730" i="17"/>
  <c r="AM729" i="17"/>
  <c r="AL729" i="17"/>
  <c r="AN729" i="17" s="1"/>
  <c r="AM728" i="17"/>
  <c r="AL728" i="17"/>
  <c r="AN728" i="17" s="1"/>
  <c r="AL727" i="17"/>
  <c r="AN727" i="17" s="1"/>
  <c r="AM727" i="17"/>
  <c r="AM726" i="17"/>
  <c r="AL726" i="17"/>
  <c r="AN726" i="17" s="1"/>
  <c r="AM725" i="17"/>
  <c r="AL725" i="17"/>
  <c r="AN725" i="17" s="1"/>
  <c r="AM724" i="17"/>
  <c r="AL724" i="17"/>
  <c r="AN724" i="17" s="1"/>
  <c r="AL723" i="17"/>
  <c r="AN723" i="17" s="1"/>
  <c r="AM723" i="17"/>
  <c r="AM722" i="17"/>
  <c r="AL722" i="17"/>
  <c r="AN722" i="17" s="1"/>
  <c r="AL721" i="17"/>
  <c r="AN721" i="17" s="1"/>
  <c r="AM721" i="17"/>
  <c r="AL720" i="17"/>
  <c r="AN720" i="17" s="1"/>
  <c r="AM720" i="17"/>
  <c r="AM719" i="17"/>
  <c r="AL719" i="17"/>
  <c r="AN719" i="17" s="1"/>
  <c r="AM718" i="17"/>
  <c r="AL718" i="17"/>
  <c r="AN718" i="17" s="1"/>
  <c r="AL717" i="17"/>
  <c r="AN717" i="17" s="1"/>
  <c r="AM717" i="17"/>
  <c r="AL716" i="17"/>
  <c r="AN716" i="17" s="1"/>
  <c r="AM716" i="17"/>
  <c r="AM681" i="17"/>
  <c r="AL681" i="17"/>
  <c r="AN681" i="17" s="1"/>
  <c r="AL680" i="17"/>
  <c r="AN680" i="17" s="1"/>
  <c r="AM680" i="17"/>
  <c r="AM679" i="17"/>
  <c r="AL679" i="17"/>
  <c r="AN679" i="17" s="1"/>
  <c r="AM678" i="17"/>
  <c r="AL678" i="17"/>
  <c r="AN678" i="17" s="1"/>
  <c r="AM677" i="17"/>
  <c r="AL677" i="17"/>
  <c r="AN677" i="17" s="1"/>
  <c r="AL676" i="17"/>
  <c r="AN676" i="17" s="1"/>
  <c r="AM676" i="17"/>
  <c r="AL675" i="17"/>
  <c r="AN675" i="17" s="1"/>
  <c r="AM675" i="17"/>
  <c r="AL674" i="17"/>
  <c r="AN674" i="17" s="1"/>
  <c r="AM674" i="17"/>
  <c r="AL673" i="17"/>
  <c r="AN673" i="17" s="1"/>
  <c r="AM673" i="17"/>
  <c r="AL672" i="17"/>
  <c r="AN672" i="17" s="1"/>
  <c r="AM672" i="17"/>
  <c r="AM671" i="17"/>
  <c r="AL671" i="17"/>
  <c r="AN671" i="17" s="1"/>
  <c r="AM670" i="17"/>
  <c r="AL670" i="17"/>
  <c r="AN670" i="17" s="1"/>
  <c r="AM669" i="17"/>
  <c r="AL669" i="17"/>
  <c r="AN669" i="17" s="1"/>
  <c r="AL668" i="17"/>
  <c r="AN668" i="17" s="1"/>
  <c r="AM668" i="17"/>
  <c r="AM667" i="17"/>
  <c r="AL667" i="17"/>
  <c r="AN667" i="17" s="1"/>
  <c r="AM666" i="17"/>
  <c r="AL666" i="17"/>
  <c r="AN666" i="17" s="1"/>
  <c r="AM665" i="17"/>
  <c r="AL665" i="17"/>
  <c r="AN665" i="17" s="1"/>
  <c r="AM664" i="17"/>
  <c r="AL664" i="17"/>
  <c r="AN664" i="17" s="1"/>
  <c r="AM663" i="17"/>
  <c r="AL663" i="17"/>
  <c r="AN663" i="17" s="1"/>
  <c r="AM662" i="17"/>
  <c r="AL662" i="17"/>
  <c r="AN662" i="17" s="1"/>
  <c r="AM661" i="17"/>
  <c r="AL661" i="17"/>
  <c r="AN661" i="17" s="1"/>
  <c r="AM660" i="17"/>
  <c r="AL660" i="17"/>
  <c r="AN660" i="17" s="1"/>
  <c r="AM659" i="17"/>
  <c r="AL659" i="17"/>
  <c r="AN659" i="17" s="1"/>
  <c r="AL658" i="17"/>
  <c r="AN658" i="17" s="1"/>
  <c r="AM658" i="17"/>
  <c r="AL657" i="17"/>
  <c r="AN657" i="17" s="1"/>
  <c r="AM657" i="17"/>
  <c r="AL656" i="17"/>
  <c r="AN656" i="17" s="1"/>
  <c r="AM656" i="17"/>
  <c r="AM655" i="17"/>
  <c r="AL655" i="17"/>
  <c r="AN655" i="17" s="1"/>
  <c r="AL648" i="17"/>
  <c r="AN648" i="17" s="1"/>
  <c r="AM648" i="17"/>
  <c r="AM647" i="17"/>
  <c r="AL647" i="17"/>
  <c r="AN647" i="17" s="1"/>
  <c r="AM646" i="17"/>
  <c r="AL646" i="17"/>
  <c r="AN646" i="17" s="1"/>
  <c r="AM645" i="17"/>
  <c r="AL645" i="17"/>
  <c r="AN645" i="17" s="1"/>
  <c r="AL644" i="17"/>
  <c r="AN644" i="17" s="1"/>
  <c r="AM644" i="17"/>
  <c r="AM643" i="17"/>
  <c r="AL643" i="17"/>
  <c r="AN643" i="17" s="1"/>
  <c r="AL642" i="17"/>
  <c r="AN642" i="17" s="1"/>
  <c r="AM642" i="17"/>
  <c r="AM641" i="17"/>
  <c r="AL641" i="17"/>
  <c r="AN641" i="17" s="1"/>
  <c r="AM640" i="17"/>
  <c r="AL640" i="17"/>
  <c r="AN640" i="17" s="1"/>
  <c r="AL639" i="17"/>
  <c r="AN639" i="17" s="1"/>
  <c r="AM639" i="17"/>
  <c r="AM638" i="17"/>
  <c r="AL638" i="17"/>
  <c r="AN638" i="17" s="1"/>
  <c r="AL637" i="17"/>
  <c r="AN637" i="17" s="1"/>
  <c r="AM637" i="17"/>
  <c r="AM636" i="17"/>
  <c r="AL636" i="17"/>
  <c r="AN636" i="17" s="1"/>
  <c r="AM635" i="17"/>
  <c r="AL635" i="17"/>
  <c r="AN635" i="17" s="1"/>
  <c r="AM615" i="17"/>
  <c r="AL615" i="17"/>
  <c r="AN615" i="17" s="1"/>
  <c r="AM614" i="17"/>
  <c r="AL614" i="17"/>
  <c r="AN614" i="17" s="1"/>
  <c r="AL613" i="17"/>
  <c r="AN613" i="17" s="1"/>
  <c r="AM613" i="17"/>
  <c r="AM612" i="17"/>
  <c r="AL612" i="17"/>
  <c r="AN612" i="17" s="1"/>
  <c r="AL611" i="17"/>
  <c r="AN611" i="17" s="1"/>
  <c r="AM611" i="17"/>
  <c r="AM610" i="17"/>
  <c r="AL610" i="17"/>
  <c r="AN610" i="17" s="1"/>
  <c r="AM609" i="17"/>
  <c r="AL609" i="17"/>
  <c r="AN609" i="17" s="1"/>
  <c r="AL608" i="17"/>
  <c r="AN608" i="17" s="1"/>
  <c r="AM608" i="17"/>
  <c r="AL607" i="17"/>
  <c r="AN607" i="17" s="1"/>
  <c r="AM607" i="17"/>
  <c r="AM606" i="17"/>
  <c r="AL606" i="17"/>
  <c r="AN606" i="17" s="1"/>
  <c r="AM605" i="17"/>
  <c r="AL605" i="17"/>
  <c r="AN605" i="17" s="1"/>
  <c r="AM604" i="17"/>
  <c r="AL604" i="17"/>
  <c r="AN604" i="17" s="1"/>
  <c r="AM603" i="17"/>
  <c r="AL603" i="17"/>
  <c r="AN603" i="17" s="1"/>
  <c r="AM602" i="17"/>
  <c r="AL602" i="17"/>
  <c r="AN602" i="17" s="1"/>
  <c r="AL601" i="17"/>
  <c r="AN601" i="17" s="1"/>
  <c r="AM601" i="17"/>
  <c r="AM600" i="17"/>
  <c r="AL600" i="17"/>
  <c r="AN600" i="17" s="1"/>
  <c r="AM599" i="17"/>
  <c r="AL599" i="17"/>
  <c r="AN599" i="17" s="1"/>
  <c r="AM598" i="17"/>
  <c r="AL598" i="17"/>
  <c r="AN598" i="17" s="1"/>
  <c r="AL597" i="17"/>
  <c r="AN597" i="17" s="1"/>
  <c r="AM597" i="17"/>
  <c r="AM596" i="17"/>
  <c r="AL596" i="17"/>
  <c r="AN596" i="17" s="1"/>
  <c r="AM595" i="17"/>
  <c r="AL595" i="17"/>
  <c r="AN595" i="17" s="1"/>
  <c r="AM594" i="17"/>
  <c r="AL594" i="17"/>
  <c r="AN594" i="17" s="1"/>
  <c r="AL593" i="17"/>
  <c r="AN593" i="17" s="1"/>
  <c r="AM593" i="17"/>
  <c r="AM592" i="17"/>
  <c r="AL592" i="17"/>
  <c r="AN592" i="17" s="1"/>
  <c r="AL588" i="17"/>
  <c r="AN588" i="17" s="1"/>
  <c r="AM588" i="17"/>
  <c r="AL587" i="17"/>
  <c r="AN587" i="17" s="1"/>
  <c r="AM587" i="17"/>
  <c r="AM586" i="17"/>
  <c r="AL586" i="17"/>
  <c r="AN586" i="17" s="1"/>
  <c r="AL585" i="17"/>
  <c r="AN585" i="17" s="1"/>
  <c r="AM585" i="17"/>
  <c r="AL584" i="17"/>
  <c r="AN584" i="17" s="1"/>
  <c r="AM584" i="17"/>
  <c r="AL583" i="17"/>
  <c r="AN583" i="17" s="1"/>
  <c r="AM583" i="17"/>
  <c r="AL582" i="17"/>
  <c r="AN582" i="17" s="1"/>
  <c r="AM582" i="17"/>
  <c r="AL581" i="17"/>
  <c r="AN581" i="17" s="1"/>
  <c r="AM581" i="17"/>
  <c r="AL580" i="17"/>
  <c r="AN580" i="17" s="1"/>
  <c r="AM580" i="17"/>
  <c r="AM579" i="17"/>
  <c r="AL579" i="17"/>
  <c r="AN579" i="17" s="1"/>
  <c r="AM578" i="17"/>
  <c r="AL578" i="17"/>
  <c r="AN578" i="17" s="1"/>
  <c r="AM577" i="17"/>
  <c r="AL577" i="17"/>
  <c r="AN577" i="17" s="1"/>
  <c r="AL576" i="17"/>
  <c r="AN576" i="17" s="1"/>
  <c r="AM576" i="17"/>
  <c r="AM575" i="17"/>
  <c r="AL575" i="17"/>
  <c r="AN575" i="17" s="1"/>
  <c r="AL574" i="17"/>
  <c r="AN574" i="17" s="1"/>
  <c r="AM574" i="17"/>
  <c r="AL573" i="17"/>
  <c r="AN573" i="17" s="1"/>
  <c r="AM573" i="17"/>
  <c r="AL572" i="17"/>
  <c r="AN572" i="17" s="1"/>
  <c r="AM572" i="17"/>
  <c r="AM571" i="17"/>
  <c r="AL571" i="17"/>
  <c r="AN571" i="17" s="1"/>
  <c r="AL570" i="17"/>
  <c r="AN570" i="17" s="1"/>
  <c r="AM570" i="17"/>
  <c r="AM569" i="17"/>
  <c r="AL569" i="17"/>
  <c r="AN569" i="17" s="1"/>
  <c r="AL568" i="17"/>
  <c r="AN568" i="17" s="1"/>
  <c r="AM568" i="17"/>
  <c r="AL567" i="17"/>
  <c r="AN567" i="17" s="1"/>
  <c r="AM567" i="17"/>
  <c r="AM566" i="17"/>
  <c r="AL566" i="17"/>
  <c r="AN566" i="17" s="1"/>
  <c r="AL565" i="17"/>
  <c r="AN565" i="17" s="1"/>
  <c r="AM565" i="17"/>
  <c r="AL564" i="17"/>
  <c r="AN564" i="17" s="1"/>
  <c r="AM564" i="17"/>
  <c r="AM563" i="17"/>
  <c r="AL563" i="17"/>
  <c r="AN563" i="17" s="1"/>
  <c r="AM562" i="17"/>
  <c r="AL562" i="17"/>
  <c r="AN562" i="17" s="1"/>
  <c r="AM561" i="17"/>
  <c r="AL561" i="17"/>
  <c r="AN561" i="17" s="1"/>
  <c r="AM560" i="17"/>
  <c r="AL560" i="17"/>
  <c r="AN560" i="17" s="1"/>
  <c r="AM559" i="17"/>
  <c r="AL559" i="17"/>
  <c r="AN559" i="17" s="1"/>
  <c r="AM558" i="17"/>
  <c r="AL558" i="17"/>
  <c r="AN558" i="17" s="1"/>
  <c r="AM542" i="17"/>
  <c r="AL542" i="17"/>
  <c r="AN542" i="17" s="1"/>
  <c r="AM541" i="17"/>
  <c r="AL541" i="17"/>
  <c r="AN541" i="17" s="1"/>
  <c r="AM540" i="17"/>
  <c r="AL540" i="17"/>
  <c r="AN540" i="17" s="1"/>
  <c r="AM539" i="17"/>
  <c r="AL539" i="17"/>
  <c r="AN539" i="17" s="1"/>
  <c r="AL538" i="17"/>
  <c r="AN538" i="17" s="1"/>
  <c r="AM538" i="17"/>
  <c r="AM537" i="17"/>
  <c r="AL537" i="17"/>
  <c r="AN537" i="17" s="1"/>
  <c r="AM536" i="17"/>
  <c r="AL536" i="17"/>
  <c r="AN536" i="17" s="1"/>
  <c r="AM535" i="17"/>
  <c r="AL535" i="17"/>
  <c r="AN535" i="17" s="1"/>
  <c r="AM534" i="17"/>
  <c r="AL534" i="17"/>
  <c r="AN534" i="17" s="1"/>
  <c r="AL533" i="17"/>
  <c r="AN533" i="17" s="1"/>
  <c r="AM533" i="17"/>
  <c r="AL532" i="17"/>
  <c r="AN532" i="17" s="1"/>
  <c r="AM532" i="17"/>
  <c r="AM531" i="17"/>
  <c r="AL531" i="17"/>
  <c r="AN531" i="17" s="1"/>
  <c r="AM530" i="17"/>
  <c r="AL530" i="17"/>
  <c r="AN530" i="17" s="1"/>
  <c r="AM529" i="17"/>
  <c r="AL529" i="17"/>
  <c r="AN529" i="17" s="1"/>
  <c r="AL528" i="17"/>
  <c r="AN528" i="17" s="1"/>
  <c r="AM528" i="17"/>
  <c r="AL527" i="17"/>
  <c r="AN527" i="17" s="1"/>
  <c r="AM527" i="17"/>
  <c r="AL526" i="17"/>
  <c r="AN526" i="17" s="1"/>
  <c r="AM526" i="17"/>
  <c r="AM525" i="17"/>
  <c r="AL525" i="17"/>
  <c r="AN525" i="17" s="1"/>
  <c r="AM524" i="17"/>
  <c r="AL524" i="17"/>
  <c r="AN524" i="17" s="1"/>
  <c r="AL523" i="17"/>
  <c r="AN523" i="17" s="1"/>
  <c r="AM523" i="17"/>
  <c r="AL522" i="17"/>
  <c r="AN522" i="17" s="1"/>
  <c r="AM522" i="17"/>
  <c r="AM521" i="17"/>
  <c r="AL521" i="17"/>
  <c r="AN521" i="17" s="1"/>
  <c r="AM520" i="17"/>
  <c r="AL520" i="17"/>
  <c r="AN520" i="17" s="1"/>
  <c r="AL519" i="17"/>
  <c r="AN519" i="17" s="1"/>
  <c r="AM519" i="17"/>
  <c r="AM518" i="17"/>
  <c r="AL518" i="17"/>
  <c r="AN518" i="17" s="1"/>
  <c r="AL517" i="17"/>
  <c r="AN517" i="17" s="1"/>
  <c r="AM517" i="17"/>
  <c r="AM516" i="17"/>
  <c r="AL516" i="17"/>
  <c r="AN516" i="17" s="1"/>
  <c r="AL515" i="17"/>
  <c r="AN515" i="17" s="1"/>
  <c r="AM515" i="17"/>
  <c r="AM514" i="17"/>
  <c r="AL514" i="17"/>
  <c r="AN514" i="17" s="1"/>
  <c r="AM513" i="17"/>
  <c r="AL513" i="17"/>
  <c r="AN513" i="17" s="1"/>
  <c r="AM512" i="17"/>
  <c r="AL512" i="17"/>
  <c r="AN512" i="17" s="1"/>
  <c r="AL511" i="17"/>
  <c r="AN511" i="17" s="1"/>
  <c r="AM511" i="17"/>
  <c r="AM510" i="17"/>
  <c r="AL510" i="17"/>
  <c r="AN510" i="17" s="1"/>
  <c r="AM509" i="17"/>
  <c r="AL509" i="17"/>
  <c r="AN509" i="17" s="1"/>
  <c r="AL508" i="17"/>
  <c r="AN508" i="17" s="1"/>
  <c r="AM508" i="17"/>
  <c r="AM507" i="17"/>
  <c r="AL507" i="17"/>
  <c r="AN507" i="17" s="1"/>
  <c r="AL506" i="17"/>
  <c r="AN506" i="17" s="1"/>
  <c r="AM506" i="17"/>
  <c r="AM505" i="17"/>
  <c r="AL505" i="17"/>
  <c r="AN505" i="17" s="1"/>
  <c r="AM504" i="17"/>
  <c r="AL504" i="17"/>
  <c r="AN504" i="17" s="1"/>
  <c r="AL503" i="17"/>
  <c r="AN503" i="17" s="1"/>
  <c r="AM503" i="17"/>
  <c r="AL502" i="17"/>
  <c r="AN502" i="17" s="1"/>
  <c r="AM502" i="17"/>
  <c r="AL501" i="17"/>
  <c r="AN501" i="17" s="1"/>
  <c r="AM501" i="17"/>
  <c r="AL500" i="17"/>
  <c r="AN500" i="17" s="1"/>
  <c r="AM500" i="17"/>
  <c r="AL499" i="17"/>
  <c r="AN499" i="17" s="1"/>
  <c r="AM499" i="17"/>
  <c r="AM498" i="17"/>
  <c r="AL498" i="17"/>
  <c r="AN498" i="17" s="1"/>
  <c r="AM497" i="17"/>
  <c r="AL497" i="17"/>
  <c r="AN497" i="17" s="1"/>
  <c r="AL496" i="17"/>
  <c r="AN496" i="17" s="1"/>
  <c r="AM496" i="17"/>
  <c r="AL495" i="17"/>
  <c r="AN495" i="17" s="1"/>
  <c r="AM495" i="17"/>
  <c r="AL494" i="17"/>
  <c r="AN494" i="17" s="1"/>
  <c r="AM494" i="17"/>
  <c r="AL493" i="17"/>
  <c r="AN493" i="17" s="1"/>
  <c r="AM493" i="17"/>
  <c r="AM492" i="17"/>
  <c r="AL492" i="17"/>
  <c r="AN492" i="17" s="1"/>
  <c r="AM491" i="17"/>
  <c r="AL491" i="17"/>
  <c r="AN491" i="17" s="1"/>
  <c r="AM433" i="17"/>
  <c r="AL433" i="17"/>
  <c r="AN433" i="17" s="1"/>
  <c r="AM432" i="17"/>
  <c r="AL432" i="17"/>
  <c r="AN432" i="17" s="1"/>
  <c r="AL431" i="17"/>
  <c r="AN431" i="17" s="1"/>
  <c r="AM431" i="17"/>
  <c r="AL430" i="17"/>
  <c r="AN430" i="17" s="1"/>
  <c r="AM430" i="17"/>
  <c r="AL429" i="17"/>
  <c r="AN429" i="17" s="1"/>
  <c r="AM429" i="17"/>
  <c r="AL428" i="17"/>
  <c r="AN428" i="17" s="1"/>
  <c r="AM428" i="17"/>
  <c r="AL427" i="17"/>
  <c r="AN427" i="17" s="1"/>
  <c r="AM427" i="17"/>
  <c r="AM426" i="17"/>
  <c r="AL426" i="17"/>
  <c r="AN426" i="17" s="1"/>
  <c r="AL425" i="17"/>
  <c r="AN425" i="17" s="1"/>
  <c r="AM425" i="17"/>
  <c r="AL424" i="17"/>
  <c r="AN424" i="17" s="1"/>
  <c r="AM424" i="17"/>
  <c r="AM423" i="17"/>
  <c r="AL423" i="17"/>
  <c r="AN423" i="17" s="1"/>
  <c r="AM422" i="17"/>
  <c r="AL422" i="17"/>
  <c r="AN422" i="17" s="1"/>
  <c r="AL421" i="17"/>
  <c r="AN421" i="17" s="1"/>
  <c r="AM421" i="17"/>
  <c r="AL420" i="17"/>
  <c r="AN420" i="17" s="1"/>
  <c r="AM420" i="17"/>
  <c r="AL419" i="17"/>
  <c r="AN419" i="17" s="1"/>
  <c r="AM419" i="17"/>
  <c r="AL418" i="17"/>
  <c r="AN418" i="17" s="1"/>
  <c r="AM418" i="17"/>
  <c r="AL410" i="17"/>
  <c r="AN410" i="17" s="1"/>
  <c r="AM410" i="17"/>
  <c r="AM409" i="17"/>
  <c r="AL409" i="17"/>
  <c r="AN409" i="17" s="1"/>
  <c r="AM408" i="17"/>
  <c r="AL408" i="17"/>
  <c r="AN408" i="17" s="1"/>
  <c r="AM407" i="17"/>
  <c r="AL407" i="17"/>
  <c r="AN407" i="17" s="1"/>
  <c r="AM406" i="17"/>
  <c r="AL406" i="17"/>
  <c r="AN406" i="17" s="1"/>
  <c r="AL405" i="17"/>
  <c r="AN405" i="17" s="1"/>
  <c r="AM405" i="17"/>
  <c r="AL404" i="17"/>
  <c r="AN404" i="17" s="1"/>
  <c r="AM404" i="17"/>
  <c r="AM403" i="17"/>
  <c r="AL403" i="17"/>
  <c r="AN403" i="17" s="1"/>
  <c r="AM402" i="17"/>
  <c r="AL402" i="17"/>
  <c r="AN402" i="17" s="1"/>
  <c r="AL401" i="17"/>
  <c r="AN401" i="17" s="1"/>
  <c r="AM401" i="17"/>
  <c r="AL400" i="17"/>
  <c r="AN400" i="17" s="1"/>
  <c r="AM400" i="17"/>
  <c r="AM399" i="17"/>
  <c r="AL399" i="17"/>
  <c r="AN399" i="17" s="1"/>
  <c r="AM398" i="17"/>
  <c r="AL398" i="17"/>
  <c r="AN398" i="17" s="1"/>
  <c r="AL397" i="17"/>
  <c r="AN397" i="17" s="1"/>
  <c r="AM397" i="17"/>
  <c r="AL396" i="17"/>
  <c r="AN396" i="17" s="1"/>
  <c r="AM396" i="17"/>
  <c r="AL395" i="17"/>
  <c r="AN395" i="17" s="1"/>
  <c r="AM395" i="17"/>
  <c r="AL394" i="17"/>
  <c r="AN394" i="17" s="1"/>
  <c r="AM394" i="17"/>
  <c r="AL393" i="17"/>
  <c r="AN393" i="17" s="1"/>
  <c r="AM393" i="17"/>
  <c r="AL392" i="17"/>
  <c r="AN392" i="17" s="1"/>
  <c r="AM392" i="17"/>
  <c r="AL391" i="17"/>
  <c r="AN391" i="17" s="1"/>
  <c r="AM391" i="17"/>
  <c r="AL390" i="17"/>
  <c r="AN390" i="17" s="1"/>
  <c r="AM390" i="17"/>
  <c r="AL389" i="17"/>
  <c r="AN389" i="17" s="1"/>
  <c r="AM389" i="17"/>
  <c r="AL388" i="17"/>
  <c r="AN388" i="17" s="1"/>
  <c r="AM388" i="17"/>
  <c r="AL387" i="17"/>
  <c r="AN387" i="17" s="1"/>
  <c r="AM387" i="17"/>
  <c r="AL386" i="17"/>
  <c r="AN386" i="17" s="1"/>
  <c r="AM386" i="17"/>
  <c r="AL385" i="17"/>
  <c r="AN385" i="17" s="1"/>
  <c r="AM385" i="17"/>
  <c r="AL384" i="17"/>
  <c r="AN384" i="17" s="1"/>
  <c r="AM384" i="17"/>
  <c r="AM383" i="17"/>
  <c r="AL383" i="17"/>
  <c r="AN383" i="17" s="1"/>
  <c r="AM382" i="17"/>
  <c r="AL382" i="17"/>
  <c r="AN382" i="17" s="1"/>
  <c r="AM381" i="17"/>
  <c r="AL381" i="17"/>
  <c r="AN381" i="17" s="1"/>
  <c r="AM380" i="17"/>
  <c r="AL380" i="17"/>
  <c r="AN380" i="17" s="1"/>
  <c r="AL379" i="17"/>
  <c r="AN379" i="17" s="1"/>
  <c r="AM379" i="17"/>
  <c r="AL378" i="17"/>
  <c r="AN378" i="17" s="1"/>
  <c r="AM378" i="17"/>
  <c r="AM377" i="17"/>
  <c r="AL377" i="17"/>
  <c r="AN377" i="17" s="1"/>
  <c r="AM376" i="17"/>
  <c r="AL376" i="17"/>
  <c r="AN376" i="17" s="1"/>
  <c r="AM375" i="17"/>
  <c r="AL375" i="17"/>
  <c r="AN375" i="17" s="1"/>
  <c r="AL374" i="17"/>
  <c r="AN374" i="17" s="1"/>
  <c r="AM374" i="17"/>
  <c r="AM373" i="17"/>
  <c r="AL373" i="17"/>
  <c r="AN373" i="17" s="1"/>
  <c r="AM372" i="17"/>
  <c r="AL372" i="17"/>
  <c r="AN372" i="17" s="1"/>
  <c r="AM371" i="17"/>
  <c r="AL371" i="17"/>
  <c r="AN371" i="17" s="1"/>
  <c r="AL370" i="17"/>
  <c r="AN370" i="17" s="1"/>
  <c r="AM370" i="17"/>
  <c r="AL369" i="17"/>
  <c r="AN369" i="17" s="1"/>
  <c r="AM369" i="17"/>
  <c r="AL368" i="17"/>
  <c r="AN368" i="17" s="1"/>
  <c r="AM368" i="17"/>
  <c r="AL367" i="17"/>
  <c r="AN367" i="17" s="1"/>
  <c r="AM367" i="17"/>
  <c r="AL366" i="17"/>
  <c r="AN366" i="17" s="1"/>
  <c r="AM366" i="17"/>
  <c r="AL365" i="17"/>
  <c r="AN365" i="17" s="1"/>
  <c r="AM365" i="17"/>
  <c r="AM364" i="17"/>
  <c r="AL364" i="17"/>
  <c r="AN364" i="17" s="1"/>
  <c r="AL363" i="17"/>
  <c r="AN363" i="17" s="1"/>
  <c r="AM363" i="17"/>
  <c r="AL362" i="17"/>
  <c r="AN362" i="17" s="1"/>
  <c r="AM362" i="17"/>
  <c r="AM361" i="17"/>
  <c r="AL361" i="17"/>
  <c r="AN361" i="17" s="1"/>
  <c r="AM360" i="17"/>
  <c r="AL360" i="17"/>
  <c r="AN360" i="17" s="1"/>
  <c r="AL359" i="17"/>
  <c r="AN359" i="17" s="1"/>
  <c r="AM359" i="17"/>
  <c r="AM358" i="17"/>
  <c r="AL358" i="17"/>
  <c r="AN358" i="17" s="1"/>
  <c r="AM357" i="17"/>
  <c r="AL357" i="17"/>
  <c r="AN357" i="17" s="1"/>
  <c r="AL356" i="17"/>
  <c r="AN356" i="17" s="1"/>
  <c r="AM356" i="17"/>
  <c r="AL355" i="17"/>
  <c r="AN355" i="17" s="1"/>
  <c r="AM355" i="17"/>
  <c r="AL354" i="17"/>
  <c r="AN354" i="17" s="1"/>
  <c r="AM354" i="17"/>
  <c r="AL353" i="17"/>
  <c r="AN353" i="17" s="1"/>
  <c r="AM353" i="17"/>
  <c r="AM352" i="17"/>
  <c r="AL352" i="17"/>
  <c r="AN352" i="17" s="1"/>
  <c r="AL351" i="17"/>
  <c r="AN351" i="17" s="1"/>
  <c r="AM351" i="17"/>
  <c r="AM350" i="17"/>
  <c r="AL350" i="17"/>
  <c r="AN350" i="17" s="1"/>
  <c r="AL349" i="17"/>
  <c r="AN349" i="17" s="1"/>
  <c r="AM349" i="17"/>
  <c r="AL304" i="17"/>
  <c r="AN304" i="17" s="1"/>
  <c r="AM304" i="17"/>
  <c r="AL303" i="17"/>
  <c r="AN303" i="17" s="1"/>
  <c r="AM303" i="17"/>
  <c r="AL302" i="17"/>
  <c r="AN302" i="17" s="1"/>
  <c r="AM302" i="17"/>
  <c r="AM301" i="17"/>
  <c r="AL301" i="17"/>
  <c r="AN301" i="17" s="1"/>
  <c r="AM300" i="17"/>
  <c r="AL300" i="17"/>
  <c r="AN300" i="17" s="1"/>
  <c r="AL299" i="17"/>
  <c r="AN299" i="17" s="1"/>
  <c r="AM299" i="17"/>
  <c r="AM298" i="17"/>
  <c r="AL298" i="17"/>
  <c r="AN298" i="17" s="1"/>
  <c r="AM297" i="17"/>
  <c r="AL297" i="17"/>
  <c r="AN297" i="17" s="1"/>
  <c r="AL296" i="17"/>
  <c r="AN296" i="17" s="1"/>
  <c r="AM296" i="17"/>
  <c r="AL295" i="17"/>
  <c r="AN295" i="17" s="1"/>
  <c r="AM295" i="17"/>
  <c r="AM294" i="17"/>
  <c r="AL294" i="17"/>
  <c r="AN294" i="17" s="1"/>
  <c r="AL293" i="17"/>
  <c r="AN293" i="17" s="1"/>
  <c r="AM293" i="17"/>
  <c r="AL292" i="17"/>
  <c r="AN292" i="17" s="1"/>
  <c r="AM292" i="17"/>
  <c r="AM291" i="17"/>
  <c r="AL291" i="17"/>
  <c r="AN291" i="17" s="1"/>
  <c r="AM290" i="17"/>
  <c r="AL290" i="17"/>
  <c r="AN290" i="17" s="1"/>
  <c r="AM289" i="17"/>
  <c r="AL289" i="17"/>
  <c r="AN289" i="17" s="1"/>
  <c r="AM288" i="17"/>
  <c r="AL288" i="17"/>
  <c r="AN288" i="17" s="1"/>
  <c r="AL287" i="17"/>
  <c r="AN287" i="17" s="1"/>
  <c r="AM287" i="17"/>
  <c r="AL286" i="17"/>
  <c r="AN286" i="17" s="1"/>
  <c r="AM286" i="17"/>
  <c r="AM285" i="17"/>
  <c r="AL285" i="17"/>
  <c r="AN285" i="17" s="1"/>
  <c r="AM284" i="17"/>
  <c r="AL284" i="17"/>
  <c r="AN284" i="17" s="1"/>
  <c r="AM283" i="17"/>
  <c r="AL283" i="17"/>
  <c r="AN283" i="17" s="1"/>
  <c r="AM282" i="17"/>
  <c r="AL282" i="17"/>
  <c r="AN282" i="17" s="1"/>
  <c r="AL281" i="17"/>
  <c r="AN281" i="17" s="1"/>
  <c r="AM281" i="17"/>
  <c r="AM280" i="17"/>
  <c r="AL280" i="17"/>
  <c r="AN280" i="17" s="1"/>
  <c r="AM279" i="17"/>
  <c r="AL279" i="17"/>
  <c r="AN279" i="17" s="1"/>
  <c r="AL278" i="17"/>
  <c r="AN278" i="17" s="1"/>
  <c r="AM278" i="17"/>
  <c r="AM277" i="17"/>
  <c r="AL277" i="17"/>
  <c r="AN277" i="17" s="1"/>
  <c r="AM276" i="17"/>
  <c r="AL276" i="17"/>
  <c r="AN276" i="17" s="1"/>
  <c r="AM275" i="17"/>
  <c r="AL275" i="17"/>
  <c r="AN275" i="17" s="1"/>
  <c r="AM274" i="17"/>
  <c r="AL274" i="17"/>
  <c r="AN274" i="17" s="1"/>
  <c r="AL273" i="17"/>
  <c r="AN273" i="17" s="1"/>
  <c r="AM273" i="17"/>
  <c r="AL272" i="17"/>
  <c r="AN272" i="17" s="1"/>
  <c r="AM272" i="17"/>
  <c r="AM271" i="17"/>
  <c r="AL271" i="17"/>
  <c r="AN271" i="17" s="1"/>
  <c r="AM270" i="17"/>
  <c r="AL270" i="17"/>
  <c r="AN270" i="17" s="1"/>
  <c r="AM269" i="17"/>
  <c r="AL269" i="17"/>
  <c r="AN269" i="17" s="1"/>
  <c r="AL268" i="17"/>
  <c r="AN268" i="17" s="1"/>
  <c r="AM268" i="17"/>
  <c r="AL267" i="17"/>
  <c r="AN267" i="17" s="1"/>
  <c r="AM267" i="17"/>
  <c r="AM266" i="17"/>
  <c r="AL266" i="17"/>
  <c r="AN266" i="17" s="1"/>
  <c r="AL265" i="17"/>
  <c r="AN265" i="17" s="1"/>
  <c r="AM265" i="17"/>
  <c r="AL264" i="17"/>
  <c r="AN264" i="17" s="1"/>
  <c r="AM264" i="17"/>
  <c r="AM263" i="17"/>
  <c r="AL263" i="17"/>
  <c r="AN263" i="17" s="1"/>
  <c r="AL262" i="17"/>
  <c r="AN262" i="17" s="1"/>
  <c r="AM262" i="17"/>
  <c r="AM261" i="17"/>
  <c r="AL261" i="17"/>
  <c r="AN261" i="17" s="1"/>
  <c r="AL260" i="17"/>
  <c r="AN260" i="17" s="1"/>
  <c r="AM260" i="17"/>
  <c r="AM259" i="17"/>
  <c r="AL259" i="17"/>
  <c r="AN259" i="17" s="1"/>
  <c r="AL143" i="17"/>
  <c r="AN143" i="17" s="1"/>
  <c r="AM143" i="17"/>
  <c r="AM142" i="17"/>
  <c r="AL142" i="17"/>
  <c r="AN142" i="17" s="1"/>
  <c r="AL141" i="17"/>
  <c r="AN141" i="17" s="1"/>
  <c r="AM141" i="17"/>
  <c r="AM140" i="17"/>
  <c r="AL140" i="17"/>
  <c r="AN140" i="17" s="1"/>
  <c r="AM139" i="17"/>
  <c r="AL139" i="17"/>
  <c r="AN139" i="17" s="1"/>
  <c r="AM138" i="17"/>
  <c r="AL138" i="17"/>
  <c r="AN138" i="17" s="1"/>
  <c r="AM137" i="17"/>
  <c r="AL137" i="17"/>
  <c r="AN137" i="17" s="1"/>
  <c r="AM136" i="17"/>
  <c r="AL136" i="17"/>
  <c r="AN136" i="17" s="1"/>
  <c r="AM135" i="17"/>
  <c r="AL135" i="17"/>
  <c r="AN135" i="17" s="1"/>
  <c r="AL134" i="17"/>
  <c r="AN134" i="17" s="1"/>
  <c r="AM134" i="17"/>
  <c r="AL133" i="17"/>
  <c r="AN133" i="17" s="1"/>
  <c r="AM133" i="17"/>
  <c r="AL132" i="17"/>
  <c r="AN132" i="17" s="1"/>
  <c r="AM132" i="17"/>
  <c r="AL131" i="17"/>
  <c r="AN131" i="17" s="1"/>
  <c r="AM131" i="17"/>
  <c r="AM130" i="17"/>
  <c r="AL130" i="17"/>
  <c r="AN130" i="17" s="1"/>
  <c r="AL129" i="17"/>
  <c r="AN129" i="17" s="1"/>
  <c r="AM129" i="17"/>
  <c r="AM128" i="17"/>
  <c r="AL128" i="17"/>
  <c r="AN128" i="17" s="1"/>
  <c r="AL127" i="17"/>
  <c r="AN127" i="17" s="1"/>
  <c r="AM127" i="17"/>
  <c r="AM126" i="17"/>
  <c r="AL126" i="17"/>
  <c r="AN126" i="17" s="1"/>
  <c r="AL125" i="17"/>
  <c r="AN125" i="17" s="1"/>
  <c r="AM125" i="17"/>
  <c r="AL124" i="17"/>
  <c r="AN124" i="17" s="1"/>
  <c r="AM124" i="17"/>
  <c r="AL123" i="17"/>
  <c r="AN123" i="17" s="1"/>
  <c r="AM123" i="17"/>
  <c r="AL122" i="17"/>
  <c r="AN122" i="17" s="1"/>
  <c r="AM122" i="17"/>
  <c r="AL121" i="17"/>
  <c r="AN121" i="17" s="1"/>
  <c r="AM121" i="17"/>
  <c r="AL120" i="17"/>
  <c r="AN120" i="17" s="1"/>
  <c r="AM120" i="17"/>
  <c r="AM17" i="17"/>
  <c r="AL17" i="17"/>
  <c r="AN17" i="17" s="1"/>
  <c r="AL16" i="17"/>
  <c r="AN16" i="17" s="1"/>
  <c r="AM16" i="17"/>
  <c r="AL15" i="17"/>
  <c r="AN15" i="17" s="1"/>
  <c r="AM15" i="17"/>
  <c r="AM14" i="17"/>
  <c r="AL14" i="17"/>
  <c r="AN14" i="17" s="1"/>
  <c r="AL935" i="17"/>
  <c r="AN935" i="17" s="1"/>
  <c r="AM935" i="17"/>
  <c r="AL934" i="17"/>
  <c r="AN934" i="17" s="1"/>
  <c r="AM934" i="17"/>
  <c r="AM933" i="17"/>
  <c r="AL933" i="17"/>
  <c r="AN933" i="17" s="1"/>
  <c r="AL932" i="17"/>
  <c r="AN932" i="17" s="1"/>
  <c r="AM932" i="17"/>
  <c r="AL931" i="17"/>
  <c r="AN931" i="17" s="1"/>
  <c r="AM931" i="17"/>
  <c r="AL930" i="17"/>
  <c r="AN930" i="17" s="1"/>
  <c r="AM930" i="17"/>
  <c r="AM929" i="17"/>
  <c r="AL929" i="17"/>
  <c r="AN929" i="17" s="1"/>
  <c r="AL928" i="17"/>
  <c r="AN928" i="17" s="1"/>
  <c r="AM928" i="17"/>
  <c r="AL927" i="17"/>
  <c r="AN927" i="17" s="1"/>
  <c r="AM927" i="17"/>
  <c r="AL926" i="17"/>
  <c r="AN926" i="17" s="1"/>
  <c r="AM926" i="17"/>
  <c r="AL925" i="17"/>
  <c r="AN925" i="17" s="1"/>
  <c r="AM925" i="17"/>
  <c r="AL924" i="17"/>
  <c r="AN924" i="17" s="1"/>
  <c r="AM924" i="17"/>
  <c r="AL923" i="17"/>
  <c r="AN923" i="17" s="1"/>
  <c r="AM923" i="17"/>
  <c r="AM922" i="17"/>
  <c r="AL922" i="17"/>
  <c r="AN922" i="17" s="1"/>
  <c r="AM921" i="17"/>
  <c r="AL921" i="17"/>
  <c r="AN921" i="17" s="1"/>
  <c r="AM825" i="17"/>
  <c r="AL825" i="17"/>
  <c r="AN825" i="17" s="1"/>
  <c r="AM824" i="17"/>
  <c r="AL824" i="17"/>
  <c r="AN824" i="17" s="1"/>
  <c r="AL823" i="17"/>
  <c r="AN823" i="17" s="1"/>
  <c r="AM823" i="17"/>
  <c r="AM822" i="17"/>
  <c r="AL822" i="17"/>
  <c r="AN822" i="17" s="1"/>
  <c r="AM821" i="17"/>
  <c r="AL821" i="17"/>
  <c r="AN821" i="17" s="1"/>
  <c r="AL820" i="17"/>
  <c r="AN820" i="17" s="1"/>
  <c r="AM820" i="17"/>
  <c r="AL819" i="17"/>
  <c r="AN819" i="17" s="1"/>
  <c r="AM819" i="17"/>
  <c r="AL818" i="17"/>
  <c r="AN818" i="17" s="1"/>
  <c r="AM818" i="17"/>
  <c r="AM817" i="17"/>
  <c r="AL817" i="17"/>
  <c r="AN817" i="17" s="1"/>
  <c r="AL816" i="17"/>
  <c r="AN816" i="17" s="1"/>
  <c r="AM816" i="17"/>
  <c r="AM815" i="17"/>
  <c r="AL815" i="17"/>
  <c r="AN815" i="17" s="1"/>
  <c r="AM814" i="17"/>
  <c r="AL814" i="17"/>
  <c r="AN814" i="17" s="1"/>
  <c r="AM813" i="17"/>
  <c r="AL813" i="17"/>
  <c r="AN813" i="17" s="1"/>
  <c r="AL812" i="17"/>
  <c r="AN812" i="17" s="1"/>
  <c r="AM812" i="17"/>
  <c r="AL811" i="17"/>
  <c r="AN811" i="17" s="1"/>
  <c r="AM811" i="17"/>
  <c r="AM810" i="17"/>
  <c r="AL810" i="17"/>
  <c r="AN810" i="17" s="1"/>
  <c r="AL809" i="17"/>
  <c r="AN809" i="17" s="1"/>
  <c r="AM809" i="17"/>
  <c r="AM808" i="17"/>
  <c r="AL808" i="17"/>
  <c r="AN808" i="17" s="1"/>
  <c r="AL709" i="17"/>
  <c r="AN709" i="17" s="1"/>
  <c r="AM709" i="17"/>
  <c r="AM708" i="17"/>
  <c r="AL708" i="17"/>
  <c r="AN708" i="17" s="1"/>
  <c r="AM707" i="17"/>
  <c r="AL707" i="17"/>
  <c r="AN707" i="17" s="1"/>
  <c r="AL706" i="17"/>
  <c r="AN706" i="17" s="1"/>
  <c r="AM706" i="17"/>
  <c r="AL705" i="17"/>
  <c r="AN705" i="17" s="1"/>
  <c r="AM705" i="17"/>
  <c r="AM704" i="17"/>
  <c r="AL704" i="17"/>
  <c r="AN704" i="17" s="1"/>
  <c r="AM703" i="17"/>
  <c r="AL703" i="17"/>
  <c r="AN703" i="17" s="1"/>
  <c r="AL702" i="17"/>
  <c r="AN702" i="17" s="1"/>
  <c r="AM702" i="17"/>
  <c r="AM701" i="17"/>
  <c r="AL701" i="17"/>
  <c r="AN701" i="17" s="1"/>
  <c r="AM700" i="17"/>
  <c r="AL700" i="17"/>
  <c r="AN700" i="17" s="1"/>
  <c r="AL699" i="17"/>
  <c r="AN699" i="17" s="1"/>
  <c r="AM699" i="17"/>
  <c r="AM698" i="17"/>
  <c r="AL698" i="17"/>
  <c r="AN698" i="17" s="1"/>
  <c r="AM591" i="17"/>
  <c r="AL591" i="17"/>
  <c r="AN591" i="17" s="1"/>
  <c r="AM590" i="17"/>
  <c r="AL590" i="17"/>
  <c r="AN590" i="17" s="1"/>
  <c r="AM589" i="17"/>
  <c r="AL589" i="17"/>
  <c r="AN589" i="17" s="1"/>
  <c r="AM460" i="17"/>
  <c r="AL460" i="17"/>
  <c r="AN460" i="17" s="1"/>
  <c r="AL459" i="17"/>
  <c r="AN459" i="17" s="1"/>
  <c r="AM459" i="17"/>
  <c r="AL458" i="17"/>
  <c r="AN458" i="17" s="1"/>
  <c r="AM458" i="17"/>
  <c r="AM457" i="17"/>
  <c r="AL457" i="17"/>
  <c r="AN457" i="17" s="1"/>
  <c r="AL456" i="17"/>
  <c r="AN456" i="17" s="1"/>
  <c r="AM456" i="17"/>
  <c r="AM455" i="17"/>
  <c r="AL455" i="17"/>
  <c r="AN455" i="17" s="1"/>
  <c r="AM454" i="17"/>
  <c r="AL454" i="17"/>
  <c r="AN454" i="17" s="1"/>
  <c r="AL453" i="17"/>
  <c r="AN453" i="17" s="1"/>
  <c r="AM453" i="17"/>
  <c r="AM452" i="17"/>
  <c r="AL452" i="17"/>
  <c r="AN452" i="17" s="1"/>
  <c r="AM451" i="17"/>
  <c r="AL451" i="17"/>
  <c r="AN451" i="17" s="1"/>
  <c r="AM450" i="17"/>
  <c r="AL450" i="17"/>
  <c r="AN450" i="17" s="1"/>
  <c r="AL449" i="17"/>
  <c r="AN449" i="17" s="1"/>
  <c r="AM449" i="17"/>
  <c r="AL448" i="17"/>
  <c r="AN448" i="17" s="1"/>
  <c r="AM448" i="17"/>
  <c r="AL447" i="17"/>
  <c r="AN447" i="17" s="1"/>
  <c r="AM447" i="17"/>
  <c r="AM446" i="17"/>
  <c r="AL446" i="17"/>
  <c r="AN446" i="17" s="1"/>
  <c r="AM445" i="17"/>
  <c r="AL445" i="17"/>
  <c r="AN445" i="17" s="1"/>
  <c r="AM444" i="17"/>
  <c r="AL444" i="17"/>
  <c r="AN444" i="17" s="1"/>
  <c r="AL443" i="17"/>
  <c r="AN443" i="17" s="1"/>
  <c r="AM443" i="17"/>
  <c r="AM442" i="17"/>
  <c r="AL442" i="17"/>
  <c r="AN442" i="17" s="1"/>
  <c r="AL441" i="17"/>
  <c r="AN441" i="17" s="1"/>
  <c r="AM441" i="17"/>
  <c r="AM440" i="17"/>
  <c r="AL440" i="17"/>
  <c r="AN440" i="17" s="1"/>
  <c r="AL439" i="17"/>
  <c r="AN439" i="17" s="1"/>
  <c r="AM439" i="17"/>
  <c r="AM438" i="17"/>
  <c r="AL438" i="17"/>
  <c r="AN438" i="17" s="1"/>
  <c r="AM437" i="17"/>
  <c r="AL437" i="17"/>
  <c r="AN437" i="17" s="1"/>
  <c r="AL436" i="17"/>
  <c r="AN436" i="17" s="1"/>
  <c r="AM436" i="17"/>
  <c r="AM435" i="17"/>
  <c r="AL435" i="17"/>
  <c r="AN435" i="17" s="1"/>
  <c r="AM434" i="17"/>
  <c r="AL434" i="17"/>
  <c r="AN434" i="17" s="1"/>
  <c r="AL348" i="17"/>
  <c r="AN348" i="17" s="1"/>
  <c r="AM348" i="17"/>
  <c r="AM347" i="17"/>
  <c r="AL347" i="17"/>
  <c r="AN347" i="17" s="1"/>
  <c r="AM346" i="17"/>
  <c r="AL346" i="17"/>
  <c r="AN346" i="17" s="1"/>
  <c r="AL345" i="17"/>
  <c r="AN345" i="17" s="1"/>
  <c r="AM345" i="17"/>
  <c r="AM344" i="17"/>
  <c r="AL344" i="17"/>
  <c r="AN344" i="17" s="1"/>
  <c r="AL343" i="17"/>
  <c r="AN343" i="17" s="1"/>
  <c r="AM343" i="17"/>
  <c r="AM342" i="17"/>
  <c r="AL342" i="17"/>
  <c r="AN342" i="17" s="1"/>
  <c r="AM341" i="17"/>
  <c r="AL341" i="17"/>
  <c r="AN341" i="17" s="1"/>
  <c r="AM340" i="17"/>
  <c r="AL340" i="17"/>
  <c r="AN340" i="17" s="1"/>
  <c r="AM339" i="17"/>
  <c r="AL339" i="17"/>
  <c r="AN339" i="17" s="1"/>
  <c r="AM338" i="17"/>
  <c r="AL338" i="17"/>
  <c r="AN338" i="17" s="1"/>
  <c r="AL337" i="17"/>
  <c r="AN337" i="17" s="1"/>
  <c r="AM337" i="17"/>
  <c r="AM336" i="17"/>
  <c r="AL336" i="17"/>
  <c r="AN336" i="17" s="1"/>
  <c r="AM335" i="17"/>
  <c r="AL335" i="17"/>
  <c r="AN335" i="17" s="1"/>
  <c r="AM334" i="17"/>
  <c r="AL334" i="17"/>
  <c r="AN334" i="17" s="1"/>
  <c r="AM333" i="17"/>
  <c r="AL333" i="17"/>
  <c r="AN333" i="17" s="1"/>
  <c r="AM332" i="17"/>
  <c r="AL332" i="17"/>
  <c r="AN332" i="17" s="1"/>
  <c r="AL331" i="17"/>
  <c r="AN331" i="17" s="1"/>
  <c r="AM331" i="17"/>
  <c r="AM330" i="17"/>
  <c r="AL330" i="17"/>
  <c r="AN330" i="17" s="1"/>
  <c r="AM329" i="17"/>
  <c r="AL329" i="17"/>
  <c r="AN329" i="17" s="1"/>
  <c r="AL328" i="17"/>
  <c r="AN328" i="17" s="1"/>
  <c r="AM328" i="17"/>
  <c r="AM327" i="17"/>
  <c r="AL327" i="17"/>
  <c r="AN327" i="17" s="1"/>
  <c r="AM326" i="17"/>
  <c r="AL326" i="17"/>
  <c r="AN326" i="17" s="1"/>
  <c r="AM325" i="17"/>
  <c r="AL325" i="17"/>
  <c r="AN325" i="17" s="1"/>
  <c r="AL324" i="17"/>
  <c r="AN324" i="17" s="1"/>
  <c r="AM324" i="17"/>
  <c r="AM323" i="17"/>
  <c r="AL323" i="17"/>
  <c r="AN323" i="17" s="1"/>
  <c r="AL322" i="17"/>
  <c r="AN322" i="17" s="1"/>
  <c r="AM322" i="17"/>
  <c r="AM321" i="17"/>
  <c r="AL321" i="17"/>
  <c r="AN321" i="17" s="1"/>
  <c r="AM320" i="17"/>
  <c r="AL320" i="17"/>
  <c r="AN320" i="17" s="1"/>
  <c r="AM319" i="17"/>
  <c r="AL319" i="17"/>
  <c r="AN319" i="17" s="1"/>
  <c r="AL318" i="17"/>
  <c r="AN318" i="17" s="1"/>
  <c r="AM318" i="17"/>
  <c r="AL317" i="17"/>
  <c r="AN317" i="17" s="1"/>
  <c r="AM317" i="17"/>
  <c r="AL316" i="17"/>
  <c r="AN316" i="17" s="1"/>
  <c r="AM316" i="17"/>
  <c r="AL315" i="17"/>
  <c r="AN315" i="17" s="1"/>
  <c r="AM315" i="17"/>
  <c r="AL314" i="17"/>
  <c r="AN314" i="17" s="1"/>
  <c r="AM314" i="17"/>
  <c r="AM313" i="17"/>
  <c r="AL313" i="17"/>
  <c r="AN313" i="17" s="1"/>
  <c r="AM312" i="17"/>
  <c r="AL312" i="17"/>
  <c r="AN312" i="17" s="1"/>
  <c r="AM311" i="17"/>
  <c r="AL311" i="17"/>
  <c r="AN311" i="17" s="1"/>
  <c r="AL310" i="17"/>
  <c r="AN310" i="17" s="1"/>
  <c r="AM310" i="17"/>
  <c r="AL309" i="17"/>
  <c r="AN309" i="17" s="1"/>
  <c r="AM309" i="17"/>
  <c r="AL308" i="17"/>
  <c r="AN308" i="17" s="1"/>
  <c r="AM308" i="17"/>
  <c r="AM307" i="17"/>
  <c r="AL307" i="17"/>
  <c r="AN307" i="17" s="1"/>
  <c r="AL306" i="17"/>
  <c r="AN306" i="17" s="1"/>
  <c r="AM306" i="17"/>
  <c r="AM305" i="17"/>
  <c r="AL305" i="17"/>
  <c r="AN305" i="17" s="1"/>
  <c r="AL237" i="17"/>
  <c r="AN237" i="17" s="1"/>
  <c r="AM237" i="17"/>
  <c r="AL236" i="17"/>
  <c r="AN236" i="17" s="1"/>
  <c r="AM236" i="17"/>
  <c r="AL235" i="17"/>
  <c r="AN235" i="17" s="1"/>
  <c r="AM235" i="17"/>
  <c r="AM234" i="17"/>
  <c r="AL234" i="17"/>
  <c r="AN234" i="17" s="1"/>
  <c r="AM233" i="17"/>
  <c r="AL233" i="17"/>
  <c r="AN233" i="17" s="1"/>
  <c r="AM232" i="17"/>
  <c r="AL232" i="17"/>
  <c r="AN232" i="17" s="1"/>
  <c r="AM231" i="17"/>
  <c r="AL231" i="17"/>
  <c r="AN231" i="17" s="1"/>
  <c r="AM230" i="17"/>
  <c r="AL230" i="17"/>
  <c r="AN230" i="17" s="1"/>
  <c r="AL229" i="17"/>
  <c r="AN229" i="17" s="1"/>
  <c r="AM229" i="17"/>
  <c r="AL228" i="17"/>
  <c r="AN228" i="17" s="1"/>
  <c r="AM228" i="17"/>
  <c r="AM227" i="17"/>
  <c r="AL227" i="17"/>
  <c r="AN227" i="17" s="1"/>
  <c r="AM226" i="17"/>
  <c r="AL226" i="17"/>
  <c r="AN226" i="17" s="1"/>
  <c r="AL225" i="17"/>
  <c r="AN225" i="17" s="1"/>
  <c r="AM225" i="17"/>
  <c r="AM224" i="17"/>
  <c r="AL224" i="17"/>
  <c r="AN224" i="17" s="1"/>
  <c r="AL223" i="17"/>
  <c r="AN223" i="17" s="1"/>
  <c r="AM223" i="17"/>
  <c r="AM222" i="17"/>
  <c r="AL222" i="17"/>
  <c r="AN222" i="17" s="1"/>
  <c r="AL221" i="17"/>
  <c r="AN221" i="17" s="1"/>
  <c r="AM221" i="17"/>
  <c r="AM220" i="17"/>
  <c r="AL220" i="17"/>
  <c r="AN220" i="17" s="1"/>
  <c r="AL219" i="17"/>
  <c r="AN219" i="17" s="1"/>
  <c r="AM219" i="17"/>
  <c r="AL218" i="17"/>
  <c r="AN218" i="17" s="1"/>
  <c r="AM218" i="17"/>
  <c r="AM217" i="17"/>
  <c r="AL217" i="17"/>
  <c r="AN217" i="17" s="1"/>
  <c r="AM216" i="17"/>
  <c r="AL216" i="17"/>
  <c r="AN216" i="17" s="1"/>
  <c r="AL215" i="17"/>
  <c r="AN215" i="17" s="1"/>
  <c r="AM215" i="17"/>
  <c r="AL214" i="17"/>
  <c r="AN214" i="17" s="1"/>
  <c r="AM214" i="17"/>
  <c r="AL213" i="17"/>
  <c r="AN213" i="17" s="1"/>
  <c r="AM213" i="17"/>
  <c r="AM212" i="17"/>
  <c r="AL212" i="17"/>
  <c r="AN212" i="17" s="1"/>
  <c r="AL211" i="17"/>
  <c r="AN211" i="17" s="1"/>
  <c r="AM211" i="17"/>
  <c r="AM210" i="17"/>
  <c r="AL210" i="17"/>
  <c r="AN210" i="17" s="1"/>
  <c r="AL209" i="17"/>
  <c r="AN209" i="17" s="1"/>
  <c r="AM209" i="17"/>
  <c r="AL208" i="17"/>
  <c r="AN208" i="17" s="1"/>
  <c r="AM208" i="17"/>
  <c r="AM207" i="17"/>
  <c r="AL207" i="17"/>
  <c r="AN207" i="17" s="1"/>
  <c r="AM206" i="17"/>
  <c r="AL206" i="17"/>
  <c r="AN206" i="17" s="1"/>
  <c r="AM205" i="17"/>
  <c r="AL205" i="17"/>
  <c r="AN205" i="17" s="1"/>
  <c r="AL204" i="17"/>
  <c r="AN204" i="17" s="1"/>
  <c r="AM204" i="17"/>
  <c r="AL203" i="17"/>
  <c r="AN203" i="17" s="1"/>
  <c r="AM203" i="17"/>
  <c r="AM202" i="17"/>
  <c r="AL202" i="17"/>
  <c r="AN202" i="17" s="1"/>
  <c r="AM201" i="17"/>
  <c r="AL201" i="17"/>
  <c r="AN201" i="17" s="1"/>
  <c r="AM200" i="17"/>
  <c r="AL200" i="17"/>
  <c r="AN200" i="17" s="1"/>
  <c r="AM199" i="17"/>
  <c r="AL199" i="17"/>
  <c r="AN199" i="17" s="1"/>
  <c r="AL198" i="17"/>
  <c r="AN198" i="17" s="1"/>
  <c r="AM198" i="17"/>
  <c r="AM197" i="17"/>
  <c r="AL197" i="17"/>
  <c r="AN197" i="17" s="1"/>
  <c r="AM196" i="17"/>
  <c r="AL196" i="17"/>
  <c r="AN196" i="17" s="1"/>
  <c r="AM195" i="17"/>
  <c r="AL195" i="17"/>
  <c r="AN195" i="17" s="1"/>
  <c r="AM194" i="17"/>
  <c r="AL194" i="17"/>
  <c r="AN194" i="17" s="1"/>
  <c r="AM193" i="17"/>
  <c r="AL193" i="17"/>
  <c r="AN193" i="17" s="1"/>
  <c r="AM192" i="17"/>
  <c r="AL192" i="17"/>
  <c r="AN192" i="17" s="1"/>
  <c r="AL191" i="17"/>
  <c r="AN191" i="17" s="1"/>
  <c r="AM191" i="17"/>
  <c r="AM190" i="17"/>
  <c r="AL190" i="17"/>
  <c r="AN190" i="17" s="1"/>
  <c r="AL189" i="17"/>
  <c r="AN189" i="17" s="1"/>
  <c r="AM189" i="17"/>
  <c r="AM188" i="17"/>
  <c r="AL188" i="17"/>
  <c r="AN188" i="17" s="1"/>
  <c r="AM187" i="17"/>
  <c r="AL187" i="17"/>
  <c r="AN187" i="17" s="1"/>
  <c r="AL186" i="17"/>
  <c r="AN186" i="17" s="1"/>
  <c r="AM186" i="17"/>
  <c r="AL185" i="17"/>
  <c r="AN185" i="17" s="1"/>
  <c r="AM185" i="17"/>
  <c r="AL184" i="17"/>
  <c r="AN184" i="17" s="1"/>
  <c r="AM184" i="17"/>
  <c r="AM183" i="17"/>
  <c r="AL183" i="17"/>
  <c r="AN183" i="17" s="1"/>
  <c r="AM182" i="17"/>
  <c r="AL182" i="17"/>
  <c r="AN182" i="17" s="1"/>
  <c r="AM181" i="17"/>
  <c r="AL181" i="17"/>
  <c r="AN181" i="17" s="1"/>
  <c r="AL180" i="17"/>
  <c r="AN180" i="17" s="1"/>
  <c r="AM180" i="17"/>
  <c r="AM179" i="17"/>
  <c r="AL179" i="17"/>
  <c r="AN179" i="17" s="1"/>
  <c r="AL178" i="17"/>
  <c r="AN178" i="17" s="1"/>
  <c r="AM178" i="17"/>
  <c r="AM177" i="17"/>
  <c r="AL177" i="17"/>
  <c r="AN177" i="17" s="1"/>
  <c r="AM176" i="17"/>
  <c r="AL176" i="17"/>
  <c r="AN176" i="17" s="1"/>
  <c r="AM175" i="17"/>
  <c r="AL175" i="17"/>
  <c r="AN175" i="17" s="1"/>
  <c r="AL174" i="17"/>
  <c r="AN174" i="17" s="1"/>
  <c r="AM174" i="17"/>
  <c r="AL173" i="17"/>
  <c r="AN173" i="17" s="1"/>
  <c r="AM173" i="17"/>
  <c r="AM172" i="17"/>
  <c r="AL172" i="17"/>
  <c r="AN172" i="17" s="1"/>
  <c r="AL171" i="17"/>
  <c r="AN171" i="17" s="1"/>
  <c r="AM171" i="17"/>
  <c r="AM170" i="17"/>
  <c r="AL170" i="17"/>
  <c r="AN170" i="17" s="1"/>
  <c r="AL169" i="17"/>
  <c r="AN169" i="17" s="1"/>
  <c r="AM169" i="17"/>
  <c r="AL119" i="17"/>
  <c r="AN119" i="17" s="1"/>
  <c r="AM119" i="17"/>
  <c r="AL118" i="17"/>
  <c r="AN118" i="17" s="1"/>
  <c r="AM118" i="17"/>
  <c r="AL117" i="17"/>
  <c r="AN117" i="17" s="1"/>
  <c r="AM117" i="17"/>
  <c r="AL116" i="17"/>
  <c r="AN116" i="17" s="1"/>
  <c r="AM116" i="17"/>
  <c r="AL115" i="17"/>
  <c r="AN115" i="17" s="1"/>
  <c r="AM115" i="17"/>
  <c r="AL114" i="17"/>
  <c r="AN114" i="17" s="1"/>
  <c r="AM114" i="17"/>
  <c r="AL113" i="17"/>
  <c r="AN113" i="17" s="1"/>
  <c r="AM113" i="17"/>
  <c r="AM112" i="17"/>
  <c r="AL112" i="17"/>
  <c r="AN112" i="17" s="1"/>
  <c r="AM111" i="17"/>
  <c r="AL111" i="17"/>
  <c r="AN111" i="17" s="1"/>
  <c r="AL110" i="17"/>
  <c r="AN110" i="17" s="1"/>
  <c r="AM110" i="17"/>
  <c r="AL109" i="17"/>
  <c r="AN109" i="17" s="1"/>
  <c r="AM109" i="17"/>
  <c r="AM108" i="17"/>
  <c r="AL108" i="17"/>
  <c r="AN108" i="17" s="1"/>
  <c r="AM107" i="17"/>
  <c r="AL107" i="17"/>
  <c r="AN107" i="17" s="1"/>
  <c r="AM106" i="17"/>
  <c r="AL106" i="17"/>
  <c r="AN106" i="17" s="1"/>
  <c r="AM105" i="17"/>
  <c r="AL105" i="17"/>
  <c r="AN105" i="17" s="1"/>
  <c r="AL104" i="17"/>
  <c r="AN104" i="17" s="1"/>
  <c r="AM104" i="17"/>
  <c r="AL103" i="17"/>
  <c r="AN103" i="17" s="1"/>
  <c r="AM103" i="17"/>
  <c r="AL102" i="17"/>
  <c r="AN102" i="17" s="1"/>
  <c r="AM102" i="17"/>
  <c r="AL101" i="17"/>
  <c r="AN101" i="17" s="1"/>
  <c r="AM101" i="17"/>
  <c r="AM100" i="17"/>
  <c r="AL100" i="17"/>
  <c r="AN100" i="17" s="1"/>
  <c r="AM99" i="17"/>
  <c r="AL99" i="17"/>
  <c r="AN99" i="17" s="1"/>
  <c r="AM98" i="17"/>
  <c r="AL98" i="17"/>
  <c r="AN98" i="17" s="1"/>
  <c r="AM97" i="17"/>
  <c r="AL97" i="17"/>
  <c r="AN97" i="17" s="1"/>
  <c r="AM96" i="17"/>
  <c r="AL96" i="17"/>
  <c r="AN96" i="17" s="1"/>
  <c r="AM95" i="17"/>
  <c r="AL95" i="17"/>
  <c r="AN95" i="17" s="1"/>
  <c r="AM94" i="17"/>
  <c r="AL94" i="17"/>
  <c r="AN94" i="17" s="1"/>
  <c r="AL93" i="17"/>
  <c r="AN93" i="17" s="1"/>
  <c r="AM93" i="17"/>
  <c r="AL92" i="17"/>
  <c r="AN92" i="17" s="1"/>
  <c r="AM92" i="17"/>
  <c r="AL91" i="17"/>
  <c r="AN91" i="17" s="1"/>
  <c r="AM91" i="17"/>
  <c r="AL90" i="17"/>
  <c r="AN90" i="17" s="1"/>
  <c r="AM90" i="17"/>
  <c r="AL89" i="17"/>
  <c r="AN89" i="17" s="1"/>
  <c r="AM89" i="17"/>
  <c r="AM88" i="17"/>
  <c r="AL88" i="17"/>
  <c r="AN88" i="17" s="1"/>
  <c r="AM87" i="17"/>
  <c r="AL87" i="17"/>
  <c r="AN87" i="17" s="1"/>
  <c r="AM86" i="17"/>
  <c r="AL86" i="17"/>
  <c r="AN86" i="17" s="1"/>
  <c r="AL85" i="17"/>
  <c r="AN85" i="17" s="1"/>
  <c r="AM85" i="17"/>
  <c r="AL84" i="17"/>
  <c r="AN84" i="17" s="1"/>
  <c r="AM84" i="17"/>
  <c r="AM83" i="17"/>
  <c r="AL83" i="17"/>
  <c r="AN83" i="17" s="1"/>
  <c r="AL82" i="17"/>
  <c r="AN82" i="17" s="1"/>
  <c r="AM82" i="17"/>
  <c r="AM81" i="17"/>
  <c r="AL81" i="17"/>
  <c r="AN81" i="17" s="1"/>
  <c r="AM80" i="17"/>
  <c r="AL80" i="17"/>
  <c r="AN80" i="17" s="1"/>
  <c r="AL79" i="17"/>
  <c r="AN79" i="17" s="1"/>
  <c r="AM79" i="17"/>
  <c r="AM78" i="17"/>
  <c r="AL78" i="17"/>
  <c r="AN78" i="17" s="1"/>
  <c r="AL77" i="17"/>
  <c r="AN77" i="17" s="1"/>
  <c r="AM77" i="17"/>
  <c r="AL76" i="17"/>
  <c r="AN76" i="17" s="1"/>
  <c r="AM76" i="17"/>
  <c r="AL75" i="17"/>
  <c r="AN75" i="17" s="1"/>
  <c r="AM75" i="17"/>
  <c r="AL74" i="17"/>
  <c r="AN74" i="17" s="1"/>
  <c r="AM74" i="17"/>
  <c r="AM73" i="17"/>
  <c r="AL73" i="17"/>
  <c r="AN73" i="17" s="1"/>
  <c r="AM72" i="17"/>
  <c r="AL72" i="17"/>
  <c r="AN72" i="17" s="1"/>
  <c r="AL71" i="17"/>
  <c r="AN71" i="17" s="1"/>
  <c r="AM71" i="17"/>
  <c r="AM70" i="17"/>
  <c r="AL70" i="17"/>
  <c r="AN70" i="17" s="1"/>
  <c r="AM69" i="17"/>
  <c r="AL69" i="17"/>
  <c r="AN69" i="17" s="1"/>
  <c r="AM68" i="17"/>
  <c r="AL68" i="17"/>
  <c r="AN68" i="17" s="1"/>
  <c r="AM67" i="17"/>
  <c r="AL67" i="17"/>
  <c r="AN67" i="17" s="1"/>
  <c r="AL66" i="17"/>
  <c r="AN66" i="17" s="1"/>
  <c r="AM66" i="17"/>
  <c r="AM65" i="17"/>
  <c r="AL65" i="17"/>
  <c r="AN65" i="17" s="1"/>
  <c r="AL64" i="17"/>
  <c r="AN64" i="17" s="1"/>
  <c r="AM64" i="17"/>
  <c r="AM63" i="17"/>
  <c r="AL63" i="17"/>
  <c r="AN63" i="17" s="1"/>
  <c r="AL62" i="17"/>
  <c r="AN62" i="17" s="1"/>
  <c r="AM62" i="17"/>
  <c r="AL61" i="17"/>
  <c r="AN61" i="17" s="1"/>
  <c r="AM61" i="17"/>
  <c r="AM60" i="17"/>
  <c r="AL60" i="17"/>
  <c r="AN60" i="17" s="1"/>
  <c r="AL59" i="17"/>
  <c r="AN59" i="17" s="1"/>
  <c r="AM59" i="17"/>
  <c r="AM58" i="17"/>
  <c r="AL58" i="17"/>
  <c r="AN58" i="17" s="1"/>
  <c r="AM57" i="17"/>
  <c r="AL57" i="17"/>
  <c r="AN57" i="17" s="1"/>
  <c r="AM56" i="17"/>
  <c r="AL56" i="17"/>
  <c r="AN56" i="17" s="1"/>
  <c r="AL55" i="17"/>
  <c r="AN55" i="17" s="1"/>
  <c r="AM55" i="17"/>
  <c r="AL54" i="17"/>
  <c r="AN54" i="17" s="1"/>
  <c r="AM54" i="17"/>
  <c r="C998" i="14" a="1"/>
  <c r="C945" i="14" a="1"/>
  <c r="E944" i="24"/>
  <c r="E943" i="24"/>
  <c r="C942" i="14" a="1"/>
  <c r="C941" i="14" a="1"/>
  <c r="C940" i="14" a="1"/>
  <c r="C939" i="14" a="1"/>
  <c r="E989" i="24"/>
  <c r="E988" i="24"/>
  <c r="E986" i="24"/>
  <c r="E985" i="24"/>
  <c r="E984" i="24"/>
  <c r="E982" i="24"/>
  <c r="E981" i="24"/>
  <c r="E980" i="24"/>
  <c r="E979" i="24"/>
  <c r="E978" i="24"/>
  <c r="E970" i="24"/>
  <c r="E969" i="24"/>
  <c r="E968" i="24"/>
  <c r="E916" i="24"/>
  <c r="E915" i="24"/>
  <c r="E914" i="24"/>
  <c r="E913" i="24"/>
  <c r="E912" i="24"/>
  <c r="E999" i="24"/>
  <c r="E1000" i="24"/>
  <c r="E917" i="24"/>
  <c r="E990" i="24"/>
  <c r="E993" i="24"/>
  <c r="E992" i="24"/>
  <c r="E991" i="24"/>
  <c r="E967" i="24"/>
  <c r="E39" i="24"/>
  <c r="E38" i="24"/>
  <c r="E37" i="24"/>
  <c r="E36" i="24"/>
  <c r="E35" i="24"/>
  <c r="E34" i="24"/>
  <c r="E32" i="24"/>
  <c r="E31" i="24"/>
  <c r="E30" i="24"/>
  <c r="E29" i="24"/>
  <c r="E28" i="24"/>
  <c r="E26" i="24"/>
  <c r="E25" i="24"/>
  <c r="E977" i="24"/>
  <c r="E24" i="24"/>
  <c r="E23" i="24"/>
  <c r="E22" i="24"/>
  <c r="E21" i="24"/>
  <c r="E20" i="24"/>
  <c r="E976" i="24"/>
  <c r="E869" i="24"/>
  <c r="E868" i="24"/>
  <c r="E790" i="24"/>
  <c r="E789" i="24"/>
  <c r="E788" i="24"/>
  <c r="E787" i="24"/>
  <c r="E557" i="24"/>
  <c r="E556" i="24"/>
  <c r="E486" i="24"/>
  <c r="E483" i="24"/>
  <c r="E482" i="24"/>
  <c r="E481" i="24"/>
  <c r="E480" i="24"/>
  <c r="E19" i="24"/>
  <c r="E18" i="24"/>
  <c r="E966" i="24"/>
  <c r="E786" i="24"/>
  <c r="E785" i="24"/>
  <c r="E555" i="24"/>
  <c r="E554" i="24"/>
  <c r="E713" i="24"/>
  <c r="E712" i="24"/>
  <c r="E13" i="24"/>
  <c r="E908" i="24"/>
  <c r="E903" i="24"/>
  <c r="E901" i="24"/>
  <c r="E889" i="24"/>
  <c r="E553" i="24"/>
  <c r="E552" i="24"/>
  <c r="E258" i="24"/>
  <c r="E257" i="24"/>
  <c r="E256" i="24"/>
  <c r="E255" i="24"/>
  <c r="E254" i="24"/>
  <c r="E253" i="24"/>
  <c r="E251" i="24"/>
  <c r="E250" i="24"/>
  <c r="E784" i="24"/>
  <c r="E782" i="24"/>
  <c r="E781" i="24"/>
  <c r="E780" i="24"/>
  <c r="E550" i="24"/>
  <c r="E549" i="24"/>
  <c r="E548" i="24"/>
  <c r="E547" i="24"/>
  <c r="E479" i="24"/>
  <c r="E478" i="24"/>
  <c r="E476" i="24"/>
  <c r="E475" i="24"/>
  <c r="E246" i="24"/>
  <c r="E245" i="24"/>
  <c r="E243" i="24"/>
  <c r="E242" i="24"/>
  <c r="E11" i="24"/>
  <c r="E711" i="24"/>
  <c r="E710" i="24"/>
  <c r="E697" i="24"/>
  <c r="E696" i="24"/>
  <c r="E489" i="24"/>
  <c r="E240" i="24"/>
  <c r="E779" i="24"/>
  <c r="E695" i="24"/>
  <c r="E694" i="24"/>
  <c r="E693" i="24"/>
  <c r="E546" i="24"/>
  <c r="E474" i="24"/>
  <c r="E472" i="24"/>
  <c r="E417" i="24"/>
  <c r="E416" i="24"/>
  <c r="E415" i="24"/>
  <c r="E8" i="24"/>
  <c r="E863" i="24"/>
  <c r="E859" i="24"/>
  <c r="E858" i="24"/>
  <c r="E857" i="24"/>
  <c r="E856" i="24"/>
  <c r="E855" i="24"/>
  <c r="E854" i="24"/>
  <c r="E853" i="24"/>
  <c r="E852" i="24"/>
  <c r="E851" i="24"/>
  <c r="E850" i="24"/>
  <c r="E848" i="24"/>
  <c r="E847" i="24"/>
  <c r="E846" i="24"/>
  <c r="E845" i="24"/>
  <c r="E778" i="24"/>
  <c r="E777" i="24"/>
  <c r="E776" i="24"/>
  <c r="E775" i="24"/>
  <c r="E471" i="24"/>
  <c r="E470" i="24"/>
  <c r="E469" i="24"/>
  <c r="E468" i="24"/>
  <c r="E467" i="24"/>
  <c r="E466" i="24"/>
  <c r="E465" i="24"/>
  <c r="E464" i="24"/>
  <c r="E463" i="24"/>
  <c r="E412" i="24"/>
  <c r="E411" i="24"/>
  <c r="E7" i="24"/>
  <c r="E5" i="24"/>
  <c r="E950" i="24"/>
  <c r="E774" i="24"/>
  <c r="E773" i="24"/>
  <c r="E772" i="24"/>
  <c r="E771" i="24"/>
  <c r="E770" i="24"/>
  <c r="E769" i="24"/>
  <c r="E768" i="24"/>
  <c r="E715" i="24"/>
  <c r="E714" i="24"/>
  <c r="E692" i="24"/>
  <c r="E691" i="24"/>
  <c r="E690" i="24"/>
  <c r="E689" i="24"/>
  <c r="E688" i="24"/>
  <c r="E687" i="24"/>
  <c r="E686" i="24"/>
  <c r="E685" i="24"/>
  <c r="E684" i="24"/>
  <c r="E683" i="24"/>
  <c r="E682" i="24"/>
  <c r="E621" i="24"/>
  <c r="E620" i="24"/>
  <c r="E545" i="24"/>
  <c r="E544" i="24"/>
  <c r="E543" i="24"/>
  <c r="E462" i="24"/>
  <c r="E461" i="24"/>
  <c r="E239" i="24"/>
  <c r="E238" i="24"/>
  <c r="E168" i="24"/>
  <c r="E166" i="24"/>
  <c r="E164" i="24"/>
  <c r="E163" i="24"/>
  <c r="E162" i="24"/>
  <c r="E161" i="24"/>
  <c r="E160" i="24"/>
  <c r="E159" i="24"/>
  <c r="E158" i="24"/>
  <c r="E157" i="24"/>
  <c r="E155" i="24"/>
  <c r="E154" i="24"/>
  <c r="E153" i="24"/>
  <c r="E152" i="24"/>
  <c r="E151" i="24"/>
  <c r="E150" i="24"/>
  <c r="E148" i="24"/>
  <c r="E53" i="24"/>
  <c r="E52" i="24"/>
  <c r="E51" i="24"/>
  <c r="E50" i="24"/>
  <c r="E49" i="24"/>
  <c r="E48" i="24"/>
  <c r="E46" i="24"/>
  <c r="E45" i="24"/>
  <c r="E44" i="24"/>
  <c r="E43" i="24"/>
  <c r="E42" i="24"/>
  <c r="E40" i="24"/>
  <c r="E876" i="24"/>
  <c r="E843" i="24"/>
  <c r="E841" i="24"/>
  <c r="E840" i="24"/>
  <c r="E839" i="24"/>
  <c r="E838" i="24"/>
  <c r="E837" i="24"/>
  <c r="E836" i="24"/>
  <c r="E835" i="24"/>
  <c r="E834" i="24"/>
  <c r="E833" i="24"/>
  <c r="E832" i="24"/>
  <c r="E827" i="24"/>
  <c r="E826" i="24"/>
  <c r="E807" i="24"/>
  <c r="E806" i="24"/>
  <c r="E805" i="24"/>
  <c r="E804" i="24"/>
  <c r="E803" i="24"/>
  <c r="E794" i="24"/>
  <c r="E793" i="24"/>
  <c r="E764" i="24"/>
  <c r="E763" i="24"/>
  <c r="E762" i="24"/>
  <c r="E761" i="24"/>
  <c r="E760" i="24"/>
  <c r="E755" i="24"/>
  <c r="E754" i="24"/>
  <c r="E753" i="24"/>
  <c r="E752" i="24"/>
  <c r="E751" i="24"/>
  <c r="E750" i="24"/>
  <c r="E749" i="24"/>
  <c r="E748" i="24"/>
  <c r="E747" i="24"/>
  <c r="E746" i="24"/>
  <c r="E745" i="24"/>
  <c r="E744" i="24"/>
  <c r="E743" i="24"/>
  <c r="E742" i="24"/>
  <c r="E741" i="24"/>
  <c r="E740" i="24"/>
  <c r="E739" i="24"/>
  <c r="E738" i="24"/>
  <c r="E737" i="24"/>
  <c r="E736" i="24"/>
  <c r="E735" i="24"/>
  <c r="E734" i="24"/>
  <c r="E733" i="24"/>
  <c r="E732" i="24"/>
  <c r="E731" i="24"/>
  <c r="E730" i="24"/>
  <c r="E729" i="24"/>
  <c r="E727" i="24"/>
  <c r="E726" i="24"/>
  <c r="E725" i="24"/>
  <c r="E724" i="24"/>
  <c r="E723" i="24"/>
  <c r="E722" i="24"/>
  <c r="E721" i="24"/>
  <c r="E720" i="24"/>
  <c r="E719" i="24"/>
  <c r="E718" i="24"/>
  <c r="E717" i="24"/>
  <c r="E716" i="24"/>
  <c r="E681" i="24"/>
  <c r="E680" i="24"/>
  <c r="E679" i="24"/>
  <c r="E678" i="24"/>
  <c r="E677" i="24"/>
  <c r="E676" i="24"/>
  <c r="E675" i="24"/>
  <c r="E674" i="24"/>
  <c r="E673" i="24"/>
  <c r="E672" i="24"/>
  <c r="E671" i="24"/>
  <c r="E670" i="24"/>
  <c r="E669" i="24"/>
  <c r="E668" i="24"/>
  <c r="E667" i="24"/>
  <c r="E666" i="24"/>
  <c r="E665" i="24"/>
  <c r="E664" i="24"/>
  <c r="E663" i="24"/>
  <c r="E662" i="24"/>
  <c r="E661" i="24"/>
  <c r="E660" i="24"/>
  <c r="E659" i="24"/>
  <c r="E658" i="24"/>
  <c r="E657" i="24"/>
  <c r="E656" i="24"/>
  <c r="E655" i="24"/>
  <c r="E567" i="24"/>
  <c r="E566" i="24"/>
  <c r="E565" i="24"/>
  <c r="E564" i="24"/>
  <c r="E562" i="24"/>
  <c r="E561" i="24"/>
  <c r="E560" i="24"/>
  <c r="E559" i="24"/>
  <c r="E558" i="24"/>
  <c r="E542" i="24"/>
  <c r="E541" i="24"/>
  <c r="E540" i="24"/>
  <c r="E537" i="24"/>
  <c r="E536" i="24"/>
  <c r="E535" i="24"/>
  <c r="E534" i="24"/>
  <c r="E533" i="24"/>
  <c r="E532" i="24"/>
  <c r="E530" i="24"/>
  <c r="E529" i="24"/>
  <c r="E528" i="24"/>
  <c r="E527" i="24"/>
  <c r="E526" i="24"/>
  <c r="E525" i="24"/>
  <c r="E524" i="24"/>
  <c r="E523" i="24"/>
  <c r="E522" i="24"/>
  <c r="E521" i="24"/>
  <c r="E520" i="24"/>
  <c r="E519" i="24"/>
  <c r="E518" i="24"/>
  <c r="E517" i="24"/>
  <c r="E516" i="24"/>
  <c r="E515" i="24"/>
  <c r="E514" i="24"/>
  <c r="E513" i="24"/>
  <c r="E512" i="24"/>
  <c r="E511" i="24"/>
  <c r="E510" i="24"/>
  <c r="E509" i="24"/>
  <c r="E508" i="24"/>
  <c r="E507" i="24"/>
  <c r="E506" i="24"/>
  <c r="E505" i="24"/>
  <c r="E501" i="24"/>
  <c r="E500" i="24"/>
  <c r="E499" i="24"/>
  <c r="E495" i="24"/>
  <c r="E494" i="24"/>
  <c r="E493" i="24"/>
  <c r="E492" i="24"/>
  <c r="E491" i="24"/>
  <c r="E433" i="24"/>
  <c r="E432" i="24"/>
  <c r="E431" i="24"/>
  <c r="E430" i="24"/>
  <c r="E429" i="24"/>
  <c r="E428" i="24"/>
  <c r="E426" i="24"/>
  <c r="E422" i="24"/>
  <c r="E421" i="24"/>
  <c r="E420" i="24"/>
  <c r="E419" i="24"/>
  <c r="E418" i="24"/>
  <c r="E410" i="24"/>
  <c r="E409" i="24"/>
  <c r="E408" i="24"/>
  <c r="E407" i="24"/>
  <c r="E406" i="24"/>
  <c r="E405" i="24"/>
  <c r="E403" i="24"/>
  <c r="E402" i="24"/>
  <c r="E401" i="24"/>
  <c r="E400" i="24"/>
  <c r="E399" i="24"/>
  <c r="E398" i="24"/>
  <c r="E397" i="24"/>
  <c r="E396" i="24"/>
  <c r="E395" i="24"/>
  <c r="E394" i="24"/>
  <c r="E393" i="24"/>
  <c r="E392" i="24"/>
  <c r="E391" i="24"/>
  <c r="E390" i="24"/>
  <c r="E389" i="24"/>
  <c r="E388" i="24"/>
  <c r="E384" i="24"/>
  <c r="E380" i="24"/>
  <c r="E379" i="24"/>
  <c r="E378" i="24"/>
  <c r="E377" i="24"/>
  <c r="E376" i="24"/>
  <c r="E375" i="24"/>
  <c r="E374" i="24"/>
  <c r="E373" i="24"/>
  <c r="E372" i="24"/>
  <c r="E370" i="24"/>
  <c r="E368" i="24"/>
  <c r="E367" i="24"/>
  <c r="E366" i="24"/>
  <c r="E365" i="24"/>
  <c r="E363" i="24"/>
  <c r="E360" i="24"/>
  <c r="E359" i="24"/>
  <c r="E357" i="24"/>
  <c r="E356" i="24"/>
  <c r="E355" i="24"/>
  <c r="E353" i="24"/>
  <c r="E352" i="24"/>
  <c r="E351" i="24"/>
  <c r="E350" i="24"/>
  <c r="E349" i="24"/>
  <c r="E304" i="24"/>
  <c r="E303" i="24"/>
  <c r="E302" i="24"/>
  <c r="E301" i="24"/>
  <c r="E300" i="24"/>
  <c r="E299" i="24"/>
  <c r="E298" i="24"/>
  <c r="E297" i="24"/>
  <c r="E296" i="24"/>
  <c r="E293" i="24"/>
  <c r="E292" i="24"/>
  <c r="E291" i="24"/>
  <c r="E288" i="24"/>
  <c r="E287" i="24"/>
  <c r="E284" i="24"/>
  <c r="E281" i="24"/>
  <c r="E280" i="24"/>
  <c r="E279" i="24"/>
  <c r="E278" i="24"/>
  <c r="E277" i="24"/>
  <c r="E273" i="24"/>
  <c r="E265" i="24"/>
  <c r="E264" i="24"/>
  <c r="E263" i="24"/>
  <c r="E262" i="24"/>
  <c r="E136" i="24"/>
  <c r="E135" i="24"/>
  <c r="E133" i="24"/>
  <c r="E131" i="24"/>
  <c r="E128" i="24"/>
  <c r="E127" i="24"/>
  <c r="E126" i="24"/>
  <c r="E124" i="24"/>
  <c r="E123" i="24"/>
  <c r="E121" i="24"/>
  <c r="E120" i="24"/>
  <c r="E15" i="24"/>
  <c r="E14" i="24"/>
  <c r="E934" i="24"/>
  <c r="E933" i="24"/>
  <c r="E926" i="24"/>
  <c r="E923" i="24"/>
  <c r="E825" i="24"/>
  <c r="E824" i="24"/>
  <c r="E820" i="24"/>
  <c r="E819" i="24"/>
  <c r="E818" i="24"/>
  <c r="E817" i="24"/>
  <c r="E816" i="24"/>
  <c r="E815" i="24"/>
  <c r="E814" i="24"/>
  <c r="E812" i="24"/>
  <c r="E811" i="24"/>
  <c r="E810" i="24"/>
  <c r="E809" i="24"/>
  <c r="E808" i="24"/>
  <c r="E709" i="24"/>
  <c r="E708" i="24"/>
  <c r="E707" i="24"/>
  <c r="E706" i="24"/>
  <c r="E705" i="24"/>
  <c r="E704" i="24"/>
  <c r="E703" i="24"/>
  <c r="E702" i="24"/>
  <c r="E701" i="24"/>
  <c r="E700" i="24"/>
  <c r="E699" i="24"/>
  <c r="E698" i="24"/>
  <c r="E460" i="24"/>
  <c r="E459" i="24"/>
  <c r="E458" i="24"/>
  <c r="E456" i="24"/>
  <c r="E455" i="24"/>
  <c r="E454" i="24"/>
  <c r="E453" i="24"/>
  <c r="E452" i="24"/>
  <c r="E451" i="24"/>
  <c r="E450" i="24"/>
  <c r="E449" i="24"/>
  <c r="E447" i="24"/>
  <c r="E446" i="24"/>
  <c r="E445" i="24"/>
  <c r="E444" i="24"/>
  <c r="E443" i="24"/>
  <c r="E442" i="24"/>
  <c r="E440" i="24"/>
  <c r="E438" i="24"/>
  <c r="E437" i="24"/>
  <c r="E436" i="24"/>
  <c r="E434" i="24"/>
  <c r="E348" i="24"/>
  <c r="E347" i="24"/>
  <c r="E346" i="24"/>
  <c r="E345" i="24"/>
  <c r="E344" i="24"/>
  <c r="E343" i="24"/>
  <c r="E342" i="24"/>
  <c r="E341" i="24"/>
  <c r="E340" i="24"/>
  <c r="E338" i="24"/>
  <c r="E337" i="24"/>
  <c r="E335" i="24"/>
  <c r="E334" i="24"/>
  <c r="E333" i="24"/>
  <c r="E332" i="24"/>
  <c r="E331" i="24"/>
  <c r="E330" i="24"/>
  <c r="E329" i="24"/>
  <c r="E328" i="24"/>
  <c r="E327" i="24"/>
  <c r="E325" i="24"/>
  <c r="E324" i="24"/>
  <c r="E323" i="24"/>
  <c r="E322" i="24"/>
  <c r="E321" i="24"/>
  <c r="E319" i="24"/>
  <c r="E318" i="24"/>
  <c r="E317" i="24"/>
  <c r="E313" i="24"/>
  <c r="E312" i="24"/>
  <c r="E311" i="24"/>
  <c r="E310" i="24"/>
  <c r="E309" i="24"/>
  <c r="E308" i="24"/>
  <c r="E307" i="24"/>
  <c r="E306" i="24"/>
  <c r="E305" i="24"/>
  <c r="E237" i="24"/>
  <c r="E236" i="24"/>
  <c r="E234" i="24"/>
  <c r="E233" i="24"/>
  <c r="E231" i="24"/>
  <c r="E230" i="24"/>
  <c r="E228" i="24"/>
  <c r="E227" i="24"/>
  <c r="E226" i="24"/>
  <c r="E225" i="24"/>
  <c r="E223" i="24"/>
  <c r="E222" i="24"/>
  <c r="E221" i="24"/>
  <c r="E217" i="24"/>
  <c r="E216" i="24"/>
  <c r="E215" i="24"/>
  <c r="E214" i="24"/>
  <c r="E213" i="24"/>
  <c r="E212" i="24"/>
  <c r="E210" i="24"/>
  <c r="E209" i="24"/>
  <c r="E208" i="24"/>
  <c r="E207" i="24"/>
  <c r="E205" i="24"/>
  <c r="E204" i="24"/>
  <c r="E202" i="24"/>
  <c r="E201" i="24"/>
  <c r="E199" i="24"/>
  <c r="E197" i="24"/>
  <c r="E195" i="24"/>
  <c r="E194" i="24"/>
  <c r="E193" i="24"/>
  <c r="E192" i="24"/>
  <c r="E191" i="24"/>
  <c r="E190" i="24"/>
  <c r="E189" i="24"/>
  <c r="E188" i="24"/>
  <c r="E187" i="24"/>
  <c r="E186" i="24"/>
  <c r="E185" i="24"/>
  <c r="E184" i="24"/>
  <c r="E183" i="24"/>
  <c r="E182" i="24"/>
  <c r="E181" i="24"/>
  <c r="E180" i="24"/>
  <c r="E179" i="24"/>
  <c r="E178" i="24"/>
  <c r="E177" i="24"/>
  <c r="E176" i="24"/>
  <c r="E175" i="24"/>
  <c r="E174" i="24"/>
  <c r="E173" i="24"/>
  <c r="E172" i="24"/>
  <c r="E171" i="24"/>
  <c r="E169" i="24"/>
  <c r="E119" i="24"/>
  <c r="E116" i="24"/>
  <c r="E115" i="24"/>
  <c r="E114" i="24"/>
  <c r="E113" i="24"/>
  <c r="E109" i="24"/>
  <c r="E108" i="24"/>
  <c r="E106" i="24"/>
  <c r="E105" i="24"/>
  <c r="E104" i="24"/>
  <c r="E102" i="24"/>
  <c r="E101" i="24"/>
  <c r="E100" i="24"/>
  <c r="E99" i="24"/>
  <c r="E98" i="24"/>
  <c r="E97" i="24"/>
  <c r="E94" i="24"/>
  <c r="E93" i="24"/>
  <c r="E92" i="24"/>
  <c r="E91" i="24"/>
  <c r="E90" i="24"/>
  <c r="E88" i="24"/>
  <c r="E87" i="24"/>
  <c r="E86" i="24"/>
  <c r="E85" i="24"/>
  <c r="E84" i="24"/>
  <c r="E83" i="24"/>
  <c r="E82" i="24"/>
  <c r="E81" i="24"/>
  <c r="E80" i="24"/>
  <c r="E79" i="24"/>
  <c r="E78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L282" i="14"/>
  <c r="L1036" i="14"/>
  <c r="C1017" i="14" a="1"/>
  <c r="L286" i="14"/>
  <c r="L1038" i="14"/>
  <c r="I1034" i="24"/>
  <c r="J1034" i="24"/>
  <c r="K1034" i="24"/>
  <c r="L1034" i="24"/>
  <c r="M1034" i="24"/>
  <c r="N1034" i="24"/>
  <c r="O1034" i="24"/>
  <c r="G1034" i="24"/>
  <c r="H1034" i="24"/>
  <c r="H1032" i="24"/>
  <c r="J1032" i="24"/>
  <c r="K1032" i="24"/>
  <c r="M1032" i="24"/>
  <c r="N1032" i="24"/>
  <c r="O1032" i="24"/>
  <c r="G1032" i="24"/>
  <c r="I1032" i="24"/>
  <c r="L1032" i="24"/>
  <c r="L1033" i="24"/>
  <c r="I1033" i="24"/>
  <c r="H1033" i="24"/>
  <c r="J1033" i="24"/>
  <c r="M1033" i="24"/>
  <c r="O1033" i="24"/>
  <c r="G1033" i="24"/>
  <c r="K1033" i="24"/>
  <c r="N1033" i="24"/>
  <c r="H1031" i="24"/>
  <c r="J1031" i="24"/>
  <c r="L1031" i="24"/>
  <c r="N1031" i="24"/>
  <c r="M1031" i="24"/>
  <c r="G1031" i="24"/>
  <c r="I1031" i="24"/>
  <c r="K1031" i="24"/>
  <c r="O1031" i="24"/>
  <c r="L1033" i="14"/>
  <c r="L1034" i="14"/>
  <c r="L1030" i="24"/>
  <c r="H1030" i="24"/>
  <c r="I1030" i="24"/>
  <c r="M1030" i="24"/>
  <c r="G1030" i="24"/>
  <c r="K1030" i="24"/>
  <c r="N1030" i="24"/>
  <c r="O1030" i="24"/>
  <c r="J1030" i="24"/>
  <c r="L551" i="14"/>
  <c r="M1029" i="24"/>
  <c r="O1029" i="24"/>
  <c r="K1029" i="24"/>
  <c r="N1029" i="24"/>
  <c r="L1029" i="24"/>
  <c r="G1029" i="24"/>
  <c r="H1029" i="24"/>
  <c r="I1029" i="24"/>
  <c r="J1029" i="24"/>
  <c r="H1028" i="24"/>
  <c r="G1028" i="24"/>
  <c r="O1028" i="24"/>
  <c r="M1028" i="24"/>
  <c r="L1028" i="24"/>
  <c r="J1028" i="24"/>
  <c r="I1028" i="24"/>
  <c r="K1028" i="24"/>
  <c r="N1028" i="24"/>
  <c r="G1027" i="24"/>
  <c r="O1027" i="24"/>
  <c r="I1027" i="24"/>
  <c r="H1027" i="24"/>
  <c r="J1027" i="24"/>
  <c r="K1027" i="24"/>
  <c r="L1027" i="24"/>
  <c r="M1027" i="24"/>
  <c r="N1027" i="24"/>
  <c r="O1026" i="24"/>
  <c r="H1026" i="24"/>
  <c r="J1026" i="24"/>
  <c r="L1026" i="24"/>
  <c r="N1026" i="24"/>
  <c r="G1026" i="24"/>
  <c r="I1026" i="24"/>
  <c r="K1026" i="24"/>
  <c r="M1026" i="24"/>
  <c r="O1025" i="24"/>
  <c r="H1025" i="24"/>
  <c r="J1025" i="24"/>
  <c r="L1025" i="24"/>
  <c r="N1025" i="24"/>
  <c r="G1025" i="24"/>
  <c r="I1025" i="24"/>
  <c r="K1025" i="24"/>
  <c r="M1025" i="24"/>
  <c r="J1024" i="24"/>
  <c r="O1024" i="24"/>
  <c r="K1024" i="24"/>
  <c r="H1024" i="24"/>
  <c r="I1024" i="24"/>
  <c r="M1024" i="24"/>
  <c r="N1024" i="24"/>
  <c r="G1024" i="24"/>
  <c r="L1024" i="24"/>
  <c r="O1023" i="24"/>
  <c r="K1023" i="24"/>
  <c r="L1023" i="24"/>
  <c r="I1023" i="24"/>
  <c r="G1023" i="24"/>
  <c r="J1023" i="24"/>
  <c r="N1023" i="24"/>
  <c r="H1023" i="24"/>
  <c r="M1023" i="24"/>
  <c r="I1022" i="24"/>
  <c r="M1022" i="24"/>
  <c r="K1022" i="24"/>
  <c r="N1022" i="24"/>
  <c r="H1022" i="24"/>
  <c r="G1022" i="24"/>
  <c r="J1022" i="24"/>
  <c r="L1022" i="24"/>
  <c r="O1022" i="24"/>
  <c r="L754" i="14"/>
  <c r="L1030" i="14"/>
  <c r="C997" i="14" a="1"/>
  <c r="L1023" i="14"/>
  <c r="L1022" i="14"/>
  <c r="L742" i="14"/>
  <c r="L1024" i="14"/>
  <c r="L1021" i="14"/>
  <c r="H1021" i="24"/>
  <c r="L1021" i="24"/>
  <c r="G1021" i="24"/>
  <c r="I1021" i="24"/>
  <c r="J1021" i="24"/>
  <c r="K1021" i="24"/>
  <c r="M1021" i="24"/>
  <c r="N1021" i="24"/>
  <c r="O1021" i="24"/>
  <c r="E728" i="24"/>
  <c r="E1021" i="24"/>
  <c r="L728" i="14"/>
  <c r="L740" i="14"/>
  <c r="H1020" i="24"/>
  <c r="I1020" i="24"/>
  <c r="K1020" i="24"/>
  <c r="L1020" i="24"/>
  <c r="N1020" i="24"/>
  <c r="O1020" i="24"/>
  <c r="G1020" i="24"/>
  <c r="J1020" i="24"/>
  <c r="M1020" i="24"/>
  <c r="N1019" i="24"/>
  <c r="O1019" i="24"/>
  <c r="L1019" i="24"/>
  <c r="I1019" i="24"/>
  <c r="G1019" i="24"/>
  <c r="J1019" i="24"/>
  <c r="K1019" i="24"/>
  <c r="M1019" i="24"/>
  <c r="H1019" i="24"/>
  <c r="E354" i="24"/>
  <c r="G1018" i="24"/>
  <c r="J1018" i="24"/>
  <c r="K1018" i="24"/>
  <c r="M1018" i="24"/>
  <c r="O1018" i="24"/>
  <c r="H1018" i="24"/>
  <c r="I1018" i="24"/>
  <c r="L1018" i="24"/>
  <c r="N1018" i="24"/>
  <c r="E364" i="24"/>
  <c r="E601" i="24"/>
  <c r="E599" i="24"/>
  <c r="E602" i="24"/>
  <c r="E531" i="24"/>
  <c r="E361" i="24"/>
  <c r="E358" i="24"/>
  <c r="E829" i="24"/>
  <c r="E828" i="24"/>
  <c r="E362" i="24"/>
  <c r="C1013" i="14" a="1"/>
  <c r="E1014" i="24"/>
  <c r="C1014" i="14" a="1"/>
  <c r="C1015" i="14" a="1"/>
  <c r="E844" i="24"/>
  <c r="E996" i="24"/>
  <c r="C996" i="14" a="1"/>
  <c r="E413" i="24"/>
  <c r="E439" i="24"/>
  <c r="E371" i="24"/>
  <c r="E369" i="24"/>
  <c r="E404" i="24"/>
  <c r="E383" i="24"/>
  <c r="E382" i="24"/>
  <c r="E381" i="24"/>
  <c r="E244" i="24"/>
  <c r="E241" i="24"/>
  <c r="E9" i="24"/>
  <c r="E606" i="24"/>
  <c r="E605" i="24"/>
  <c r="E603" i="24"/>
  <c r="E600" i="24"/>
  <c r="E598" i="24"/>
  <c r="E597" i="24"/>
  <c r="E596" i="24"/>
  <c r="E593" i="24"/>
  <c r="E592" i="24"/>
  <c r="E588" i="24"/>
  <c r="E587" i="24"/>
  <c r="E586" i="24"/>
  <c r="E585" i="24"/>
  <c r="E584" i="24"/>
  <c r="E582" i="24"/>
  <c r="E581" i="24"/>
  <c r="E580" i="24"/>
  <c r="E579" i="24"/>
  <c r="E578" i="24"/>
  <c r="E577" i="24"/>
  <c r="E576" i="24"/>
  <c r="E575" i="24"/>
  <c r="E574" i="24"/>
  <c r="E573" i="24"/>
  <c r="E572" i="24"/>
  <c r="E571" i="24"/>
  <c r="E385" i="24"/>
  <c r="E551" i="24"/>
  <c r="E617" i="24"/>
  <c r="E831" i="24"/>
  <c r="E830" i="24"/>
  <c r="E615" i="24"/>
  <c r="E612" i="24"/>
  <c r="E611" i="24"/>
  <c r="E610" i="24"/>
  <c r="E609" i="24"/>
  <c r="E608" i="24"/>
  <c r="E607" i="24"/>
  <c r="E604" i="24"/>
  <c r="E595" i="24"/>
  <c r="E594" i="24"/>
  <c r="E387" i="24"/>
  <c r="E386" i="24"/>
  <c r="E648" i="24"/>
  <c r="E647" i="24"/>
  <c r="E646" i="24"/>
  <c r="E645" i="24"/>
  <c r="E644" i="24"/>
  <c r="E643" i="24"/>
  <c r="E642" i="24"/>
  <c r="E641" i="24"/>
  <c r="E640" i="24"/>
  <c r="E639" i="24"/>
  <c r="E638" i="24"/>
  <c r="E637" i="24"/>
  <c r="E636" i="24"/>
  <c r="E635" i="24"/>
  <c r="E614" i="24"/>
  <c r="E613" i="24"/>
  <c r="E633" i="24"/>
  <c r="E628" i="24"/>
  <c r="E626" i="24"/>
  <c r="E623" i="24"/>
  <c r="E942" i="24"/>
  <c r="E941" i="24"/>
  <c r="E940" i="24"/>
  <c r="E938" i="24"/>
  <c r="C938" i="14" a="1"/>
  <c r="C937" i="14" a="1"/>
  <c r="C936" i="14" a="1"/>
  <c r="E783" i="24"/>
  <c r="C944" i="14" a="1"/>
  <c r="C943" i="14" a="1"/>
  <c r="M1016" i="24"/>
  <c r="C916" i="14" a="1"/>
  <c r="C915" i="14" a="1"/>
  <c r="C914" i="14" a="1"/>
  <c r="C913" i="14" a="1"/>
  <c r="C912" i="14" a="1"/>
  <c r="C919" i="14" a="1"/>
  <c r="C918" i="14" a="1"/>
  <c r="C917" i="14" a="1"/>
  <c r="C989" i="14" a="1"/>
  <c r="C988" i="14" a="1"/>
  <c r="C990" i="14" a="1"/>
  <c r="C993" i="14" a="1"/>
  <c r="C992" i="14" a="1"/>
  <c r="C991" i="14" a="1"/>
  <c r="C987" i="14" a="1"/>
  <c r="C986" i="14" a="1"/>
  <c r="C985" i="14" a="1"/>
  <c r="C984" i="14" a="1"/>
  <c r="C983" i="14" a="1"/>
  <c r="C982" i="14" a="1"/>
  <c r="C981" i="14" a="1"/>
  <c r="C980" i="14" a="1"/>
  <c r="C979" i="14" a="1"/>
  <c r="C978" i="14" a="1"/>
  <c r="C972" i="14" a="1"/>
  <c r="C971" i="14" a="1"/>
  <c r="C970" i="14" a="1"/>
  <c r="C969" i="14" a="1"/>
  <c r="C968" i="14" a="1"/>
  <c r="C911" i="14" a="1"/>
  <c r="C967" i="14" a="1"/>
  <c r="L608" i="14"/>
  <c r="L1012" i="14"/>
  <c r="C999" i="14" a="1"/>
  <c r="C1000" i="14" a="1"/>
  <c r="L984" i="14"/>
  <c r="L928" i="14"/>
  <c r="C973" i="14" a="1"/>
  <c r="E998" i="24"/>
  <c r="L983" i="14"/>
  <c r="L867" i="14"/>
  <c r="L866" i="14"/>
  <c r="L865" i="14"/>
  <c r="L864" i="14"/>
  <c r="L863" i="14"/>
  <c r="L862" i="14"/>
  <c r="L861" i="14"/>
  <c r="L982" i="14"/>
  <c r="L981" i="14"/>
  <c r="L926" i="14"/>
  <c r="L980" i="14"/>
  <c r="L979" i="14"/>
  <c r="L925" i="14"/>
  <c r="L924" i="14"/>
  <c r="L880" i="14"/>
  <c r="L879" i="14"/>
  <c r="L878" i="14"/>
  <c r="L877" i="14"/>
  <c r="L876" i="14"/>
  <c r="L875" i="14"/>
  <c r="L874" i="14"/>
  <c r="L873" i="14"/>
  <c r="L872" i="14"/>
  <c r="L871" i="14"/>
  <c r="L870" i="14"/>
  <c r="L869" i="14"/>
  <c r="L868" i="14"/>
  <c r="L978" i="14"/>
  <c r="L923" i="14"/>
  <c r="L894" i="14"/>
  <c r="L893" i="14"/>
  <c r="L892" i="14"/>
  <c r="L891" i="14"/>
  <c r="L890" i="14"/>
  <c r="L889" i="14"/>
  <c r="L888" i="14"/>
  <c r="L887" i="14"/>
  <c r="L886" i="14"/>
  <c r="L885" i="14"/>
  <c r="L884" i="14"/>
  <c r="L883" i="14"/>
  <c r="L882" i="14"/>
  <c r="L881" i="14"/>
  <c r="L990" i="14"/>
  <c r="L922" i="14"/>
  <c r="L906" i="14"/>
  <c r="L905" i="14"/>
  <c r="L904" i="14"/>
  <c r="L903" i="14"/>
  <c r="L902" i="14"/>
  <c r="L901" i="14"/>
  <c r="L900" i="14"/>
  <c r="L899" i="14"/>
  <c r="L898" i="14"/>
  <c r="L897" i="14"/>
  <c r="L896" i="14"/>
  <c r="L895" i="14"/>
  <c r="L976" i="14"/>
  <c r="L975" i="14"/>
  <c r="L974" i="14"/>
  <c r="L992" i="14"/>
  <c r="L1000" i="14"/>
  <c r="L1001" i="14"/>
  <c r="L991" i="14"/>
  <c r="L985" i="14"/>
  <c r="L977" i="14"/>
  <c r="L1009" i="14"/>
  <c r="L934" i="14"/>
  <c r="L933" i="14"/>
  <c r="L932" i="14"/>
  <c r="L931" i="14"/>
  <c r="L930" i="14"/>
  <c r="L921" i="14"/>
  <c r="L920" i="14"/>
  <c r="L919" i="14"/>
  <c r="L918" i="14"/>
  <c r="L917" i="14"/>
  <c r="L916" i="14"/>
  <c r="L915" i="14"/>
  <c r="L914" i="14"/>
  <c r="L913" i="14"/>
  <c r="L912" i="14"/>
  <c r="L911" i="14"/>
  <c r="L910" i="14"/>
  <c r="L909" i="14"/>
  <c r="L908" i="14"/>
  <c r="L907" i="14"/>
  <c r="E1001" i="24"/>
  <c r="L973" i="14"/>
  <c r="L972" i="14"/>
  <c r="L937" i="14"/>
  <c r="L936" i="14"/>
  <c r="E1008" i="24"/>
  <c r="L952" i="14"/>
  <c r="L951" i="14"/>
  <c r="L950" i="14"/>
  <c r="L949" i="14"/>
  <c r="L948" i="14"/>
  <c r="L947" i="14"/>
  <c r="L946" i="14"/>
  <c r="L945" i="14"/>
  <c r="L944" i="14"/>
  <c r="L943" i="14"/>
  <c r="L942" i="14"/>
  <c r="L941" i="14"/>
  <c r="L940" i="14"/>
  <c r="L939" i="14"/>
  <c r="L938" i="14"/>
  <c r="L971" i="14"/>
  <c r="L970" i="14"/>
  <c r="L954" i="14"/>
  <c r="L953" i="14"/>
  <c r="L969" i="14"/>
  <c r="L968" i="14"/>
  <c r="L967" i="14"/>
  <c r="L966" i="14"/>
  <c r="L965" i="14"/>
  <c r="L964" i="14"/>
  <c r="L963" i="14"/>
  <c r="L962" i="14"/>
  <c r="L961" i="14"/>
  <c r="L960" i="14"/>
  <c r="L959" i="14"/>
  <c r="L958" i="14"/>
  <c r="L957" i="14"/>
  <c r="L956" i="14"/>
  <c r="L955" i="14"/>
  <c r="E995" i="24"/>
  <c r="L935" i="14"/>
  <c r="E1006" i="24"/>
  <c r="E1009" i="24"/>
  <c r="E1007" i="24"/>
  <c r="L999" i="14"/>
  <c r="L996" i="14"/>
  <c r="L1002" i="14"/>
  <c r="L998" i="14"/>
  <c r="L1008" i="14"/>
  <c r="L1006" i="14"/>
  <c r="L1004" i="14"/>
  <c r="L1011" i="14"/>
  <c r="L995" i="14"/>
  <c r="L997" i="14"/>
  <c r="L994" i="14"/>
  <c r="L801" i="14"/>
  <c r="L1010" i="14"/>
  <c r="C887" i="14" a="1"/>
  <c r="C39" i="14" a="1"/>
  <c r="C38" i="14" a="1"/>
  <c r="C37" i="14" a="1"/>
  <c r="C36" i="14" a="1"/>
  <c r="C35" i="14" a="1"/>
  <c r="C34" i="14" a="1"/>
  <c r="C33" i="14" a="1"/>
  <c r="C32" i="14" a="1"/>
  <c r="C31" i="14" a="1"/>
  <c r="C30" i="14" a="1"/>
  <c r="C29" i="14" a="1"/>
  <c r="C28" i="14" a="1"/>
  <c r="C27" i="14" a="1"/>
  <c r="C26" i="14" a="1"/>
  <c r="C25" i="14" a="1"/>
  <c r="C977" i="14" a="1"/>
  <c r="C24" i="14" a="1"/>
  <c r="C23" i="14" a="1"/>
  <c r="C22" i="14" a="1"/>
  <c r="C21" i="14" a="1"/>
  <c r="C20" i="14" a="1"/>
  <c r="C976" i="14" a="1"/>
  <c r="C975" i="14" a="1"/>
  <c r="G1004" i="24"/>
  <c r="L1003" i="14"/>
  <c r="L1007" i="14"/>
  <c r="C974" i="14" a="1"/>
  <c r="C870" i="14" a="1"/>
  <c r="L611" i="14"/>
  <c r="L1005" i="14"/>
  <c r="C869" i="14" a="1"/>
  <c r="C868" i="14" a="1"/>
  <c r="C867" i="14" a="1"/>
  <c r="C866" i="14" a="1"/>
  <c r="C865" i="14" a="1"/>
  <c r="C792" i="14" a="1"/>
  <c r="C790" i="14" a="1"/>
  <c r="C789" i="14" a="1"/>
  <c r="C788" i="14" a="1"/>
  <c r="C787" i="14" a="1"/>
  <c r="C19" i="14" a="1"/>
  <c r="C18" i="14" a="1"/>
  <c r="C966" i="14" a="1"/>
  <c r="C557" i="14" a="1"/>
  <c r="C556" i="14" a="1"/>
  <c r="C487" i="14" a="1"/>
  <c r="C486" i="14" a="1"/>
  <c r="C485" i="14" a="1"/>
  <c r="C484" i="14" a="1"/>
  <c r="C483" i="14" a="1"/>
  <c r="C482" i="14" a="1"/>
  <c r="C481" i="14" a="1"/>
  <c r="C480" i="14" a="1"/>
  <c r="C791" i="14" a="1"/>
  <c r="C555" i="14" a="1"/>
  <c r="C554" i="14" a="1"/>
  <c r="C13" i="14" a="1"/>
  <c r="C786" i="14" a="1"/>
  <c r="C785" i="14" a="1"/>
  <c r="C713" i="14" a="1"/>
  <c r="C712" i="14" a="1"/>
  <c r="C946" i="14" a="1"/>
  <c r="C947" i="14" a="1"/>
  <c r="C908" i="14" a="1"/>
  <c r="C907" i="14" a="1"/>
  <c r="C906" i="14" a="1"/>
  <c r="C904" i="14" a="1"/>
  <c r="C903" i="14" a="1"/>
  <c r="C902" i="14" a="1"/>
  <c r="C901" i="14" a="1"/>
  <c r="C900" i="14" a="1"/>
  <c r="C899" i="14" a="1"/>
  <c r="C898" i="14" a="1"/>
  <c r="C897" i="14" a="1"/>
  <c r="C896" i="14" a="1"/>
  <c r="C895" i="14" a="1"/>
  <c r="C894" i="14" a="1"/>
  <c r="C893" i="14" a="1"/>
  <c r="C892" i="14" a="1"/>
  <c r="C891" i="14" a="1"/>
  <c r="C890" i="14" a="1"/>
  <c r="C889" i="14" a="1"/>
  <c r="C888" i="14" a="1"/>
  <c r="C553" i="14" a="1"/>
  <c r="C552" i="14" a="1"/>
  <c r="C551" i="14" a="1"/>
  <c r="C910" i="14" a="1"/>
  <c r="C909" i="14" a="1"/>
  <c r="G367" i="24"/>
  <c r="C905" i="14" a="1"/>
  <c r="C257" i="14" a="1"/>
  <c r="C256" i="14" a="1"/>
  <c r="C255" i="14" a="1"/>
  <c r="C784" i="14" a="1"/>
  <c r="C783" i="14" a="1"/>
  <c r="C258" i="14" a="1"/>
  <c r="C781" i="14" a="1"/>
  <c r="C780" i="14" a="1"/>
  <c r="C782" i="14" a="1"/>
  <c r="C949" i="14" a="1"/>
  <c r="C948" i="14" a="1"/>
  <c r="C254" i="14" a="1"/>
  <c r="C253" i="14" a="1"/>
  <c r="C252" i="14" a="1"/>
  <c r="C251" i="14" a="1"/>
  <c r="C250" i="14" a="1"/>
  <c r="C249" i="14" a="1"/>
  <c r="C248" i="14" a="1"/>
  <c r="C247" i="14" a="1"/>
  <c r="C550" i="14" a="1"/>
  <c r="C549" i="14" a="1"/>
  <c r="C548" i="14" a="1"/>
  <c r="C547" i="14" a="1"/>
  <c r="C12" i="14" a="1"/>
  <c r="C11" i="14" a="1"/>
  <c r="C10" i="14" a="1"/>
  <c r="C9" i="14" a="1"/>
  <c r="C779" i="14" a="1"/>
  <c r="C546" i="14" a="1"/>
  <c r="C490" i="14" a="1"/>
  <c r="C864" i="14" a="1"/>
  <c r="C479" i="14" a="1"/>
  <c r="C478" i="14" a="1"/>
  <c r="C477" i="14" a="1"/>
  <c r="C476" i="14" a="1"/>
  <c r="C475" i="14" a="1"/>
  <c r="C711" i="14" a="1"/>
  <c r="C710" i="14" a="1"/>
  <c r="C697" i="14" a="1"/>
  <c r="C696" i="14" a="1"/>
  <c r="C489" i="14" a="1"/>
  <c r="C488" i="14" a="1"/>
  <c r="C695" i="14" a="1"/>
  <c r="C694" i="14" a="1"/>
  <c r="C693" i="14" a="1"/>
  <c r="C8" i="14" a="1"/>
  <c r="C863" i="14" a="1"/>
  <c r="C860" i="14" a="1"/>
  <c r="C862" i="14" a="1"/>
  <c r="C861" i="14" a="1"/>
  <c r="C859" i="14" a="1"/>
  <c r="C857" i="14" a="1"/>
  <c r="C856" i="14" a="1"/>
  <c r="C855" i="14" a="1"/>
  <c r="C854" i="14" a="1"/>
  <c r="C246" i="14" a="1"/>
  <c r="C245" i="14" a="1"/>
  <c r="C244" i="14" a="1"/>
  <c r="C243" i="14" a="1"/>
  <c r="C242" i="14" a="1"/>
  <c r="C241" i="14" a="1"/>
  <c r="C473" i="14" a="1"/>
  <c r="C472" i="14" a="1"/>
  <c r="C858" i="14" a="1"/>
  <c r="C853" i="14" a="1"/>
  <c r="C852" i="14" a="1"/>
  <c r="C851" i="14" a="1"/>
  <c r="C850" i="14" a="1"/>
  <c r="C849" i="14" a="1"/>
  <c r="C848" i="14" a="1"/>
  <c r="C847" i="14" a="1"/>
  <c r="C240" i="14" a="1"/>
  <c r="C846" i="14" a="1"/>
  <c r="C778" i="14" a="1"/>
  <c r="C777" i="14" a="1"/>
  <c r="C776" i="14" a="1"/>
  <c r="C775" i="14" a="1"/>
  <c r="C474" i="14" a="1"/>
  <c r="C845" i="14" a="1"/>
  <c r="C965" i="14" a="1"/>
  <c r="C844" i="14" a="1"/>
  <c r="C471" i="14" a="1"/>
  <c r="C470" i="14" a="1"/>
  <c r="C469" i="14" a="1"/>
  <c r="C468" i="14" a="1"/>
  <c r="C7" i="14" a="1"/>
  <c r="C964" i="14" a="1"/>
  <c r="C963" i="14" a="1"/>
  <c r="C962" i="14" a="1"/>
  <c r="C961" i="14" a="1"/>
  <c r="C960" i="14" a="1"/>
  <c r="C959" i="14" a="1"/>
  <c r="C958" i="14" a="1"/>
  <c r="C953" i="14" a="1"/>
  <c r="C417" i="14" a="1"/>
  <c r="C416" i="14" a="1"/>
  <c r="C415" i="14" a="1"/>
  <c r="C414" i="14" a="1"/>
  <c r="C413" i="14" a="1"/>
  <c r="C467" i="14" a="1"/>
  <c r="C466" i="14" a="1"/>
  <c r="C465" i="14" a="1"/>
  <c r="C464" i="14" a="1"/>
  <c r="C463" i="14" a="1"/>
  <c r="C952" i="14" a="1"/>
  <c r="C951" i="14" a="1"/>
  <c r="C950" i="14" a="1"/>
  <c r="C920" i="14" a="1"/>
  <c r="C880" i="14" a="1"/>
  <c r="C843" i="14" a="1"/>
  <c r="C842" i="14" a="1"/>
  <c r="C841" i="14" a="1"/>
  <c r="C840" i="14" a="1"/>
  <c r="C839" i="14" a="1"/>
  <c r="C838" i="14" a="1"/>
  <c r="C837" i="14" a="1"/>
  <c r="C836" i="14" a="1"/>
  <c r="C6" i="14" a="1"/>
  <c r="C5" i="14" a="1"/>
  <c r="C886" i="14" a="1"/>
  <c r="C885" i="14" a="1"/>
  <c r="C884" i="14" a="1"/>
  <c r="C872" i="14" a="1"/>
  <c r="C871" i="14" a="1"/>
  <c r="G873" i="24"/>
  <c r="G634" i="24"/>
  <c r="C412" i="14" a="1"/>
  <c r="C411" i="14" a="1"/>
  <c r="C634" i="14" a="1"/>
  <c r="C633" i="14" a="1"/>
  <c r="C632" i="14" a="1"/>
  <c r="C631" i="14" a="1"/>
  <c r="C630" i="14" a="1"/>
  <c r="C629" i="14" a="1"/>
  <c r="C879" i="14" a="1"/>
  <c r="C878" i="14" a="1"/>
  <c r="C877" i="14" a="1"/>
  <c r="C876" i="14" a="1"/>
  <c r="C875" i="14" a="1"/>
  <c r="C874" i="14" a="1"/>
  <c r="C873" i="14" a="1"/>
  <c r="C774" i="14" a="1"/>
  <c r="C773" i="14" a="1"/>
  <c r="C772" i="14" a="1"/>
  <c r="C771" i="14" a="1"/>
  <c r="C770" i="14" a="1"/>
  <c r="C769" i="14" a="1"/>
  <c r="C768" i="14" a="1"/>
  <c r="C767" i="14" a="1"/>
  <c r="C152" i="14" a="1"/>
  <c r="C151" i="14" a="1"/>
  <c r="C150" i="14" a="1"/>
  <c r="C149" i="14" a="1"/>
  <c r="C148" i="14" a="1"/>
  <c r="C147" i="14" a="1"/>
  <c r="C146" i="14" a="1"/>
  <c r="C145" i="14" a="1"/>
  <c r="C144" i="14" a="1"/>
  <c r="C53" i="14" a="1"/>
  <c r="C692" i="14" a="1"/>
  <c r="C691" i="14" a="1"/>
  <c r="C690" i="14" a="1"/>
  <c r="C689" i="14" a="1"/>
  <c r="C688" i="14" a="1"/>
  <c r="C687" i="14" a="1"/>
  <c r="C686" i="14" a="1"/>
  <c r="C685" i="14" a="1"/>
  <c r="C684" i="14" a="1"/>
  <c r="C683" i="14" a="1"/>
  <c r="C682" i="14" a="1"/>
  <c r="C545" i="14" a="1"/>
  <c r="C544" i="14" a="1"/>
  <c r="C543" i="14" a="1"/>
  <c r="C462" i="14" a="1"/>
  <c r="C461" i="14" a="1"/>
  <c r="C52" i="14" a="1"/>
  <c r="C51" i="14" a="1"/>
  <c r="C50" i="14" a="1"/>
  <c r="C49" i="14" a="1"/>
  <c r="C48" i="14" a="1"/>
  <c r="C47" i="14" a="1"/>
  <c r="C46" i="14" a="1"/>
  <c r="C45" i="14" a="1"/>
  <c r="C44" i="14" a="1"/>
  <c r="C43" i="14" a="1"/>
  <c r="C42" i="14" a="1"/>
  <c r="C41" i="14" a="1"/>
  <c r="C40" i="14" a="1"/>
  <c r="C883" i="14" a="1"/>
  <c r="C882" i="14" a="1"/>
  <c r="C881" i="14" a="1"/>
  <c r="C835" i="14" a="1"/>
  <c r="C766" i="14" a="1"/>
  <c r="C765" i="14" a="1"/>
  <c r="C764" i="14" a="1"/>
  <c r="C763" i="14" a="1"/>
  <c r="C762" i="14" a="1"/>
  <c r="C761" i="14" a="1"/>
  <c r="C760" i="14" a="1"/>
  <c r="C759" i="14" a="1"/>
  <c r="C758" i="14" a="1"/>
  <c r="C757" i="14" a="1"/>
  <c r="C756" i="14" a="1"/>
  <c r="C638" i="14" a="1"/>
  <c r="C637" i="14" a="1"/>
  <c r="C636" i="14" a="1"/>
  <c r="C635" i="14" a="1"/>
  <c r="C373" i="14" a="1"/>
  <c r="C372" i="14" a="1"/>
  <c r="C371" i="14" a="1"/>
  <c r="C370" i="14" a="1"/>
  <c r="C369" i="14" a="1"/>
  <c r="C368" i="14" a="1"/>
  <c r="C367" i="14" a="1"/>
  <c r="C957" i="14" a="1"/>
  <c r="C956" i="14" a="1"/>
  <c r="C955" i="14" a="1"/>
  <c r="C954" i="14" a="1"/>
  <c r="C715" i="14" a="1"/>
  <c r="C714" i="14" a="1"/>
  <c r="C628" i="14" a="1"/>
  <c r="C627" i="14" a="1"/>
  <c r="C626" i="14" a="1"/>
  <c r="C625" i="14" a="1"/>
  <c r="C624" i="14" a="1"/>
  <c r="C623" i="14" a="1"/>
  <c r="C622" i="14" a="1"/>
  <c r="C621" i="14" a="1"/>
  <c r="C620" i="14" a="1"/>
  <c r="C619" i="14" a="1"/>
  <c r="C618" i="14" a="1"/>
  <c r="C617" i="14" a="1"/>
  <c r="C616" i="14" a="1"/>
  <c r="C239" i="14" a="1"/>
  <c r="C238" i="14" a="1"/>
  <c r="C168" i="14" a="1"/>
  <c r="C167" i="14" a="1"/>
  <c r="C166" i="14" a="1"/>
  <c r="C165" i="14" a="1"/>
  <c r="C164" i="14" a="1"/>
  <c r="C163" i="14" a="1"/>
  <c r="C162" i="14" a="1"/>
  <c r="C161" i="14" a="1"/>
  <c r="C160" i="14" a="1"/>
  <c r="C159" i="14" a="1"/>
  <c r="C158" i="14" a="1"/>
  <c r="C157" i="14" a="1"/>
  <c r="C156" i="14" a="1"/>
  <c r="C155" i="14" a="1"/>
  <c r="C154" i="14" a="1"/>
  <c r="C153" i="14" a="1"/>
  <c r="C4" i="14" a="1"/>
  <c r="C755" i="14" a="1"/>
  <c r="C754" i="14" a="1"/>
  <c r="C753" i="14" a="1"/>
  <c r="C752" i="14" a="1"/>
  <c r="C751" i="14" a="1"/>
  <c r="C615" i="14" a="1"/>
  <c r="C614" i="14" a="1"/>
  <c r="C613" i="14" a="1"/>
  <c r="C612" i="14" a="1"/>
  <c r="C611" i="14" a="1"/>
  <c r="C610" i="14" a="1"/>
  <c r="C609" i="14" a="1"/>
  <c r="C608" i="14" a="1"/>
  <c r="C607" i="14" a="1"/>
  <c r="C606" i="14" a="1"/>
  <c r="C605" i="14" a="1"/>
  <c r="C604" i="14" a="1"/>
  <c r="C603" i="14" a="1"/>
  <c r="C602" i="14" a="1"/>
  <c r="C601" i="14" a="1"/>
  <c r="C600" i="14" a="1"/>
  <c r="C599" i="14" a="1"/>
  <c r="C598" i="14" a="1"/>
  <c r="C355" i="14" a="1"/>
  <c r="C354" i="14" a="1"/>
  <c r="C353" i="14" a="1"/>
  <c r="C352" i="14" a="1"/>
  <c r="C351" i="14" a="1"/>
  <c r="C350" i="14" a="1"/>
  <c r="C349" i="14" a="1"/>
  <c r="C807" i="14" a="1"/>
  <c r="C597" i="14" a="1"/>
  <c r="C596" i="14" a="1"/>
  <c r="C595" i="14" a="1"/>
  <c r="C594" i="14" a="1"/>
  <c r="C593" i="14" a="1"/>
  <c r="C592" i="14" a="1"/>
  <c r="C588" i="14" a="1"/>
  <c r="C587" i="14" a="1"/>
  <c r="C586" i="14" a="1"/>
  <c r="C585" i="14" a="1"/>
  <c r="C584" i="14" a="1"/>
  <c r="C583" i="14" a="1"/>
  <c r="C582" i="14" a="1"/>
  <c r="C581" i="14" a="1"/>
  <c r="C580" i="14" a="1"/>
  <c r="C579" i="14" a="1"/>
  <c r="C578" i="14" a="1"/>
  <c r="C577" i="14" a="1"/>
  <c r="C576" i="14" a="1"/>
  <c r="C575" i="14" a="1"/>
  <c r="C574" i="14" a="1"/>
  <c r="C573" i="14" a="1"/>
  <c r="C572" i="14" a="1"/>
  <c r="C571" i="14" a="1"/>
  <c r="C570" i="14" a="1"/>
  <c r="C569" i="14" a="1"/>
  <c r="C568" i="14" a="1"/>
  <c r="C567" i="14" a="1"/>
  <c r="C566" i="14" a="1"/>
  <c r="C565" i="14" a="1"/>
  <c r="C564" i="14" a="1"/>
  <c r="C563" i="14" a="1"/>
  <c r="C562" i="14" a="1"/>
  <c r="C561" i="14" a="1"/>
  <c r="C560" i="14" a="1"/>
  <c r="C559" i="14" a="1"/>
  <c r="C558" i="14" a="1"/>
  <c r="C542" i="14" a="1"/>
  <c r="C541" i="14" a="1"/>
  <c r="C540" i="14" a="1"/>
  <c r="C539" i="14" a="1"/>
  <c r="C538" i="14" a="1"/>
  <c r="C537" i="14" a="1"/>
  <c r="C536" i="14" a="1"/>
  <c r="C535" i="14" a="1"/>
  <c r="C534" i="14" a="1"/>
  <c r="C533" i="14" a="1"/>
  <c r="G857" i="24"/>
  <c r="L959" i="24"/>
  <c r="C834" i="14" a="1"/>
  <c r="C833" i="14" a="1"/>
  <c r="C832" i="14" a="1"/>
  <c r="C831" i="14" a="1"/>
  <c r="C830" i="14" a="1"/>
  <c r="C829" i="14" a="1"/>
  <c r="C828" i="14" a="1"/>
  <c r="C827" i="14" a="1"/>
  <c r="C826" i="14" a="1"/>
  <c r="C806" i="14" a="1"/>
  <c r="C805" i="14" a="1"/>
  <c r="C804" i="14" a="1"/>
  <c r="C803" i="14" a="1"/>
  <c r="C802" i="14" a="1"/>
  <c r="C801" i="14" a="1"/>
  <c r="C800" i="14" a="1"/>
  <c r="C799" i="14" a="1"/>
  <c r="C798" i="14" a="1"/>
  <c r="C797" i="14" a="1"/>
  <c r="C796" i="14" a="1"/>
  <c r="C795" i="14" a="1"/>
  <c r="C794" i="14" a="1"/>
  <c r="C793" i="14" a="1"/>
  <c r="C750" i="14" a="1"/>
  <c r="C749" i="14" a="1"/>
  <c r="C748" i="14" a="1"/>
  <c r="C747" i="14" a="1"/>
  <c r="C746" i="14" a="1"/>
  <c r="C745" i="14" a="1"/>
  <c r="C744" i="14" a="1"/>
  <c r="C743" i="14" a="1"/>
  <c r="C742" i="14" a="1"/>
  <c r="C741" i="14" a="1"/>
  <c r="C740" i="14" a="1"/>
  <c r="C739" i="14" a="1"/>
  <c r="C738" i="14" a="1"/>
  <c r="C737" i="14" a="1"/>
  <c r="C736" i="14" a="1"/>
  <c r="C735" i="14" a="1"/>
  <c r="C734" i="14" a="1"/>
  <c r="C733" i="14" a="1"/>
  <c r="C732" i="14" a="1"/>
  <c r="C731" i="14" a="1"/>
  <c r="C730" i="14" a="1"/>
  <c r="C729" i="14" a="1"/>
  <c r="C728" i="14" a="1"/>
  <c r="C727" i="14" a="1"/>
  <c r="C726" i="14" a="1"/>
  <c r="C725" i="14" a="1"/>
  <c r="C724" i="14" a="1"/>
  <c r="C723" i="14" a="1"/>
  <c r="C722" i="14" a="1"/>
  <c r="C721" i="14" a="1"/>
  <c r="C720" i="14" a="1"/>
  <c r="C719" i="14" a="1"/>
  <c r="C718" i="14" a="1"/>
  <c r="C717" i="14" a="1"/>
  <c r="C716" i="14" a="1"/>
  <c r="C681" i="14" a="1"/>
  <c r="C680" i="14" a="1"/>
  <c r="C679" i="14" a="1"/>
  <c r="C678" i="14" a="1"/>
  <c r="C677" i="14" a="1"/>
  <c r="C676" i="14" a="1"/>
  <c r="C675" i="14" a="1"/>
  <c r="C674" i="14" a="1"/>
  <c r="C673" i="14" a="1"/>
  <c r="C672" i="14" a="1"/>
  <c r="C671" i="14" a="1"/>
  <c r="C670" i="14" a="1"/>
  <c r="C669" i="14" a="1"/>
  <c r="C668" i="14" a="1"/>
  <c r="C667" i="14" a="1"/>
  <c r="C666" i="14" a="1"/>
  <c r="C665" i="14" a="1"/>
  <c r="C664" i="14" a="1"/>
  <c r="C663" i="14" a="1"/>
  <c r="C662" i="14" a="1"/>
  <c r="C661" i="14" a="1"/>
  <c r="C660" i="14" a="1"/>
  <c r="C659" i="14" a="1"/>
  <c r="C658" i="14" a="1"/>
  <c r="C657" i="14" a="1"/>
  <c r="C656" i="14" a="1"/>
  <c r="C655" i="14" a="1"/>
  <c r="C648" i="14" a="1"/>
  <c r="C647" i="14" a="1"/>
  <c r="C646" i="14" a="1"/>
  <c r="C645" i="14" a="1"/>
  <c r="C644" i="14" a="1"/>
  <c r="C643" i="14" a="1"/>
  <c r="C642" i="14" a="1"/>
  <c r="C641" i="14" a="1"/>
  <c r="C640" i="14" a="1"/>
  <c r="C639" i="14" a="1"/>
  <c r="C532" i="14" a="1"/>
  <c r="C531" i="14" a="1"/>
  <c r="C530" i="14" a="1"/>
  <c r="C529" i="14" a="1"/>
  <c r="C528" i="14" a="1"/>
  <c r="C527" i="14" a="1"/>
  <c r="C526" i="14" a="1"/>
  <c r="C525" i="14" a="1"/>
  <c r="C524" i="14" a="1"/>
  <c r="C523" i="14" a="1"/>
  <c r="C522" i="14" a="1"/>
  <c r="C521" i="14" a="1"/>
  <c r="C520" i="14" a="1"/>
  <c r="C519" i="14" a="1"/>
  <c r="C518" i="14" a="1"/>
  <c r="C517" i="14" a="1"/>
  <c r="C516" i="14" a="1"/>
  <c r="C515" i="14" a="1"/>
  <c r="C514" i="14" a="1"/>
  <c r="C513" i="14" a="1"/>
  <c r="C512" i="14" a="1"/>
  <c r="C511" i="14" a="1"/>
  <c r="C510" i="14" a="1"/>
  <c r="C509" i="14" a="1"/>
  <c r="C508" i="14" a="1"/>
  <c r="C507" i="14" a="1"/>
  <c r="C506" i="14" a="1"/>
  <c r="C505" i="14" a="1"/>
  <c r="C504" i="14" a="1"/>
  <c r="C503" i="14" a="1"/>
  <c r="C502" i="14" a="1"/>
  <c r="C501" i="14" a="1"/>
  <c r="C500" i="14" a="1"/>
  <c r="C499" i="14" a="1"/>
  <c r="C498" i="14" a="1"/>
  <c r="C497" i="14" a="1"/>
  <c r="C496" i="14" a="1"/>
  <c r="C495" i="14" a="1"/>
  <c r="C494" i="14" a="1"/>
  <c r="C493" i="14" a="1"/>
  <c r="C492" i="14" a="1"/>
  <c r="C491" i="14" a="1"/>
  <c r="C433" i="14" a="1"/>
  <c r="C432" i="14" a="1"/>
  <c r="C431" i="14" a="1"/>
  <c r="C430" i="14" a="1"/>
  <c r="C429" i="14" a="1"/>
  <c r="C428" i="14" a="1"/>
  <c r="C427" i="14" a="1"/>
  <c r="C426" i="14" a="1"/>
  <c r="C425" i="14" a="1"/>
  <c r="C424" i="14" a="1"/>
  <c r="C423" i="14" a="1"/>
  <c r="C422" i="14" a="1"/>
  <c r="C421" i="14" a="1"/>
  <c r="C420" i="14" a="1"/>
  <c r="C419" i="14" a="1"/>
  <c r="C418" i="14" a="1"/>
  <c r="C410" i="14" a="1"/>
  <c r="C409" i="14" a="1"/>
  <c r="C408" i="14" a="1"/>
  <c r="C407" i="14" a="1"/>
  <c r="C406" i="14" a="1"/>
  <c r="C405" i="14" a="1"/>
  <c r="C404" i="14" a="1"/>
  <c r="C403" i="14" a="1"/>
  <c r="C402" i="14" a="1"/>
  <c r="C401" i="14" a="1"/>
  <c r="C400" i="14" a="1"/>
  <c r="C399" i="14" a="1"/>
  <c r="C398" i="14" a="1"/>
  <c r="C397" i="14" a="1"/>
  <c r="C396" i="14" a="1"/>
  <c r="C395" i="14" a="1"/>
  <c r="C394" i="14" a="1"/>
  <c r="C393" i="14" a="1"/>
  <c r="C392" i="14" a="1"/>
  <c r="C391" i="14" a="1"/>
  <c r="C390" i="14" a="1"/>
  <c r="C389" i="14" a="1"/>
  <c r="C388" i="14" a="1"/>
  <c r="C387" i="14" a="1"/>
  <c r="C386" i="14" a="1"/>
  <c r="C385" i="14" a="1"/>
  <c r="C384" i="14" a="1"/>
  <c r="C383" i="14" a="1"/>
  <c r="C382" i="14" a="1"/>
  <c r="C381" i="14" a="1"/>
  <c r="C380" i="14" a="1"/>
  <c r="C379" i="14" a="1"/>
  <c r="C378" i="14" a="1"/>
  <c r="C377" i="14" a="1"/>
  <c r="C376" i="14" a="1"/>
  <c r="C375" i="14" a="1"/>
  <c r="C374" i="14" a="1"/>
  <c r="C366" i="14" a="1"/>
  <c r="C365" i="14" a="1"/>
  <c r="C364" i="14" a="1"/>
  <c r="C363" i="14" a="1"/>
  <c r="C362" i="14" a="1"/>
  <c r="C361" i="14" a="1"/>
  <c r="C360" i="14" a="1"/>
  <c r="C359" i="14" a="1"/>
  <c r="C358" i="14" a="1"/>
  <c r="C357" i="14" a="1"/>
  <c r="C356" i="14" a="1"/>
  <c r="C304" i="14" a="1"/>
  <c r="C303" i="14" a="1"/>
  <c r="C302" i="14" a="1"/>
  <c r="C301" i="14" a="1"/>
  <c r="C300" i="14" a="1"/>
  <c r="C299" i="14" a="1"/>
  <c r="C298" i="14" a="1"/>
  <c r="C297" i="14" a="1"/>
  <c r="C296" i="14" a="1"/>
  <c r="C295" i="14" a="1"/>
  <c r="C294" i="14" a="1"/>
  <c r="C293" i="14" a="1"/>
  <c r="C292" i="14" a="1"/>
  <c r="C291" i="14" a="1"/>
  <c r="C290" i="14" a="1"/>
  <c r="C289" i="14" a="1"/>
  <c r="C288" i="14" a="1"/>
  <c r="C287" i="14" a="1"/>
  <c r="C286" i="14" a="1"/>
  <c r="C285" i="14" a="1"/>
  <c r="C284" i="14" a="1"/>
  <c r="C283" i="14" a="1"/>
  <c r="C282" i="14" a="1"/>
  <c r="C281" i="14" a="1"/>
  <c r="C280" i="14" a="1"/>
  <c r="C279" i="14" a="1"/>
  <c r="C278" i="14" a="1"/>
  <c r="C277" i="14" a="1"/>
  <c r="C276" i="14" a="1"/>
  <c r="C275" i="14" a="1"/>
  <c r="C274" i="14" a="1"/>
  <c r="C273" i="14" a="1"/>
  <c r="C272" i="14" a="1"/>
  <c r="C271" i="14" a="1"/>
  <c r="C270" i="14" a="1"/>
  <c r="C269" i="14" a="1"/>
  <c r="C268" i="14" a="1"/>
  <c r="C267" i="14" a="1"/>
  <c r="C266" i="14" a="1"/>
  <c r="C265" i="14" a="1"/>
  <c r="C264" i="14" a="1"/>
  <c r="C263" i="14" a="1"/>
  <c r="C262" i="14" a="1"/>
  <c r="C261" i="14" a="1"/>
  <c r="C260" i="14" a="1"/>
  <c r="C259" i="14" a="1"/>
  <c r="C143" i="14" a="1"/>
  <c r="C142" i="14" a="1"/>
  <c r="C141" i="14" a="1"/>
  <c r="C140" i="14" a="1"/>
  <c r="C139" i="14" a="1"/>
  <c r="C138" i="14" a="1"/>
  <c r="C137" i="14" a="1"/>
  <c r="C136" i="14" a="1"/>
  <c r="C135" i="14" a="1"/>
  <c r="C134" i="14" a="1"/>
  <c r="C133" i="14" a="1"/>
  <c r="C132" i="14" a="1"/>
  <c r="C131" i="14" a="1"/>
  <c r="C130" i="14" a="1"/>
  <c r="C129" i="14" a="1"/>
  <c r="C128" i="14" a="1"/>
  <c r="C127" i="14" a="1"/>
  <c r="C126" i="14" a="1"/>
  <c r="C125" i="14" a="1"/>
  <c r="C124" i="14" a="1"/>
  <c r="C123" i="14" a="1"/>
  <c r="C122" i="14" a="1"/>
  <c r="C121" i="14" a="1"/>
  <c r="C120" i="14" a="1"/>
  <c r="C17" i="14" a="1"/>
  <c r="C16" i="14" a="1"/>
  <c r="C15" i="14" a="1"/>
  <c r="C14" i="14" a="1"/>
  <c r="I423" i="24"/>
  <c r="G405" i="24"/>
  <c r="H405" i="24"/>
  <c r="I405" i="24"/>
  <c r="J405" i="24"/>
  <c r="K405" i="24"/>
  <c r="L405" i="24"/>
  <c r="M405" i="24"/>
  <c r="N405" i="24"/>
  <c r="O405" i="24"/>
  <c r="C935" i="14" a="1"/>
  <c r="C934" i="14" a="1"/>
  <c r="C933" i="14" a="1"/>
  <c r="C932" i="14" a="1"/>
  <c r="C931" i="14" a="1"/>
  <c r="C930" i="14" a="1"/>
  <c r="C929" i="14" a="1"/>
  <c r="C928" i="14" a="1"/>
  <c r="C927" i="14" a="1"/>
  <c r="C926" i="14" a="1"/>
  <c r="C925" i="14" a="1"/>
  <c r="C924" i="14" a="1"/>
  <c r="C923" i="14" a="1"/>
  <c r="C922" i="14" a="1"/>
  <c r="C921" i="14" a="1"/>
  <c r="C825" i="14" a="1"/>
  <c r="C824" i="14" a="1"/>
  <c r="C823" i="14" a="1"/>
  <c r="C822" i="14" a="1"/>
  <c r="C821" i="14" a="1"/>
  <c r="C820" i="14" a="1"/>
  <c r="C819" i="14" a="1"/>
  <c r="C818" i="14" a="1"/>
  <c r="C817" i="14" a="1"/>
  <c r="C816" i="14" a="1"/>
  <c r="C815" i="14" a="1"/>
  <c r="C814" i="14" a="1"/>
  <c r="C813" i="14" a="1"/>
  <c r="C812" i="14" a="1"/>
  <c r="C811" i="14" a="1"/>
  <c r="C810" i="14" a="1"/>
  <c r="C809" i="14" a="1"/>
  <c r="C808" i="14" a="1"/>
  <c r="C709" i="14" a="1"/>
  <c r="C708" i="14" a="1"/>
  <c r="C707" i="14" a="1"/>
  <c r="C706" i="14" a="1"/>
  <c r="C705" i="14" a="1"/>
  <c r="C704" i="14" a="1"/>
  <c r="C703" i="14" a="1"/>
  <c r="C702" i="14" a="1"/>
  <c r="C701" i="14" a="1"/>
  <c r="C700" i="14" a="1"/>
  <c r="C699" i="14" a="1"/>
  <c r="C698" i="14" a="1"/>
  <c r="C591" i="14" a="1"/>
  <c r="C590" i="14" a="1"/>
  <c r="C589" i="14" a="1"/>
  <c r="C460" i="14" a="1"/>
  <c r="C459" i="14" a="1"/>
  <c r="C458" i="14" a="1"/>
  <c r="C457" i="14" a="1"/>
  <c r="C456" i="14" a="1"/>
  <c r="C455" i="14" a="1"/>
  <c r="C454" i="14" a="1"/>
  <c r="C453" i="14" a="1"/>
  <c r="C452" i="14" a="1"/>
  <c r="C451" i="14" a="1"/>
  <c r="C450" i="14" a="1"/>
  <c r="C449" i="14" a="1"/>
  <c r="C448" i="14" a="1"/>
  <c r="C447" i="14" a="1"/>
  <c r="C446" i="14" a="1"/>
  <c r="C445" i="14" a="1"/>
  <c r="C444" i="14" a="1"/>
  <c r="C443" i="14" a="1"/>
  <c r="C442" i="14" a="1"/>
  <c r="C441" i="14" a="1"/>
  <c r="C440" i="14" a="1"/>
  <c r="C439" i="14" a="1"/>
  <c r="C438" i="14" a="1"/>
  <c r="C437" i="14" a="1"/>
  <c r="C436" i="14" a="1"/>
  <c r="C435" i="14" a="1"/>
  <c r="C434" i="14" a="1"/>
  <c r="C348" i="14" a="1"/>
  <c r="C347" i="14" a="1"/>
  <c r="C346" i="14" a="1"/>
  <c r="C345" i="14" a="1"/>
  <c r="C344" i="14" a="1"/>
  <c r="C343" i="14" a="1"/>
  <c r="C342" i="14" a="1"/>
  <c r="C341" i="14" a="1"/>
  <c r="C340" i="14" a="1"/>
  <c r="C339" i="14" a="1"/>
  <c r="C338" i="14" a="1"/>
  <c r="C337" i="14" a="1"/>
  <c r="C336" i="14" a="1"/>
  <c r="C335" i="14" a="1"/>
  <c r="C334" i="14" a="1"/>
  <c r="C333" i="14" a="1"/>
  <c r="C332" i="14" a="1"/>
  <c r="C331" i="14" a="1"/>
  <c r="C330" i="14" a="1"/>
  <c r="C329" i="14" a="1"/>
  <c r="C328" i="14" a="1"/>
  <c r="C327" i="14" a="1"/>
  <c r="C326" i="14" a="1"/>
  <c r="C325" i="14" a="1"/>
  <c r="C324" i="14" a="1"/>
  <c r="C323" i="14" a="1"/>
  <c r="C322" i="14" a="1"/>
  <c r="C321" i="14" a="1"/>
  <c r="C320" i="14" a="1"/>
  <c r="C319" i="14" a="1"/>
  <c r="C318" i="14" a="1"/>
  <c r="C317" i="14" a="1"/>
  <c r="C316" i="14" a="1"/>
  <c r="C315" i="14" a="1"/>
  <c r="C314" i="14" a="1"/>
  <c r="C313" i="14" a="1"/>
  <c r="C312" i="14" a="1"/>
  <c r="C311" i="14" a="1"/>
  <c r="C310" i="14" a="1"/>
  <c r="C309" i="14" a="1"/>
  <c r="C308" i="14" a="1"/>
  <c r="C307" i="14" a="1"/>
  <c r="C306" i="14" a="1"/>
  <c r="C305" i="14" a="1"/>
  <c r="C237" i="14" a="1"/>
  <c r="C236" i="14" a="1"/>
  <c r="C235" i="14" a="1"/>
  <c r="C234" i="14" a="1"/>
  <c r="C233" i="14" a="1"/>
  <c r="C232" i="14" a="1"/>
  <c r="C231" i="14" a="1"/>
  <c r="C230" i="14" a="1"/>
  <c r="C229" i="14" a="1"/>
  <c r="C228" i="14" a="1"/>
  <c r="C227" i="14" a="1"/>
  <c r="C226" i="14" a="1"/>
  <c r="C225" i="14" a="1"/>
  <c r="C224" i="14" a="1"/>
  <c r="C223" i="14" a="1"/>
  <c r="C222" i="14" a="1"/>
  <c r="C221" i="14" a="1"/>
  <c r="C220" i="14" a="1"/>
  <c r="C219" i="14" a="1"/>
  <c r="C218" i="14" a="1"/>
  <c r="C217" i="14" a="1"/>
  <c r="C216" i="14" a="1"/>
  <c r="C215" i="14" a="1"/>
  <c r="C214" i="14" a="1"/>
  <c r="C213" i="14" a="1"/>
  <c r="C212" i="14" a="1"/>
  <c r="C211" i="14" a="1"/>
  <c r="C210" i="14" a="1"/>
  <c r="C209" i="14" a="1"/>
  <c r="C208" i="14" a="1"/>
  <c r="C207" i="14" a="1"/>
  <c r="C206" i="14" a="1"/>
  <c r="C205" i="14" a="1"/>
  <c r="C204" i="14" a="1"/>
  <c r="C203" i="14" a="1"/>
  <c r="C202" i="14" a="1"/>
  <c r="C201" i="14" a="1"/>
  <c r="C200" i="14" a="1"/>
  <c r="C199" i="14" a="1"/>
  <c r="C198" i="14" a="1"/>
  <c r="C197" i="14" a="1"/>
  <c r="C196" i="14" a="1"/>
  <c r="C195" i="14" a="1"/>
  <c r="C194" i="14" a="1"/>
  <c r="C193" i="14" a="1"/>
  <c r="C192" i="14" a="1"/>
  <c r="C191" i="14" a="1"/>
  <c r="C190" i="14" a="1"/>
  <c r="C189" i="14" a="1"/>
  <c r="C188" i="14" a="1"/>
  <c r="C187" i="14" a="1"/>
  <c r="C186" i="14" a="1"/>
  <c r="C185" i="14" a="1"/>
  <c r="C184" i="14" a="1"/>
  <c r="C183" i="14" a="1"/>
  <c r="C182" i="14" a="1"/>
  <c r="C181" i="14" a="1"/>
  <c r="C180" i="14" a="1"/>
  <c r="C179" i="14" a="1"/>
  <c r="C178" i="14" a="1"/>
  <c r="C177" i="14" a="1"/>
  <c r="C176" i="14" a="1"/>
  <c r="C175" i="14" a="1"/>
  <c r="C174" i="14" a="1"/>
  <c r="C173" i="14" a="1"/>
  <c r="C172" i="14" a="1"/>
  <c r="C171" i="14" a="1"/>
  <c r="C170" i="14" a="1"/>
  <c r="C169" i="14" a="1"/>
  <c r="C119" i="14" a="1"/>
  <c r="C118" i="14" a="1"/>
  <c r="C117" i="14" a="1"/>
  <c r="C116" i="14" a="1"/>
  <c r="C115" i="14" a="1"/>
  <c r="C114" i="14" a="1"/>
  <c r="C113" i="14" a="1"/>
  <c r="C112" i="14" a="1"/>
  <c r="C111" i="14" a="1"/>
  <c r="C110" i="14" a="1"/>
  <c r="C109" i="14" a="1"/>
  <c r="C108" i="14" a="1"/>
  <c r="C107" i="14" a="1"/>
  <c r="C106" i="14" a="1"/>
  <c r="C105" i="14" a="1"/>
  <c r="C104" i="14" a="1"/>
  <c r="C103" i="14" a="1"/>
  <c r="C102" i="14" a="1"/>
  <c r="C101" i="14" a="1"/>
  <c r="C100" i="14" a="1"/>
  <c r="C99" i="14" a="1"/>
  <c r="C98" i="14" a="1"/>
  <c r="C97" i="14" a="1"/>
  <c r="C96" i="14" a="1"/>
  <c r="C95" i="14" a="1"/>
  <c r="C94" i="14" a="1"/>
  <c r="C93" i="14" a="1"/>
  <c r="C92" i="14" a="1"/>
  <c r="C91" i="14" a="1"/>
  <c r="C90" i="14" a="1"/>
  <c r="C89" i="14" a="1"/>
  <c r="C88" i="14" a="1"/>
  <c r="C87" i="14" a="1"/>
  <c r="C86" i="14" a="1"/>
  <c r="C85" i="14" a="1"/>
  <c r="C84" i="14" a="1"/>
  <c r="C83" i="14" a="1"/>
  <c r="C82" i="14" a="1"/>
  <c r="C81" i="14" a="1"/>
  <c r="C80" i="14" a="1"/>
  <c r="C79" i="14" a="1"/>
  <c r="C78" i="14" a="1"/>
  <c r="C77" i="14" a="1"/>
  <c r="C76" i="14" a="1"/>
  <c r="C75" i="14" a="1"/>
  <c r="C74" i="14" a="1"/>
  <c r="C73" i="14" a="1"/>
  <c r="C72" i="14" a="1"/>
  <c r="C71" i="14" a="1"/>
  <c r="C70" i="14" a="1"/>
  <c r="C69" i="14" a="1"/>
  <c r="C68" i="14" a="1"/>
  <c r="C67" i="14" a="1"/>
  <c r="C66" i="14" a="1"/>
  <c r="C65" i="14" a="1"/>
  <c r="C64" i="14" a="1"/>
  <c r="C63" i="14" a="1"/>
  <c r="C62" i="14" a="1"/>
  <c r="C61" i="14" a="1"/>
  <c r="C60" i="14" a="1"/>
  <c r="C59" i="14" a="1"/>
  <c r="C58" i="14" a="1"/>
  <c r="C57" i="14" a="1"/>
  <c r="C56" i="14" a="1"/>
  <c r="C55" i="14" a="1"/>
  <c r="C54" i="14" a="1"/>
  <c r="E1039" i="14" l="1"/>
  <c r="E1051" i="14" s="1"/>
  <c r="E828" i="14"/>
  <c r="E814" i="14"/>
  <c r="E897" i="14"/>
  <c r="E800" i="14"/>
  <c r="E801" i="14" s="1"/>
  <c r="E809" i="14"/>
  <c r="E810" i="14" s="1"/>
  <c r="E910" i="14"/>
  <c r="E911" i="14" s="1"/>
  <c r="E576" i="14"/>
  <c r="E827" i="14"/>
  <c r="E834" i="14" s="1"/>
  <c r="E818" i="14"/>
  <c r="N1014" i="24"/>
  <c r="O1014" i="24"/>
  <c r="H1014" i="24"/>
  <c r="L1014" i="24"/>
  <c r="J1014" i="24"/>
  <c r="I1014" i="24"/>
  <c r="M1014" i="24"/>
  <c r="K1014" i="24"/>
  <c r="G1014" i="24"/>
  <c r="J411" i="24"/>
  <c r="K411" i="24"/>
  <c r="L411" i="24"/>
  <c r="M411" i="24"/>
  <c r="N411" i="24"/>
  <c r="O411" i="24"/>
  <c r="H411" i="24"/>
  <c r="G411" i="24"/>
  <c r="I411" i="24"/>
  <c r="H410" i="24"/>
  <c r="I410" i="24"/>
  <c r="J410" i="24"/>
  <c r="K410" i="24"/>
  <c r="L410" i="24"/>
  <c r="M410" i="24"/>
  <c r="O410" i="24"/>
  <c r="N410" i="24"/>
  <c r="G410" i="24"/>
  <c r="O1013" i="24"/>
  <c r="N1013" i="24"/>
  <c r="M1013" i="24"/>
  <c r="L1013" i="24"/>
  <c r="K1013" i="24"/>
  <c r="I1013" i="24"/>
  <c r="H1013" i="24"/>
  <c r="G1013" i="24"/>
  <c r="J1013" i="24"/>
  <c r="G1017" i="24"/>
  <c r="N1017" i="24"/>
  <c r="O1017" i="24"/>
  <c r="M1015" i="24"/>
  <c r="G1015" i="24"/>
  <c r="H1015" i="24"/>
  <c r="K1015" i="24"/>
  <c r="I1015" i="24"/>
  <c r="J1015" i="24"/>
  <c r="L1015" i="24"/>
  <c r="N1015" i="24"/>
  <c r="O1015" i="24"/>
  <c r="H408" i="24"/>
  <c r="L408" i="24"/>
  <c r="J408" i="24"/>
  <c r="N408" i="24"/>
  <c r="O408" i="24"/>
  <c r="G408" i="24"/>
  <c r="I408" i="24"/>
  <c r="K408" i="24"/>
  <c r="M408" i="24"/>
  <c r="G413" i="24"/>
  <c r="L413" i="24"/>
  <c r="N413" i="24"/>
  <c r="J413" i="24"/>
  <c r="O413" i="24"/>
  <c r="I413" i="24"/>
  <c r="H413" i="24"/>
  <c r="M413" i="24"/>
  <c r="K413" i="24"/>
  <c r="I1017" i="24"/>
  <c r="J1017" i="24"/>
  <c r="H1017" i="24"/>
  <c r="L1017" i="24"/>
  <c r="M1017" i="24"/>
  <c r="K1017" i="24"/>
  <c r="G406" i="24"/>
  <c r="H406" i="24"/>
  <c r="I406" i="24"/>
  <c r="J406" i="24"/>
  <c r="K406" i="24"/>
  <c r="L406" i="24"/>
  <c r="M406" i="24"/>
  <c r="N406" i="24"/>
  <c r="O406" i="24"/>
  <c r="G1016" i="24"/>
  <c r="H1016" i="24"/>
  <c r="I1016" i="24"/>
  <c r="J1016" i="24"/>
  <c r="K1016" i="24"/>
  <c r="L1016" i="24"/>
  <c r="N1016" i="24"/>
  <c r="O1016" i="24"/>
  <c r="E919" i="24"/>
  <c r="G400" i="24"/>
  <c r="H400" i="24"/>
  <c r="I400" i="24"/>
  <c r="J400" i="24"/>
  <c r="K400" i="24"/>
  <c r="L400" i="24"/>
  <c r="M400" i="24"/>
  <c r="N400" i="24"/>
  <c r="O400" i="24"/>
  <c r="G318" i="24"/>
  <c r="H318" i="24"/>
  <c r="I318" i="24"/>
  <c r="J318" i="24"/>
  <c r="K318" i="24"/>
  <c r="L318" i="24"/>
  <c r="M318" i="24"/>
  <c r="N318" i="24"/>
  <c r="O318" i="24"/>
  <c r="G315" i="24"/>
  <c r="H315" i="24"/>
  <c r="I315" i="24"/>
  <c r="J315" i="24"/>
  <c r="K315" i="24"/>
  <c r="L315" i="24"/>
  <c r="M315" i="24"/>
  <c r="N315" i="24"/>
  <c r="O315" i="24"/>
  <c r="G314" i="24"/>
  <c r="H314" i="24"/>
  <c r="I314" i="24"/>
  <c r="J314" i="24"/>
  <c r="K314" i="24"/>
  <c r="L314" i="24"/>
  <c r="M314" i="24"/>
  <c r="N314" i="24"/>
  <c r="O314" i="24"/>
  <c r="G313" i="24"/>
  <c r="H313" i="24"/>
  <c r="I313" i="24"/>
  <c r="J313" i="24"/>
  <c r="K313" i="24"/>
  <c r="L313" i="24"/>
  <c r="M313" i="24"/>
  <c r="N313" i="24"/>
  <c r="O313" i="24"/>
  <c r="K500" i="24"/>
  <c r="I500" i="24"/>
  <c r="M500" i="24"/>
  <c r="G500" i="24"/>
  <c r="L500" i="24"/>
  <c r="O500" i="24"/>
  <c r="J500" i="24"/>
  <c r="H500" i="24"/>
  <c r="N500" i="24"/>
  <c r="H702" i="24"/>
  <c r="G702" i="24"/>
  <c r="J702" i="24"/>
  <c r="L702" i="24"/>
  <c r="N702" i="24"/>
  <c r="O702" i="24"/>
  <c r="K702" i="24"/>
  <c r="I702" i="24"/>
  <c r="M702" i="24"/>
  <c r="K1012" i="24"/>
  <c r="L1012" i="24"/>
  <c r="J1012" i="24"/>
  <c r="G1012" i="24"/>
  <c r="H1012" i="24"/>
  <c r="O1012" i="24"/>
  <c r="M1012" i="24"/>
  <c r="I1012" i="24"/>
  <c r="N1012" i="24"/>
  <c r="G394" i="24"/>
  <c r="H394" i="24"/>
  <c r="I394" i="24"/>
  <c r="J394" i="24"/>
  <c r="K394" i="24"/>
  <c r="L394" i="24"/>
  <c r="M394" i="24"/>
  <c r="N394" i="24"/>
  <c r="O394" i="24"/>
  <c r="G404" i="24"/>
  <c r="H404" i="24"/>
  <c r="I404" i="24"/>
  <c r="J404" i="24"/>
  <c r="K404" i="24"/>
  <c r="L404" i="24"/>
  <c r="M404" i="24"/>
  <c r="N404" i="24"/>
  <c r="O404" i="24"/>
  <c r="E862" i="24"/>
  <c r="E935" i="24"/>
  <c r="E951" i="24"/>
  <c r="E965" i="24"/>
  <c r="O1007" i="24"/>
  <c r="M1007" i="24"/>
  <c r="K1007" i="24"/>
  <c r="I1007" i="24"/>
  <c r="H1007" i="24"/>
  <c r="N1007" i="24"/>
  <c r="L1007" i="24"/>
  <c r="J1007" i="24"/>
  <c r="G1007" i="24"/>
  <c r="G409" i="24"/>
  <c r="H409" i="24"/>
  <c r="I409" i="24"/>
  <c r="J409" i="24"/>
  <c r="K409" i="24"/>
  <c r="L409" i="24"/>
  <c r="M409" i="24"/>
  <c r="N409" i="24"/>
  <c r="O409" i="24"/>
  <c r="E880" i="24"/>
  <c r="E900" i="24"/>
  <c r="E885" i="24"/>
  <c r="E879" i="24"/>
  <c r="E881" i="24"/>
  <c r="E927" i="24"/>
  <c r="E870" i="24"/>
  <c r="E905" i="24"/>
  <c r="E871" i="24"/>
  <c r="E909" i="24"/>
  <c r="E904" i="24"/>
  <c r="E902" i="24"/>
  <c r="E867" i="24"/>
  <c r="E949" i="24"/>
  <c r="E887" i="24"/>
  <c r="E907" i="24"/>
  <c r="E897" i="24"/>
  <c r="E874" i="24"/>
  <c r="E877" i="24"/>
  <c r="E959" i="24"/>
  <c r="E958" i="24"/>
  <c r="E884" i="24"/>
  <c r="E875" i="24"/>
  <c r="E954" i="24"/>
  <c r="E925" i="24"/>
  <c r="E921" i="24"/>
  <c r="E865" i="24"/>
  <c r="G312" i="24"/>
  <c r="H312" i="24"/>
  <c r="I312" i="24"/>
  <c r="J312" i="24"/>
  <c r="K312" i="24"/>
  <c r="L312" i="24"/>
  <c r="M312" i="24"/>
  <c r="N312" i="24"/>
  <c r="O312" i="24"/>
  <c r="G311" i="24"/>
  <c r="H311" i="24"/>
  <c r="I311" i="24"/>
  <c r="J311" i="24"/>
  <c r="K311" i="24"/>
  <c r="L311" i="24"/>
  <c r="M311" i="24"/>
  <c r="N311" i="24"/>
  <c r="O311" i="24"/>
  <c r="E898" i="24"/>
  <c r="E891" i="24"/>
  <c r="E906" i="24"/>
  <c r="E896" i="24"/>
  <c r="E893" i="24"/>
  <c r="E945" i="24"/>
  <c r="E890" i="24"/>
  <c r="E886" i="24"/>
  <c r="E864" i="24"/>
  <c r="E961" i="24"/>
  <c r="E882" i="24"/>
  <c r="E920" i="24"/>
  <c r="E883" i="24"/>
  <c r="E872" i="24"/>
  <c r="E878" i="24"/>
  <c r="E955" i="24"/>
  <c r="E928" i="24"/>
  <c r="E924" i="24"/>
  <c r="E866" i="24"/>
  <c r="E899" i="24"/>
  <c r="G602" i="24"/>
  <c r="H602" i="24"/>
  <c r="I602" i="24"/>
  <c r="J602" i="24"/>
  <c r="K602" i="24"/>
  <c r="L602" i="24"/>
  <c r="M602" i="24"/>
  <c r="N602" i="24"/>
  <c r="O602" i="24"/>
  <c r="G403" i="24"/>
  <c r="H403" i="24"/>
  <c r="I403" i="24"/>
  <c r="J403" i="24"/>
  <c r="K403" i="24"/>
  <c r="L403" i="24"/>
  <c r="M403" i="24"/>
  <c r="N403" i="24"/>
  <c r="O403" i="24"/>
  <c r="E972" i="24"/>
  <c r="E971" i="24"/>
  <c r="E962" i="24"/>
  <c r="K1006" i="24"/>
  <c r="O1006" i="24"/>
  <c r="M1006" i="24"/>
  <c r="N1006" i="24"/>
  <c r="L1006" i="24"/>
  <c r="E953" i="24"/>
  <c r="G1006" i="24"/>
  <c r="J1006" i="24"/>
  <c r="I1006" i="24"/>
  <c r="H1006" i="24"/>
  <c r="E861" i="24"/>
  <c r="O1005" i="24"/>
  <c r="G1005" i="24"/>
  <c r="H1005" i="24"/>
  <c r="I1005" i="24"/>
  <c r="J1005" i="24"/>
  <c r="K1005" i="24"/>
  <c r="L1005" i="24"/>
  <c r="M1005" i="24"/>
  <c r="N1005" i="24"/>
  <c r="E947" i="24"/>
  <c r="E948" i="24"/>
  <c r="E974" i="24"/>
  <c r="E860" i="24"/>
  <c r="E963" i="24"/>
  <c r="E964" i="24"/>
  <c r="E960" i="24"/>
  <c r="E952" i="24"/>
  <c r="E957" i="24"/>
  <c r="E956" i="24"/>
  <c r="E946" i="24"/>
  <c r="G392" i="24"/>
  <c r="H392" i="24"/>
  <c r="I392" i="24"/>
  <c r="J392" i="24"/>
  <c r="K392" i="24"/>
  <c r="L392" i="24"/>
  <c r="M392" i="24"/>
  <c r="N392" i="24"/>
  <c r="O392" i="24"/>
  <c r="G389" i="24"/>
  <c r="H389" i="24"/>
  <c r="I389" i="24"/>
  <c r="J389" i="24"/>
  <c r="K389" i="24"/>
  <c r="L389" i="24"/>
  <c r="M389" i="24"/>
  <c r="N389" i="24"/>
  <c r="O389" i="24"/>
  <c r="E975" i="24"/>
  <c r="E973" i="24"/>
  <c r="H1004" i="24"/>
  <c r="I1004" i="24"/>
  <c r="J1004" i="24"/>
  <c r="K1004" i="24"/>
  <c r="L1004" i="24"/>
  <c r="M1004" i="24"/>
  <c r="N1004" i="24"/>
  <c r="O1004" i="24"/>
  <c r="M1011" i="24"/>
  <c r="K1011" i="24"/>
  <c r="N1011" i="24"/>
  <c r="J1011" i="24"/>
  <c r="G1011" i="24"/>
  <c r="I1011" i="24"/>
  <c r="O1011" i="24"/>
  <c r="L1011" i="24"/>
  <c r="H1011" i="24"/>
  <c r="L1010" i="24"/>
  <c r="O1010" i="24"/>
  <c r="N1010" i="24"/>
  <c r="K1010" i="24"/>
  <c r="H1010" i="24"/>
  <c r="J1010" i="24"/>
  <c r="G1010" i="24"/>
  <c r="M1010" i="24"/>
  <c r="I1010" i="24"/>
  <c r="H812" i="24"/>
  <c r="K812" i="24"/>
  <c r="N812" i="24"/>
  <c r="I812" i="24"/>
  <c r="L812" i="24"/>
  <c r="G812" i="24"/>
  <c r="J812" i="24"/>
  <c r="M812" i="24"/>
  <c r="O812" i="24"/>
  <c r="O502" i="24"/>
  <c r="G502" i="24"/>
  <c r="H502" i="24"/>
  <c r="I502" i="24"/>
  <c r="J502" i="24"/>
  <c r="L502" i="24"/>
  <c r="M502" i="24"/>
  <c r="N502" i="24"/>
  <c r="K502" i="24"/>
  <c r="H737" i="24"/>
  <c r="J737" i="24"/>
  <c r="L737" i="24"/>
  <c r="M737" i="24"/>
  <c r="O737" i="24"/>
  <c r="G737" i="24"/>
  <c r="I737" i="24"/>
  <c r="K737" i="24"/>
  <c r="N737" i="24"/>
  <c r="K1008" i="24"/>
  <c r="H1008" i="24"/>
  <c r="L1008" i="24"/>
  <c r="J1008" i="24"/>
  <c r="M1008" i="24"/>
  <c r="G1008" i="24"/>
  <c r="O1008" i="24"/>
  <c r="I1008" i="24"/>
  <c r="N1008" i="24"/>
  <c r="I1002" i="24"/>
  <c r="H1002" i="24"/>
  <c r="G1002" i="24"/>
  <c r="K1009" i="24"/>
  <c r="I1009" i="24"/>
  <c r="O1009" i="24"/>
  <c r="N1009" i="24"/>
  <c r="L1009" i="24"/>
  <c r="J1009" i="24"/>
  <c r="G1009" i="24"/>
  <c r="M1009" i="24"/>
  <c r="H1009" i="24"/>
  <c r="G391" i="24"/>
  <c r="H391" i="24"/>
  <c r="I391" i="24"/>
  <c r="J391" i="24"/>
  <c r="K391" i="24"/>
  <c r="L391" i="24"/>
  <c r="M391" i="24"/>
  <c r="N391" i="24"/>
  <c r="O391" i="24"/>
  <c r="G382" i="24"/>
  <c r="H382" i="24"/>
  <c r="I382" i="24"/>
  <c r="J382" i="24"/>
  <c r="K382" i="24"/>
  <c r="L382" i="24"/>
  <c r="M382" i="24"/>
  <c r="N382" i="24"/>
  <c r="O382" i="24"/>
  <c r="G1003" i="24"/>
  <c r="H1003" i="24"/>
  <c r="I1003" i="24"/>
  <c r="J1003" i="24"/>
  <c r="K1003" i="24"/>
  <c r="L1003" i="24"/>
  <c r="M1003" i="24"/>
  <c r="N1003" i="24"/>
  <c r="O1003" i="24"/>
  <c r="G321" i="24"/>
  <c r="I321" i="24"/>
  <c r="J321" i="24"/>
  <c r="L321" i="24"/>
  <c r="N321" i="24"/>
  <c r="O321" i="24"/>
  <c r="H321" i="24"/>
  <c r="K321" i="24"/>
  <c r="M321" i="24"/>
  <c r="G323" i="24"/>
  <c r="N323" i="24"/>
  <c r="K323" i="24"/>
  <c r="J323" i="24"/>
  <c r="I323" i="24"/>
  <c r="H323" i="24"/>
  <c r="L323" i="24"/>
  <c r="M323" i="24"/>
  <c r="O323" i="24"/>
  <c r="M325" i="24"/>
  <c r="N325" i="24"/>
  <c r="O325" i="24"/>
  <c r="G325" i="24"/>
  <c r="H325" i="24"/>
  <c r="I325" i="24"/>
  <c r="J325" i="24"/>
  <c r="K325" i="24"/>
  <c r="L325" i="24"/>
  <c r="K319" i="24"/>
  <c r="H319" i="24"/>
  <c r="N319" i="24"/>
  <c r="M319" i="24"/>
  <c r="G319" i="24"/>
  <c r="I319" i="24"/>
  <c r="J319" i="24"/>
  <c r="L319" i="24"/>
  <c r="O319" i="24"/>
  <c r="H1001" i="24"/>
  <c r="M1001" i="24"/>
  <c r="K1001" i="24"/>
  <c r="J1001" i="24"/>
  <c r="I1001" i="24"/>
  <c r="L1001" i="24"/>
  <c r="H215" i="24"/>
  <c r="J215" i="24"/>
  <c r="L215" i="24"/>
  <c r="N215" i="24"/>
  <c r="G215" i="24"/>
  <c r="I215" i="24"/>
  <c r="K215" i="24"/>
  <c r="O215" i="24"/>
  <c r="M215" i="24"/>
  <c r="G209" i="24"/>
  <c r="H209" i="24"/>
  <c r="J209" i="24"/>
  <c r="K209" i="24"/>
  <c r="L209" i="24"/>
  <c r="O209" i="24"/>
  <c r="I209" i="24"/>
  <c r="M209" i="24"/>
  <c r="N209" i="24"/>
  <c r="J1002" i="24"/>
  <c r="K1002" i="24"/>
  <c r="L1002" i="24"/>
  <c r="M1002" i="24"/>
  <c r="N1002" i="24"/>
  <c r="O1002" i="24"/>
  <c r="G401" i="24"/>
  <c r="H401" i="24"/>
  <c r="I401" i="24"/>
  <c r="J401" i="24"/>
  <c r="K401" i="24"/>
  <c r="L401" i="24"/>
  <c r="M401" i="24"/>
  <c r="N401" i="24"/>
  <c r="O401" i="24"/>
  <c r="G1001" i="24"/>
  <c r="N1001" i="24"/>
  <c r="O1001" i="24"/>
  <c r="G1000" i="24"/>
  <c r="H1000" i="24"/>
  <c r="I1000" i="24"/>
  <c r="J1000" i="24"/>
  <c r="K1000" i="24"/>
  <c r="J50" i="24"/>
  <c r="O50" i="24"/>
  <c r="H50" i="24"/>
  <c r="K50" i="24"/>
  <c r="M50" i="24"/>
  <c r="L38" i="24"/>
  <c r="G38" i="24"/>
  <c r="I38" i="24"/>
  <c r="M38" i="24"/>
  <c r="H38" i="24"/>
  <c r="K38" i="24"/>
  <c r="O38" i="24"/>
  <c r="G811" i="24"/>
  <c r="K811" i="24"/>
  <c r="L811" i="24"/>
  <c r="M811" i="24"/>
  <c r="N811" i="24"/>
  <c r="O811" i="24"/>
  <c r="H811" i="24"/>
  <c r="I811" i="24"/>
  <c r="J811" i="24"/>
  <c r="N369" i="24"/>
  <c r="O369" i="24"/>
  <c r="M369" i="24"/>
  <c r="L369" i="24"/>
  <c r="K369" i="24"/>
  <c r="J369" i="24"/>
  <c r="I369" i="24"/>
  <c r="G369" i="24"/>
  <c r="H369" i="24"/>
  <c r="K497" i="24"/>
  <c r="L497" i="24"/>
  <c r="M497" i="24"/>
  <c r="N497" i="24"/>
  <c r="O497" i="24"/>
  <c r="G497" i="24"/>
  <c r="H497" i="24"/>
  <c r="I497" i="24"/>
  <c r="J497" i="24"/>
  <c r="G397" i="24"/>
  <c r="H397" i="24"/>
  <c r="I397" i="24"/>
  <c r="J397" i="24"/>
  <c r="K397" i="24"/>
  <c r="L397" i="24"/>
  <c r="M397" i="24"/>
  <c r="N397" i="24"/>
  <c r="O397" i="24"/>
  <c r="G396" i="24"/>
  <c r="H396" i="24"/>
  <c r="J396" i="24"/>
  <c r="K396" i="24"/>
  <c r="L396" i="24"/>
  <c r="M396" i="24"/>
  <c r="N396" i="24"/>
  <c r="O396" i="24"/>
  <c r="I396" i="24"/>
  <c r="M1000" i="24"/>
  <c r="N1000" i="24"/>
  <c r="O1000" i="24"/>
  <c r="L1000" i="24"/>
  <c r="G999" i="24"/>
  <c r="H999" i="24"/>
  <c r="J999" i="24"/>
  <c r="O999" i="24"/>
  <c r="N999" i="24"/>
  <c r="M999" i="24"/>
  <c r="L999" i="24"/>
  <c r="K999" i="24"/>
  <c r="I999" i="24"/>
  <c r="G790" i="24"/>
  <c r="H790" i="24"/>
  <c r="I790" i="24"/>
  <c r="J790" i="24"/>
  <c r="K790" i="24"/>
  <c r="L790" i="24"/>
  <c r="M790" i="24"/>
  <c r="N790" i="24"/>
  <c r="O790" i="24"/>
  <c r="G228" i="24"/>
  <c r="H228" i="24"/>
  <c r="I228" i="24"/>
  <c r="J228" i="24"/>
  <c r="K228" i="24"/>
  <c r="L228" i="24"/>
  <c r="M228" i="24"/>
  <c r="N228" i="24"/>
  <c r="O228" i="24"/>
  <c r="G598" i="24"/>
  <c r="H598" i="24"/>
  <c r="I598" i="24"/>
  <c r="J598" i="24"/>
  <c r="K598" i="24"/>
  <c r="L598" i="24"/>
  <c r="M598" i="24"/>
  <c r="N598" i="24"/>
  <c r="O598" i="24"/>
  <c r="G596" i="24"/>
  <c r="H596" i="24"/>
  <c r="I596" i="24"/>
  <c r="J596" i="24"/>
  <c r="K596" i="24"/>
  <c r="L596" i="24"/>
  <c r="M596" i="24"/>
  <c r="N596" i="24"/>
  <c r="O596" i="24"/>
  <c r="G549" i="24"/>
  <c r="H549" i="24"/>
  <c r="I549" i="24"/>
  <c r="J549" i="24"/>
  <c r="K549" i="24"/>
  <c r="L549" i="24"/>
  <c r="M549" i="24"/>
  <c r="N549" i="24"/>
  <c r="O549" i="24"/>
  <c r="G548" i="24"/>
  <c r="H548" i="24"/>
  <c r="I548" i="24"/>
  <c r="J548" i="24"/>
  <c r="K548" i="24"/>
  <c r="L548" i="24"/>
  <c r="M548" i="24"/>
  <c r="N548" i="24"/>
  <c r="O548" i="24"/>
  <c r="G375" i="24"/>
  <c r="H375" i="24"/>
  <c r="I375" i="24"/>
  <c r="J375" i="24"/>
  <c r="K375" i="24"/>
  <c r="L375" i="24"/>
  <c r="M375" i="24"/>
  <c r="N375" i="24"/>
  <c r="O375" i="24"/>
  <c r="G373" i="24"/>
  <c r="H373" i="24"/>
  <c r="I373" i="24"/>
  <c r="J373" i="24"/>
  <c r="K373" i="24"/>
  <c r="L373" i="24"/>
  <c r="M373" i="24"/>
  <c r="N373" i="24"/>
  <c r="O373" i="24"/>
  <c r="G376" i="24"/>
  <c r="H376" i="24"/>
  <c r="I376" i="24"/>
  <c r="J376" i="24"/>
  <c r="K376" i="24"/>
  <c r="L376" i="24"/>
  <c r="M376" i="24"/>
  <c r="N376" i="24"/>
  <c r="O376" i="24"/>
  <c r="G372" i="24"/>
  <c r="H372" i="24"/>
  <c r="I372" i="24"/>
  <c r="J372" i="24"/>
  <c r="K372" i="24"/>
  <c r="L372" i="24"/>
  <c r="M372" i="24"/>
  <c r="N372" i="24"/>
  <c r="O372" i="24"/>
  <c r="M371" i="24"/>
  <c r="G371" i="24"/>
  <c r="H371" i="24"/>
  <c r="I371" i="24"/>
  <c r="J371" i="24"/>
  <c r="K371" i="24"/>
  <c r="L371" i="24"/>
  <c r="I368" i="24"/>
  <c r="G368" i="24"/>
  <c r="H368" i="24"/>
  <c r="J368" i="24"/>
  <c r="K368" i="24"/>
  <c r="L368" i="24"/>
  <c r="M368" i="24"/>
  <c r="N368" i="24"/>
  <c r="O368" i="24"/>
  <c r="L364" i="24"/>
  <c r="O364" i="24"/>
  <c r="N364" i="24"/>
  <c r="M364" i="24"/>
  <c r="J364" i="24"/>
  <c r="K364" i="24"/>
  <c r="H364" i="24"/>
  <c r="G364" i="24"/>
  <c r="I364" i="24"/>
  <c r="H359" i="24"/>
  <c r="G359" i="24"/>
  <c r="K359" i="24"/>
  <c r="J359" i="24"/>
  <c r="O359" i="24"/>
  <c r="I359" i="24"/>
  <c r="L359" i="24"/>
  <c r="M359" i="24"/>
  <c r="N359" i="24"/>
  <c r="N366" i="24"/>
  <c r="O366" i="24"/>
  <c r="H366" i="24"/>
  <c r="I366" i="24"/>
  <c r="J366" i="24"/>
  <c r="K366" i="24"/>
  <c r="G366" i="24"/>
  <c r="M366" i="24"/>
  <c r="L366" i="24"/>
  <c r="G493" i="24"/>
  <c r="H493" i="24"/>
  <c r="G360" i="24"/>
  <c r="H360" i="24"/>
  <c r="I360" i="24"/>
  <c r="J360" i="24"/>
  <c r="K360" i="24"/>
  <c r="L360" i="24"/>
  <c r="M360" i="24"/>
  <c r="N360" i="24"/>
  <c r="O360" i="24"/>
  <c r="L496" i="24"/>
  <c r="K496" i="24"/>
  <c r="J496" i="24"/>
  <c r="I496" i="24"/>
  <c r="H496" i="24"/>
  <c r="G496" i="24"/>
  <c r="O496" i="24"/>
  <c r="N496" i="24"/>
  <c r="M496" i="24"/>
  <c r="G358" i="24"/>
  <c r="H358" i="24"/>
  <c r="I358" i="24"/>
  <c r="J358" i="24"/>
  <c r="K358" i="24"/>
  <c r="L358" i="24"/>
  <c r="M358" i="24"/>
  <c r="N358" i="24"/>
  <c r="O358" i="24"/>
  <c r="G349" i="24"/>
  <c r="H349" i="24"/>
  <c r="I349" i="24"/>
  <c r="J349" i="24"/>
  <c r="K349" i="24"/>
  <c r="L349" i="24"/>
  <c r="M349" i="24"/>
  <c r="N349" i="24"/>
  <c r="O349" i="24"/>
  <c r="N371" i="24"/>
  <c r="O371" i="24"/>
  <c r="G370" i="24"/>
  <c r="H370" i="24"/>
  <c r="I370" i="24"/>
  <c r="J370" i="24"/>
  <c r="K370" i="24"/>
  <c r="L370" i="24"/>
  <c r="M370" i="24"/>
  <c r="N370" i="24"/>
  <c r="O370" i="24"/>
  <c r="I493" i="24"/>
  <c r="J493" i="24"/>
  <c r="K493" i="24"/>
  <c r="L493" i="24"/>
  <c r="M493" i="24"/>
  <c r="N493" i="24"/>
  <c r="O493" i="24"/>
  <c r="G351" i="24"/>
  <c r="H351" i="24"/>
  <c r="I351" i="24"/>
  <c r="J351" i="24"/>
  <c r="K351" i="24"/>
  <c r="L351" i="24"/>
  <c r="M351" i="24"/>
  <c r="N351" i="24"/>
  <c r="O351" i="24"/>
  <c r="G385" i="24"/>
  <c r="H385" i="24"/>
  <c r="I385" i="24"/>
  <c r="J385" i="24"/>
  <c r="K385" i="24"/>
  <c r="L385" i="24"/>
  <c r="M385" i="24"/>
  <c r="N385" i="24"/>
  <c r="O385" i="24"/>
  <c r="G998" i="24"/>
  <c r="H998" i="24"/>
  <c r="I998" i="24"/>
  <c r="J998" i="24"/>
  <c r="K998" i="24"/>
  <c r="L998" i="24"/>
  <c r="M998" i="24"/>
  <c r="N998" i="24"/>
  <c r="O998" i="24"/>
  <c r="G997" i="24"/>
  <c r="H997" i="24"/>
  <c r="I997" i="24"/>
  <c r="J997" i="24"/>
  <c r="K997" i="24"/>
  <c r="L997" i="24"/>
  <c r="M997" i="24"/>
  <c r="N997" i="24"/>
  <c r="O997" i="24"/>
  <c r="G363" i="24"/>
  <c r="H363" i="24"/>
  <c r="I363" i="24"/>
  <c r="J363" i="24"/>
  <c r="K363" i="24"/>
  <c r="L363" i="24"/>
  <c r="M363" i="24"/>
  <c r="N363" i="24"/>
  <c r="O363" i="24"/>
  <c r="G345" i="24"/>
  <c r="H345" i="24"/>
  <c r="I345" i="24"/>
  <c r="J345" i="24"/>
  <c r="K345" i="24"/>
  <c r="L345" i="24"/>
  <c r="M345" i="24"/>
  <c r="N345" i="24"/>
  <c r="O345" i="24"/>
  <c r="G384" i="24"/>
  <c r="H384" i="24"/>
  <c r="I384" i="24"/>
  <c r="J384" i="24"/>
  <c r="K384" i="24"/>
  <c r="L384" i="24"/>
  <c r="M384" i="24"/>
  <c r="N384" i="24"/>
  <c r="O384" i="24"/>
  <c r="I704" i="24"/>
  <c r="G704" i="24"/>
  <c r="H704" i="24"/>
  <c r="J704" i="24"/>
  <c r="K704" i="24"/>
  <c r="L704" i="24"/>
  <c r="M704" i="24"/>
  <c r="N704" i="24"/>
  <c r="O704" i="24"/>
  <c r="K703" i="24"/>
  <c r="L703" i="24"/>
  <c r="M703" i="24"/>
  <c r="N703" i="24"/>
  <c r="O703" i="24"/>
  <c r="H703" i="24"/>
  <c r="G703" i="24"/>
  <c r="I703" i="24"/>
  <c r="J703" i="24"/>
  <c r="K700" i="24"/>
  <c r="L700" i="24"/>
  <c r="M700" i="24"/>
  <c r="N700" i="24"/>
  <c r="O700" i="24"/>
  <c r="G700" i="24"/>
  <c r="H700" i="24"/>
  <c r="I700" i="24"/>
  <c r="J700" i="24"/>
  <c r="J697" i="24"/>
  <c r="I697" i="24"/>
  <c r="H697" i="24"/>
  <c r="G697" i="24"/>
  <c r="J547" i="24"/>
  <c r="I547" i="24"/>
  <c r="H547" i="24"/>
  <c r="G547" i="24"/>
  <c r="N547" i="24"/>
  <c r="M547" i="24"/>
  <c r="K547" i="24"/>
  <c r="L547" i="24"/>
  <c r="O547" i="24"/>
  <c r="K543" i="24"/>
  <c r="G543" i="24"/>
  <c r="O543" i="24"/>
  <c r="N543" i="24"/>
  <c r="M543" i="24"/>
  <c r="L543" i="24"/>
  <c r="H543" i="24"/>
  <c r="J543" i="24"/>
  <c r="I543" i="24"/>
  <c r="M541" i="24"/>
  <c r="L541" i="24"/>
  <c r="O541" i="24"/>
  <c r="K541" i="24"/>
  <c r="J541" i="24"/>
  <c r="I541" i="24"/>
  <c r="H541" i="24"/>
  <c r="G541" i="24"/>
  <c r="N541" i="24"/>
  <c r="N539" i="24"/>
  <c r="M539" i="24"/>
  <c r="L539" i="24"/>
  <c r="K539" i="24"/>
  <c r="J539" i="24"/>
  <c r="I539" i="24"/>
  <c r="G539" i="24"/>
  <c r="O539" i="24"/>
  <c r="H539" i="24"/>
  <c r="N414" i="24"/>
  <c r="J414" i="24"/>
  <c r="M414" i="24"/>
  <c r="H414" i="24"/>
  <c r="K414" i="24"/>
  <c r="O414" i="24"/>
  <c r="G414" i="24"/>
  <c r="I414" i="24"/>
  <c r="L414" i="24"/>
  <c r="L546" i="24"/>
  <c r="K546" i="24"/>
  <c r="J546" i="24"/>
  <c r="H546" i="24"/>
  <c r="I546" i="24"/>
  <c r="M546" i="24"/>
  <c r="N546" i="24"/>
  <c r="O546" i="24"/>
  <c r="G546" i="24"/>
  <c r="I542" i="24"/>
  <c r="H542" i="24"/>
  <c r="G542" i="24"/>
  <c r="N542" i="24"/>
  <c r="J542" i="24"/>
  <c r="O542" i="24"/>
  <c r="M542" i="24"/>
  <c r="L542" i="24"/>
  <c r="K542" i="24"/>
  <c r="O540" i="24"/>
  <c r="G540" i="24"/>
  <c r="H540" i="24"/>
  <c r="I540" i="24"/>
  <c r="J540" i="24"/>
  <c r="K540" i="24"/>
  <c r="L540" i="24"/>
  <c r="M540" i="24"/>
  <c r="N540" i="24"/>
  <c r="G705" i="24"/>
  <c r="N705" i="24"/>
  <c r="M705" i="24"/>
  <c r="K705" i="24"/>
  <c r="H705" i="24"/>
  <c r="L705" i="24"/>
  <c r="J705" i="24"/>
  <c r="O705" i="24"/>
  <c r="I705" i="24"/>
  <c r="L701" i="24"/>
  <c r="M701" i="24"/>
  <c r="N701" i="24"/>
  <c r="O701" i="24"/>
  <c r="K701" i="24"/>
  <c r="G701" i="24"/>
  <c r="H701" i="24"/>
  <c r="I701" i="24"/>
  <c r="J701" i="24"/>
  <c r="H699" i="24"/>
  <c r="N699" i="24"/>
  <c r="L699" i="24"/>
  <c r="K699" i="24"/>
  <c r="J699" i="24"/>
  <c r="I699" i="24"/>
  <c r="M699" i="24"/>
  <c r="O699" i="24"/>
  <c r="G699" i="24"/>
  <c r="O698" i="24"/>
  <c r="J698" i="24"/>
  <c r="I698" i="24"/>
  <c r="H698" i="24"/>
  <c r="G698" i="24"/>
  <c r="N698" i="24"/>
  <c r="M698" i="24"/>
  <c r="L698" i="24"/>
  <c r="K698" i="24"/>
  <c r="G894" i="24"/>
  <c r="O894" i="24"/>
  <c r="N894" i="24"/>
  <c r="M894" i="24"/>
  <c r="L894" i="24"/>
  <c r="K894" i="24"/>
  <c r="J894" i="24"/>
  <c r="I894" i="24"/>
  <c r="H894" i="24"/>
  <c r="G374" i="24"/>
  <c r="N374" i="24"/>
  <c r="M374" i="24"/>
  <c r="L374" i="24"/>
  <c r="K374" i="24"/>
  <c r="J374" i="24"/>
  <c r="I374" i="24"/>
  <c r="H374" i="24"/>
  <c r="O374" i="24"/>
  <c r="J38" i="24"/>
  <c r="N38" i="24"/>
  <c r="M32" i="24"/>
  <c r="L32" i="24"/>
  <c r="K697" i="24"/>
  <c r="L697" i="24"/>
  <c r="M697" i="24"/>
  <c r="N697" i="24"/>
  <c r="O697" i="24"/>
  <c r="H367" i="24"/>
  <c r="I367" i="24"/>
  <c r="J367" i="24"/>
  <c r="K367" i="24"/>
  <c r="L367" i="24"/>
  <c r="M367" i="24"/>
  <c r="N367" i="24"/>
  <c r="O367" i="24"/>
  <c r="G708" i="24"/>
  <c r="H708" i="24"/>
  <c r="I708" i="24"/>
  <c r="J708" i="24"/>
  <c r="K708" i="24"/>
  <c r="L708" i="24"/>
  <c r="M708" i="24"/>
  <c r="N708" i="24"/>
  <c r="O708" i="24"/>
  <c r="G589" i="24"/>
  <c r="H589" i="24"/>
  <c r="I589" i="24"/>
  <c r="J589" i="24"/>
  <c r="K589" i="24"/>
  <c r="L589" i="24"/>
  <c r="M589" i="24"/>
  <c r="N589" i="24"/>
  <c r="O589" i="24"/>
  <c r="G387" i="24"/>
  <c r="H387" i="24"/>
  <c r="I387" i="24"/>
  <c r="J387" i="24"/>
  <c r="K387" i="24"/>
  <c r="L387" i="24"/>
  <c r="M387" i="24"/>
  <c r="N387" i="24"/>
  <c r="O387" i="24"/>
  <c r="I383" i="24"/>
  <c r="O383" i="24"/>
  <c r="N383" i="24"/>
  <c r="G383" i="24"/>
  <c r="H383" i="24"/>
  <c r="J383" i="24"/>
  <c r="K383" i="24"/>
  <c r="L383" i="24"/>
  <c r="M383" i="24"/>
  <c r="I355" i="24"/>
  <c r="H355" i="24"/>
  <c r="G355" i="24"/>
  <c r="N355" i="24"/>
  <c r="M355" i="24"/>
  <c r="K355" i="24"/>
  <c r="L355" i="24"/>
  <c r="O355" i="24"/>
  <c r="J355" i="24"/>
  <c r="N354" i="24"/>
  <c r="M354" i="24"/>
  <c r="J354" i="24"/>
  <c r="K354" i="24"/>
  <c r="L354" i="24"/>
  <c r="G354" i="24"/>
  <c r="H354" i="24"/>
  <c r="I354" i="24"/>
  <c r="O354" i="24"/>
  <c r="H352" i="24"/>
  <c r="I352" i="24"/>
  <c r="J352" i="24"/>
  <c r="G352" i="24"/>
  <c r="K352" i="24"/>
  <c r="L352" i="24"/>
  <c r="M352" i="24"/>
  <c r="N352" i="24"/>
  <c r="O352" i="24"/>
  <c r="G347" i="24"/>
  <c r="H347" i="24"/>
  <c r="I347" i="24"/>
  <c r="J347" i="24"/>
  <c r="K347" i="24"/>
  <c r="L347" i="24"/>
  <c r="M347" i="24"/>
  <c r="N347" i="24"/>
  <c r="O347" i="24"/>
  <c r="M380" i="24"/>
  <c r="N380" i="24"/>
  <c r="O380" i="24"/>
  <c r="G380" i="24"/>
  <c r="H380" i="24"/>
  <c r="I380" i="24"/>
  <c r="J380" i="24"/>
  <c r="K380" i="24"/>
  <c r="L380" i="24"/>
  <c r="J640" i="24"/>
  <c r="I640" i="24"/>
  <c r="H640" i="24"/>
  <c r="G640" i="24"/>
  <c r="N640" i="24"/>
  <c r="O640" i="24"/>
  <c r="M640" i="24"/>
  <c r="L640" i="24"/>
  <c r="K640" i="24"/>
  <c r="G343" i="24"/>
  <c r="H343" i="24"/>
  <c r="I343" i="24"/>
  <c r="J343" i="24"/>
  <c r="K343" i="24"/>
  <c r="L343" i="24"/>
  <c r="M343" i="24"/>
  <c r="N343" i="24"/>
  <c r="O343" i="24"/>
  <c r="G341" i="24"/>
  <c r="H341" i="24"/>
  <c r="I341" i="24"/>
  <c r="J341" i="24"/>
  <c r="K341" i="24"/>
  <c r="L341" i="24"/>
  <c r="K305" i="24"/>
  <c r="I305" i="24"/>
  <c r="J305" i="24"/>
  <c r="L305" i="24"/>
  <c r="M305" i="24"/>
  <c r="N305" i="24"/>
  <c r="O305" i="24"/>
  <c r="G305" i="24"/>
  <c r="H305" i="24"/>
  <c r="L788" i="24"/>
  <c r="M788" i="24"/>
  <c r="N788" i="24"/>
  <c r="O788" i="24"/>
  <c r="J788" i="24"/>
  <c r="I788" i="24"/>
  <c r="H788" i="24"/>
  <c r="G788" i="24"/>
  <c r="K788" i="24"/>
  <c r="H758" i="24"/>
  <c r="J758" i="24"/>
  <c r="G695" i="24"/>
  <c r="I695" i="24"/>
  <c r="L695" i="24"/>
  <c r="N695" i="24"/>
  <c r="J695" i="24"/>
  <c r="M695" i="24"/>
  <c r="O695" i="24"/>
  <c r="K695" i="24"/>
  <c r="H695" i="24"/>
  <c r="I265" i="24"/>
  <c r="M265" i="24"/>
  <c r="N265" i="24"/>
  <c r="K265" i="24"/>
  <c r="O265" i="24"/>
  <c r="J265" i="24"/>
  <c r="L265" i="24"/>
  <c r="H265" i="24"/>
  <c r="G265" i="24"/>
  <c r="H692" i="24"/>
  <c r="J692" i="24"/>
  <c r="L692" i="24"/>
  <c r="N692" i="24"/>
  <c r="K692" i="24"/>
  <c r="M692" i="24"/>
  <c r="G692" i="24"/>
  <c r="I692" i="24"/>
  <c r="O692" i="24"/>
  <c r="O362" i="24"/>
  <c r="N362" i="24"/>
  <c r="L362" i="24"/>
  <c r="K362" i="24"/>
  <c r="J362" i="24"/>
  <c r="H362" i="24"/>
  <c r="G362" i="24"/>
  <c r="M362" i="24"/>
  <c r="I362" i="24"/>
  <c r="J361" i="24"/>
  <c r="I361" i="24"/>
  <c r="H361" i="24"/>
  <c r="G361" i="24"/>
  <c r="K361" i="24"/>
  <c r="O361" i="24"/>
  <c r="N361" i="24"/>
  <c r="M361" i="24"/>
  <c r="L361" i="24"/>
  <c r="O340" i="24"/>
  <c r="N340" i="24"/>
  <c r="M340" i="24"/>
  <c r="L340" i="24"/>
  <c r="K340" i="24"/>
  <c r="J340" i="24"/>
  <c r="H340" i="24"/>
  <c r="G340" i="24"/>
  <c r="I340" i="24"/>
  <c r="L339" i="24"/>
  <c r="K339" i="24"/>
  <c r="J339" i="24"/>
  <c r="I339" i="24"/>
  <c r="H339" i="24"/>
  <c r="M339" i="24"/>
  <c r="G339" i="24"/>
  <c r="O339" i="24"/>
  <c r="N339" i="24"/>
  <c r="O338" i="24"/>
  <c r="N338" i="24"/>
  <c r="M338" i="24"/>
  <c r="L338" i="24"/>
  <c r="K338" i="24"/>
  <c r="J338" i="24"/>
  <c r="I338" i="24"/>
  <c r="H338" i="24"/>
  <c r="G338" i="24"/>
  <c r="M336" i="24"/>
  <c r="G336" i="24"/>
  <c r="H336" i="24"/>
  <c r="I336" i="24"/>
  <c r="J336" i="24"/>
  <c r="K336" i="24"/>
  <c r="L336" i="24"/>
  <c r="N336" i="24"/>
  <c r="O336" i="24"/>
  <c r="I333" i="24"/>
  <c r="N333" i="24"/>
  <c r="M333" i="24"/>
  <c r="L333" i="24"/>
  <c r="K333" i="24"/>
  <c r="J333" i="24"/>
  <c r="H333" i="24"/>
  <c r="G333" i="24"/>
  <c r="O333" i="24"/>
  <c r="O329" i="24"/>
  <c r="M329" i="24"/>
  <c r="L329" i="24"/>
  <c r="G329" i="24"/>
  <c r="K329" i="24"/>
  <c r="I329" i="24"/>
  <c r="H329" i="24"/>
  <c r="N329" i="24"/>
  <c r="J329" i="24"/>
  <c r="H327" i="24"/>
  <c r="J327" i="24"/>
  <c r="I327" i="24"/>
  <c r="G327" i="24"/>
  <c r="O327" i="24"/>
  <c r="K327" i="24"/>
  <c r="L327" i="24"/>
  <c r="M327" i="24"/>
  <c r="N327" i="24"/>
  <c r="O694" i="24"/>
  <c r="K694" i="24"/>
  <c r="L694" i="24"/>
  <c r="N694" i="24"/>
  <c r="G694" i="24"/>
  <c r="J694" i="24"/>
  <c r="M694" i="24"/>
  <c r="H694" i="24"/>
  <c r="I694" i="24"/>
  <c r="K693" i="24"/>
  <c r="N693" i="24"/>
  <c r="J693" i="24"/>
  <c r="O693" i="24"/>
  <c r="H693" i="24"/>
  <c r="M693" i="24"/>
  <c r="G693" i="24"/>
  <c r="I693" i="24"/>
  <c r="L693" i="24"/>
  <c r="M658" i="24"/>
  <c r="K658" i="24"/>
  <c r="I658" i="24"/>
  <c r="J658" i="24"/>
  <c r="N658" i="24"/>
  <c r="O658" i="24"/>
  <c r="H658" i="24"/>
  <c r="L658" i="24"/>
  <c r="G658" i="24"/>
  <c r="H641" i="24"/>
  <c r="G641" i="24"/>
  <c r="L641" i="24"/>
  <c r="N641" i="24"/>
  <c r="O641" i="24"/>
  <c r="J641" i="24"/>
  <c r="K641" i="24"/>
  <c r="I641" i="24"/>
  <c r="M641" i="24"/>
  <c r="O229" i="24"/>
  <c r="M229" i="24"/>
  <c r="L229" i="24"/>
  <c r="J229" i="24"/>
  <c r="K229" i="24"/>
  <c r="I229" i="24"/>
  <c r="H229" i="24"/>
  <c r="G229" i="24"/>
  <c r="N229" i="24"/>
  <c r="I227" i="24"/>
  <c r="H227" i="24"/>
  <c r="G227" i="24"/>
  <c r="K227" i="24"/>
  <c r="L227" i="24"/>
  <c r="M227" i="24"/>
  <c r="N227" i="24"/>
  <c r="O227" i="24"/>
  <c r="J227" i="24"/>
  <c r="G356" i="24"/>
  <c r="H356" i="24"/>
  <c r="I356" i="24"/>
  <c r="J356" i="24"/>
  <c r="K356" i="24"/>
  <c r="L356" i="24"/>
  <c r="M356" i="24"/>
  <c r="N356" i="24"/>
  <c r="O356" i="24"/>
  <c r="M819" i="24"/>
  <c r="O819" i="24"/>
  <c r="N819" i="24"/>
  <c r="L819" i="24"/>
  <c r="K819" i="24"/>
  <c r="J819" i="24"/>
  <c r="I819" i="24"/>
  <c r="H819" i="24"/>
  <c r="G819" i="24"/>
  <c r="I818" i="24"/>
  <c r="H818" i="24"/>
  <c r="G818" i="24"/>
  <c r="J818" i="24"/>
  <c r="K818" i="24"/>
  <c r="N818" i="24"/>
  <c r="O818" i="24"/>
  <c r="L818" i="24"/>
  <c r="M818" i="24"/>
  <c r="J996" i="24"/>
  <c r="M996" i="24"/>
  <c r="L996" i="24"/>
  <c r="N996" i="24"/>
  <c r="K996" i="24"/>
  <c r="I996" i="24"/>
  <c r="H996" i="24"/>
  <c r="G996" i="24"/>
  <c r="O996" i="24"/>
  <c r="O306" i="24"/>
  <c r="N306" i="24"/>
  <c r="M306" i="24"/>
  <c r="L306" i="24"/>
  <c r="G306" i="24"/>
  <c r="H306" i="24"/>
  <c r="I306" i="24"/>
  <c r="J306" i="24"/>
  <c r="K306" i="24"/>
  <c r="G821" i="24"/>
  <c r="N821" i="24"/>
  <c r="M821" i="24"/>
  <c r="L821" i="24"/>
  <c r="K821" i="24"/>
  <c r="J821" i="24"/>
  <c r="O821" i="24"/>
  <c r="H821" i="24"/>
  <c r="I821" i="24"/>
  <c r="N341" i="24"/>
  <c r="O341" i="24"/>
  <c r="M341" i="24"/>
  <c r="L758" i="24"/>
  <c r="N758" i="24"/>
  <c r="G758" i="24"/>
  <c r="I758" i="24"/>
  <c r="K758" i="24"/>
  <c r="M758" i="24"/>
  <c r="O758" i="24"/>
  <c r="G597" i="24"/>
  <c r="H597" i="24"/>
  <c r="I597" i="24"/>
  <c r="J597" i="24"/>
  <c r="K597" i="24"/>
  <c r="L597" i="24"/>
  <c r="M597" i="24"/>
  <c r="N597" i="24"/>
  <c r="O597" i="24"/>
  <c r="N20" i="24"/>
  <c r="H20" i="24"/>
  <c r="O20" i="24"/>
  <c r="K20" i="24"/>
  <c r="M20" i="24"/>
  <c r="J20" i="24"/>
  <c r="L20" i="24"/>
  <c r="I20" i="24"/>
  <c r="G20" i="24"/>
  <c r="H388" i="24"/>
  <c r="O388" i="24"/>
  <c r="N388" i="24"/>
  <c r="M388" i="24"/>
  <c r="L388" i="24"/>
  <c r="K388" i="24"/>
  <c r="J388" i="24"/>
  <c r="I388" i="24"/>
  <c r="G388" i="24"/>
  <c r="G377" i="24"/>
  <c r="H377" i="24"/>
  <c r="O377" i="24"/>
  <c r="N377" i="24"/>
  <c r="M377" i="24"/>
  <c r="L377" i="24"/>
  <c r="K377" i="24"/>
  <c r="J377" i="24"/>
  <c r="I377" i="24"/>
  <c r="N326" i="24"/>
  <c r="M326" i="24"/>
  <c r="L326" i="24"/>
  <c r="K326" i="24"/>
  <c r="J326" i="24"/>
  <c r="I326" i="24"/>
  <c r="H326" i="24"/>
  <c r="G326" i="24"/>
  <c r="O326" i="24"/>
  <c r="N322" i="24"/>
  <c r="O322" i="24"/>
  <c r="G322" i="24"/>
  <c r="H322" i="24"/>
  <c r="I322" i="24"/>
  <c r="J322" i="24"/>
  <c r="K322" i="24"/>
  <c r="L322" i="24"/>
  <c r="M322" i="24"/>
  <c r="H357" i="24"/>
  <c r="G357" i="24"/>
  <c r="G752" i="24"/>
  <c r="O752" i="24"/>
  <c r="M752" i="24"/>
  <c r="N752" i="24"/>
  <c r="L752" i="24"/>
  <c r="K752" i="24"/>
  <c r="J752" i="24"/>
  <c r="I752" i="24"/>
  <c r="H752" i="24"/>
  <c r="O268" i="24"/>
  <c r="N268" i="24"/>
  <c r="M268" i="24"/>
  <c r="L268" i="24"/>
  <c r="K268" i="24"/>
  <c r="J268" i="24"/>
  <c r="I268" i="24"/>
  <c r="G268" i="24"/>
  <c r="H268" i="24"/>
  <c r="H266" i="24"/>
  <c r="O266" i="24"/>
  <c r="N266" i="24"/>
  <c r="M266" i="24"/>
  <c r="L266" i="24"/>
  <c r="K266" i="24"/>
  <c r="J266" i="24"/>
  <c r="I266" i="24"/>
  <c r="G266" i="24"/>
  <c r="H887" i="24"/>
  <c r="I887" i="24"/>
  <c r="J887" i="24"/>
  <c r="K887" i="24"/>
  <c r="L887" i="24"/>
  <c r="M887" i="24"/>
  <c r="N887" i="24"/>
  <c r="O887" i="24"/>
  <c r="G887" i="24"/>
  <c r="O247" i="24"/>
  <c r="I247" i="24"/>
  <c r="H247" i="24"/>
  <c r="G247" i="24"/>
  <c r="J247" i="24"/>
  <c r="K247" i="24"/>
  <c r="L247" i="24"/>
  <c r="M247" i="24"/>
  <c r="N247" i="24"/>
  <c r="G264" i="24"/>
  <c r="O264" i="24"/>
  <c r="N264" i="24"/>
  <c r="M264" i="24"/>
  <c r="L264" i="24"/>
  <c r="K264" i="24"/>
  <c r="J264" i="24"/>
  <c r="I264" i="24"/>
  <c r="H264" i="24"/>
  <c r="O263" i="24"/>
  <c r="G263" i="24"/>
  <c r="H263" i="24"/>
  <c r="I263" i="24"/>
  <c r="J263" i="24"/>
  <c r="K263" i="24"/>
  <c r="L263" i="24"/>
  <c r="M263" i="24"/>
  <c r="N263" i="24"/>
  <c r="N270" i="24"/>
  <c r="H270" i="24"/>
  <c r="J270" i="24"/>
  <c r="K270" i="24"/>
  <c r="L270" i="24"/>
  <c r="M270" i="24"/>
  <c r="O270" i="24"/>
  <c r="I270" i="24"/>
  <c r="G270" i="24"/>
  <c r="G896" i="24"/>
  <c r="H896" i="24"/>
  <c r="I896" i="24"/>
  <c r="J896" i="24"/>
  <c r="K896" i="24"/>
  <c r="L896" i="24"/>
  <c r="M896" i="24"/>
  <c r="N896" i="24"/>
  <c r="O896" i="24"/>
  <c r="H646" i="24"/>
  <c r="I646" i="24"/>
  <c r="G646" i="24"/>
  <c r="O646" i="24"/>
  <c r="N646" i="24"/>
  <c r="M646" i="24"/>
  <c r="L646" i="24"/>
  <c r="K646" i="24"/>
  <c r="J646" i="24"/>
  <c r="O644" i="24"/>
  <c r="N644" i="24"/>
  <c r="M644" i="24"/>
  <c r="L644" i="24"/>
  <c r="K644" i="24"/>
  <c r="J644" i="24"/>
  <c r="I644" i="24"/>
  <c r="G644" i="24"/>
  <c r="H644" i="24"/>
  <c r="G262" i="24"/>
  <c r="I262" i="24"/>
  <c r="J262" i="24"/>
  <c r="K262" i="24"/>
  <c r="L262" i="24"/>
  <c r="M262" i="24"/>
  <c r="N262" i="24"/>
  <c r="O262" i="24"/>
  <c r="H262" i="24"/>
  <c r="L254" i="24"/>
  <c r="M254" i="24"/>
  <c r="G254" i="24"/>
  <c r="O254" i="24"/>
  <c r="N254" i="24"/>
  <c r="H254" i="24"/>
  <c r="I254" i="24"/>
  <c r="K254" i="24"/>
  <c r="J254" i="24"/>
  <c r="H735" i="24"/>
  <c r="J735" i="24"/>
  <c r="K735" i="24"/>
  <c r="M735" i="24"/>
  <c r="G735" i="24"/>
  <c r="L735" i="24"/>
  <c r="N735" i="24"/>
  <c r="O735" i="24"/>
  <c r="I735" i="24"/>
  <c r="G734" i="24"/>
  <c r="I734" i="24"/>
  <c r="K734" i="24"/>
  <c r="H734" i="24"/>
  <c r="J734" i="24"/>
  <c r="M734" i="24"/>
  <c r="O734" i="24"/>
  <c r="N734" i="24"/>
  <c r="L734" i="24"/>
  <c r="K642" i="24"/>
  <c r="L642" i="24"/>
  <c r="O642" i="24"/>
  <c r="G642" i="24"/>
  <c r="I642" i="24"/>
  <c r="M642" i="24"/>
  <c r="N642" i="24"/>
  <c r="J642" i="24"/>
  <c r="H642" i="24"/>
  <c r="J645" i="24"/>
  <c r="I645" i="24"/>
  <c r="H645" i="24"/>
  <c r="G645" i="24"/>
  <c r="O645" i="24"/>
  <c r="N645" i="24"/>
  <c r="M645" i="24"/>
  <c r="L645" i="24"/>
  <c r="K645" i="24"/>
  <c r="I499" i="24"/>
  <c r="J499" i="24"/>
  <c r="K499" i="24"/>
  <c r="O499" i="24"/>
  <c r="H499" i="24"/>
  <c r="G499" i="24"/>
  <c r="L499" i="24"/>
  <c r="M499" i="24"/>
  <c r="N499" i="24"/>
  <c r="I494" i="24"/>
  <c r="G494" i="24"/>
  <c r="H494" i="24"/>
  <c r="J494" i="24"/>
  <c r="M494" i="24"/>
  <c r="N494" i="24"/>
  <c r="O494" i="24"/>
  <c r="J492" i="24"/>
  <c r="I492" i="24"/>
  <c r="H492" i="24"/>
  <c r="G492" i="24"/>
  <c r="O492" i="24"/>
  <c r="N492" i="24"/>
  <c r="M492" i="24"/>
  <c r="L492" i="24"/>
  <c r="K492" i="24"/>
  <c r="J643" i="24"/>
  <c r="L643" i="24"/>
  <c r="O643" i="24"/>
  <c r="G643" i="24"/>
  <c r="H643" i="24"/>
  <c r="I643" i="24"/>
  <c r="K643" i="24"/>
  <c r="M643" i="24"/>
  <c r="N643" i="24"/>
  <c r="G815" i="24"/>
  <c r="H815" i="24"/>
  <c r="I815" i="24"/>
  <c r="J815" i="24"/>
  <c r="K815" i="24"/>
  <c r="M815" i="24"/>
  <c r="N815" i="24"/>
  <c r="O815" i="24"/>
  <c r="L815" i="24"/>
  <c r="I304" i="24"/>
  <c r="J304" i="24"/>
  <c r="K304" i="24"/>
  <c r="G304" i="24"/>
  <c r="O304" i="24"/>
  <c r="H304" i="24"/>
  <c r="N304" i="24"/>
  <c r="M304" i="24"/>
  <c r="L304" i="24"/>
  <c r="N260" i="24"/>
  <c r="M260" i="24"/>
  <c r="L260" i="24"/>
  <c r="K260" i="24"/>
  <c r="J260" i="24"/>
  <c r="I260" i="24"/>
  <c r="H260" i="24"/>
  <c r="G260" i="24"/>
  <c r="O260" i="24"/>
  <c r="G303" i="24"/>
  <c r="H303" i="24"/>
  <c r="I303" i="24"/>
  <c r="J303" i="24"/>
  <c r="K303" i="24"/>
  <c r="L303" i="24"/>
  <c r="M303" i="24"/>
  <c r="N303" i="24"/>
  <c r="O303" i="24"/>
  <c r="N261" i="24"/>
  <c r="M261" i="24"/>
  <c r="I261" i="24"/>
  <c r="K261" i="24"/>
  <c r="J261" i="24"/>
  <c r="L261" i="24"/>
  <c r="G261" i="24"/>
  <c r="H261" i="24"/>
  <c r="O261" i="24"/>
  <c r="N813" i="24"/>
  <c r="O813" i="24"/>
  <c r="L813" i="24"/>
  <c r="G813" i="24"/>
  <c r="H813" i="24"/>
  <c r="I813" i="24"/>
  <c r="J813" i="24"/>
  <c r="K813" i="24"/>
  <c r="M813" i="24"/>
  <c r="G900" i="24"/>
  <c r="H900" i="24"/>
  <c r="K900" i="24"/>
  <c r="L900" i="24"/>
  <c r="M900" i="24"/>
  <c r="I900" i="24"/>
  <c r="J900" i="24"/>
  <c r="O900" i="24"/>
  <c r="N900" i="24"/>
  <c r="H259" i="24"/>
  <c r="I259" i="24"/>
  <c r="K259" i="24"/>
  <c r="G259" i="24"/>
  <c r="O259" i="24"/>
  <c r="M259" i="24"/>
  <c r="L259" i="24"/>
  <c r="J259" i="24"/>
  <c r="N259" i="24"/>
  <c r="H816" i="24"/>
  <c r="G816" i="24"/>
  <c r="O816" i="24"/>
  <c r="N816" i="24"/>
  <c r="M816" i="24"/>
  <c r="L816" i="24"/>
  <c r="K816" i="24"/>
  <c r="J816" i="24"/>
  <c r="I816" i="24"/>
  <c r="N357" i="24"/>
  <c r="L357" i="24"/>
  <c r="K357" i="24"/>
  <c r="J357" i="24"/>
  <c r="I357" i="24"/>
  <c r="O357" i="24"/>
  <c r="M357" i="24"/>
  <c r="N713" i="24"/>
  <c r="L713" i="24"/>
  <c r="J713" i="24"/>
  <c r="K713" i="24"/>
  <c r="O713" i="24"/>
  <c r="I713" i="24"/>
  <c r="H713" i="24"/>
  <c r="G713" i="24"/>
  <c r="M713" i="24"/>
  <c r="J712" i="24"/>
  <c r="K712" i="24"/>
  <c r="M712" i="24"/>
  <c r="I712" i="24"/>
  <c r="G712" i="24"/>
  <c r="L712" i="24"/>
  <c r="O712" i="24"/>
  <c r="N712" i="24"/>
  <c r="H712" i="24"/>
  <c r="G710" i="24"/>
  <c r="K710" i="24"/>
  <c r="L710" i="24"/>
  <c r="M710" i="24"/>
  <c r="N710" i="24"/>
  <c r="O710" i="24"/>
  <c r="H710" i="24"/>
  <c r="I710" i="24"/>
  <c r="J710" i="24"/>
  <c r="G706" i="24"/>
  <c r="H706" i="24"/>
  <c r="I706" i="24"/>
  <c r="J706" i="24"/>
  <c r="K706" i="24"/>
  <c r="L706" i="24"/>
  <c r="M706" i="24"/>
  <c r="N706" i="24"/>
  <c r="O706" i="24"/>
  <c r="J691" i="24"/>
  <c r="O691" i="24"/>
  <c r="L691" i="24"/>
  <c r="K691" i="24"/>
  <c r="I691" i="24"/>
  <c r="N691" i="24"/>
  <c r="H691" i="24"/>
  <c r="G691" i="24"/>
  <c r="M691" i="24"/>
  <c r="I639" i="24"/>
  <c r="L639" i="24"/>
  <c r="M639" i="24"/>
  <c r="G639" i="24"/>
  <c r="H639" i="24"/>
  <c r="N639" i="24"/>
  <c r="K639" i="24"/>
  <c r="O639" i="24"/>
  <c r="J639" i="24"/>
  <c r="G637" i="24"/>
  <c r="O637" i="24"/>
  <c r="N637" i="24"/>
  <c r="M637" i="24"/>
  <c r="L637" i="24"/>
  <c r="H637" i="24"/>
  <c r="I637" i="24"/>
  <c r="J637" i="24"/>
  <c r="K637" i="24"/>
  <c r="G635" i="24"/>
  <c r="M635" i="24"/>
  <c r="N635" i="24"/>
  <c r="O635" i="24"/>
  <c r="I635" i="24"/>
  <c r="J635" i="24"/>
  <c r="L635" i="24"/>
  <c r="H635" i="24"/>
  <c r="K635" i="24"/>
  <c r="K755" i="24"/>
  <c r="H755" i="24"/>
  <c r="N755" i="24"/>
  <c r="L755" i="24"/>
  <c r="J755" i="24"/>
  <c r="O755" i="24"/>
  <c r="M755" i="24"/>
  <c r="I751" i="24"/>
  <c r="G751" i="24"/>
  <c r="N751" i="24"/>
  <c r="M751" i="24"/>
  <c r="L751" i="24"/>
  <c r="J751" i="24"/>
  <c r="K751" i="24"/>
  <c r="H751" i="24"/>
  <c r="O751" i="24"/>
  <c r="I239" i="24"/>
  <c r="H239" i="24"/>
  <c r="L239" i="24"/>
  <c r="N239" i="24"/>
  <c r="M239" i="24"/>
  <c r="K239" i="24"/>
  <c r="J239" i="24"/>
  <c r="O239" i="24"/>
  <c r="G239" i="24"/>
  <c r="L711" i="24"/>
  <c r="K711" i="24"/>
  <c r="H711" i="24"/>
  <c r="J711" i="24"/>
  <c r="G711" i="24"/>
  <c r="I711" i="24"/>
  <c r="O711" i="24"/>
  <c r="N711" i="24"/>
  <c r="M711" i="24"/>
  <c r="H707" i="24"/>
  <c r="G707" i="24"/>
  <c r="O707" i="24"/>
  <c r="N707" i="24"/>
  <c r="I707" i="24"/>
  <c r="K707" i="24"/>
  <c r="L707" i="24"/>
  <c r="M707" i="24"/>
  <c r="J707" i="24"/>
  <c r="K638" i="24"/>
  <c r="N638" i="24"/>
  <c r="M638" i="24"/>
  <c r="L638" i="24"/>
  <c r="J638" i="24"/>
  <c r="I638" i="24"/>
  <c r="H638" i="24"/>
  <c r="G638" i="24"/>
  <c r="O638" i="24"/>
  <c r="J636" i="24"/>
  <c r="O636" i="24"/>
  <c r="M636" i="24"/>
  <c r="G636" i="24"/>
  <c r="H636" i="24"/>
  <c r="I636" i="24"/>
  <c r="K636" i="24"/>
  <c r="L636" i="24"/>
  <c r="N636" i="24"/>
  <c r="K538" i="24"/>
  <c r="L538" i="24"/>
  <c r="M538" i="24"/>
  <c r="I538" i="24"/>
  <c r="H538" i="24"/>
  <c r="G538" i="24"/>
  <c r="J538" i="24"/>
  <c r="L777" i="24"/>
  <c r="J777" i="24"/>
  <c r="H777" i="24"/>
  <c r="G777" i="24"/>
  <c r="O777" i="24"/>
  <c r="M777" i="24"/>
  <c r="K777" i="24"/>
  <c r="N777" i="24"/>
  <c r="I777" i="24"/>
  <c r="N778" i="24"/>
  <c r="M778" i="24"/>
  <c r="K778" i="24"/>
  <c r="I778" i="24"/>
  <c r="G778" i="24"/>
  <c r="N754" i="24"/>
  <c r="G754" i="24"/>
  <c r="O754" i="24"/>
  <c r="H754" i="24"/>
  <c r="I754" i="24"/>
  <c r="K754" i="24"/>
  <c r="M754" i="24"/>
  <c r="J754" i="24"/>
  <c r="L754" i="24"/>
  <c r="K494" i="24"/>
  <c r="L494" i="24"/>
  <c r="H634" i="24"/>
  <c r="I634" i="24"/>
  <c r="J634" i="24"/>
  <c r="I50" i="24"/>
  <c r="N50" i="24"/>
  <c r="L50" i="24"/>
  <c r="G50" i="24"/>
  <c r="G350" i="24"/>
  <c r="H350" i="24"/>
  <c r="I350" i="24"/>
  <c r="J350" i="24"/>
  <c r="K350" i="24"/>
  <c r="L350" i="24"/>
  <c r="M350" i="24"/>
  <c r="N350" i="24"/>
  <c r="O350" i="24"/>
  <c r="G879" i="24"/>
  <c r="H879" i="24"/>
  <c r="I879" i="24"/>
  <c r="J879" i="24"/>
  <c r="K879" i="24"/>
  <c r="L879" i="24"/>
  <c r="M879" i="24"/>
  <c r="N879" i="24"/>
  <c r="O879" i="24"/>
  <c r="L893" i="24"/>
  <c r="G893" i="24"/>
  <c r="H893" i="24"/>
  <c r="I893" i="24"/>
  <c r="J893" i="24"/>
  <c r="K893" i="24"/>
  <c r="M893" i="24"/>
  <c r="N893" i="24"/>
  <c r="O893" i="24"/>
  <c r="O837" i="24"/>
  <c r="N837" i="24"/>
  <c r="M837" i="24"/>
  <c r="L837" i="24"/>
  <c r="K837" i="24"/>
  <c r="J837" i="24"/>
  <c r="G837" i="24"/>
  <c r="I837" i="24"/>
  <c r="H837" i="24"/>
  <c r="G936" i="24"/>
  <c r="H936" i="24"/>
  <c r="I936" i="24"/>
  <c r="J936" i="24"/>
  <c r="K936" i="24"/>
  <c r="L936" i="24"/>
  <c r="M936" i="24"/>
  <c r="N936" i="24"/>
  <c r="O936" i="24"/>
  <c r="M873" i="24"/>
  <c r="N873" i="24"/>
  <c r="O873" i="24"/>
  <c r="J873" i="24"/>
  <c r="H873" i="24"/>
  <c r="K873" i="24"/>
  <c r="L873" i="24"/>
  <c r="I873" i="24"/>
  <c r="L831" i="24"/>
  <c r="M831" i="24"/>
  <c r="O831" i="24"/>
  <c r="N831" i="24"/>
  <c r="G831" i="24"/>
  <c r="H831" i="24"/>
  <c r="I831" i="24"/>
  <c r="J831" i="24"/>
  <c r="K831" i="24"/>
  <c r="I847" i="24"/>
  <c r="G847" i="24"/>
  <c r="H847" i="24"/>
  <c r="J847" i="24"/>
  <c r="K847" i="24"/>
  <c r="O847" i="24"/>
  <c r="L847" i="24"/>
  <c r="M847" i="24"/>
  <c r="N847" i="24"/>
  <c r="G960" i="24"/>
  <c r="L960" i="24"/>
  <c r="O960" i="24"/>
  <c r="M960" i="24"/>
  <c r="N960" i="24"/>
  <c r="H960" i="24"/>
  <c r="I960" i="24"/>
  <c r="K960" i="24"/>
  <c r="J960" i="24"/>
  <c r="L834" i="24"/>
  <c r="K834" i="24"/>
  <c r="I834" i="24"/>
  <c r="G834" i="24"/>
  <c r="J834" i="24"/>
  <c r="H834" i="24"/>
  <c r="O834" i="24"/>
  <c r="N834" i="24"/>
  <c r="M834" i="24"/>
  <c r="K724" i="24"/>
  <c r="O724" i="24"/>
  <c r="J724" i="24"/>
  <c r="H724" i="24"/>
  <c r="N724" i="24"/>
  <c r="G724" i="24"/>
  <c r="I724" i="24"/>
  <c r="L724" i="24"/>
  <c r="M724" i="24"/>
  <c r="G849" i="24"/>
  <c r="H849" i="24"/>
  <c r="I849" i="24"/>
  <c r="J849" i="24"/>
  <c r="K849" i="24"/>
  <c r="L849" i="24"/>
  <c r="M849" i="24"/>
  <c r="N849" i="24"/>
  <c r="O849" i="24"/>
  <c r="M862" i="24"/>
  <c r="H862" i="24"/>
  <c r="K862" i="24"/>
  <c r="J862" i="24"/>
  <c r="I862" i="24"/>
  <c r="L862" i="24"/>
  <c r="G862" i="24"/>
  <c r="N862" i="24"/>
  <c r="O862" i="24"/>
  <c r="K892" i="24"/>
  <c r="L892" i="24"/>
  <c r="M892" i="24"/>
  <c r="O892" i="24"/>
  <c r="N892" i="24"/>
  <c r="G892" i="24"/>
  <c r="H892" i="24"/>
  <c r="I892" i="24"/>
  <c r="J892" i="24"/>
  <c r="O853" i="24"/>
  <c r="M853" i="24"/>
  <c r="L853" i="24"/>
  <c r="N853" i="24"/>
  <c r="G853" i="24"/>
  <c r="H853" i="24"/>
  <c r="I853" i="24"/>
  <c r="J853" i="24"/>
  <c r="K853" i="24"/>
  <c r="O832" i="24"/>
  <c r="N832" i="24"/>
  <c r="M832" i="24"/>
  <c r="K832" i="24"/>
  <c r="I832" i="24"/>
  <c r="H832" i="24"/>
  <c r="G832" i="24"/>
  <c r="J832" i="24"/>
  <c r="L832" i="24"/>
  <c r="G534" i="24"/>
  <c r="H534" i="24"/>
  <c r="I534" i="24"/>
  <c r="J534" i="24"/>
  <c r="K534" i="24"/>
  <c r="O534" i="24"/>
  <c r="N534" i="24"/>
  <c r="M534" i="24"/>
  <c r="L534" i="24"/>
  <c r="I532" i="24"/>
  <c r="J532" i="24"/>
  <c r="K532" i="24"/>
  <c r="L532" i="24"/>
  <c r="M532" i="24"/>
  <c r="N532" i="24"/>
  <c r="O532" i="24"/>
  <c r="G532" i="24"/>
  <c r="H532" i="24"/>
  <c r="N856" i="24"/>
  <c r="G856" i="24"/>
  <c r="H856" i="24"/>
  <c r="I856" i="24"/>
  <c r="O856" i="24"/>
  <c r="M856" i="24"/>
  <c r="L856" i="24"/>
  <c r="J856" i="24"/>
  <c r="K856" i="24"/>
  <c r="H595" i="24"/>
  <c r="G595" i="24"/>
  <c r="I595" i="24"/>
  <c r="J595" i="24"/>
  <c r="K537" i="24"/>
  <c r="L537" i="24"/>
  <c r="J537" i="24"/>
  <c r="G537" i="24"/>
  <c r="I537" i="24"/>
  <c r="H537" i="24"/>
  <c r="O537" i="24"/>
  <c r="N537" i="24"/>
  <c r="M537" i="24"/>
  <c r="O535" i="24"/>
  <c r="G535" i="24"/>
  <c r="L535" i="24"/>
  <c r="I535" i="24"/>
  <c r="H535" i="24"/>
  <c r="M535" i="24"/>
  <c r="J535" i="24"/>
  <c r="K535" i="24"/>
  <c r="N535" i="24"/>
  <c r="I536" i="24"/>
  <c r="H536" i="24"/>
  <c r="G536" i="24"/>
  <c r="O536" i="24"/>
  <c r="N536" i="24"/>
  <c r="M536" i="24"/>
  <c r="L536" i="24"/>
  <c r="K536" i="24"/>
  <c r="J536" i="24"/>
  <c r="N620" i="24"/>
  <c r="O620" i="24"/>
  <c r="M620" i="24"/>
  <c r="K620" i="24"/>
  <c r="J620" i="24"/>
  <c r="I620" i="24"/>
  <c r="H620" i="24"/>
  <c r="G620" i="24"/>
  <c r="L620" i="24"/>
  <c r="H225" i="24"/>
  <c r="G225" i="24"/>
  <c r="I225" i="24"/>
  <c r="J225" i="24"/>
  <c r="K225" i="24"/>
  <c r="N225" i="24"/>
  <c r="O225" i="24"/>
  <c r="M225" i="24"/>
  <c r="L225" i="24"/>
  <c r="O224" i="24"/>
  <c r="N224" i="24"/>
  <c r="M224" i="24"/>
  <c r="I224" i="24"/>
  <c r="H224" i="24"/>
  <c r="G224" i="24"/>
  <c r="J224" i="24"/>
  <c r="K224" i="24"/>
  <c r="L224" i="24"/>
  <c r="O825" i="24"/>
  <c r="N825" i="24"/>
  <c r="M825" i="24"/>
  <c r="I825" i="24"/>
  <c r="H825" i="24"/>
  <c r="G825" i="24"/>
  <c r="L825" i="24"/>
  <c r="K825" i="24"/>
  <c r="J825" i="24"/>
  <c r="H252" i="24"/>
  <c r="G252" i="24"/>
  <c r="L252" i="24"/>
  <c r="N252" i="24"/>
  <c r="I252" i="24"/>
  <c r="J252" i="24"/>
  <c r="K252" i="24"/>
  <c r="M252" i="24"/>
  <c r="O252" i="24"/>
  <c r="K250" i="24"/>
  <c r="L250" i="24"/>
  <c r="H250" i="24"/>
  <c r="M250" i="24"/>
  <c r="G250" i="24"/>
  <c r="I250" i="24"/>
  <c r="J250" i="24"/>
  <c r="O250" i="24"/>
  <c r="N250" i="24"/>
  <c r="O248" i="24"/>
  <c r="N248" i="24"/>
  <c r="L248" i="24"/>
  <c r="J248" i="24"/>
  <c r="G248" i="24"/>
  <c r="H248" i="24"/>
  <c r="I248" i="24"/>
  <c r="K248" i="24"/>
  <c r="M248" i="24"/>
  <c r="M634" i="24"/>
  <c r="L634" i="24"/>
  <c r="O634" i="24"/>
  <c r="N634" i="24"/>
  <c r="K634" i="24"/>
  <c r="G226" i="24"/>
  <c r="H226" i="24"/>
  <c r="I226" i="24"/>
  <c r="N226" i="24"/>
  <c r="O226" i="24"/>
  <c r="M226" i="24"/>
  <c r="K226" i="24"/>
  <c r="J226" i="24"/>
  <c r="L226" i="24"/>
  <c r="K223" i="24"/>
  <c r="H223" i="24"/>
  <c r="G223" i="24"/>
  <c r="J223" i="24"/>
  <c r="L223" i="24"/>
  <c r="M223" i="24"/>
  <c r="N223" i="24"/>
  <c r="O223" i="24"/>
  <c r="I223" i="24"/>
  <c r="J222" i="24"/>
  <c r="K222" i="24"/>
  <c r="L222" i="24"/>
  <c r="M222" i="24"/>
  <c r="N222" i="24"/>
  <c r="O222" i="24"/>
  <c r="I222" i="24"/>
  <c r="H222" i="24"/>
  <c r="G222" i="24"/>
  <c r="N538" i="24"/>
  <c r="O538" i="24"/>
  <c r="I533" i="24"/>
  <c r="H533" i="24"/>
  <c r="G533" i="24"/>
  <c r="O533" i="24"/>
  <c r="N533" i="24"/>
  <c r="M533" i="24"/>
  <c r="L533" i="24"/>
  <c r="K533" i="24"/>
  <c r="J533" i="24"/>
  <c r="I890" i="24"/>
  <c r="H890" i="24"/>
  <c r="G890" i="24"/>
  <c r="M890" i="24"/>
  <c r="O890" i="24"/>
  <c r="N890" i="24"/>
  <c r="L890" i="24"/>
  <c r="K890" i="24"/>
  <c r="J890" i="24"/>
  <c r="L846" i="24"/>
  <c r="M846" i="24"/>
  <c r="O846" i="24"/>
  <c r="G846" i="24"/>
  <c r="H846" i="24"/>
  <c r="I846" i="24"/>
  <c r="K846" i="24"/>
  <c r="J846" i="24"/>
  <c r="N846" i="24"/>
  <c r="O275" i="24"/>
  <c r="N275" i="24"/>
  <c r="M275" i="24"/>
  <c r="L275" i="24"/>
  <c r="K275" i="24"/>
  <c r="J275" i="24"/>
  <c r="G275" i="24"/>
  <c r="H275" i="24"/>
  <c r="I275" i="24"/>
  <c r="J251" i="24"/>
  <c r="I251" i="24"/>
  <c r="G251" i="24"/>
  <c r="L251" i="24"/>
  <c r="M251" i="24"/>
  <c r="N251" i="24"/>
  <c r="H251" i="24"/>
  <c r="O251" i="24"/>
  <c r="K251" i="24"/>
  <c r="M249" i="24"/>
  <c r="K249" i="24"/>
  <c r="J249" i="24"/>
  <c r="I249" i="24"/>
  <c r="H249" i="24"/>
  <c r="G249" i="24"/>
  <c r="O249" i="24"/>
  <c r="N249" i="24"/>
  <c r="L249" i="24"/>
  <c r="H884" i="24"/>
  <c r="I884" i="24"/>
  <c r="J884" i="24"/>
  <c r="L884" i="24"/>
  <c r="M884" i="24"/>
  <c r="N884" i="24"/>
  <c r="O884" i="24"/>
  <c r="K884" i="24"/>
  <c r="G884" i="24"/>
  <c r="N995" i="24"/>
  <c r="O995" i="24"/>
  <c r="I995" i="24"/>
  <c r="J995" i="24"/>
  <c r="G995" i="24"/>
  <c r="K995" i="24"/>
  <c r="H995" i="24"/>
  <c r="L995" i="24"/>
  <c r="M995" i="24"/>
  <c r="M889" i="24"/>
  <c r="N889" i="24"/>
  <c r="O889" i="24"/>
  <c r="G889" i="24"/>
  <c r="H889" i="24"/>
  <c r="I889" i="24"/>
  <c r="J889" i="24"/>
  <c r="K889" i="24"/>
  <c r="L889" i="24"/>
  <c r="O765" i="24"/>
  <c r="M765" i="24"/>
  <c r="J765" i="24"/>
  <c r="L765" i="24"/>
  <c r="G765" i="24"/>
  <c r="N765" i="24"/>
  <c r="K765" i="24"/>
  <c r="H765" i="24"/>
  <c r="I765" i="24"/>
  <c r="G725" i="24"/>
  <c r="H725" i="24"/>
  <c r="J725" i="24"/>
  <c r="K725" i="24"/>
  <c r="M725" i="24"/>
  <c r="O725" i="24"/>
  <c r="I725" i="24"/>
  <c r="L725" i="24"/>
  <c r="N725" i="24"/>
  <c r="H844" i="24"/>
  <c r="G844" i="24"/>
  <c r="O844" i="24"/>
  <c r="N844" i="24"/>
  <c r="M844" i="24"/>
  <c r="L844" i="24"/>
  <c r="K844" i="24"/>
  <c r="J844" i="24"/>
  <c r="I844" i="24"/>
  <c r="I833" i="24"/>
  <c r="J833" i="24"/>
  <c r="K833" i="24"/>
  <c r="M833" i="24"/>
  <c r="N833" i="24"/>
  <c r="O833" i="24"/>
  <c r="L833" i="24"/>
  <c r="H833" i="24"/>
  <c r="G833" i="24"/>
  <c r="K776" i="24"/>
  <c r="L776" i="24"/>
  <c r="N776" i="24"/>
  <c r="G776" i="24"/>
  <c r="O776" i="24"/>
  <c r="M776" i="24"/>
  <c r="J776" i="24"/>
  <c r="I776" i="24"/>
  <c r="H776" i="24"/>
  <c r="L882" i="24"/>
  <c r="J882" i="24"/>
  <c r="I882" i="24"/>
  <c r="H882" i="24"/>
  <c r="G882" i="24"/>
  <c r="M882" i="24"/>
  <c r="N882" i="24"/>
  <c r="O882" i="24"/>
  <c r="K882" i="24"/>
  <c r="J841" i="24"/>
  <c r="I841" i="24"/>
  <c r="H841" i="24"/>
  <c r="G841" i="24"/>
  <c r="K841" i="24"/>
  <c r="O841" i="24"/>
  <c r="N841" i="24"/>
  <c r="M841" i="24"/>
  <c r="L841" i="24"/>
  <c r="G830" i="24"/>
  <c r="H830" i="24"/>
  <c r="I830" i="24"/>
  <c r="J830" i="24"/>
  <c r="K830" i="24"/>
  <c r="L830" i="24"/>
  <c r="M830" i="24"/>
  <c r="N830" i="24"/>
  <c r="O830" i="24"/>
  <c r="L767" i="24"/>
  <c r="K767" i="24"/>
  <c r="I767" i="24"/>
  <c r="N767" i="24"/>
  <c r="G767" i="24"/>
  <c r="O767" i="24"/>
  <c r="M767" i="24"/>
  <c r="J767" i="24"/>
  <c r="H767" i="24"/>
  <c r="G749" i="24"/>
  <c r="I749" i="24"/>
  <c r="K749" i="24"/>
  <c r="N749" i="24"/>
  <c r="M749" i="24"/>
  <c r="L749" i="24"/>
  <c r="J749" i="24"/>
  <c r="H749" i="24"/>
  <c r="O749" i="24"/>
  <c r="I814" i="24"/>
  <c r="O814" i="24"/>
  <c r="L814" i="24"/>
  <c r="K814" i="24"/>
  <c r="J814" i="24"/>
  <c r="H814" i="24"/>
  <c r="G814" i="24"/>
  <c r="N814" i="24"/>
  <c r="M814" i="24"/>
  <c r="G599" i="24"/>
  <c r="H599" i="24"/>
  <c r="I599" i="24"/>
  <c r="J599" i="24"/>
  <c r="L599" i="24"/>
  <c r="M599" i="24"/>
  <c r="N599" i="24"/>
  <c r="O599" i="24"/>
  <c r="K599" i="24"/>
  <c r="L269" i="24"/>
  <c r="K269" i="24"/>
  <c r="O269" i="24"/>
  <c r="N269" i="24"/>
  <c r="J269" i="24"/>
  <c r="I269" i="24"/>
  <c r="H269" i="24"/>
  <c r="G269" i="24"/>
  <c r="M269" i="24"/>
  <c r="O267" i="24"/>
  <c r="L267" i="24"/>
  <c r="M267" i="24"/>
  <c r="N267" i="24"/>
  <c r="G267" i="24"/>
  <c r="H267" i="24"/>
  <c r="I267" i="24"/>
  <c r="J267" i="24"/>
  <c r="K267" i="24"/>
  <c r="N781" i="24"/>
  <c r="L781" i="24"/>
  <c r="K781" i="24"/>
  <c r="J781" i="24"/>
  <c r="I781" i="24"/>
  <c r="H781" i="24"/>
  <c r="G781" i="24"/>
  <c r="M781" i="24"/>
  <c r="O781" i="24"/>
  <c r="H778" i="24"/>
  <c r="L778" i="24"/>
  <c r="J778" i="24"/>
  <c r="O778" i="24"/>
  <c r="H828" i="24"/>
  <c r="N828" i="24"/>
  <c r="M828" i="24"/>
  <c r="G828" i="24"/>
  <c r="L828" i="24"/>
  <c r="I828" i="24"/>
  <c r="J828" i="24"/>
  <c r="K828" i="24"/>
  <c r="O828" i="24"/>
  <c r="J859" i="24"/>
  <c r="K859" i="24"/>
  <c r="L859" i="24"/>
  <c r="M859" i="24"/>
  <c r="G859" i="24"/>
  <c r="N859" i="24"/>
  <c r="O859" i="24"/>
  <c r="H859" i="24"/>
  <c r="I859" i="24"/>
  <c r="I870" i="24"/>
  <c r="H870" i="24"/>
  <c r="G870" i="24"/>
  <c r="M871" i="24"/>
  <c r="L871" i="24"/>
  <c r="J871" i="24"/>
  <c r="I871" i="24"/>
  <c r="H871" i="24"/>
  <c r="G871" i="24"/>
  <c r="K871" i="24"/>
  <c r="O871" i="24"/>
  <c r="N871" i="24"/>
  <c r="G395" i="24"/>
  <c r="H395" i="24"/>
  <c r="I395" i="24"/>
  <c r="J395" i="24"/>
  <c r="K395" i="24"/>
  <c r="L395" i="24"/>
  <c r="M395" i="24"/>
  <c r="N395" i="24"/>
  <c r="O395" i="24"/>
  <c r="N595" i="24"/>
  <c r="M595" i="24"/>
  <c r="L595" i="24"/>
  <c r="K595" i="24"/>
  <c r="O595" i="24"/>
  <c r="O591" i="24"/>
  <c r="N591" i="24"/>
  <c r="M591" i="24"/>
  <c r="L591" i="24"/>
  <c r="K591" i="24"/>
  <c r="J591" i="24"/>
  <c r="I591" i="24"/>
  <c r="H591" i="24"/>
  <c r="G591" i="24"/>
  <c r="J690" i="24"/>
  <c r="G690" i="24"/>
  <c r="I690" i="24"/>
  <c r="H690" i="24"/>
  <c r="O690" i="24"/>
  <c r="N690" i="24"/>
  <c r="M690" i="24"/>
  <c r="L690" i="24"/>
  <c r="K690" i="24"/>
  <c r="M688" i="24"/>
  <c r="L688" i="24"/>
  <c r="K688" i="24"/>
  <c r="J688" i="24"/>
  <c r="H688" i="24"/>
  <c r="G688" i="24"/>
  <c r="I688" i="24"/>
  <c r="O688" i="24"/>
  <c r="N688" i="24"/>
  <c r="M686" i="24"/>
  <c r="N686" i="24"/>
  <c r="G686" i="24"/>
  <c r="J686" i="24"/>
  <c r="L686" i="24"/>
  <c r="I686" i="24"/>
  <c r="O686" i="24"/>
  <c r="H686" i="24"/>
  <c r="K686" i="24"/>
  <c r="G684" i="24"/>
  <c r="H684" i="24"/>
  <c r="I684" i="24"/>
  <c r="L684" i="24"/>
  <c r="J684" i="24"/>
  <c r="M684" i="24"/>
  <c r="K684" i="24"/>
  <c r="N684" i="24"/>
  <c r="O684" i="24"/>
  <c r="G682" i="24"/>
  <c r="H682" i="24"/>
  <c r="I682" i="24"/>
  <c r="J682" i="24"/>
  <c r="K682" i="24"/>
  <c r="O682" i="24"/>
  <c r="L682" i="24"/>
  <c r="N682" i="24"/>
  <c r="M682" i="24"/>
  <c r="N681" i="24"/>
  <c r="I681" i="24"/>
  <c r="G681" i="24"/>
  <c r="H681" i="24"/>
  <c r="L681" i="24"/>
  <c r="O681" i="24"/>
  <c r="J681" i="24"/>
  <c r="M681" i="24"/>
  <c r="K681" i="24"/>
  <c r="L679" i="24"/>
  <c r="G679" i="24"/>
  <c r="I679" i="24"/>
  <c r="J679" i="24"/>
  <c r="K679" i="24"/>
  <c r="M679" i="24"/>
  <c r="N679" i="24"/>
  <c r="O679" i="24"/>
  <c r="H679" i="24"/>
  <c r="I677" i="24"/>
  <c r="H677" i="24"/>
  <c r="G677" i="24"/>
  <c r="J677" i="24"/>
  <c r="K677" i="24"/>
  <c r="O677" i="24"/>
  <c r="N677" i="24"/>
  <c r="M677" i="24"/>
  <c r="L677" i="24"/>
  <c r="J675" i="24"/>
  <c r="I675" i="24"/>
  <c r="H675" i="24"/>
  <c r="N675" i="24"/>
  <c r="M675" i="24"/>
  <c r="L675" i="24"/>
  <c r="G675" i="24"/>
  <c r="K675" i="24"/>
  <c r="O675" i="24"/>
  <c r="M673" i="24"/>
  <c r="L673" i="24"/>
  <c r="K673" i="24"/>
  <c r="J673" i="24"/>
  <c r="I673" i="24"/>
  <c r="H673" i="24"/>
  <c r="G673" i="24"/>
  <c r="N673" i="24"/>
  <c r="O673" i="24"/>
  <c r="G671" i="24"/>
  <c r="H671" i="24"/>
  <c r="N671" i="24"/>
  <c r="O671" i="24"/>
  <c r="M671" i="24"/>
  <c r="L671" i="24"/>
  <c r="K671" i="24"/>
  <c r="J671" i="24"/>
  <c r="I671" i="24"/>
  <c r="N667" i="24"/>
  <c r="M667" i="24"/>
  <c r="L667" i="24"/>
  <c r="K667" i="24"/>
  <c r="G667" i="24"/>
  <c r="J667" i="24"/>
  <c r="H667" i="24"/>
  <c r="I667" i="24"/>
  <c r="O667" i="24"/>
  <c r="J665" i="24"/>
  <c r="O665" i="24"/>
  <c r="L665" i="24"/>
  <c r="K665" i="24"/>
  <c r="I665" i="24"/>
  <c r="H665" i="24"/>
  <c r="G665" i="24"/>
  <c r="M665" i="24"/>
  <c r="N665" i="24"/>
  <c r="G594" i="24"/>
  <c r="H594" i="24"/>
  <c r="O594" i="24"/>
  <c r="N594" i="24"/>
  <c r="M594" i="24"/>
  <c r="L594" i="24"/>
  <c r="K594" i="24"/>
  <c r="J594" i="24"/>
  <c r="I594" i="24"/>
  <c r="G258" i="24"/>
  <c r="I258" i="24"/>
  <c r="J258" i="24"/>
  <c r="K258" i="24"/>
  <c r="L258" i="24"/>
  <c r="M258" i="24"/>
  <c r="N258" i="24"/>
  <c r="H258" i="24"/>
  <c r="O258" i="24"/>
  <c r="M256" i="24"/>
  <c r="N256" i="24"/>
  <c r="H256" i="24"/>
  <c r="G256" i="24"/>
  <c r="L256" i="24"/>
  <c r="K256" i="24"/>
  <c r="J256" i="24"/>
  <c r="I256" i="24"/>
  <c r="O256" i="24"/>
  <c r="G755" i="24"/>
  <c r="I755" i="24"/>
  <c r="N689" i="24"/>
  <c r="O689" i="24"/>
  <c r="K689" i="24"/>
  <c r="J689" i="24"/>
  <c r="G689" i="24"/>
  <c r="H689" i="24"/>
  <c r="I689" i="24"/>
  <c r="L689" i="24"/>
  <c r="M689" i="24"/>
  <c r="N687" i="24"/>
  <c r="M687" i="24"/>
  <c r="L687" i="24"/>
  <c r="K687" i="24"/>
  <c r="J687" i="24"/>
  <c r="I687" i="24"/>
  <c r="H687" i="24"/>
  <c r="G687" i="24"/>
  <c r="O687" i="24"/>
  <c r="K685" i="24"/>
  <c r="N685" i="24"/>
  <c r="M685" i="24"/>
  <c r="L685" i="24"/>
  <c r="J685" i="24"/>
  <c r="I685" i="24"/>
  <c r="H685" i="24"/>
  <c r="G685" i="24"/>
  <c r="O685" i="24"/>
  <c r="I680" i="24"/>
  <c r="H680" i="24"/>
  <c r="N680" i="24"/>
  <c r="L680" i="24"/>
  <c r="K680" i="24"/>
  <c r="G680" i="24"/>
  <c r="J680" i="24"/>
  <c r="M680" i="24"/>
  <c r="O680" i="24"/>
  <c r="G678" i="24"/>
  <c r="M678" i="24"/>
  <c r="L678" i="24"/>
  <c r="H678" i="24"/>
  <c r="I678" i="24"/>
  <c r="O678" i="24"/>
  <c r="K678" i="24"/>
  <c r="J678" i="24"/>
  <c r="N678" i="24"/>
  <c r="H676" i="24"/>
  <c r="I676" i="24"/>
  <c r="J676" i="24"/>
  <c r="K676" i="24"/>
  <c r="M676" i="24"/>
  <c r="N676" i="24"/>
  <c r="O676" i="24"/>
  <c r="L676" i="24"/>
  <c r="G676" i="24"/>
  <c r="O674" i="24"/>
  <c r="G674" i="24"/>
  <c r="H674" i="24"/>
  <c r="I674" i="24"/>
  <c r="K674" i="24"/>
  <c r="J674" i="24"/>
  <c r="L674" i="24"/>
  <c r="M674" i="24"/>
  <c r="N674" i="24"/>
  <c r="M672" i="24"/>
  <c r="N672" i="24"/>
  <c r="O672" i="24"/>
  <c r="K672" i="24"/>
  <c r="G672" i="24"/>
  <c r="H672" i="24"/>
  <c r="I672" i="24"/>
  <c r="J672" i="24"/>
  <c r="L672" i="24"/>
  <c r="H670" i="24"/>
  <c r="G670" i="24"/>
  <c r="O670" i="24"/>
  <c r="N670" i="24"/>
  <c r="M670" i="24"/>
  <c r="L670" i="24"/>
  <c r="I670" i="24"/>
  <c r="J670" i="24"/>
  <c r="K670" i="24"/>
  <c r="H668" i="24"/>
  <c r="O668" i="24"/>
  <c r="M668" i="24"/>
  <c r="L668" i="24"/>
  <c r="K668" i="24"/>
  <c r="J668" i="24"/>
  <c r="I668" i="24"/>
  <c r="G668" i="24"/>
  <c r="N668" i="24"/>
  <c r="O666" i="24"/>
  <c r="M666" i="24"/>
  <c r="J666" i="24"/>
  <c r="I666" i="24"/>
  <c r="H666" i="24"/>
  <c r="G666" i="24"/>
  <c r="L666" i="24"/>
  <c r="K666" i="24"/>
  <c r="N666" i="24"/>
  <c r="M664" i="24"/>
  <c r="O664" i="24"/>
  <c r="J664" i="24"/>
  <c r="N664" i="24"/>
  <c r="L664" i="24"/>
  <c r="K664" i="24"/>
  <c r="I664" i="24"/>
  <c r="G664" i="24"/>
  <c r="H664" i="24"/>
  <c r="N657" i="24"/>
  <c r="G657" i="24"/>
  <c r="H657" i="24"/>
  <c r="I657" i="24"/>
  <c r="J657" i="24"/>
  <c r="O657" i="24"/>
  <c r="M657" i="24"/>
  <c r="K657" i="24"/>
  <c r="L657" i="24"/>
  <c r="K592" i="24"/>
  <c r="G592" i="24"/>
  <c r="H592" i="24"/>
  <c r="I592" i="24"/>
  <c r="J592" i="24"/>
  <c r="L592" i="24"/>
  <c r="M592" i="24"/>
  <c r="N592" i="24"/>
  <c r="O592" i="24"/>
  <c r="O987" i="24"/>
  <c r="N987" i="24"/>
  <c r="G987" i="24"/>
  <c r="M987" i="24"/>
  <c r="I987" i="24"/>
  <c r="K987" i="24"/>
  <c r="L987" i="24"/>
  <c r="H987" i="24"/>
  <c r="J987" i="24"/>
  <c r="J918" i="24"/>
  <c r="G918" i="24"/>
  <c r="H918" i="24"/>
  <c r="I918" i="24"/>
  <c r="K918" i="24"/>
  <c r="L918" i="24"/>
  <c r="M918" i="24"/>
  <c r="N918" i="24"/>
  <c r="O918" i="24"/>
  <c r="L257" i="24"/>
  <c r="K257" i="24"/>
  <c r="J257" i="24"/>
  <c r="I257" i="24"/>
  <c r="M257" i="24"/>
  <c r="H257" i="24"/>
  <c r="G257" i="24"/>
  <c r="N257" i="24"/>
  <c r="O257" i="24"/>
  <c r="O255" i="24"/>
  <c r="N255" i="24"/>
  <c r="H255" i="24"/>
  <c r="J255" i="24"/>
  <c r="K255" i="24"/>
  <c r="M255" i="24"/>
  <c r="I255" i="24"/>
  <c r="L255" i="24"/>
  <c r="G255" i="24"/>
  <c r="N993" i="24"/>
  <c r="J993" i="24"/>
  <c r="M993" i="24"/>
  <c r="L993" i="24"/>
  <c r="K993" i="24"/>
  <c r="G993" i="24"/>
  <c r="I993" i="24"/>
  <c r="H993" i="24"/>
  <c r="O993" i="24"/>
  <c r="N992" i="24"/>
  <c r="O992" i="24"/>
  <c r="I992" i="24"/>
  <c r="H992" i="24"/>
  <c r="J992" i="24"/>
  <c r="M992" i="24"/>
  <c r="L992" i="24"/>
  <c r="K992" i="24"/>
  <c r="G992" i="24"/>
  <c r="I938" i="24"/>
  <c r="M938" i="24"/>
  <c r="H938" i="24"/>
  <c r="J938" i="24"/>
  <c r="K938" i="24"/>
  <c r="O938" i="24"/>
  <c r="L938" i="24"/>
  <c r="N938" i="24"/>
  <c r="G938" i="24"/>
  <c r="H906" i="24"/>
  <c r="G906" i="24"/>
  <c r="J906" i="24"/>
  <c r="O906" i="24"/>
  <c r="N906" i="24"/>
  <c r="M906" i="24"/>
  <c r="L906" i="24"/>
  <c r="K906" i="24"/>
  <c r="I906" i="24"/>
  <c r="N968" i="24"/>
  <c r="L968" i="24"/>
  <c r="O968" i="24"/>
  <c r="J968" i="24"/>
  <c r="H968" i="24"/>
  <c r="I968" i="24"/>
  <c r="M968" i="24"/>
  <c r="K968" i="24"/>
  <c r="G968" i="24"/>
  <c r="K945" i="24"/>
  <c r="G945" i="24"/>
  <c r="H945" i="24"/>
  <c r="J945" i="24"/>
  <c r="M945" i="24"/>
  <c r="I945" i="24"/>
  <c r="L945" i="24"/>
  <c r="N945" i="24"/>
  <c r="O945" i="24"/>
  <c r="M985" i="24"/>
  <c r="O985" i="24"/>
  <c r="N985" i="24"/>
  <c r="K985" i="24"/>
  <c r="L985" i="24"/>
  <c r="J985" i="24"/>
  <c r="G985" i="24"/>
  <c r="H985" i="24"/>
  <c r="I985" i="24"/>
  <c r="G943" i="24"/>
  <c r="I943" i="24"/>
  <c r="K943" i="24"/>
  <c r="H943" i="24"/>
  <c r="J943" i="24"/>
  <c r="L943" i="24"/>
  <c r="M943" i="24"/>
  <c r="N943" i="24"/>
  <c r="O943" i="24"/>
  <c r="G905" i="24"/>
  <c r="O905" i="24"/>
  <c r="N905" i="24"/>
  <c r="H905" i="24"/>
  <c r="J905" i="24"/>
  <c r="K905" i="24"/>
  <c r="L905" i="24"/>
  <c r="M905" i="24"/>
  <c r="I905" i="24"/>
  <c r="O946" i="24"/>
  <c r="G946" i="24"/>
  <c r="H946" i="24"/>
  <c r="N946" i="24"/>
  <c r="I946" i="24"/>
  <c r="J946" i="24"/>
  <c r="K946" i="24"/>
  <c r="L946" i="24"/>
  <c r="M946" i="24"/>
  <c r="J937" i="24"/>
  <c r="M937" i="24"/>
  <c r="O937" i="24"/>
  <c r="L937" i="24"/>
  <c r="I937" i="24"/>
  <c r="G937" i="24"/>
  <c r="H937" i="24"/>
  <c r="K937" i="24"/>
  <c r="N937" i="24"/>
  <c r="I933" i="24"/>
  <c r="H933" i="24"/>
  <c r="O933" i="24"/>
  <c r="N933" i="24"/>
  <c r="M933" i="24"/>
  <c r="L933" i="24"/>
  <c r="K933" i="24"/>
  <c r="J933" i="24"/>
  <c r="G933" i="24"/>
  <c r="K962" i="24"/>
  <c r="H962" i="24"/>
  <c r="J962" i="24"/>
  <c r="I962" i="24"/>
  <c r="L962" i="24"/>
  <c r="G962" i="24"/>
  <c r="O962" i="24"/>
  <c r="N962" i="24"/>
  <c r="M962" i="24"/>
  <c r="L932" i="24"/>
  <c r="M932" i="24"/>
  <c r="H932" i="24"/>
  <c r="O932" i="24"/>
  <c r="K932" i="24"/>
  <c r="G932" i="24"/>
  <c r="I932" i="24"/>
  <c r="J932" i="24"/>
  <c r="N932" i="24"/>
  <c r="K32" i="24"/>
  <c r="I32" i="24"/>
  <c r="O32" i="24"/>
  <c r="H32" i="24"/>
  <c r="K593" i="24"/>
  <c r="J593" i="24"/>
  <c r="I593" i="24"/>
  <c r="H593" i="24"/>
  <c r="G593" i="24"/>
  <c r="O593" i="24"/>
  <c r="N593" i="24"/>
  <c r="M593" i="24"/>
  <c r="L593" i="24"/>
  <c r="O982" i="24"/>
  <c r="K982" i="24"/>
  <c r="L982" i="24"/>
  <c r="N982" i="24"/>
  <c r="M982" i="24"/>
  <c r="G982" i="24"/>
  <c r="H982" i="24"/>
  <c r="I982" i="24"/>
  <c r="J982" i="24"/>
  <c r="L980" i="24"/>
  <c r="M980" i="24"/>
  <c r="N980" i="24"/>
  <c r="O980" i="24"/>
  <c r="G980" i="24"/>
  <c r="H980" i="24"/>
  <c r="I980" i="24"/>
  <c r="K980" i="24"/>
  <c r="J980" i="24"/>
  <c r="J903" i="24"/>
  <c r="K903" i="24"/>
  <c r="L903" i="24"/>
  <c r="M903" i="24"/>
  <c r="O903" i="24"/>
  <c r="N903" i="24"/>
  <c r="G903" i="24"/>
  <c r="H903" i="24"/>
  <c r="I903" i="24"/>
  <c r="N984" i="24"/>
  <c r="M984" i="24"/>
  <c r="L984" i="24"/>
  <c r="K984" i="24"/>
  <c r="J984" i="24"/>
  <c r="I984" i="24"/>
  <c r="H984" i="24"/>
  <c r="G984" i="24"/>
  <c r="O984" i="24"/>
  <c r="M964" i="24"/>
  <c r="O964" i="24"/>
  <c r="H964" i="24"/>
  <c r="N964" i="24"/>
  <c r="G964" i="24"/>
  <c r="N978" i="24"/>
  <c r="G978" i="24"/>
  <c r="H978" i="24"/>
  <c r="L978" i="24"/>
  <c r="K978" i="24"/>
  <c r="J978" i="24"/>
  <c r="I978" i="24"/>
  <c r="M978" i="24"/>
  <c r="O978" i="24"/>
  <c r="H977" i="24"/>
  <c r="I977" i="24"/>
  <c r="J977" i="24"/>
  <c r="K977" i="24"/>
  <c r="N977" i="24"/>
  <c r="O977" i="24"/>
  <c r="M977" i="24"/>
  <c r="G977" i="24"/>
  <c r="L977" i="24"/>
  <c r="G975" i="24"/>
  <c r="H975" i="24"/>
  <c r="I975" i="24"/>
  <c r="J975" i="24"/>
  <c r="K975" i="24"/>
  <c r="M981" i="24"/>
  <c r="L981" i="24"/>
  <c r="K981" i="24"/>
  <c r="O981" i="24"/>
  <c r="G981" i="24"/>
  <c r="H981" i="24"/>
  <c r="I981" i="24"/>
  <c r="J981" i="24"/>
  <c r="N981" i="24"/>
  <c r="G979" i="24"/>
  <c r="M979" i="24"/>
  <c r="K979" i="24"/>
  <c r="L979" i="24"/>
  <c r="N979" i="24"/>
  <c r="O979" i="24"/>
  <c r="H979" i="24"/>
  <c r="I979" i="24"/>
  <c r="J979" i="24"/>
  <c r="H976" i="24"/>
  <c r="O976" i="24"/>
  <c r="N976" i="24"/>
  <c r="M976" i="24"/>
  <c r="I976" i="24"/>
  <c r="L976" i="24"/>
  <c r="K976" i="24"/>
  <c r="J976" i="24"/>
  <c r="G976" i="24"/>
  <c r="G829" i="24"/>
  <c r="H829" i="24"/>
  <c r="I829" i="24"/>
  <c r="J829" i="24"/>
  <c r="K829" i="24"/>
  <c r="L829" i="24"/>
  <c r="M829" i="24"/>
  <c r="N829" i="24"/>
  <c r="O829" i="24"/>
  <c r="N32" i="24"/>
  <c r="G32" i="24"/>
  <c r="J32" i="24"/>
  <c r="J486" i="24"/>
  <c r="M486" i="24"/>
  <c r="L486" i="24"/>
  <c r="K486" i="24"/>
  <c r="I486" i="24"/>
  <c r="H486" i="24"/>
  <c r="G486" i="24"/>
  <c r="N486" i="24"/>
  <c r="O486" i="24"/>
  <c r="J989" i="24"/>
  <c r="K989" i="24"/>
  <c r="L989" i="24"/>
  <c r="M989" i="24"/>
  <c r="N989" i="24"/>
  <c r="I989" i="24"/>
  <c r="G989" i="24"/>
  <c r="H989" i="24"/>
  <c r="O989" i="24"/>
  <c r="G878" i="24"/>
  <c r="H878" i="24"/>
  <c r="I878" i="24"/>
  <c r="J878" i="24"/>
  <c r="K878" i="24"/>
  <c r="L878" i="24"/>
  <c r="M878" i="24"/>
  <c r="N878" i="24"/>
  <c r="O878" i="24"/>
  <c r="N753" i="24"/>
  <c r="K753" i="24"/>
  <c r="I753" i="24"/>
  <c r="G753" i="24"/>
  <c r="O753" i="24"/>
  <c r="M753" i="24"/>
  <c r="L753" i="24"/>
  <c r="H753" i="24"/>
  <c r="J753" i="24"/>
  <c r="H747" i="24"/>
  <c r="O747" i="24"/>
  <c r="M747" i="24"/>
  <c r="K747" i="24"/>
  <c r="I747" i="24"/>
  <c r="G747" i="24"/>
  <c r="N747" i="24"/>
  <c r="L747" i="24"/>
  <c r="J747" i="24"/>
  <c r="H739" i="24"/>
  <c r="L739" i="24"/>
  <c r="M739" i="24"/>
  <c r="J739" i="24"/>
  <c r="J507" i="24"/>
  <c r="H507" i="24"/>
  <c r="G507" i="24"/>
  <c r="I507" i="24"/>
  <c r="O507" i="24"/>
  <c r="N507" i="24"/>
  <c r="M507" i="24"/>
  <c r="L507" i="24"/>
  <c r="K507" i="24"/>
  <c r="N505" i="24"/>
  <c r="M505" i="24"/>
  <c r="G505" i="24"/>
  <c r="H505" i="24"/>
  <c r="I505" i="24"/>
  <c r="K505" i="24"/>
  <c r="J505" i="24"/>
  <c r="O505" i="24"/>
  <c r="L505" i="24"/>
  <c r="H503" i="24"/>
  <c r="K503" i="24"/>
  <c r="G503" i="24"/>
  <c r="L503" i="24"/>
  <c r="O503" i="24"/>
  <c r="N503" i="24"/>
  <c r="M503" i="24"/>
  <c r="J503" i="24"/>
  <c r="I503" i="24"/>
  <c r="L488" i="24"/>
  <c r="J488" i="24"/>
  <c r="H488" i="24"/>
  <c r="N488" i="24"/>
  <c r="G488" i="24"/>
  <c r="I488" i="24"/>
  <c r="K488" i="24"/>
  <c r="O488" i="24"/>
  <c r="M488" i="24"/>
  <c r="J317" i="24"/>
  <c r="L317" i="24"/>
  <c r="O317" i="24"/>
  <c r="K317" i="24"/>
  <c r="G317" i="24"/>
  <c r="N317" i="24"/>
  <c r="H317" i="24"/>
  <c r="M317" i="24"/>
  <c r="I317" i="24"/>
  <c r="H316" i="24"/>
  <c r="I316" i="24"/>
  <c r="J316" i="24"/>
  <c r="K316" i="24"/>
  <c r="L316" i="24"/>
  <c r="N316" i="24"/>
  <c r="O316" i="24"/>
  <c r="M316" i="24"/>
  <c r="G316" i="24"/>
  <c r="G211" i="24"/>
  <c r="N211" i="24"/>
  <c r="J211" i="24"/>
  <c r="H211" i="24"/>
  <c r="I211" i="24"/>
  <c r="L211" i="24"/>
  <c r="O211" i="24"/>
  <c r="M211" i="24"/>
  <c r="K211" i="24"/>
  <c r="H485" i="24"/>
  <c r="G485" i="24"/>
  <c r="J485" i="24"/>
  <c r="I485" i="24"/>
  <c r="L786" i="24"/>
  <c r="O786" i="24"/>
  <c r="G786" i="24"/>
  <c r="M786" i="24"/>
  <c r="H786" i="24"/>
  <c r="I786" i="24"/>
  <c r="J786" i="24"/>
  <c r="K786" i="24"/>
  <c r="N786" i="24"/>
  <c r="I744" i="24"/>
  <c r="K744" i="24"/>
  <c r="L744" i="24"/>
  <c r="J744" i="24"/>
  <c r="G744" i="24"/>
  <c r="O744" i="24"/>
  <c r="N744" i="24"/>
  <c r="M744" i="24"/>
  <c r="H744" i="24"/>
  <c r="L740" i="24"/>
  <c r="O740" i="24"/>
  <c r="M740" i="24"/>
  <c r="N740" i="24"/>
  <c r="I740" i="24"/>
  <c r="G740" i="24"/>
  <c r="J740" i="24"/>
  <c r="H740" i="24"/>
  <c r="K740" i="24"/>
  <c r="J650" i="24"/>
  <c r="I650" i="24"/>
  <c r="H650" i="24"/>
  <c r="G650" i="24"/>
  <c r="K650" i="24"/>
  <c r="M650" i="24"/>
  <c r="L650" i="24"/>
  <c r="J630" i="24"/>
  <c r="K630" i="24"/>
  <c r="H630" i="24"/>
  <c r="I630" i="24"/>
  <c r="M630" i="24"/>
  <c r="N630" i="24"/>
  <c r="O630" i="24"/>
  <c r="L630" i="24"/>
  <c r="G630" i="24"/>
  <c r="H628" i="24"/>
  <c r="I628" i="24"/>
  <c r="J628" i="24"/>
  <c r="L628" i="24"/>
  <c r="M628" i="24"/>
  <c r="N628" i="24"/>
  <c r="O628" i="24"/>
  <c r="K628" i="24"/>
  <c r="G628" i="24"/>
  <c r="I625" i="24"/>
  <c r="O625" i="24"/>
  <c r="N625" i="24"/>
  <c r="M625" i="24"/>
  <c r="K625" i="24"/>
  <c r="L625" i="24"/>
  <c r="H625" i="24"/>
  <c r="G625" i="24"/>
  <c r="J625" i="24"/>
  <c r="G622" i="24"/>
  <c r="L622" i="24"/>
  <c r="M622" i="24"/>
  <c r="N622" i="24"/>
  <c r="O622" i="24"/>
  <c r="K622" i="24"/>
  <c r="J622" i="24"/>
  <c r="I622" i="24"/>
  <c r="H622" i="24"/>
  <c r="M487" i="24"/>
  <c r="G487" i="24"/>
  <c r="H487" i="24"/>
  <c r="I487" i="24"/>
  <c r="J487" i="24"/>
  <c r="K487" i="24"/>
  <c r="O487" i="24"/>
  <c r="N487" i="24"/>
  <c r="L487" i="24"/>
  <c r="J888" i="24"/>
  <c r="I888" i="24"/>
  <c r="H888" i="24"/>
  <c r="G888" i="24"/>
  <c r="M888" i="24"/>
  <c r="L888" i="24"/>
  <c r="N888" i="24"/>
  <c r="O888" i="24"/>
  <c r="K888" i="24"/>
  <c r="M860" i="24"/>
  <c r="O860" i="24"/>
  <c r="N860" i="24"/>
  <c r="L860" i="24"/>
  <c r="G860" i="24"/>
  <c r="H860" i="24"/>
  <c r="I860" i="24"/>
  <c r="J860" i="24"/>
  <c r="K860" i="24"/>
  <c r="N935" i="24"/>
  <c r="O935" i="24"/>
  <c r="G935" i="24"/>
  <c r="J935" i="24"/>
  <c r="M935" i="24"/>
  <c r="L935" i="24"/>
  <c r="K935" i="24"/>
  <c r="I935" i="24"/>
  <c r="H935" i="24"/>
  <c r="O872" i="24"/>
  <c r="I872" i="24"/>
  <c r="N872" i="24"/>
  <c r="M872" i="24"/>
  <c r="L872" i="24"/>
  <c r="J872" i="24"/>
  <c r="G872" i="24"/>
  <c r="H872" i="24"/>
  <c r="K872" i="24"/>
  <c r="M768" i="24"/>
  <c r="G768" i="24"/>
  <c r="J768" i="24"/>
  <c r="L768" i="24"/>
  <c r="O768" i="24"/>
  <c r="H768" i="24"/>
  <c r="I768" i="24"/>
  <c r="K768" i="24"/>
  <c r="N768" i="24"/>
  <c r="H901" i="24"/>
  <c r="I901" i="24"/>
  <c r="G901" i="24"/>
  <c r="M880" i="24"/>
  <c r="O880" i="24"/>
  <c r="N880" i="24"/>
  <c r="L880" i="24"/>
  <c r="K880" i="24"/>
  <c r="J880" i="24"/>
  <c r="I880" i="24"/>
  <c r="H880" i="24"/>
  <c r="G880" i="24"/>
  <c r="I817" i="24"/>
  <c r="H817" i="24"/>
  <c r="K817" i="24"/>
  <c r="J817" i="24"/>
  <c r="G817" i="24"/>
  <c r="O817" i="24"/>
  <c r="N817" i="24"/>
  <c r="M817" i="24"/>
  <c r="L817" i="24"/>
  <c r="N824" i="24"/>
  <c r="M824" i="24"/>
  <c r="L824" i="24"/>
  <c r="J824" i="24"/>
  <c r="I824" i="24"/>
  <c r="H824" i="24"/>
  <c r="G824" i="24"/>
  <c r="K824" i="24"/>
  <c r="O824" i="24"/>
  <c r="G772" i="24"/>
  <c r="O772" i="24"/>
  <c r="N772" i="24"/>
  <c r="L772" i="24"/>
  <c r="J772" i="24"/>
  <c r="H772" i="24"/>
  <c r="I772" i="24"/>
  <c r="K772" i="24"/>
  <c r="M772" i="24"/>
  <c r="M769" i="24"/>
  <c r="H769" i="24"/>
  <c r="J769" i="24"/>
  <c r="L769" i="24"/>
  <c r="N769" i="24"/>
  <c r="G769" i="24"/>
  <c r="I769" i="24"/>
  <c r="K769" i="24"/>
  <c r="O769" i="24"/>
  <c r="J934" i="24"/>
  <c r="O934" i="24"/>
  <c r="K934" i="24"/>
  <c r="L934" i="24"/>
  <c r="G934" i="24"/>
  <c r="M934" i="24"/>
  <c r="H934" i="24"/>
  <c r="I934" i="24"/>
  <c r="N934" i="24"/>
  <c r="M881" i="24"/>
  <c r="L881" i="24"/>
  <c r="K881" i="24"/>
  <c r="I881" i="24"/>
  <c r="J881" i="24"/>
  <c r="O881" i="24"/>
  <c r="G881" i="24"/>
  <c r="H881" i="24"/>
  <c r="N881" i="24"/>
  <c r="G490" i="24"/>
  <c r="H490" i="24"/>
  <c r="I490" i="24"/>
  <c r="J490" i="24"/>
  <c r="K490" i="24"/>
  <c r="L490" i="24"/>
  <c r="N490" i="24"/>
  <c r="O490" i="24"/>
  <c r="M490" i="24"/>
  <c r="G669" i="24"/>
  <c r="H669" i="24"/>
  <c r="I669" i="24"/>
  <c r="J669" i="24"/>
  <c r="K669" i="24"/>
  <c r="L669" i="24"/>
  <c r="M669" i="24"/>
  <c r="N669" i="24"/>
  <c r="O669" i="24"/>
  <c r="J353" i="24"/>
  <c r="I353" i="24"/>
  <c r="K353" i="24"/>
  <c r="H353" i="24"/>
  <c r="G353" i="24"/>
  <c r="L353" i="24"/>
  <c r="M353" i="24"/>
  <c r="N353" i="24"/>
  <c r="O353" i="24"/>
  <c r="K842" i="24"/>
  <c r="J842" i="24"/>
  <c r="I842" i="24"/>
  <c r="H842" i="24"/>
  <c r="G842" i="24"/>
  <c r="N842" i="24"/>
  <c r="O842" i="24"/>
  <c r="M842" i="24"/>
  <c r="L842" i="24"/>
  <c r="L845" i="24"/>
  <c r="O845" i="24"/>
  <c r="N845" i="24"/>
  <c r="M845" i="24"/>
  <c r="G845" i="24"/>
  <c r="H845" i="24"/>
  <c r="I845" i="24"/>
  <c r="K845" i="24"/>
  <c r="J845" i="24"/>
  <c r="N393" i="24"/>
  <c r="O393" i="24"/>
  <c r="I393" i="24"/>
  <c r="H393" i="24"/>
  <c r="G393" i="24"/>
  <c r="J393" i="24"/>
  <c r="K393" i="24"/>
  <c r="L393" i="24"/>
  <c r="M393" i="24"/>
  <c r="M390" i="24"/>
  <c r="L390" i="24"/>
  <c r="K390" i="24"/>
  <c r="J390" i="24"/>
  <c r="O390" i="24"/>
  <c r="G390" i="24"/>
  <c r="H390" i="24"/>
  <c r="I390" i="24"/>
  <c r="N390" i="24"/>
  <c r="M386" i="24"/>
  <c r="N386" i="24"/>
  <c r="O386" i="24"/>
  <c r="G386" i="24"/>
  <c r="H386" i="24"/>
  <c r="L386" i="24"/>
  <c r="K386" i="24"/>
  <c r="J386" i="24"/>
  <c r="I386" i="24"/>
  <c r="K528" i="24"/>
  <c r="O528" i="24"/>
  <c r="L528" i="24"/>
  <c r="G528" i="24"/>
  <c r="H528" i="24"/>
  <c r="I528" i="24"/>
  <c r="J528" i="24"/>
  <c r="M528" i="24"/>
  <c r="N528" i="24"/>
  <c r="H484" i="24"/>
  <c r="I484" i="24"/>
  <c r="J484" i="24"/>
  <c r="K484" i="24"/>
  <c r="L484" i="24"/>
  <c r="M484" i="24"/>
  <c r="G484" i="24"/>
  <c r="O484" i="24"/>
  <c r="N484" i="24"/>
  <c r="N478" i="24"/>
  <c r="O478" i="24"/>
  <c r="M478" i="24"/>
  <c r="L478" i="24"/>
  <c r="K478" i="24"/>
  <c r="J478" i="24"/>
  <c r="I478" i="24"/>
  <c r="H478" i="24"/>
  <c r="G478" i="24"/>
  <c r="K476" i="24"/>
  <c r="L476" i="24"/>
  <c r="M476" i="24"/>
  <c r="N476" i="24"/>
  <c r="O476" i="24"/>
  <c r="G476" i="24"/>
  <c r="H476" i="24"/>
  <c r="I476" i="24"/>
  <c r="J476" i="24"/>
  <c r="O470" i="24"/>
  <c r="N470" i="24"/>
  <c r="M470" i="24"/>
  <c r="L470" i="24"/>
  <c r="K470" i="24"/>
  <c r="J470" i="24"/>
  <c r="I470" i="24"/>
  <c r="G470" i="24"/>
  <c r="H470" i="24"/>
  <c r="K461" i="24"/>
  <c r="O461" i="24"/>
  <c r="M461" i="24"/>
  <c r="J461" i="24"/>
  <c r="G461" i="24"/>
  <c r="I461" i="24"/>
  <c r="N461" i="24"/>
  <c r="L461" i="24"/>
  <c r="H461" i="24"/>
  <c r="H940" i="24"/>
  <c r="K940" i="24"/>
  <c r="M940" i="24"/>
  <c r="N940" i="24"/>
  <c r="O940" i="24"/>
  <c r="L940" i="24"/>
  <c r="J940" i="24"/>
  <c r="G940" i="24"/>
  <c r="I940" i="24"/>
  <c r="O939" i="24"/>
  <c r="M939" i="24"/>
  <c r="N939" i="24"/>
  <c r="J939" i="24"/>
  <c r="L939" i="24"/>
  <c r="K939" i="24"/>
  <c r="H939" i="24"/>
  <c r="G939" i="24"/>
  <c r="I939" i="24"/>
  <c r="H822" i="24"/>
  <c r="J822" i="24"/>
  <c r="K822" i="24"/>
  <c r="L822" i="24"/>
  <c r="M822" i="24"/>
  <c r="O822" i="24"/>
  <c r="N822" i="24"/>
  <c r="I822" i="24"/>
  <c r="G822" i="24"/>
  <c r="G942" i="24"/>
  <c r="L942" i="24"/>
  <c r="H942" i="24"/>
  <c r="I942" i="24"/>
  <c r="J942" i="24"/>
  <c r="K942" i="24"/>
  <c r="M942" i="24"/>
  <c r="N942" i="24"/>
  <c r="O942" i="24"/>
  <c r="G941" i="24"/>
  <c r="N941" i="24"/>
  <c r="M941" i="24"/>
  <c r="L941" i="24"/>
  <c r="J941" i="24"/>
  <c r="O941" i="24"/>
  <c r="I941" i="24"/>
  <c r="H941" i="24"/>
  <c r="K941" i="24"/>
  <c r="K931" i="24"/>
  <c r="M931" i="24"/>
  <c r="L931" i="24"/>
  <c r="J931" i="24"/>
  <c r="I931" i="24"/>
  <c r="H931" i="24"/>
  <c r="G931" i="24"/>
  <c r="O931" i="24"/>
  <c r="N931" i="24"/>
  <c r="J843" i="24"/>
  <c r="M843" i="24"/>
  <c r="N843" i="24"/>
  <c r="O843" i="24"/>
  <c r="H843" i="24"/>
  <c r="G843" i="24"/>
  <c r="I843" i="24"/>
  <c r="K843" i="24"/>
  <c r="L843" i="24"/>
  <c r="G827" i="24"/>
  <c r="H827" i="24"/>
  <c r="I827" i="24"/>
  <c r="J827" i="24"/>
  <c r="K827" i="24"/>
  <c r="L827" i="24"/>
  <c r="M827" i="24"/>
  <c r="O827" i="24"/>
  <c r="N827" i="24"/>
  <c r="H757" i="24"/>
  <c r="J757" i="24"/>
  <c r="M757" i="24"/>
  <c r="O757" i="24"/>
  <c r="G757" i="24"/>
  <c r="I757" i="24"/>
  <c r="K757" i="24"/>
  <c r="N757" i="24"/>
  <c r="L757" i="24"/>
  <c r="M309" i="24"/>
  <c r="N309" i="24"/>
  <c r="O309" i="24"/>
  <c r="L309" i="24"/>
  <c r="G309" i="24"/>
  <c r="H309" i="24"/>
  <c r="I309" i="24"/>
  <c r="J309" i="24"/>
  <c r="K309" i="24"/>
  <c r="I739" i="24"/>
  <c r="K739" i="24"/>
  <c r="N739" i="24"/>
  <c r="O739" i="24"/>
  <c r="G739" i="24"/>
  <c r="M656" i="24"/>
  <c r="G656" i="24"/>
  <c r="H656" i="24"/>
  <c r="I656" i="24"/>
  <c r="J656" i="24"/>
  <c r="K656" i="24"/>
  <c r="L656" i="24"/>
  <c r="N656" i="24"/>
  <c r="O656" i="24"/>
  <c r="M655" i="24"/>
  <c r="G655" i="24"/>
  <c r="H655" i="24"/>
  <c r="I655" i="24"/>
  <c r="J655" i="24"/>
  <c r="K655" i="24"/>
  <c r="L655" i="24"/>
  <c r="O655" i="24"/>
  <c r="N655" i="24"/>
  <c r="G652" i="24"/>
  <c r="H652" i="24"/>
  <c r="M652" i="24"/>
  <c r="O652" i="24"/>
  <c r="N652" i="24"/>
  <c r="L652" i="24"/>
  <c r="K652" i="24"/>
  <c r="J652" i="24"/>
  <c r="I652" i="24"/>
  <c r="N648" i="24"/>
  <c r="M648" i="24"/>
  <c r="L648" i="24"/>
  <c r="K648" i="24"/>
  <c r="J648" i="24"/>
  <c r="I648" i="24"/>
  <c r="H648" i="24"/>
  <c r="G648" i="24"/>
  <c r="O648" i="24"/>
  <c r="M633" i="24"/>
  <c r="L633" i="24"/>
  <c r="G633" i="24"/>
  <c r="H633" i="24"/>
  <c r="I633" i="24"/>
  <c r="J633" i="24"/>
  <c r="K633" i="24"/>
  <c r="O633" i="24"/>
  <c r="N633" i="24"/>
  <c r="K631" i="24"/>
  <c r="L631" i="24"/>
  <c r="N631" i="24"/>
  <c r="J631" i="24"/>
  <c r="I631" i="24"/>
  <c r="H631" i="24"/>
  <c r="O631" i="24"/>
  <c r="G631" i="24"/>
  <c r="M631" i="24"/>
  <c r="O629" i="24"/>
  <c r="N629" i="24"/>
  <c r="M629" i="24"/>
  <c r="L629" i="24"/>
  <c r="K629" i="24"/>
  <c r="J629" i="24"/>
  <c r="I629" i="24"/>
  <c r="H629" i="24"/>
  <c r="G629" i="24"/>
  <c r="H627" i="24"/>
  <c r="G627" i="24"/>
  <c r="I627" i="24"/>
  <c r="J627" i="24"/>
  <c r="K627" i="24"/>
  <c r="L627" i="24"/>
  <c r="M627" i="24"/>
  <c r="N627" i="24"/>
  <c r="O627" i="24"/>
  <c r="J623" i="24"/>
  <c r="K623" i="24"/>
  <c r="M623" i="24"/>
  <c r="L623" i="24"/>
  <c r="N623" i="24"/>
  <c r="O623" i="24"/>
  <c r="G623" i="24"/>
  <c r="H623" i="24"/>
  <c r="I623" i="24"/>
  <c r="O527" i="24"/>
  <c r="N527" i="24"/>
  <c r="M527" i="24"/>
  <c r="L527" i="24"/>
  <c r="K527" i="24"/>
  <c r="I527" i="24"/>
  <c r="H527" i="24"/>
  <c r="J527" i="24"/>
  <c r="G527" i="24"/>
  <c r="H506" i="24"/>
  <c r="G506" i="24"/>
  <c r="O506" i="24"/>
  <c r="N506" i="24"/>
  <c r="M506" i="24"/>
  <c r="L506" i="24"/>
  <c r="I506" i="24"/>
  <c r="K506" i="24"/>
  <c r="J506" i="24"/>
  <c r="I473" i="24"/>
  <c r="G473" i="24"/>
  <c r="M473" i="24"/>
  <c r="J473" i="24"/>
  <c r="H473" i="24"/>
  <c r="K473" i="24"/>
  <c r="L473" i="24"/>
  <c r="N473" i="24"/>
  <c r="O473" i="24"/>
  <c r="H471" i="24"/>
  <c r="O471" i="24"/>
  <c r="N471" i="24"/>
  <c r="I471" i="24"/>
  <c r="G471" i="24"/>
  <c r="J471" i="24"/>
  <c r="K471" i="24"/>
  <c r="L471" i="24"/>
  <c r="M471" i="24"/>
  <c r="N869" i="24"/>
  <c r="O869" i="24"/>
  <c r="H869" i="24"/>
  <c r="M869" i="24"/>
  <c r="L869" i="24"/>
  <c r="K869" i="24"/>
  <c r="J869" i="24"/>
  <c r="I869" i="24"/>
  <c r="G869" i="24"/>
  <c r="K232" i="24"/>
  <c r="M232" i="24"/>
  <c r="L232" i="24"/>
  <c r="G232" i="24"/>
  <c r="H232" i="24"/>
  <c r="N232" i="24"/>
  <c r="O232" i="24"/>
  <c r="I232" i="24"/>
  <c r="J232" i="24"/>
  <c r="O475" i="24"/>
  <c r="N475" i="24"/>
  <c r="J475" i="24"/>
  <c r="L475" i="24"/>
  <c r="K475" i="24"/>
  <c r="M475" i="24"/>
  <c r="G475" i="24"/>
  <c r="H475" i="24"/>
  <c r="I475" i="24"/>
  <c r="M469" i="24"/>
  <c r="N469" i="24"/>
  <c r="G469" i="24"/>
  <c r="H469" i="24"/>
  <c r="I469" i="24"/>
  <c r="J469" i="24"/>
  <c r="K469" i="24"/>
  <c r="L469" i="24"/>
  <c r="O469" i="24"/>
  <c r="N455" i="24"/>
  <c r="H455" i="24"/>
  <c r="I455" i="24"/>
  <c r="K455" i="24"/>
  <c r="M455" i="24"/>
  <c r="O455" i="24"/>
  <c r="G455" i="24"/>
  <c r="J455" i="24"/>
  <c r="L455" i="24"/>
  <c r="L451" i="24"/>
  <c r="N451" i="24"/>
  <c r="H451" i="24"/>
  <c r="I451" i="24"/>
  <c r="K451" i="24"/>
  <c r="M451" i="24"/>
  <c r="O451" i="24"/>
  <c r="G451" i="24"/>
  <c r="J451" i="24"/>
  <c r="N449" i="24"/>
  <c r="H449" i="24"/>
  <c r="M449" i="24"/>
  <c r="O449" i="24"/>
  <c r="G449" i="24"/>
  <c r="I449" i="24"/>
  <c r="K449" i="24"/>
  <c r="L449" i="24"/>
  <c r="J449" i="24"/>
  <c r="H514" i="24"/>
  <c r="G514" i="24"/>
  <c r="L514" i="24"/>
  <c r="O514" i="24"/>
  <c r="N514" i="24"/>
  <c r="M514" i="24"/>
  <c r="K514" i="24"/>
  <c r="J514" i="24"/>
  <c r="I514" i="24"/>
  <c r="J482" i="24"/>
  <c r="I482" i="24"/>
  <c r="N482" i="24"/>
  <c r="M482" i="24"/>
  <c r="L482" i="24"/>
  <c r="K482" i="24"/>
  <c r="G482" i="24"/>
  <c r="H482" i="24"/>
  <c r="O482" i="24"/>
  <c r="O736" i="24"/>
  <c r="M736" i="24"/>
  <c r="J736" i="24"/>
  <c r="H736" i="24"/>
  <c r="G736" i="24"/>
  <c r="I736" i="24"/>
  <c r="K736" i="24"/>
  <c r="N736" i="24"/>
  <c r="L736" i="24"/>
  <c r="K654" i="24"/>
  <c r="J654" i="24"/>
  <c r="I654" i="24"/>
  <c r="G654" i="24"/>
  <c r="O654" i="24"/>
  <c r="H654" i="24"/>
  <c r="N654" i="24"/>
  <c r="M654" i="24"/>
  <c r="L654" i="24"/>
  <c r="K651" i="24"/>
  <c r="M651" i="24"/>
  <c r="N651" i="24"/>
  <c r="O651" i="24"/>
  <c r="L651" i="24"/>
  <c r="G651" i="24"/>
  <c r="H651" i="24"/>
  <c r="I651" i="24"/>
  <c r="J651" i="24"/>
  <c r="H649" i="24"/>
  <c r="J649" i="24"/>
  <c r="K649" i="24"/>
  <c r="L649" i="24"/>
  <c r="M649" i="24"/>
  <c r="N649" i="24"/>
  <c r="O649" i="24"/>
  <c r="G649" i="24"/>
  <c r="I649" i="24"/>
  <c r="L632" i="24"/>
  <c r="N632" i="24"/>
  <c r="M632" i="24"/>
  <c r="K632" i="24"/>
  <c r="J632" i="24"/>
  <c r="I632" i="24"/>
  <c r="H632" i="24"/>
  <c r="G632" i="24"/>
  <c r="O632" i="24"/>
  <c r="O626" i="24"/>
  <c r="N626" i="24"/>
  <c r="I626" i="24"/>
  <c r="J626" i="24"/>
  <c r="K626" i="24"/>
  <c r="H626" i="24"/>
  <c r="L626" i="24"/>
  <c r="M626" i="24"/>
  <c r="G626" i="24"/>
  <c r="M624" i="24"/>
  <c r="O624" i="24"/>
  <c r="N624" i="24"/>
  <c r="L624" i="24"/>
  <c r="K624" i="24"/>
  <c r="J624" i="24"/>
  <c r="I624" i="24"/>
  <c r="H624" i="24"/>
  <c r="G624" i="24"/>
  <c r="O621" i="24"/>
  <c r="G621" i="24"/>
  <c r="H621" i="24"/>
  <c r="I621" i="24"/>
  <c r="J621" i="24"/>
  <c r="L621" i="24"/>
  <c r="M621" i="24"/>
  <c r="N621" i="24"/>
  <c r="K621" i="24"/>
  <c r="G234" i="24"/>
  <c r="H234" i="24"/>
  <c r="I234" i="24"/>
  <c r="J234" i="24"/>
  <c r="K234" i="24"/>
  <c r="L234" i="24"/>
  <c r="M234" i="24"/>
  <c r="N234" i="24"/>
  <c r="O234" i="24"/>
  <c r="K233" i="24"/>
  <c r="L233" i="24"/>
  <c r="M233" i="24"/>
  <c r="N233" i="24"/>
  <c r="O233" i="24"/>
  <c r="G233" i="24"/>
  <c r="H233" i="24"/>
  <c r="I233" i="24"/>
  <c r="J233" i="24"/>
  <c r="G526" i="24"/>
  <c r="H526" i="24"/>
  <c r="O526" i="24"/>
  <c r="N526" i="24"/>
  <c r="M526" i="24"/>
  <c r="I526" i="24"/>
  <c r="J526" i="24"/>
  <c r="K526" i="24"/>
  <c r="L526" i="24"/>
  <c r="O524" i="24"/>
  <c r="M524" i="24"/>
  <c r="N524" i="24"/>
  <c r="G524" i="24"/>
  <c r="I524" i="24"/>
  <c r="H524" i="24"/>
  <c r="J524" i="24"/>
  <c r="K524" i="24"/>
  <c r="L524" i="24"/>
  <c r="I504" i="24"/>
  <c r="H504" i="24"/>
  <c r="G504" i="24"/>
  <c r="J504" i="24"/>
  <c r="M504" i="24"/>
  <c r="O504" i="24"/>
  <c r="N504" i="24"/>
  <c r="L504" i="24"/>
  <c r="K504" i="24"/>
  <c r="L530" i="24"/>
  <c r="M530" i="24"/>
  <c r="N530" i="24"/>
  <c r="O530" i="24"/>
  <c r="H530" i="24"/>
  <c r="G530" i="24"/>
  <c r="I530" i="24"/>
  <c r="J530" i="24"/>
  <c r="K530" i="24"/>
  <c r="N450" i="24"/>
  <c r="K450" i="24"/>
  <c r="O450" i="24"/>
  <c r="I450" i="24"/>
  <c r="H450" i="24"/>
  <c r="J450" i="24"/>
  <c r="G450" i="24"/>
  <c r="L450" i="24"/>
  <c r="M450" i="24"/>
  <c r="H481" i="24"/>
  <c r="I481" i="24"/>
  <c r="J481" i="24"/>
  <c r="K481" i="24"/>
  <c r="M481" i="24"/>
  <c r="N481" i="24"/>
  <c r="O481" i="24"/>
  <c r="L481" i="24"/>
  <c r="G481" i="24"/>
  <c r="G480" i="24"/>
  <c r="O480" i="24"/>
  <c r="N480" i="24"/>
  <c r="M480" i="24"/>
  <c r="L480" i="24"/>
  <c r="K480" i="24"/>
  <c r="J480" i="24"/>
  <c r="I480" i="24"/>
  <c r="H480" i="24"/>
  <c r="O474" i="24"/>
  <c r="L474" i="24"/>
  <c r="N474" i="24"/>
  <c r="G474" i="24"/>
  <c r="H474" i="24"/>
  <c r="I474" i="24"/>
  <c r="J474" i="24"/>
  <c r="K474" i="24"/>
  <c r="M474" i="24"/>
  <c r="O468" i="24"/>
  <c r="N468" i="24"/>
  <c r="M468" i="24"/>
  <c r="L468" i="24"/>
  <c r="K468" i="24"/>
  <c r="G468" i="24"/>
  <c r="H468" i="24"/>
  <c r="I468" i="24"/>
  <c r="J468" i="24"/>
  <c r="O485" i="24"/>
  <c r="N485" i="24"/>
  <c r="M485" i="24"/>
  <c r="L485" i="24"/>
  <c r="K485" i="24"/>
  <c r="J483" i="24"/>
  <c r="K483" i="24"/>
  <c r="L483" i="24"/>
  <c r="M483" i="24"/>
  <c r="N483" i="24"/>
  <c r="O483" i="24"/>
  <c r="I483" i="24"/>
  <c r="G483" i="24"/>
  <c r="H483" i="24"/>
  <c r="N477" i="24"/>
  <c r="M477" i="24"/>
  <c r="L477" i="24"/>
  <c r="K477" i="24"/>
  <c r="J477" i="24"/>
  <c r="I477" i="24"/>
  <c r="G477" i="24"/>
  <c r="H477" i="24"/>
  <c r="O477" i="24"/>
  <c r="O650" i="24"/>
  <c r="N650" i="24"/>
  <c r="M479" i="24"/>
  <c r="H479" i="24"/>
  <c r="I479" i="24"/>
  <c r="J479" i="24"/>
  <c r="K479" i="24"/>
  <c r="L479" i="24"/>
  <c r="N479" i="24"/>
  <c r="O479" i="24"/>
  <c r="G479" i="24"/>
  <c r="H472" i="24"/>
  <c r="I472" i="24"/>
  <c r="G472" i="24"/>
  <c r="M472" i="24"/>
  <c r="J472" i="24"/>
  <c r="K472" i="24"/>
  <c r="L472" i="24"/>
  <c r="N472" i="24"/>
  <c r="O472" i="24"/>
  <c r="H456" i="24"/>
  <c r="O456" i="24"/>
  <c r="J456" i="24"/>
  <c r="N456" i="24"/>
  <c r="G456" i="24"/>
  <c r="I456" i="24"/>
  <c r="K456" i="24"/>
  <c r="M456" i="24"/>
  <c r="L456" i="24"/>
  <c r="H452" i="24"/>
  <c r="G452" i="24"/>
  <c r="O452" i="24"/>
  <c r="M452" i="24"/>
  <c r="K452" i="24"/>
  <c r="I452" i="24"/>
  <c r="J452" i="24"/>
  <c r="L452" i="24"/>
  <c r="N452" i="24"/>
  <c r="I310" i="24"/>
  <c r="O310" i="24"/>
  <c r="N310" i="24"/>
  <c r="L310" i="24"/>
  <c r="G310" i="24"/>
  <c r="M310" i="24"/>
  <c r="H310" i="24"/>
  <c r="K310" i="24"/>
  <c r="J310" i="24"/>
  <c r="H307" i="24"/>
  <c r="G307" i="24"/>
  <c r="O307" i="24"/>
  <c r="N307" i="24"/>
  <c r="M307" i="24"/>
  <c r="L307" i="24"/>
  <c r="K307" i="24"/>
  <c r="J307" i="24"/>
  <c r="I307" i="24"/>
  <c r="N738" i="24"/>
  <c r="O738" i="24"/>
  <c r="G738" i="24"/>
  <c r="J738" i="24"/>
  <c r="M738" i="24"/>
  <c r="H738" i="24"/>
  <c r="L738" i="24"/>
  <c r="K738" i="24"/>
  <c r="I738" i="24"/>
  <c r="H861" i="24"/>
  <c r="K861" i="24"/>
  <c r="I861" i="24"/>
  <c r="J861" i="24"/>
  <c r="G861" i="24"/>
  <c r="N861" i="24"/>
  <c r="O861" i="24"/>
  <c r="L861" i="24"/>
  <c r="M861" i="24"/>
  <c r="K868" i="24"/>
  <c r="J868" i="24"/>
  <c r="I868" i="24"/>
  <c r="H868" i="24"/>
  <c r="L868" i="24"/>
  <c r="N868" i="24"/>
  <c r="G868" i="24"/>
  <c r="O868" i="24"/>
  <c r="M868" i="24"/>
  <c r="G865" i="24"/>
  <c r="H865" i="24"/>
  <c r="I865" i="24"/>
  <c r="O865" i="24"/>
  <c r="N865" i="24"/>
  <c r="L865" i="24"/>
  <c r="K865" i="24"/>
  <c r="J865" i="24"/>
  <c r="M865" i="24"/>
  <c r="O870" i="24"/>
  <c r="N870" i="24"/>
  <c r="M870" i="24"/>
  <c r="L870" i="24"/>
  <c r="J870" i="24"/>
  <c r="K870" i="24"/>
  <c r="I867" i="24"/>
  <c r="H867" i="24"/>
  <c r="G867" i="24"/>
  <c r="O867" i="24"/>
  <c r="M867" i="24"/>
  <c r="N867" i="24"/>
  <c r="L867" i="24"/>
  <c r="K867" i="24"/>
  <c r="J867" i="24"/>
  <c r="J864" i="24"/>
  <c r="N864" i="24"/>
  <c r="K864" i="24"/>
  <c r="I864" i="24"/>
  <c r="H864" i="24"/>
  <c r="G864" i="24"/>
  <c r="L864" i="24"/>
  <c r="M864" i="24"/>
  <c r="O864" i="24"/>
  <c r="J464" i="24"/>
  <c r="L464" i="24"/>
  <c r="M464" i="24"/>
  <c r="O464" i="24"/>
  <c r="G464" i="24"/>
  <c r="I464" i="24"/>
  <c r="H464" i="24"/>
  <c r="N464" i="24"/>
  <c r="K464" i="24"/>
  <c r="H647" i="24"/>
  <c r="G647" i="24"/>
  <c r="I647" i="24"/>
  <c r="K346" i="24"/>
  <c r="J346" i="24"/>
  <c r="I346" i="24"/>
  <c r="H346" i="24"/>
  <c r="G346" i="24"/>
  <c r="M346" i="24"/>
  <c r="L346" i="24"/>
  <c r="N346" i="24"/>
  <c r="O346" i="24"/>
  <c r="K344" i="24"/>
  <c r="M344" i="24"/>
  <c r="G344" i="24"/>
  <c r="J344" i="24"/>
  <c r="N344" i="24"/>
  <c r="O344" i="24"/>
  <c r="I344" i="24"/>
  <c r="H344" i="24"/>
  <c r="L344" i="24"/>
  <c r="I337" i="24"/>
  <c r="H337" i="24"/>
  <c r="G337" i="24"/>
  <c r="J337" i="24"/>
  <c r="N337" i="24"/>
  <c r="M337" i="24"/>
  <c r="L337" i="24"/>
  <c r="K337" i="24"/>
  <c r="O337" i="24"/>
  <c r="G335" i="24"/>
  <c r="H335" i="24"/>
  <c r="I335" i="24"/>
  <c r="J335" i="24"/>
  <c r="K335" i="24"/>
  <c r="L335" i="24"/>
  <c r="M335" i="24"/>
  <c r="N335" i="24"/>
  <c r="O335" i="24"/>
  <c r="G334" i="24"/>
  <c r="H334" i="24"/>
  <c r="N590" i="24"/>
  <c r="O590" i="24"/>
  <c r="G590" i="24"/>
  <c r="H590" i="24"/>
  <c r="I590" i="24"/>
  <c r="J590" i="24"/>
  <c r="K590" i="24"/>
  <c r="L590" i="24"/>
  <c r="M590" i="24"/>
  <c r="O986" i="24"/>
  <c r="H986" i="24"/>
  <c r="G986" i="24"/>
  <c r="I986" i="24"/>
  <c r="J986" i="24"/>
  <c r="K986" i="24"/>
  <c r="L986" i="24"/>
  <c r="M986" i="24"/>
  <c r="N986" i="24"/>
  <c r="O308" i="24"/>
  <c r="N308" i="24"/>
  <c r="H308" i="24"/>
  <c r="K308" i="24"/>
  <c r="L308" i="24"/>
  <c r="G308" i="24"/>
  <c r="M308" i="24"/>
  <c r="I308" i="24"/>
  <c r="J308" i="24"/>
  <c r="O610" i="24"/>
  <c r="H610" i="24"/>
  <c r="I610" i="24"/>
  <c r="J610" i="24"/>
  <c r="G610" i="24"/>
  <c r="K610" i="24"/>
  <c r="L610" i="24"/>
  <c r="M610" i="24"/>
  <c r="N610" i="24"/>
  <c r="K580" i="24"/>
  <c r="L580" i="24"/>
  <c r="N580" i="24"/>
  <c r="M580" i="24"/>
  <c r="J580" i="24"/>
  <c r="I580" i="24"/>
  <c r="H580" i="24"/>
  <c r="G580" i="24"/>
  <c r="O580" i="24"/>
  <c r="G576" i="24"/>
  <c r="H576" i="24"/>
  <c r="I576" i="24"/>
  <c r="N576" i="24"/>
  <c r="L576" i="24"/>
  <c r="M576" i="24"/>
  <c r="O576" i="24"/>
  <c r="K576" i="24"/>
  <c r="J576" i="24"/>
  <c r="L574" i="24"/>
  <c r="K574" i="24"/>
  <c r="J574" i="24"/>
  <c r="I574" i="24"/>
  <c r="H574" i="24"/>
  <c r="G574" i="24"/>
  <c r="N574" i="24"/>
  <c r="M574" i="24"/>
  <c r="O574" i="24"/>
  <c r="L570" i="24"/>
  <c r="O570" i="24"/>
  <c r="G570" i="24"/>
  <c r="J570" i="24"/>
  <c r="K570" i="24"/>
  <c r="M570" i="24"/>
  <c r="N570" i="24"/>
  <c r="I570" i="24"/>
  <c r="H570" i="24"/>
  <c r="N557" i="24"/>
  <c r="M557" i="24"/>
  <c r="L557" i="24"/>
  <c r="J557" i="24"/>
  <c r="I557" i="24"/>
  <c r="K557" i="24"/>
  <c r="O557" i="24"/>
  <c r="G557" i="24"/>
  <c r="H557" i="24"/>
  <c r="L531" i="24"/>
  <c r="J531" i="24"/>
  <c r="I531" i="24"/>
  <c r="H531" i="24"/>
  <c r="G531" i="24"/>
  <c r="K531" i="24"/>
  <c r="O531" i="24"/>
  <c r="N531" i="24"/>
  <c r="M531" i="24"/>
  <c r="G529" i="24"/>
  <c r="O529" i="24"/>
  <c r="I529" i="24"/>
  <c r="H529" i="24"/>
  <c r="N529" i="24"/>
  <c r="M529" i="24"/>
  <c r="L529" i="24"/>
  <c r="J529" i="24"/>
  <c r="K529" i="24"/>
  <c r="G909" i="24"/>
  <c r="O909" i="24"/>
  <c r="N909" i="24"/>
  <c r="M909" i="24"/>
  <c r="K909" i="24"/>
  <c r="H909" i="24"/>
  <c r="J909" i="24"/>
  <c r="I909" i="24"/>
  <c r="L909" i="24"/>
  <c r="L907" i="24"/>
  <c r="M907" i="24"/>
  <c r="O907" i="24"/>
  <c r="G907" i="24"/>
  <c r="N907" i="24"/>
  <c r="H907" i="24"/>
  <c r="I907" i="24"/>
  <c r="J907" i="24"/>
  <c r="K907" i="24"/>
  <c r="L851" i="24"/>
  <c r="O851" i="24"/>
  <c r="N851" i="24"/>
  <c r="H851" i="24"/>
  <c r="G851" i="24"/>
  <c r="I851" i="24"/>
  <c r="J851" i="24"/>
  <c r="K851" i="24"/>
  <c r="M851" i="24"/>
  <c r="L908" i="24"/>
  <c r="K908" i="24"/>
  <c r="O908" i="24"/>
  <c r="J908" i="24"/>
  <c r="I908" i="24"/>
  <c r="H908" i="24"/>
  <c r="M908" i="24"/>
  <c r="N908" i="24"/>
  <c r="G908" i="24"/>
  <c r="J899" i="24"/>
  <c r="I899" i="24"/>
  <c r="H899" i="24"/>
  <c r="G899" i="24"/>
  <c r="L899" i="24"/>
  <c r="N899" i="24"/>
  <c r="M899" i="24"/>
  <c r="K899" i="24"/>
  <c r="O899" i="24"/>
  <c r="L586" i="24"/>
  <c r="M586" i="24"/>
  <c r="N586" i="24"/>
  <c r="O586" i="24"/>
  <c r="K586" i="24"/>
  <c r="G586" i="24"/>
  <c r="H586" i="24"/>
  <c r="I586" i="24"/>
  <c r="J586" i="24"/>
  <c r="O585" i="24"/>
  <c r="M585" i="24"/>
  <c r="G585" i="24"/>
  <c r="H585" i="24"/>
  <c r="I585" i="24"/>
  <c r="J585" i="24"/>
  <c r="K585" i="24"/>
  <c r="L585" i="24"/>
  <c r="N585" i="24"/>
  <c r="I578" i="24"/>
  <c r="J578" i="24"/>
  <c r="K578" i="24"/>
  <c r="M578" i="24"/>
  <c r="N578" i="24"/>
  <c r="L578" i="24"/>
  <c r="G578" i="24"/>
  <c r="H578" i="24"/>
  <c r="O578" i="24"/>
  <c r="K577" i="24"/>
  <c r="L577" i="24"/>
  <c r="M577" i="24"/>
  <c r="N577" i="24"/>
  <c r="O577" i="24"/>
  <c r="G577" i="24"/>
  <c r="H577" i="24"/>
  <c r="I577" i="24"/>
  <c r="J577" i="24"/>
  <c r="G569" i="24"/>
  <c r="I569" i="24"/>
  <c r="H569" i="24"/>
  <c r="J569" i="24"/>
  <c r="K569" i="24"/>
  <c r="L569" i="24"/>
  <c r="N569" i="24"/>
  <c r="O569" i="24"/>
  <c r="M569" i="24"/>
  <c r="N567" i="24"/>
  <c r="M567" i="24"/>
  <c r="L567" i="24"/>
  <c r="K567" i="24"/>
  <c r="J567" i="24"/>
  <c r="O567" i="24"/>
  <c r="H567" i="24"/>
  <c r="G567" i="24"/>
  <c r="I567" i="24"/>
  <c r="I566" i="24"/>
  <c r="J566" i="24"/>
  <c r="N566" i="24"/>
  <c r="G566" i="24"/>
  <c r="O566" i="24"/>
  <c r="L566" i="24"/>
  <c r="K566" i="24"/>
  <c r="H566" i="24"/>
  <c r="M566" i="24"/>
  <c r="G608" i="24"/>
  <c r="K608" i="24"/>
  <c r="N608" i="24"/>
  <c r="O608" i="24"/>
  <c r="M608" i="24"/>
  <c r="L608" i="24"/>
  <c r="H608" i="24"/>
  <c r="J608" i="24"/>
  <c r="I608" i="24"/>
  <c r="J607" i="24"/>
  <c r="I607" i="24"/>
  <c r="G607" i="24"/>
  <c r="H607" i="24"/>
  <c r="K607" i="24"/>
  <c r="M607" i="24"/>
  <c r="N607" i="24"/>
  <c r="O607" i="24"/>
  <c r="L607" i="24"/>
  <c r="G588" i="24"/>
  <c r="M588" i="24"/>
  <c r="L588" i="24"/>
  <c r="K588" i="24"/>
  <c r="J588" i="24"/>
  <c r="I588" i="24"/>
  <c r="H588" i="24"/>
  <c r="O588" i="24"/>
  <c r="N588" i="24"/>
  <c r="N587" i="24"/>
  <c r="M587" i="24"/>
  <c r="L587" i="24"/>
  <c r="K587" i="24"/>
  <c r="J587" i="24"/>
  <c r="I587" i="24"/>
  <c r="H587" i="24"/>
  <c r="G587" i="24"/>
  <c r="O587" i="24"/>
  <c r="O583" i="24"/>
  <c r="J583" i="24"/>
  <c r="I583" i="24"/>
  <c r="K583" i="24"/>
  <c r="H583" i="24"/>
  <c r="N583" i="24"/>
  <c r="G583" i="24"/>
  <c r="M583" i="24"/>
  <c r="L583" i="24"/>
  <c r="I581" i="24"/>
  <c r="J581" i="24"/>
  <c r="G581" i="24"/>
  <c r="H581" i="24"/>
  <c r="O581" i="24"/>
  <c r="N581" i="24"/>
  <c r="M581" i="24"/>
  <c r="L581" i="24"/>
  <c r="K581" i="24"/>
  <c r="L571" i="24"/>
  <c r="J571" i="24"/>
  <c r="I571" i="24"/>
  <c r="M571" i="24"/>
  <c r="N571" i="24"/>
  <c r="O571" i="24"/>
  <c r="K571" i="24"/>
  <c r="H571" i="24"/>
  <c r="G571" i="24"/>
  <c r="O553" i="24"/>
  <c r="N553" i="24"/>
  <c r="M553" i="24"/>
  <c r="L553" i="24"/>
  <c r="K553" i="24"/>
  <c r="J553" i="24"/>
  <c r="G553" i="24"/>
  <c r="I553" i="24"/>
  <c r="H553" i="24"/>
  <c r="L444" i="24"/>
  <c r="N444" i="24"/>
  <c r="K444" i="24"/>
  <c r="G444" i="24"/>
  <c r="O444" i="24"/>
  <c r="M444" i="24"/>
  <c r="H444" i="24"/>
  <c r="I444" i="24"/>
  <c r="J444" i="24"/>
  <c r="J443" i="24"/>
  <c r="H443" i="24"/>
  <c r="K443" i="24"/>
  <c r="O603" i="24"/>
  <c r="H603" i="24"/>
  <c r="I603" i="24"/>
  <c r="J603" i="24"/>
  <c r="K603" i="24"/>
  <c r="L603" i="24"/>
  <c r="M603" i="24"/>
  <c r="N603" i="24"/>
  <c r="G603" i="24"/>
  <c r="L573" i="24"/>
  <c r="N573" i="24"/>
  <c r="O573" i="24"/>
  <c r="M573" i="24"/>
  <c r="G573" i="24"/>
  <c r="J573" i="24"/>
  <c r="H573" i="24"/>
  <c r="I573" i="24"/>
  <c r="K573" i="24"/>
  <c r="H565" i="24"/>
  <c r="G565" i="24"/>
  <c r="K565" i="24"/>
  <c r="O565" i="24"/>
  <c r="N565" i="24"/>
  <c r="L565" i="24"/>
  <c r="J565" i="24"/>
  <c r="I565" i="24"/>
  <c r="M565" i="24"/>
  <c r="O560" i="24"/>
  <c r="N560" i="24"/>
  <c r="L560" i="24"/>
  <c r="M560" i="24"/>
  <c r="H560" i="24"/>
  <c r="G560" i="24"/>
  <c r="J560" i="24"/>
  <c r="K560" i="24"/>
  <c r="I560" i="24"/>
  <c r="J559" i="24"/>
  <c r="I559" i="24"/>
  <c r="H559" i="24"/>
  <c r="G559" i="24"/>
  <c r="K559" i="24"/>
  <c r="M559" i="24"/>
  <c r="L559" i="24"/>
  <c r="J551" i="24"/>
  <c r="I551" i="24"/>
  <c r="H551" i="24"/>
  <c r="G551" i="24"/>
  <c r="K551" i="24"/>
  <c r="O551" i="24"/>
  <c r="N551" i="24"/>
  <c r="M551" i="24"/>
  <c r="L551" i="24"/>
  <c r="J550" i="24"/>
  <c r="H550" i="24"/>
  <c r="G550" i="24"/>
  <c r="K550" i="24"/>
  <c r="I550" i="24"/>
  <c r="L550" i="24"/>
  <c r="M550" i="24"/>
  <c r="N550" i="24"/>
  <c r="O550" i="24"/>
  <c r="O563" i="24"/>
  <c r="M563" i="24"/>
  <c r="N563" i="24"/>
  <c r="L563" i="24"/>
  <c r="G563" i="24"/>
  <c r="K563" i="24"/>
  <c r="J563" i="24"/>
  <c r="I563" i="24"/>
  <c r="H563" i="24"/>
  <c r="N609" i="24"/>
  <c r="H609" i="24"/>
  <c r="I609" i="24"/>
  <c r="J609" i="24"/>
  <c r="K609" i="24"/>
  <c r="G609" i="24"/>
  <c r="L609" i="24"/>
  <c r="M609" i="24"/>
  <c r="O609" i="24"/>
  <c r="J584" i="24"/>
  <c r="L584" i="24"/>
  <c r="G584" i="24"/>
  <c r="O584" i="24"/>
  <c r="N584" i="24"/>
  <c r="M584" i="24"/>
  <c r="H584" i="24"/>
  <c r="I584" i="24"/>
  <c r="K584" i="24"/>
  <c r="J562" i="24"/>
  <c r="K562" i="24"/>
  <c r="G562" i="24"/>
  <c r="H562" i="24"/>
  <c r="I562" i="24"/>
  <c r="L562" i="24"/>
  <c r="N562" i="24"/>
  <c r="O562" i="24"/>
  <c r="M562" i="24"/>
  <c r="J575" i="24"/>
  <c r="L575" i="24"/>
  <c r="M575" i="24"/>
  <c r="N575" i="24"/>
  <c r="O575" i="24"/>
  <c r="K575" i="24"/>
  <c r="G575" i="24"/>
  <c r="H575" i="24"/>
  <c r="I575" i="24"/>
  <c r="G783" i="24"/>
  <c r="J783" i="24"/>
  <c r="O783" i="24"/>
  <c r="N783" i="24"/>
  <c r="M783" i="24"/>
  <c r="L783" i="24"/>
  <c r="K783" i="24"/>
  <c r="I783" i="24"/>
  <c r="H783" i="24"/>
  <c r="H605" i="24"/>
  <c r="M605" i="24"/>
  <c r="L605" i="24"/>
  <c r="K605" i="24"/>
  <c r="I605" i="24"/>
  <c r="J605" i="24"/>
  <c r="N605" i="24"/>
  <c r="G605" i="24"/>
  <c r="O605" i="24"/>
  <c r="H604" i="24"/>
  <c r="I604" i="24"/>
  <c r="J604" i="24"/>
  <c r="K604" i="24"/>
  <c r="L604" i="24"/>
  <c r="M604" i="24"/>
  <c r="G604" i="24"/>
  <c r="O604" i="24"/>
  <c r="N604" i="24"/>
  <c r="N579" i="24"/>
  <c r="O579" i="24"/>
  <c r="G579" i="24"/>
  <c r="H579" i="24"/>
  <c r="I579" i="24"/>
  <c r="J579" i="24"/>
  <c r="K579" i="24"/>
  <c r="L579" i="24"/>
  <c r="M579" i="24"/>
  <c r="G564" i="24"/>
  <c r="O564" i="24"/>
  <c r="H564" i="24"/>
  <c r="I564" i="24"/>
  <c r="J564" i="24"/>
  <c r="K564" i="24"/>
  <c r="L564" i="24"/>
  <c r="M564" i="24"/>
  <c r="N564" i="24"/>
  <c r="I974" i="24"/>
  <c r="H974" i="24"/>
  <c r="O974" i="24"/>
  <c r="G974" i="24"/>
  <c r="K974" i="24"/>
  <c r="L974" i="24"/>
  <c r="M974" i="24"/>
  <c r="N974" i="24"/>
  <c r="J974" i="24"/>
  <c r="M973" i="24"/>
  <c r="H973" i="24"/>
  <c r="I973" i="24"/>
  <c r="G973" i="24"/>
  <c r="J973" i="24"/>
  <c r="K973" i="24"/>
  <c r="L973" i="24"/>
  <c r="N973" i="24"/>
  <c r="O973" i="24"/>
  <c r="I733" i="24"/>
  <c r="J733" i="24"/>
  <c r="K733" i="24"/>
  <c r="L733" i="24"/>
  <c r="M733" i="24"/>
  <c r="N733" i="24"/>
  <c r="O733" i="24"/>
  <c r="G733" i="24"/>
  <c r="H733" i="24"/>
  <c r="J279" i="24"/>
  <c r="I279" i="24"/>
  <c r="H279" i="24"/>
  <c r="G279" i="24"/>
  <c r="L279" i="24"/>
  <c r="O279" i="24"/>
  <c r="N279" i="24"/>
  <c r="M279" i="24"/>
  <c r="K279" i="24"/>
  <c r="H274" i="24"/>
  <c r="G274" i="24"/>
  <c r="I274" i="24"/>
  <c r="J274" i="24"/>
  <c r="K274" i="24"/>
  <c r="L274" i="24"/>
  <c r="M274" i="24"/>
  <c r="N274" i="24"/>
  <c r="O274" i="24"/>
  <c r="O273" i="24"/>
  <c r="N273" i="24"/>
  <c r="H273" i="24"/>
  <c r="G273" i="24"/>
  <c r="I273" i="24"/>
  <c r="J273" i="24"/>
  <c r="K273" i="24"/>
  <c r="L273" i="24"/>
  <c r="M273" i="24"/>
  <c r="K271" i="24"/>
  <c r="G271" i="24"/>
  <c r="H271" i="24"/>
  <c r="I271" i="24"/>
  <c r="N271" i="24"/>
  <c r="J271" i="24"/>
  <c r="L271" i="24"/>
  <c r="M271" i="24"/>
  <c r="O271" i="24"/>
  <c r="G924" i="24"/>
  <c r="L924" i="24"/>
  <c r="K924" i="24"/>
  <c r="J924" i="24"/>
  <c r="I924" i="24"/>
  <c r="O924" i="24"/>
  <c r="H924" i="24"/>
  <c r="M924" i="24"/>
  <c r="N924" i="24"/>
  <c r="G742" i="24"/>
  <c r="N742" i="24"/>
  <c r="L742" i="24"/>
  <c r="I742" i="24"/>
  <c r="O742" i="24"/>
  <c r="M742" i="24"/>
  <c r="K742" i="24"/>
  <c r="J742" i="24"/>
  <c r="H742" i="24"/>
  <c r="N272" i="24"/>
  <c r="G272" i="24"/>
  <c r="M272" i="24"/>
  <c r="L272" i="24"/>
  <c r="K272" i="24"/>
  <c r="I272" i="24"/>
  <c r="H272" i="24"/>
  <c r="O272" i="24"/>
  <c r="J272" i="24"/>
  <c r="K280" i="24"/>
  <c r="L280" i="24"/>
  <c r="M280" i="24"/>
  <c r="N280" i="24"/>
  <c r="O280" i="24"/>
  <c r="H280" i="24"/>
  <c r="G280" i="24"/>
  <c r="I280" i="24"/>
  <c r="J280" i="24"/>
  <c r="J972" i="24"/>
  <c r="G972" i="24"/>
  <c r="H972" i="24"/>
  <c r="I972" i="24"/>
  <c r="K972" i="24"/>
  <c r="L972" i="24"/>
  <c r="M972" i="24"/>
  <c r="N972" i="24"/>
  <c r="O972" i="24"/>
  <c r="K898" i="24"/>
  <c r="J898" i="24"/>
  <c r="H898" i="24"/>
  <c r="G898" i="24"/>
  <c r="O898" i="24"/>
  <c r="N898" i="24"/>
  <c r="I898" i="24"/>
  <c r="M898" i="24"/>
  <c r="L898" i="24"/>
  <c r="L848" i="24"/>
  <c r="M848" i="24"/>
  <c r="N848" i="24"/>
  <c r="O848" i="24"/>
  <c r="G848" i="24"/>
  <c r="H848" i="24"/>
  <c r="I848" i="24"/>
  <c r="J848" i="24"/>
  <c r="K848" i="24"/>
  <c r="H904" i="24"/>
  <c r="J904" i="24"/>
  <c r="G904" i="24"/>
  <c r="K904" i="24"/>
  <c r="L904" i="24"/>
  <c r="M904" i="24"/>
  <c r="N904" i="24"/>
  <c r="O904" i="24"/>
  <c r="I904" i="24"/>
  <c r="H850" i="24"/>
  <c r="K850" i="24"/>
  <c r="I850" i="24"/>
  <c r="G850" i="24"/>
  <c r="O850" i="24"/>
  <c r="N850" i="24"/>
  <c r="M850" i="24"/>
  <c r="L850" i="24"/>
  <c r="J850" i="24"/>
  <c r="K750" i="24"/>
  <c r="L750" i="24"/>
  <c r="N750" i="24"/>
  <c r="J750" i="24"/>
  <c r="H750" i="24"/>
  <c r="M750" i="24"/>
  <c r="O750" i="24"/>
  <c r="G750" i="24"/>
  <c r="I750" i="24"/>
  <c r="L278" i="24"/>
  <c r="O278" i="24"/>
  <c r="G278" i="24"/>
  <c r="N278" i="24"/>
  <c r="H278" i="24"/>
  <c r="I278" i="24"/>
  <c r="J278" i="24"/>
  <c r="K278" i="24"/>
  <c r="M278" i="24"/>
  <c r="G277" i="24"/>
  <c r="H277" i="24"/>
  <c r="I277" i="24"/>
  <c r="O277" i="24"/>
  <c r="J277" i="24"/>
  <c r="K277" i="24"/>
  <c r="L277" i="24"/>
  <c r="M277" i="24"/>
  <c r="N277" i="24"/>
  <c r="I582" i="24"/>
  <c r="J582" i="24"/>
  <c r="L582" i="24"/>
  <c r="K582" i="24"/>
  <c r="O582" i="24"/>
  <c r="M582" i="24"/>
  <c r="N582" i="24"/>
  <c r="G582" i="24"/>
  <c r="H582" i="24"/>
  <c r="M552" i="24"/>
  <c r="K552" i="24"/>
  <c r="J552" i="24"/>
  <c r="I552" i="24"/>
  <c r="H552" i="24"/>
  <c r="O552" i="24"/>
  <c r="G552" i="24"/>
  <c r="N552" i="24"/>
  <c r="L552" i="24"/>
  <c r="G276" i="24"/>
  <c r="O276" i="24"/>
  <c r="M276" i="24"/>
  <c r="L276" i="24"/>
  <c r="K276" i="24"/>
  <c r="J276" i="24"/>
  <c r="H276" i="24"/>
  <c r="I276" i="24"/>
  <c r="N276" i="24"/>
  <c r="N741" i="24"/>
  <c r="L741" i="24"/>
  <c r="K741" i="24"/>
  <c r="H741" i="24"/>
  <c r="M741" i="24"/>
  <c r="O741" i="24"/>
  <c r="G741" i="24"/>
  <c r="J741" i="24"/>
  <c r="I741" i="24"/>
  <c r="J683" i="24"/>
  <c r="G683" i="24"/>
  <c r="K683" i="24"/>
  <c r="M683" i="24"/>
  <c r="L683" i="24"/>
  <c r="N683" i="24"/>
  <c r="O683" i="24"/>
  <c r="I683" i="24"/>
  <c r="H683" i="24"/>
  <c r="M572" i="24"/>
  <c r="L572" i="24"/>
  <c r="J572" i="24"/>
  <c r="I572" i="24"/>
  <c r="K572" i="24"/>
  <c r="H572" i="24"/>
  <c r="G572" i="24"/>
  <c r="O572" i="24"/>
  <c r="N572" i="24"/>
  <c r="M561" i="24"/>
  <c r="L561" i="24"/>
  <c r="N561" i="24"/>
  <c r="K561" i="24"/>
  <c r="J561" i="24"/>
  <c r="O561" i="24"/>
  <c r="G561" i="24"/>
  <c r="H561" i="24"/>
  <c r="I561" i="24"/>
  <c r="K544" i="24"/>
  <c r="L544" i="24"/>
  <c r="M544" i="24"/>
  <c r="N544" i="24"/>
  <c r="G544" i="24"/>
  <c r="O544" i="24"/>
  <c r="H544" i="24"/>
  <c r="I544" i="24"/>
  <c r="J544" i="24"/>
  <c r="K402" i="24"/>
  <c r="L402" i="24"/>
  <c r="H402" i="24"/>
  <c r="J402" i="24"/>
  <c r="I402" i="24"/>
  <c r="G402" i="24"/>
  <c r="O402" i="24"/>
  <c r="N402" i="24"/>
  <c r="M402" i="24"/>
  <c r="H299" i="24"/>
  <c r="I299" i="24"/>
  <c r="J299" i="24"/>
  <c r="K299" i="24"/>
  <c r="L299" i="24"/>
  <c r="M299" i="24"/>
  <c r="N299" i="24"/>
  <c r="O299" i="24"/>
  <c r="G299" i="24"/>
  <c r="O298" i="24"/>
  <c r="G298" i="24"/>
  <c r="H298" i="24"/>
  <c r="I298" i="24"/>
  <c r="J298" i="24"/>
  <c r="K298" i="24"/>
  <c r="L298" i="24"/>
  <c r="M298" i="24"/>
  <c r="N298" i="24"/>
  <c r="G295" i="24"/>
  <c r="H295" i="24"/>
  <c r="N290" i="24"/>
  <c r="O290" i="24"/>
  <c r="J290" i="24"/>
  <c r="K290" i="24"/>
  <c r="L290" i="24"/>
  <c r="M290" i="24"/>
  <c r="G290" i="24"/>
  <c r="H290" i="24"/>
  <c r="I290" i="24"/>
  <c r="I928" i="24"/>
  <c r="H928" i="24"/>
  <c r="G928" i="24"/>
  <c r="N928" i="24"/>
  <c r="O928" i="24"/>
  <c r="M928" i="24"/>
  <c r="L928" i="24"/>
  <c r="K928" i="24"/>
  <c r="J928" i="24"/>
  <c r="N927" i="24"/>
  <c r="M927" i="24"/>
  <c r="L927" i="24"/>
  <c r="O927" i="24"/>
  <c r="K927" i="24"/>
  <c r="J927" i="24"/>
  <c r="I927" i="24"/>
  <c r="H927" i="24"/>
  <c r="G927" i="24"/>
  <c r="J926" i="24"/>
  <c r="K926" i="24"/>
  <c r="G926" i="24"/>
  <c r="H926" i="24"/>
  <c r="I926" i="24"/>
  <c r="L926" i="24"/>
  <c r="M926" i="24"/>
  <c r="N926" i="24"/>
  <c r="O926" i="24"/>
  <c r="K917" i="24"/>
  <c r="L917" i="24"/>
  <c r="N917" i="24"/>
  <c r="O917" i="24"/>
  <c r="J917" i="24"/>
  <c r="M917" i="24"/>
  <c r="G917" i="24"/>
  <c r="H917" i="24"/>
  <c r="I917" i="24"/>
  <c r="M916" i="24"/>
  <c r="K916" i="24"/>
  <c r="L916" i="24"/>
  <c r="N916" i="24"/>
  <c r="O916" i="24"/>
  <c r="J916" i="24"/>
  <c r="I916" i="24"/>
  <c r="H916" i="24"/>
  <c r="G916" i="24"/>
  <c r="L897" i="24"/>
  <c r="O897" i="24"/>
  <c r="N897" i="24"/>
  <c r="H897" i="24"/>
  <c r="I897" i="24"/>
  <c r="J897" i="24"/>
  <c r="M897" i="24"/>
  <c r="G897" i="24"/>
  <c r="K897" i="24"/>
  <c r="N883" i="24"/>
  <c r="L883" i="24"/>
  <c r="O883" i="24"/>
  <c r="M883" i="24"/>
  <c r="H883" i="24"/>
  <c r="K883" i="24"/>
  <c r="G883" i="24"/>
  <c r="I883" i="24"/>
  <c r="J883" i="24"/>
  <c r="I836" i="24"/>
  <c r="N836" i="24"/>
  <c r="O836" i="24"/>
  <c r="G836" i="24"/>
  <c r="M836" i="24"/>
  <c r="J836" i="24"/>
  <c r="L836" i="24"/>
  <c r="K836" i="24"/>
  <c r="H836" i="24"/>
  <c r="L930" i="24"/>
  <c r="M930" i="24"/>
  <c r="H930" i="24"/>
  <c r="G930" i="24"/>
  <c r="O930" i="24"/>
  <c r="N930" i="24"/>
  <c r="K930" i="24"/>
  <c r="J930" i="24"/>
  <c r="I930" i="24"/>
  <c r="M920" i="24"/>
  <c r="L920" i="24"/>
  <c r="J920" i="24"/>
  <c r="I920" i="24"/>
  <c r="H920" i="24"/>
  <c r="O920" i="24"/>
  <c r="N920" i="24"/>
  <c r="K920" i="24"/>
  <c r="G920" i="24"/>
  <c r="G886" i="24"/>
  <c r="J886" i="24"/>
  <c r="L886" i="24"/>
  <c r="I886" i="24"/>
  <c r="N886" i="24"/>
  <c r="M886" i="24"/>
  <c r="O886" i="24"/>
  <c r="H886" i="24"/>
  <c r="K886" i="24"/>
  <c r="O858" i="24"/>
  <c r="N858" i="24"/>
  <c r="M858" i="24"/>
  <c r="L858" i="24"/>
  <c r="J858" i="24"/>
  <c r="I858" i="24"/>
  <c r="H858" i="24"/>
  <c r="G858" i="24"/>
  <c r="K858" i="24"/>
  <c r="N775" i="24"/>
  <c r="G775" i="24"/>
  <c r="I775" i="24"/>
  <c r="J775" i="24"/>
  <c r="O775" i="24"/>
  <c r="L775" i="24"/>
  <c r="M775" i="24"/>
  <c r="H775" i="24"/>
  <c r="K775" i="24"/>
  <c r="H988" i="24"/>
  <c r="I988" i="24"/>
  <c r="J988" i="24"/>
  <c r="K988" i="24"/>
  <c r="G988" i="24"/>
  <c r="G902" i="24"/>
  <c r="H902" i="24"/>
  <c r="I902" i="24"/>
  <c r="J902" i="24"/>
  <c r="K902" i="24"/>
  <c r="L902" i="24"/>
  <c r="M902" i="24"/>
  <c r="N902" i="24"/>
  <c r="O902" i="24"/>
  <c r="G840" i="24"/>
  <c r="L840" i="24"/>
  <c r="M840" i="24"/>
  <c r="N840" i="24"/>
  <c r="O840" i="24"/>
  <c r="K840" i="24"/>
  <c r="J840" i="24"/>
  <c r="I840" i="24"/>
  <c r="H840" i="24"/>
  <c r="K287" i="24"/>
  <c r="J287" i="24"/>
  <c r="I287" i="24"/>
  <c r="H287" i="24"/>
  <c r="G287" i="24"/>
  <c r="O287" i="24"/>
  <c r="N287" i="24"/>
  <c r="M287" i="24"/>
  <c r="L287" i="24"/>
  <c r="K876" i="24"/>
  <c r="L876" i="24"/>
  <c r="M876" i="24"/>
  <c r="N876" i="24"/>
  <c r="O876" i="24"/>
  <c r="I876" i="24"/>
  <c r="G876" i="24"/>
  <c r="H876" i="24"/>
  <c r="J876" i="24"/>
  <c r="M810" i="24"/>
  <c r="N810" i="24"/>
  <c r="O810" i="24"/>
  <c r="I810" i="24"/>
  <c r="G810" i="24"/>
  <c r="H810" i="24"/>
  <c r="J810" i="24"/>
  <c r="K810" i="24"/>
  <c r="L810" i="24"/>
  <c r="O808" i="24"/>
  <c r="K808" i="24"/>
  <c r="J808" i="24"/>
  <c r="I808" i="24"/>
  <c r="N808" i="24"/>
  <c r="M808" i="24"/>
  <c r="L808" i="24"/>
  <c r="H808" i="24"/>
  <c r="G808" i="24"/>
  <c r="L807" i="24"/>
  <c r="K807" i="24"/>
  <c r="J807" i="24"/>
  <c r="I807" i="24"/>
  <c r="H807" i="24"/>
  <c r="G807" i="24"/>
  <c r="O807" i="24"/>
  <c r="N807" i="24"/>
  <c r="M807" i="24"/>
  <c r="G806" i="24"/>
  <c r="H806" i="24"/>
  <c r="J806" i="24"/>
  <c r="K806" i="24"/>
  <c r="L806" i="24"/>
  <c r="M806" i="24"/>
  <c r="N806" i="24"/>
  <c r="O806" i="24"/>
  <c r="I806" i="24"/>
  <c r="M805" i="24"/>
  <c r="J805" i="24"/>
  <c r="N805" i="24"/>
  <c r="K805" i="24"/>
  <c r="G805" i="24"/>
  <c r="L805" i="24"/>
  <c r="O805" i="24"/>
  <c r="I805" i="24"/>
  <c r="H805" i="24"/>
  <c r="I804" i="24"/>
  <c r="L804" i="24"/>
  <c r="M804" i="24"/>
  <c r="N804" i="24"/>
  <c r="G804" i="24"/>
  <c r="H804" i="24"/>
  <c r="O804" i="24"/>
  <c r="J804" i="24"/>
  <c r="K804" i="24"/>
  <c r="O802" i="24"/>
  <c r="N802" i="24"/>
  <c r="H802" i="24"/>
  <c r="J802" i="24"/>
  <c r="G802" i="24"/>
  <c r="I802" i="24"/>
  <c r="M802" i="24"/>
  <c r="L802" i="24"/>
  <c r="K802" i="24"/>
  <c r="K799" i="24"/>
  <c r="J799" i="24"/>
  <c r="I799" i="24"/>
  <c r="H799" i="24"/>
  <c r="G799" i="24"/>
  <c r="M799" i="24"/>
  <c r="O799" i="24"/>
  <c r="N799" i="24"/>
  <c r="L799" i="24"/>
  <c r="G798" i="24"/>
  <c r="H798" i="24"/>
  <c r="I798" i="24"/>
  <c r="G789" i="24"/>
  <c r="H789" i="24"/>
  <c r="J789" i="24"/>
  <c r="I789" i="24"/>
  <c r="G785" i="24"/>
  <c r="H785" i="24"/>
  <c r="L785" i="24"/>
  <c r="M785" i="24"/>
  <c r="O785" i="24"/>
  <c r="I785" i="24"/>
  <c r="J785" i="24"/>
  <c r="N785" i="24"/>
  <c r="K785" i="24"/>
  <c r="O784" i="24"/>
  <c r="G784" i="24"/>
  <c r="H784" i="24"/>
  <c r="M784" i="24"/>
  <c r="N784" i="24"/>
  <c r="I784" i="24"/>
  <c r="K784" i="24"/>
  <c r="L784" i="24"/>
  <c r="J784" i="24"/>
  <c r="I731" i="24"/>
  <c r="K731" i="24"/>
  <c r="M731" i="24"/>
  <c r="O731" i="24"/>
  <c r="H731" i="24"/>
  <c r="J731" i="24"/>
  <c r="L731" i="24"/>
  <c r="N731" i="24"/>
  <c r="G731" i="24"/>
  <c r="H723" i="24"/>
  <c r="I723" i="24"/>
  <c r="J723" i="24"/>
  <c r="K723" i="24"/>
  <c r="L723" i="24"/>
  <c r="M723" i="24"/>
  <c r="N723" i="24"/>
  <c r="O723" i="24"/>
  <c r="G723" i="24"/>
  <c r="J246" i="24"/>
  <c r="K246" i="24"/>
  <c r="O246" i="24"/>
  <c r="N246" i="24"/>
  <c r="M246" i="24"/>
  <c r="L246" i="24"/>
  <c r="G246" i="24"/>
  <c r="H246" i="24"/>
  <c r="I246" i="24"/>
  <c r="K235" i="24"/>
  <c r="H235" i="24"/>
  <c r="I235" i="24"/>
  <c r="O235" i="24"/>
  <c r="N235" i="24"/>
  <c r="M235" i="24"/>
  <c r="J235" i="24"/>
  <c r="G235" i="24"/>
  <c r="L235" i="24"/>
  <c r="K216" i="24"/>
  <c r="G216" i="24"/>
  <c r="J216" i="24"/>
  <c r="L216" i="24"/>
  <c r="M216" i="24"/>
  <c r="O216" i="24"/>
  <c r="I216" i="24"/>
  <c r="N216" i="24"/>
  <c r="H216" i="24"/>
  <c r="N214" i="24"/>
  <c r="H214" i="24"/>
  <c r="J214" i="24"/>
  <c r="L214" i="24"/>
  <c r="M214" i="24"/>
  <c r="O214" i="24"/>
  <c r="G214" i="24"/>
  <c r="K214" i="24"/>
  <c r="I214" i="24"/>
  <c r="I104" i="24"/>
  <c r="O104" i="24"/>
  <c r="K104" i="24"/>
  <c r="N104" i="24"/>
  <c r="H104" i="24"/>
  <c r="L104" i="24"/>
  <c r="G104" i="24"/>
  <c r="M104" i="24"/>
  <c r="J104" i="24"/>
  <c r="N618" i="24"/>
  <c r="M618" i="24"/>
  <c r="I618" i="24"/>
  <c r="H618" i="24"/>
  <c r="K618" i="24"/>
  <c r="O618" i="24"/>
  <c r="J618" i="24"/>
  <c r="L618" i="24"/>
  <c r="G618" i="24"/>
  <c r="O617" i="24"/>
  <c r="G617" i="24"/>
  <c r="H617" i="24"/>
  <c r="I617" i="24"/>
  <c r="J617" i="24"/>
  <c r="K617" i="24"/>
  <c r="L617" i="24"/>
  <c r="M617" i="24"/>
  <c r="N617" i="24"/>
  <c r="G722" i="24"/>
  <c r="H722" i="24"/>
  <c r="I722" i="24"/>
  <c r="J722" i="24"/>
  <c r="L722" i="24"/>
  <c r="M722" i="24"/>
  <c r="N722" i="24"/>
  <c r="O722" i="24"/>
  <c r="K722" i="24"/>
  <c r="K719" i="24"/>
  <c r="J719" i="24"/>
  <c r="G719" i="24"/>
  <c r="O719" i="24"/>
  <c r="I719" i="24"/>
  <c r="H719" i="24"/>
  <c r="L719" i="24"/>
  <c r="M719" i="24"/>
  <c r="N719" i="24"/>
  <c r="M716" i="24"/>
  <c r="N716" i="24"/>
  <c r="O716" i="24"/>
  <c r="J716" i="24"/>
  <c r="K716" i="24"/>
  <c r="L716" i="24"/>
  <c r="G716" i="24"/>
  <c r="H716" i="24"/>
  <c r="I716" i="24"/>
  <c r="N714" i="24"/>
  <c r="M714" i="24"/>
  <c r="O714" i="24"/>
  <c r="L714" i="24"/>
  <c r="H714" i="24"/>
  <c r="I714" i="24"/>
  <c r="J714" i="24"/>
  <c r="K714" i="24"/>
  <c r="G714" i="24"/>
  <c r="O221" i="24"/>
  <c r="N221" i="24"/>
  <c r="L221" i="24"/>
  <c r="K221" i="24"/>
  <c r="M221" i="24"/>
  <c r="G221" i="24"/>
  <c r="H221" i="24"/>
  <c r="I221" i="24"/>
  <c r="J221" i="24"/>
  <c r="I220" i="24"/>
  <c r="H220" i="24"/>
  <c r="N220" i="24"/>
  <c r="G220" i="24"/>
  <c r="K220" i="24"/>
  <c r="O220" i="24"/>
  <c r="L220" i="24"/>
  <c r="M220" i="24"/>
  <c r="J220" i="24"/>
  <c r="O207" i="24"/>
  <c r="L207" i="24"/>
  <c r="N207" i="24"/>
  <c r="M207" i="24"/>
  <c r="H207" i="24"/>
  <c r="I207" i="24"/>
  <c r="J207" i="24"/>
  <c r="G207" i="24"/>
  <c r="K207" i="24"/>
  <c r="K616" i="24"/>
  <c r="O616" i="24"/>
  <c r="N616" i="24"/>
  <c r="M616" i="24"/>
  <c r="L616" i="24"/>
  <c r="J616" i="24"/>
  <c r="I616" i="24"/>
  <c r="H616" i="24"/>
  <c r="G616" i="24"/>
  <c r="M759" i="24"/>
  <c r="L759" i="24"/>
  <c r="N759" i="24"/>
  <c r="J759" i="24"/>
  <c r="I759" i="24"/>
  <c r="K759" i="24"/>
  <c r="O759" i="24"/>
  <c r="G759" i="24"/>
  <c r="H759" i="24"/>
  <c r="G612" i="24"/>
  <c r="J612" i="24"/>
  <c r="M612" i="24"/>
  <c r="H612" i="24"/>
  <c r="O612" i="24"/>
  <c r="L612" i="24"/>
  <c r="K612" i="24"/>
  <c r="I612" i="24"/>
  <c r="N612" i="24"/>
  <c r="M661" i="24"/>
  <c r="L661" i="24"/>
  <c r="I661" i="24"/>
  <c r="J661" i="24"/>
  <c r="H661" i="24"/>
  <c r="N661" i="24"/>
  <c r="O661" i="24"/>
  <c r="G661" i="24"/>
  <c r="K661" i="24"/>
  <c r="J218" i="24"/>
  <c r="M218" i="24"/>
  <c r="K218" i="24"/>
  <c r="I218" i="24"/>
  <c r="O218" i="24"/>
  <c r="G218" i="24"/>
  <c r="N218" i="24"/>
  <c r="L218" i="24"/>
  <c r="H218" i="24"/>
  <c r="I137" i="24"/>
  <c r="N137" i="24"/>
  <c r="G137" i="24"/>
  <c r="J137" i="24"/>
  <c r="H137" i="24"/>
  <c r="K137" i="24"/>
  <c r="O137" i="24"/>
  <c r="M137" i="24"/>
  <c r="L137" i="24"/>
  <c r="I619" i="24"/>
  <c r="H619" i="24"/>
  <c r="G619" i="24"/>
  <c r="K619" i="24"/>
  <c r="L619" i="24"/>
  <c r="M619" i="24"/>
  <c r="N619" i="24"/>
  <c r="O619" i="24"/>
  <c r="J619" i="24"/>
  <c r="O615" i="24"/>
  <c r="N615" i="24"/>
  <c r="L615" i="24"/>
  <c r="H615" i="24"/>
  <c r="M615" i="24"/>
  <c r="G615" i="24"/>
  <c r="K615" i="24"/>
  <c r="J615" i="24"/>
  <c r="I615" i="24"/>
  <c r="O613" i="24"/>
  <c r="N613" i="24"/>
  <c r="M613" i="24"/>
  <c r="K613" i="24"/>
  <c r="L613" i="24"/>
  <c r="H613" i="24"/>
  <c r="G613" i="24"/>
  <c r="J613" i="24"/>
  <c r="I613" i="24"/>
  <c r="H213" i="24"/>
  <c r="J213" i="24"/>
  <c r="L213" i="24"/>
  <c r="O213" i="24"/>
  <c r="M213" i="24"/>
  <c r="K213" i="24"/>
  <c r="I213" i="24"/>
  <c r="G213" i="24"/>
  <c r="N213" i="24"/>
  <c r="N525" i="24"/>
  <c r="M525" i="24"/>
  <c r="L525" i="24"/>
  <c r="K525" i="24"/>
  <c r="O525" i="24"/>
  <c r="J525" i="24"/>
  <c r="I525" i="24"/>
  <c r="G525" i="24"/>
  <c r="H525" i="24"/>
  <c r="G523" i="24"/>
  <c r="I523" i="24"/>
  <c r="K523" i="24"/>
  <c r="N523" i="24"/>
  <c r="O523" i="24"/>
  <c r="M523" i="24"/>
  <c r="L523" i="24"/>
  <c r="H523" i="24"/>
  <c r="J523" i="24"/>
  <c r="L522" i="24"/>
  <c r="O522" i="24"/>
  <c r="N522" i="24"/>
  <c r="M522" i="24"/>
  <c r="K522" i="24"/>
  <c r="H522" i="24"/>
  <c r="G522" i="24"/>
  <c r="I522" i="24"/>
  <c r="J522" i="24"/>
  <c r="H521" i="24"/>
  <c r="J521" i="24"/>
  <c r="G521" i="24"/>
  <c r="I521" i="24"/>
  <c r="K521" i="24"/>
  <c r="L611" i="24"/>
  <c r="N611" i="24"/>
  <c r="O611" i="24"/>
  <c r="M611" i="24"/>
  <c r="J611" i="24"/>
  <c r="I611" i="24"/>
  <c r="H611" i="24"/>
  <c r="G611" i="24"/>
  <c r="K611" i="24"/>
  <c r="G320" i="24"/>
  <c r="O320" i="24"/>
  <c r="N320" i="24"/>
  <c r="M320" i="24"/>
  <c r="L320" i="24"/>
  <c r="K320" i="24"/>
  <c r="J320" i="24"/>
  <c r="I320" i="24"/>
  <c r="H320" i="24"/>
  <c r="N212" i="24"/>
  <c r="M212" i="24"/>
  <c r="K212" i="24"/>
  <c r="H212" i="24"/>
  <c r="G212" i="24"/>
  <c r="I212" i="24"/>
  <c r="J212" i="24"/>
  <c r="L212" i="24"/>
  <c r="O212" i="24"/>
  <c r="L128" i="24"/>
  <c r="I128" i="24"/>
  <c r="O128" i="24"/>
  <c r="H128" i="24"/>
  <c r="J128" i="24"/>
  <c r="N128" i="24"/>
  <c r="G128" i="24"/>
  <c r="K128" i="24"/>
  <c r="M128" i="24"/>
  <c r="O771" i="24"/>
  <c r="G771" i="24"/>
  <c r="J771" i="24"/>
  <c r="L771" i="24"/>
  <c r="N771" i="24"/>
  <c r="M771" i="24"/>
  <c r="H771" i="24"/>
  <c r="I771" i="24"/>
  <c r="K771" i="24"/>
  <c r="J342" i="24"/>
  <c r="I342" i="24"/>
  <c r="N342" i="24"/>
  <c r="K342" i="24"/>
  <c r="L342" i="24"/>
  <c r="H342" i="24"/>
  <c r="G342" i="24"/>
  <c r="M342" i="24"/>
  <c r="O342" i="24"/>
  <c r="G208" i="24"/>
  <c r="H208" i="24"/>
  <c r="J208" i="24"/>
  <c r="L208" i="24"/>
  <c r="N208" i="24"/>
  <c r="I208" i="24"/>
  <c r="K208" i="24"/>
  <c r="M208" i="24"/>
  <c r="O208" i="24"/>
  <c r="J115" i="24"/>
  <c r="G115" i="24"/>
  <c r="N115" i="24"/>
  <c r="M115" i="24"/>
  <c r="K115" i="24"/>
  <c r="I115" i="24"/>
  <c r="H115" i="24"/>
  <c r="O115" i="24"/>
  <c r="L115" i="24"/>
  <c r="O780" i="24"/>
  <c r="M780" i="24"/>
  <c r="L780" i="24"/>
  <c r="K780" i="24"/>
  <c r="J780" i="24"/>
  <c r="I780" i="24"/>
  <c r="H780" i="24"/>
  <c r="G780" i="24"/>
  <c r="N780" i="24"/>
  <c r="G779" i="24"/>
  <c r="O779" i="24"/>
  <c r="J779" i="24"/>
  <c r="N779" i="24"/>
  <c r="M779" i="24"/>
  <c r="L779" i="24"/>
  <c r="K779" i="24"/>
  <c r="I779" i="24"/>
  <c r="H779" i="24"/>
  <c r="J774" i="24"/>
  <c r="L774" i="24"/>
  <c r="O774" i="24"/>
  <c r="G774" i="24"/>
  <c r="I774" i="24"/>
  <c r="K774" i="24"/>
  <c r="M774" i="24"/>
  <c r="N774" i="24"/>
  <c r="H774" i="24"/>
  <c r="L763" i="24"/>
  <c r="N763" i="24"/>
  <c r="I763" i="24"/>
  <c r="M763" i="24"/>
  <c r="O763" i="24"/>
  <c r="K763" i="24"/>
  <c r="G763" i="24"/>
  <c r="H763" i="24"/>
  <c r="J763" i="24"/>
  <c r="M761" i="24"/>
  <c r="L761" i="24"/>
  <c r="N761" i="24"/>
  <c r="G761" i="24"/>
  <c r="H761" i="24"/>
  <c r="K761" i="24"/>
  <c r="I761" i="24"/>
  <c r="O761" i="24"/>
  <c r="J761" i="24"/>
  <c r="I715" i="24"/>
  <c r="M715" i="24"/>
  <c r="L715" i="24"/>
  <c r="K715" i="24"/>
  <c r="J715" i="24"/>
  <c r="H715" i="24"/>
  <c r="G715" i="24"/>
  <c r="O715" i="24"/>
  <c r="N715" i="24"/>
  <c r="N219" i="24"/>
  <c r="K219" i="24"/>
  <c r="G219" i="24"/>
  <c r="J219" i="24"/>
  <c r="M219" i="24"/>
  <c r="H219" i="24"/>
  <c r="L219" i="24"/>
  <c r="O219" i="24"/>
  <c r="I219" i="24"/>
  <c r="N217" i="24"/>
  <c r="M217" i="24"/>
  <c r="K217" i="24"/>
  <c r="L217" i="24"/>
  <c r="O217" i="24"/>
  <c r="H217" i="24"/>
  <c r="G217" i="24"/>
  <c r="I217" i="24"/>
  <c r="J217" i="24"/>
  <c r="L210" i="24"/>
  <c r="O210" i="24"/>
  <c r="K210" i="24"/>
  <c r="M210" i="24"/>
  <c r="H210" i="24"/>
  <c r="G210" i="24"/>
  <c r="J210" i="24"/>
  <c r="N210" i="24"/>
  <c r="I210" i="24"/>
  <c r="J800" i="24"/>
  <c r="L800" i="24"/>
  <c r="K800" i="24"/>
  <c r="M800" i="24"/>
  <c r="I800" i="24"/>
  <c r="G800" i="24"/>
  <c r="N800" i="24"/>
  <c r="O800" i="24"/>
  <c r="H800" i="24"/>
  <c r="O782" i="24"/>
  <c r="G782" i="24"/>
  <c r="J782" i="24"/>
  <c r="I782" i="24"/>
  <c r="K782" i="24"/>
  <c r="N782" i="24"/>
  <c r="L782" i="24"/>
  <c r="H782" i="24"/>
  <c r="M782" i="24"/>
  <c r="N760" i="24"/>
  <c r="L760" i="24"/>
  <c r="I760" i="24"/>
  <c r="O760" i="24"/>
  <c r="M760" i="24"/>
  <c r="H760" i="24"/>
  <c r="J760" i="24"/>
  <c r="K760" i="24"/>
  <c r="G760" i="24"/>
  <c r="K663" i="24"/>
  <c r="J663" i="24"/>
  <c r="I663" i="24"/>
  <c r="H663" i="24"/>
  <c r="G663" i="24"/>
  <c r="L663" i="24"/>
  <c r="M663" i="24"/>
  <c r="N663" i="24"/>
  <c r="O663" i="24"/>
  <c r="G660" i="24"/>
  <c r="H660" i="24"/>
  <c r="J660" i="24"/>
  <c r="K660" i="24"/>
  <c r="L660" i="24"/>
  <c r="M660" i="24"/>
  <c r="N660" i="24"/>
  <c r="O660" i="24"/>
  <c r="I660" i="24"/>
  <c r="N659" i="24"/>
  <c r="K659" i="24"/>
  <c r="L659" i="24"/>
  <c r="J659" i="24"/>
  <c r="M659" i="24"/>
  <c r="H659" i="24"/>
  <c r="I659" i="24"/>
  <c r="O659" i="24"/>
  <c r="G659" i="24"/>
  <c r="M614" i="24"/>
  <c r="L614" i="24"/>
  <c r="K614" i="24"/>
  <c r="J614" i="24"/>
  <c r="I614" i="24"/>
  <c r="N614" i="24"/>
  <c r="G614" i="24"/>
  <c r="H614" i="24"/>
  <c r="O614" i="24"/>
  <c r="H983" i="24"/>
  <c r="I983" i="24"/>
  <c r="K983" i="24"/>
  <c r="L983" i="24"/>
  <c r="G983" i="24"/>
  <c r="N983" i="24"/>
  <c r="O983" i="24"/>
  <c r="M983" i="24"/>
  <c r="J983" i="24"/>
  <c r="G971" i="24"/>
  <c r="K971" i="24"/>
  <c r="M971" i="24"/>
  <c r="J971" i="24"/>
  <c r="O971" i="24"/>
  <c r="H971" i="24"/>
  <c r="L971" i="24"/>
  <c r="N971" i="24"/>
  <c r="I971" i="24"/>
  <c r="K288" i="24"/>
  <c r="O288" i="24"/>
  <c r="N288" i="24"/>
  <c r="M288" i="24"/>
  <c r="L288" i="24"/>
  <c r="G288" i="24"/>
  <c r="H288" i="24"/>
  <c r="I288" i="24"/>
  <c r="J288" i="24"/>
  <c r="K895" i="24"/>
  <c r="L895" i="24"/>
  <c r="M895" i="24"/>
  <c r="N895" i="24"/>
  <c r="O895" i="24"/>
  <c r="G895" i="24"/>
  <c r="H895" i="24"/>
  <c r="I895" i="24"/>
  <c r="J895" i="24"/>
  <c r="K969" i="24"/>
  <c r="J969" i="24"/>
  <c r="I969" i="24"/>
  <c r="G969" i="24"/>
  <c r="H969" i="24"/>
  <c r="G286" i="24"/>
  <c r="H286" i="24"/>
  <c r="I286" i="24"/>
  <c r="J286" i="24"/>
  <c r="L286" i="24"/>
  <c r="K286" i="24"/>
  <c r="O286" i="24"/>
  <c r="N286" i="24"/>
  <c r="M286" i="24"/>
  <c r="H923" i="24"/>
  <c r="O923" i="24"/>
  <c r="N923" i="24"/>
  <c r="M923" i="24"/>
  <c r="L923" i="24"/>
  <c r="G923" i="24"/>
  <c r="K923" i="24"/>
  <c r="J923" i="24"/>
  <c r="I923" i="24"/>
  <c r="M863" i="24"/>
  <c r="L863" i="24"/>
  <c r="K863" i="24"/>
  <c r="J863" i="24"/>
  <c r="I863" i="24"/>
  <c r="H863" i="24"/>
  <c r="G863" i="24"/>
  <c r="N863" i="24"/>
  <c r="O863" i="24"/>
  <c r="H922" i="24"/>
  <c r="L922" i="24"/>
  <c r="M922" i="24"/>
  <c r="N922" i="24"/>
  <c r="J922" i="24"/>
  <c r="G922" i="24"/>
  <c r="O922" i="24"/>
  <c r="I922" i="24"/>
  <c r="K922" i="24"/>
  <c r="J745" i="24"/>
  <c r="G745" i="24"/>
  <c r="O745" i="24"/>
  <c r="M745" i="24"/>
  <c r="K745" i="24"/>
  <c r="I745" i="24"/>
  <c r="N745" i="24"/>
  <c r="L745" i="24"/>
  <c r="H745" i="24"/>
  <c r="J970" i="24"/>
  <c r="N970" i="24"/>
  <c r="G970" i="24"/>
  <c r="H970" i="24"/>
  <c r="O970" i="24"/>
  <c r="I970" i="24"/>
  <c r="K970" i="24"/>
  <c r="L970" i="24"/>
  <c r="M970" i="24"/>
  <c r="L291" i="24"/>
  <c r="I291" i="24"/>
  <c r="H291" i="24"/>
  <c r="G291" i="24"/>
  <c r="O291" i="24"/>
  <c r="N291" i="24"/>
  <c r="M291" i="24"/>
  <c r="J291" i="24"/>
  <c r="K291" i="24"/>
  <c r="I289" i="24"/>
  <c r="G289" i="24"/>
  <c r="J289" i="24"/>
  <c r="K289" i="24"/>
  <c r="L289" i="24"/>
  <c r="M289" i="24"/>
  <c r="N289" i="24"/>
  <c r="O289" i="24"/>
  <c r="H289" i="24"/>
  <c r="I297" i="24"/>
  <c r="M297" i="24"/>
  <c r="L297" i="24"/>
  <c r="O297" i="24"/>
  <c r="K297" i="24"/>
  <c r="G297" i="24"/>
  <c r="H297" i="24"/>
  <c r="N297" i="24"/>
  <c r="J297" i="24"/>
  <c r="N296" i="24"/>
  <c r="M296" i="24"/>
  <c r="L296" i="24"/>
  <c r="K296" i="24"/>
  <c r="I296" i="24"/>
  <c r="H296" i="24"/>
  <c r="G296" i="24"/>
  <c r="J296" i="24"/>
  <c r="O296" i="24"/>
  <c r="M283" i="24"/>
  <c r="O283" i="24"/>
  <c r="H283" i="24"/>
  <c r="L283" i="24"/>
  <c r="K283" i="24"/>
  <c r="N283" i="24"/>
  <c r="G283" i="24"/>
  <c r="I283" i="24"/>
  <c r="J283" i="24"/>
  <c r="J282" i="24"/>
  <c r="I282" i="24"/>
  <c r="H282" i="24"/>
  <c r="G282" i="24"/>
  <c r="O282" i="24"/>
  <c r="N282" i="24"/>
  <c r="M282" i="24"/>
  <c r="L282" i="24"/>
  <c r="K282" i="24"/>
  <c r="O975" i="24"/>
  <c r="M975" i="24"/>
  <c r="L975" i="24"/>
  <c r="N975" i="24"/>
  <c r="O281" i="24"/>
  <c r="I281" i="24"/>
  <c r="J281" i="24"/>
  <c r="H281" i="24"/>
  <c r="K281" i="24"/>
  <c r="N281" i="24"/>
  <c r="L281" i="24"/>
  <c r="M281" i="24"/>
  <c r="G281" i="24"/>
  <c r="M729" i="24"/>
  <c r="K729" i="24"/>
  <c r="I729" i="24"/>
  <c r="O729" i="24"/>
  <c r="L729" i="24"/>
  <c r="J729" i="24"/>
  <c r="H729" i="24"/>
  <c r="N729" i="24"/>
  <c r="G729" i="24"/>
  <c r="J727" i="24"/>
  <c r="H727" i="24"/>
  <c r="G284" i="24"/>
  <c r="H284" i="24"/>
  <c r="O284" i="24"/>
  <c r="N284" i="24"/>
  <c r="M284" i="24"/>
  <c r="L284" i="24"/>
  <c r="J284" i="24"/>
  <c r="I284" i="24"/>
  <c r="K284" i="24"/>
  <c r="H921" i="24"/>
  <c r="J921" i="24"/>
  <c r="I921" i="24"/>
  <c r="G921" i="24"/>
  <c r="M921" i="24"/>
  <c r="L921" i="24"/>
  <c r="O921" i="24"/>
  <c r="N921" i="24"/>
  <c r="K921" i="24"/>
  <c r="M919" i="24"/>
  <c r="L919" i="24"/>
  <c r="K919" i="24"/>
  <c r="J919" i="24"/>
  <c r="I919" i="24"/>
  <c r="H919" i="24"/>
  <c r="G919" i="24"/>
  <c r="O919" i="24"/>
  <c r="N919" i="24"/>
  <c r="M285" i="24"/>
  <c r="G285" i="24"/>
  <c r="H285" i="24"/>
  <c r="I285" i="24"/>
  <c r="N285" i="24"/>
  <c r="O285" i="24"/>
  <c r="J285" i="24"/>
  <c r="K285" i="24"/>
  <c r="L285" i="24"/>
  <c r="K929" i="24"/>
  <c r="L929" i="24"/>
  <c r="I929" i="24"/>
  <c r="H929" i="24"/>
  <c r="G929" i="24"/>
  <c r="J929" i="24"/>
  <c r="I925" i="24"/>
  <c r="H925" i="24"/>
  <c r="G925" i="24"/>
  <c r="J925" i="24"/>
  <c r="O925" i="24"/>
  <c r="N925" i="24"/>
  <c r="M925" i="24"/>
  <c r="L925" i="24"/>
  <c r="K925" i="24"/>
  <c r="O770" i="24"/>
  <c r="N770" i="24"/>
  <c r="K770" i="24"/>
  <c r="L770" i="24"/>
  <c r="J770" i="24"/>
  <c r="M770" i="24"/>
  <c r="H770" i="24"/>
  <c r="I770" i="24"/>
  <c r="G770" i="24"/>
  <c r="H116" i="24"/>
  <c r="O116" i="24"/>
  <c r="M116" i="24"/>
  <c r="J116" i="24"/>
  <c r="L116" i="24"/>
  <c r="N116" i="24"/>
  <c r="G116" i="24"/>
  <c r="I116" i="24"/>
  <c r="K116" i="24"/>
  <c r="O748" i="24"/>
  <c r="L748" i="24"/>
  <c r="J748" i="24"/>
  <c r="H748" i="24"/>
  <c r="N748" i="24"/>
  <c r="M748" i="24"/>
  <c r="I748" i="24"/>
  <c r="G748" i="24"/>
  <c r="K748" i="24"/>
  <c r="N823" i="24"/>
  <c r="L823" i="24"/>
  <c r="G823" i="24"/>
  <c r="H823" i="24"/>
  <c r="K823" i="24"/>
  <c r="I823" i="24"/>
  <c r="O823" i="24"/>
  <c r="J823" i="24"/>
  <c r="M823" i="24"/>
  <c r="O915" i="24"/>
  <c r="H915" i="24"/>
  <c r="G915" i="24"/>
  <c r="I915" i="24"/>
  <c r="J915" i="24"/>
  <c r="K915" i="24"/>
  <c r="L915" i="24"/>
  <c r="M915" i="24"/>
  <c r="N915" i="24"/>
  <c r="G820" i="24"/>
  <c r="H820" i="24"/>
  <c r="I820" i="24"/>
  <c r="J820" i="24"/>
  <c r="K820" i="24"/>
  <c r="L820" i="24"/>
  <c r="M820" i="24"/>
  <c r="N820" i="24"/>
  <c r="O820" i="24"/>
  <c r="N801" i="24"/>
  <c r="M801" i="24"/>
  <c r="O801" i="24"/>
  <c r="L801" i="24"/>
  <c r="K801" i="24"/>
  <c r="J801" i="24"/>
  <c r="I801" i="24"/>
  <c r="H801" i="24"/>
  <c r="G801" i="24"/>
  <c r="K766" i="24"/>
  <c r="O766" i="24"/>
  <c r="L766" i="24"/>
  <c r="N766" i="24"/>
  <c r="J766" i="24"/>
  <c r="M766" i="24"/>
  <c r="I766" i="24"/>
  <c r="H766" i="24"/>
  <c r="G766" i="24"/>
  <c r="J773" i="24"/>
  <c r="O773" i="24"/>
  <c r="G773" i="24"/>
  <c r="I773" i="24"/>
  <c r="K773" i="24"/>
  <c r="N773" i="24"/>
  <c r="M773" i="24"/>
  <c r="H773" i="24"/>
  <c r="L773" i="24"/>
  <c r="L709" i="24"/>
  <c r="O709" i="24"/>
  <c r="G709" i="24"/>
  <c r="K709" i="24"/>
  <c r="M709" i="24"/>
  <c r="N709" i="24"/>
  <c r="J709" i="24"/>
  <c r="I709" i="24"/>
  <c r="H709" i="24"/>
  <c r="M230" i="24"/>
  <c r="N230" i="24"/>
  <c r="O230" i="24"/>
  <c r="G230" i="24"/>
  <c r="H230" i="24"/>
  <c r="I230" i="24"/>
  <c r="J230" i="24"/>
  <c r="K230" i="24"/>
  <c r="L230" i="24"/>
  <c r="H545" i="24"/>
  <c r="I545" i="24"/>
  <c r="J545" i="24"/>
  <c r="M545" i="24"/>
  <c r="L545" i="24"/>
  <c r="K545" i="24"/>
  <c r="O545" i="24"/>
  <c r="N545" i="24"/>
  <c r="G545" i="24"/>
  <c r="M600" i="24"/>
  <c r="L600" i="24"/>
  <c r="K600" i="24"/>
  <c r="J600" i="24"/>
  <c r="I600" i="24"/>
  <c r="O600" i="24"/>
  <c r="H600" i="24"/>
  <c r="G600" i="24"/>
  <c r="N600" i="24"/>
  <c r="N407" i="24"/>
  <c r="O407" i="24"/>
  <c r="J407" i="24"/>
  <c r="G407" i="24"/>
  <c r="H407" i="24"/>
  <c r="I407" i="24"/>
  <c r="K407" i="24"/>
  <c r="L407" i="24"/>
  <c r="M407" i="24"/>
  <c r="N491" i="24"/>
  <c r="J491" i="24"/>
  <c r="I491" i="24"/>
  <c r="H491" i="24"/>
  <c r="G491" i="24"/>
  <c r="L491" i="24"/>
  <c r="M491" i="24"/>
  <c r="O491" i="24"/>
  <c r="K491" i="24"/>
  <c r="K961" i="24"/>
  <c r="L961" i="24"/>
  <c r="M961" i="24"/>
  <c r="N961" i="24"/>
  <c r="O961" i="24"/>
  <c r="G961" i="24"/>
  <c r="H961" i="24"/>
  <c r="I961" i="24"/>
  <c r="J961" i="24"/>
  <c r="K963" i="24"/>
  <c r="G963" i="24"/>
  <c r="H963" i="24"/>
  <c r="I963" i="24"/>
  <c r="N963" i="24"/>
  <c r="J963" i="24"/>
  <c r="O963" i="24"/>
  <c r="M963" i="24"/>
  <c r="L963" i="24"/>
  <c r="O27" i="24"/>
  <c r="G27" i="24"/>
  <c r="J27" i="24"/>
  <c r="M27" i="24"/>
  <c r="H27" i="24"/>
  <c r="N27" i="24"/>
  <c r="L27" i="24"/>
  <c r="I27" i="24"/>
  <c r="K27" i="24"/>
  <c r="K29" i="24"/>
  <c r="H29" i="24"/>
  <c r="G29" i="24"/>
  <c r="J29" i="24"/>
  <c r="L29" i="24"/>
  <c r="N29" i="24"/>
  <c r="O29" i="24"/>
  <c r="I29" i="24"/>
  <c r="M29" i="24"/>
  <c r="K606" i="24"/>
  <c r="G606" i="24"/>
  <c r="L606" i="24"/>
  <c r="J606" i="24"/>
  <c r="M606" i="24"/>
  <c r="N606" i="24"/>
  <c r="O606" i="24"/>
  <c r="H606" i="24"/>
  <c r="I606" i="24"/>
  <c r="H653" i="24"/>
  <c r="N653" i="24"/>
  <c r="I653" i="24"/>
  <c r="J653" i="24"/>
  <c r="K653" i="24"/>
  <c r="L653" i="24"/>
  <c r="M653" i="24"/>
  <c r="G653" i="24"/>
  <c r="O653" i="24"/>
  <c r="K601" i="24"/>
  <c r="J601" i="24"/>
  <c r="I601" i="24"/>
  <c r="H601" i="24"/>
  <c r="G601" i="24"/>
  <c r="N601" i="24"/>
  <c r="O601" i="24"/>
  <c r="L601" i="24"/>
  <c r="M601" i="24"/>
  <c r="M498" i="24"/>
  <c r="I498" i="24"/>
  <c r="H498" i="24"/>
  <c r="O498" i="24"/>
  <c r="L498" i="24"/>
  <c r="K498" i="24"/>
  <c r="N498" i="24"/>
  <c r="G498" i="24"/>
  <c r="J498" i="24"/>
  <c r="J348" i="24"/>
  <c r="K348" i="24"/>
  <c r="L348" i="24"/>
  <c r="M348" i="24"/>
  <c r="N348" i="24"/>
  <c r="O348" i="24"/>
  <c r="G348" i="24"/>
  <c r="H348" i="24"/>
  <c r="I348" i="24"/>
  <c r="H489" i="24"/>
  <c r="G489" i="24"/>
  <c r="I489" i="24"/>
  <c r="J489" i="24"/>
  <c r="K489" i="24"/>
  <c r="L489" i="24"/>
  <c r="M489" i="24"/>
  <c r="J141" i="24"/>
  <c r="I141" i="24"/>
  <c r="M141" i="24"/>
  <c r="K141" i="24"/>
  <c r="G141" i="24"/>
  <c r="H141" i="24"/>
  <c r="O141" i="24"/>
  <c r="N141" i="24"/>
  <c r="L141" i="24"/>
  <c r="J140" i="24"/>
  <c r="N140" i="24"/>
  <c r="G140" i="24"/>
  <c r="I140" i="24"/>
  <c r="M140" i="24"/>
  <c r="O140" i="24"/>
  <c r="K140" i="24"/>
  <c r="H140" i="24"/>
  <c r="L140" i="24"/>
  <c r="H136" i="24"/>
  <c r="O136" i="24"/>
  <c r="M136" i="24"/>
  <c r="L136" i="24"/>
  <c r="I136" i="24"/>
  <c r="G136" i="24"/>
  <c r="N136" i="24"/>
  <c r="K136" i="24"/>
  <c r="J136" i="24"/>
  <c r="L133" i="24"/>
  <c r="I133" i="24"/>
  <c r="G133" i="24"/>
  <c r="M133" i="24"/>
  <c r="K133" i="24"/>
  <c r="O133" i="24"/>
  <c r="J133" i="24"/>
  <c r="H133" i="24"/>
  <c r="N133" i="24"/>
  <c r="M132" i="24"/>
  <c r="G132" i="24"/>
  <c r="J132" i="24"/>
  <c r="N443" i="24"/>
  <c r="L443" i="24"/>
  <c r="I443" i="24"/>
  <c r="G443" i="24"/>
  <c r="M443" i="24"/>
  <c r="O443" i="24"/>
  <c r="J558" i="24"/>
  <c r="I558" i="24"/>
  <c r="M558" i="24"/>
  <c r="H558" i="24"/>
  <c r="G558" i="24"/>
  <c r="O558" i="24"/>
  <c r="N558" i="24"/>
  <c r="L558" i="24"/>
  <c r="K558" i="24"/>
  <c r="O559" i="24"/>
  <c r="N559" i="24"/>
  <c r="M460" i="24"/>
  <c r="O460" i="24"/>
  <c r="H460" i="24"/>
  <c r="K460" i="24"/>
  <c r="N460" i="24"/>
  <c r="G460" i="24"/>
  <c r="I460" i="24"/>
  <c r="J460" i="24"/>
  <c r="L460" i="24"/>
  <c r="G459" i="24"/>
  <c r="O459" i="24"/>
  <c r="N459" i="24"/>
  <c r="L459" i="24"/>
  <c r="J459" i="24"/>
  <c r="H459" i="24"/>
  <c r="M459" i="24"/>
  <c r="K459" i="24"/>
  <c r="I459" i="24"/>
  <c r="L556" i="24"/>
  <c r="I556" i="24"/>
  <c r="J556" i="24"/>
  <c r="G556" i="24"/>
  <c r="K556" i="24"/>
  <c r="M556" i="24"/>
  <c r="N556" i="24"/>
  <c r="H556" i="24"/>
  <c r="O556" i="24"/>
  <c r="M555" i="24"/>
  <c r="N555" i="24"/>
  <c r="O555" i="24"/>
  <c r="K555" i="24"/>
  <c r="L555" i="24"/>
  <c r="G555" i="24"/>
  <c r="H555" i="24"/>
  <c r="I555" i="24"/>
  <c r="J555" i="24"/>
  <c r="G554" i="24"/>
  <c r="O554" i="24"/>
  <c r="J554" i="24"/>
  <c r="N554" i="24"/>
  <c r="M554" i="24"/>
  <c r="L554" i="24"/>
  <c r="K554" i="24"/>
  <c r="I554" i="24"/>
  <c r="H554" i="24"/>
  <c r="M519" i="24"/>
  <c r="N519" i="24"/>
  <c r="O519" i="24"/>
  <c r="L519" i="24"/>
  <c r="G519" i="24"/>
  <c r="H519" i="24"/>
  <c r="I519" i="24"/>
  <c r="J519" i="24"/>
  <c r="K519" i="24"/>
  <c r="G458" i="24"/>
  <c r="M458" i="24"/>
  <c r="K458" i="24"/>
  <c r="H458" i="24"/>
  <c r="N458" i="24"/>
  <c r="I458" i="24"/>
  <c r="O458" i="24"/>
  <c r="L458" i="24"/>
  <c r="J458" i="24"/>
  <c r="M854" i="24"/>
  <c r="O854" i="24"/>
  <c r="N854" i="24"/>
  <c r="G854" i="24"/>
  <c r="H854" i="24"/>
  <c r="I854" i="24"/>
  <c r="J854" i="24"/>
  <c r="K854" i="24"/>
  <c r="L854" i="24"/>
  <c r="G852" i="24"/>
  <c r="O852" i="24"/>
  <c r="N852" i="24"/>
  <c r="M852" i="24"/>
  <c r="L852" i="24"/>
  <c r="K852" i="24"/>
  <c r="J852" i="24"/>
  <c r="I852" i="24"/>
  <c r="H852" i="24"/>
  <c r="H965" i="24"/>
  <c r="G965" i="24"/>
  <c r="O965" i="24"/>
  <c r="I965" i="24"/>
  <c r="N965" i="24"/>
  <c r="M965" i="24"/>
  <c r="L965" i="24"/>
  <c r="K965" i="24"/>
  <c r="J965" i="24"/>
  <c r="L901" i="24"/>
  <c r="O901" i="24"/>
  <c r="N901" i="24"/>
  <c r="M901" i="24"/>
  <c r="J901" i="24"/>
  <c r="K901" i="24"/>
  <c r="K796" i="24"/>
  <c r="O796" i="24"/>
  <c r="N796" i="24"/>
  <c r="M796" i="24"/>
  <c r="L796" i="24"/>
  <c r="J796" i="24"/>
  <c r="I796" i="24"/>
  <c r="G796" i="24"/>
  <c r="H796" i="24"/>
  <c r="J513" i="24"/>
  <c r="K513" i="24"/>
  <c r="L513" i="24"/>
  <c r="M513" i="24"/>
  <c r="G513" i="24"/>
  <c r="H513" i="24"/>
  <c r="N513" i="24"/>
  <c r="I513" i="24"/>
  <c r="O513" i="24"/>
  <c r="G412" i="24"/>
  <c r="H412" i="24"/>
  <c r="I412" i="24"/>
  <c r="J412" i="24"/>
  <c r="K412" i="24"/>
  <c r="L412" i="24"/>
  <c r="M412" i="24"/>
  <c r="N412" i="24"/>
  <c r="O412" i="24"/>
  <c r="M295" i="24"/>
  <c r="O295" i="24"/>
  <c r="N295" i="24"/>
  <c r="L295" i="24"/>
  <c r="K295" i="24"/>
  <c r="J295" i="24"/>
  <c r="I295" i="24"/>
  <c r="O764" i="24"/>
  <c r="M764" i="24"/>
  <c r="K764" i="24"/>
  <c r="H764" i="24"/>
  <c r="G764" i="24"/>
  <c r="N764" i="24"/>
  <c r="L764" i="24"/>
  <c r="J764" i="24"/>
  <c r="I764" i="24"/>
  <c r="H966" i="24"/>
  <c r="I966" i="24"/>
  <c r="J966" i="24"/>
  <c r="K966" i="24"/>
  <c r="L966" i="24"/>
  <c r="N966" i="24"/>
  <c r="O966" i="24"/>
  <c r="M966" i="24"/>
  <c r="G966" i="24"/>
  <c r="O798" i="24"/>
  <c r="K798" i="24"/>
  <c r="N798" i="24"/>
  <c r="M798" i="24"/>
  <c r="L798" i="24"/>
  <c r="J798" i="24"/>
  <c r="O797" i="24"/>
  <c r="N797" i="24"/>
  <c r="M797" i="24"/>
  <c r="I797" i="24"/>
  <c r="L797" i="24"/>
  <c r="K797" i="24"/>
  <c r="J797" i="24"/>
  <c r="G797" i="24"/>
  <c r="H797" i="24"/>
  <c r="L855" i="24"/>
  <c r="H855" i="24"/>
  <c r="N855" i="24"/>
  <c r="I855" i="24"/>
  <c r="J855" i="24"/>
  <c r="M855" i="24"/>
  <c r="G855" i="24"/>
  <c r="O855" i="24"/>
  <c r="K855" i="24"/>
  <c r="L521" i="24"/>
  <c r="M521" i="24"/>
  <c r="O521" i="24"/>
  <c r="N521" i="24"/>
  <c r="O520" i="24"/>
  <c r="H520" i="24"/>
  <c r="I520" i="24"/>
  <c r="J520" i="24"/>
  <c r="K520" i="24"/>
  <c r="L520" i="24"/>
  <c r="N520" i="24"/>
  <c r="G520" i="24"/>
  <c r="M520" i="24"/>
  <c r="I517" i="24"/>
  <c r="O517" i="24"/>
  <c r="N517" i="24"/>
  <c r="M517" i="24"/>
  <c r="L517" i="24"/>
  <c r="K517" i="24"/>
  <c r="J517" i="24"/>
  <c r="H517" i="24"/>
  <c r="G517" i="24"/>
  <c r="J466" i="24"/>
  <c r="K466" i="24"/>
  <c r="G466" i="24"/>
  <c r="M466" i="24"/>
  <c r="I466" i="24"/>
  <c r="O466" i="24"/>
  <c r="N466" i="24"/>
  <c r="L466" i="24"/>
  <c r="H466" i="24"/>
  <c r="O465" i="24"/>
  <c r="M465" i="24"/>
  <c r="K465" i="24"/>
  <c r="L465" i="24"/>
  <c r="J465" i="24"/>
  <c r="H465" i="24"/>
  <c r="G465" i="24"/>
  <c r="N465" i="24"/>
  <c r="I465" i="24"/>
  <c r="K457" i="24"/>
  <c r="N457" i="24"/>
  <c r="L457" i="24"/>
  <c r="H457" i="24"/>
  <c r="O457" i="24"/>
  <c r="M457" i="24"/>
  <c r="J457" i="24"/>
  <c r="I457" i="24"/>
  <c r="G457" i="24"/>
  <c r="J454" i="24"/>
  <c r="I454" i="24"/>
  <c r="H454" i="24"/>
  <c r="L454" i="24"/>
  <c r="N454" i="24"/>
  <c r="G454" i="24"/>
  <c r="K454" i="24"/>
  <c r="M454" i="24"/>
  <c r="O454" i="24"/>
  <c r="H446" i="24"/>
  <c r="J446" i="24"/>
  <c r="L446" i="24"/>
  <c r="N446" i="24"/>
  <c r="K446" i="24"/>
  <c r="M446" i="24"/>
  <c r="O446" i="24"/>
  <c r="G446" i="24"/>
  <c r="I446" i="24"/>
  <c r="J441" i="24"/>
  <c r="L441" i="24"/>
  <c r="N441" i="24"/>
  <c r="I441" i="24"/>
  <c r="O441" i="24"/>
  <c r="K441" i="24"/>
  <c r="G441" i="24"/>
  <c r="M441" i="24"/>
  <c r="H441" i="24"/>
  <c r="H512" i="24"/>
  <c r="I512" i="24"/>
  <c r="K512" i="24"/>
  <c r="L512" i="24"/>
  <c r="M512" i="24"/>
  <c r="N512" i="24"/>
  <c r="O512" i="24"/>
  <c r="J512" i="24"/>
  <c r="G512" i="24"/>
  <c r="G509" i="24"/>
  <c r="H509" i="24"/>
  <c r="I509" i="24"/>
  <c r="J509" i="24"/>
  <c r="K509" i="24"/>
  <c r="L509" i="24"/>
  <c r="M509" i="24"/>
  <c r="N509" i="24"/>
  <c r="O509" i="24"/>
  <c r="L438" i="24"/>
  <c r="G438" i="24"/>
  <c r="O438" i="24"/>
  <c r="N438" i="24"/>
  <c r="I438" i="24"/>
  <c r="K438" i="24"/>
  <c r="H438" i="24"/>
  <c r="M438" i="24"/>
  <c r="J438" i="24"/>
  <c r="M518" i="24"/>
  <c r="H518" i="24"/>
  <c r="I518" i="24"/>
  <c r="G518" i="24"/>
  <c r="J518" i="24"/>
  <c r="K518" i="24"/>
  <c r="L518" i="24"/>
  <c r="O518" i="24"/>
  <c r="N518" i="24"/>
  <c r="N467" i="24"/>
  <c r="K467" i="24"/>
  <c r="M467" i="24"/>
  <c r="O467" i="24"/>
  <c r="H467" i="24"/>
  <c r="L467" i="24"/>
  <c r="I467" i="24"/>
  <c r="J467" i="24"/>
  <c r="G467" i="24"/>
  <c r="H448" i="24"/>
  <c r="N448" i="24"/>
  <c r="L448" i="24"/>
  <c r="K448" i="24"/>
  <c r="J448" i="24"/>
  <c r="I448" i="24"/>
  <c r="O448" i="24"/>
  <c r="G448" i="24"/>
  <c r="M448" i="24"/>
  <c r="G447" i="24"/>
  <c r="L447" i="24"/>
  <c r="N447" i="24"/>
  <c r="K447" i="24"/>
  <c r="J447" i="24"/>
  <c r="M447" i="24"/>
  <c r="I447" i="24"/>
  <c r="H447" i="24"/>
  <c r="O447" i="24"/>
  <c r="J445" i="24"/>
  <c r="G445" i="24"/>
  <c r="N445" i="24"/>
  <c r="K445" i="24"/>
  <c r="H445" i="24"/>
  <c r="I445" i="24"/>
  <c r="M445" i="24"/>
  <c r="L445" i="24"/>
  <c r="O445" i="24"/>
  <c r="O510" i="24"/>
  <c r="N510" i="24"/>
  <c r="M510" i="24"/>
  <c r="L510" i="24"/>
  <c r="J510" i="24"/>
  <c r="I510" i="24"/>
  <c r="H510" i="24"/>
  <c r="G510" i="24"/>
  <c r="K510" i="24"/>
  <c r="O437" i="24"/>
  <c r="I437" i="24"/>
  <c r="N437" i="24"/>
  <c r="K437" i="24"/>
  <c r="L437" i="24"/>
  <c r="H437" i="24"/>
  <c r="M437" i="24"/>
  <c r="G437" i="24"/>
  <c r="J437" i="24"/>
  <c r="G508" i="24"/>
  <c r="L508" i="24"/>
  <c r="M508" i="24"/>
  <c r="I508" i="24"/>
  <c r="J508" i="24"/>
  <c r="K508" i="24"/>
  <c r="H508" i="24"/>
  <c r="N508" i="24"/>
  <c r="O508" i="24"/>
  <c r="G794" i="24"/>
  <c r="L794" i="24"/>
  <c r="M794" i="24"/>
  <c r="N794" i="24"/>
  <c r="O794" i="24"/>
  <c r="K794" i="24"/>
  <c r="H794" i="24"/>
  <c r="I794" i="24"/>
  <c r="J794" i="24"/>
  <c r="N791" i="24"/>
  <c r="J791" i="24"/>
  <c r="K791" i="24"/>
  <c r="L791" i="24"/>
  <c r="M791" i="24"/>
  <c r="I791" i="24"/>
  <c r="H791" i="24"/>
  <c r="G791" i="24"/>
  <c r="O791" i="24"/>
  <c r="H726" i="24"/>
  <c r="L726" i="24"/>
  <c r="N726" i="24"/>
  <c r="M726" i="24"/>
  <c r="K726" i="24"/>
  <c r="I726" i="24"/>
  <c r="G726" i="24"/>
  <c r="J726" i="24"/>
  <c r="O726" i="24"/>
  <c r="J857" i="24"/>
  <c r="K857" i="24"/>
  <c r="L857" i="24"/>
  <c r="I857" i="24"/>
  <c r="M857" i="24"/>
  <c r="O857" i="24"/>
  <c r="N857" i="24"/>
  <c r="H857" i="24"/>
  <c r="N969" i="24"/>
  <c r="O969" i="24"/>
  <c r="M969" i="24"/>
  <c r="L969" i="24"/>
  <c r="J964" i="24"/>
  <c r="K964" i="24"/>
  <c r="L964" i="24"/>
  <c r="I964" i="24"/>
  <c r="G292" i="24"/>
  <c r="N292" i="24"/>
  <c r="O292" i="24"/>
  <c r="H292" i="24"/>
  <c r="I292" i="24"/>
  <c r="J292" i="24"/>
  <c r="K292" i="24"/>
  <c r="L292" i="24"/>
  <c r="M292" i="24"/>
  <c r="K762" i="24"/>
  <c r="G762" i="24"/>
  <c r="O762" i="24"/>
  <c r="N762" i="24"/>
  <c r="I762" i="24"/>
  <c r="M762" i="24"/>
  <c r="L762" i="24"/>
  <c r="J762" i="24"/>
  <c r="H762" i="24"/>
  <c r="I294" i="24"/>
  <c r="J294" i="24"/>
  <c r="G294" i="24"/>
  <c r="N294" i="24"/>
  <c r="O294" i="24"/>
  <c r="M294" i="24"/>
  <c r="K294" i="24"/>
  <c r="L294" i="24"/>
  <c r="H294" i="24"/>
  <c r="J293" i="24"/>
  <c r="K293" i="24"/>
  <c r="M293" i="24"/>
  <c r="N293" i="24"/>
  <c r="O293" i="24"/>
  <c r="L293" i="24"/>
  <c r="G293" i="24"/>
  <c r="H293" i="24"/>
  <c r="I293" i="24"/>
  <c r="O795" i="24"/>
  <c r="N795" i="24"/>
  <c r="M795" i="24"/>
  <c r="L795" i="24"/>
  <c r="K795" i="24"/>
  <c r="J795" i="24"/>
  <c r="I795" i="24"/>
  <c r="H795" i="24"/>
  <c r="G795" i="24"/>
  <c r="H793" i="24"/>
  <c r="I793" i="24"/>
  <c r="J793" i="24"/>
  <c r="K793" i="24"/>
  <c r="L793" i="24"/>
  <c r="N793" i="24"/>
  <c r="M793" i="24"/>
  <c r="G793" i="24"/>
  <c r="O793" i="24"/>
  <c r="N647" i="24"/>
  <c r="M647" i="24"/>
  <c r="O647" i="24"/>
  <c r="L647" i="24"/>
  <c r="K647" i="24"/>
  <c r="J647" i="24"/>
  <c r="O429" i="24"/>
  <c r="K429" i="24"/>
  <c r="I429" i="24"/>
  <c r="L429" i="24"/>
  <c r="M429" i="24"/>
  <c r="G429" i="24"/>
  <c r="H429" i="24"/>
  <c r="J429" i="24"/>
  <c r="N429" i="24"/>
  <c r="J967" i="24"/>
  <c r="H967" i="24"/>
  <c r="G967" i="24"/>
  <c r="I967" i="24"/>
  <c r="N967" i="24"/>
  <c r="M967" i="24"/>
  <c r="L967" i="24"/>
  <c r="K967" i="24"/>
  <c r="O967" i="24"/>
  <c r="H463" i="24"/>
  <c r="L463" i="24"/>
  <c r="J463" i="24"/>
  <c r="M463" i="24"/>
  <c r="I463" i="24"/>
  <c r="G463" i="24"/>
  <c r="N463" i="24"/>
  <c r="O463" i="24"/>
  <c r="K463" i="24"/>
  <c r="K442" i="24"/>
  <c r="M442" i="24"/>
  <c r="G442" i="24"/>
  <c r="O442" i="24"/>
  <c r="N442" i="24"/>
  <c r="L442" i="24"/>
  <c r="J442" i="24"/>
  <c r="I442" i="24"/>
  <c r="H442" i="24"/>
  <c r="I431" i="24"/>
  <c r="L431" i="24"/>
  <c r="N431" i="24"/>
  <c r="G431" i="24"/>
  <c r="M431" i="24"/>
  <c r="J431" i="24"/>
  <c r="H431" i="24"/>
  <c r="K431" i="24"/>
  <c r="O431" i="24"/>
  <c r="I428" i="24"/>
  <c r="G428" i="24"/>
  <c r="L428" i="24"/>
  <c r="M428" i="24"/>
  <c r="O428" i="24"/>
  <c r="J428" i="24"/>
  <c r="N428" i="24"/>
  <c r="K428" i="24"/>
  <c r="H428" i="24"/>
  <c r="K436" i="24"/>
  <c r="O436" i="24"/>
  <c r="I436" i="24"/>
  <c r="J436" i="24"/>
  <c r="M436" i="24"/>
  <c r="G436" i="24"/>
  <c r="L436" i="24"/>
  <c r="N436" i="24"/>
  <c r="H436" i="24"/>
  <c r="H430" i="24"/>
  <c r="G430" i="24"/>
  <c r="N430" i="24"/>
  <c r="K430" i="24"/>
  <c r="M430" i="24"/>
  <c r="I430" i="24"/>
  <c r="O430" i="24"/>
  <c r="L430" i="24"/>
  <c r="J430" i="24"/>
  <c r="N424" i="24"/>
  <c r="H424" i="24"/>
  <c r="J424" i="24"/>
  <c r="M424" i="24"/>
  <c r="G424" i="24"/>
  <c r="I424" i="24"/>
  <c r="L424" i="24"/>
  <c r="O424" i="24"/>
  <c r="K424" i="24"/>
  <c r="K119" i="24"/>
  <c r="I119" i="24"/>
  <c r="M119" i="24"/>
  <c r="L119" i="24"/>
  <c r="G119" i="24"/>
  <c r="N119" i="24"/>
  <c r="O119" i="24"/>
  <c r="H119" i="24"/>
  <c r="J119" i="24"/>
  <c r="N121" i="24"/>
  <c r="H121" i="24"/>
  <c r="J121" i="24"/>
  <c r="M121" i="24"/>
  <c r="G121" i="24"/>
  <c r="I121" i="24"/>
  <c r="L121" i="24"/>
  <c r="O121" i="24"/>
  <c r="K121" i="24"/>
  <c r="G885" i="24"/>
  <c r="H885" i="24"/>
  <c r="I885" i="24"/>
  <c r="J885" i="24"/>
  <c r="K885" i="24"/>
  <c r="L885" i="24"/>
  <c r="M885" i="24"/>
  <c r="N885" i="24"/>
  <c r="O885" i="24"/>
  <c r="M929" i="24"/>
  <c r="N929" i="24"/>
  <c r="O929" i="24"/>
  <c r="O489" i="24"/>
  <c r="N489" i="24"/>
  <c r="M423" i="24"/>
  <c r="G423" i="24"/>
  <c r="L423" i="24"/>
  <c r="J423" i="24"/>
  <c r="H423" i="24"/>
  <c r="O423" i="24"/>
  <c r="M988" i="24"/>
  <c r="N988" i="24"/>
  <c r="O988" i="24"/>
  <c r="L988" i="24"/>
  <c r="K789" i="24"/>
  <c r="L789" i="24"/>
  <c r="N789" i="24"/>
  <c r="O789" i="24"/>
  <c r="M789" i="24"/>
  <c r="M515" i="24"/>
  <c r="N515" i="24"/>
  <c r="O515" i="24"/>
  <c r="G515" i="24"/>
  <c r="H515" i="24"/>
  <c r="J515" i="24"/>
  <c r="I515" i="24"/>
  <c r="K515" i="24"/>
  <c r="L515" i="24"/>
  <c r="O245" i="24"/>
  <c r="N245" i="24"/>
  <c r="M245" i="24"/>
  <c r="L245" i="24"/>
  <c r="K245" i="24"/>
  <c r="J245" i="24"/>
  <c r="I245" i="24"/>
  <c r="H245" i="24"/>
  <c r="G245" i="24"/>
  <c r="J242" i="24"/>
  <c r="K242" i="24"/>
  <c r="L242" i="24"/>
  <c r="M242" i="24"/>
  <c r="N242" i="24"/>
  <c r="O242" i="24"/>
  <c r="I242" i="24"/>
  <c r="H242" i="24"/>
  <c r="G242" i="24"/>
  <c r="L241" i="24"/>
  <c r="M241" i="24"/>
  <c r="N241" i="24"/>
  <c r="O241" i="24"/>
  <c r="G241" i="24"/>
  <c r="H241" i="24"/>
  <c r="I241" i="24"/>
  <c r="J241" i="24"/>
  <c r="K241" i="24"/>
  <c r="O238" i="24"/>
  <c r="N238" i="24"/>
  <c r="M238" i="24"/>
  <c r="L238" i="24"/>
  <c r="K238" i="24"/>
  <c r="J238" i="24"/>
  <c r="G238" i="24"/>
  <c r="I238" i="24"/>
  <c r="H238" i="24"/>
  <c r="J721" i="24"/>
  <c r="L721" i="24"/>
  <c r="H721" i="24"/>
  <c r="I721" i="24"/>
  <c r="G721" i="24"/>
  <c r="K721" i="24"/>
  <c r="M721" i="24"/>
  <c r="N721" i="24"/>
  <c r="O721" i="24"/>
  <c r="K720" i="24"/>
  <c r="L720" i="24"/>
  <c r="J720" i="24"/>
  <c r="G720" i="24"/>
  <c r="M720" i="24"/>
  <c r="N720" i="24"/>
  <c r="O720" i="24"/>
  <c r="I720" i="24"/>
  <c r="H720" i="24"/>
  <c r="I787" i="24"/>
  <c r="H787" i="24"/>
  <c r="N787" i="24"/>
  <c r="O787" i="24"/>
  <c r="M787" i="24"/>
  <c r="L787" i="24"/>
  <c r="K787" i="24"/>
  <c r="J787" i="24"/>
  <c r="G787" i="24"/>
  <c r="J244" i="24"/>
  <c r="I244" i="24"/>
  <c r="H244" i="24"/>
  <c r="G244" i="24"/>
  <c r="N244" i="24"/>
  <c r="O244" i="24"/>
  <c r="M244" i="24"/>
  <c r="L244" i="24"/>
  <c r="K244" i="24"/>
  <c r="O243" i="24"/>
  <c r="M243" i="24"/>
  <c r="G243" i="24"/>
  <c r="H243" i="24"/>
  <c r="I243" i="24"/>
  <c r="J243" i="24"/>
  <c r="K243" i="24"/>
  <c r="L243" i="24"/>
  <c r="N243" i="24"/>
  <c r="O240" i="24"/>
  <c r="N240" i="24"/>
  <c r="M240" i="24"/>
  <c r="L240" i="24"/>
  <c r="K240" i="24"/>
  <c r="J240" i="24"/>
  <c r="I240" i="24"/>
  <c r="H240" i="24"/>
  <c r="G240" i="24"/>
  <c r="M237" i="24"/>
  <c r="L237" i="24"/>
  <c r="K237" i="24"/>
  <c r="J237" i="24"/>
  <c r="I237" i="24"/>
  <c r="H237" i="24"/>
  <c r="G237" i="24"/>
  <c r="O237" i="24"/>
  <c r="N237" i="24"/>
  <c r="N718" i="24"/>
  <c r="L718" i="24"/>
  <c r="M718" i="24"/>
  <c r="G718" i="24"/>
  <c r="O718" i="24"/>
  <c r="H718" i="24"/>
  <c r="I718" i="24"/>
  <c r="J718" i="24"/>
  <c r="K718" i="24"/>
  <c r="L958" i="24"/>
  <c r="K958" i="24"/>
  <c r="O958" i="24"/>
  <c r="N958" i="24"/>
  <c r="M958" i="24"/>
  <c r="G958" i="24"/>
  <c r="H958" i="24"/>
  <c r="I958" i="24"/>
  <c r="J958" i="24"/>
  <c r="K947" i="24"/>
  <c r="G947" i="24"/>
  <c r="H947" i="24"/>
  <c r="I947" i="24"/>
  <c r="L947" i="24"/>
  <c r="M947" i="24"/>
  <c r="N947" i="24"/>
  <c r="O947" i="24"/>
  <c r="J947" i="24"/>
  <c r="G301" i="24"/>
  <c r="H301" i="24"/>
  <c r="I301" i="24"/>
  <c r="J301" i="24"/>
  <c r="K301" i="24"/>
  <c r="L301" i="24"/>
  <c r="M301" i="24"/>
  <c r="N301" i="24"/>
  <c r="O301" i="24"/>
  <c r="M912" i="24"/>
  <c r="N912" i="24"/>
  <c r="O912" i="24"/>
  <c r="G912" i="24"/>
  <c r="H912" i="24"/>
  <c r="I912" i="24"/>
  <c r="J912" i="24"/>
  <c r="K912" i="24"/>
  <c r="L912" i="24"/>
  <c r="H874" i="24"/>
  <c r="N874" i="24"/>
  <c r="K874" i="24"/>
  <c r="M874" i="24"/>
  <c r="L874" i="24"/>
  <c r="G874" i="24"/>
  <c r="I874" i="24"/>
  <c r="J874" i="24"/>
  <c r="O874" i="24"/>
  <c r="I914" i="24"/>
  <c r="K914" i="24"/>
  <c r="J914" i="24"/>
  <c r="G914" i="24"/>
  <c r="N914" i="24"/>
  <c r="H914" i="24"/>
  <c r="O914" i="24"/>
  <c r="M914" i="24"/>
  <c r="L914" i="24"/>
  <c r="M839" i="24"/>
  <c r="L839" i="24"/>
  <c r="K839" i="24"/>
  <c r="J839" i="24"/>
  <c r="O839" i="24"/>
  <c r="N839" i="24"/>
  <c r="G839" i="24"/>
  <c r="I839" i="24"/>
  <c r="H839" i="24"/>
  <c r="H952" i="24"/>
  <c r="K952" i="24"/>
  <c r="M952" i="24"/>
  <c r="N952" i="24"/>
  <c r="L952" i="24"/>
  <c r="O952" i="24"/>
  <c r="G952" i="24"/>
  <c r="I952" i="24"/>
  <c r="J952" i="24"/>
  <c r="O911" i="24"/>
  <c r="N911" i="24"/>
  <c r="M911" i="24"/>
  <c r="G911" i="24"/>
  <c r="H911" i="24"/>
  <c r="I911" i="24"/>
  <c r="J911" i="24"/>
  <c r="K911" i="24"/>
  <c r="L911" i="24"/>
  <c r="L877" i="24"/>
  <c r="M877" i="24"/>
  <c r="N877" i="24"/>
  <c r="O877" i="24"/>
  <c r="K877" i="24"/>
  <c r="G877" i="24"/>
  <c r="H877" i="24"/>
  <c r="I877" i="24"/>
  <c r="J877" i="24"/>
  <c r="N959" i="24"/>
  <c r="M959" i="24"/>
  <c r="G959" i="24"/>
  <c r="H959" i="24"/>
  <c r="I959" i="24"/>
  <c r="O959" i="24"/>
  <c r="K959" i="24"/>
  <c r="J959" i="24"/>
  <c r="I957" i="24"/>
  <c r="L957" i="24"/>
  <c r="H957" i="24"/>
  <c r="G957" i="24"/>
  <c r="N957" i="24"/>
  <c r="M957" i="24"/>
  <c r="K957" i="24"/>
  <c r="J957" i="24"/>
  <c r="O957" i="24"/>
  <c r="N835" i="24"/>
  <c r="M835" i="24"/>
  <c r="L835" i="24"/>
  <c r="G835" i="24"/>
  <c r="H835" i="24"/>
  <c r="O835" i="24"/>
  <c r="I835" i="24"/>
  <c r="J835" i="24"/>
  <c r="K835" i="24"/>
  <c r="O953" i="24"/>
  <c r="N953" i="24"/>
  <c r="M953" i="24"/>
  <c r="L953" i="24"/>
  <c r="K953" i="24"/>
  <c r="J953" i="24"/>
  <c r="H953" i="24"/>
  <c r="I953" i="24"/>
  <c r="G953" i="24"/>
  <c r="I913" i="24"/>
  <c r="H913" i="24"/>
  <c r="G913" i="24"/>
  <c r="N913" i="24"/>
  <c r="L913" i="24"/>
  <c r="K913" i="24"/>
  <c r="M913" i="24"/>
  <c r="J913" i="24"/>
  <c r="O913" i="24"/>
  <c r="K910" i="24"/>
  <c r="L910" i="24"/>
  <c r="N910" i="24"/>
  <c r="O910" i="24"/>
  <c r="M910" i="24"/>
  <c r="G910" i="24"/>
  <c r="H910" i="24"/>
  <c r="I910" i="24"/>
  <c r="J910" i="24"/>
  <c r="H951" i="24"/>
  <c r="M951" i="24"/>
  <c r="N951" i="24"/>
  <c r="O951" i="24"/>
  <c r="J951" i="24"/>
  <c r="K951" i="24"/>
  <c r="G951" i="24"/>
  <c r="L951" i="24"/>
  <c r="I951" i="24"/>
  <c r="M300" i="24"/>
  <c r="L300" i="24"/>
  <c r="K300" i="24"/>
  <c r="J300" i="24"/>
  <c r="I300" i="24"/>
  <c r="G300" i="24"/>
  <c r="N300" i="24"/>
  <c r="O300" i="24"/>
  <c r="H300" i="24"/>
  <c r="N727" i="24"/>
  <c r="G727" i="24"/>
  <c r="K727" i="24"/>
  <c r="M727" i="24"/>
  <c r="O727" i="24"/>
  <c r="L727" i="24"/>
  <c r="I727" i="24"/>
  <c r="I948" i="24"/>
  <c r="K948" i="24"/>
  <c r="N948" i="24"/>
  <c r="G948" i="24"/>
  <c r="H948" i="24"/>
  <c r="J948" i="24"/>
  <c r="L948" i="24"/>
  <c r="M948" i="24"/>
  <c r="O948" i="24"/>
  <c r="G302" i="24"/>
  <c r="O302" i="24"/>
  <c r="I302" i="24"/>
  <c r="J302" i="24"/>
  <c r="H302" i="24"/>
  <c r="K302" i="24"/>
  <c r="L302" i="24"/>
  <c r="M302" i="24"/>
  <c r="N302" i="24"/>
  <c r="L838" i="24"/>
  <c r="M838" i="24"/>
  <c r="N838" i="24"/>
  <c r="O838" i="24"/>
  <c r="G838" i="24"/>
  <c r="H838" i="24"/>
  <c r="I838" i="24"/>
  <c r="J838" i="24"/>
  <c r="K838" i="24"/>
  <c r="M944" i="24"/>
  <c r="N944" i="24"/>
  <c r="H944" i="24"/>
  <c r="O944" i="24"/>
  <c r="G944" i="24"/>
  <c r="I944" i="24"/>
  <c r="J944" i="24"/>
  <c r="K944" i="24"/>
  <c r="L944" i="24"/>
  <c r="L875" i="24"/>
  <c r="H875" i="24"/>
  <c r="G875" i="24"/>
  <c r="O875" i="24"/>
  <c r="N875" i="24"/>
  <c r="M875" i="24"/>
  <c r="K875" i="24"/>
  <c r="J875" i="24"/>
  <c r="I875" i="24"/>
  <c r="J826" i="24"/>
  <c r="N826" i="24"/>
  <c r="M826" i="24"/>
  <c r="O826" i="24"/>
  <c r="K826" i="24"/>
  <c r="L826" i="24"/>
  <c r="I826" i="24"/>
  <c r="G826" i="24"/>
  <c r="H826" i="24"/>
  <c r="J236" i="24"/>
  <c r="N236" i="24"/>
  <c r="M236" i="24"/>
  <c r="H236" i="24"/>
  <c r="I236" i="24"/>
  <c r="K236" i="24"/>
  <c r="G236" i="24"/>
  <c r="L236" i="24"/>
  <c r="O236" i="24"/>
  <c r="I990" i="24"/>
  <c r="L990" i="24"/>
  <c r="O990" i="24"/>
  <c r="M990" i="24"/>
  <c r="H990" i="24"/>
  <c r="K990" i="24"/>
  <c r="N990" i="24"/>
  <c r="J990" i="24"/>
  <c r="G990" i="24"/>
  <c r="J17" i="24"/>
  <c r="K17" i="24"/>
  <c r="G17" i="24"/>
  <c r="L17" i="24"/>
  <c r="H17" i="24"/>
  <c r="I17" i="24"/>
  <c r="M17" i="24"/>
  <c r="N17" i="24"/>
  <c r="O17" i="24"/>
  <c r="G365" i="24"/>
  <c r="H365" i="24"/>
  <c r="I365" i="24"/>
  <c r="J365" i="24"/>
  <c r="K365" i="24"/>
  <c r="L365" i="24"/>
  <c r="M365" i="24"/>
  <c r="N365" i="24"/>
  <c r="O365" i="24"/>
  <c r="G991" i="24"/>
  <c r="J991" i="24"/>
  <c r="O991" i="24"/>
  <c r="H991" i="24"/>
  <c r="N991" i="24"/>
  <c r="M991" i="24"/>
  <c r="L991" i="24"/>
  <c r="K991" i="24"/>
  <c r="I991" i="24"/>
  <c r="H950" i="24"/>
  <c r="G950" i="24"/>
  <c r="L950" i="24"/>
  <c r="I950" i="24"/>
  <c r="J950" i="24"/>
  <c r="M950" i="24"/>
  <c r="N950" i="24"/>
  <c r="O950" i="24"/>
  <c r="K950" i="24"/>
  <c r="N324" i="24"/>
  <c r="M324" i="24"/>
  <c r="L324" i="24"/>
  <c r="K324" i="24"/>
  <c r="J324" i="24"/>
  <c r="I324" i="24"/>
  <c r="H324" i="24"/>
  <c r="G324" i="24"/>
  <c r="O324" i="24"/>
  <c r="O516" i="24"/>
  <c r="N516" i="24"/>
  <c r="L516" i="24"/>
  <c r="K516" i="24"/>
  <c r="J516" i="24"/>
  <c r="H516" i="24"/>
  <c r="G516" i="24"/>
  <c r="I516" i="24"/>
  <c r="M516" i="24"/>
  <c r="O949" i="24"/>
  <c r="N949" i="24"/>
  <c r="L949" i="24"/>
  <c r="G949" i="24"/>
  <c r="H949" i="24"/>
  <c r="I949" i="24"/>
  <c r="J949" i="24"/>
  <c r="K949" i="24"/>
  <c r="M949" i="24"/>
  <c r="I956" i="24"/>
  <c r="M956" i="24"/>
  <c r="L956" i="24"/>
  <c r="K956" i="24"/>
  <c r="J956" i="24"/>
  <c r="H956" i="24"/>
  <c r="G956" i="24"/>
  <c r="O956" i="24"/>
  <c r="N956" i="24"/>
  <c r="K954" i="24"/>
  <c r="J954" i="24"/>
  <c r="I954" i="24"/>
  <c r="H954" i="24"/>
  <c r="G954" i="24"/>
  <c r="M954" i="24"/>
  <c r="N954" i="24"/>
  <c r="O954" i="24"/>
  <c r="L954" i="24"/>
  <c r="H955" i="24"/>
  <c r="G955" i="24"/>
  <c r="K955" i="24"/>
  <c r="J955" i="24"/>
  <c r="O955" i="24"/>
  <c r="N955" i="24"/>
  <c r="M955" i="24"/>
  <c r="L955" i="24"/>
  <c r="I955" i="24"/>
  <c r="I53" i="24"/>
  <c r="H53" i="24"/>
  <c r="K53" i="24"/>
  <c r="N53" i="24"/>
  <c r="M53" i="24"/>
  <c r="L53" i="24"/>
  <c r="J53" i="24"/>
  <c r="G53" i="24"/>
  <c r="O53" i="24"/>
  <c r="L23" i="24"/>
  <c r="G23" i="24"/>
  <c r="I23" i="24"/>
  <c r="J23" i="24"/>
  <c r="M23" i="24"/>
  <c r="H23" i="24"/>
  <c r="K23" i="24"/>
  <c r="N23" i="24"/>
  <c r="O23" i="24"/>
  <c r="J105" i="24"/>
  <c r="M105" i="24"/>
  <c r="K105" i="24"/>
  <c r="H105" i="24"/>
  <c r="L105" i="24"/>
  <c r="I105" i="24"/>
  <c r="G105" i="24"/>
  <c r="O105" i="24"/>
  <c r="N105" i="24"/>
  <c r="L134" i="24"/>
  <c r="N134" i="24"/>
  <c r="G134" i="24"/>
  <c r="I134" i="24"/>
  <c r="K134" i="24"/>
  <c r="M134" i="24"/>
  <c r="H134" i="24"/>
  <c r="J134" i="24"/>
  <c r="O134" i="24"/>
  <c r="O994" i="24"/>
  <c r="N994" i="24"/>
  <c r="M994" i="24"/>
  <c r="L994" i="24"/>
  <c r="K994" i="24"/>
  <c r="J994" i="24"/>
  <c r="I994" i="24"/>
  <c r="H994" i="24"/>
  <c r="G994" i="24"/>
  <c r="G809" i="24"/>
  <c r="H809" i="24"/>
  <c r="I809" i="24"/>
  <c r="J809" i="24"/>
  <c r="K809" i="24"/>
  <c r="L809" i="24"/>
  <c r="M809" i="24"/>
  <c r="N809" i="24"/>
  <c r="O809" i="24"/>
  <c r="G398" i="24"/>
  <c r="H398" i="24"/>
  <c r="I398" i="24"/>
  <c r="J398" i="24"/>
  <c r="K398" i="24"/>
  <c r="L398" i="24"/>
  <c r="M398" i="24"/>
  <c r="N398" i="24"/>
  <c r="O398" i="24"/>
  <c r="G399" i="24"/>
  <c r="H399" i="24"/>
  <c r="I399" i="24"/>
  <c r="J399" i="24"/>
  <c r="K399" i="24"/>
  <c r="L399" i="24"/>
  <c r="M399" i="24"/>
  <c r="N399" i="24"/>
  <c r="O399" i="24"/>
  <c r="H756" i="24"/>
  <c r="I756" i="24"/>
  <c r="J756" i="24"/>
  <c r="L756" i="24"/>
  <c r="N756" i="24"/>
  <c r="G756" i="24"/>
  <c r="K756" i="24"/>
  <c r="M756" i="24"/>
  <c r="O756" i="24"/>
  <c r="L866" i="24"/>
  <c r="G866" i="24"/>
  <c r="H866" i="24"/>
  <c r="I866" i="24"/>
  <c r="J866" i="24"/>
  <c r="K866" i="24"/>
  <c r="M866" i="24"/>
  <c r="N866" i="24"/>
  <c r="O866" i="24"/>
  <c r="K501" i="24"/>
  <c r="L501" i="24"/>
  <c r="G501" i="24"/>
  <c r="H501" i="24"/>
  <c r="M501" i="24"/>
  <c r="N501" i="24"/>
  <c r="O501" i="24"/>
  <c r="I501" i="24"/>
  <c r="J501" i="24"/>
  <c r="I135" i="24"/>
  <c r="L135" i="24"/>
  <c r="O135" i="24"/>
  <c r="H135" i="24"/>
  <c r="K135" i="24"/>
  <c r="G135" i="24"/>
  <c r="N135" i="24"/>
  <c r="M135" i="24"/>
  <c r="J135" i="24"/>
  <c r="J334" i="24"/>
  <c r="O334" i="24"/>
  <c r="I334" i="24"/>
  <c r="K334" i="24"/>
  <c r="N334" i="24"/>
  <c r="M334" i="24"/>
  <c r="L334" i="24"/>
  <c r="L331" i="24"/>
  <c r="K331" i="24"/>
  <c r="J331" i="24"/>
  <c r="I331" i="24"/>
  <c r="H331" i="24"/>
  <c r="G331" i="24"/>
  <c r="M331" i="24"/>
  <c r="N331" i="24"/>
  <c r="O331" i="24"/>
  <c r="H330" i="24"/>
  <c r="I330" i="24"/>
  <c r="N330" i="24"/>
  <c r="J330" i="24"/>
  <c r="L330" i="24"/>
  <c r="M330" i="24"/>
  <c r="O330" i="24"/>
  <c r="G330" i="24"/>
  <c r="K330" i="24"/>
  <c r="H891" i="24"/>
  <c r="N891" i="24"/>
  <c r="O891" i="24"/>
  <c r="G891" i="24"/>
  <c r="M891" i="24"/>
  <c r="L891" i="24"/>
  <c r="K891" i="24"/>
  <c r="J891" i="24"/>
  <c r="I891" i="24"/>
  <c r="K662" i="24"/>
  <c r="L662" i="24"/>
  <c r="M662" i="24"/>
  <c r="N662" i="24"/>
  <c r="O662" i="24"/>
  <c r="G662" i="24"/>
  <c r="H662" i="24"/>
  <c r="I662" i="24"/>
  <c r="J662" i="24"/>
  <c r="J746" i="24"/>
  <c r="K746" i="24"/>
  <c r="N746" i="24"/>
  <c r="G746" i="24"/>
  <c r="I746" i="24"/>
  <c r="L746" i="24"/>
  <c r="O746" i="24"/>
  <c r="M746" i="24"/>
  <c r="H746" i="24"/>
  <c r="N743" i="24"/>
  <c r="I743" i="24"/>
  <c r="K743" i="24"/>
  <c r="O743" i="24"/>
  <c r="L743" i="24"/>
  <c r="G743" i="24"/>
  <c r="M743" i="24"/>
  <c r="J743" i="24"/>
  <c r="H743" i="24"/>
  <c r="I426" i="24"/>
  <c r="M426" i="24"/>
  <c r="H426" i="24"/>
  <c r="J426" i="24"/>
  <c r="K426" i="24"/>
  <c r="N426" i="24"/>
  <c r="G426" i="24"/>
  <c r="L426" i="24"/>
  <c r="O426" i="24"/>
  <c r="O417" i="24"/>
  <c r="L417" i="24"/>
  <c r="H417" i="24"/>
  <c r="I417" i="24"/>
  <c r="N417" i="24"/>
  <c r="J417" i="24"/>
  <c r="M417" i="24"/>
  <c r="G417" i="24"/>
  <c r="K417" i="24"/>
  <c r="I26" i="24"/>
  <c r="M26" i="24"/>
  <c r="L26" i="24"/>
  <c r="H26" i="24"/>
  <c r="J26" i="24"/>
  <c r="N26" i="24"/>
  <c r="O26" i="24"/>
  <c r="K26" i="24"/>
  <c r="G26" i="24"/>
  <c r="M111" i="24"/>
  <c r="G111" i="24"/>
  <c r="O111" i="24"/>
  <c r="I111" i="24"/>
  <c r="N111" i="24"/>
  <c r="H111" i="24"/>
  <c r="J111" i="24"/>
  <c r="K111" i="24"/>
  <c r="L111" i="24"/>
  <c r="N107" i="24"/>
  <c r="L107" i="24"/>
  <c r="G107" i="24"/>
  <c r="M107" i="24"/>
  <c r="J107" i="24"/>
  <c r="H107" i="24"/>
  <c r="O107" i="24"/>
  <c r="K107" i="24"/>
  <c r="I107" i="24"/>
  <c r="J495" i="24"/>
  <c r="K495" i="24"/>
  <c r="L495" i="24"/>
  <c r="H495" i="24"/>
  <c r="N495" i="24"/>
  <c r="O495" i="24"/>
  <c r="G495" i="24"/>
  <c r="I495" i="24"/>
  <c r="M495" i="24"/>
  <c r="J511" i="24"/>
  <c r="I511" i="24"/>
  <c r="H511" i="24"/>
  <c r="G511" i="24"/>
  <c r="O511" i="24"/>
  <c r="N511" i="24"/>
  <c r="M511" i="24"/>
  <c r="L511" i="24"/>
  <c r="K511" i="24"/>
  <c r="K423" i="24"/>
  <c r="N423" i="24"/>
  <c r="M422" i="24"/>
  <c r="J422" i="24"/>
  <c r="H422" i="24"/>
  <c r="G422" i="24"/>
  <c r="N422" i="24"/>
  <c r="O422" i="24"/>
  <c r="I422" i="24"/>
  <c r="K422" i="24"/>
  <c r="L422" i="24"/>
  <c r="I419" i="24"/>
  <c r="H419" i="24"/>
  <c r="N419" i="24"/>
  <c r="L419" i="24"/>
  <c r="J419" i="24"/>
  <c r="G419" i="24"/>
  <c r="O419" i="24"/>
  <c r="M419" i="24"/>
  <c r="K419" i="24"/>
  <c r="O33" i="24"/>
  <c r="G33" i="24"/>
  <c r="M33" i="24"/>
  <c r="H33" i="24"/>
  <c r="L33" i="24"/>
  <c r="I33" i="24"/>
  <c r="J33" i="24"/>
  <c r="N33" i="24"/>
  <c r="K33" i="24"/>
  <c r="N28" i="24"/>
  <c r="G28" i="24"/>
  <c r="L28" i="24"/>
  <c r="M28" i="24"/>
  <c r="H28" i="24"/>
  <c r="K28" i="24"/>
  <c r="I28" i="24"/>
  <c r="O28" i="24"/>
  <c r="J28" i="24"/>
  <c r="O25" i="24"/>
  <c r="H25" i="24"/>
  <c r="G25" i="24"/>
  <c r="M25" i="24"/>
  <c r="J25" i="24"/>
  <c r="I25" i="24"/>
  <c r="N25" i="24"/>
  <c r="L25" i="24"/>
  <c r="K25" i="24"/>
  <c r="H19" i="24"/>
  <c r="L19" i="24"/>
  <c r="O19" i="24"/>
  <c r="G19" i="24"/>
  <c r="N19" i="24"/>
  <c r="I19" i="24"/>
  <c r="J19" i="24"/>
  <c r="M19" i="24"/>
  <c r="K19" i="24"/>
  <c r="H8" i="24"/>
  <c r="O8" i="24"/>
  <c r="N8" i="24"/>
  <c r="I8" i="24"/>
  <c r="J8" i="24"/>
  <c r="K8" i="24"/>
  <c r="L8" i="24"/>
  <c r="M8" i="24"/>
  <c r="G8" i="24"/>
  <c r="J6" i="24"/>
  <c r="N6" i="24"/>
  <c r="L6" i="24"/>
  <c r="G6" i="24"/>
  <c r="I6" i="24"/>
  <c r="M6" i="24"/>
  <c r="K6" i="24"/>
  <c r="H6" i="24"/>
  <c r="O6" i="24"/>
  <c r="I139" i="24"/>
  <c r="J139" i="24"/>
  <c r="G139" i="24"/>
  <c r="N139" i="24"/>
  <c r="H139" i="24"/>
  <c r="O139" i="24"/>
  <c r="M139" i="24"/>
  <c r="L139" i="24"/>
  <c r="K139" i="24"/>
  <c r="G142" i="24"/>
  <c r="H142" i="24"/>
  <c r="I142" i="24"/>
  <c r="J142" i="24"/>
  <c r="K142" i="24"/>
  <c r="L142" i="24"/>
  <c r="N142" i="24"/>
  <c r="O142" i="24"/>
  <c r="M142" i="24"/>
  <c r="G143" i="24"/>
  <c r="H143" i="24"/>
  <c r="I143" i="24"/>
  <c r="J143" i="24"/>
  <c r="K143" i="24"/>
  <c r="L143" i="24"/>
  <c r="M143" i="24"/>
  <c r="N143" i="24"/>
  <c r="O143" i="24"/>
  <c r="G149" i="24"/>
  <c r="H149" i="24"/>
  <c r="I149" i="24"/>
  <c r="J149" i="24"/>
  <c r="K149" i="24"/>
  <c r="L149" i="24"/>
  <c r="M149" i="24"/>
  <c r="N149" i="24"/>
  <c r="O149" i="24"/>
  <c r="G152" i="24"/>
  <c r="H152" i="24"/>
  <c r="I152" i="24"/>
  <c r="J152" i="24"/>
  <c r="K152" i="24"/>
  <c r="L152" i="24"/>
  <c r="M152" i="24"/>
  <c r="N152" i="24"/>
  <c r="O152" i="24"/>
  <c r="G153" i="24"/>
  <c r="H153" i="24"/>
  <c r="I153" i="24"/>
  <c r="J153" i="24"/>
  <c r="K153" i="24"/>
  <c r="L153" i="24"/>
  <c r="M153" i="24"/>
  <c r="N153" i="24"/>
  <c r="O153" i="24"/>
  <c r="G154" i="24"/>
  <c r="H154" i="24"/>
  <c r="I154" i="24"/>
  <c r="J154" i="24"/>
  <c r="K154" i="24"/>
  <c r="L154" i="24"/>
  <c r="M154" i="24"/>
  <c r="N154" i="24"/>
  <c r="O154" i="24"/>
  <c r="G156" i="24"/>
  <c r="N156" i="24"/>
  <c r="M156" i="24"/>
  <c r="L156" i="24"/>
  <c r="K156" i="24"/>
  <c r="J156" i="24"/>
  <c r="I156" i="24"/>
  <c r="H156" i="24"/>
  <c r="O156" i="24"/>
  <c r="M158" i="24"/>
  <c r="L158" i="24"/>
  <c r="K158" i="24"/>
  <c r="J158" i="24"/>
  <c r="I158" i="24"/>
  <c r="H158" i="24"/>
  <c r="G158" i="24"/>
  <c r="N158" i="24"/>
  <c r="O158" i="24"/>
  <c r="I132" i="24"/>
  <c r="L132" i="24"/>
  <c r="N132" i="24"/>
  <c r="H132" i="24"/>
  <c r="K132" i="24"/>
  <c r="O132" i="24"/>
  <c r="I131" i="24"/>
  <c r="M131" i="24"/>
  <c r="G131" i="24"/>
  <c r="J131" i="24"/>
  <c r="L131" i="24"/>
  <c r="N131" i="24"/>
  <c r="H131" i="24"/>
  <c r="K131" i="24"/>
  <c r="O131" i="24"/>
  <c r="J130" i="24"/>
  <c r="M130" i="24"/>
  <c r="G130" i="24"/>
  <c r="H130" i="24"/>
  <c r="K130" i="24"/>
  <c r="N130" i="24"/>
  <c r="I130" i="24"/>
  <c r="L130" i="24"/>
  <c r="O130" i="24"/>
  <c r="H127" i="24"/>
  <c r="K127" i="24"/>
  <c r="N127" i="24"/>
  <c r="I127" i="24"/>
  <c r="L127" i="24"/>
  <c r="O127" i="24"/>
  <c r="G127" i="24"/>
  <c r="J127" i="24"/>
  <c r="M127" i="24"/>
  <c r="K126" i="24"/>
  <c r="O126" i="24"/>
  <c r="G126" i="24"/>
  <c r="I126" i="24"/>
  <c r="L126" i="24"/>
  <c r="N126" i="24"/>
  <c r="H126" i="24"/>
  <c r="J126" i="24"/>
  <c r="M126" i="24"/>
  <c r="J125" i="24"/>
  <c r="L125" i="24"/>
  <c r="O125" i="24"/>
  <c r="H125" i="24"/>
  <c r="K125" i="24"/>
  <c r="N125" i="24"/>
  <c r="G125" i="24"/>
  <c r="I125" i="24"/>
  <c r="M125" i="24"/>
  <c r="I124" i="24"/>
  <c r="O124" i="24"/>
  <c r="G124" i="24"/>
  <c r="K124" i="24"/>
  <c r="M124" i="24"/>
  <c r="H124" i="24"/>
  <c r="J124" i="24"/>
  <c r="L124" i="24"/>
  <c r="N124" i="24"/>
  <c r="I123" i="24"/>
  <c r="L123" i="24"/>
  <c r="O123" i="24"/>
  <c r="H123" i="24"/>
  <c r="J123" i="24"/>
  <c r="M123" i="24"/>
  <c r="G123" i="24"/>
  <c r="K123" i="24"/>
  <c r="N123" i="24"/>
  <c r="L122" i="24"/>
  <c r="O122" i="24"/>
  <c r="G122" i="24"/>
  <c r="K122" i="24"/>
  <c r="M122" i="24"/>
  <c r="H122" i="24"/>
  <c r="I122" i="24"/>
  <c r="J122" i="24"/>
  <c r="N122" i="24"/>
  <c r="H118" i="24"/>
  <c r="K118" i="24"/>
  <c r="G118" i="24"/>
  <c r="J118" i="24"/>
  <c r="L118" i="24"/>
  <c r="N118" i="24"/>
  <c r="I118" i="24"/>
  <c r="M118" i="24"/>
  <c r="O118" i="24"/>
  <c r="L113" i="24"/>
  <c r="O113" i="24"/>
  <c r="G113" i="24"/>
  <c r="I113" i="24"/>
  <c r="K113" i="24"/>
  <c r="N113" i="24"/>
  <c r="H113" i="24"/>
  <c r="J113" i="24"/>
  <c r="M113" i="24"/>
  <c r="J110" i="24"/>
  <c r="N110" i="24"/>
  <c r="H110" i="24"/>
  <c r="L110" i="24"/>
  <c r="G110" i="24"/>
  <c r="I110" i="24"/>
  <c r="K110" i="24"/>
  <c r="M110" i="24"/>
  <c r="O110" i="24"/>
  <c r="K109" i="24"/>
  <c r="G109" i="24"/>
  <c r="I109" i="24"/>
  <c r="L109" i="24"/>
  <c r="N109" i="24"/>
  <c r="H109" i="24"/>
  <c r="J109" i="24"/>
  <c r="M109" i="24"/>
  <c r="O109" i="24"/>
  <c r="I108" i="24"/>
  <c r="K108" i="24"/>
  <c r="O108" i="24"/>
  <c r="H108" i="24"/>
  <c r="M108" i="24"/>
  <c r="G108" i="24"/>
  <c r="J108" i="24"/>
  <c r="L108" i="24"/>
  <c r="N108" i="24"/>
  <c r="J49" i="24"/>
  <c r="O49" i="24"/>
  <c r="G49" i="24"/>
  <c r="K49" i="24"/>
  <c r="N49" i="24"/>
  <c r="H49" i="24"/>
  <c r="L49" i="24"/>
  <c r="I49" i="24"/>
  <c r="M49" i="24"/>
  <c r="I48" i="24"/>
  <c r="M48" i="24"/>
  <c r="J48" i="24"/>
  <c r="K48" i="24"/>
  <c r="G48" i="24"/>
  <c r="N48" i="24"/>
  <c r="H48" i="24"/>
  <c r="L48" i="24"/>
  <c r="O48" i="24"/>
  <c r="K45" i="24"/>
  <c r="M45" i="24"/>
  <c r="G45" i="24"/>
  <c r="J45" i="24"/>
  <c r="I45" i="24"/>
  <c r="L45" i="24"/>
  <c r="N45" i="24"/>
  <c r="H45" i="24"/>
  <c r="O45" i="24"/>
  <c r="K43" i="24"/>
  <c r="N43" i="24"/>
  <c r="G43" i="24"/>
  <c r="J43" i="24"/>
  <c r="M43" i="24"/>
  <c r="I43" i="24"/>
  <c r="L43" i="24"/>
  <c r="O43" i="24"/>
  <c r="H43" i="24"/>
  <c r="I42" i="24"/>
  <c r="O42" i="24"/>
  <c r="H42" i="24"/>
  <c r="L42" i="24"/>
  <c r="G42" i="24"/>
  <c r="K42" i="24"/>
  <c r="N42" i="24"/>
  <c r="J42" i="24"/>
  <c r="M42" i="24"/>
  <c r="K41" i="24"/>
  <c r="H41" i="24"/>
  <c r="J41" i="24"/>
  <c r="N41" i="24"/>
  <c r="G41" i="24"/>
  <c r="I41" i="24"/>
  <c r="L41" i="24"/>
  <c r="O41" i="24"/>
  <c r="M41" i="24"/>
  <c r="L14" i="24"/>
  <c r="H14" i="24"/>
  <c r="J14" i="24"/>
  <c r="N14" i="24"/>
  <c r="G14" i="24"/>
  <c r="M14" i="24"/>
  <c r="I14" i="24"/>
  <c r="K14" i="24"/>
  <c r="O14" i="24"/>
  <c r="K7" i="24"/>
  <c r="H7" i="24"/>
  <c r="O7" i="24"/>
  <c r="J7" i="24"/>
  <c r="N7" i="24"/>
  <c r="I7" i="24"/>
  <c r="L7" i="24"/>
  <c r="G7" i="24"/>
  <c r="M7" i="24"/>
  <c r="G170" i="24"/>
  <c r="H170" i="24"/>
  <c r="I170" i="24"/>
  <c r="J170" i="24"/>
  <c r="K170" i="24"/>
  <c r="L170" i="24"/>
  <c r="M170" i="24"/>
  <c r="N170" i="24"/>
  <c r="O170" i="24"/>
  <c r="G171" i="24"/>
  <c r="H171" i="24"/>
  <c r="I171" i="24"/>
  <c r="J171" i="24"/>
  <c r="K171" i="24"/>
  <c r="L171" i="24"/>
  <c r="M171" i="24"/>
  <c r="N171" i="24"/>
  <c r="O171" i="24"/>
  <c r="G175" i="24"/>
  <c r="H175" i="24"/>
  <c r="I175" i="24"/>
  <c r="J175" i="24"/>
  <c r="K175" i="24"/>
  <c r="L175" i="24"/>
  <c r="M175" i="24"/>
  <c r="N175" i="24"/>
  <c r="O175" i="24"/>
  <c r="G176" i="24"/>
  <c r="H176" i="24"/>
  <c r="I176" i="24"/>
  <c r="J176" i="24"/>
  <c r="K176" i="24"/>
  <c r="L176" i="24"/>
  <c r="M176" i="24"/>
  <c r="N176" i="24"/>
  <c r="O176" i="24"/>
  <c r="G177" i="24"/>
  <c r="H177" i="24"/>
  <c r="I177" i="24"/>
  <c r="J177" i="24"/>
  <c r="K177" i="24"/>
  <c r="L177" i="24"/>
  <c r="M177" i="24"/>
  <c r="N177" i="24"/>
  <c r="O177" i="24"/>
  <c r="G178" i="24"/>
  <c r="H178" i="24"/>
  <c r="I178" i="24"/>
  <c r="J178" i="24"/>
  <c r="K178" i="24"/>
  <c r="L178" i="24"/>
  <c r="M178" i="24"/>
  <c r="N178" i="24"/>
  <c r="O178" i="24"/>
  <c r="G179" i="24"/>
  <c r="H179" i="24"/>
  <c r="I179" i="24"/>
  <c r="J179" i="24"/>
  <c r="K179" i="24"/>
  <c r="L179" i="24"/>
  <c r="M179" i="24"/>
  <c r="N179" i="24"/>
  <c r="O179" i="24"/>
  <c r="G180" i="24"/>
  <c r="H180" i="24"/>
  <c r="I180" i="24"/>
  <c r="J180" i="24"/>
  <c r="K180" i="24"/>
  <c r="L180" i="24"/>
  <c r="M180" i="24"/>
  <c r="N180" i="24"/>
  <c r="O180" i="24"/>
  <c r="O181" i="24"/>
  <c r="N181" i="24"/>
  <c r="M181" i="24"/>
  <c r="L181" i="24"/>
  <c r="K181" i="24"/>
  <c r="J181" i="24"/>
  <c r="I181" i="24"/>
  <c r="H181" i="24"/>
  <c r="G181" i="24"/>
  <c r="O182" i="24"/>
  <c r="N182" i="24"/>
  <c r="M182" i="24"/>
  <c r="L182" i="24"/>
  <c r="K182" i="24"/>
  <c r="J182" i="24"/>
  <c r="I182" i="24"/>
  <c r="H182" i="24"/>
  <c r="G182" i="24"/>
  <c r="O183" i="24"/>
  <c r="N183" i="24"/>
  <c r="M183" i="24"/>
  <c r="L183" i="24"/>
  <c r="K183" i="24"/>
  <c r="J183" i="24"/>
  <c r="I183" i="24"/>
  <c r="H183" i="24"/>
  <c r="G183" i="24"/>
  <c r="O185" i="24"/>
  <c r="N185" i="24"/>
  <c r="M185" i="24"/>
  <c r="L185" i="24"/>
  <c r="K185" i="24"/>
  <c r="J185" i="24"/>
  <c r="I185" i="24"/>
  <c r="H185" i="24"/>
  <c r="G185" i="24"/>
  <c r="O184" i="24"/>
  <c r="N184" i="24"/>
  <c r="M184" i="24"/>
  <c r="L184" i="24"/>
  <c r="K184" i="24"/>
  <c r="J184" i="24"/>
  <c r="I184" i="24"/>
  <c r="H184" i="24"/>
  <c r="G184" i="24"/>
  <c r="O186" i="24"/>
  <c r="N186" i="24"/>
  <c r="M186" i="24"/>
  <c r="L186" i="24"/>
  <c r="K186" i="24"/>
  <c r="J186" i="24"/>
  <c r="I186" i="24"/>
  <c r="H186" i="24"/>
  <c r="G186" i="24"/>
  <c r="O187" i="24"/>
  <c r="N187" i="24"/>
  <c r="M187" i="24"/>
  <c r="L187" i="24"/>
  <c r="K187" i="24"/>
  <c r="J187" i="24"/>
  <c r="I187" i="24"/>
  <c r="H187" i="24"/>
  <c r="G187" i="24"/>
  <c r="O188" i="24"/>
  <c r="N188" i="24"/>
  <c r="M188" i="24"/>
  <c r="L188" i="24"/>
  <c r="K188" i="24"/>
  <c r="J188" i="24"/>
  <c r="I188" i="24"/>
  <c r="H188" i="24"/>
  <c r="G188" i="24"/>
  <c r="O189" i="24"/>
  <c r="N189" i="24"/>
  <c r="M189" i="24"/>
  <c r="L189" i="24"/>
  <c r="K189" i="24"/>
  <c r="J189" i="24"/>
  <c r="I189" i="24"/>
  <c r="H189" i="24"/>
  <c r="G189" i="24"/>
  <c r="O190" i="24"/>
  <c r="N190" i="24"/>
  <c r="M190" i="24"/>
  <c r="L190" i="24"/>
  <c r="K190" i="24"/>
  <c r="J190" i="24"/>
  <c r="I190" i="24"/>
  <c r="H190" i="24"/>
  <c r="G190" i="24"/>
  <c r="O191" i="24"/>
  <c r="N191" i="24"/>
  <c r="M191" i="24"/>
  <c r="L191" i="24"/>
  <c r="K191" i="24"/>
  <c r="J191" i="24"/>
  <c r="I191" i="24"/>
  <c r="H191" i="24"/>
  <c r="G191" i="24"/>
  <c r="K2" i="24"/>
  <c r="M2" i="24"/>
  <c r="J2" i="24"/>
  <c r="G2" i="24"/>
  <c r="L2" i="24"/>
  <c r="I2" i="24"/>
  <c r="O2" i="24"/>
  <c r="H2" i="24"/>
  <c r="N2" i="24"/>
  <c r="L3" i="24"/>
  <c r="K3" i="24"/>
  <c r="J3" i="24"/>
  <c r="O3" i="24"/>
  <c r="I3" i="24"/>
  <c r="G3" i="24"/>
  <c r="M3" i="24"/>
  <c r="N3" i="24"/>
  <c r="H3" i="24"/>
  <c r="M15" i="24"/>
  <c r="H15" i="24"/>
  <c r="K15" i="24"/>
  <c r="I15" i="24"/>
  <c r="N15" i="24"/>
  <c r="G15" i="24"/>
  <c r="L15" i="24"/>
  <c r="O15" i="24"/>
  <c r="J15" i="24"/>
  <c r="L16" i="24"/>
  <c r="G16" i="24"/>
  <c r="J16" i="24"/>
  <c r="O16" i="24"/>
  <c r="H16" i="24"/>
  <c r="M16" i="24"/>
  <c r="K16" i="24"/>
  <c r="N16" i="24"/>
  <c r="I16" i="24"/>
  <c r="O253" i="24"/>
  <c r="N253" i="24"/>
  <c r="M253" i="24"/>
  <c r="L253" i="24"/>
  <c r="K253" i="24"/>
  <c r="J253" i="24"/>
  <c r="I253" i="24"/>
  <c r="H253" i="24"/>
  <c r="G253" i="24"/>
  <c r="N46" i="24"/>
  <c r="K46" i="24"/>
  <c r="G46" i="24"/>
  <c r="L46" i="24"/>
  <c r="H46" i="24"/>
  <c r="M46" i="24"/>
  <c r="I46" i="24"/>
  <c r="O46" i="24"/>
  <c r="J46" i="24"/>
  <c r="O803" i="24"/>
  <c r="N803" i="24"/>
  <c r="M803" i="24"/>
  <c r="L803" i="24"/>
  <c r="K803" i="24"/>
  <c r="J803" i="24"/>
  <c r="I803" i="24"/>
  <c r="H803" i="24"/>
  <c r="G803" i="24"/>
  <c r="O728" i="24"/>
  <c r="M728" i="24"/>
  <c r="K728" i="24"/>
  <c r="I728" i="24"/>
  <c r="G728" i="24"/>
  <c r="N728" i="24"/>
  <c r="L728" i="24"/>
  <c r="J728" i="24"/>
  <c r="H728" i="24"/>
  <c r="L21" i="24"/>
  <c r="K21" i="24"/>
  <c r="H21" i="24"/>
  <c r="G21" i="24"/>
  <c r="N21" i="24"/>
  <c r="I21" i="24"/>
  <c r="M21" i="24"/>
  <c r="J21" i="24"/>
  <c r="O21" i="24"/>
  <c r="M30" i="24"/>
  <c r="K30" i="24"/>
  <c r="I30" i="24"/>
  <c r="G30" i="24"/>
  <c r="N30" i="24"/>
  <c r="J30" i="24"/>
  <c r="H30" i="24"/>
  <c r="O30" i="24"/>
  <c r="L30" i="24"/>
  <c r="M47" i="24"/>
  <c r="J47" i="24"/>
  <c r="G47" i="24"/>
  <c r="O47" i="24"/>
  <c r="K47" i="24"/>
  <c r="L47" i="24"/>
  <c r="H47" i="24"/>
  <c r="N47" i="24"/>
  <c r="I47" i="24"/>
  <c r="N52" i="24"/>
  <c r="J52" i="24"/>
  <c r="H52" i="24"/>
  <c r="O52" i="24"/>
  <c r="L52" i="24"/>
  <c r="G52" i="24"/>
  <c r="M52" i="24"/>
  <c r="I52" i="24"/>
  <c r="K52" i="24"/>
  <c r="K54" i="24"/>
  <c r="G54" i="24"/>
  <c r="H54" i="24"/>
  <c r="O54" i="24"/>
  <c r="N54" i="24"/>
  <c r="M54" i="24"/>
  <c r="L54" i="24"/>
  <c r="I54" i="24"/>
  <c r="J54" i="24"/>
  <c r="O55" i="24"/>
  <c r="N55" i="24"/>
  <c r="M55" i="24"/>
  <c r="L55" i="24"/>
  <c r="K55" i="24"/>
  <c r="J55" i="24"/>
  <c r="I55" i="24"/>
  <c r="H55" i="24"/>
  <c r="G55" i="24"/>
  <c r="O56" i="24"/>
  <c r="N56" i="24"/>
  <c r="M56" i="24"/>
  <c r="L56" i="24"/>
  <c r="K56" i="24"/>
  <c r="J56" i="24"/>
  <c r="I56" i="24"/>
  <c r="H56" i="24"/>
  <c r="G56" i="24"/>
  <c r="O57" i="24"/>
  <c r="N57" i="24"/>
  <c r="M57" i="24"/>
  <c r="L57" i="24"/>
  <c r="K57" i="24"/>
  <c r="J57" i="24"/>
  <c r="I57" i="24"/>
  <c r="H57" i="24"/>
  <c r="G57" i="24"/>
  <c r="O58" i="24"/>
  <c r="N58" i="24"/>
  <c r="M58" i="24"/>
  <c r="L58" i="24"/>
  <c r="K58" i="24"/>
  <c r="J58" i="24"/>
  <c r="I58" i="24"/>
  <c r="H58" i="24"/>
  <c r="G58" i="24"/>
  <c r="O59" i="24"/>
  <c r="N59" i="24"/>
  <c r="M59" i="24"/>
  <c r="L59" i="24"/>
  <c r="K59" i="24"/>
  <c r="J59" i="24"/>
  <c r="I59" i="24"/>
  <c r="H59" i="24"/>
  <c r="G59" i="24"/>
  <c r="O60" i="24"/>
  <c r="N60" i="24"/>
  <c r="M60" i="24"/>
  <c r="L60" i="24"/>
  <c r="K60" i="24"/>
  <c r="J60" i="24"/>
  <c r="I60" i="24"/>
  <c r="H60" i="24"/>
  <c r="G60" i="24"/>
  <c r="O61" i="24"/>
  <c r="N61" i="24"/>
  <c r="M61" i="24"/>
  <c r="L61" i="24"/>
  <c r="K61" i="24"/>
  <c r="J61" i="24"/>
  <c r="I61" i="24"/>
  <c r="H61" i="24"/>
  <c r="G61" i="24"/>
  <c r="O62" i="24"/>
  <c r="N62" i="24"/>
  <c r="M62" i="24"/>
  <c r="L62" i="24"/>
  <c r="K62" i="24"/>
  <c r="J62" i="24"/>
  <c r="I62" i="24"/>
  <c r="H62" i="24"/>
  <c r="G62" i="24"/>
  <c r="O63" i="24"/>
  <c r="N63" i="24"/>
  <c r="M63" i="24"/>
  <c r="L63" i="24"/>
  <c r="K63" i="24"/>
  <c r="J63" i="24"/>
  <c r="I63" i="24"/>
  <c r="H63" i="24"/>
  <c r="G63" i="24"/>
  <c r="O64" i="24"/>
  <c r="N64" i="24"/>
  <c r="M64" i="24"/>
  <c r="L64" i="24"/>
  <c r="K64" i="24"/>
  <c r="J64" i="24"/>
  <c r="I64" i="24"/>
  <c r="H64" i="24"/>
  <c r="G64" i="24"/>
  <c r="O65" i="24"/>
  <c r="N65" i="24"/>
  <c r="M65" i="24"/>
  <c r="L65" i="24"/>
  <c r="K65" i="24"/>
  <c r="J65" i="24"/>
  <c r="I65" i="24"/>
  <c r="H65" i="24"/>
  <c r="G65" i="24"/>
  <c r="O66" i="24"/>
  <c r="N66" i="24"/>
  <c r="M66" i="24"/>
  <c r="L66" i="24"/>
  <c r="K66" i="24"/>
  <c r="J66" i="24"/>
  <c r="I66" i="24"/>
  <c r="H66" i="24"/>
  <c r="G66" i="24"/>
  <c r="O792" i="24"/>
  <c r="N792" i="24"/>
  <c r="M792" i="24"/>
  <c r="L792" i="24"/>
  <c r="K792" i="24"/>
  <c r="J792" i="24"/>
  <c r="I792" i="24"/>
  <c r="H792" i="24"/>
  <c r="G792" i="24"/>
  <c r="N732" i="24"/>
  <c r="M732" i="24"/>
  <c r="K732" i="24"/>
  <c r="I732" i="24"/>
  <c r="G732" i="24"/>
  <c r="O732" i="24"/>
  <c r="L732" i="24"/>
  <c r="J732" i="24"/>
  <c r="H732" i="24"/>
  <c r="O730" i="24"/>
  <c r="M730" i="24"/>
  <c r="K730" i="24"/>
  <c r="N730" i="24"/>
  <c r="L730" i="24"/>
  <c r="J730" i="24"/>
  <c r="I730" i="24"/>
  <c r="H730" i="24"/>
  <c r="G730" i="24"/>
  <c r="O67" i="24"/>
  <c r="N67" i="24"/>
  <c r="M67" i="24"/>
  <c r="L67" i="24"/>
  <c r="K67" i="24"/>
  <c r="J67" i="24"/>
  <c r="I67" i="24"/>
  <c r="H67" i="24"/>
  <c r="G67" i="24"/>
  <c r="O68" i="24"/>
  <c r="N68" i="24"/>
  <c r="M68" i="24"/>
  <c r="L68" i="24"/>
  <c r="K68" i="24"/>
  <c r="J68" i="24"/>
  <c r="I68" i="24"/>
  <c r="H68" i="24"/>
  <c r="G68" i="24"/>
  <c r="O69" i="24"/>
  <c r="N69" i="24"/>
  <c r="M69" i="24"/>
  <c r="L69" i="24"/>
  <c r="K69" i="24"/>
  <c r="J69" i="24"/>
  <c r="I69" i="24"/>
  <c r="H69" i="24"/>
  <c r="G69" i="24"/>
  <c r="O70" i="24"/>
  <c r="N70" i="24"/>
  <c r="M70" i="24"/>
  <c r="L70" i="24"/>
  <c r="K70" i="24"/>
  <c r="J70" i="24"/>
  <c r="I70" i="24"/>
  <c r="H70" i="24"/>
  <c r="G70" i="24"/>
  <c r="O73" i="24"/>
  <c r="N73" i="24"/>
  <c r="M73" i="24"/>
  <c r="L73" i="24"/>
  <c r="K73" i="24"/>
  <c r="J73" i="24"/>
  <c r="I73" i="24"/>
  <c r="H73" i="24"/>
  <c r="G73" i="24"/>
  <c r="O74" i="24"/>
  <c r="N74" i="24"/>
  <c r="M74" i="24"/>
  <c r="L74" i="24"/>
  <c r="K74" i="24"/>
  <c r="J74" i="24"/>
  <c r="I74" i="24"/>
  <c r="H74" i="24"/>
  <c r="G74" i="24"/>
  <c r="O75" i="24"/>
  <c r="N75" i="24"/>
  <c r="M75" i="24"/>
  <c r="L75" i="24"/>
  <c r="K75" i="24"/>
  <c r="J75" i="24"/>
  <c r="I75" i="24"/>
  <c r="H75" i="24"/>
  <c r="G75" i="24"/>
  <c r="O76" i="24"/>
  <c r="N76" i="24"/>
  <c r="M76" i="24"/>
  <c r="L76" i="24"/>
  <c r="K76" i="24"/>
  <c r="J76" i="24"/>
  <c r="I76" i="24"/>
  <c r="H76" i="24"/>
  <c r="G76" i="24"/>
  <c r="O77" i="24"/>
  <c r="N77" i="24"/>
  <c r="M77" i="24"/>
  <c r="L77" i="24"/>
  <c r="K77" i="24"/>
  <c r="J77" i="24"/>
  <c r="I77" i="24"/>
  <c r="H77" i="24"/>
  <c r="G77" i="24"/>
  <c r="O78" i="24"/>
  <c r="N78" i="24"/>
  <c r="M78" i="24"/>
  <c r="L78" i="24"/>
  <c r="K78" i="24"/>
  <c r="J78" i="24"/>
  <c r="I78" i="24"/>
  <c r="H78" i="24"/>
  <c r="G78" i="24"/>
  <c r="O79" i="24"/>
  <c r="N79" i="24"/>
  <c r="M79" i="24"/>
  <c r="L79" i="24"/>
  <c r="K79" i="24"/>
  <c r="J79" i="24"/>
  <c r="I79" i="24"/>
  <c r="H79" i="24"/>
  <c r="G79" i="24"/>
  <c r="O80" i="24"/>
  <c r="N80" i="24"/>
  <c r="M80" i="24"/>
  <c r="L80" i="24"/>
  <c r="K80" i="24"/>
  <c r="J80" i="24"/>
  <c r="I80" i="24"/>
  <c r="H80" i="24"/>
  <c r="G80" i="24"/>
  <c r="O81" i="24"/>
  <c r="N81" i="24"/>
  <c r="M81" i="24"/>
  <c r="L81" i="24"/>
  <c r="K81" i="24"/>
  <c r="J81" i="24"/>
  <c r="I81" i="24"/>
  <c r="H81" i="24"/>
  <c r="G81" i="24"/>
  <c r="O82" i="24"/>
  <c r="N82" i="24"/>
  <c r="M82" i="24"/>
  <c r="L82" i="24"/>
  <c r="K82" i="24"/>
  <c r="J82" i="24"/>
  <c r="I82" i="24"/>
  <c r="H82" i="24"/>
  <c r="G82" i="24"/>
  <c r="O83" i="24"/>
  <c r="N83" i="24"/>
  <c r="M83" i="24"/>
  <c r="L83" i="24"/>
  <c r="K83" i="24"/>
  <c r="J83" i="24"/>
  <c r="I83" i="24"/>
  <c r="H83" i="24"/>
  <c r="G83" i="24"/>
  <c r="O84" i="24"/>
  <c r="N84" i="24"/>
  <c r="M84" i="24"/>
  <c r="L84" i="24"/>
  <c r="K84" i="24"/>
  <c r="J84" i="24"/>
  <c r="I84" i="24"/>
  <c r="H84" i="24"/>
  <c r="G84" i="24"/>
  <c r="O696" i="24"/>
  <c r="N696" i="24"/>
  <c r="M696" i="24"/>
  <c r="L696" i="24"/>
  <c r="K696" i="24"/>
  <c r="J696" i="24"/>
  <c r="I696" i="24"/>
  <c r="H696" i="24"/>
  <c r="G696" i="24"/>
  <c r="O146" i="24"/>
  <c r="N146" i="24"/>
  <c r="M146" i="24"/>
  <c r="L146" i="24"/>
  <c r="K146" i="24"/>
  <c r="J146" i="24"/>
  <c r="I146" i="24"/>
  <c r="H146" i="24"/>
  <c r="G146" i="24"/>
  <c r="O150" i="24"/>
  <c r="N150" i="24"/>
  <c r="M150" i="24"/>
  <c r="L150" i="24"/>
  <c r="K150" i="24"/>
  <c r="J150" i="24"/>
  <c r="I150" i="24"/>
  <c r="H150" i="24"/>
  <c r="G150" i="24"/>
  <c r="O71" i="24"/>
  <c r="N71" i="24"/>
  <c r="M71" i="24"/>
  <c r="L71" i="24"/>
  <c r="K71" i="24"/>
  <c r="J71" i="24"/>
  <c r="I71" i="24"/>
  <c r="H71" i="24"/>
  <c r="G71" i="24"/>
  <c r="O72" i="24"/>
  <c r="N72" i="24"/>
  <c r="M72" i="24"/>
  <c r="L72" i="24"/>
  <c r="K72" i="24"/>
  <c r="J72" i="24"/>
  <c r="I72" i="24"/>
  <c r="H72" i="24"/>
  <c r="G72" i="24"/>
  <c r="O717" i="24"/>
  <c r="N717" i="24"/>
  <c r="M717" i="24"/>
  <c r="L717" i="24"/>
  <c r="K717" i="24"/>
  <c r="J717" i="24"/>
  <c r="I717" i="24"/>
  <c r="H717" i="24"/>
  <c r="G717" i="24"/>
  <c r="O120" i="24"/>
  <c r="M120" i="24"/>
  <c r="K120" i="24"/>
  <c r="H120" i="24"/>
  <c r="N120" i="24"/>
  <c r="L120" i="24"/>
  <c r="J120" i="24"/>
  <c r="G120" i="24"/>
  <c r="I120" i="24"/>
  <c r="O157" i="24"/>
  <c r="N157" i="24"/>
  <c r="M157" i="24"/>
  <c r="L157" i="24"/>
  <c r="K157" i="24"/>
  <c r="J157" i="24"/>
  <c r="I157" i="24"/>
  <c r="H157" i="24"/>
  <c r="G157" i="24"/>
  <c r="O379" i="24"/>
  <c r="N379" i="24"/>
  <c r="M379" i="24"/>
  <c r="L379" i="24"/>
  <c r="K379" i="24"/>
  <c r="J379" i="24"/>
  <c r="I379" i="24"/>
  <c r="H379" i="24"/>
  <c r="G379" i="24"/>
  <c r="N439" i="24"/>
  <c r="K439" i="24"/>
  <c r="G439" i="24"/>
  <c r="O439" i="24"/>
  <c r="L439" i="24"/>
  <c r="I439" i="24"/>
  <c r="H439" i="24"/>
  <c r="M439" i="24"/>
  <c r="J439" i="24"/>
  <c r="N432" i="24"/>
  <c r="K432" i="24"/>
  <c r="H432" i="24"/>
  <c r="M432" i="24"/>
  <c r="J432" i="24"/>
  <c r="G432" i="24"/>
  <c r="O432" i="24"/>
  <c r="L432" i="24"/>
  <c r="I432" i="24"/>
  <c r="O427" i="24"/>
  <c r="K427" i="24"/>
  <c r="H427" i="24"/>
  <c r="M427" i="24"/>
  <c r="J427" i="24"/>
  <c r="G427" i="24"/>
  <c r="N427" i="24"/>
  <c r="L427" i="24"/>
  <c r="I427" i="24"/>
  <c r="M421" i="24"/>
  <c r="I421" i="24"/>
  <c r="N421" i="24"/>
  <c r="K421" i="24"/>
  <c r="G421" i="24"/>
  <c r="O421" i="24"/>
  <c r="L421" i="24"/>
  <c r="J421" i="24"/>
  <c r="H421" i="24"/>
  <c r="O13" i="24"/>
  <c r="L13" i="24"/>
  <c r="G13" i="24"/>
  <c r="I13" i="24"/>
  <c r="M13" i="24"/>
  <c r="H13" i="24"/>
  <c r="K13" i="24"/>
  <c r="N13" i="24"/>
  <c r="J13" i="24"/>
  <c r="O85" i="24"/>
  <c r="N85" i="24"/>
  <c r="M85" i="24"/>
  <c r="L85" i="24"/>
  <c r="K85" i="24"/>
  <c r="J85" i="24"/>
  <c r="I85" i="24"/>
  <c r="H85" i="24"/>
  <c r="G85" i="24"/>
  <c r="O86" i="24"/>
  <c r="N86" i="24"/>
  <c r="M86" i="24"/>
  <c r="L86" i="24"/>
  <c r="K86" i="24"/>
  <c r="J86" i="24"/>
  <c r="I86" i="24"/>
  <c r="H86" i="24"/>
  <c r="G86" i="24"/>
  <c r="O87" i="24"/>
  <c r="N87" i="24"/>
  <c r="M87" i="24"/>
  <c r="L87" i="24"/>
  <c r="K87" i="24"/>
  <c r="J87" i="24"/>
  <c r="I87" i="24"/>
  <c r="H87" i="24"/>
  <c r="G87" i="24"/>
  <c r="O88" i="24"/>
  <c r="N88" i="24"/>
  <c r="M88" i="24"/>
  <c r="L88" i="24"/>
  <c r="K88" i="24"/>
  <c r="J88" i="24"/>
  <c r="I88" i="24"/>
  <c r="H88" i="24"/>
  <c r="G88" i="24"/>
  <c r="O89" i="24"/>
  <c r="N89" i="24"/>
  <c r="M89" i="24"/>
  <c r="L89" i="24"/>
  <c r="K89" i="24"/>
  <c r="J89" i="24"/>
  <c r="I89" i="24"/>
  <c r="H89" i="24"/>
  <c r="G89" i="24"/>
  <c r="O90" i="24"/>
  <c r="N90" i="24"/>
  <c r="M90" i="24"/>
  <c r="L90" i="24"/>
  <c r="K90" i="24"/>
  <c r="J90" i="24"/>
  <c r="I90" i="24"/>
  <c r="H90" i="24"/>
  <c r="G90" i="24"/>
  <c r="O231" i="24"/>
  <c r="N231" i="24"/>
  <c r="M231" i="24"/>
  <c r="L231" i="24"/>
  <c r="K231" i="24"/>
  <c r="J231" i="24"/>
  <c r="I231" i="24"/>
  <c r="H231" i="24"/>
  <c r="G231" i="24"/>
  <c r="O91" i="24"/>
  <c r="N91" i="24"/>
  <c r="M91" i="24"/>
  <c r="L91" i="24"/>
  <c r="K91" i="24"/>
  <c r="J91" i="24"/>
  <c r="I91" i="24"/>
  <c r="H91" i="24"/>
  <c r="G91" i="24"/>
  <c r="O93" i="24"/>
  <c r="N93" i="24"/>
  <c r="M93" i="24"/>
  <c r="L93" i="24"/>
  <c r="K93" i="24"/>
  <c r="J93" i="24"/>
  <c r="I93" i="24"/>
  <c r="H93" i="24"/>
  <c r="G93" i="24"/>
  <c r="O95" i="24"/>
  <c r="N95" i="24"/>
  <c r="M95" i="24"/>
  <c r="L95" i="24"/>
  <c r="K95" i="24"/>
  <c r="J95" i="24"/>
  <c r="I95" i="24"/>
  <c r="H95" i="24"/>
  <c r="G95" i="24"/>
  <c r="O96" i="24"/>
  <c r="N96" i="24"/>
  <c r="M96" i="24"/>
  <c r="L96" i="24"/>
  <c r="K96" i="24"/>
  <c r="J96" i="24"/>
  <c r="I96" i="24"/>
  <c r="H96" i="24"/>
  <c r="G96" i="24"/>
  <c r="O147" i="24"/>
  <c r="N147" i="24"/>
  <c r="M147" i="24"/>
  <c r="L147" i="24"/>
  <c r="K147" i="24"/>
  <c r="J147" i="24"/>
  <c r="I147" i="24"/>
  <c r="H147" i="24"/>
  <c r="G147" i="24"/>
  <c r="O92" i="24"/>
  <c r="N92" i="24"/>
  <c r="M92" i="24"/>
  <c r="L92" i="24"/>
  <c r="K92" i="24"/>
  <c r="J92" i="24"/>
  <c r="I92" i="24"/>
  <c r="H92" i="24"/>
  <c r="G92" i="24"/>
  <c r="O94" i="24"/>
  <c r="N94" i="24"/>
  <c r="M94" i="24"/>
  <c r="L94" i="24"/>
  <c r="K94" i="24"/>
  <c r="J94" i="24"/>
  <c r="I94" i="24"/>
  <c r="H94" i="24"/>
  <c r="G94" i="24"/>
  <c r="O97" i="24"/>
  <c r="N97" i="24"/>
  <c r="M97" i="24"/>
  <c r="L97" i="24"/>
  <c r="K97" i="24"/>
  <c r="J97" i="24"/>
  <c r="I97" i="24"/>
  <c r="H97" i="24"/>
  <c r="G97" i="24"/>
  <c r="O98" i="24"/>
  <c r="N98" i="24"/>
  <c r="M98" i="24"/>
  <c r="L98" i="24"/>
  <c r="K98" i="24"/>
  <c r="J98" i="24"/>
  <c r="I98" i="24"/>
  <c r="H98" i="24"/>
  <c r="G98" i="24"/>
  <c r="O99" i="24"/>
  <c r="N99" i="24"/>
  <c r="M99" i="24"/>
  <c r="L99" i="24"/>
  <c r="K99" i="24"/>
  <c r="J99" i="24"/>
  <c r="I99" i="24"/>
  <c r="H99" i="24"/>
  <c r="G99" i="24"/>
  <c r="O100" i="24"/>
  <c r="N100" i="24"/>
  <c r="M100" i="24"/>
  <c r="L100" i="24"/>
  <c r="K100" i="24"/>
  <c r="J100" i="24"/>
  <c r="I100" i="24"/>
  <c r="H100" i="24"/>
  <c r="G100" i="24"/>
  <c r="O101" i="24"/>
  <c r="N101" i="24"/>
  <c r="M101" i="24"/>
  <c r="L101" i="24"/>
  <c r="K101" i="24"/>
  <c r="J101" i="24"/>
  <c r="I101" i="24"/>
  <c r="H101" i="24"/>
  <c r="G101" i="24"/>
  <c r="O102" i="24"/>
  <c r="N102" i="24"/>
  <c r="M102" i="24"/>
  <c r="L102" i="24"/>
  <c r="K102" i="24"/>
  <c r="J102" i="24"/>
  <c r="I102" i="24"/>
  <c r="H102" i="24"/>
  <c r="G102" i="24"/>
  <c r="N103" i="24"/>
  <c r="O103" i="24"/>
  <c r="M103" i="24"/>
  <c r="L103" i="24"/>
  <c r="K103" i="24"/>
  <c r="J103" i="24"/>
  <c r="I103" i="24"/>
  <c r="H103" i="24"/>
  <c r="G103" i="24"/>
  <c r="M138" i="24"/>
  <c r="J138" i="24"/>
  <c r="G138" i="24"/>
  <c r="O138" i="24"/>
  <c r="L138" i="24"/>
  <c r="H138" i="24"/>
  <c r="N138" i="24"/>
  <c r="K138" i="24"/>
  <c r="I138" i="24"/>
  <c r="K129" i="24"/>
  <c r="G129" i="24"/>
  <c r="N129" i="24"/>
  <c r="L129" i="24"/>
  <c r="I129" i="24"/>
  <c r="O129" i="24"/>
  <c r="M129" i="24"/>
  <c r="J129" i="24"/>
  <c r="H129" i="24"/>
  <c r="M117" i="24"/>
  <c r="K117" i="24"/>
  <c r="J117" i="24"/>
  <c r="G117" i="24"/>
  <c r="N117" i="24"/>
  <c r="H117" i="24"/>
  <c r="O117" i="24"/>
  <c r="L117" i="24"/>
  <c r="I117" i="24"/>
  <c r="O568" i="24"/>
  <c r="N568" i="24"/>
  <c r="M568" i="24"/>
  <c r="L568" i="24"/>
  <c r="K568" i="24"/>
  <c r="J568" i="24"/>
  <c r="I568" i="24"/>
  <c r="H568" i="24"/>
  <c r="G568" i="24"/>
  <c r="O378" i="24"/>
  <c r="N378" i="24"/>
  <c r="M378" i="24"/>
  <c r="L378" i="24"/>
  <c r="K378" i="24"/>
  <c r="J378" i="24"/>
  <c r="I378" i="24"/>
  <c r="H378" i="24"/>
  <c r="G378" i="24"/>
  <c r="O144" i="24"/>
  <c r="N144" i="24"/>
  <c r="M144" i="24"/>
  <c r="L144" i="24"/>
  <c r="K144" i="24"/>
  <c r="J144" i="24"/>
  <c r="I144" i="24"/>
  <c r="H144" i="24"/>
  <c r="G144" i="24"/>
  <c r="O148" i="24"/>
  <c r="N148" i="24"/>
  <c r="M148" i="24"/>
  <c r="L148" i="24"/>
  <c r="K148" i="24"/>
  <c r="J148" i="24"/>
  <c r="I148" i="24"/>
  <c r="H148" i="24"/>
  <c r="G148" i="24"/>
  <c r="O151" i="24"/>
  <c r="N151" i="24"/>
  <c r="M151" i="24"/>
  <c r="L151" i="24"/>
  <c r="K151" i="24"/>
  <c r="J151" i="24"/>
  <c r="I151" i="24"/>
  <c r="H151" i="24"/>
  <c r="G151" i="24"/>
  <c r="O332" i="24"/>
  <c r="N332" i="24"/>
  <c r="M332" i="24"/>
  <c r="L332" i="24"/>
  <c r="K332" i="24"/>
  <c r="J332" i="24"/>
  <c r="I332" i="24"/>
  <c r="H332" i="24"/>
  <c r="G332" i="24"/>
  <c r="O328" i="24"/>
  <c r="N328" i="24"/>
  <c r="M328" i="24"/>
  <c r="L328" i="24"/>
  <c r="K328" i="24"/>
  <c r="J328" i="24"/>
  <c r="I328" i="24"/>
  <c r="H328" i="24"/>
  <c r="G328" i="24"/>
  <c r="O425" i="24"/>
  <c r="L425" i="24"/>
  <c r="G425" i="24"/>
  <c r="N425" i="24"/>
  <c r="J425" i="24"/>
  <c r="H425" i="24"/>
  <c r="M425" i="24"/>
  <c r="K425" i="24"/>
  <c r="I425" i="24"/>
  <c r="N420" i="24"/>
  <c r="L420" i="24"/>
  <c r="H420" i="24"/>
  <c r="O420" i="24"/>
  <c r="M420" i="24"/>
  <c r="K420" i="24"/>
  <c r="I420" i="24"/>
  <c r="G420" i="24"/>
  <c r="J420" i="24"/>
  <c r="N418" i="24"/>
  <c r="K418" i="24"/>
  <c r="H418" i="24"/>
  <c r="M418" i="24"/>
  <c r="J418" i="24"/>
  <c r="G418" i="24"/>
  <c r="O418" i="24"/>
  <c r="L418" i="24"/>
  <c r="I418" i="24"/>
  <c r="O416" i="24"/>
  <c r="K416" i="24"/>
  <c r="M416" i="24"/>
  <c r="J416" i="24"/>
  <c r="H416" i="24"/>
  <c r="N416" i="24"/>
  <c r="L416" i="24"/>
  <c r="I416" i="24"/>
  <c r="G416" i="24"/>
  <c r="M415" i="24"/>
  <c r="J415" i="24"/>
  <c r="G415" i="24"/>
  <c r="O415" i="24"/>
  <c r="K415" i="24"/>
  <c r="H415" i="24"/>
  <c r="N415" i="24"/>
  <c r="L415" i="24"/>
  <c r="I415" i="24"/>
  <c r="I34" i="24"/>
  <c r="H34" i="24"/>
  <c r="N34" i="24"/>
  <c r="L34" i="24"/>
  <c r="O34" i="24"/>
  <c r="K34" i="24"/>
  <c r="G34" i="24"/>
  <c r="M34" i="24"/>
  <c r="J34" i="24"/>
  <c r="G24" i="24"/>
  <c r="J24" i="24"/>
  <c r="L24" i="24"/>
  <c r="O24" i="24"/>
  <c r="H24" i="24"/>
  <c r="I24" i="24"/>
  <c r="N24" i="24"/>
  <c r="K24" i="24"/>
  <c r="M24" i="24"/>
  <c r="O22" i="24"/>
  <c r="K22" i="24"/>
  <c r="J22" i="24"/>
  <c r="I22" i="24"/>
  <c r="N22" i="24"/>
  <c r="G22" i="24"/>
  <c r="L22" i="24"/>
  <c r="H22" i="24"/>
  <c r="M22" i="24"/>
  <c r="I12" i="24"/>
  <c r="M12" i="24"/>
  <c r="K12" i="24"/>
  <c r="G12" i="24"/>
  <c r="O12" i="24"/>
  <c r="H12" i="24"/>
  <c r="J12" i="24"/>
  <c r="N12" i="24"/>
  <c r="L12" i="24"/>
  <c r="O10" i="24"/>
  <c r="I10" i="24"/>
  <c r="G10" i="24"/>
  <c r="K10" i="24"/>
  <c r="J10" i="24"/>
  <c r="H10" i="24"/>
  <c r="N10" i="24"/>
  <c r="L10" i="24"/>
  <c r="M10" i="24"/>
  <c r="K9" i="24"/>
  <c r="I9" i="24"/>
  <c r="O9" i="24"/>
  <c r="J9" i="24"/>
  <c r="G9" i="24"/>
  <c r="L9" i="24"/>
  <c r="H9" i="24"/>
  <c r="M9" i="24"/>
  <c r="N9" i="24"/>
  <c r="M40" i="24"/>
  <c r="O40" i="24"/>
  <c r="L40" i="24"/>
  <c r="J40" i="24"/>
  <c r="G40" i="24"/>
  <c r="H40" i="24"/>
  <c r="N40" i="24"/>
  <c r="K40" i="24"/>
  <c r="I40" i="24"/>
  <c r="O39" i="24"/>
  <c r="M39" i="24"/>
  <c r="J39" i="24"/>
  <c r="K39" i="24"/>
  <c r="G39" i="24"/>
  <c r="L39" i="24"/>
  <c r="H39" i="24"/>
  <c r="N39" i="24"/>
  <c r="I39" i="24"/>
  <c r="N37" i="24"/>
  <c r="K37" i="24"/>
  <c r="H37" i="24"/>
  <c r="M37" i="24"/>
  <c r="I37" i="24"/>
  <c r="G37" i="24"/>
  <c r="O37" i="24"/>
  <c r="L37" i="24"/>
  <c r="J37" i="24"/>
  <c r="O192" i="24"/>
  <c r="N192" i="24"/>
  <c r="M192" i="24"/>
  <c r="L192" i="24"/>
  <c r="K192" i="24"/>
  <c r="J192" i="24"/>
  <c r="I192" i="24"/>
  <c r="H192" i="24"/>
  <c r="G192" i="24"/>
  <c r="O193" i="24"/>
  <c r="N193" i="24"/>
  <c r="M193" i="24"/>
  <c r="L193" i="24"/>
  <c r="K193" i="24"/>
  <c r="J193" i="24"/>
  <c r="I193" i="24"/>
  <c r="H193" i="24"/>
  <c r="G193" i="24"/>
  <c r="O194" i="24"/>
  <c r="N194" i="24"/>
  <c r="M194" i="24"/>
  <c r="L194" i="24"/>
  <c r="K194" i="24"/>
  <c r="J194" i="24"/>
  <c r="I194" i="24"/>
  <c r="H194" i="24"/>
  <c r="G194" i="24"/>
  <c r="O195" i="24"/>
  <c r="N195" i="24"/>
  <c r="M195" i="24"/>
  <c r="L195" i="24"/>
  <c r="K195" i="24"/>
  <c r="J195" i="24"/>
  <c r="I195" i="24"/>
  <c r="H195" i="24"/>
  <c r="G195" i="24"/>
  <c r="O196" i="24"/>
  <c r="N196" i="24"/>
  <c r="M196" i="24"/>
  <c r="L196" i="24"/>
  <c r="K196" i="24"/>
  <c r="J196" i="24"/>
  <c r="I196" i="24"/>
  <c r="H196" i="24"/>
  <c r="G196" i="24"/>
  <c r="O197" i="24"/>
  <c r="N197" i="24"/>
  <c r="M197" i="24"/>
  <c r="L197" i="24"/>
  <c r="K197" i="24"/>
  <c r="J197" i="24"/>
  <c r="I197" i="24"/>
  <c r="H197" i="24"/>
  <c r="G197" i="24"/>
  <c r="O198" i="24"/>
  <c r="N198" i="24"/>
  <c r="M198" i="24"/>
  <c r="L198" i="24"/>
  <c r="K198" i="24"/>
  <c r="J198" i="24"/>
  <c r="I198" i="24"/>
  <c r="H198" i="24"/>
  <c r="G198" i="24"/>
  <c r="O199" i="24"/>
  <c r="N199" i="24"/>
  <c r="M199" i="24"/>
  <c r="L199" i="24"/>
  <c r="K199" i="24"/>
  <c r="J199" i="24"/>
  <c r="I199" i="24"/>
  <c r="H199" i="24"/>
  <c r="G199" i="24"/>
  <c r="O200" i="24"/>
  <c r="N200" i="24"/>
  <c r="M200" i="24"/>
  <c r="L200" i="24"/>
  <c r="K200" i="24"/>
  <c r="J200" i="24"/>
  <c r="I200" i="24"/>
  <c r="H200" i="24"/>
  <c r="G200" i="24"/>
  <c r="O201" i="24"/>
  <c r="N201" i="24"/>
  <c r="M201" i="24"/>
  <c r="L201" i="24"/>
  <c r="K201" i="24"/>
  <c r="J201" i="24"/>
  <c r="I201" i="24"/>
  <c r="H201" i="24"/>
  <c r="G201" i="24"/>
  <c r="O202" i="24"/>
  <c r="N202" i="24"/>
  <c r="M202" i="24"/>
  <c r="L202" i="24"/>
  <c r="K202" i="24"/>
  <c r="J202" i="24"/>
  <c r="I202" i="24"/>
  <c r="H202" i="24"/>
  <c r="G202" i="24"/>
  <c r="O203" i="24"/>
  <c r="N203" i="24"/>
  <c r="M203" i="24"/>
  <c r="L203" i="24"/>
  <c r="K203" i="24"/>
  <c r="J203" i="24"/>
  <c r="I203" i="24"/>
  <c r="H203" i="24"/>
  <c r="G203" i="24"/>
  <c r="O204" i="24"/>
  <c r="N204" i="24"/>
  <c r="M204" i="24"/>
  <c r="L204" i="24"/>
  <c r="K204" i="24"/>
  <c r="J204" i="24"/>
  <c r="I204" i="24"/>
  <c r="H204" i="24"/>
  <c r="G204" i="24"/>
  <c r="N5" i="24"/>
  <c r="H5" i="24"/>
  <c r="J5" i="24"/>
  <c r="L5" i="24"/>
  <c r="I5" i="24"/>
  <c r="O5" i="24"/>
  <c r="M5" i="24"/>
  <c r="G5" i="24"/>
  <c r="K5" i="24"/>
  <c r="O205" i="24"/>
  <c r="N205" i="24"/>
  <c r="M205" i="24"/>
  <c r="L205" i="24"/>
  <c r="K205" i="24"/>
  <c r="J205" i="24"/>
  <c r="I205" i="24"/>
  <c r="H205" i="24"/>
  <c r="G205" i="24"/>
  <c r="O206" i="24"/>
  <c r="N206" i="24"/>
  <c r="M206" i="24"/>
  <c r="L206" i="24"/>
  <c r="K206" i="24"/>
  <c r="J206" i="24"/>
  <c r="I206" i="24"/>
  <c r="H206" i="24"/>
  <c r="G206" i="24"/>
  <c r="J31" i="24"/>
  <c r="L31" i="24"/>
  <c r="O31" i="24"/>
  <c r="G31" i="24"/>
  <c r="M31" i="24"/>
  <c r="N31" i="24"/>
  <c r="I31" i="24"/>
  <c r="H31" i="24"/>
  <c r="K31" i="24"/>
  <c r="M35" i="24"/>
  <c r="I35" i="24"/>
  <c r="K35" i="24"/>
  <c r="G35" i="24"/>
  <c r="N35" i="24"/>
  <c r="J35" i="24"/>
  <c r="O35" i="24"/>
  <c r="H35" i="24"/>
  <c r="L35" i="24"/>
  <c r="K36" i="24"/>
  <c r="O36" i="24"/>
  <c r="H36" i="24"/>
  <c r="M36" i="24"/>
  <c r="J36" i="24"/>
  <c r="G36" i="24"/>
  <c r="L36" i="24"/>
  <c r="N36" i="24"/>
  <c r="I36" i="24"/>
  <c r="O44" i="24"/>
  <c r="L44" i="24"/>
  <c r="I44" i="24"/>
  <c r="N44" i="24"/>
  <c r="K44" i="24"/>
  <c r="H44" i="24"/>
  <c r="J44" i="24"/>
  <c r="G44" i="24"/>
  <c r="M44" i="24"/>
  <c r="N51" i="24"/>
  <c r="J51" i="24"/>
  <c r="K51" i="24"/>
  <c r="G51" i="24"/>
  <c r="O51" i="24"/>
  <c r="L51" i="24"/>
  <c r="H51" i="24"/>
  <c r="M51" i="24"/>
  <c r="I51" i="24"/>
  <c r="M434" i="24"/>
  <c r="L434" i="24"/>
  <c r="I434" i="24"/>
  <c r="N434" i="24"/>
  <c r="J434" i="24"/>
  <c r="G434" i="24"/>
  <c r="O434" i="24"/>
  <c r="K434" i="24"/>
  <c r="H434" i="24"/>
  <c r="M433" i="24"/>
  <c r="K433" i="24"/>
  <c r="H433" i="24"/>
  <c r="N433" i="24"/>
  <c r="L433" i="24"/>
  <c r="J433" i="24"/>
  <c r="G433" i="24"/>
  <c r="O433" i="24"/>
  <c r="I433" i="24"/>
  <c r="N18" i="24"/>
  <c r="K18" i="24"/>
  <c r="G18" i="24"/>
  <c r="O18" i="24"/>
  <c r="L18" i="24"/>
  <c r="H18" i="24"/>
  <c r="I18" i="24"/>
  <c r="M18" i="24"/>
  <c r="J18" i="24"/>
  <c r="N11" i="24"/>
  <c r="J11" i="24"/>
  <c r="H11" i="24"/>
  <c r="M11" i="24"/>
  <c r="O11" i="24"/>
  <c r="G11" i="24"/>
  <c r="I11" i="24"/>
  <c r="K11" i="24"/>
  <c r="L11" i="24"/>
  <c r="N4" i="24"/>
  <c r="K4" i="24"/>
  <c r="L4" i="24"/>
  <c r="J4" i="24"/>
  <c r="G4" i="24"/>
  <c r="M4" i="24"/>
  <c r="I4" i="24"/>
  <c r="H4" i="24"/>
  <c r="O4" i="24"/>
  <c r="O145" i="24"/>
  <c r="N145" i="24"/>
  <c r="M145" i="24"/>
  <c r="L145" i="24"/>
  <c r="K145" i="24"/>
  <c r="J145" i="24"/>
  <c r="I145" i="24"/>
  <c r="H145" i="24"/>
  <c r="G145" i="24"/>
  <c r="O155" i="24"/>
  <c r="N155" i="24"/>
  <c r="M155" i="24"/>
  <c r="L155" i="24"/>
  <c r="K155" i="24"/>
  <c r="J155" i="24"/>
  <c r="I155" i="24"/>
  <c r="H155" i="24"/>
  <c r="G155" i="24"/>
  <c r="N106" i="24"/>
  <c r="J106" i="24"/>
  <c r="G106" i="24"/>
  <c r="M106" i="24"/>
  <c r="K106" i="24"/>
  <c r="H106" i="24"/>
  <c r="O106" i="24"/>
  <c r="L106" i="24"/>
  <c r="I106" i="24"/>
  <c r="M112" i="24"/>
  <c r="K112" i="24"/>
  <c r="I112" i="24"/>
  <c r="O112" i="24"/>
  <c r="L112" i="24"/>
  <c r="G112" i="24"/>
  <c r="N112" i="24"/>
  <c r="J112" i="24"/>
  <c r="H112" i="24"/>
  <c r="M114" i="24"/>
  <c r="J114" i="24"/>
  <c r="H114" i="24"/>
  <c r="O114" i="24"/>
  <c r="L114" i="24"/>
  <c r="G114" i="24"/>
  <c r="N114" i="24"/>
  <c r="K114" i="24"/>
  <c r="I114" i="24"/>
  <c r="O462" i="24"/>
  <c r="M462" i="24"/>
  <c r="K462" i="24"/>
  <c r="I462" i="24"/>
  <c r="G462" i="24"/>
  <c r="N462" i="24"/>
  <c r="L462" i="24"/>
  <c r="J462" i="24"/>
  <c r="H462" i="24"/>
  <c r="N453" i="24"/>
  <c r="K453" i="24"/>
  <c r="I453" i="24"/>
  <c r="G453" i="24"/>
  <c r="O453" i="24"/>
  <c r="M453" i="24"/>
  <c r="L453" i="24"/>
  <c r="J453" i="24"/>
  <c r="H453" i="24"/>
  <c r="M440" i="24"/>
  <c r="K440" i="24"/>
  <c r="H440" i="24"/>
  <c r="O440" i="24"/>
  <c r="L440" i="24"/>
  <c r="I440" i="24"/>
  <c r="G440" i="24"/>
  <c r="N440" i="24"/>
  <c r="J440" i="24"/>
  <c r="O435" i="24"/>
  <c r="N435" i="24"/>
  <c r="K435" i="24"/>
  <c r="H435" i="24"/>
  <c r="L435" i="24"/>
  <c r="G435" i="24"/>
  <c r="M435" i="24"/>
  <c r="J435" i="24"/>
  <c r="I435" i="24"/>
  <c r="O381" i="24"/>
  <c r="N381" i="24"/>
  <c r="M381" i="24"/>
  <c r="L381" i="24"/>
  <c r="K381" i="24"/>
  <c r="J381" i="24"/>
  <c r="I381" i="24"/>
  <c r="H381" i="24"/>
  <c r="G381" i="24"/>
  <c r="O173" i="24"/>
  <c r="N173" i="24"/>
  <c r="M173" i="24"/>
  <c r="L173" i="24"/>
  <c r="K173" i="24"/>
  <c r="J173" i="24"/>
  <c r="I173" i="24"/>
  <c r="H173" i="24"/>
  <c r="G173" i="24"/>
  <c r="O159" i="24"/>
  <c r="N159" i="24"/>
  <c r="M159" i="24"/>
  <c r="L159" i="24"/>
  <c r="K159" i="24"/>
  <c r="J159" i="24"/>
  <c r="I159" i="24"/>
  <c r="H159" i="24"/>
  <c r="G159" i="24"/>
  <c r="O160" i="24"/>
  <c r="N160" i="24"/>
  <c r="M160" i="24"/>
  <c r="L160" i="24"/>
  <c r="K160" i="24"/>
  <c r="J160" i="24"/>
  <c r="I160" i="24"/>
  <c r="H160" i="24"/>
  <c r="G160" i="24"/>
  <c r="O161" i="24"/>
  <c r="N161" i="24"/>
  <c r="M161" i="24"/>
  <c r="L161" i="24"/>
  <c r="K161" i="24"/>
  <c r="J161" i="24"/>
  <c r="I161" i="24"/>
  <c r="H161" i="24"/>
  <c r="G161" i="24"/>
  <c r="O162" i="24"/>
  <c r="N162" i="24"/>
  <c r="M162" i="24"/>
  <c r="L162" i="24"/>
  <c r="K162" i="24"/>
  <c r="J162" i="24"/>
  <c r="I162" i="24"/>
  <c r="H162" i="24"/>
  <c r="G162" i="24"/>
  <c r="O163" i="24"/>
  <c r="N163" i="24"/>
  <c r="M163" i="24"/>
  <c r="L163" i="24"/>
  <c r="K163" i="24"/>
  <c r="J163" i="24"/>
  <c r="I163" i="24"/>
  <c r="H163" i="24"/>
  <c r="G163" i="24"/>
  <c r="O164" i="24"/>
  <c r="N164" i="24"/>
  <c r="M164" i="24"/>
  <c r="L164" i="24"/>
  <c r="K164" i="24"/>
  <c r="J164" i="24"/>
  <c r="I164" i="24"/>
  <c r="H164" i="24"/>
  <c r="G164" i="24"/>
  <c r="O165" i="24"/>
  <c r="N165" i="24"/>
  <c r="M165" i="24"/>
  <c r="L165" i="24"/>
  <c r="K165" i="24"/>
  <c r="J165" i="24"/>
  <c r="I165" i="24"/>
  <c r="H165" i="24"/>
  <c r="G165" i="24"/>
  <c r="O166" i="24"/>
  <c r="N166" i="24"/>
  <c r="M166" i="24"/>
  <c r="L166" i="24"/>
  <c r="K166" i="24"/>
  <c r="J166" i="24"/>
  <c r="I166" i="24"/>
  <c r="H166" i="24"/>
  <c r="G166" i="24"/>
  <c r="O167" i="24"/>
  <c r="N167" i="24"/>
  <c r="M167" i="24"/>
  <c r="L167" i="24"/>
  <c r="K167" i="24"/>
  <c r="J167" i="24"/>
  <c r="I167" i="24"/>
  <c r="H167" i="24"/>
  <c r="G167" i="24"/>
  <c r="O168" i="24"/>
  <c r="N168" i="24"/>
  <c r="M168" i="24"/>
  <c r="L168" i="24"/>
  <c r="K168" i="24"/>
  <c r="J168" i="24"/>
  <c r="I168" i="24"/>
  <c r="H168" i="24"/>
  <c r="G168" i="24"/>
  <c r="O169" i="24"/>
  <c r="N169" i="24"/>
  <c r="M169" i="24"/>
  <c r="L169" i="24"/>
  <c r="K169" i="24"/>
  <c r="J169" i="24"/>
  <c r="I169" i="24"/>
  <c r="H169" i="24"/>
  <c r="G169" i="24"/>
  <c r="O174" i="24"/>
  <c r="N174" i="24"/>
  <c r="M174" i="24"/>
  <c r="L174" i="24"/>
  <c r="K174" i="24"/>
  <c r="J174" i="24"/>
  <c r="I174" i="24"/>
  <c r="H174" i="24"/>
  <c r="G174" i="24"/>
  <c r="O172" i="24"/>
  <c r="N172" i="24"/>
  <c r="M172" i="24"/>
  <c r="L172" i="24"/>
  <c r="K172" i="24"/>
  <c r="J172" i="24"/>
  <c r="I172" i="24"/>
  <c r="H172" i="24"/>
  <c r="G172" i="24"/>
  <c r="E852" i="14" l="1"/>
  <c r="E867" i="14" s="1"/>
  <c r="E829" i="14"/>
  <c r="E898" i="14"/>
  <c r="E819" i="14"/>
  <c r="E820" i="14" s="1"/>
  <c r="E821" i="14" s="1"/>
  <c r="E811" i="14"/>
  <c r="E812" i="14" s="1"/>
  <c r="E912" i="14"/>
  <c r="E577" i="14"/>
  <c r="E578" i="14" s="1"/>
  <c r="E579" i="14" s="1"/>
  <c r="E580" i="14" s="1"/>
  <c r="E581" i="14" s="1"/>
  <c r="E582" i="14" s="1"/>
  <c r="E583" i="14" s="1"/>
  <c r="E584" i="14" s="1"/>
  <c r="E585" i="14" s="1"/>
  <c r="E586" i="14" s="1"/>
  <c r="E813" i="14" s="1"/>
  <c r="E835" i="14"/>
  <c r="E836" i="14" s="1"/>
  <c r="E802" i="14"/>
  <c r="E830" i="14" l="1"/>
  <c r="E831" i="14" s="1"/>
  <c r="E895" i="14" s="1"/>
  <c r="E899" i="14"/>
  <c r="E868" i="14"/>
  <c r="E913" i="14"/>
  <c r="E914" i="14" s="1"/>
  <c r="E832" i="14"/>
  <c r="E837" i="14"/>
  <c r="E838" i="14" s="1"/>
  <c r="E824" i="14"/>
  <c r="E825" i="14" s="1"/>
  <c r="E826" i="14" s="1"/>
  <c r="E896" i="14" l="1"/>
  <c r="E901" i="14"/>
  <c r="E904" i="14" s="1"/>
  <c r="E905" i="14" s="1"/>
  <c r="E980" i="14" s="1"/>
  <c r="E875" i="14"/>
  <c r="E915" i="14"/>
  <c r="E833" i="14"/>
  <c r="E938" i="14" s="1"/>
  <c r="E839" i="14"/>
  <c r="E840" i="14" s="1"/>
  <c r="E841" i="14" s="1"/>
  <c r="E842" i="14" s="1"/>
  <c r="E843" i="14" s="1"/>
  <c r="E844" i="14" s="1"/>
  <c r="E845" i="14" s="1"/>
  <c r="E900" i="14" l="1"/>
  <c r="E888" i="14"/>
  <c r="E889" i="14" s="1"/>
  <c r="E916" i="14"/>
  <c r="E917" i="14" s="1"/>
  <c r="E918" i="14" s="1"/>
  <c r="E919" i="14" s="1"/>
  <c r="E920" i="14" s="1"/>
  <c r="E921" i="14" s="1"/>
  <c r="E922" i="14" s="1"/>
  <c r="E923" i="14" s="1"/>
  <c r="E924" i="14" s="1"/>
  <c r="E925" i="14" s="1"/>
  <c r="E926" i="14" s="1"/>
  <c r="E927" i="14" s="1"/>
  <c r="E928" i="14" s="1"/>
  <c r="E929" i="14" s="1"/>
  <c r="E930" i="14" s="1"/>
  <c r="E931" i="14" s="1"/>
  <c r="E932" i="14" s="1"/>
  <c r="E933" i="14" s="1"/>
  <c r="E846" i="14"/>
  <c r="E847" i="14" s="1"/>
  <c r="E848" i="14" s="1"/>
  <c r="E849" i="14" s="1"/>
  <c r="E902" i="14" l="1"/>
  <c r="E891" i="14"/>
  <c r="E934" i="14" s="1"/>
  <c r="E941" i="14" s="1"/>
  <c r="E850" i="14"/>
  <c r="E903" i="14" l="1"/>
  <c r="E943" i="14"/>
  <c r="E944" i="14" s="1"/>
  <c r="E945" i="14" s="1"/>
  <c r="E851" i="14"/>
  <c r="E853" i="14" s="1"/>
  <c r="E906" i="14" l="1"/>
  <c r="E854" i="14"/>
  <c r="E907" i="14" l="1"/>
  <c r="E908" i="14" s="1"/>
  <c r="E855" i="14"/>
  <c r="E909" i="14" l="1"/>
  <c r="E856" i="14"/>
  <c r="E935" i="14" l="1"/>
  <c r="E857" i="14"/>
  <c r="E936" i="14" l="1"/>
  <c r="E858" i="14"/>
  <c r="E859" i="14" s="1"/>
  <c r="E860" i="14" s="1"/>
  <c r="E861" i="14" s="1"/>
  <c r="E862" i="14" s="1"/>
  <c r="E863" i="14" s="1"/>
  <c r="E864" i="14" s="1"/>
  <c r="E865" i="14" s="1"/>
  <c r="E866" i="14" s="1"/>
  <c r="E869" i="14" s="1"/>
  <c r="E870" i="14" s="1"/>
  <c r="E871" i="14" s="1"/>
  <c r="E872" i="14" s="1"/>
  <c r="E873" i="14" s="1"/>
  <c r="E874" i="14" s="1"/>
  <c r="E876" i="14" s="1"/>
  <c r="E877" i="14" s="1"/>
  <c r="E878" i="14" s="1"/>
  <c r="E879" i="14" s="1"/>
  <c r="E880" i="14" s="1"/>
  <c r="E881" i="14" s="1"/>
  <c r="E882" i="14" s="1"/>
  <c r="E883" i="14" s="1"/>
  <c r="E884" i="14" s="1"/>
  <c r="E885" i="14" s="1"/>
  <c r="E886" i="14" s="1"/>
  <c r="E887" i="14" s="1"/>
  <c r="E890" i="14" s="1"/>
  <c r="E893" i="14" s="1"/>
  <c r="E939" i="14" s="1"/>
  <c r="E942" i="14" s="1"/>
  <c r="E946" i="14" s="1"/>
  <c r="E947" i="14" s="1"/>
  <c r="E948" i="14" s="1"/>
  <c r="E949" i="14" s="1"/>
  <c r="E951" i="14" s="1"/>
  <c r="E952" i="14" s="1"/>
  <c r="E953" i="14" s="1"/>
  <c r="E954" i="14" s="1"/>
  <c r="E955" i="14" s="1"/>
  <c r="E956" i="14" s="1"/>
  <c r="E957" i="14" s="1"/>
  <c r="E958" i="14" s="1"/>
  <c r="E959" i="14" s="1"/>
  <c r="E960" i="14" s="1"/>
  <c r="E965" i="14" s="1"/>
  <c r="E966" i="14" s="1"/>
  <c r="E967" i="14" s="1"/>
  <c r="E968" i="14" s="1"/>
  <c r="E937" i="14" l="1"/>
  <c r="E940" i="14" s="1"/>
  <c r="E969" i="14"/>
  <c r="E970" i="14" s="1"/>
  <c r="E971" i="14" s="1"/>
  <c r="E972" i="14" s="1"/>
  <c r="E973" i="14" s="1"/>
  <c r="E981" i="14"/>
  <c r="E982" i="14" s="1"/>
  <c r="E983" i="14" s="1"/>
  <c r="E984" i="14" s="1"/>
  <c r="E974" i="14" l="1"/>
  <c r="E975" i="14" l="1"/>
  <c r="E976" i="14" s="1"/>
  <c r="E977" i="14" s="1"/>
  <c r="E978" i="14" s="1"/>
  <c r="E988" i="14"/>
  <c r="E989" i="14" s="1"/>
  <c r="E979" i="14" l="1"/>
  <c r="E985" i="14"/>
  <c r="E991" i="14" s="1"/>
  <c r="E986" i="14" l="1"/>
  <c r="E993" i="14" l="1"/>
  <c r="E994" i="14" s="1"/>
  <c r="E995" i="14" s="1"/>
  <c r="E987" i="14"/>
  <c r="E996" i="14" l="1"/>
  <c r="E1003" i="14" s="1"/>
  <c r="E1004" i="14" s="1"/>
  <c r="E1005" i="14" s="1"/>
  <c r="E1006" i="14" s="1"/>
  <c r="E1007" i="14" s="1"/>
  <c r="E1008" i="14" s="1"/>
  <c r="E990" i="14"/>
  <c r="E997" i="14" l="1"/>
  <c r="E998" i="14" l="1"/>
  <c r="E999" i="14" l="1"/>
  <c r="E1000" i="14" l="1"/>
  <c r="E1001" i="14" l="1"/>
  <c r="E1009" i="14"/>
  <c r="E1010" i="14" s="1"/>
  <c r="E1011" i="14" s="1"/>
  <c r="E1012" i="14" s="1"/>
  <c r="E1013" i="14" s="1"/>
  <c r="E1014" i="14" l="1"/>
  <c r="E1015" i="14" s="1"/>
  <c r="E1016" i="14" s="1"/>
  <c r="E1017" i="14" l="1"/>
  <c r="E1019" i="14" s="1"/>
  <c r="E1020" i="14" s="1"/>
  <c r="E1021" i="14" s="1"/>
  <c r="E1022" i="14" s="1"/>
  <c r="E1023" i="14" s="1"/>
  <c r="E1024" i="14" s="1"/>
  <c r="E1025" i="14" s="1"/>
  <c r="E1026" i="14" l="1"/>
  <c r="E1027" i="14" l="1"/>
  <c r="E1028" i="14" s="1"/>
  <c r="E1030" i="14" s="1"/>
  <c r="E1031" i="14" s="1"/>
  <c r="E1032" i="14" s="1"/>
  <c r="E1033" i="14" s="1"/>
  <c r="E1034" i="14" s="1"/>
  <c r="E1035" i="14" s="1"/>
  <c r="E1036" i="14" s="1"/>
  <c r="E1037" i="14" s="1"/>
  <c r="E1038" i="14" s="1"/>
  <c r="E1040" i="14" s="1"/>
  <c r="E1041" i="14" s="1"/>
  <c r="E1042" i="14" s="1"/>
  <c r="E1043" i="14" s="1"/>
  <c r="E1044" i="14" s="1"/>
  <c r="E1045" i="14" l="1"/>
  <c r="E1046" i="14" l="1"/>
  <c r="E1047" i="14" l="1"/>
  <c r="E1048" i="14" s="1"/>
  <c r="E1049" i="14" l="1"/>
  <c r="E1050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 Nemeth</author>
  </authors>
  <commentList>
    <comment ref="F57" authorId="0" shapeId="0" xr:uid="{E54073F7-7C60-4C11-8475-64BA68B1459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was actually made by FS</t>
        </r>
      </text>
    </comment>
    <comment ref="F58" authorId="0" shapeId="0" xr:uid="{10C1E441-4B26-4881-9862-7C4EAE05FE4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Can't find manufacturer</t>
        </r>
      </text>
    </comment>
    <comment ref="F71" authorId="0" shapeId="0" xr:uid="{E845BDDB-7252-4330-871A-A75AA7910AF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Manuf by:  MÁV Gépgyár</t>
        </r>
      </text>
    </comment>
    <comment ref="F93" authorId="0" shapeId="0" xr:uid="{36A47A73-E18C-485F-B1FC-C3A0A48B658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 'Community of Greater German Locomotive Manufacturers', Gemeinschaft Grossdeutscher Lokomotivhersteller (GGL), which was a subdivision of the 'Rail Vehicles Main Committee', Hauptausschuss Schienenfahrzeuge (HAS) founded in 1942</t>
        </r>
      </text>
    </comment>
    <comment ref="G127" authorId="0" shapeId="0" xr:uid="{01A29FFB-5E26-4ED6-978C-85FCEAE0245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…we (discord people) think this is the item in question but not 100% </t>
        </r>
      </text>
    </comment>
    <comment ref="G167" authorId="0" shapeId="0" xr:uid="{B208E472-F490-4EA6-855F-B6B965BA845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 link, no reliable info</t>
        </r>
      </text>
    </comment>
    <comment ref="G170" authorId="0" shapeId="0" xr:uid="{2C92FE4A-F15B-4B95-BADE-DB32502AFF4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 link</t>
        </r>
      </text>
    </comment>
    <comment ref="G197" authorId="0" shapeId="0" xr:uid="{D647CA03-7D91-4DD2-A41A-5FD44049FC9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</t>
        </r>
      </text>
    </comment>
    <comment ref="G233" authorId="0" shapeId="0" xr:uid="{D5E0FA52-FA3E-4CDD-A57F-3CD11B18B8C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</t>
        </r>
      </text>
    </comment>
    <comment ref="G268" authorId="0" shapeId="0" xr:uid="{030D0DAC-32EA-46CD-A480-CE1F6B7E2FD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</t>
        </r>
      </text>
    </comment>
    <comment ref="G269" authorId="0" shapeId="0" xr:uid="{13295F9E-93CE-492F-B16E-94FC385C61A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</t>
        </r>
      </text>
    </comment>
    <comment ref="F275" authorId="0" shapeId="0" xr:uid="{A43F3A14-2EAB-4D3D-A558-AA6E2393539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'H' unit is faster but more puny ref TE</t>
        </r>
      </text>
    </comment>
    <comment ref="F341" authorId="0" shapeId="0" xr:uid="{167D785C-CD4A-4A62-BAE3-1827DB6B4C5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Duplicate of Ev, which has also now been merged into Ezsh</t>
        </r>
      </text>
    </comment>
    <comment ref="G379" authorId="0" shapeId="0" xr:uid="{DB9BB401-6EED-4587-9B79-C0BAD60F8A5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Redirects to 632 from 633</t>
        </r>
      </text>
    </comment>
    <comment ref="G383" authorId="0" shapeId="0" xr:uid="{A122B6A3-FB19-4B7B-B032-FB44EE22B04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Cannot validate, no info, all data Gemini</t>
        </r>
      </text>
    </comment>
    <comment ref="G431" authorId="0" shapeId="0" xr:uid="{5DA3D844-910F-437D-A3E6-311DCFB8302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Bit of a hand-me-down there…but yeah it's the same</t>
        </r>
      </text>
    </comment>
    <comment ref="G454" authorId="0" shapeId="0" xr:uid="{CC73135C-FDDC-4FAB-9479-EA3242B0A0C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particularly useful</t>
        </r>
      </text>
    </comment>
    <comment ref="G457" authorId="0" shapeId="0" xr:uid="{97109032-9B48-4FF2-A1D2-EDEC34B2423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Almost useless</t>
        </r>
      </text>
    </comment>
    <comment ref="G458" authorId="0" shapeId="0" xr:uid="{F3A18141-0046-48C1-98A3-FAE326D8D26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Japanese is better</t>
        </r>
      </text>
    </comment>
    <comment ref="G481" authorId="0" shapeId="0" xr:uid="{76EE7499-0B57-4007-B2FB-B75D92C0022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same as DMF</t>
        </r>
      </text>
    </comment>
    <comment ref="G488" authorId="0" shapeId="0" xr:uid="{200F52FB-9D4C-4A26-8DD0-4FA21D3830E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Pretty useless</t>
        </r>
      </text>
    </comment>
    <comment ref="G541" authorId="0" shapeId="0" xr:uid="{04AB6022-15D5-4206-B7A6-CC81804A8CE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a concept vehicle</t>
        </r>
      </text>
    </comment>
    <comment ref="G555" authorId="0" shapeId="0" xr:uid="{887811DF-C4C1-4B1F-ADAF-2B7D07BFF90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Actually, Gemini is adamant that this is the same as above (the V250 that is.) - more precisely it was a concept train that never really came to exist, then it became the v250 and failed altogether.</t>
        </r>
      </text>
    </comment>
    <comment ref="F627" authorId="0" shapeId="0" xr:uid="{49FE9D41-E703-4051-8C29-DCF451915F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http://www.railfaneurope.net/list/tunisia_sncft.html</t>
        </r>
      </text>
    </comment>
    <comment ref="A754" authorId="0" shapeId="0" xr:uid="{987D8247-31A9-467E-98AA-51C35C03A7A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Originally Gen3 from 1950 moved to 1974 per Wikipedia info. This is the single-unit, not articulated.</t>
        </r>
      </text>
    </comment>
    <comment ref="G790" authorId="0" shapeId="0" xr:uid="{DD460D64-410B-495C-823F-BB66729F541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Besides the factual existence, can't find much info on this</t>
        </r>
      </text>
    </comment>
    <comment ref="G801" authorId="0" shapeId="0" xr:uid="{32D7B7AF-E183-4761-BEEF-CA7549ECDE7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Requested via TT forums, data provided there but no backup for source</t>
        </r>
      </text>
    </comment>
    <comment ref="G821" authorId="0" shapeId="0" xr:uid="{6A1EB666-8DFC-4A07-8612-B2FD882337B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Taken from Ragan's set as COMERT Mk1, fwiw it's a concept vehicle</t>
        </r>
      </text>
    </comment>
    <comment ref="G824" authorId="0" shapeId="0" xr:uid="{601491CB-8780-48CF-BC75-EB6CB2FCF6A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Requested via TT forums, data provided there but no backup for source</t>
        </r>
      </text>
    </comment>
    <comment ref="G884" authorId="0" shapeId="0" xr:uid="{2C4A3927-40CA-46B2-A6A2-9008D60A589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Page 34-35</t>
        </r>
      </text>
    </comment>
    <comment ref="G892" authorId="0" shapeId="0" xr:uid="{CB6A00DD-1DCC-4DEE-9C56-EBB06921E9C0}">
      <text>
        <r>
          <rPr>
            <b/>
            <sz val="9"/>
            <color indexed="81"/>
            <rFont val="Tahoma"/>
            <charset val="1"/>
          </rPr>
          <t>Viktor Nemeth:</t>
        </r>
        <r>
          <rPr>
            <sz val="9"/>
            <color indexed="81"/>
            <rFont val="Tahoma"/>
            <charset val="1"/>
          </rPr>
          <t xml:space="preserve">
Technically these are neither Hargita nor Arpad, these are predecessors to Hargita</t>
        </r>
      </text>
    </comment>
    <comment ref="G894" authorId="0" shapeId="0" xr:uid="{FFF3293C-CB1D-4D2F-876D-D75E0705BBB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Page 38</t>
        </r>
      </text>
    </comment>
    <comment ref="F910" authorId="0" shapeId="0" xr:uid="{3E1CA2F0-074F-4551-9E78-E1DAC71B19D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end-platform, so no doors.</t>
        </r>
      </text>
    </comment>
    <comment ref="F911" authorId="0" shapeId="0" xr:uid="{629602C5-9B91-45C7-9C8D-B4148BB40D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end-platform, so no doors.</t>
        </r>
      </text>
    </comment>
    <comment ref="G933" authorId="0" shapeId="0" xr:uid="{55CCF3A5-81A6-4308-A380-DB7629B8334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the best link...</t>
        </r>
      </text>
    </comment>
    <comment ref="F958" authorId="0" shapeId="0" xr:uid="{1FC12827-ECBD-461E-B2C6-66B841FF0CF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Class 1</t>
        </r>
      </text>
    </comment>
    <comment ref="F959" authorId="0" shapeId="0" xr:uid="{B0FB672D-E5BB-46D4-8947-95B8E20A933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Class 7</t>
        </r>
      </text>
    </comment>
    <comment ref="F960" authorId="0" shapeId="0" xr:uid="{A613B802-AD02-41CD-84B2-B4DCADBC390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Class 4</t>
        </r>
      </text>
    </comment>
    <comment ref="A977" authorId="0" shapeId="0" xr:uid="{78255686-5BAD-49FD-B37E-59B08B9AF9E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232 apparently but don't want to rename now</t>
        </r>
      </text>
    </comment>
    <comment ref="G977" authorId="0" shapeId="0" xr:uid="{CAFF6C7A-CCD1-4084-B3D1-E0C3FC81C42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Requested via TT forums, data provided there but no backup for source</t>
        </r>
      </text>
    </comment>
    <comment ref="F980" authorId="0" shapeId="0" xr:uid="{A4514528-ABF1-4E13-AF9F-694E2F9ED63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aka DR VT 12.14, SZD series DP, Argentinan rilways Rosario, CSD  M 295.0</t>
        </r>
      </text>
    </comment>
    <comment ref="F982" authorId="0" shapeId="0" xr:uid="{CDFC8629-93F1-4EC2-BCFB-C74B43AF9F6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 none have been built so far of the MS model but the alternatives are 3kV only</t>
        </r>
      </text>
    </comment>
    <comment ref="G988" authorId="0" shapeId="0" xr:uid="{3C5A01C7-78BE-4405-AAA9-01F89452B5B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from Dutch Train set</t>
        </r>
      </text>
    </comment>
    <comment ref="G989" authorId="0" shapeId="0" xr:uid="{E3E56D21-17ED-4211-9355-4CE051E283E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from Dutch Train set</t>
        </r>
      </text>
    </comment>
    <comment ref="G990" authorId="0" shapeId="0" xr:uid="{52EBE4EB-4494-4FD5-AD53-576B7D5CBC2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from Dutch Train set</t>
        </r>
      </text>
    </comment>
    <comment ref="G991" authorId="0" shapeId="0" xr:uid="{3BFEBC9C-1C4C-4369-8169-D2B95E288D4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from Dutch Train set</t>
        </r>
      </text>
    </comment>
    <comment ref="G992" authorId="0" shapeId="0" xr:uid="{8E926DC4-E63A-407A-A3C0-9B8AE0E0739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from Dutch Train set</t>
        </r>
      </text>
    </comment>
    <comment ref="G1002" authorId="0" shapeId="0" xr:uid="{F9FFB50E-EA47-487C-BB27-EA75C835849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 actual real details though</t>
        </r>
      </text>
    </comment>
    <comment ref="G1014" authorId="0" shapeId="0" xr:uid="{666C9106-52B3-4D33-9700-F24D85AD311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image for 386 and 362 is identical thus taking this given there is no more info on the 386 anywhere</t>
        </r>
      </text>
    </comment>
    <comment ref="G1015" authorId="0" shapeId="0" xr:uid="{1133695B-D0DE-4FD2-A5B4-BF61CE80F03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 info beyond the fact that it exists</t>
        </r>
      </text>
    </comment>
    <comment ref="F1022" authorId="0" shapeId="0" xr:uid="{BABFA5EC-379C-429C-89BC-60B53DBEB06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end-platform, so no doors.</t>
        </r>
      </text>
    </comment>
    <comment ref="F1023" authorId="0" shapeId="0" xr:uid="{59780583-2E30-45E1-90A3-D2EB6C66E51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end-platform, so no doors.</t>
        </r>
      </text>
    </comment>
    <comment ref="F1033" authorId="0" shapeId="0" xr:uid="{D29ECE20-B37E-4941-BA74-73606E45970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MP</t>
        </r>
      </text>
    </comment>
    <comment ref="F1034" authorId="0" shapeId="0" xr:uid="{81A6FBEF-3D49-4CB6-966E-635B1A291DC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MP</t>
        </r>
      </text>
    </comment>
    <comment ref="F1035" authorId="0" shapeId="0" xr:uid="{F8FA83B3-30C5-4E5B-8762-4D8779AC8A1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MP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 Nemeth</author>
  </authors>
  <commentList>
    <comment ref="C1" authorId="0" shapeId="0" xr:uid="{5F53482E-699E-4208-8D89-65DF96C035E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earliest withdrawal or refit/rebuild year or blank</t>
        </r>
      </text>
    </comment>
    <comment ref="Q1" authorId="0" shapeId="0" xr:uid="{E7A12A0F-D682-474B-A34B-C7B0C052AF6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for xMUs this is per head car!</t>
        </r>
      </text>
    </comment>
    <comment ref="R1" authorId="0" shapeId="0" xr:uid="{49321012-9C0D-4B22-BDCE-8204AE946A6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HP - use totals for xMUs
HP = kW*1.341</t>
        </r>
      </text>
    </comment>
    <comment ref="U1" authorId="0" shapeId="0" xr:uid="{609BAC94-605B-4133-AA3D-61F5207E888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Dual-Mode vehicles when running on Diesel. Otherwise 0</t>
        </r>
      </text>
    </comment>
    <comment ref="V1" authorId="0" shapeId="0" xr:uid="{14DA4D1F-CEF8-4598-A6FA-DE5853C35C3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Speed KMH</t>
        </r>
      </text>
    </comment>
    <comment ref="Y1" authorId="0" shapeId="0" xr:uid="{675E0F4C-6820-4F1B-A127-87FABC7AFB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Dual-Mode vehicles when running on Diesel. Otherwise 0</t>
        </r>
      </text>
    </comment>
    <comment ref="Z1" authorId="0" shapeId="0" xr:uid="{0C51BF27-8CC5-43E2-A3CC-FA880A3FFA4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Starting TE in kN; xMUs have to be divided by 2! (or specified as 'each'); the game doubles it basically
lbf -&gt; kN : lbf * 0.00445 
</t>
        </r>
      </text>
    </comment>
    <comment ref="AB1" authorId="0" shapeId="0" xr:uid="{7862E640-CF2E-4852-9422-3497FD18615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either legacy data or is provided as-is w/o actual kN calc from Gemini</t>
        </r>
      </text>
    </comment>
    <comment ref="AF1" authorId="0" shapeId="0" xr:uid="{8B8D14DC-7AD4-49AB-9EAA-FD99071086C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For non-MUs this is actual_length-length but manually inputted.</t>
        </r>
      </text>
    </comment>
    <comment ref="AR1" authorId="0" shapeId="0" xr:uid="{897B7C74-D7CA-4180-BD29-AB15A68497D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Excluding 'base' state</t>
        </r>
      </text>
    </comment>
    <comment ref="R17" authorId="0" shapeId="0" xr:uid="{A504ACAC-4676-4AF3-9911-B70C5AE25D4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EN/ES/PT wiki all give differing values but at 1948 that'd be a refurb'd value at 350hp</t>
        </r>
      </text>
    </comment>
    <comment ref="J25" authorId="0" shapeId="0" xr:uid="{120BC429-525B-4D07-AC4A-4DADB20AAD6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55 + 40 (seat/stand)</t>
        </r>
      </text>
    </comment>
    <comment ref="J30" authorId="0" shapeId="0" xr:uid="{5303029C-41FC-4815-857D-F9C5262FBBD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69+10</t>
        </r>
      </text>
    </comment>
    <comment ref="J31" authorId="0" shapeId="0" xr:uid="{89D5BA69-714E-43D9-968D-0BB988AD9CA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30+12</t>
        </r>
      </text>
    </comment>
    <comment ref="J32" authorId="0" shapeId="0" xr:uid="{E64F9BD1-26CE-4E7B-974D-759C8125637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18+20</t>
        </r>
      </text>
    </comment>
    <comment ref="V38" authorId="0" shapeId="0" xr:uid="{246BA914-4EE6-4AF0-81A3-9B100DE188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130kmh designated speed, 148kmh speed record</t>
        </r>
      </text>
    </comment>
    <comment ref="J39" authorId="0" shapeId="0" xr:uid="{66024331-5D8C-4278-A7FE-75CD22607A2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across 2nd/3rd class seating and standing</t>
        </r>
      </text>
    </comment>
    <comment ref="Z48" authorId="0" shapeId="0" xr:uid="{9EE55F4D-D2FD-4211-910A-CB9B8061E03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Starting - the wiki page lists continous at 24</t>
        </r>
      </text>
    </comment>
    <comment ref="J53" authorId="0" shapeId="0" xr:uid="{669CAAD7-C2B0-436B-BD88-A3ACE8984D2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standing/seated BUT this was supposed to be 2 units so half of that per unit
</t>
        </r>
      </text>
    </comment>
    <comment ref="Q66" authorId="0" shapeId="0" xr:uid="{56DD8B54-9C4C-443F-B256-8C17DF30A9F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Inc tender</t>
        </r>
      </text>
    </comment>
    <comment ref="V90" authorId="0" shapeId="0" xr:uid="{959F1884-1E1F-4632-B0E5-8A6D97936FD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Regular service speed was 140 but to line up with other grfs this is made 160</t>
        </r>
      </text>
    </comment>
    <comment ref="A127" authorId="0" shapeId="0" xr:uid="{B88C8CC9-83BE-44FA-B37C-E7408125516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Possibly ex-GWR/War Department "LMS Fowler Class 3F" but can't verify</t>
        </r>
      </text>
    </comment>
    <comment ref="Z127" authorId="0" shapeId="0" xr:uid="{A7615801-A1A4-481D-BE55-E1F2EE287F1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Assuming this is a LMS Fowler Class 3F</t>
        </r>
      </text>
    </comment>
    <comment ref="Z135" authorId="0" shapeId="0" xr:uid="{55E4D036-67CF-4AD2-B02E-622FFAA384E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was a dual-unit, id didn't come in singles.</t>
        </r>
      </text>
    </comment>
    <comment ref="R138" authorId="0" shapeId="0" xr:uid="{1D76F231-A99F-4820-9CB1-557CC4F4B46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 wiki info but this is back-calculated from the 14.6kN there</t>
        </r>
      </text>
    </comment>
    <comment ref="Z144" authorId="0" shapeId="0" xr:uid="{26D11D3D-BDB8-41C7-8515-639C3329E5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suggested -&gt; Garratt (like the GMA) is an articulated locomotive. It has two independent engine units under one boiler thus use this rather than 270kN</t>
        </r>
      </text>
    </comment>
    <comment ref="Z146" authorId="0" shapeId="0" xr:uid="{F09BA75C-D9A6-4D18-99A4-3665477EC27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Single drivers have low TE</t>
        </r>
      </text>
    </comment>
    <comment ref="K170" authorId="0" shapeId="0" xr:uid="{472217D3-0046-4C96-B166-5452E7E9E73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Really, the png is 7.5 len...</t>
        </r>
      </text>
    </comment>
    <comment ref="Q173" authorId="0" shapeId="0" xr:uid="{B3C292DC-2CB5-479C-9D4B-F3682AFA76F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100 short tons (USA)</t>
        </r>
      </text>
    </comment>
    <comment ref="Z196" authorId="0" shapeId="0" xr:uid="{AE0AC0E2-7CC6-4FD8-9786-3E9F008D7AA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199" authorId="0" shapeId="0" xr:uid="{5A9B29FA-63D7-4985-82A7-2D15CD3D6A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200" authorId="0" shapeId="0" xr:uid="{D5F1711C-B26B-4A09-9537-08E6B690884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02" authorId="0" shapeId="0" xr:uid="{FFD4D6B8-B8B2-4F62-B13C-F24E78FA134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03" authorId="0" shapeId="0" xr:uid="{10B54D8F-A502-498E-A19E-C8185D4D81D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205" authorId="0" shapeId="0" xr:uid="{64F272ED-942B-4891-91DC-A0F8E910892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EN wiki</t>
        </r>
      </text>
    </comment>
    <comment ref="Z211" authorId="0" shapeId="0" xr:uid="{5F93ADF0-FA03-4555-B36F-CF5956325BC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auran.com</t>
        </r>
      </text>
    </comment>
    <comment ref="Z215" authorId="0" shapeId="0" xr:uid="{3F3E4BE6-E16A-4060-9951-555B2382767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Chinese wiki….</t>
        </r>
      </text>
    </comment>
    <comment ref="Z217" authorId="0" shapeId="0" xr:uid="{AAA3D43B-7D71-41B7-AB92-4C454A31DE9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Chinese wiki….</t>
        </r>
      </text>
    </comment>
    <comment ref="Z218" authorId="0" shapeId="0" xr:uid="{22DA4EDB-23AA-46A9-9A74-988085BC245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Chinese wiki….</t>
        </r>
      </text>
    </comment>
    <comment ref="Z224" authorId="0" shapeId="0" xr:uid="{DA84C8A8-C894-4955-9F42-25D52A4E69A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29" authorId="0" shapeId="0" xr:uid="{5D4B8B63-33D7-49C5-A0C9-DF306E6A2E6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253" authorId="0" shapeId="0" xr:uid="{8382A639-DECC-4974-A056-E66EB534113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CN wikipedia</t>
        </r>
      </text>
    </comment>
    <comment ref="Z260" authorId="0" shapeId="0" xr:uid="{7A61B316-7BE2-4745-ABAE-3BA90338C35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CN Wiki</t>
        </r>
      </text>
    </comment>
    <comment ref="Z261" authorId="0" shapeId="0" xr:uid="{7C320C6A-4ABE-47AF-8236-981044D0586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270" authorId="0" shapeId="0" xr:uid="{362A7D22-6664-44B0-BD1E-3EE1A66BA3D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74" authorId="0" shapeId="0" xr:uid="{C922FC24-23AE-4AB9-922C-F6556A7F4EB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-- wikipedia only has cont. TE, not starting TE</t>
        </r>
      </text>
    </comment>
    <comment ref="Z275" authorId="0" shapeId="0" xr:uid="{73574082-9BDE-48F2-9DB5-82A9543616C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G-unit, the H unit is weaker but faster</t>
        </r>
      </text>
    </comment>
    <comment ref="Z279" authorId="0" shapeId="0" xr:uid="{DA2BFE5D-211D-473F-9C32-38716BC0F62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82" authorId="0" shapeId="0" xr:uid="{209C901B-3C3F-4E7A-BA79-2CE35403044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83" authorId="0" shapeId="0" xr:uid="{7BEB06B9-EC9A-4A87-A91C-F88F0FA20CE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88" authorId="0" shapeId="0" xr:uid="{3989DF70-FA6E-41FE-8BB0-DA8EEF7C5C2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89" authorId="0" shapeId="0" xr:uid="{950C9CAB-DA30-471F-908E-1D4F0F27F7F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91" authorId="0" shapeId="0" xr:uid="{AB86D55E-9974-4794-B50D-36AAAD0AC4D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93" authorId="0" shapeId="0" xr:uid="{F5244167-B474-43EA-BB82-7E3F3AA4C31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353" authorId="0" shapeId="0" xr:uid="{65FED94C-8DD3-4309-A654-8DE33ACF8C8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V356" authorId="0" shapeId="0" xr:uid="{3AB1A9B5-8B11-4573-B5D6-6D0C9747D3F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"Limited maximum" - wiki</t>
        </r>
      </text>
    </comment>
    <comment ref="Z361" authorId="0" shapeId="0" xr:uid="{A3EAEEF0-3F78-4727-A57C-8C2696E3040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--&gt; the JP Wiki says 47.5 but it's explicitly stated there it's the 1-hr rated, not starting</t>
        </r>
      </text>
    </comment>
    <comment ref="Z362" authorId="0" shapeId="0" xr:uid="{CB664AF1-64B4-460B-B3F3-E2747B30425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363" authorId="0" shapeId="0" xr:uid="{9690C0F3-C55C-4C08-A8C5-FB1B42A127A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-- no other info available</t>
        </r>
      </text>
    </comment>
    <comment ref="Z369" authorId="0" shapeId="0" xr:uid="{6D404664-9B2F-4D56-892B-34554C465A4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All data Gemini bcs there doesn't appear to be anything else.</t>
        </r>
      </text>
    </comment>
    <comment ref="Z370" authorId="0" shapeId="0" xr:uid="{07B0DA00-BA32-439E-8FAD-6FFAD2A928C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-- wiki has cont., not starting</t>
        </r>
      </text>
    </comment>
    <comment ref="Z374" authorId="0" shapeId="0" xr:uid="{92B9A3AF-0FF0-4FE6-A35E-8FD0140ABE3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PL wiki</t>
        </r>
      </text>
    </comment>
    <comment ref="AQ382" authorId="0" shapeId="0" xr:uid="{4FE01E00-89DD-421E-AC16-4A8DB771BE1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the same as the GE 2-C-C-2</t>
        </r>
      </text>
    </comment>
    <comment ref="AT382" authorId="0" shapeId="0" xr:uid="{DFAB86CF-3FF4-49DA-92D2-25CF786AFEC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the same as the GE 2-C-C-2</t>
        </r>
      </text>
    </comment>
    <comment ref="U402" authorId="0" shapeId="0" xr:uid="{46858BA7-677C-4A48-8B29-C30C534E790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correct 389</t>
        </r>
      </text>
    </comment>
    <comment ref="Z403" authorId="0" shapeId="0" xr:uid="{D5445CEB-072A-4B82-A0EC-9B0CC8C4B9A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wikipedia</t>
        </r>
      </text>
    </comment>
    <comment ref="Z405" authorId="0" shapeId="0" xr:uid="{FB57B90F-F780-47FD-8531-7CB54D14D53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Norwegian wiki</t>
        </r>
      </text>
    </comment>
    <comment ref="Z406" authorId="0" shapeId="0" xr:uid="{E310EBBB-BD32-4E50-86DB-B8704141035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600x2</t>
        </r>
      </text>
    </comment>
    <comment ref="Z424" authorId="0" shapeId="0" xr:uid="{D6B74F55-AAEC-469D-A515-EA923A5CB53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ZN wiki</t>
        </r>
      </text>
    </comment>
    <comment ref="Z433" authorId="0" shapeId="0" xr:uid="{8201CAA8-93A4-44A1-9AA8-294A34D11AE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whole set is a right mess but the 'design' part of wikipedia explains it pretty well, just have to read, not tabular text.</t>
        </r>
      </text>
    </comment>
    <comment ref="Z436" authorId="0" shapeId="0" xr:uid="{ED717202-5649-407F-A547-CA1AE5D763C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445" authorId="0" shapeId="0" xr:uid="{001DAAEB-A572-46B0-ACBD-24E91E211C3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ZH wiki</t>
        </r>
      </text>
    </comment>
    <comment ref="Z447" authorId="0" shapeId="0" xr:uid="{1E21144B-37D6-4F89-908E-4DCD0CCFACD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453" authorId="0" shapeId="0" xr:uid="{D4BE015A-ED82-4B00-A3FB-13E3951BE7F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https://www.dbtrains.com/en/trainsets/epochII/SVT_Hamburg/</t>
        </r>
      </text>
    </comment>
    <comment ref="AE453" authorId="0" shapeId="0" xr:uid="{14D738FB-2FEE-4D43-8DBA-26CC5C0F772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2nd class 30, 3rd class 109</t>
        </r>
      </text>
    </comment>
    <comment ref="J454" authorId="0" shapeId="0" xr:uid="{42590D6B-4474-4746-8FA6-36B6A01711D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454" authorId="0" shapeId="0" xr:uid="{F61C43F4-95CA-4A83-835C-0F2209E45FD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54" authorId="0" shapeId="0" xr:uid="{4D5D5FE2-6A04-47B6-992D-219865BDA3E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2nd class, Gemini</t>
        </r>
      </text>
    </comment>
    <comment ref="AE455" authorId="0" shapeId="0" xr:uid="{DDDC549F-EB0F-4411-A8FA-13D3F5E3206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456" authorId="0" shapeId="0" xr:uid="{C66666E3-15F3-4002-8714-8712C9DADE9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56" authorId="0" shapeId="0" xr:uid="{05459AF0-4169-4BEC-BB05-53C65D277F2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457" authorId="0" shapeId="0" xr:uid="{6F84592B-02E4-48AF-8D3F-12B466A3F96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57" authorId="0" shapeId="0" xr:uid="{211AB1A7-D4BE-4918-9D5C-BEBF7EEB194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458" authorId="0" shapeId="0" xr:uid="{0ABCA9F6-A238-4DDA-AEA2-377A4514CAA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B458" authorId="0" shapeId="0" xr:uid="{A08F3601-81DA-47E5-A813-5BC6D8FA43B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Likely kN was 200ish but due to the fuckery with the dmu calc here I am just leaving it on 0.18 te-c</t>
        </r>
      </text>
    </comment>
    <comment ref="AE458" authorId="0" shapeId="0" xr:uid="{E8B9F21D-7569-44C2-A6C1-7DBAB02D2D8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Japanese Wiki</t>
        </r>
      </text>
    </comment>
    <comment ref="AE459" authorId="0" shapeId="0" xr:uid="{1B9C45D9-1C2C-4DC5-B2DF-80A34034201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1st + 2nd class ; wiki</t>
        </r>
      </text>
    </comment>
    <comment ref="Q460" authorId="0" shapeId="0" xr:uid="{DEAA3B47-CBF1-4519-A88F-4640C948F98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165t over 7 cars</t>
        </r>
      </text>
    </comment>
    <comment ref="Z460" authorId="0" shapeId="0" xr:uid="{6996FC3A-EFD1-40A3-A783-09E3E3E878D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"Turbines are terrible at starting torque; high speed is where they live"</t>
        </r>
      </text>
    </comment>
    <comment ref="AE460" authorId="0" shapeId="0" xr:uid="{DB42BD95-7727-4817-97DA-17F3247D69A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322 total over 7 cars so that's exc head cars. Wiki</t>
        </r>
      </text>
    </comment>
    <comment ref="J462" authorId="0" shapeId="0" xr:uid="{03130E74-01AA-468F-BC28-7ED5882FB33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462" authorId="0" shapeId="0" xr:uid="{2DF2CCF9-73FC-4E63-B315-F164428AFC8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Gemini. Wikipedia kindof disagrees but unclear if that latter is per unit or whole</t>
        </r>
      </text>
    </comment>
    <comment ref="AE462" authorId="0" shapeId="0" xr:uid="{2C3D2439-CFDF-4EA7-A7C0-1AEE9861350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mk3 carriages</t>
        </r>
      </text>
    </comment>
    <comment ref="J463" authorId="0" shapeId="0" xr:uid="{FABEAA25-DDEC-412D-84FA-82774A2854F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463" authorId="0" shapeId="0" xr:uid="{50089F90-CB65-4E93-BD2D-8671F05C42A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B463" authorId="0" shapeId="0" xr:uid="{2BB8202F-4461-4E11-9FF4-A81420C7AAD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Can't find any info but .54 is way too high</t>
        </r>
      </text>
    </comment>
    <comment ref="AE463" authorId="0" shapeId="0" xr:uid="{03DCEC7B-391B-4D76-A952-454CAC4B633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https://corpo.viarail.ca/en/projects-infrastructure/train-fleet/lrc-coach</t>
        </r>
      </text>
    </comment>
    <comment ref="AB464" authorId="0" shapeId="0" xr:uid="{5BC240C8-A1A0-4261-9D60-2729FAD420A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 data found but .63 is way too high</t>
        </r>
      </text>
    </comment>
    <comment ref="AE466" authorId="0" shapeId="0" xr:uid="{7BD7D7D9-1B9F-4218-AE44-3A6ED2CDE34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467" authorId="0" shapeId="0" xr:uid="{B65D01F0-B5BB-446A-B609-01D4637B3D2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468" authorId="0" shapeId="0" xr:uid="{57ED1F93-E61A-44C1-A24F-D1815ACD7B7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standing + seated</t>
        </r>
      </text>
    </comment>
    <comment ref="AE468" authorId="0" shapeId="0" xr:uid="{C097C6CE-C609-4D02-A807-DCF39B3ACAA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Technically, none but hey-ho. This is a 2-unit DMU.</t>
        </r>
      </text>
    </comment>
    <comment ref="J469" authorId="0" shapeId="0" xr:uid="{F80A1A2A-2AD2-4043-B27B-9160983583B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wiki: 52 seated, 85 standing per car</t>
        </r>
      </text>
    </comment>
    <comment ref="Z469" authorId="0" shapeId="0" xr:uid="{D61ECA25-3433-456F-A593-6655C2E6503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R470" authorId="0" shapeId="0" xr:uid="{18C45B44-8069-48DC-92AD-47B98E9CC91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NOR wiki</t>
        </r>
      </text>
    </comment>
    <comment ref="Z470" authorId="0" shapeId="0" xr:uid="{51889A99-8FF8-48BD-B0FD-8CCE06AF9C8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70" authorId="0" shapeId="0" xr:uid="{48B1AABC-DCF3-4F33-BEED-C17E54D322C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Again, none, really, this doesn't take trailers IRL</t>
        </r>
      </text>
    </comment>
    <comment ref="Z471" authorId="0" shapeId="0" xr:uid="{B24631CD-9F50-4144-9042-0233D53F401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71" authorId="0" shapeId="0" xr:uid="{AC21BC79-9606-4EE4-BE39-3F605D1CB63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Again, none, really, this doesn't take trailers IRL</t>
        </r>
      </text>
    </comment>
    <comment ref="AE472" authorId="0" shapeId="0" xr:uid="{0CEC4904-628F-47CA-AF16-E256207EF86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Again, none, really, this doesn't take trailers IRL</t>
        </r>
      </text>
    </comment>
    <comment ref="Z473" authorId="0" shapeId="0" xr:uid="{C832E022-A98A-467D-BEF9-8E528F1A4A1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73" authorId="0" shapeId="0" xr:uid="{C5F71CDA-D2D6-4D2D-B01E-4A01C3A285E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RU wiki</t>
        </r>
      </text>
    </comment>
    <comment ref="Z474" authorId="0" shapeId="0" xr:uid="{BBB1EE3A-1D42-44D7-ABCE-2799FCE190A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Gemini, stating this was limited on purpose</t>
        </r>
      </text>
    </comment>
    <comment ref="J475" authorId="0" shapeId="0" xr:uid="{95F37B55-BDCE-4F84-9B36-7E030FD9F2F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410 in 3 cars total, inc standing</t>
        </r>
      </text>
    </comment>
    <comment ref="Z475" authorId="0" shapeId="0" xr:uid="{8DBDD32D-796F-4308-95AB-6A3B0BE0235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AE477" authorId="0" shapeId="0" xr:uid="{63AE2BF0-1EB8-47C0-8921-98B5839208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JP wiki</t>
        </r>
      </text>
    </comment>
    <comment ref="J478" authorId="0" shapeId="0" xr:uid="{C604C199-92C2-45FA-AC0F-F830F683EF3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wiki, standing+seating</t>
        </r>
      </text>
    </comment>
    <comment ref="Z478" authorId="0" shapeId="0" xr:uid="{9B6D7A57-068B-4C34-A8F0-6B744433C71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AE478" authorId="0" shapeId="0" xr:uid="{45786175-97DB-40CB-8B64-8CB62C56AB1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wiki, standing+seating</t>
        </r>
      </text>
    </comment>
    <comment ref="Z479" authorId="0" shapeId="0" xr:uid="{118010B7-9930-4DFA-A5B2-9E64A3ED19D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B481" authorId="0" shapeId="0" xr:uid="{440439C8-F5E2-41D6-8FA7-DD37F6F18CA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 data found but .63 is way too high</t>
        </r>
      </text>
    </comment>
    <comment ref="AE492" authorId="0" shapeId="0" xr:uid="{DBC6085B-C9EB-49DB-8070-093E9B4C383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French Wiki</t>
        </r>
      </text>
    </comment>
    <comment ref="J498" authorId="0" shapeId="0" xr:uid="{1A95F5DC-0ADC-4EE0-8DE1-189DD241435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502" authorId="0" shapeId="0" xr:uid="{B140705D-0777-4748-92A9-B7B01036CA5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PT wiki</t>
        </r>
      </text>
    </comment>
    <comment ref="Z503" authorId="0" shapeId="0" xr:uid="{E8DD58C8-8DFF-40AB-98AE-980D5F34C80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PT wiki</t>
        </r>
      </text>
    </comment>
    <comment ref="R519" authorId="0" shapeId="0" xr:uid="{5851B7AC-55D9-418A-B514-06FACC836F4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Cont. rating for 2 head units</t>
        </r>
      </text>
    </comment>
    <comment ref="J520" authorId="0" shapeId="0" xr:uid="{C450D2D5-7DDE-407A-8AFE-AA3CE34009C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AH522" authorId="0" shapeId="0" xr:uid="{F67CF656-2C16-4B6D-8176-4C9A2B7C3DD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Belgium</t>
        </r>
      </text>
    </comment>
    <comment ref="Q526" authorId="0" shapeId="0" xr:uid="{14466D87-560D-4CE4-A94C-D44321E99F3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Techincally these weren't EMUs but railcars and they are 72.7t each</t>
        </r>
      </text>
    </comment>
    <comment ref="R526" authorId="0" shapeId="0" xr:uid="{65CB226A-6D09-4794-BA21-163A0C77870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See note ref weight</t>
        </r>
      </text>
    </comment>
    <comment ref="Z526" authorId="0" shapeId="0" xr:uid="{27BFC195-29BF-40AD-8DD8-7EF55AA508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Again, assuming 2 cars bcs EMU, which these were not.</t>
        </r>
      </text>
    </comment>
    <comment ref="Q527" authorId="0" shapeId="0" xr:uid="{8EDFCE48-5BEC-4600-A868-0424D9719E6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78t each</t>
        </r>
      </text>
    </comment>
    <comment ref="Z527" authorId="0" shapeId="0" xr:uid="{2455FFA9-6ACF-4CF3-A092-086B23171F6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Again, assuming 2 cars bcs EMU, which these were not.</t>
        </r>
      </text>
    </comment>
    <comment ref="J528" authorId="0" shapeId="0" xr:uid="{8B7F856A-45CF-4FDE-BE26-CC38ED0A4CC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Seated + standing [DE wiki]</t>
        </r>
      </text>
    </comment>
    <comment ref="Z528" authorId="0" shapeId="0" xr:uid="{E9FA0152-4806-4F57-8B58-FC3AB7A9356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63 per head unit</t>
        </r>
      </text>
    </comment>
    <comment ref="AE528" authorId="0" shapeId="0" xr:uid="{E655A155-4CD1-4A98-AD3C-DC5F12D7426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Seated + standing [DE wiki]</t>
        </r>
      </text>
    </comment>
    <comment ref="R529" authorId="0" shapeId="0" xr:uid="{04DD7C12-9566-4844-AC7E-942ECA7FF7B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 head cars</t>
        </r>
      </text>
    </comment>
    <comment ref="Z529" authorId="0" shapeId="0" xr:uid="{A88E56AC-5ADB-415B-926C-C5CCD5687D9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Q530" authorId="0" shapeId="0" xr:uid="{DEDD68B7-51E2-4757-AA45-4CA254913E9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EN wiki -&gt; motor car 47t, 3rd [end] car 30t</t>
        </r>
      </text>
    </comment>
    <comment ref="Z530" authorId="0" shapeId="0" xr:uid="{295997D5-A555-4476-B52E-E4DE58F06FF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531" authorId="0" shapeId="0" xr:uid="{86BF549F-3EC2-4E3E-866F-D0A8E2C8C57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Q531" authorId="0" shapeId="0" xr:uid="{FA5DAD93-EB76-415A-9E78-142DEB08107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73t for power cars, each [wiki]</t>
        </r>
      </text>
    </comment>
    <comment ref="Z531" authorId="0" shapeId="0" xr:uid="{56D09652-B094-4296-A4F9-6BB445AC062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AE531" authorId="0" shapeId="0" xr:uid="{9661FC9E-E2A5-4E7D-82EE-7F0CA7D7D50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2nd class. [wiki]</t>
        </r>
      </text>
    </comment>
    <comment ref="AH531" authorId="0" shapeId="0" xr:uid="{4D9A9C42-C3A2-4D70-BC56-EFF38E64CFF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Exported to AUS &amp; China</t>
        </r>
      </text>
    </comment>
    <comment ref="R532" authorId="0" shapeId="0" xr:uid="{4C991176-8822-4513-99AD-B698FF1E3B8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3 car set is 3277 all-powered</t>
        </r>
      </text>
    </comment>
    <comment ref="Z532" authorId="0" shapeId="0" xr:uid="{C6F8C067-1A4B-4B80-9462-AF32BD51E9D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533" authorId="0" shapeId="0" xr:uid="{01692ECF-CA77-42F0-95C5-98705D72F85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534" authorId="0" shapeId="0" xr:uid="{18E3248D-9014-48C2-894D-1A37844564C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J535" authorId="0" shapeId="0" xr:uid="{60D62942-0776-4F44-994E-3A13B7D74B5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Wiki: coaches had 76 seats</t>
        </r>
      </text>
    </comment>
    <comment ref="Q535" authorId="0" shapeId="0" xr:uid="{26AC20D1-7C4A-49A4-A8C3-EE51CD3B7BE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Wiki: 75t each</t>
        </r>
      </text>
    </comment>
    <comment ref="Z535" authorId="0" shapeId="0" xr:uid="{B028397C-AE4E-47B6-9FE5-BEBDE01B478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535" authorId="0" shapeId="0" xr:uid="{96D8BBA2-034E-4196-A2BC-0011F5CCE57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Wiki: coaches had 76 seats</t>
        </r>
      </text>
    </comment>
    <comment ref="Z536" authorId="0" shapeId="0" xr:uid="{6B6F5EE7-BE39-4385-9059-A7C643E8FD0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EN wiki</t>
        </r>
      </text>
    </comment>
    <comment ref="AH536" authorId="0" shapeId="0" xr:uid="{FD3CED40-4638-44E3-AE30-392AD92D23D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the commie thing per se but it's in EE and Asia too</t>
        </r>
      </text>
    </comment>
    <comment ref="R537" authorId="0" shapeId="0" xr:uid="{F383714F-4CC8-4259-A4B4-78779CF19B4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_BUL_ version according to the HUN wikipedia. </t>
        </r>
      </text>
    </comment>
    <comment ref="Q538" authorId="0" shapeId="0" xr:uid="{1677620F-050A-40EC-AB10-34C8E9D0A37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 it's 1 MU + 1 DT and this is their combined avg</t>
        </r>
      </text>
    </comment>
    <comment ref="R538" authorId="0" shapeId="0" xr:uid="{D645CD97-1C93-40AC-AC36-162B47FCA8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 says 208, railfaneurope says 818…go figure.</t>
        </r>
      </text>
    </comment>
    <comment ref="Z538" authorId="0" shapeId="0" xr:uid="{2DD85D0A-883F-4AFA-A841-D9E16E6B8C2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http://www.railfaneurope.net/list/finland_vr.html</t>
        </r>
      </text>
    </comment>
    <comment ref="Z542" authorId="0" shapeId="0" xr:uid="{46864FBD-283A-4ABF-8FC7-103AD5CAB91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65kN each</t>
        </r>
      </text>
    </comment>
    <comment ref="Z543" authorId="0" shapeId="0" xr:uid="{9D373E2D-D76A-487A-B40D-A32FA9814FA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60kN each</t>
        </r>
      </text>
    </comment>
    <comment ref="Z544" authorId="0" shapeId="0" xr:uid="{CAAFDE8A-4689-4E5F-BF99-248D553C1A8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80kN each</t>
        </r>
      </text>
    </comment>
    <comment ref="Z545" authorId="0" shapeId="0" xr:uid="{A9565F2B-A901-40F5-8FB1-5F9E6364931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240 total</t>
        </r>
      </text>
    </comment>
    <comment ref="Z547" authorId="0" shapeId="0" xr:uid="{91440FA7-EB32-41E9-B772-54F08E765AA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R550" authorId="0" shapeId="0" xr:uid="{1277F21F-1B13-4E8B-B704-2D693E2FE92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 zero bcs the head units are unpowered but that won't work for the game</t>
        </r>
      </text>
    </comment>
    <comment ref="Z550" authorId="0" shapeId="0" xr:uid="{C9568960-A565-4BAF-9E21-0EAB1408E5B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60kN per motor car</t>
        </r>
      </text>
    </comment>
    <comment ref="Z551" authorId="0" shapeId="0" xr:uid="{E13F4D3E-8407-4C81-9976-A24B34067CB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80 each - Gemini</t>
        </r>
      </text>
    </comment>
    <comment ref="R552" authorId="0" shapeId="0" xr:uid="{E817043B-A3DC-4E0D-A874-7A23A1232F7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All units are powered but heads only account for this much</t>
        </r>
      </text>
    </comment>
    <comment ref="Z552" authorId="0" shapeId="0" xr:uid="{D1E517FD-1CCD-46C7-B7D8-87C10743EBC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30 each</t>
        </r>
      </text>
    </comment>
    <comment ref="R553" authorId="0" shapeId="0" xr:uid="{59F8D22B-EA64-495A-9FD2-AD50488EEED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All units are powered but heads only account for this much - this data is from wikipedia but Gemini disagrees. I picked wiki.</t>
        </r>
      </text>
    </comment>
    <comment ref="Z553" authorId="0" shapeId="0" xr:uid="{C6B64069-23F4-4FDD-B1B3-9ABCEF99F1D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 say 225 total but that's cont.; so this is gemini for starting (game doubles it.)</t>
        </r>
      </text>
    </comment>
    <comment ref="R554" authorId="0" shapeId="0" xr:uid="{BC7273BB-6837-4118-BBFB-2FFDD11FB18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1810hp each</t>
        </r>
      </text>
    </comment>
    <comment ref="Z554" authorId="0" shapeId="0" xr:uid="{3F5B30CB-DC9E-4F12-B0CC-D8199294A57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from wikipedia. Gemini says half of this.</t>
        </r>
      </text>
    </comment>
    <comment ref="R555" authorId="0" shapeId="0" xr:uid="{D1C335C1-9701-4F08-89BC-2207A06AE6E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Guesstimate. Train is concept unit.</t>
        </r>
      </text>
    </comment>
    <comment ref="Z555" authorId="0" shapeId="0" xr:uid="{C0E44445-0873-4507-9CED-52B3CE5E8C8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So this was a concept train that never existed, thus the value is pure guess.</t>
        </r>
      </text>
    </comment>
    <comment ref="R556" authorId="0" shapeId="0" xr:uid="{5DCF07D6-7DE5-4FD5-ADE2-2FD6363458E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Reporting for the dedicated power car (the Re unit). In this formation, only the center power car provides traction; the cab cars are unpowered driving trailers. [Gemini ++ Wiki]</t>
        </r>
      </text>
    </comment>
    <comment ref="Z557" authorId="0" shapeId="0" xr:uid="{C46BCB3B-1D76-4081-8F66-D5FA17E5AD5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135 each</t>
        </r>
      </text>
    </comment>
    <comment ref="J558" authorId="0" shapeId="0" xr:uid="{060520D5-BED8-46BE-B53E-FA4AD2EAB10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Q558" authorId="0" shapeId="0" xr:uid="{BDFB3B56-C3DE-4D55-9CA4-4B9226BE337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38t; that's a simplified 380 total/10 cars division, but unlikely</t>
        </r>
      </text>
    </comment>
    <comment ref="Z558" authorId="0" shapeId="0" xr:uid="{1060D7D4-05D9-454A-BA5B-18C8F1BD47C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says 210 for the total set but unclear otherwise. "optimized for the 3.5% ramps of the LGV"</t>
        </r>
      </text>
    </comment>
    <comment ref="J559" authorId="0" shapeId="0" xr:uid="{8C909C87-4302-4353-8DF2-5F448DE6012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Q559" authorId="0" shapeId="0" xr:uid="{BFC25C34-190A-42E2-917F-0E5AE4FDA20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38t; that's a simplified 380 total/10 cars division, but unlikely</t>
        </r>
      </text>
    </comment>
    <comment ref="Z559" authorId="0" shapeId="0" xr:uid="{8C202712-AB28-47C5-A5FC-BCB3F08D273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says 220 for the total set but unclear otherwise. "optimized for the 3.5% ramps of the LGV"</t>
        </r>
      </text>
    </comment>
    <comment ref="AH559" authorId="0" shapeId="0" xr:uid="{E01CBD28-E50D-4301-B123-6F386CA8838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Morocco</t>
        </r>
      </text>
    </comment>
    <comment ref="J560" authorId="0" shapeId="0" xr:uid="{938C5ABB-B204-42D5-A141-8FA96DFC64D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Q560" authorId="0" shapeId="0" xr:uid="{9F12BE35-DEEB-4184-BEE3-EE1400BDE79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38t; that's a simplified 380 total/10 cars division, but unlikely</t>
        </r>
      </text>
    </comment>
    <comment ref="Z560" authorId="0" shapeId="0" xr:uid="{67E1EC0F-62AE-4E83-B223-C48CBBC2D1E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says 210 for the total set but unclear otherwise. "optimized for the 3.5% ramps of the LGV"</t>
        </r>
      </text>
    </comment>
    <comment ref="T561" authorId="0" shapeId="0" xr:uid="{5DB8F396-3305-42A8-AA2E-A68D3B1F6D1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Identical to AC according to wikipedia</t>
        </r>
      </text>
    </comment>
    <comment ref="Z561" authorId="0" shapeId="0" xr:uid="{B2A30302-2053-4387-A9D6-CB45C897CCF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50 per head unit</t>
        </r>
      </text>
    </comment>
    <comment ref="J563" authorId="0" shapeId="0" xr:uid="{3AEB9526-F961-417C-8AF0-D11E7B6C54C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563" authorId="0" shapeId="0" xr:uid="{B4EFCFC2-9A53-4868-8603-8071292B8C2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220kn each, as per wikipedia explicitly stating so</t>
        </r>
      </text>
    </comment>
    <comment ref="Z564" authorId="0" shapeId="0" xr:uid="{508AE3EE-B382-4AC6-8202-5DB6D3B670A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65" authorId="0" shapeId="0" xr:uid="{D3D70411-3593-4531-A0CB-67B793FDFBB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66" authorId="0" shapeId="0" xr:uid="{E7545150-EFB9-40A0-A2B3-1ACB225944C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67" authorId="0" shapeId="0" xr:uid="{72021104-40C6-4461-BBEA-7A2FF503BED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R569" authorId="0" shapeId="0" xr:uid="{B7042B8F-7276-48FF-B037-7DB0D03161E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Gemini:($14,000\text{ kW}$) Roughly double a standard Taurus. You need this to maintain $300\text{ km/h}$ with a heavy trailing load</t>
        </r>
      </text>
    </comment>
    <comment ref="V569" authorId="0" shapeId="0" xr:uid="{40243850-7D9A-4D87-B336-8BA20D58CAB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Rather than something higher to keep more or less within the realm of physics</t>
        </r>
      </text>
    </comment>
    <comment ref="Z569" authorId="0" shapeId="0" xr:uid="{BB9D7597-3B4A-48BA-8F1B-175BFD86561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Gemini, cautioning that this does not actually work in maglev realm: Since you have "infinite" magnetic grip, you can apply massive force to get heavy cars moving.</t>
        </r>
      </text>
    </comment>
    <comment ref="R570" authorId="0" shapeId="0" xr:uid="{72C66A7A-80CE-44A1-8E2C-3233B81610D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Gemini. Maglev doesn't have a comparable effect but this is to fake it</t>
        </r>
      </text>
    </comment>
    <comment ref="Z570" authorId="0" shapeId="0" xr:uid="{A80B0D13-EBB1-4EB1-9BA2-6703E6FFD97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Gemini. Maglev does not have a TE per se but this is to fake the effect.</t>
        </r>
      </text>
    </comment>
    <comment ref="R571" authorId="0" shapeId="0" xr:uid="{926C6FE2-90A5-4705-BE40-767FDDC6AE1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($15,000\text{ kW}$ total) Necessary to overcome massive air resistance at $500\text{ km/h}+$.</t>
        </r>
      </text>
    </comment>
    <comment ref="V571" authorId="0" shapeId="0" xr:uid="{A95E8BB2-5E44-4B38-B214-A61EE3FB556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Design speed higher, this is operational</t>
        </r>
      </text>
    </comment>
    <comment ref="Z571" authorId="0" shapeId="0" xr:uid="{E27CB942-739F-45F9-A063-C6EB36A22A9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Higher than Transrapid to reflect the "launch" nature of EDS</t>
        </r>
      </text>
    </comment>
    <comment ref="J587" authorId="0" shapeId="0" xr:uid="{A7C20FEA-DA27-47CF-ADDC-89E60BBC245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Standing + seating</t>
        </r>
      </text>
    </comment>
    <comment ref="Z587" authorId="0" shapeId="0" xr:uid="{6312AA61-C15A-44D0-BA56-B4818820204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588" authorId="0" shapeId="0" xr:uid="{C2CB8899-31FC-43F0-8793-449F32A78D2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Standing + seating</t>
        </r>
      </text>
    </comment>
    <comment ref="Z588" authorId="0" shapeId="0" xr:uid="{822BE443-87EF-4C77-B417-23B7895B80B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89" authorId="0" shapeId="0" xr:uid="{32F03C80-4AA9-4654-99A1-CAFDEA54455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0" authorId="0" shapeId="0" xr:uid="{D8FED834-2497-400E-B73D-7A320865668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1" authorId="0" shapeId="0" xr:uid="{40ABF4CD-308D-4684-93D1-A92115B3968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2" authorId="0" shapeId="0" xr:uid="{BBFF9C5C-3865-4675-90B1-1E552C0F9F3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3" authorId="0" shapeId="0" xr:uid="{8925D3B5-595F-4F35-94EF-9D8593EE454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4" authorId="0" shapeId="0" xr:uid="{35EF36B6-E233-42E4-81ED-10C0F219EAB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5" authorId="0" shapeId="0" xr:uid="{68C16F40-1413-4251-9795-D46791D36E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6" authorId="0" shapeId="0" xr:uid="{1C5ACBB5-B96D-4D06-9C27-FD4DED348B2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7" authorId="0" shapeId="0" xr:uid="{610843A1-8BB3-413D-A1AF-9EA7071DAFC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8" authorId="0" shapeId="0" xr:uid="{672B6FF2-798C-42F3-9DA9-9A2AD62921A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9" authorId="0" shapeId="0" xr:uid="{623F82D1-7A6F-43C8-9FC3-7D25312AFA7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00" authorId="0" shapeId="0" xr:uid="{393FBF57-77B4-4BC8-BDFA-7D9AC4ACA0F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01" authorId="0" shapeId="0" xr:uid="{86788EBF-225B-4D93-BFB9-3DFECC3E6EB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02" authorId="0" shapeId="0" xr:uid="{739ED632-93FE-4339-8697-F1B0AF377BD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03" authorId="0" shapeId="0" xr:uid="{D55F8686-18EE-42B2-8266-97FDFBE1F53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04" authorId="0" shapeId="0" xr:uid="{A95DCE1A-D5E1-4BAE-A1B0-45DECB4FCE9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05" authorId="0" shapeId="0" xr:uid="{564C0E41-A0A0-4899-B065-9C7202D63D6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06" authorId="0" shapeId="0" xr:uid="{B7FCF9A1-9612-424B-B586-A73493F9E72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07" authorId="0" shapeId="0" xr:uid="{F4200313-F75D-4162-9501-134A68ED9B6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08" authorId="0" shapeId="0" xr:uid="{3B22EE71-17AD-4442-BAD5-1DADE90FDDB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09" authorId="0" shapeId="0" xr:uid="{3F545954-A924-4997-9404-E4FD17C3719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10" authorId="0" shapeId="0" xr:uid="{6D4BE97E-1FBF-45A9-BA27-3076CB26B25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11" authorId="0" shapeId="0" xr:uid="{196BE993-E6F9-4CB7-B042-C163489E744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12" authorId="0" shapeId="0" xr:uid="{CD7DB6CC-00CB-4BBA-8A86-EE004E03912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13" authorId="0" shapeId="0" xr:uid="{C887C6B7-475F-4922-88D1-341234CC0DA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14" authorId="0" shapeId="0" xr:uid="{1C76A87D-B506-4381-B5DE-15653F513E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15" authorId="0" shapeId="0" xr:uid="{B7D9DDD7-27D9-447D-A743-A73FC43F9A4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16" authorId="0" shapeId="0" xr:uid="{A77D23B9-7F3A-4148-BB53-F98D7BEA9F4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17" authorId="0" shapeId="0" xr:uid="{6316AD5B-0B3A-4310-90D0-9F6A27CD26A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R620" authorId="0" shapeId="0" xr:uid="{17F39F61-F324-44D0-BC5A-6CF7183DF0B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800 ea</t>
        </r>
      </text>
    </comment>
    <comment ref="Z620" authorId="0" shapeId="0" xr:uid="{5F5ADD7A-E044-45BC-96C6-D4594354DE2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110 ea</t>
        </r>
      </text>
    </comment>
    <comment ref="Z621" authorId="0" shapeId="0" xr:uid="{00E7B820-AC2B-4D8A-B0A9-8CB54FB51F6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110 ea</t>
        </r>
      </text>
    </comment>
    <comment ref="B622" authorId="0" shapeId="0" xr:uid="{87A901F8-FA7E-4502-81E6-925E3B5F46E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Legacy data had this as 1917, I'll leave it so but wiki says 1887</t>
        </r>
      </text>
    </comment>
    <comment ref="Z624" authorId="0" shapeId="0" xr:uid="{A4C545DE-CEF9-403C-9AA9-D40E8439393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160 ea</t>
        </r>
      </text>
    </comment>
    <comment ref="AE624" authorId="0" shapeId="0" xr:uid="{297CA9EA-E107-4485-BA03-335087D81A7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Standing + seating per wiki</t>
        </r>
      </text>
    </comment>
    <comment ref="R626" authorId="0" shapeId="0" xr:uid="{22E51444-76C2-435F-9BC0-3F0C991F4DA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 just 805 because they ran as M+T setup, not M+M but alas.</t>
        </r>
      </text>
    </comment>
    <comment ref="Z626" authorId="0" shapeId="0" xr:uid="{8B608066-369D-47C9-9134-BE2F605A557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85 each</t>
        </r>
      </text>
    </comment>
    <comment ref="Z627" authorId="0" shapeId="0" xr:uid="{62C67405-C75A-4429-B6E4-94261EB812E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125 ea</t>
        </r>
      </text>
    </comment>
    <comment ref="Z628" authorId="0" shapeId="0" xr:uid="{3F5248CA-108B-4707-B887-F8D8D2850C3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105 ea</t>
        </r>
      </text>
    </comment>
    <comment ref="Z629" authorId="0" shapeId="0" xr:uid="{B3625582-F090-4F60-A38F-6D035A64518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a dual-body unit, 530kN each</t>
        </r>
      </text>
    </comment>
    <comment ref="Z631" authorId="0" shapeId="0" xr:uid="{3C0E40CC-5BD7-4FDD-882E-C45EE483349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Can't find starter and Gemini isn't offering ideas so I'm leaving it as-was</t>
        </r>
      </text>
    </comment>
    <comment ref="Z632" authorId="0" shapeId="0" xr:uid="{3F72811C-07CA-4B21-92FE-30982721B61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Dual-head unit, total 706</t>
        </r>
      </text>
    </comment>
    <comment ref="Z633" authorId="0" shapeId="0" xr:uid="{FE91723D-48AB-4E19-9C6D-E9A2BB5154B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34" authorId="0" shapeId="0" xr:uid="{B097D24E-8195-44C1-81EF-30FAF16AAF6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35" authorId="0" shapeId="0" xr:uid="{29BBFD5C-927E-4084-8B64-8D9886205B3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36" authorId="0" shapeId="0" xr:uid="{38816545-1EA6-4E16-9E55-EEF334927FF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 unit</t>
        </r>
      </text>
    </comment>
    <comment ref="Z639" authorId="0" shapeId="0" xr:uid="{5CA059E6-4B9E-4B3E-8837-28FAD61A98D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641" authorId="0" shapeId="0" xr:uid="{CA8035AB-0D73-49B2-8308-F18C29854AE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Dual-unit</t>
        </r>
      </text>
    </comment>
    <comment ref="Z642" authorId="0" shapeId="0" xr:uid="{3505B244-564D-42E9-819B-EE5CA9056ED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43" authorId="0" shapeId="0" xr:uid="{E0C75A24-6934-440F-8C09-48BC5039DDF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44" authorId="0" shapeId="0" xr:uid="{75C74776-9E44-4A3B-AC5F-30BAB48F506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45" authorId="0" shapeId="0" xr:uid="{C36398FD-8261-4E7E-B30F-FDC0F67DC3E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35.6 each</t>
        </r>
      </text>
    </comment>
    <comment ref="R646" authorId="0" shapeId="0" xr:uid="{7A2AB636-8BEF-4F0F-B1EA-9386EE6AD99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 just 805 because they ran as M+T setup, not M+M but alas.</t>
        </r>
      </text>
    </comment>
    <comment ref="Z646" authorId="0" shapeId="0" xr:uid="{634AD465-9EFF-47D3-860C-BFFE329B06A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145 per motor car</t>
        </r>
      </text>
    </comment>
    <comment ref="Z647" authorId="0" shapeId="0" xr:uid="{D00BAEE0-B385-430F-8BD7-EB0E9FA2AFE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100 each; wiki</t>
        </r>
      </text>
    </comment>
    <comment ref="Z648" authorId="0" shapeId="0" xr:uid="{FE84C9F4-F83A-4F15-A24D-B3B2E5E178C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90 each</t>
        </r>
      </text>
    </comment>
    <comment ref="J722" authorId="0" shapeId="0" xr:uid="{528215B6-9DD2-443E-83BD-5CFBBD874A0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- 4 compartments, 6-8 passengers each. Seated only</t>
        </r>
      </text>
    </comment>
    <comment ref="J723" authorId="0" shapeId="0" xr:uid="{15BF01C0-CBA2-47DA-91CC-7CD64EF8BE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~40 seated + 15-25 standing (tight).</t>
        </r>
      </text>
    </comment>
    <comment ref="J725" authorId="0" shapeId="0" xr:uid="{9A5900CB-ED0B-456B-B1B7-3572BF03865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- 5 compartments, 6-8 passengers each</t>
        </r>
      </text>
    </comment>
    <comment ref="J726" authorId="0" shapeId="0" xr:uid="{72EC0794-1671-46AE-8BA2-DD9F217D01B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~55 seated + 20-30 standing (tight).</t>
        </r>
      </text>
    </comment>
    <comment ref="J727" authorId="0" shapeId="0" xr:uid="{AFA1EC1B-3BF4-4630-9460-36BDFDDF361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28" authorId="0" shapeId="0" xr:uid="{94CDB362-6C5A-4A5A-B62E-04EDA4BC862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Seated only. Luxurious rotating or "walk-over" seats.</t>
        </r>
      </text>
    </comment>
    <comment ref="J729" authorId="0" shapeId="0" xr:uid="{7A0017C6-195B-4CD5-94D1-EAB4DD68878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30" authorId="0" shapeId="0" xr:uid="{B0AAE35E-75C7-49A2-A614-BBDC238A87A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Seated only. Higher density than luxury Pullmans.</t>
        </r>
      </text>
    </comment>
    <comment ref="J731" authorId="0" shapeId="0" xr:uid="{3C1B10FA-F850-4BE5-BEFD-444B6A6EAAD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- 8 compartments, 6-8 seats each. No standing.</t>
        </r>
      </text>
    </comment>
    <comment ref="J732" authorId="0" shapeId="0" xr:uid="{ECC9542C-5B1D-4484-A03D-628E26DD09D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~80 seated + 30-50 standing (crush load).</t>
        </r>
      </text>
    </comment>
    <comment ref="J733" authorId="0" shapeId="0" xr:uid="{BD5BE6FA-68D5-433E-A36D-58D3E0249F5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34" authorId="0" shapeId="0" xr:uid="{2AA85048-8380-4E36-BE76-C9450FA5244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- 5 or 6 compartments, 8 seats each</t>
        </r>
      </text>
    </comment>
    <comment ref="J735" authorId="0" shapeId="0" xr:uid="{AC859203-DA40-4C84-B1F3-91473DA3CF1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~58 seated + 24-36 standing (crush).</t>
        </r>
      </text>
    </comment>
    <comment ref="J736" authorId="0" shapeId="0" xr:uid="{EA96A261-EFC2-456C-A1BD-0F0A0F37592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37" authorId="0" shapeId="0" xr:uid="{46EA3086-0443-43D8-A9DF-7AA1CD210B2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- 6-8 compartments, 8 seats each</t>
        </r>
      </text>
    </comment>
    <comment ref="J738" authorId="0" shapeId="0" xr:uid="{BFA05458-090D-41D2-81C5-E112C8688C8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~65 seated + 25-45 standing (crowded).</t>
        </r>
      </text>
    </comment>
    <comment ref="J739" authorId="0" shapeId="0" xr:uid="{51932056-6617-42DD-B002-2CA4E332263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40" authorId="0" shapeId="0" xr:uid="{47CD2493-E2B8-4C80-9818-B8F5824DCB7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Seated only. Improved ergonomics and reclining seats.</t>
        </r>
      </text>
    </comment>
    <comment ref="J742" authorId="0" shapeId="0" xr:uid="{C3754A94-C836-4851-897F-B05067DBE49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43" authorId="0" shapeId="0" xr:uid="{0828EF77-D05E-4758-AF40-FD4D81B40F9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Seated only. Wide, reclining "Day-Nite" seats.</t>
        </r>
      </text>
    </comment>
    <comment ref="J744" authorId="0" shapeId="0" xr:uid="{F4DE967E-AEA3-4B81-8E0B-69D2F173BE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~95 seated + 35-60 standing (high-density).</t>
        </r>
      </text>
    </comment>
    <comment ref="J745" authorId="0" shapeId="0" xr:uid="{534AB583-AB93-4582-944E-81081739085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46" authorId="0" shapeId="0" xr:uid="{140AA806-9DA4-4284-9615-9FBCEA82D85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Massive seating capacity for high-volume corridors.</t>
        </r>
      </text>
    </comment>
    <comment ref="J747" authorId="0" shapeId="0" xr:uid="{05B5DB4C-89FD-49DF-92F3-6E539D34BBB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48" authorId="0" shapeId="0" xr:uid="{9A040555-22EF-4035-AE94-B8F85E8A23A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~100 seated + 40-58 standing (high density).</t>
        </r>
      </text>
    </comment>
    <comment ref="J749" authorId="0" shapeId="0" xr:uid="{C2FC43A0-559E-4CE9-8198-B90D5A6C184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50" authorId="0" shapeId="0" xr:uid="{D6AE7102-3646-40A8-94D5-7028E734281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- 10–12 compartments (6 seats each).</t>
        </r>
      </text>
    </comment>
    <comment ref="J751" authorId="0" shapeId="0" xr:uid="{86D7C407-C52F-4006-9852-36AC04581FA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Ultra-spacious 1st Class seating (2+1 layout).</t>
        </r>
      </text>
    </comment>
    <comment ref="J752" authorId="0" shapeId="0" xr:uid="{EE07D2F7-34F5-49CD-9A77-932DB7E55C7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~96 seated + 60-80 standing (crush load)</t>
        </r>
      </text>
    </comment>
    <comment ref="J753" authorId="0" shapeId="0" xr:uid="{468D3518-E0ED-4AB3-81F8-F789010DECA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55" authorId="0" shapeId="0" xr:uid="{EE48A43D-B356-43D3-9929-FAF04B2F5C6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56" authorId="0" shapeId="0" xr:uid="{CC244634-96C0-4BB2-8D31-2AA81F55278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57" authorId="0" shapeId="0" xr:uid="{04E6B9F6-B5F1-49BE-A8CA-82A1A4ABAC9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~90 seated + 90-120 standing (frequently exceeded)</t>
        </r>
      </text>
    </comment>
    <comment ref="J758" authorId="0" shapeId="0" xr:uid="{8B80CAE9-D7A2-4997-906E-7F0C2DDFD64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~108 seated + 20-30 standing.</t>
        </r>
      </text>
    </comment>
    <comment ref="J759" authorId="0" shapeId="0" xr:uid="{A65BF416-01CE-4FBE-B99D-8DCCAA4C7FF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60" authorId="0" shapeId="0" xr:uid="{A759020B-FEA3-45E8-9528-E4358307031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- 9 or 11 compartments (6 seats each)</t>
        </r>
      </text>
    </comment>
    <comment ref="J761" authorId="0" shapeId="0" xr:uid="{F2D7175B-AC48-4C46-95B3-409BF555DCE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Mixed open-plan and semi-compartment seating.</t>
        </r>
      </text>
    </comment>
    <comment ref="J762" authorId="0" shapeId="0" xr:uid="{91313634-A6E2-44F9-B315-94C6CC9E07C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~96 seated + up to 94 standing (crush load)</t>
        </r>
      </text>
    </comment>
    <comment ref="J763" authorId="0" shapeId="0" xr:uid="{FFF6B9F0-06FF-463B-9FED-7CFC779F5A0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64" authorId="0" shapeId="0" xr:uid="{9B8C1115-A7D8-4483-9E3A-3C52C13C8FF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~110 seated + 50-70 standing</t>
        </r>
      </text>
    </comment>
    <comment ref="J765" authorId="0" shapeId="0" xr:uid="{E59D5495-161E-49CE-80B6-B7E5CD2FAF4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- 36 (Kupe/4-berth) or 54 (Platskart/Open)</t>
        </r>
      </text>
    </comment>
    <comment ref="J766" authorId="0" shapeId="0" xr:uid="{13AFAD85-079A-4A79-B447-6959935A363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~110 seated + 110 standing (highly expandable).</t>
        </r>
      </text>
    </comment>
    <comment ref="J767" authorId="0" shapeId="0" xr:uid="{C86EC108-E5C1-4874-A516-BE4ED980DF5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68" authorId="0" shapeId="0" xr:uid="{92ACDEEC-5C73-433E-8D85-BF897420E41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All-seated (Upper and Lower levels).</t>
        </r>
      </text>
    </comment>
    <comment ref="J769" authorId="0" shapeId="0" xr:uid="{3E7B08DD-6D33-4F94-8C45-3834B7C700A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Higher density than standard Superliners</t>
        </r>
      </text>
    </comment>
    <comment ref="J770" authorId="0" shapeId="0" xr:uid="{13CF014E-46F4-4AE4-869F-83086A053F6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High-density "Regional" configuration (2+2 seating).</t>
        </r>
      </text>
    </comment>
    <comment ref="J771" authorId="0" shapeId="0" xr:uid="{7E0E102E-6CF8-4993-9818-F2AC7895D8B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Lower density for long-haul comfort</t>
        </r>
      </text>
    </comment>
    <comment ref="J772" authorId="0" shapeId="0" xr:uid="{2560B218-2EBD-42ED-A002-E8205E9F6C4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High-density 3+2 seating</t>
        </r>
      </text>
    </comment>
    <comment ref="J773" authorId="0" shapeId="0" xr:uid="{B28B3392-6750-420E-A8D9-98EF3E151CB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Lower density than the Comet (2+2 seating).</t>
        </r>
      </text>
    </comment>
    <comment ref="J774" authorId="0" shapeId="0" xr:uid="{2CB0F2EE-56DF-496F-87A4-3BA9E23B68D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75" authorId="0" shapeId="0" xr:uid="{6BAF8F6C-9B7A-4CDD-92E7-20A7A2B8092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~160 seated + 200 standing (Maximum "Crush"). Game caps at 255.</t>
        </r>
      </text>
    </comment>
    <comment ref="J776" authorId="0" shapeId="0" xr:uid="{2E1EE02C-A7A4-4564-B480-5D2B3BB4CF7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Modern ergonomic "Open Plan" (2+2 or 2+1).</t>
        </r>
      </text>
    </comment>
    <comment ref="J777" authorId="0" shapeId="0" xr:uid="{130B6B00-E321-4CF1-B870-17DC650E3DC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High-density ergonomic seating + standing</t>
        </r>
      </text>
    </comment>
    <comment ref="J778" authorId="0" shapeId="0" xr:uid="{7D1CEA8F-3ABF-4ED9-8848-C7BBC9FCB86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~85-95 seated + ~115 standing (Crush Load).</t>
        </r>
      </text>
    </comment>
    <comment ref="J779" authorId="0" shapeId="0" xr:uid="{056B50C9-1700-463F-9C33-8B13103F728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~120 seated + ~100-140 standing (Crush Load). Game caps at 255.</t>
        </r>
      </text>
    </comment>
    <comment ref="J780" authorId="0" shapeId="0" xr:uid="{B1979A89-B2F4-493F-9DE2-832BD6DF62B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High-comfort InterCity seating (no standing logic).</t>
        </r>
      </text>
    </comment>
    <comment ref="J781" authorId="0" shapeId="0" xr:uid="{DE32DB28-A0E4-4FD6-849E-47B65ACB4A3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82" authorId="0" shapeId="0" xr:uid="{83E4ADA3-EC1B-44B9-A23D-5CD876E7FE6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Short car bodies mean lower per-unit capacity.</t>
        </r>
      </text>
    </comment>
    <comment ref="J783" authorId="0" shapeId="0" xr:uid="{1A0B4ACB-1E39-45DB-B772-B71E35C7717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Limited by the shorter car length (~13m)</t>
        </r>
      </text>
    </comment>
    <comment ref="J784" authorId="0" shapeId="0" xr:uid="{3BEAA638-B54D-47F5-ACCE-DA06785A407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- Individual "Smart-Glass" pods for privacy and HUD data.</t>
        </r>
      </text>
    </comment>
    <comment ref="J785" authorId="0" shapeId="0" xr:uid="{5B20CAC9-AEC0-40D7-8899-CBF60A9A36F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 - Dynamic mix of 120 seats + 160 standing - Game caps at 255.</t>
        </r>
      </text>
    </comment>
    <comment ref="J786" authorId="0" shapeId="0" xr:uid="{FD9EDD4B-7795-44A0-9058-727426AB2BB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 - ~60 "Perch" seats + 260-290 standing - Game caps at 255.</t>
        </r>
      </text>
    </comment>
    <comment ref="J787" authorId="0" shapeId="0" xr:uid="{D068AB29-FB7E-4076-BCCC-51BE35C4501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 -- Game caps at 255.</t>
        </r>
      </text>
    </comment>
    <comment ref="J788" authorId="0" shapeId="0" xr:uid="{B529E304-1ADA-4A68-9CA0-5A932659EEF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 - ~180 seated + ~220 standing (Maximum Density).-- Game caps at 255.</t>
        </r>
      </text>
    </comment>
    <comment ref="J789" authorId="0" shapeId="0" xr:uid="{6336A663-A258-4665-A151-8AACADFA784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</t>
        </r>
      </text>
    </comment>
    <comment ref="V790" authorId="0" shapeId="0" xr:uid="{919D46C6-734B-484D-999D-BD944E40ED0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Restricted for heavy weights</t>
        </r>
      </text>
    </comment>
    <comment ref="Z790" authorId="0" shapeId="0" xr:uid="{398CF094-B6D9-42D9-B066-80C8D002E30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Q792" authorId="0" shapeId="0" xr:uid="{2426FD07-B6E1-4C3B-986A-CAD2FFAA8C6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Per car Mc unit</t>
        </r>
      </text>
    </comment>
    <comment ref="J794" authorId="0" shapeId="0" xr:uid="{21347508-1B97-49FB-944E-5995F525B52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a guess. Looks bigger than NOLB1</t>
        </r>
      </text>
    </comment>
    <comment ref="Q794" authorId="0" shapeId="0" xr:uid="{1B76EBED-0EB2-443B-90BE-A22899972A6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R794" authorId="0" shapeId="0" xr:uid="{EF7B0348-8A8A-4345-B012-FDAF25530C2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V794" authorId="0" shapeId="0" xr:uid="{578EA036-CCE8-4AA7-8689-FE8864DB9D4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F798" authorId="0" shapeId="0" xr:uid="{5651D616-809E-4FA8-B777-C2177641318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Initially Sierra Leone, hence the mis-named itemID</t>
        </r>
      </text>
    </comment>
    <comment ref="V800" authorId="0" shapeId="0" xr:uid="{A9CC8882-8196-4418-86A7-EF2BB3FF539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Restricted for heavy weights</t>
        </r>
      </text>
    </comment>
    <comment ref="Z800" authorId="0" shapeId="0" xr:uid="{E629F10F-D794-4F63-AFA6-A3DC4C5F13A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V801" authorId="0" shapeId="0" xr:uid="{2B3F7006-C079-4844-ADFE-006E4D33D0F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Restricted for heavy weights</t>
        </r>
      </text>
    </comment>
    <comment ref="Z801" authorId="0" shapeId="0" xr:uid="{3706623E-7E50-4822-896D-8292E2F1F4C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802" authorId="0" shapeId="0" xr:uid="{8A32C16E-A0B7-4763-AAD6-D4C9222E454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804" authorId="0" shapeId="0" xr:uid="{56808041-9F6D-4F33-ABF2-A7E1CBA3B08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R815" authorId="0" shapeId="0" xr:uid="{C2B028E8-0A3E-4B31-9B7E-62E3807C444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https://tfl.gov.uk/corporate/transparency/freedom-of-information/foi-request-detail?referenceId=FOI-1361-2021 --&gt; the actual value is 2317 but reducing it because if people add power cars it'd be excessive</t>
        </r>
      </text>
    </comment>
    <comment ref="R816" authorId="0" shapeId="0" xr:uid="{C7290D4A-2623-4B75-A311-B9C046A3E4B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That's a guess. But the 1992 stock's power is &gt;2300 hp so this should be more except reduced slightly due to the power car logic in the game</t>
        </r>
      </text>
    </comment>
    <comment ref="R817" authorId="0" shapeId="0" xr:uid="{FF6E9C5A-9197-440E-A75B-EEEBBCCB579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https://tfl.gov.uk/corporate/transparency/freedom-of-information/foi-request-detail?referenceId=FOI-1361-2021 --&gt; the actual value is 1695 but reducing it because if people add power cars it'd be excessive</t>
        </r>
      </text>
    </comment>
    <comment ref="R818" authorId="0" shapeId="0" xr:uid="{AE7F64C7-8FE5-41F2-AAE1-DAC80762B79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-- 1938 stock was marked as 600 so added a bit</t>
        </r>
      </text>
    </comment>
    <comment ref="A819" authorId="0" shapeId="0" xr:uid="{9A634F21-CD89-4D93-8DE9-5961F2235B6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not the same as the C151A model.</t>
        </r>
      </text>
    </comment>
    <comment ref="Z824" authorId="0" shapeId="0" xr:uid="{A3A44771-707A-42D0-A97C-7E04AC22ECF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F834" authorId="0" shapeId="0" xr:uid="{EFC7A5B3-7246-4950-A486-603CB45815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Originally coded as Australian but later modified to be the original UK hence the odd name</t>
        </r>
      </text>
    </comment>
    <comment ref="F841" authorId="0" shapeId="0" xr:uid="{95D0DCFC-E4B4-4FB5-8B81-D34FB69D0C9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Originally coded as Australian but later modified to be the original UK hence the odd name</t>
        </r>
      </text>
    </comment>
    <comment ref="C847" authorId="0" shapeId="0" xr:uid="{07E6D245-2136-4254-A3DB-3CF3D45F8B3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Still in operation</t>
        </r>
      </text>
    </comment>
    <comment ref="F847" authorId="0" shapeId="0" xr:uid="{9030CE41-9C60-4C31-A0D7-C91D276E8A0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Orignally AUS but reverted to the ALCO version and that's US/ALL REGION</t>
        </r>
      </text>
    </comment>
    <comment ref="Z859" authorId="0" shapeId="0" xr:uid="{09BAF151-45B6-48EA-AAE4-F71B53D84DC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63" authorId="0" shapeId="0" xr:uid="{7E3BD126-D0B9-44F3-8EF2-F259959A0A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64" authorId="0" shapeId="0" xr:uid="{517B21C9-E34F-4AC5-B7EB-9071B528F66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65" authorId="0" shapeId="0" xr:uid="{5041AF3D-6177-4093-B359-13E66EA0198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67" authorId="0" shapeId="0" xr:uid="{9478447F-7C40-4CF6-AC27-BAE50B02D1A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72" authorId="0" shapeId="0" xr:uid="{0BE8E17E-F3B0-482D-BD91-A40FB6E8E61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- cont. is 240</t>
        </r>
      </text>
    </comment>
    <comment ref="Z873" authorId="0" shapeId="0" xr:uid="{EE2D9B03-5468-412D-819F-63BC587C699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74" authorId="0" shapeId="0" xr:uid="{CFF755F6-C50C-4C4B-BB29-8B483FAE4DE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-- cont: 259</t>
        </r>
      </text>
    </comment>
    <comment ref="AH874" authorId="0" shapeId="0" xr:uid="{3C5ADAF4-5B51-466F-B523-80AE728BEA0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SA Class 34</t>
        </r>
      </text>
    </comment>
    <comment ref="Z875" authorId="0" shapeId="0" xr:uid="{6B9D6C33-F4E9-444B-9FD2-0A7965DB73D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-- cont -&gt; 181</t>
        </r>
      </text>
    </comment>
    <comment ref="Z876" authorId="0" shapeId="0" xr:uid="{57D7EF62-D8D0-4FD2-95DD-1F5B7334E31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Cont -&gt; 204</t>
        </r>
      </text>
    </comment>
    <comment ref="Z877" authorId="0" shapeId="0" xr:uid="{E7943273-57AF-42D6-B92B-513E3A6734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Cont -&gt; 165</t>
        </r>
      </text>
    </comment>
    <comment ref="Z880" authorId="0" shapeId="0" xr:uid="{198AB1D4-E28D-4C88-A0AE-198EFF6168B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Cont -&gt; 171</t>
        </r>
      </text>
    </comment>
    <comment ref="Z889" authorId="0" shapeId="0" xr:uid="{07A8084B-CFA0-4121-A246-753272DE379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AB891" authorId="0" shapeId="0" xr:uid="{61EA34D3-5ECB-42CF-9AD3-D71F0B20BD9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92" authorId="0" shapeId="0" xr:uid="{27032D10-26B9-42A9-96D5-FE36B037087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(also remember this being a DMU means the game doubles the value)</t>
        </r>
      </text>
    </comment>
    <comment ref="Q893" authorId="0" shapeId="0" xr:uid="{BAB65BEA-A15E-43A3-8173-20C8EA07E60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Guess. But if the TE is correct (per website) then to get a TE-C of ~0.2 it needs to be 30T</t>
        </r>
      </text>
    </comment>
    <comment ref="Z894" authorId="0" shapeId="0" xr:uid="{EDAB7D2C-A9B6-4C54-B99E-E63DF1FCD98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(also remember this being a DMU means the game doubles the value)</t>
        </r>
      </text>
    </comment>
    <comment ref="R895" authorId="0" shapeId="0" xr:uid="{A826C4EB-B1A7-46D8-BE0C-39A4D9C9A59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95" authorId="0" shapeId="0" xr:uid="{305761E4-FE8F-4430-9EF2-EC45BCC1667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- 85 each</t>
        </r>
      </text>
    </comment>
    <comment ref="J898" authorId="0" shapeId="0" xr:uid="{38812ADA-DB5F-42CF-82F7-E7451A4AE60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898" authorId="0" shapeId="0" xr:uid="{AF1E520C-5117-4371-A7AA-968AC26195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Gemini. Wikipedia kindof disagrees but unclear if that latter is per unit or whole</t>
        </r>
      </text>
    </comment>
    <comment ref="J899" authorId="0" shapeId="0" xr:uid="{78C9D82F-B012-495E-8086-0F6F6AF956D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899" authorId="0" shapeId="0" xr:uid="{F6C2C328-1280-4A0E-9FE7-AA9F9087AE2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Gemini. Wikipedia kindof disagrees but unclear if that latter is per unit or whole</t>
        </r>
      </text>
    </comment>
    <comment ref="Q904" authorId="0" shapeId="0" xr:uid="{C97A44C7-6A8D-4F28-B751-F7D2AF981E8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B938" authorId="0" shapeId="0" xr:uid="{DE5F9E74-1409-4D5F-A780-24E79D39FBF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Constructed from 1983 onwards but only entered public service in 1990</t>
        </r>
      </text>
    </comment>
    <comment ref="R938" authorId="0" shapeId="0" xr:uid="{283A47EA-1BE4-44D0-8755-38CBDD87DB0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250kw motors at 4 each per car</t>
        </r>
      </text>
    </comment>
    <comment ref="Z941" authorId="0" shapeId="0" xr:uid="{FB9E8DF2-BD08-4862-8749-AD7A38C2FF5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977" authorId="0" shapeId="0" xr:uid="{99960FDB-AE1D-4205-841C-7CF2984D5B4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C980" authorId="0" shapeId="0" xr:uid="{6A2ADAC5-4BDF-44D7-B455-DD2C75FB76F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HU wiki: withdrawn "in the 70s"</t>
        </r>
      </text>
    </comment>
    <comment ref="Z980" authorId="0" shapeId="0" xr:uid="{C994132C-37F8-48D4-9E51-018E7F1CE8E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(also remember this being a DMU means the game doubles the value)</t>
        </r>
      </text>
    </comment>
    <comment ref="C983" authorId="0" shapeId="0" xr:uid="{97562E1D-26E4-4CE3-8EB7-A416B7C9631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983" authorId="0" shapeId="0" xr:uid="{1A8B90BB-8FAB-4852-AC18-F3B25A0B6E2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RU wiki</t>
        </r>
      </text>
    </comment>
    <comment ref="B985" authorId="0" shapeId="0" xr:uid="{AEB1E22D-C904-40A5-B6DB-9B171D716B9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Per Wikipedia as of 2026/06</t>
        </r>
      </text>
    </comment>
    <comment ref="Q985" authorId="0" shapeId="0" xr:uid="{A37C26A5-2FB8-448A-9636-156B9A8945B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ETR 1000</t>
        </r>
      </text>
    </comment>
    <comment ref="R985" authorId="0" shapeId="0" xr:uid="{136DFDF1-3E49-467F-A6E1-7C0CD9B6879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ETR 1000</t>
        </r>
      </text>
    </comment>
    <comment ref="Z985" authorId="0" shapeId="0" xr:uid="{4BB6023D-FB72-4792-A116-90297A1917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ETR 1000</t>
        </r>
      </text>
    </comment>
    <comment ref="Q987" authorId="0" shapeId="0" xr:uid="{AFB68864-778D-464C-99A5-F95ECC899CD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Apparently 90 each</t>
        </r>
      </text>
    </comment>
    <comment ref="AE987" authorId="0" shapeId="0" xr:uid="{76481286-2E69-4164-8559-5056F99B036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Ukrainian Wiki</t>
        </r>
      </text>
    </comment>
    <comment ref="Q992" authorId="0" shapeId="0" xr:uid="{D7F11175-C805-4AF2-8948-963092C620B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Per car Mc unit</t>
        </r>
      </text>
    </comment>
    <comment ref="C995" authorId="0" shapeId="0" xr:uid="{4D09D510-29D7-4AB1-AD3E-7B5356AB09E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Still in op</t>
        </r>
      </text>
    </comment>
    <comment ref="Z1001" authorId="0" shapeId="0" xr:uid="{9A64B021-0D3D-4451-99ED-9688ABF22AF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Q1002" authorId="0" shapeId="0" xr:uid="{5BFA2661-30C0-4332-AB78-ED6680B7A7E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Per car Mc unit // guess</t>
        </r>
      </text>
    </comment>
    <comment ref="R1002" authorId="0" shapeId="0" xr:uid="{F0392C59-0002-401D-92CC-FA670485A84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V1002" authorId="0" shapeId="0" xr:uid="{1573A958-FE34-422A-8CFE-D56F0F82EA1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Apparently was meant to run at Series 0 speeds</t>
        </r>
      </text>
    </comment>
    <comment ref="Z1012" authorId="0" shapeId="0" xr:uid="{E2A7D790-1775-431B-BC07-94D6CF670B2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V1013" authorId="0" shapeId="0" xr:uid="{DA3DAD5C-3CC8-4A70-93B8-B8CBAC76920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Actually, 12 (!!) but that'd be lame. Wiki.</t>
        </r>
      </text>
    </comment>
    <comment ref="Q1015" authorId="0" shapeId="0" xr:uid="{6D079DD0-D52B-4FA1-8132-A213B25178A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V1015" authorId="0" shapeId="0" xr:uid="{5E1960AC-F793-469E-B81C-FC8E67FF707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Yeah, really 30. Via Discord tho. https://discord.com/channels/142724111502802944/1483827768163827864/1518209201157968033</t>
        </r>
      </text>
    </comment>
    <comment ref="AG1018" authorId="0" shapeId="0" xr:uid="{6477EBEA-D54A-4513-A392-5AF7DCB660B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HU + Malaysia + SGP</t>
        </r>
      </text>
    </comment>
    <comment ref="Q1019" authorId="0" shapeId="0" xr:uid="{1F705014-DEC9-4B5F-9694-EC265AA1E28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AM4 series</t>
        </r>
      </text>
    </comment>
    <comment ref="V1019" authorId="0" shapeId="0" xr:uid="{FEDAC0AD-F1C8-460C-9D75-CB3726037FC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Wiki, though not all series</t>
        </r>
      </text>
    </comment>
    <comment ref="Q1020" authorId="0" shapeId="0" xr:uid="{4DEABE9D-A38B-425E-91B6-1FC591DD768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Inc tender</t>
        </r>
      </text>
    </comment>
    <comment ref="J1030" authorId="0" shapeId="0" xr:uid="{7B9F3235-4502-46A5-9362-89CD3101F67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90 seats * 2.57 assumed total</t>
        </r>
      </text>
    </comment>
    <comment ref="Z1031" authorId="0" shapeId="0" xr:uid="{C7C221D4-56D2-4226-84DC-70A5BBD2A2D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80 each - Gemini</t>
        </r>
      </text>
    </comment>
    <comment ref="Z1032" authorId="0" shapeId="0" xr:uid="{821FB33D-D525-4210-A25F-0853013A0DC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80 each - Gemini</t>
        </r>
      </text>
    </comment>
    <comment ref="Z1036" authorId="0" shapeId="0" xr:uid="{7B8AF80D-8658-4C41-9417-28EFA19971D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 Nemeth</author>
  </authors>
  <commentList>
    <comment ref="A280" authorId="0" shapeId="0" xr:uid="{CF4F7D88-3DC7-4094-AFBD-82258008A26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 Standard + Narrow!</t>
        </r>
      </text>
    </comment>
    <comment ref="F434" authorId="0" shapeId="0" xr:uid="{C35E0091-6DF7-4705-B460-85CD67471D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 explicitly mentions this</t>
        </r>
      </text>
    </comment>
    <comment ref="A500" authorId="0" shapeId="0" xr:uid="{2044F183-8E74-4F17-B242-341DD04002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While there is also a metre gauge version, the FCGU one is standard gauge (since the General Urquiza Railway is standard gauge, [url=https://en.wikipedia.org/wiki/General_Urquiza_Railway]per wiki[/url]. It shouldn't have both gauges otherwise it can run on both at the same time which suggests it's a variable gauge train when it's not</t>
        </r>
      </text>
    </comment>
    <comment ref="A756" authorId="0" shapeId="0" xr:uid="{BF74EACF-9F04-48B6-9451-9C9DC08E342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57" authorId="0" shapeId="0" xr:uid="{C08797A0-643A-43F9-951B-83C031F56D5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58" authorId="0" shapeId="0" xr:uid="{D6BC90EB-6182-43D0-A656-948BF303448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59" authorId="0" shapeId="0" xr:uid="{54BFA588-D03D-469E-8C9E-A4100A9E0AF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65" authorId="0" shapeId="0" xr:uid="{674E92C2-ED98-410B-A8A0-E311F18C71D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66" authorId="0" shapeId="0" xr:uid="{9090C350-A1D6-46D0-BDD8-F84236AA132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67" authorId="0" shapeId="0" xr:uid="{92A04E5A-2701-49FD-BAE4-D6D8363A3C9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P1019" authorId="0" shapeId="0" xr:uid="{2557B1EF-C866-48F4-8816-EAB56D998DE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Bucharest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 Nemeth</author>
  </authors>
  <commentList>
    <comment ref="B1" authorId="0" shapeId="0" xr:uid="{7AD9AF92-37A2-42C9-A22C-5683F696DA1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Legacy values, now just set to zero.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 Nemeth</author>
  </authors>
  <commentList>
    <comment ref="K1" authorId="0" shapeId="0" xr:uid="{C9A8206F-C999-4A4C-9D63-CD046DF51C5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DO NOT RENAME existing categories bcs various graphics elements look for them.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<sst xmlns="http://schemas.openxmlformats.org/spreadsheetml/2006/main" count="18125" uniqueCount="3705">
  <si>
    <t>VEHIDCODE</t>
  </si>
  <si>
    <t>CARGODEF</t>
  </si>
  <si>
    <t>DUAL_HEADED</t>
  </si>
  <si>
    <t>ENGINE_CLASS</t>
  </si>
  <si>
    <t>HEAD_CAPACITY</t>
  </si>
  <si>
    <t>INTRODUCTION_YEAR</t>
  </si>
  <si>
    <t>LOADINGSPEED</t>
  </si>
  <si>
    <t>MODEL_LIFE</t>
  </si>
  <si>
    <t>PASSENGER</t>
  </si>
  <si>
    <t>POWER</t>
  </si>
  <si>
    <t>SPEED</t>
  </si>
  <si>
    <t>TE_COEFFICIENT</t>
  </si>
  <si>
    <t>VEHICLE_LIFE</t>
  </si>
  <si>
    <t>WAGON_CAPACITY</t>
  </si>
  <si>
    <t>WEIGHT</t>
  </si>
  <si>
    <t>PASSENGERS</t>
  </si>
  <si>
    <t>MAGLEV</t>
  </si>
  <si>
    <t>NONE</t>
  </si>
  <si>
    <t>STEAM</t>
  </si>
  <si>
    <t>GOODS_RAILBUS</t>
  </si>
  <si>
    <t>DIESEL</t>
  </si>
  <si>
    <t>ELECTRIC</t>
  </si>
  <si>
    <t>PASSENGERS_ONLY</t>
  </si>
  <si>
    <t>METRO</t>
  </si>
  <si>
    <t>CONTAINER</t>
  </si>
  <si>
    <t>BOXCAR</t>
  </si>
  <si>
    <t>CARTRANSPORTER</t>
  </si>
  <si>
    <t>CENTERBEAM</t>
  </si>
  <si>
    <t>DOUBLECONTAINER</t>
  </si>
  <si>
    <t>FLAT_WAGON</t>
  </si>
  <si>
    <t>GONDOLA</t>
  </si>
  <si>
    <t>HEAVYFLAT</t>
  </si>
  <si>
    <t>HOPPER</t>
  </si>
  <si>
    <t>SILO</t>
  </si>
  <si>
    <t>SUPERHEAVY</t>
  </si>
  <si>
    <t>TANKER</t>
  </si>
  <si>
    <t>MAIL_ONLY</t>
  </si>
  <si>
    <t>TRACK_TYPE_STANDARD_GAUGE_RAILTYPE_OHLE</t>
  </si>
  <si>
    <t>TRACK_TYPE_STANDARD_GAUGE_RAILTYPE_25KV</t>
  </si>
  <si>
    <t>TRACK_TYPE_STANDARD_GAUGE_RAILTYPE_15KV</t>
  </si>
  <si>
    <t>TRACK_TYPE_STANDARD_GAUGE_RAILTYPE_NONE</t>
  </si>
  <si>
    <t>TRACK_TYPE_NARROW_GAUGE_RAILTYPE_1500V</t>
  </si>
  <si>
    <t>TRACK_TYPE_BROAD_GAUGE_RAILTYPE_1500V</t>
  </si>
  <si>
    <t>TRACK_TYPE_MONO</t>
  </si>
  <si>
    <t>TRACK_TYPE_MGLV</t>
  </si>
  <si>
    <t>TRACK_TYPE_MTRO</t>
  </si>
  <si>
    <t>REGION1</t>
  </si>
  <si>
    <t>REGION2</t>
  </si>
  <si>
    <t>REGION3</t>
  </si>
  <si>
    <t>SAVE_TO</t>
  </si>
  <si>
    <t>ITEM</t>
  </si>
  <si>
    <t>NAME</t>
  </si>
  <si>
    <t>TRACK_TYPE_STANDARD_GAUGE_RAILTYPE_3KV</t>
  </si>
  <si>
    <t>TRACK_TYPE_STANDARD_GAUGE_RAILTYPE_3RD</t>
  </si>
  <si>
    <t>TRACK_TYPE_STANDARD_GAUGE_RAILTYPE_4TH</t>
  </si>
  <si>
    <t>TRACK_TYPE_NARROW_GAUGE_RAILTYPE_OHLE</t>
  </si>
  <si>
    <t>TRACK_TYPE_NARROW_GAUGE_RAILTYPE_25KV</t>
  </si>
  <si>
    <t>TRACK_TYPE_NARROW_GAUGE_RAILTYPE_15KV</t>
  </si>
  <si>
    <t>TRACK_TYPE_NARROW_GAUGE_RAILTYPE_3KV</t>
  </si>
  <si>
    <t>TRACK_TYPE_NARROW_GAUGE_RAILTYPE_3RD</t>
  </si>
  <si>
    <t>TRACK_TYPE_NARROW_GAUGE_RAILTYPE_4TH</t>
  </si>
  <si>
    <t>TRACK_TYPE_NARROW_GAUGE_RAILTYPE_NONE</t>
  </si>
  <si>
    <t>TRACK_TYPE_BROAD_GAUGE_RAILTYPE_OHLE</t>
  </si>
  <si>
    <t>TRACK_TYPE_BROAD_GAUGE_RAILTYPE_25KV</t>
  </si>
  <si>
    <t>TRACK_TYPE_BROAD_GAUGE_RAILTYPE_15KV</t>
  </si>
  <si>
    <t>TRACK_TYPE_BROAD_GAUGE_RAILTYPE_3KV</t>
  </si>
  <si>
    <t>TRACK_TYPE_BROAD_GAUGE_RAILTYPE_3RD</t>
  </si>
  <si>
    <t>TRACK_TYPE_BROAD_GAUGE_RAILTYPE_4TH</t>
  </si>
  <si>
    <t>TRACK_TYPE_BROAD_GAUGE_RAILTYPE_NONE</t>
  </si>
  <si>
    <t>VISUAL_EFFECT_2</t>
  </si>
  <si>
    <t>//  Copyright (C) 2017 Transportman // V. Nemeth 2026+
//  This file is part of the 2cc Trains In NML (Revival) - GNU General Public License v3</t>
  </si>
  <si>
    <t>mglv_Maglev_Wagon_Powered</t>
  </si>
  <si>
    <t>mglv_Maglev_Wagon_Unpowered</t>
  </si>
  <si>
    <t>mtro_Metro_Wagon_Unpowered</t>
  </si>
  <si>
    <t>mtro_Metro_Wagon_Powered</t>
  </si>
  <si>
    <t>mu_MU_Cargo_Wagon_Powered</t>
  </si>
  <si>
    <t>mu_MU_Cargo_Wagon_Unpowered</t>
  </si>
  <si>
    <t>mu_MU_Wagon_Powered</t>
  </si>
  <si>
    <t>mu_MU_Wagon_Unpowered</t>
  </si>
  <si>
    <t>mu_Wagon_Gen1_Flat_Wagon</t>
  </si>
  <si>
    <t>mu_Wagon_Gen1_Boxcar</t>
  </si>
  <si>
    <t>mu_Wagon_Gen1_Tanker</t>
  </si>
  <si>
    <t>mu_Wagon_Gen1_Open_Wagon</t>
  </si>
  <si>
    <t>mu_Coach_Gen1_Wooden_2_axle_Compartment_Coach</t>
  </si>
  <si>
    <t>mu_Coach_Gen1_Wooden_2_axle_Regional_Coach</t>
  </si>
  <si>
    <t>mu_Coach_Gen1_Wooden_2_axle_Mail_Coach</t>
  </si>
  <si>
    <t>mu_Coach_Gen1_Clerestory_Compartment_Coach</t>
  </si>
  <si>
    <t>mu_Coach_Gen1_Clerestory_Regional_Coach</t>
  </si>
  <si>
    <t>mu_Coach_Gen1_Clerestory_Mail_Coach</t>
  </si>
  <si>
    <t>mu_Coach_Gen1_Wooden_3_axle_Compartment_Coach</t>
  </si>
  <si>
    <t>mu_Coach_Gen1_Wooden_3_axle_Regional_Coach</t>
  </si>
  <si>
    <t>mu_Coach_Gen1_Wooden_3_axle_Mail_Coach</t>
  </si>
  <si>
    <t>mu_Coach_Gen2_Heavyweight_Intercity_Coach</t>
  </si>
  <si>
    <t>mu_Coach_Gen2_Heavyweight_Mail_Coach</t>
  </si>
  <si>
    <t>mu_Coach_Gen2_Steel_Intercity_Coach</t>
  </si>
  <si>
    <t>mu_Coach_Gen2_Steel_Compartment_Coach</t>
  </si>
  <si>
    <t>mu_Coach_Gen2_Steel_Regional_Coach</t>
  </si>
  <si>
    <t>mu_Coach_Gen2_Steel_Mail_Coach</t>
  </si>
  <si>
    <t>mu_Coach_Gen2_Steel_2_axle_Compartment_Coach</t>
  </si>
  <si>
    <t>mu_Coach_Gen2_Steel_2_axle_Regional_Coach</t>
  </si>
  <si>
    <t>mu_Coach_Gen2_Steel_2_axle_Mail_Coach</t>
  </si>
  <si>
    <t>mu_Coach_Gen2_Steel_3_axle_Compartment_Coach</t>
  </si>
  <si>
    <t>mu_Coach_Gen2_Steel_3_axle_Regional_Coach</t>
  </si>
  <si>
    <t>mu_Coach_Gen2_Steel_3_axle_Mail_Coach</t>
  </si>
  <si>
    <t>mu_Coach_Gen3_Steel_Lightweight_Intercity_Coach</t>
  </si>
  <si>
    <t>mu_Coach_Gen3_Steel_Lightweight_Regional_Coach</t>
  </si>
  <si>
    <t>mu_Coach_Gen3_Steel_Lightweight_Mail_Coach</t>
  </si>
  <si>
    <t>mu_Coach_Gen3_Aluminium_Lightweight_Intercity_Coach</t>
  </si>
  <si>
    <t>mu_Coach_Gen3_Aluminium_Lightweight_Regional_Coach</t>
  </si>
  <si>
    <t>mu_Coach_Gen3_Aluminium_Lightweight_Mail_Coach</t>
  </si>
  <si>
    <t>mu_Coach_Gen3_Gallery_Car</t>
  </si>
  <si>
    <t>mu_Coach_Gen3_Mk1_Intercity_Coach</t>
  </si>
  <si>
    <t>mu_Coach_Gen3_Mk1_Regional_Coach</t>
  </si>
  <si>
    <t>mu_Coach_Gen3_Mk1_Mail_Coach</t>
  </si>
  <si>
    <t>mu_Coach_Gen3_UIC_X_Intercity_Coach</t>
  </si>
  <si>
    <t>mu_Coach_Gen3_TEE_Intercity_Coach</t>
  </si>
  <si>
    <t>mu_Coach_Gen3_UIC_X_Regional_Coach</t>
  </si>
  <si>
    <t>mu_Coach_Gen3_Umbauwagen_Local_Coach</t>
  </si>
  <si>
    <t>mu_Coach_Gen3_UIC_X_Mail_Coach</t>
  </si>
  <si>
    <t>mu_Coach_Gen3_Indian_Intercity_Coach</t>
  </si>
  <si>
    <t>mu_Coach_Gen3_Indian_Local_Coach</t>
  </si>
  <si>
    <t>mu_Coach_Gen3_Indian_Regional_Coach</t>
  </si>
  <si>
    <t>mu_Coach_Gen3_Indian_Mail_Coach</t>
  </si>
  <si>
    <t>mu_Coach_Gen4_Eurofima_Intercity_Coach</t>
  </si>
  <si>
    <t>mu_Coach_Gen4_InterRegio_Coach</t>
  </si>
  <si>
    <t>mu_Coach_Gen4_Silberling_Commuter_Coach</t>
  </si>
  <si>
    <t>mu_Coach_Gen4_Eurofima_Mail_Coach</t>
  </si>
  <si>
    <t>mu_Coach_Gen4_Double_Decker_Coach</t>
  </si>
  <si>
    <t>mu_Coach_Gen4_Russian_Intercity_Coach</t>
  </si>
  <si>
    <t>mu_Coach_Gen4_Russian_Regional_Coach</t>
  </si>
  <si>
    <t>mu_Coach_Gen4_Russian_Mail_Coach</t>
  </si>
  <si>
    <t>mu_Coach_Gen4_Superliner_Coach</t>
  </si>
  <si>
    <t>mu_Coach_Gen4_Superliner_California</t>
  </si>
  <si>
    <t>mu_Coach_Gen4_Amfleet_Regional_Coach</t>
  </si>
  <si>
    <t>mu_Coach_Gen4_Amfleet_Intercity_Coach</t>
  </si>
  <si>
    <t>mu_Coach_Gen4_Comet_Commuter_Coach</t>
  </si>
  <si>
    <t>mu_Coach_Gen4_Horizon_Regional_Coach</t>
  </si>
  <si>
    <t>mu_Coach_Gen4_Horizon_Baggage_Coach</t>
  </si>
  <si>
    <t>mu_Coach_Gen4_Bombardier_Bi_level</t>
  </si>
  <si>
    <t>mu_Coach_Gen5_High_Speed_Coach</t>
  </si>
  <si>
    <t>mu_Coach_Gen5_Modern_Regional_Coach</t>
  </si>
  <si>
    <t>mu_Coach_Gen5_Modern_Commuter_Coach</t>
  </si>
  <si>
    <t>mu_Coach_Gen5_Modern_Double_Decker_Coach</t>
  </si>
  <si>
    <t>mu_Coach_Gen5_High_Speed_Double_Decker_IC2000</t>
  </si>
  <si>
    <t>mu_Coach_Gen5_High_Speed_Mail_Coach</t>
  </si>
  <si>
    <t>mu_Coach_Gen5_Talgo_Pendular</t>
  </si>
  <si>
    <t>mu_Coach_Gen5_Talgo_Pendular_Mail</t>
  </si>
  <si>
    <t>mu_Coach_Gen6_Grand_Voyager_Coach</t>
  </si>
  <si>
    <t>mu_Coach_Gen6_Grand_Regio_Coach</t>
  </si>
  <si>
    <t>mu_Coach_Gen6_Metropolis_Coach</t>
  </si>
  <si>
    <t>mu_Coach_Gen6_Speedmail_Coach</t>
  </si>
  <si>
    <t>mu_Coach_Gen6_Super_Regio_Coach</t>
  </si>
  <si>
    <t>mu_Coach_Gen6_Super_Voyager_Coach</t>
  </si>
  <si>
    <t>mu_Wagon_Gen2_Flat_Wagon</t>
  </si>
  <si>
    <t>mu_Wagon_Gen2_Boxcar_Type1</t>
  </si>
  <si>
    <t>mu_Wagon_Gen2_Boxcar_Type2</t>
  </si>
  <si>
    <t>mu_Wagon_Gen2_Tanker</t>
  </si>
  <si>
    <t>mu_Wagon_Gen2_Open_Wagon</t>
  </si>
  <si>
    <t>mu_Wagon_Gen2_Silo</t>
  </si>
  <si>
    <t>mu_Wagon_Gen2_Hopper</t>
  </si>
  <si>
    <t>mu_Wagon_Gen3_Flat_Wagon</t>
  </si>
  <si>
    <t>mu_Wagon_Gen3_Boxcar_Type1</t>
  </si>
  <si>
    <t>mu_Wagon_Gen3_Boxcar_Type2</t>
  </si>
  <si>
    <t>mu_Wagon_Gen3_Tanker</t>
  </si>
  <si>
    <t>mu_Wagon_Gen3_Open_Wagon</t>
  </si>
  <si>
    <t>mu_Wagon_Gen3_Silo_Type1</t>
  </si>
  <si>
    <t>mu_Wagon_Gen3_Silo_Type2</t>
  </si>
  <si>
    <t>mu_Wagon_Gen3_Hopper</t>
  </si>
  <si>
    <t>mu_Wagon_Gen4_Flatcar</t>
  </si>
  <si>
    <t>mu_Wagon_Gen4_Heavy_Flatcar</t>
  </si>
  <si>
    <t>mu_Wagon_Gen4_Boxcar_Type1</t>
  </si>
  <si>
    <t>mu_Wagon_Gen4_Boxcar_Type2</t>
  </si>
  <si>
    <t>mu_Wagon_Gen4_Tanker</t>
  </si>
  <si>
    <t>mu_Wagon_Gen4_Gondola</t>
  </si>
  <si>
    <t>mu_Wagon_Gen4_Silo_Type1</t>
  </si>
  <si>
    <t>mu_Wagon_Gen4_Silo_Type2</t>
  </si>
  <si>
    <t>mu_Wagon_Gen4_Hopper_Type1</t>
  </si>
  <si>
    <t>mu_Wagon_Gen4_Hopper_Type2</t>
  </si>
  <si>
    <t>mu_Wagon_Gen4_Car_Transporter</t>
  </si>
  <si>
    <t>mu_Wagon_Gen4_Container_Carrier</t>
  </si>
  <si>
    <t>mu_Wagon_Gen4_Centerbeam</t>
  </si>
  <si>
    <t>mu_Wagon_Gen5_Flatcar</t>
  </si>
  <si>
    <t>mu_Wagon_Gen5_Heavy_Flatcar</t>
  </si>
  <si>
    <t>mu_Wagon_Gen5_Boxcar_Type1</t>
  </si>
  <si>
    <t>mu_Wagon_Gen5_Boxcar_Type2</t>
  </si>
  <si>
    <t>mu_Wagon_Gen5_Tanker</t>
  </si>
  <si>
    <t>mu_Wagon_Gen5_Gondola</t>
  </si>
  <si>
    <t>mu_Wagon_Gen5_Silo_Type1</t>
  </si>
  <si>
    <t>mu_Wagon_Gen5_Silo_Type2</t>
  </si>
  <si>
    <t>mu_Wagon_Gen5_Hopper_Type1</t>
  </si>
  <si>
    <t>mu_Wagon_Gen5_Hopper_Type2</t>
  </si>
  <si>
    <t>mu_Wagon_Gen5_Car_Transporter</t>
  </si>
  <si>
    <t>mu_Wagon_Gen5_Container_Carrier</t>
  </si>
  <si>
    <t>mu_Wagon_Gen5_Centerbeam</t>
  </si>
  <si>
    <t>mu_Wagon_Gen5_Container_Doublestack</t>
  </si>
  <si>
    <t>mu_Wagon_Gen5_Superheavy_Flatcar</t>
  </si>
  <si>
    <t>mu_Wagon_Gen6_Flatcar</t>
  </si>
  <si>
    <t>mu_Wagon_Gen6_Heavy_Flatcar</t>
  </si>
  <si>
    <t>mu_Wagon_Gen6_Boxcar_Type1</t>
  </si>
  <si>
    <t>mu_Wagon_Gen6_Boxcar_Type2</t>
  </si>
  <si>
    <t>mu_Wagon_Gen6_Tanker</t>
  </si>
  <si>
    <t>mu_Wagon_Gen6_Gondola</t>
  </si>
  <si>
    <t>mu_Wagon_Gen6_Silo_Type1</t>
  </si>
  <si>
    <t>mu_Wagon_Gen6_Silo_Type2</t>
  </si>
  <si>
    <t>mu_Wagon_Gen6_Hopper_Type1</t>
  </si>
  <si>
    <t>mu_Wagon_Gen6_Hopper_Type2</t>
  </si>
  <si>
    <t>mu_Wagon_Gen6_Car_Transporter</t>
  </si>
  <si>
    <t>mu_Wagon_Gen6_Container_Carrier</t>
  </si>
  <si>
    <t>mu_Wagon_Gen6_Centerbeam</t>
  </si>
  <si>
    <t>mu_Wagon_Gen6_Container_Doublestack</t>
  </si>
  <si>
    <t>mu_Wagon_Gen6_Superheavy_Flatcar</t>
  </si>
  <si>
    <t>mglv_Wagon_Gen7M_Boxcar_Type2</t>
  </si>
  <si>
    <t>mglv_Wagon_Gen7M_Car_Transporter</t>
  </si>
  <si>
    <t>mglv_Wagon_Gen7M_Centerbeam</t>
  </si>
  <si>
    <t>mglv_Wagon_Gen7M_Container_Carrier</t>
  </si>
  <si>
    <t>mglv_Wagon_Gen7M_Container_Doublestack</t>
  </si>
  <si>
    <t>mglv_Wagon_Gen7M_Flatcar</t>
  </si>
  <si>
    <t>mglv_Wagon_Gen7M_Gondola</t>
  </si>
  <si>
    <t>mglv_Wagon_Gen7M_Heavy_Flatcar</t>
  </si>
  <si>
    <t>mglv_Wagon_Gen7M_Hopper_Type1</t>
  </si>
  <si>
    <t>mglv_Wagon_Gen7M_Hopper_Type2</t>
  </si>
  <si>
    <t>mglv_Wagon_Gen7M_Silo_Type1</t>
  </si>
  <si>
    <t>mglv_Wagon_Gen7M_Silo_Type2</t>
  </si>
  <si>
    <t>mglv_Wagon_Gen7M_Superheavy_Flatcar</t>
  </si>
  <si>
    <t>mglv_Wagon_Gen7M_Tanker</t>
  </si>
  <si>
    <t>mu_Wagon_Service_Car_Type1</t>
  </si>
  <si>
    <t>mu_Wagon_Service_Car_Type2</t>
  </si>
  <si>
    <t>mglv_Wagon_Gen7M_Boxcar_Type1</t>
  </si>
  <si>
    <t>FILENAMES_EXPECTED</t>
  </si>
  <si>
    <t>NO_REGION</t>
  </si>
  <si>
    <t>WESTERN_EUROPE</t>
  </si>
  <si>
    <t>SOUTHERN_EUROPE</t>
  </si>
  <si>
    <t>OCEANIA</t>
  </si>
  <si>
    <t>AFRICA</t>
  </si>
  <si>
    <t>NORTHERN_EUROPE</t>
  </si>
  <si>
    <t>NORTH_AMERICA</t>
  </si>
  <si>
    <t>EASTERN_EUROPE</t>
  </si>
  <si>
    <t>SOUTH_AMERICA</t>
  </si>
  <si>
    <t>ASIA</t>
  </si>
  <si>
    <t>ALL_EUROPE</t>
  </si>
  <si>
    <t>ALL_AMERICA</t>
  </si>
  <si>
    <t>ALL_REGION</t>
  </si>
  <si>
    <t>VALID_REGIONS</t>
  </si>
  <si>
    <t>VALID_CONCEPTS</t>
  </si>
  <si>
    <t>NO_CONCEPT</t>
  </si>
  <si>
    <t>IS_CONCEPT</t>
  </si>
  <si>
    <t>IS_WAGON_OR_COACH</t>
  </si>
  <si>
    <t>CHECK_ANY_TT</t>
  </si>
  <si>
    <t>TRACK_TYPE_STANDARD_GAUGE_RAILTYPE_1500V</t>
  </si>
  <si>
    <t>VEHID_ID</t>
  </si>
  <si>
    <t>ID Type</t>
  </si>
  <si>
    <t>English Title</t>
  </si>
  <si>
    <t>Range Start</t>
  </si>
  <si>
    <t>Range End</t>
  </si>
  <si>
    <t>ID_RANGE_RBS</t>
  </si>
  <si>
    <t>Railbus (Steam)</t>
  </si>
  <si>
    <t>ID_RANGE_RBD</t>
  </si>
  <si>
    <t xml:space="preserve">ID_RANGE_RBE </t>
  </si>
  <si>
    <t>Railbus (Electric)</t>
  </si>
  <si>
    <t>ID_RANGE_STEAM</t>
  </si>
  <si>
    <t>Steam</t>
  </si>
  <si>
    <t>ID_RANGE_DIESEL</t>
  </si>
  <si>
    <t>Diesel</t>
  </si>
  <si>
    <t>ID_RANGE_ELECTRIC</t>
  </si>
  <si>
    <t>Electric</t>
  </si>
  <si>
    <t>ID_RANGE_DMU</t>
  </si>
  <si>
    <t>DMU</t>
  </si>
  <si>
    <t>ID_RANGE_EMU</t>
  </si>
  <si>
    <t>EMU</t>
  </si>
  <si>
    <t>ID_RANGE_MULTIMETRO</t>
  </si>
  <si>
    <t>Multi Unit Metro</t>
  </si>
  <si>
    <t>Multi Unit Maglev</t>
  </si>
  <si>
    <t>ID_RANGE_COACHES</t>
  </si>
  <si>
    <t>Coaches</t>
  </si>
  <si>
    <t>ID_RANGE_WAGONS</t>
  </si>
  <si>
    <t>Wagons</t>
  </si>
  <si>
    <t>ID_RANGE_WAGONS_MGLV</t>
  </si>
  <si>
    <t>Maglev Wagons</t>
  </si>
  <si>
    <t>Single Unit Metros</t>
  </si>
  <si>
    <t>ID_RANGE_SINGLEMETRO</t>
  </si>
  <si>
    <t>ID_RANGE_SMU</t>
  </si>
  <si>
    <t>ID_RANGE_CARGODMU</t>
  </si>
  <si>
    <t>Cargo DMU</t>
  </si>
  <si>
    <t>ID_RANGE_RBM</t>
  </si>
  <si>
    <t>Railbus (Maglev)</t>
  </si>
  <si>
    <t>ID_RANGE_UNIT_WAGONS_RAIL</t>
  </si>
  <si>
    <t>ID_RANGE_UNIT_WAGONS_MTRO</t>
  </si>
  <si>
    <t>ID_RANGE_UNIT_WAGONS_MGLV</t>
  </si>
  <si>
    <t>ID_RANGE_UNIT_WAGONS_RAIL_CARGO</t>
  </si>
  <si>
    <t>Unit Wagons (Rail)</t>
  </si>
  <si>
    <t>Unit Wagons (Metro)</t>
  </si>
  <si>
    <t>Unit Wagons (Maglev)</t>
  </si>
  <si>
    <t>Unit Wagons (Rail Cargo)</t>
  </si>
  <si>
    <t>VEHID_ID_CATEGORY</t>
  </si>
  <si>
    <t>PURCHASECOSTVALUE</t>
  </si>
  <si>
    <t>RUNNINGCOSTVALUE</t>
  </si>
  <si>
    <t>PURCHASECOST_STEAMRAILBUS_VALUE</t>
  </si>
  <si>
    <t>RUNNINGCOST_STEAMRAILBUS_VALUE</t>
  </si>
  <si>
    <t>PURCHASECOST_DIESELRAILBUS_VALUE</t>
  </si>
  <si>
    <t>RUNNINGCOST_DIESELRAILBUS_VALUE</t>
  </si>
  <si>
    <t>PURCHASECOST_ELECTRICRAILBUS_VALUE</t>
  </si>
  <si>
    <t>RUNNINGCOST_ELECTRICRAILBUS_VALUE</t>
  </si>
  <si>
    <t>PURCHASECOST_STEAMENGINE_VALUE</t>
  </si>
  <si>
    <t>RUNNINGCOST_STEAMENGINE_VALUE</t>
  </si>
  <si>
    <t>PURCHASECOST_DIESELENGINE_VALUE</t>
  </si>
  <si>
    <t>RUNNINGCOST_DIESELENGINE_VALUE</t>
  </si>
  <si>
    <t>PURCHASECOST_METRO_VALUE</t>
  </si>
  <si>
    <t>RUNNINGCOST_METRO_VALUE</t>
  </si>
  <si>
    <t>PURCHASECOST_ELECTRICENGINE_VALUE</t>
  </si>
  <si>
    <t>RUNNINGCOST_ELECTRICENGINE_VALUE</t>
  </si>
  <si>
    <t>PURCHASECOST_DMU_VALUE</t>
  </si>
  <si>
    <t>RUNNINGCOST_DMU_VALUE</t>
  </si>
  <si>
    <t>PURCHASECOST_EMU_VALUE</t>
  </si>
  <si>
    <t>RUNNINGCOST_EMU_VALUE</t>
  </si>
  <si>
    <t>PURCHASECOST_METRORAILBUS_VALUE</t>
  </si>
  <si>
    <t>RUNNINGCOST_METRORAILBUS_VALUE</t>
  </si>
  <si>
    <t>PURCHASECOST_MAGLEVRAILBUS_VALUE</t>
  </si>
  <si>
    <t>RUNNINGCOST_MAGLEVRAILBUS_VALUE</t>
  </si>
  <si>
    <t>PURCHASECOST_WAGON_VALUE</t>
  </si>
  <si>
    <t>RUNNINGCOST_WAGON_VALUE</t>
  </si>
  <si>
    <t>PURCHASECOST_COACH_VALUE</t>
  </si>
  <si>
    <t>RUNNINGCOST_COACH_VALUE</t>
  </si>
  <si>
    <t>PURCHASECOST_VALUE</t>
  </si>
  <si>
    <t>RUNNINGCOST_VALUE</t>
  </si>
  <si>
    <t>COACH</t>
  </si>
  <si>
    <t>WAGON</t>
  </si>
  <si>
    <t>COST_CAT</t>
  </si>
  <si>
    <t>STEAMRAILBUS</t>
  </si>
  <si>
    <t>DIESELRAILBUS</t>
  </si>
  <si>
    <t>ELECTRICRAILBUS</t>
  </si>
  <si>
    <t>METRORAILBUS</t>
  </si>
  <si>
    <t>MAGLEVRAILBUS</t>
  </si>
  <si>
    <t>TYPE</t>
  </si>
  <si>
    <t>COMMENT</t>
  </si>
  <si>
    <t>No cargo vehicles</t>
  </si>
  <si>
    <t>Intercity vehicles</t>
  </si>
  <si>
    <t>Commuter vehicles</t>
  </si>
  <si>
    <t>Metro vehicles</t>
  </si>
  <si>
    <t>Cargo vehicles</t>
  </si>
  <si>
    <t>Mail vehicles</t>
  </si>
  <si>
    <t>LOADINGSPEEDDEF_NONE</t>
  </si>
  <si>
    <t>LOADINGSPEEDDEF_INTERCITY</t>
  </si>
  <si>
    <t>LOADINGSPEEDDEF_COMMUTER</t>
  </si>
  <si>
    <t>LOADINGSPEEDDEF_METRO</t>
  </si>
  <si>
    <t>LOADINGSPEEDDEF_CARGO</t>
  </si>
  <si>
    <t>LOADINGSPEEDDEF_MAIL</t>
  </si>
  <si>
    <t>LOADINGSPEED_VALUE</t>
  </si>
  <si>
    <t>STEAMENGINE</t>
  </si>
  <si>
    <t>DIESELENGINE</t>
  </si>
  <si>
    <t>ELECTRICENGINE</t>
  </si>
  <si>
    <t>TRACK_TYPES</t>
  </si>
  <si>
    <t>GRAPHICS_PROPERTIES</t>
  </si>
  <si>
    <t>PROPERTIES</t>
  </si>
  <si>
    <t>IS_POWERED_UNPOWERED_SUNDRY</t>
  </si>
  <si>
    <t>Maglev Unit Wagon</t>
  </si>
  <si>
    <t>Victorian Railways Rowan Railmotor</t>
  </si>
  <si>
    <t>NS DH1</t>
  </si>
  <si>
    <t>WC&amp;PR Drewry Railcar</t>
  </si>
  <si>
    <t>FS E.623</t>
  </si>
  <si>
    <t>NZR X</t>
  </si>
  <si>
    <t>FS 880</t>
  </si>
  <si>
    <t>FCNEA 11B 2-8-0</t>
  </si>
  <si>
    <t>LMS 5MT 'Black Five'</t>
  </si>
  <si>
    <t>LNER A4 'Gresley'</t>
  </si>
  <si>
    <t>GWR Iron Duke</t>
  </si>
  <si>
    <t>Canadian Pacific 374</t>
  </si>
  <si>
    <t>PRR D16</t>
  </si>
  <si>
    <t>AFE N1 2-6-0</t>
  </si>
  <si>
    <t>FS 480</t>
  </si>
  <si>
    <t>FS 691</t>
  </si>
  <si>
    <t>AFE 1500</t>
  </si>
  <si>
    <t>LMS 7051 Diesel Shunter</t>
  </si>
  <si>
    <t>Queensland Railways DL</t>
  </si>
  <si>
    <t>Great Southern Railway DH501</t>
  </si>
  <si>
    <t>EE VFFLB</t>
  </si>
  <si>
    <t>CargoNet 312</t>
  </si>
  <si>
    <t>Buenos Aires 'Le Brugeoise'</t>
  </si>
  <si>
    <t>NER EF1</t>
  </si>
  <si>
    <t>JNR EB10</t>
  </si>
  <si>
    <t>Victorian Railways E</t>
  </si>
  <si>
    <t>NER EE1</t>
  </si>
  <si>
    <t>BR 150/0 'Sprinter'</t>
  </si>
  <si>
    <t>Camrail ZE 500</t>
  </si>
  <si>
    <t>PRR MP54</t>
  </si>
  <si>
    <t>Chicago L Northwest Elevated 1907 Stock</t>
  </si>
  <si>
    <t>Berlin U-Bahn C II</t>
  </si>
  <si>
    <t>7th Gen Car Transporter</t>
  </si>
  <si>
    <t>7th Gen Centerbeam Flatcar</t>
  </si>
  <si>
    <t>7th Gen Container Carrier</t>
  </si>
  <si>
    <t>7th Gen Container Doublestack</t>
  </si>
  <si>
    <t>7th Gen Flatcar</t>
  </si>
  <si>
    <t>7th Gen Gondola</t>
  </si>
  <si>
    <t>7th Gen Heavy Flatcar</t>
  </si>
  <si>
    <t>7th Gen Superheavy Flatcar</t>
  </si>
  <si>
    <t>7th Gen Tanker</t>
  </si>
  <si>
    <t>Eritrean Railway A.62-70 'Littorina'</t>
  </si>
  <si>
    <t>TPC BVB Be 2/2</t>
  </si>
  <si>
    <t>MVR Beh 2/4</t>
  </si>
  <si>
    <t>Ferrocarril de Soller 1-3</t>
  </si>
  <si>
    <t>Victorian Railways 'Swing Door'</t>
  </si>
  <si>
    <t>Metro Unit Wagon</t>
  </si>
  <si>
    <t>Multiple Unit Cargo Wagon</t>
  </si>
  <si>
    <t>Multiple Unit Wagon</t>
  </si>
  <si>
    <t>1st Gen Flat Wagon</t>
  </si>
  <si>
    <t>1st Gen Wooden Box Van</t>
  </si>
  <si>
    <t>1st Gen Tanker</t>
  </si>
  <si>
    <t>1st Gen Wooden Open Wagon</t>
  </si>
  <si>
    <t>2nd Gen Flat Wagon</t>
  </si>
  <si>
    <t>2nd Gen Tanker</t>
  </si>
  <si>
    <t>2nd Gen Wooden Open Wagon</t>
  </si>
  <si>
    <t>2nd Gen Silo</t>
  </si>
  <si>
    <t>2nd Gen Wooden Hopper</t>
  </si>
  <si>
    <t>3rd Gen Flat Wagon</t>
  </si>
  <si>
    <t>3rd Gen Tanker</t>
  </si>
  <si>
    <t>3rd Gen Open Wagon</t>
  </si>
  <si>
    <t>3rd Gen Hopper</t>
  </si>
  <si>
    <t>4th Gen Flatcar</t>
  </si>
  <si>
    <t>4th Gen Heavy Flatcar</t>
  </si>
  <si>
    <t>4th Gen Tanker</t>
  </si>
  <si>
    <t>4th Gen Gondola</t>
  </si>
  <si>
    <t>4th Gen Car Transporter</t>
  </si>
  <si>
    <t>4th Gen Container Carrier</t>
  </si>
  <si>
    <t>4th Gen Centerbeam Flatcar</t>
  </si>
  <si>
    <t>5th Gen Flatcar</t>
  </si>
  <si>
    <t>5th Gen Heavy Flatcar</t>
  </si>
  <si>
    <t>5th Gen Tanker</t>
  </si>
  <si>
    <t>5th Gen Gondola</t>
  </si>
  <si>
    <t>5th Gen Car Transporter</t>
  </si>
  <si>
    <t>5th Gen Container Carrier</t>
  </si>
  <si>
    <t>5th Gen Centerbeam Flatcar</t>
  </si>
  <si>
    <t>5th Gen Container Doublestack</t>
  </si>
  <si>
    <t>5th Gen Superheavy Flatcar</t>
  </si>
  <si>
    <t>6th Gen Flatcar</t>
  </si>
  <si>
    <t>6th Gen Heavy Flatcar</t>
  </si>
  <si>
    <t>6th Gen Tanker</t>
  </si>
  <si>
    <t>6th Gen Gondola</t>
  </si>
  <si>
    <t>6th Gen Car Transporter</t>
  </si>
  <si>
    <t>6th Gen Container Carrier</t>
  </si>
  <si>
    <t>6th Gen Centerbeam Flatcar</t>
  </si>
  <si>
    <t>6th Gen Container Doublestack</t>
  </si>
  <si>
    <t>6th Gen Superheavy Flatcar</t>
  </si>
  <si>
    <t>Wooden 2-axle Compartment Coach</t>
  </si>
  <si>
    <t>Wooden 2-axle Regional Coach</t>
  </si>
  <si>
    <t>Wooden 2-axle Mail Coach</t>
  </si>
  <si>
    <t>Clerestory Compartment Coach</t>
  </si>
  <si>
    <t>Clerestory Regional Coach</t>
  </si>
  <si>
    <t>Clerestory Mail Coach</t>
  </si>
  <si>
    <t>Wooden 3-axle Compartment Coach</t>
  </si>
  <si>
    <t>Wooden 3-axle Regional Coach</t>
  </si>
  <si>
    <t>Wooden 3-axle Mail Coach</t>
  </si>
  <si>
    <t>Heavyweight Intercity Coach</t>
  </si>
  <si>
    <t>Heavyweight Mail Coach</t>
  </si>
  <si>
    <t>Steel Intercity Coach</t>
  </si>
  <si>
    <t>Steel Compartment Coach</t>
  </si>
  <si>
    <t>Steel Regional Coach</t>
  </si>
  <si>
    <t>Steel Mail Coach</t>
  </si>
  <si>
    <t>Steel 2-axle Compartment Coach</t>
  </si>
  <si>
    <t>Steel 2-axle Regional Coach</t>
  </si>
  <si>
    <t>Steel 2-axle Mail Coach</t>
  </si>
  <si>
    <t>Steel 3-axle Compartment Coach</t>
  </si>
  <si>
    <t>Steel 3-axle Regional Coach</t>
  </si>
  <si>
    <t>Steel 3-axle Mail Coach</t>
  </si>
  <si>
    <t>Gallery Car</t>
  </si>
  <si>
    <t>Mk1 Intercity Coach</t>
  </si>
  <si>
    <t>Mk1 Regional Coach</t>
  </si>
  <si>
    <t>Mk1 Mail Coach</t>
  </si>
  <si>
    <t>UIC-X Intercity Coach</t>
  </si>
  <si>
    <t>TEE Intercity Coach</t>
  </si>
  <si>
    <t>UIC-X Regional Coach</t>
  </si>
  <si>
    <t>'Umbauwagen' Local Coach</t>
  </si>
  <si>
    <t>UIC-X Mail Coach</t>
  </si>
  <si>
    <t>Indian Intercity Coach</t>
  </si>
  <si>
    <t>Indian Local Coach</t>
  </si>
  <si>
    <t>Indian Regional Coach</t>
  </si>
  <si>
    <t>Indian Mail Coach</t>
  </si>
  <si>
    <t>Eurofima Coach</t>
  </si>
  <si>
    <t>InterRegio Coach</t>
  </si>
  <si>
    <t>'Silberling' Commuter Coach</t>
  </si>
  <si>
    <t>Eurofima Mail Coach</t>
  </si>
  <si>
    <t>Double Decker Coach</t>
  </si>
  <si>
    <t>Russian Regional Coach</t>
  </si>
  <si>
    <t>Russian Mail Coach</t>
  </si>
  <si>
    <t>Superliner Coach</t>
  </si>
  <si>
    <t>Superliner California</t>
  </si>
  <si>
    <t>Amfleet Regional Coach</t>
  </si>
  <si>
    <t>Amfleet Intercity Coach</t>
  </si>
  <si>
    <t>Comet Commuter Coach</t>
  </si>
  <si>
    <t>Horizon Regional Coach</t>
  </si>
  <si>
    <t>Horizon Baggage Coach</t>
  </si>
  <si>
    <t>Bombardier Bi-level</t>
  </si>
  <si>
    <t>High Speed Coach</t>
  </si>
  <si>
    <t>Modern Regional Coach</t>
  </si>
  <si>
    <t>Modern Commuter Coach</t>
  </si>
  <si>
    <t xml:space="preserve">Modern Double Decker Coach </t>
  </si>
  <si>
    <t>High Speed Double Decker</t>
  </si>
  <si>
    <t>High Speed Mail Coach</t>
  </si>
  <si>
    <t>Talgo Pendular</t>
  </si>
  <si>
    <t>Talgo Pendular Mail</t>
  </si>
  <si>
    <t>Grand Voyager Coach</t>
  </si>
  <si>
    <t>Grand Regio Coach</t>
  </si>
  <si>
    <t>Metropolis Coach</t>
  </si>
  <si>
    <t>Speedmail Coach</t>
  </si>
  <si>
    <t>Super Regio Coach</t>
  </si>
  <si>
    <t>Super Voyager Coach</t>
  </si>
  <si>
    <t>TEMPLATE_ID</t>
  </si>
  <si>
    <t>TPL_42</t>
  </si>
  <si>
    <t>TPL_01</t>
  </si>
  <si>
    <t>TPL_17</t>
  </si>
  <si>
    <t>TPL_32</t>
  </si>
  <si>
    <t>TPL_16</t>
  </si>
  <si>
    <t>TPL_02</t>
  </si>
  <si>
    <t>TPL_25</t>
  </si>
  <si>
    <t>TPL_04</t>
  </si>
  <si>
    <t>TPL_03</t>
  </si>
  <si>
    <t>TEMPLATE_AMENDMENT_CODE</t>
  </si>
  <si>
    <t>A</t>
  </si>
  <si>
    <t>B</t>
  </si>
  <si>
    <t>C</t>
  </si>
  <si>
    <t>E</t>
  </si>
  <si>
    <t>D</t>
  </si>
  <si>
    <t>F</t>
  </si>
  <si>
    <t>G</t>
  </si>
  <si>
    <t>PANTOGRAPH_POSITION</t>
  </si>
  <si>
    <t>NA</t>
  </si>
  <si>
    <t>ENDS</t>
  </si>
  <si>
    <t>MIDDLE</t>
  </si>
  <si>
    <t>South Australian Railways 400 'Redhen'</t>
  </si>
  <si>
    <t>ONCF ZAB1000</t>
  </si>
  <si>
    <t>COUNTRY</t>
  </si>
  <si>
    <t>Andorra</t>
  </si>
  <si>
    <t>United Arab Emirates</t>
  </si>
  <si>
    <t>Afghanistan</t>
  </si>
  <si>
    <t>Antigua and Barbuda</t>
  </si>
  <si>
    <t>Anguilla</t>
  </si>
  <si>
    <t>Albania</t>
  </si>
  <si>
    <t>Armenia</t>
  </si>
  <si>
    <t>Angola</t>
  </si>
  <si>
    <t>Antarctica</t>
  </si>
  <si>
    <t>Argentina</t>
  </si>
  <si>
    <t>American Samoa</t>
  </si>
  <si>
    <t>Austria</t>
  </si>
  <si>
    <t>Australia</t>
  </si>
  <si>
    <t>Aruba</t>
  </si>
  <si>
    <t>Åland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</si>
  <si>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</si>
  <si>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</si>
  <si>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</si>
  <si>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</si>
  <si>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</si>
  <si>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</si>
  <si>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</si>
  <si>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</si>
  <si>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</si>
  <si>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</si>
  <si>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Bermuda</t>
  </si>
  <si>
    <t>Brunei</t>
  </si>
  <si>
    <t>Bolivia</t>
  </si>
  <si>
    <t>Caribbean Netherlands</t>
  </si>
  <si>
    <t>Brazil</t>
  </si>
  <si>
    <t>Bahamas</t>
  </si>
  <si>
    <t>Bhutan</t>
  </si>
  <si>
    <t>Bouvet Island</t>
  </si>
  <si>
    <t>Botswana</t>
  </si>
  <si>
    <t>Belarus</t>
  </si>
  <si>
    <t>Belize</t>
  </si>
  <si>
    <t>Canada</t>
  </si>
  <si>
    <t>Cocos Islands</t>
  </si>
  <si>
    <t>Democratic Republic of the Congo</t>
  </si>
  <si>
    <t>Central African Republic</t>
  </si>
  <si>
    <t>Republic of the Congo</t>
  </si>
  <si>
    <t>Switzerland</t>
  </si>
  <si>
    <t>Ivory Coast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</si>
  <si>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</si>
  <si>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</si>
  <si>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</si>
  <si>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</si>
  <si>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</si>
  <si>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</si>
  <si>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</si>
  <si>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</si>
  <si>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Curaçao</t>
  </si>
  <si>
    <t>Christmas Island</t>
  </si>
  <si>
    <t>Cyprus</t>
  </si>
  <si>
    <t>Czech Republic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</si>
  <si>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</si>
  <si>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</si>
  <si>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</si>
  <si>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</si>
  <si>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</si>
  <si>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</si>
  <si>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</si>
  <si>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</si>
  <si>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</si>
  <si>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</si>
  <si>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</si>
  <si>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</si>
  <si>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</si>
  <si>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</si>
  <si>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</si>
  <si>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</t>
  </si>
  <si>
    <t>Micronesia</t>
  </si>
  <si>
    <t>Faroe Islands</t>
  </si>
  <si>
    <t>France</t>
  </si>
  <si>
    <t>United Kingdom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</si>
  <si>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</si>
  <si>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</si>
  <si>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</si>
  <si>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</si>
  <si>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</si>
  <si>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</si>
  <si>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</si>
  <si>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</si>
  <si>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</si>
  <si>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</si>
  <si>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</si>
  <si>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</si>
  <si>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South Georgia and the South Sandwich Islands</t>
  </si>
  <si>
    <t>Gautemala</t>
  </si>
  <si>
    <t>Guam</t>
  </si>
  <si>
    <t>Guinea-Bissau</t>
  </si>
  <si>
    <t>Guyana</t>
  </si>
  <si>
    <t>Hong Kong</t>
  </si>
  <si>
    <t>Heard Island and McDonald Islands</t>
  </si>
  <si>
    <t>Honduras</t>
  </si>
  <si>
    <t>Croatia</t>
  </si>
  <si>
    <t>Haiti</t>
  </si>
  <si>
    <t>Hungary</t>
  </si>
  <si>
    <t>Indonesia</t>
  </si>
  <si>
    <t>Ireland</t>
  </si>
  <si>
    <t>Israel</t>
  </si>
  <si>
    <t>Isle of Man</t>
  </si>
  <si>
    <t>India</t>
  </si>
  <si>
    <t>British Indian Ocean Territory</t>
  </si>
  <si>
    <t>Iraq</t>
  </si>
  <si>
    <t>Iran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</si>
  <si>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</si>
  <si>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</si>
  <si>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</si>
  <si>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</si>
  <si>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</si>
  <si>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</si>
  <si>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</si>
  <si>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</si>
  <si>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</si>
  <si>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</si>
  <si>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</si>
  <si>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Nevis</t>
  </si>
  <si>
    <t>North Korea</t>
  </si>
  <si>
    <t>South Korea</t>
  </si>
  <si>
    <t>Kuwait</t>
  </si>
  <si>
    <t>Cayman Islands</t>
  </si>
  <si>
    <t>Kazakhstan</t>
  </si>
  <si>
    <t>Lao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</si>
  <si>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</si>
  <si>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</si>
  <si>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</si>
  <si>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</si>
  <si>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</si>
  <si>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</si>
  <si>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</si>
  <si>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</si>
  <si>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Lativa</t>
  </si>
  <si>
    <t>Libya</t>
  </si>
  <si>
    <t>Morocco</t>
  </si>
  <si>
    <t>Monaco</t>
  </si>
  <si>
    <t>Moldova</t>
  </si>
  <si>
    <t>Montenegro</t>
  </si>
  <si>
    <t>Saint Martin</t>
  </si>
  <si>
    <t>Madagascar</t>
  </si>
  <si>
    <t>Marshall Islands</t>
  </si>
  <si>
    <t>North Macedonia</t>
  </si>
  <si>
    <t>Mali</t>
  </si>
  <si>
    <t>Myanmar</t>
  </si>
  <si>
    <t>Mongolia</t>
  </si>
  <si>
    <t>Macao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</si>
  <si>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</si>
  <si>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</si>
  <si>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</si>
  <si>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</si>
  <si>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</si>
  <si>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</si>
  <si>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</si>
  <si>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</si>
  <si>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</si>
  <si>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</si>
  <si>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</si>
  <si>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</si>
  <si>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</si>
  <si>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</si>
  <si>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</si>
  <si>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</si>
  <si>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</si>
  <si>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</si>
  <si>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</si>
  <si>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</si>
  <si>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</si>
  <si>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</si>
  <si>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</si>
  <si>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</si>
  <si>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</si>
  <si>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</si>
  <si>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</si>
  <si>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</si>
  <si>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</si>
  <si>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</si>
  <si>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</si>
  <si>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Saint Pierre and Miquelon</t>
  </si>
  <si>
    <t>Pitcairn</t>
  </si>
  <si>
    <t>Puerto Rico</t>
  </si>
  <si>
    <t>Palestine</t>
  </si>
  <si>
    <t>Portugal</t>
  </si>
  <si>
    <t>Palau</t>
  </si>
  <si>
    <t>Paraguay</t>
  </si>
  <si>
    <t>Qatar</t>
  </si>
  <si>
    <t>Romania</t>
  </si>
  <si>
    <t>Serbia</t>
  </si>
  <si>
    <t>Russia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</si>
  <si>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</si>
  <si>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</si>
  <si>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</si>
  <si>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</si>
  <si>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</si>
  <si>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</si>
  <si>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</si>
  <si>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Saint Helena, Ascension and Tristan da Cunha</t>
  </si>
  <si>
    <t>Slovenia</t>
  </si>
  <si>
    <t>Svalbard and Jan Mayen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</si>
  <si>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</si>
  <si>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</si>
  <si>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</si>
  <si>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</si>
  <si>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</si>
  <si>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</si>
  <si>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</si>
  <si>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Sao Tome and Principe</t>
  </si>
  <si>
    <t>El Salvador</t>
  </si>
  <si>
    <t>Sint Maarten</t>
  </si>
  <si>
    <t>Syrian Arab Republic</t>
  </si>
  <si>
    <t>Eswatini</t>
  </si>
  <si>
    <t>Turks and Caicos Islands</t>
  </si>
  <si>
    <t>Chad</t>
  </si>
  <si>
    <t>French Southern Territories</t>
  </si>
  <si>
    <t>Togo</t>
  </si>
  <si>
    <t>Thailand</t>
  </si>
  <si>
    <t>Tajikistan</t>
  </si>
  <si>
    <t>Tokelau</t>
  </si>
  <si>
    <t>Timor-Leste</t>
  </si>
  <si>
    <t>Turkmenistan</t>
  </si>
  <si>
    <t>Tunisia</t>
  </si>
  <si>
    <t>Tonga</t>
  </si>
  <si>
    <t>Trinidad and Tobago</t>
  </si>
  <si>
    <t>Tuvalu</t>
  </si>
  <si>
    <t>Taiwan</t>
  </si>
  <si>
    <t>Tanzania</t>
  </si>
  <si>
    <t>Ukraine</t>
  </si>
  <si>
    <t>Uganda</t>
  </si>
  <si>
    <t>United States Minor Outlying Islands</t>
  </si>
  <si>
    <t>United States</t>
  </si>
  <si>
    <t>Uruguay</t>
  </si>
  <si>
    <t>Uzbekistan</t>
  </si>
  <si>
    <t>Holy See</t>
  </si>
  <si>
    <t>Saint Vincent and the Grenadines</t>
  </si>
  <si>
    <t>Venezuela</t>
  </si>
  <si>
    <t>Virgin Islands (British)</t>
  </si>
  <si>
    <t>Virgin Islands (U.S.)</t>
  </si>
  <si>
    <t>Vietnam</t>
  </si>
  <si>
    <t>Vanuatu</t>
  </si>
  <si>
    <t>Wallis and Futuna</t>
  </si>
  <si>
    <t>Samoa</t>
  </si>
  <si>
    <t>Yemen</t>
  </si>
  <si>
    <t>Mayotte</t>
  </si>
  <si>
    <t>South Africa</t>
  </si>
  <si>
    <t>Zambia</t>
  </si>
  <si>
    <t>Zimbabwe</t>
  </si>
  <si>
    <t>East Germany</t>
  </si>
  <si>
    <t>Europe</t>
  </si>
  <si>
    <t>Yugoslavia</t>
  </si>
  <si>
    <t>AD</t>
  </si>
  <si>
    <t>AE</t>
  </si>
  <si>
    <t>AF</t>
  </si>
  <si>
    <t>AG</t>
  </si>
  <si>
    <t>AI</t>
  </si>
  <si>
    <t>AL</t>
  </si>
  <si>
    <t>AM</t>
  </si>
  <si>
    <t>AO</t>
  </si>
  <si>
    <t>AQ</t>
  </si>
  <si>
    <t>AR</t>
  </si>
  <si>
    <t>AS</t>
  </si>
  <si>
    <t>AT</t>
  </si>
  <si>
    <t>AU</t>
  </si>
  <si>
    <t>AW</t>
  </si>
  <si>
    <t>AX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</si>
  <si>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</si>
  <si>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</si>
  <si>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</si>
  <si>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</si>
  <si>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</si>
  <si>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</si>
  <si>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</si>
  <si>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</si>
  <si>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</si>
  <si>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</si>
  <si>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BL</t>
  </si>
  <si>
    <t>BM</t>
  </si>
  <si>
    <t>BN</t>
  </si>
  <si>
    <t>BO</t>
  </si>
  <si>
    <t>BQ</t>
  </si>
  <si>
    <t>BR</t>
  </si>
  <si>
    <t>BS</t>
  </si>
  <si>
    <t>BT</t>
  </si>
  <si>
    <t>BV</t>
  </si>
  <si>
    <t>BW</t>
  </si>
  <si>
    <t>BY</t>
  </si>
  <si>
    <t>BZ</t>
  </si>
  <si>
    <t>CA</t>
  </si>
  <si>
    <t>CC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</si>
  <si>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</si>
  <si>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</si>
  <si>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</si>
  <si>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</si>
  <si>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</si>
  <si>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</si>
  <si>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</si>
  <si>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</si>
  <si>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</si>
  <si>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CO</t>
  </si>
  <si>
    <t>CR</t>
  </si>
  <si>
    <t>CU</t>
  </si>
  <si>
    <t>CV</t>
  </si>
  <si>
    <t>CW</t>
  </si>
  <si>
    <t>CX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</si>
  <si>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</si>
  <si>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</si>
  <si>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</si>
  <si>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</si>
  <si>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</si>
  <si>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</si>
  <si>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</si>
  <si>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</si>
  <si>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</si>
  <si>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</si>
  <si>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</si>
  <si>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EH</t>
  </si>
  <si>
    <t>ER</t>
  </si>
  <si>
    <t>ES</t>
  </si>
  <si>
    <t>ET</t>
  </si>
  <si>
    <t>FI</t>
  </si>
  <si>
    <t>FJ</t>
  </si>
  <si>
    <t>FK</t>
  </si>
  <si>
    <t>FM</t>
  </si>
  <si>
    <t>FO</t>
  </si>
  <si>
    <t>FR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</si>
  <si>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</si>
  <si>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</si>
  <si>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</si>
  <si>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</si>
  <si>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</si>
  <si>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</si>
  <si>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</si>
  <si>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</si>
  <si>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</si>
  <si>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</si>
  <si>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GN</t>
  </si>
  <si>
    <t>GP</t>
  </si>
  <si>
    <t>GQ</t>
  </si>
  <si>
    <t>GR</t>
  </si>
  <si>
    <t>GS</t>
  </si>
  <si>
    <t>GT</t>
  </si>
  <si>
    <t>GU</t>
  </si>
  <si>
    <t>GW</t>
  </si>
  <si>
    <t>GY</t>
  </si>
  <si>
    <t>HK</t>
  </si>
  <si>
    <t>HM</t>
  </si>
  <si>
    <t>HN</t>
  </si>
  <si>
    <t>HR</t>
  </si>
  <si>
    <t>HT</t>
  </si>
  <si>
    <t>HU</t>
  </si>
  <si>
    <t>ID</t>
  </si>
  <si>
    <t>IE</t>
  </si>
  <si>
    <t>IL</t>
  </si>
  <si>
    <t>IM</t>
  </si>
  <si>
    <t>IN</t>
  </si>
  <si>
    <t>IO</t>
  </si>
  <si>
    <t>IQ</t>
  </si>
  <si>
    <t>IR</t>
  </si>
  <si>
    <t>IS</t>
  </si>
  <si>
    <t>IT</t>
  </si>
  <si>
    <t>JE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</si>
  <si>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</si>
  <si>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</si>
  <si>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</si>
  <si>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</si>
  <si>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</si>
  <si>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</si>
  <si>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</si>
  <si>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</si>
  <si>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</si>
  <si>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</si>
  <si>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</si>
  <si>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</si>
  <si>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</si>
  <si>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</si>
  <si>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</si>
  <si>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</si>
  <si>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</si>
  <si>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</si>
  <si>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</si>
  <si>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</si>
  <si>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</si>
  <si>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</si>
  <si>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</si>
  <si>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</si>
  <si>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</si>
  <si>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</si>
  <si>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</si>
  <si>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</si>
  <si>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</si>
  <si>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MF</t>
  </si>
  <si>
    <t>MG</t>
  </si>
  <si>
    <t>MH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</si>
  <si>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</si>
  <si>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</si>
  <si>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</si>
  <si>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</si>
  <si>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</si>
  <si>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</si>
  <si>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</si>
  <si>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</si>
  <si>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</si>
  <si>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</si>
  <si>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</si>
  <si>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</si>
  <si>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</si>
  <si>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</si>
  <si>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</si>
  <si>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</si>
  <si>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NC</t>
  </si>
  <si>
    <t>NE</t>
  </si>
  <si>
    <t>NF</t>
  </si>
  <si>
    <t>NG</t>
  </si>
  <si>
    <t>NI</t>
  </si>
  <si>
    <t>NL</t>
  </si>
  <si>
    <t>NO</t>
  </si>
  <si>
    <t>NP</t>
  </si>
  <si>
    <t>NR</t>
  </si>
  <si>
    <t>NU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</si>
  <si>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</si>
  <si>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</si>
  <si>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</si>
  <si>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</si>
  <si>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</si>
  <si>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</si>
  <si>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</si>
  <si>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</si>
  <si>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</si>
  <si>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PM</t>
  </si>
  <si>
    <t>PN</t>
  </si>
  <si>
    <t>PR</t>
  </si>
  <si>
    <t>PS</t>
  </si>
  <si>
    <t>PT</t>
  </si>
  <si>
    <t>PW</t>
  </si>
  <si>
    <t>PY</t>
  </si>
  <si>
    <t>QA</t>
  </si>
  <si>
    <t>RE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</si>
  <si>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</si>
  <si>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</si>
  <si>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</si>
  <si>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</si>
  <si>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</si>
  <si>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</si>
  <si>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</si>
  <si>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</si>
  <si>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</si>
  <si>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</si>
  <si>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</si>
  <si>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</si>
  <si>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</si>
  <si>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</si>
  <si>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</si>
  <si>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</si>
  <si>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</si>
  <si>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</si>
  <si>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</si>
  <si>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</si>
  <si>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</si>
  <si>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</si>
  <si>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</si>
  <si>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</si>
  <si>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</si>
  <si>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TC</t>
  </si>
  <si>
    <t>TD</t>
  </si>
  <si>
    <t>TF</t>
  </si>
  <si>
    <t>TG</t>
  </si>
  <si>
    <t>TH</t>
  </si>
  <si>
    <t>TJ</t>
  </si>
  <si>
    <t>TK</t>
  </si>
  <si>
    <t>TL</t>
  </si>
  <si>
    <t>TM</t>
  </si>
  <si>
    <t>TN</t>
  </si>
  <si>
    <t>TO</t>
  </si>
  <si>
    <t>TR</t>
  </si>
  <si>
    <t>TT</t>
  </si>
  <si>
    <t>TV</t>
  </si>
  <si>
    <t>TW</t>
  </si>
  <si>
    <t>TZ</t>
  </si>
  <si>
    <t>UA</t>
  </si>
  <si>
    <t>UG</t>
  </si>
  <si>
    <t>UM</t>
  </si>
  <si>
    <t>US</t>
  </si>
  <si>
    <t>UY</t>
  </si>
  <si>
    <t>UZ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</si>
  <si>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</si>
  <si>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</si>
  <si>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</si>
  <si>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</si>
  <si>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</si>
  <si>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</si>
  <si>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</si>
  <si>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</si>
  <si>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</si>
  <si>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YE</t>
  </si>
  <si>
    <t>YT</t>
  </si>
  <si>
    <t>ZA</t>
  </si>
  <si>
    <t>ZM</t>
  </si>
  <si>
    <t>ZW</t>
  </si>
  <si>
    <t>COUNTRY_LABEL</t>
  </si>
  <si>
    <t>COUNTRY_DESCRIPTION</t>
  </si>
  <si>
    <t>Turkey</t>
  </si>
  <si>
    <t>World</t>
  </si>
  <si>
    <t>Gabon</t>
  </si>
  <si>
    <t>COUNTRY_CODE</t>
  </si>
  <si>
    <t>YU</t>
  </si>
  <si>
    <t>SU</t>
  </si>
  <si>
    <t>EU</t>
  </si>
  <si>
    <t>GDR</t>
  </si>
  <si>
    <t>WRLD</t>
  </si>
  <si>
    <t>ROLE</t>
  </si>
  <si>
    <t>TE_STARTING_KN</t>
  </si>
  <si>
    <t>TE_COEFFICIENT_CALC</t>
  </si>
  <si>
    <t>TE_COEFFICIENT_MANUAL</t>
  </si>
  <si>
    <t>https://de.wikipedia.org/wiki/N%C3%96LB_1%E2%80%933</t>
  </si>
  <si>
    <t>https://it.wikipedia.org/wiki/Automotrice_FS_86</t>
  </si>
  <si>
    <t>https://en.wikipedia.org/wiki/Rowan_steam_railmotor</t>
  </si>
  <si>
    <t>https://de.wikipedia.org/wiki/UeBB_CZm_1/2</t>
  </si>
  <si>
    <t>https://en.wikipedia.org/wiki/CSAR_Railmotor</t>
  </si>
  <si>
    <t>https://en.wikipedia.org/wiki/Bavarian_MCCi</t>
  </si>
  <si>
    <t>https://en.wikipedia.org/wiki/Kerr_Stuart_steam_railmotor</t>
  </si>
  <si>
    <t>https://en.wikipedia.org/wiki/AEC_railmotor</t>
  </si>
  <si>
    <t>https://de.wikipedia.org/wiki/KkStB_4</t>
  </si>
  <si>
    <t>https://en.wikipedia.org/wiki/Wismar_railbus</t>
  </si>
  <si>
    <t>https://en.wikipedia.org/wiki/GWR_railcars</t>
  </si>
  <si>
    <t>https://de.wikipedia.org/wiki/BB%C3%96_VT_42</t>
  </si>
  <si>
    <t>https://en.wikipedia.org/wiki/NZR_RM_class_(Standard)</t>
  </si>
  <si>
    <t>https://en.wikipedia.org/wiki/CP_Class_0100</t>
  </si>
  <si>
    <t>https://en.wikipedia.org/wiki/Budd_Rail_Diesel_Car</t>
  </si>
  <si>
    <t>https://de.wikipedia.org/wiki/DB-Baureihe_VT_98</t>
  </si>
  <si>
    <t>WEB</t>
  </si>
  <si>
    <t>https://de.wikipedia.org/wiki/MaK_GDT</t>
  </si>
  <si>
    <t>https://nl.wikipedia.org/wiki/Kameel_(spoorwegmaterieel)</t>
  </si>
  <si>
    <t>https://en.wikipedia.org/wiki/D%C3%BCwag_Wadloper</t>
  </si>
  <si>
    <t>https://de.wikipedia.org/wiki/%C3%96BB_5047</t>
  </si>
  <si>
    <t>https://en.wikipedia.org/wiki/British_Rail_Class_153</t>
  </si>
  <si>
    <t>https://cs.wikipedia.org/wiki/Motorov%C3%BD_v%C5%AFz_809</t>
  </si>
  <si>
    <t>https://de.wikipedia.org/wiki/DB-Baureihe_670</t>
  </si>
  <si>
    <t>https://hu.wikipedia.org/wiki/KkStB_19.0</t>
  </si>
  <si>
    <t>https://en.wikipedia.org/wiki/Virginia_and_Truckee_Railway_Motor_Car_22</t>
  </si>
  <si>
    <t>https://de.wikipedia.org/wiki/S%C3%A4chsischer_DET_1%E2%80%932</t>
  </si>
  <si>
    <t>https://www.wcpr.org.uk/Railcars.html</t>
  </si>
  <si>
    <t>https://de.wikipedia.org/wiki/BSt_6001_bis_6003#Triebwagen_6001_und_6002</t>
  </si>
  <si>
    <t>https://en.wikipedia.org/wiki/Diesel_Electric_railmotor_(VR)</t>
  </si>
  <si>
    <t>https://cs.wikipedia.org/wiki/Motorov%C3%BD_v%C5%AFz_M_120.4</t>
  </si>
  <si>
    <t>https://en.wikipedia.org/wiki/Schienenzeppelin</t>
  </si>
  <si>
    <t>https://en.wikipedia.org/wiki/NSB_Cmb_Class_17</t>
  </si>
  <si>
    <t>https://da.wikipedia.org/wiki/Litra_MO</t>
  </si>
  <si>
    <t>DSB MO Serie 1</t>
  </si>
  <si>
    <t>https://cs.wikipedia.org/wiki/Motorov%C3%BD_v%C5%AFz_M_290.0</t>
  </si>
  <si>
    <t>https://nl.wikipedia.org/wiki/OmBC_(stroomlijnmotorrijtuig)</t>
  </si>
  <si>
    <t>https://en.wikipedia.org/wiki/New_South_Wales_400/500_class_railmotor</t>
  </si>
  <si>
    <t>https://fr.wikipedia.org/wiki/CP_s%C3%A9rie_9050</t>
  </si>
  <si>
    <t>https://fr.wikipedia.org/wiki/S%C3%A9rie_43_SNCB</t>
  </si>
  <si>
    <t>https://bg.wikipedia.org/wiki/%D0%94%D0%B8%D0%B7%D0%B5%D0%BB%D0%BE%D0%B2%D0%B0_%D0%BC%D0%BE%D1%82%D1%80%D0%B8%D1%81%D0%B0_%D0%91%D0%94%D0%96_29-01</t>
  </si>
  <si>
    <t>https://el.wikipedia.org/wiki/%CE%A3%CE%B9%CE%B4%CE%B7%CF%81%CF%8C%CE%B4%CF%81%CE%BF%CE%BC%CE%BF%CE%B9_%CE%95%CE%BB%CE%BB%CE%B7%CE%BD%CE%B9%CE%BA%CE%BF%CF%8D_%CE%9A%CF%81%CE%AC%CF%84%CE%BF%CF%85%CF%82#%CE%A0%CE%B5%CF%84%CF%81%CE%B5%CE%BB%CE%B1%CE%B9%CE%BF%CE%BA%CE%AF%CE%BD%CE%B7%CF%84%CE%B5%CF%82_%CE%A0%CE%BF%CE%BB%CE%BB%CE%B1%CF%80%CE%BB%CE%AD%CF%82_%CE%9C%CE%BF%CE%BD%CE%AC%CE%B4%CE%B5%CF%82_(DMU)_%CE%AE_%CE%A0%CE%B5%CF%84%CF%81%CE%B5%CE%BB%CE%B1%CF%85%CF%84%CE%BF%CE%BA%CE%B9%CE%BD%CE%B7%CF%84%CE%AC%CE%BC%CE%B1%CE%BE%CE%B5%CF%82</t>
  </si>
  <si>
    <t>https://hu.wikipedia.org/wiki/Tun%C3%A9zia_vas%C3%BAti_k%C3%B6zleked%C3%A9se</t>
  </si>
  <si>
    <t>https://en.wikipedia.org/wiki/Budd_SPV-2000</t>
  </si>
  <si>
    <t>https://en.wikipedia.org/wiki/VR_Class_Dm12</t>
  </si>
  <si>
    <t>https://en.wikipedia.org/wiki/%C4%8CD_Class_840_and_841</t>
  </si>
  <si>
    <t>https://en.wikipedia.org/wiki/FS_Class_ALn_668</t>
  </si>
  <si>
    <t>https://de.wikipedia.org/wiki/KkStB_40.0</t>
  </si>
  <si>
    <t>https://fr.wikipedia.org/wiki/Z_7100</t>
  </si>
  <si>
    <t>https://de.wikipedia.org/wiki/Buckower_Kleinbahn_Nr._1_bis_3</t>
  </si>
  <si>
    <t>https://cs.wikipedia.org/wiki/Elektrick%C3%BD_v%C5%AFz_EMU_49.0</t>
  </si>
  <si>
    <t>https://de.wikipedia.org/wiki/Triebwagen_der_Oberwei%C3%9Fbacher_Bergbahn#%E2%80%9ERekonstruktionen%E2%80%9C_von_1982/84</t>
  </si>
  <si>
    <t>https://it.wikipedia.org/wiki/Automotrice_FS_ALe_840</t>
  </si>
  <si>
    <t>https://it.wikipedia.org/wiki/Automotrice_FG_ALe_80</t>
  </si>
  <si>
    <t>https://it.wikipedia.org/wiki/Automotrice_FS_E.623</t>
  </si>
  <si>
    <t>http://www.railfaneurope.net/list/morocco_oncfm_del.html</t>
  </si>
  <si>
    <t>https://en.wikipedia.org/wiki/PKP_class_EN81</t>
  </si>
  <si>
    <t>https://de.wikipedia.org/wiki/%C3%96BB_4855</t>
  </si>
  <si>
    <t>https://de.wikipedia.org/wiki/DR_137_136_bis_148#Montafonerbahn_ET_10.103_und_104</t>
  </si>
  <si>
    <t>https://de.wikipedia.org/wiki/DR-Baureihe_ET_85</t>
  </si>
  <si>
    <t>https://sv.wikipedia.org/wiki/Y6-generationen</t>
  </si>
  <si>
    <t>https://en.wikipedia.org/wiki/Budd_Silverliner</t>
  </si>
  <si>
    <t>https://en.wikipedia.org/wiki/Silverliner_V</t>
  </si>
  <si>
    <t>https://en.wikipedia.org/wiki/Le_Belge_(locomotive)</t>
  </si>
  <si>
    <t>https://de.wikipedia.org/wiki/SCB_Ec_2/5</t>
  </si>
  <si>
    <t>https://hu.wikipedia.org/wiki/M%C3%81V_377_sorozat</t>
  </si>
  <si>
    <t>https://de.wikipedia.org/wiki/KkStB_99</t>
  </si>
  <si>
    <t>https://en.wikipedia.org/wiki/Caledonian_Railway_439_Class</t>
  </si>
  <si>
    <t>https://en.wikipedia.org/wiki/SBB_A_3/5</t>
  </si>
  <si>
    <t>https://en.wikipedia.org/wiki/SBB_E_3/3</t>
  </si>
  <si>
    <t>https://de.wikipedia.org/wiki/N%C3%96LB_202</t>
  </si>
  <si>
    <t>https://en.wikipedia.org/wiki/NZR_X_class</t>
  </si>
  <si>
    <t>https://hu.wikipedia.org/wiki/M%C3%81V_375_sorozat</t>
  </si>
  <si>
    <t>https://it.wikipedia.org/wiki/Locomotiva_FS_880</t>
  </si>
  <si>
    <t>https://es.wikipedia.org/wiki/Ferrocarril_Nordeste_Argentino</t>
  </si>
  <si>
    <t>https://en.wikipedia.org/wiki/GWR_4900_Class</t>
  </si>
  <si>
    <t>GWR 4900 'Hall'</t>
  </si>
  <si>
    <t>GWR 5700 'Pannier'</t>
  </si>
  <si>
    <t>https://en.wikipedia.org/wiki/GWR_5700_Class</t>
  </si>
  <si>
    <t>https://nl.wikipedia.org/wiki/NS_6300</t>
  </si>
  <si>
    <t>https://en.wikipedia.org/wiki/Santa_Fe_5000</t>
  </si>
  <si>
    <t>https://de.wikipedia.org/wiki/Preu%C3%9Fische_S_10</t>
  </si>
  <si>
    <t>https://en.wikipedia.org/wiki/LMS_Stanier_Class_5_4-6-0</t>
  </si>
  <si>
    <t>https://ru.wikipedia.org/wiki/9%D0%9F</t>
  </si>
  <si>
    <t>https://en.wikipedia.org/wiki/LNER_Class_A4</t>
  </si>
  <si>
    <t>https://en.wikipedia.org/wiki/Royal_Hudson</t>
  </si>
  <si>
    <t>https://en.wikipedia.org/wiki/LNER_Peppercorn_Class_A1</t>
  </si>
  <si>
    <t>https://en.wikipedia.org/wiki/South_African_Class_25_4-8-4</t>
  </si>
  <si>
    <t>https://ru.wikipedia.org/wiki/%D0%9F36</t>
  </si>
  <si>
    <t>https://fr.wikipedia.org/wiki/150_P</t>
  </si>
  <si>
    <t>https://it.wikipedia.org/wiki/Locomotiva_FS_895</t>
  </si>
  <si>
    <t>https://pl.wikipedia.org/wiki/OKz32</t>
  </si>
  <si>
    <t>https://de.wikipedia.org/wiki/SBB_C_5/6</t>
  </si>
  <si>
    <t>https://en.wikipedia.org/wiki/Union_Pacific_Big_Boy</t>
  </si>
  <si>
    <t>https://nl.wikipedia.org/wiki/NS_1600_(stoomlocomotief)</t>
  </si>
  <si>
    <t>https://en.wikipedia.org/wiki/GWR_Iron_Duke_class</t>
  </si>
  <si>
    <t>https://en.wikipedia.org/wiki/Locomotive_No._1</t>
  </si>
  <si>
    <t>https://en.wikipedia.org/wiki/Gov._Stanford</t>
  </si>
  <si>
    <t>https://nl.wikipedia.org/wiki/NS_700_(stoomlocomotief)</t>
  </si>
  <si>
    <t>https://en.wikipedia.org/wiki/NGR_Class_K_2-6-0T</t>
  </si>
  <si>
    <t>https://en.wikipedia.org/wiki/New_South_Wales_Z25_class_locomotive</t>
  </si>
  <si>
    <t>https://en.wikipedia.org/wiki/PPR_35_Tonner_4-6-0T_Portuguese</t>
  </si>
  <si>
    <t>https://en.wikipedia.org/wiki/Canadian_Pacific_374</t>
  </si>
  <si>
    <t>https://es.wikipedia.org/wiki/Serie_040-2071_a_2090_de_Renfe</t>
  </si>
  <si>
    <t>https://de.wikipedia.org/wiki/S%C3%A4chsische_IV_K</t>
  </si>
  <si>
    <t>https://de.wikipedia.org/wiki/Preu%C3%9Fische_S_3</t>
  </si>
  <si>
    <t>https://no.wikipedia.org/wiki/NSB_type_21</t>
  </si>
  <si>
    <t>https://en.wikipedia.org/wiki/Pennsylvania_Railroad_class_D16</t>
  </si>
  <si>
    <t>https://nl.wikipedia.org/wiki/NS_8100</t>
  </si>
  <si>
    <t>https://en.wikipedia.org/wiki/South_African_Class_MD_2-6-6-2</t>
  </si>
  <si>
    <t>https://en.wikipedia.org/wiki/South_West_African_2-8-0</t>
  </si>
  <si>
    <t>https://en.wikipedia.org/wiki/GER_Class_L77</t>
  </si>
  <si>
    <t>https://de.wikipedia.org/wiki/S%C3%A4chsische_XX_HV</t>
  </si>
  <si>
    <t>https://fr.wikipedia.org/wiki/Type_7_SNCB</t>
  </si>
  <si>
    <t>https://en.wikipedia.org/wiki/DSER_15_and_16</t>
  </si>
  <si>
    <t>https://en.wikipedia.org/wiki/Sierra_Railway_28</t>
  </si>
  <si>
    <t>https://en.wikipedia.org/wiki/CN_U-1-a_and_U-1-b</t>
  </si>
  <si>
    <t>https://en.wikipedia.org/wiki/Indian_locomotive_class_XB</t>
  </si>
  <si>
    <t>https://en.wikipedia.org/wiki/Iraqi_State_Railways_PC_class</t>
  </si>
  <si>
    <t>https://en.wikipedia.org/wiki/GWR_1600_Class</t>
  </si>
  <si>
    <t>https://en.wikipedia.org/wiki/Victorian_Railways_R_class</t>
  </si>
  <si>
    <t>https://en.wikipedia.org/wiki/DR_Class_99.77-79</t>
  </si>
  <si>
    <t>https://en.wikipedia.org/wiki/NZR_WAB_class</t>
  </si>
  <si>
    <t>https://en.wikipedia.org/wiki/New_South_Wales_D57_class_locomotive</t>
  </si>
  <si>
    <t>https://en.wikipedia.org/wiki/South_Australian_Railways_520_class</t>
  </si>
  <si>
    <t>https://en.wikipedia.org/wiki/New_South_Wales_AD60_class_locomotive</t>
  </si>
  <si>
    <t>https://es.wikipedia.org/wiki/Administraci%C3%B3n_de_Ferrocarriles_del_Estado</t>
  </si>
  <si>
    <t>https://loco-info.com/view.aspx?id=17945&amp;t=Country&amp;cookies=decline</t>
  </si>
  <si>
    <t>https://es.wikipedia.org/wiki/Locomotora_a_vapor_PS11</t>
  </si>
  <si>
    <t>https://en.wikipedia.org/wiki/South_African_Class_NG6_4-4-0#Falcon_F2</t>
  </si>
  <si>
    <t>https://it.wikipedia.org/wiki/Locomotiva_FS_R.440</t>
  </si>
  <si>
    <t>https://en.wikipedia.org/wiki/TR_DL_class</t>
  </si>
  <si>
    <t>https://en.wikipedia.org/wiki/TR_RV_class</t>
  </si>
  <si>
    <t>https://en.wikipedia.org/wiki/Rhodesia_Railways_15th_class</t>
  </si>
  <si>
    <t>https://en.wikipedia.org/wiki/South_African_Class_GMA_4-8-2%2B2-8-4</t>
  </si>
  <si>
    <t>https://en.wikipedia.org/wiki/EAR_31_class</t>
  </si>
  <si>
    <t>https://en.wikipedia.org/wiki/Fairy_Queen_(locomotive)</t>
  </si>
  <si>
    <t>https://en.wikipedia.org/wiki/DHR_B_Class</t>
  </si>
  <si>
    <t>https://en.wikipedia.org/wiki/Sentetsu_Sorii-class_locomotives</t>
  </si>
  <si>
    <t>https://en.wikipedia.org/wiki/Russian_locomotive_class_Ye</t>
  </si>
  <si>
    <t>https://en.wikipedia.org/wiki/Russian_locomotive_class_U</t>
  </si>
  <si>
    <t>https://en.wikipedia.org/wiki/Palestine_Railways_H_class</t>
  </si>
  <si>
    <t>https://it.wikipedia.org/wiki/Locomotiva_FS_480</t>
  </si>
  <si>
    <t>https://it.wikipedia.org/wiki/Locomotiva_FS_691</t>
  </si>
  <si>
    <t>https://en.wikipedia.org/wiki/SEK_Class_%CE%9B%CE%B2</t>
  </si>
  <si>
    <t>https://en.wikipedia.org/wiki/USATC_S160_Class</t>
  </si>
  <si>
    <t>https://www.steamlocomotive.com/locobase.php?country=Spain&amp;wheel=4-8-4&amp;railroad=renfe</t>
  </si>
  <si>
    <t>https://cs.wikipedia.org/wiki/Lokomotiva_534.0</t>
  </si>
  <si>
    <t>https://en.wikipedia.org/wiki/PKP_class_Ok22</t>
  </si>
  <si>
    <t>https://hu.wikipedia.org/wiki/M%C3%81V_424_sorozat#Megl%C3%A9v%C5%91_424-esek_Magyasz%C3%A1gon_%C3%A9s_Horv%C3%A1torsz%C3%A1gban</t>
  </si>
  <si>
    <t>https://hu.wikipedia.org/wiki/M%C3%81V_242_sorozat</t>
  </si>
  <si>
    <t>https://pl.wikipedia.org/wiki/Ol49</t>
  </si>
  <si>
    <t>https://hu.wikipedia.org/wiki/KkStB_310_sorozat</t>
  </si>
  <si>
    <t>https://en.wikipedia.org/wiki/Southern_Pacific_GS-4_class</t>
  </si>
  <si>
    <t>https://en.wikipedia.org/wiki/GS%26WR_Class_101</t>
  </si>
  <si>
    <t>https://en.wikipedia.org/wiki/USRA_Light_Mikado</t>
  </si>
  <si>
    <t>https://es.wikipedia.org/wiki/Ferrocarril_del_Sud</t>
  </si>
  <si>
    <t>https://en.wikipedia.org/wiki/New_South_Wales_C35_class_locomotive</t>
  </si>
  <si>
    <t>https://en.wikipedia.org/wiki/SNCB_Type_29</t>
  </si>
  <si>
    <t>FCAB 4-8-2 Vulcan 'Mountain'</t>
  </si>
  <si>
    <t>https://en.wikipedia.org/wiki/Ferrocarril_de_Antofagasta_a_Bolivia</t>
  </si>
  <si>
    <t>https://en.wikipedia.org/wiki/China_Railways_QJ</t>
  </si>
  <si>
    <t>https://de.wikipedia.org/wiki/DR-Kleinlokomotive_Leistungsgruppe_II</t>
  </si>
  <si>
    <t>CNJ ALCo-GE-IR Boxcab 100T</t>
  </si>
  <si>
    <t>https://nl.wikipedia.org/wiki/NS_200</t>
  </si>
  <si>
    <t>https://en.wikipedia.org/wiki/ALCO_boxcab</t>
  </si>
  <si>
    <t>https://de.wikipedia.org/wiki/Wehrmachtslokomotive_WR_200_B_14</t>
  </si>
  <si>
    <t>https://de.wikipedia.org/wiki/SBB_Am_4/6</t>
  </si>
  <si>
    <t>https://en.wikipedia.org/wiki/New_South_Wales_79_class_locomotive</t>
  </si>
  <si>
    <t>https://en.wikipedia.org/wiki/EMD_F3</t>
  </si>
  <si>
    <t>https://en.wikipedia.org/wiki/ALCO_S-2_and_S-4</t>
  </si>
  <si>
    <t>https://hu.wikipedia.org/wiki/M%C3%81V_M44_sorozat</t>
  </si>
  <si>
    <t>https://en.wikipedia.org/wiki/EMD_E8</t>
  </si>
  <si>
    <t>ENGLISH</t>
  </si>
  <si>
    <t>https://en.wikipedia.org/wiki/ALCO_RS-3</t>
  </si>
  <si>
    <t>https://en.wikipedia.org/wiki/NS_Class_600</t>
  </si>
  <si>
    <t>https://en.wikipedia.org/wiki/Baldwin_RF-16</t>
  </si>
  <si>
    <t>https://en.wikipedia.org/wiki/FM_H-24-66</t>
  </si>
  <si>
    <t>https://en.wikipedia.org/wiki/British_Rail_Class_08</t>
  </si>
  <si>
    <t>https://de.wikipedia.org/wiki/%C3%96BB_2060</t>
  </si>
  <si>
    <t>https://en.wikipedia.org/wiki/EMD_SW1200</t>
  </si>
  <si>
    <t>https://en.wikipedia.org/wiki/VIA_FP9ARM</t>
  </si>
  <si>
    <t>https://hu.wikipedia.org/wiki/M%C3%81V_M28_sorozat</t>
  </si>
  <si>
    <t>https://fr.wikipedia.org/wiki/S%C3%A9rie_83_SNCB</t>
  </si>
  <si>
    <t>https://en.wikipedia.org/wiki/DB_Class_V_200</t>
  </si>
  <si>
    <t>https://en.wikipedia.org/wiki/EMD_FL9</t>
  </si>
  <si>
    <t>https://cs.wikipedia.org/wiki/Lokomotiva_720</t>
  </si>
  <si>
    <t>https://en.wikipedia.org/wiki/VR_Class_Dr12</t>
  </si>
  <si>
    <t>https://en.wikipedia.org/wiki/List_of_Electroputere_locomotives</t>
  </si>
  <si>
    <t>https://en.wikipedia.org/wiki/EMD_GL8#B-B_version</t>
  </si>
  <si>
    <t>https://de.wikipedia.org/wiki/Krauss-Maffei_ML_4000_C%E2%80%99C%E2%80%99</t>
  </si>
  <si>
    <t>https://ru.wikipedia.org/wiki/%D0%A2%D0%AD%D0%9F60</t>
  </si>
  <si>
    <t>https://en.wikipedia.org/wiki/Belgian_Railways_Class_62</t>
  </si>
  <si>
    <t>https://da.wikipedia.org/wiki/Litra_MH</t>
  </si>
  <si>
    <t>https://en.wikipedia.org/wiki/Indian_locomotive_class_WDM-2</t>
  </si>
  <si>
    <t>https://en.wikipedia.org/wiki/British_Rail_Class_14</t>
  </si>
  <si>
    <t>https://en.wikipedia.org/wiki/ChME3</t>
  </si>
  <si>
    <t>https://en.wikipedia.org/wiki/EMD_G16</t>
  </si>
  <si>
    <t>https://en.wikipedia.org/wiki/M62_locomotive</t>
  </si>
  <si>
    <t>https://en.wikipedia.org/wiki/New_South_Wales_422_class_locomotive</t>
  </si>
  <si>
    <t>https://en.wikipedia.org/wiki/EMD_G22_Series</t>
  </si>
  <si>
    <t>https://en.wikipedia.org/wiki/EMD_DDA40X</t>
  </si>
  <si>
    <t>https://en.wikipedia.org/wiki/Queensland_Railways_2100_class</t>
  </si>
  <si>
    <t>https://en.wikipedia.org/wiki/H%C5%BD_series_2062</t>
  </si>
  <si>
    <t>https://trainspo.com/model/1896/</t>
  </si>
  <si>
    <t>https://en.wikipedia.org/wiki/MLW_M-420</t>
  </si>
  <si>
    <t>https://en.wikipedia.org/wiki/EMD_SDP40F</t>
  </si>
  <si>
    <t>https://en.wikipedia.org/wiki/China_Railways_DFH_mainline_locomotives#China_Railways_DFH3</t>
  </si>
  <si>
    <t>https://en.wikipedia.org/wiki/EMD_F40PH</t>
  </si>
  <si>
    <t>https://en.wikipedia.org/wiki/CP_Class_1900</t>
  </si>
  <si>
    <t>https://en.wikipedia.org/wiki/VR_Class_Dr16</t>
  </si>
  <si>
    <t>https://en.wikipedia.org/wiki/TEP80</t>
  </si>
  <si>
    <t>https://en.wikipedia.org/wiki/Australian_National_AN_class</t>
  </si>
  <si>
    <t>https://en.wikipedia.org/wiki/GE_Genesis</t>
  </si>
  <si>
    <t>https://en.wikipedia.org/wiki/TCDD_DH7000</t>
  </si>
  <si>
    <t>https://fr.wikipedia.org/wiki/S%C3%A9rie_77_SNCB</t>
  </si>
  <si>
    <t>https://en.wikipedia.org/wiki/British_Rail_Class_66</t>
  </si>
  <si>
    <t>https://en.wikipedia.org/wiki/British_Rail_Class_67</t>
  </si>
  <si>
    <t>https://www.mainlinediesels.net/index.php?nav=1000909&amp;lang=en</t>
  </si>
  <si>
    <t>https://en.wikipedia.org/wiki/TEP150</t>
  </si>
  <si>
    <t>https://en.wikipedia.org/wiki/China_Railways_HXN5</t>
  </si>
  <si>
    <t>https://en.wikipedia.org/wiki/Voith_Gravita</t>
  </si>
  <si>
    <t>https://ru.wikipedia.org/wiki/%D0%93%D0%A21</t>
  </si>
  <si>
    <t>https://de.wikipedia.org/wiki/Siemens_ER20</t>
  </si>
  <si>
    <t>https://en.wikipedia.org/wiki/Voith_Maxima</t>
  </si>
  <si>
    <t>http://www.trainweb.org/oldtimetrains/photos/cnr_diesel/early.htm</t>
  </si>
  <si>
    <t>https://en.wikipedia.org/wiki/LMS_diesel_shunter_7051</t>
  </si>
  <si>
    <t>https://en.wikipedia.org/wiki/EMC_TA</t>
  </si>
  <si>
    <t>https://en.wikipedia.org/wiki/Baldwin_VO-660</t>
  </si>
  <si>
    <t>https://en.wikipedia.org/wiki/British_Rail_Class_D3/7</t>
  </si>
  <si>
    <t>https://en.wikipedia.org/wiki/Queensland_Railways_DL_class</t>
  </si>
  <si>
    <t>https://en.wikipedia.org/wiki/FM_H-10-44</t>
  </si>
  <si>
    <t>https://en.wikipedia.org/wiki/Baldwin_DRS-6-4-1000</t>
  </si>
  <si>
    <t>https://en.wikipedia.org/wiki/CI%C3%89_113_Class</t>
  </si>
  <si>
    <t>https://en.wikipedia.org/wiki/Baldwin_AS-616</t>
  </si>
  <si>
    <t>https://en.wikipedia.org/wiki/FM_H-16-44</t>
  </si>
  <si>
    <t>https://en.wikipedia.org/wiki/Sri_Lanka_Railways_M2</t>
  </si>
  <si>
    <t>https://en.wikipedia.org/wiki/South_Australian_Railways_900_class</t>
  </si>
  <si>
    <t>https://en.wikipedia.org/wiki/CI%C3%89_001_Class</t>
  </si>
  <si>
    <t>https://en.wikipedia.org/wiki/FS_Class_D.341</t>
  </si>
  <si>
    <t>https://en.wikipedia.org/wiki/New_South_Wales_44_class_locomotive</t>
  </si>
  <si>
    <t>https://en.wikipedia.org/wiki/South_African_Class_61-000#ZISCO</t>
  </si>
  <si>
    <t>https://zh.wikipedia.org/wiki/SD18%E5%9E%8B%E6%9F%B4%E6%B2%B9%E6%9C%BA%E8%BD%A6</t>
  </si>
  <si>
    <t>https://en.wikipedia.org/wiki/FS_Class_D.345</t>
  </si>
  <si>
    <t>https://en.wikipedia.org/wiki/NSB_Di_4</t>
  </si>
  <si>
    <t>https://trainspo.com/model/2685/</t>
  </si>
  <si>
    <t>https://en.wikipedia.org/wiki/V/Line_G_class</t>
  </si>
  <si>
    <t>https://en.wikipedia.org/wiki/British_Rail_Class_60</t>
  </si>
  <si>
    <t>https://en.wikipedia.org/wiki/Westrail_P_class</t>
  </si>
  <si>
    <t>https://en.wikipedia.org/wiki/EMD_SD70_series</t>
  </si>
  <si>
    <t>https://de.wikipedia.org/wiki/I%C3%89-Klasse_201</t>
  </si>
  <si>
    <t>https://en.wikipedia.org/wiki/EMD_F59PH</t>
  </si>
  <si>
    <t>https://hu.wikipedia.org/wiki/SNCF_BB_61000_sorozat</t>
  </si>
  <si>
    <t>https://de.wikipedia.org/wiki/Vossloh_G_2000_BB</t>
  </si>
  <si>
    <t>https://en.wikipedia.org/wiki/MPI_MPXpress</t>
  </si>
  <si>
    <t>https://en.wikipedia.org/wiki/Renfe_Class_334</t>
  </si>
  <si>
    <t>https://en.wikipedia.org/wiki/INKA_CC300</t>
  </si>
  <si>
    <t>https://pt.wikipedia.org/wiki/Via%C3%A7%C3%A3o_F%C3%A9rrea_Federal_Leste_Brasileiro</t>
  </si>
  <si>
    <t>https://en.wikipedia.org/wiki/GE_Universal_Series</t>
  </si>
  <si>
    <t>https://es.wikipedia.org/wiki/ALCO_RSD-39</t>
  </si>
  <si>
    <t>https://en.wikipedia.org/wiki/EMD_DDM45</t>
  </si>
  <si>
    <t>https://en.wikipedia.org/wiki/GE_C39-8</t>
  </si>
  <si>
    <t>https://en.wikipedia.org/wiki/Renfe_Class_319_(later_versions)</t>
  </si>
  <si>
    <t>https://es.wikipedia.org/wiki/Locomotora_CNR_CKD8</t>
  </si>
  <si>
    <t>https://en.wikipedia.org/wiki/South_African_Class_DS</t>
  </si>
  <si>
    <t>http://www.railfaneurope.net/list/algeria_sntf.html</t>
  </si>
  <si>
    <t>https://trainspo.com/model/4472/</t>
  </si>
  <si>
    <t>https://ru.wikipedia.org/wiki/%D0%A2%D0%AD114</t>
  </si>
  <si>
    <t>https://fr.wikipedia.org/wiki/ONCF_DF_100</t>
  </si>
  <si>
    <t>https://ru.wikipedia.org/wiki/%D0%A2%D0%AD%D0%9F10%D0%9B</t>
  </si>
  <si>
    <t>https://ru.wikipedia.org/wiki/%D0%A2%D0%AD10</t>
  </si>
  <si>
    <t>https://en.wikipedia.org/wiki/PKP_class_SP32</t>
  </si>
  <si>
    <t>https://zh.wikipedia.org/wiki/2TE116%E5%9E%8B%E6%9F%B4%E6%B2%B9%E6%9C%BA%E8%BD%A6</t>
  </si>
  <si>
    <t>https://zh.wikipedia.org/wiki/TE10%E5%9E%8B%E6%9F%B4%E6%B2%B9%E6%9C%BA%E8%BD%A6#2TE10U%EF%BC%8F3TE10U</t>
  </si>
  <si>
    <t>https://en.wikipedia.org/wiki/%C5%BDS_series_621</t>
  </si>
  <si>
    <t>https://it.wikipedia.org/wiki/Automotore_FS_207</t>
  </si>
  <si>
    <t>https://ru.wikipedia.org/wiki/%D0%94%D0%B1_(%D1%82%D0%B5%D0%BF%D0%BB%D0%BE%D0%B2%D0%BE%D0%B7)</t>
  </si>
  <si>
    <t>https://en.wikipedia.org/wiki/CP_Class_1500</t>
  </si>
  <si>
    <t>https://en.wikipedia.org/wiki/SNCF_Class_BB_67400</t>
  </si>
  <si>
    <t>https://en.wikipedia.org/wiki/NS_Class_6400</t>
  </si>
  <si>
    <t>https://en.wikipedia.org/wiki/GE_Evolution_Series</t>
  </si>
  <si>
    <t>https://en.wikipedia.org/wiki/South_African_Class_Afro_4000</t>
  </si>
  <si>
    <t>https://es.wikipedia.org/wiki/Serie_308_de_Renfe</t>
  </si>
  <si>
    <t>https://en.wikipedia.org/wiki/Pacific_National_XRB_class</t>
  </si>
  <si>
    <t>https://no.wikipedia.org/wiki/Euro_4000</t>
  </si>
  <si>
    <t>https://en.wikipedia.org/wiki/UGL_Rail_C44aci</t>
  </si>
  <si>
    <t>https://en.wikipedia.org/wiki/British_Rail_Class_68</t>
  </si>
  <si>
    <t>https://en.wikipedia.org/wiki/Siemens_Charger</t>
  </si>
  <si>
    <t>https://en.wikipedia.org/wiki/81-720/721</t>
  </si>
  <si>
    <t>https://es.wikipedia.org/wiki/Coches_La_Brugeoise</t>
  </si>
  <si>
    <t>https://en.wikipedia.org/wiki/R1_(New_York_City_Subway_car)</t>
  </si>
  <si>
    <t>https://de.wikipedia.org/wiki/DR-Baureihe_ET_171</t>
  </si>
  <si>
    <t>https://pt.wikipedia.org/wiki/Material_circulante_do_Metropolitano_de_Lisboa#ML7</t>
  </si>
  <si>
    <t>https://no.wikipedia.org/wiki/T1000-serien</t>
  </si>
  <si>
    <t>https://en.wikipedia.org/wiki/H_series_(Toronto_subway)</t>
  </si>
  <si>
    <t>https://de.wikipedia.org/wiki/MVG-Baureihe_A</t>
  </si>
  <si>
    <t>https://en.wikipedia.org/wiki/R44_(New_York_City_Subway_car)</t>
  </si>
  <si>
    <t>https://nl.wikipedia.org/wiki/Metromaterieel_M1/M2/M3</t>
  </si>
  <si>
    <t>https://sv.wikipedia.org/wiki/C8_(tunnelbanevagn)</t>
  </si>
  <si>
    <t>https://en.wikipedia.org/wiki/Pyongyang_Metro#Rolling_stock</t>
  </si>
  <si>
    <t>https://fi.wikipedia.org/wiki/M100_(juna)</t>
  </si>
  <si>
    <t>https://pt.wikipedia.org/wiki/TUE_S%C3%A9rie_5500_(Fepasa)</t>
  </si>
  <si>
    <t>https://en.wikipedia.org/wiki/Tokyo_Metro_01_series</t>
  </si>
  <si>
    <t>https://en.wikipedia.org/wiki/Cairo_Metro_Line_1</t>
  </si>
  <si>
    <t>https://en.wikipedia.org/wiki/P86_stock</t>
  </si>
  <si>
    <t>https://ru.wikipedia.org/wiki/81-717/714</t>
  </si>
  <si>
    <t>https://en.wikipedia.org/wiki/Red_Line_(MBTA)#Stainless_steel%E2%80%93bodied_cars</t>
  </si>
  <si>
    <t>https://en.wikipedia.org/wiki/Breda_A650</t>
  </si>
  <si>
    <t>https://en.wikipedia.org/wiki/Taipei_Metro_C301</t>
  </si>
  <si>
    <t>https://en.wikipedia.org/wiki/S3/M4_(Amsterdam_Metro)</t>
  </si>
  <si>
    <t>https://fr.wikipedia.org/wiki/MP_89</t>
  </si>
  <si>
    <t>https://ru.wikipedia.org/wiki/%D0%A0%D1%83%D1%81%D0%B8%D1%87_(%D0%B2%D0%B0%D0%B3%D0%BE%D0%BD_%D0%BC%D0%B5%D1%82%D1%80%D0%BE)</t>
  </si>
  <si>
    <t>https://en.wikipedia.org/wiki/Alstom_Metropolis_C830</t>
  </si>
  <si>
    <t>https://no.wikipedia.org/wiki/MX3000</t>
  </si>
  <si>
    <t>https://ja.wikipedia.org/wiki/%E5%A4%A7%E9%98%AA%E5%B8%82%E4%BA%A4%E9%80%9A%E5%B1%8030000%E7%B3%BB%E9%9B%BB%E8%BB%8A</t>
  </si>
  <si>
    <t>https://en.wikipedia.org/wiki/Kawasaki_Heavy_Industries_%26_CSR_Qingdao_Sifang_C151A</t>
  </si>
  <si>
    <t>https://en.wikipedia.org/wiki/Washington_Metro_rolling_stock#7000-series</t>
  </si>
  <si>
    <t>https://en.wikipedia.org/wiki/Thessaloniki_Metro#Stations,_depot_and_rolling_stock</t>
  </si>
  <si>
    <t>https://de.wikipedia.org/wiki/U-Bahn-Linie_U1_(Berlin)</t>
  </si>
  <si>
    <t>https://en.wikipedia.org/wiki/Hedley_Hi-V_(New_York_City_Subway_car)</t>
  </si>
  <si>
    <t>https://ja.wikipedia.org/wiki/%E5%A4%A7%E9%98%AA%E5%B8%82%E9%9B%BB%E6%B0%97%E5%B1%80100%E5%BD%A2%E9%9B%BB%E8%BB%8A</t>
  </si>
  <si>
    <t>https://ru.wikipedia.org/wiki/%D0%90_(%D0%B2%D0%B0%D0%B3%D0%BE%D0%BD_%D0%BC%D0%B5%D1%82%D1%80%D0%BE)</t>
  </si>
  <si>
    <t>https://en.wikipedia.org/wiki/R10_(New_York_City_Subway_car)</t>
  </si>
  <si>
    <t>https://it.wikipedia.org/wiki/Elettromotrici_STEFER_MR_100_e_MR_200</t>
  </si>
  <si>
    <t>https://ru.wikipedia.org/wiki/%D0%94_(%D0%B2%D0%B0%D0%B3%D0%BE%D0%BD_%D0%BC%D0%B5%D1%82%D1%80%D0%BE)</t>
  </si>
  <si>
    <t>https://en.wikipedia.org/wiki/Rotterdam_Metro</t>
  </si>
  <si>
    <t>https://cs.wikipedia.org/wiki/Souprava_metra_E%C4%8Ds</t>
  </si>
  <si>
    <t>https://es.wikipedia.org/wiki/Material_rodante_del_subte_de_Buenos_Aires</t>
  </si>
  <si>
    <t>https://es.wikipedia.org/wiki/NS-93</t>
  </si>
  <si>
    <t>https://es.wikipedia.org/wiki/AS-2002</t>
  </si>
  <si>
    <t>https://en.wikipedia.org/wiki/Recife_Metro#Rolling_stock</t>
  </si>
  <si>
    <t>https://es.wikipedia.org/wiki/Serie_5000</t>
  </si>
  <si>
    <t>https://locomotive.fandom.com/wiki/ATAC_S/300</t>
  </si>
  <si>
    <t>https://fr.wikipedia.org/wiki/M%C3%A9tro_d%27Alger</t>
  </si>
  <si>
    <t>https://de.wikipedia.org/wiki/BVG-Baureihe_IK</t>
  </si>
  <si>
    <t>https://en.wikipedia.org/wiki/6000-series_(CTA)</t>
  </si>
  <si>
    <t>https://en.wikipedia.org/wiki/London_Underground_1900_and_1903_Stock</t>
  </si>
  <si>
    <t>https://en.wikipedia.org/wiki/London_Underground_1938_Stock</t>
  </si>
  <si>
    <t>https://en.wikipedia.org/wiki/British_Rail_Class_EF1</t>
  </si>
  <si>
    <t>https://ja.wikipedia.org/wiki/%E5%9B%BD%E9%89%84EB10%E5%BD%A2%E9%9B%BB%E6%B0%97%E6%A9%9F%E9%96%A2%E8%BB%8A</t>
  </si>
  <si>
    <t>https://en.wikipedia.org/wiki/JNR_Class_EF55</t>
  </si>
  <si>
    <t>https://en.wikipedia.org/wiki/NS_Class_1000</t>
  </si>
  <si>
    <t>https://en.wikipedia.org/wiki/NS_Class_1600</t>
  </si>
  <si>
    <t>https://en.wikipedia.org/wiki/Victorian_Railways_E_class_(electric)</t>
  </si>
  <si>
    <t>https://en.wikipedia.org/wiki/LNER_Class_ES1</t>
  </si>
  <si>
    <t>https://en.wikipedia.org/wiki/New_York_Central_S-Motor</t>
  </si>
  <si>
    <t>https://en.wikipedia.org/wiki/Meitetsu_DeKi_400</t>
  </si>
  <si>
    <t>https://en.wikipedia.org/wiki/Indian_locomotive_class_WCG-1</t>
  </si>
  <si>
    <t>https://en.wikipedia.org/wiki/SNCF_BB_9003-9004</t>
  </si>
  <si>
    <t>https://en.wikipedia.org/wiki/ESS_3200_class</t>
  </si>
  <si>
    <t>https://en.wikipedia.org/wiki/British_Rail_Class_77</t>
  </si>
  <si>
    <t>https://en.wikipedia.org/wiki/LNER_Class_EE1</t>
  </si>
  <si>
    <t>https://en.wikipedia.org/wiki/Milwaukee_Road_class_ES-2</t>
  </si>
  <si>
    <t>https://en.wikipedia.org/wiki/Milwaukee_Road_class_EP-2</t>
  </si>
  <si>
    <t>https://en.wikipedia.org/wiki/FS_Class_E.428</t>
  </si>
  <si>
    <t>https://en.wikipedia.org/wiki/South_African_Class_ES</t>
  </si>
  <si>
    <t>https://en.wikipedia.org/wiki/PKP_class_EU06</t>
  </si>
  <si>
    <t>https://en.wikipedia.org/wiki/PKP_class_ET41</t>
  </si>
  <si>
    <t>https://en.wikipedia.org/wiki/PKP_class_EP09</t>
  </si>
  <si>
    <t>https://sk.wikipedia.org/wiki/Elektrick%C3%BD_ru%C5%A1e%C5%88_162</t>
  </si>
  <si>
    <t>https://en.wikipedia.org/wiki/FS_Class_E.646</t>
  </si>
  <si>
    <t>https://en.wikipedia.org/wiki/FS_Class_E.424</t>
  </si>
  <si>
    <t>https://en.wikipedia.org/wiki/FS_Class_E.444</t>
  </si>
  <si>
    <t>https://en.wikipedia.org/wiki/FS_Class_E.632</t>
  </si>
  <si>
    <t>https://en.wikipedia.org/wiki/Belgian_Railways_Class_25.5</t>
  </si>
  <si>
    <t>https://en.wikipedia.org/wiki/Renfe_Class_250</t>
  </si>
  <si>
    <t>https://en.wikipedia.org/wiki/Indian_locomotive_class_WCM-1</t>
  </si>
  <si>
    <t>https://en.wikipedia.org/wiki/South_African_Class_E38</t>
  </si>
  <si>
    <t>https://en.wikipedia.org/wiki/Renfe_Class_269</t>
  </si>
  <si>
    <t>https://en.wikipedia.org/wiki/%C4%8CSD_Class_ES_499.1</t>
  </si>
  <si>
    <t>https://en.wikipedia.org/wiki/NSB_El_7</t>
  </si>
  <si>
    <t>https://en.wikipedia.org/wiki/Pennsylvania_Railroad_class_FF1</t>
  </si>
  <si>
    <t>https://de.wikipedia.org/wiki/BB%C3%96_1070</t>
  </si>
  <si>
    <t>https://de.wikipedia.org/wiki/LAG_1_bis_5#Lok_5_%E2%80%9EAdolphine%E2%80%9C_(E_69_05)</t>
  </si>
  <si>
    <t>https://no.wikipedia.org/wiki/El_10</t>
  </si>
  <si>
    <t>https://de.wikipedia.org/wiki/DR-Baureihe_E_04</t>
  </si>
  <si>
    <t>https://en.wikipedia.org/wiki/Pennsylvania_Railroad_class_GG1</t>
  </si>
  <si>
    <t>https://es.wikipedia.org/wiki/Cocodrilo_(locomotora)</t>
  </si>
  <si>
    <t>https://en.wikipedia.org/wiki/DB_Class_103</t>
  </si>
  <si>
    <t>https://en.wikipedia.org/wiki/DRG_Class_E_91</t>
  </si>
  <si>
    <t>https://de.wikipedia.org/wiki/BLS_Ce_4/6</t>
  </si>
  <si>
    <t>https://en.wikipedia.org/wiki/SBB_Ae_6/6</t>
  </si>
  <si>
    <t>https://zh.wikipedia.org/wiki/%E7%91%9E%E5%A3%AB%E8%81%94%E9%82%A6%E9%93%81%E8%B7%AFRe460%E5%9E%8B%E7%94%B5%E5%8A%9B%E6%9C%BA%E8%BD%A6#%E7%91%9E%E5%A3%AB</t>
  </si>
  <si>
    <t>https://en.wikipedia.org/wiki/SBB_Eem_923</t>
  </si>
  <si>
    <t>https://en.wikipedia.org/wiki/%C3%96BB_Class_1044</t>
  </si>
  <si>
    <t>https://de.wikipedia.org/wiki/%C3%96BB_1063</t>
  </si>
  <si>
    <t>https://en.wikipedia.org/wiki/SJ_Dm3</t>
  </si>
  <si>
    <t>https://en.wikipedia.org/wiki/Iore</t>
  </si>
  <si>
    <t>https://sv.wikipedia.org/wiki/Oa_och_Ob_(lok)</t>
  </si>
  <si>
    <t>https://sv.wikipedia.org/wiki/F-lok_(el)</t>
  </si>
  <si>
    <t>https://en.wikipedia.org/wiki/NSB_El_17</t>
  </si>
  <si>
    <t>https://de.wikipedia.org/wiki/Preu%C3%9Fische_ES_6</t>
  </si>
  <si>
    <t>https://en.wikipedia.org/wiki/Virginian_EL-2B</t>
  </si>
  <si>
    <t>https://en.wikipedia.org/wiki/Great_Northern_W-1</t>
  </si>
  <si>
    <t>https://en.wikipedia.org/wiki/Pennsylvania_Railroad_class_B1_(electric)</t>
  </si>
  <si>
    <t>https://en.wikipedia.org/wiki/Siemens_E40_AG-V1</t>
  </si>
  <si>
    <t>https://en.wikipedia.org/wiki/China_Railways_SS6</t>
  </si>
  <si>
    <t>https://zh.wikipedia.org/wiki/%E9%9F%B6%E5%B1%B13%E5%9E%8B%E9%9B%BB%E5%8A%9B%E6%A9%9F%E8%BB%8A</t>
  </si>
  <si>
    <t>https://en.wikipedia.org/wiki/China_Railways_HXD3</t>
  </si>
  <si>
    <t>https://en.wikipedia.org/wiki/China_Railways_HXD1D</t>
  </si>
  <si>
    <t>https://en.wikipedia.org/wiki/China_Railways_6K</t>
  </si>
  <si>
    <t>https://en.wikipedia.org/wiki/Pennsylvania_Railroad_class_E44</t>
  </si>
  <si>
    <t>https://en.wikipedia.org/wiki/J%C5%BD_series_441</t>
  </si>
  <si>
    <t>https://hu.wikipedia.org/wiki/M%C3%81V_V43_sorozat</t>
  </si>
  <si>
    <t>https://en.wikipedia.org/wiki/CP_Class_2500</t>
  </si>
  <si>
    <t>https://en.wikipedia.org/wiki/CP_Class_2600</t>
  </si>
  <si>
    <t>https://en.wikipedia.org/wiki/South_African_Class_20E</t>
  </si>
  <si>
    <t>https://en.wikipedia.org/wiki/Korail_Class_8200</t>
  </si>
  <si>
    <t>https://en.wikipedia.org/wiki/DS3_(locomotive)</t>
  </si>
  <si>
    <t>https://de.wikipedia.org/wiki/%C4%8CSD-Baureihe_S_499.0</t>
  </si>
  <si>
    <t>https://fr.wikipedia.org/wiki/FS_E.491_-_FS_E.492</t>
  </si>
  <si>
    <t>https://sh.wikipedia.org/wiki/J%C5%BD_serija_461</t>
  </si>
  <si>
    <t>https://fr.wikipedia.org/wiki/BB_1600</t>
  </si>
  <si>
    <t>https://en.wikipedia.org/wiki/British_Rail_Class_85</t>
  </si>
  <si>
    <t>https://en.wikipedia.org/wiki/GE_E60#Ferrocarriles_Nacionales_de_M%C3%A9xico</t>
  </si>
  <si>
    <t>https://de.wikipedia.org/wiki/Alstom_Prima#Export_nach_Marokko</t>
  </si>
  <si>
    <t>https://en.wikipedia.org/wiki/New_Zealand_EA_class_locomotive</t>
  </si>
  <si>
    <t>https://en.wikipedia.org/wiki/GMD_GF6C</t>
  </si>
  <si>
    <t>https://en.wikipedia.org/wiki/SNCF_Class_BB_26000</t>
  </si>
  <si>
    <t>https://en.wikipedia.org/wiki/SNCF_Class_BB_22200</t>
  </si>
  <si>
    <t>https://en.wikipedia.org/wiki/SNCF_Class_BB_25500</t>
  </si>
  <si>
    <t>https://en.wikipedia.org/wiki/EuroSprinter#ES_64_U_(Taurus)</t>
  </si>
  <si>
    <t>https://en.wikipedia.org/wiki/JR_Freight_Class_EH500</t>
  </si>
  <si>
    <t>https://en.wikipedia.org/wiki/EMD_AEM-7</t>
  </si>
  <si>
    <t>https://en.wikipedia.org/wiki/Bombardier%E2%80%93Alstom_HHP-8</t>
  </si>
  <si>
    <t>https://en.wikipedia.org/wiki/%C4%8CD_Class_380</t>
  </si>
  <si>
    <t>https://en.wikipedia.org/wiki/Renfe_Class_252</t>
  </si>
  <si>
    <t>https://de.wikipedia.org/wiki/Bombardier_Traxx</t>
  </si>
  <si>
    <t>https://de.wikipedia.org/wiki/FS_E.550</t>
  </si>
  <si>
    <t>https://en.wikipedia.org/wiki/JNR_Class_EF81</t>
  </si>
  <si>
    <t>https://en.wikipedia.org/wiki/British_Rail_Class_92</t>
  </si>
  <si>
    <t>https://en.wikipedia.org/wiki/Siemens_ACS-64</t>
  </si>
  <si>
    <t>https://en.wikipedia.org/wiki/SNCF_CC_40100</t>
  </si>
  <si>
    <t>https://en.wikipedia.org/wiki/Belgian_Railways_Class_13</t>
  </si>
  <si>
    <t>https://en.wikipedia.org/wiki/Silver_City_Comet</t>
  </si>
  <si>
    <t>https://sk.wikipedia.org/wiki/Motorov%C3%BD_voze%C5%88_M131.1</t>
  </si>
  <si>
    <t>https://de.wikipedia.org/wiki/DB-Baureihe_VT_08</t>
  </si>
  <si>
    <t>https://en.wikipedia.org/wiki/South_Australian_Railways_Redhen_railcar</t>
  </si>
  <si>
    <t>https://ja.wikipedia.org/wiki/%E8%A5%BF%E3%83%89%E3%82%A4%E3%83%84%E5%9B%BD%E9%89%84VT11.5%E5%9E%8B%E6%B0%97%E5%8B%95%E8%BB%8A#VT11.5%E5%BD%A2_%E2%86%92_601%E5%BD%A2</t>
  </si>
  <si>
    <t>https://nl.wikipedia.org/wiki/Plan_U</t>
  </si>
  <si>
    <t>https://en.wikipedia.org/wiki/UAC_TurboTrain</t>
  </si>
  <si>
    <t>https://de.wikipedia.org/wiki/DR_137_153_%E2%80%A6_234</t>
  </si>
  <si>
    <t>https://en.wikipedia.org/wiki/British_Rail_Class_43_(HST)</t>
  </si>
  <si>
    <t>https://en.wikipedia.org/wiki/LRC_(train)</t>
  </si>
  <si>
    <t>https://en.wikipedia.org/wiki/DSB_Class_MF#Y2</t>
  </si>
  <si>
    <t>https://es.wikipedia.org/wiki/Serie_594_de_Renfe</t>
  </si>
  <si>
    <t>https://en.wikipedia.org/wiki/British_Rail_Class_168</t>
  </si>
  <si>
    <t>https://en.wikipedia.org/wiki/DBAG_Class_612</t>
  </si>
  <si>
    <t>https://de.wikipedia.org/wiki/DB-Baureihe_642</t>
  </si>
  <si>
    <t>https://en.wikipedia.org/wiki/Alstom_Coradia_LINT</t>
  </si>
  <si>
    <t>https://en.wikipedia.org/wiki/Norske_Tog_Class_93</t>
  </si>
  <si>
    <t>https://en.wikipedia.org/wiki/Transwa_WDA/WDB/WDC_class</t>
  </si>
  <si>
    <t>https://en.wikipedia.org/wiki/New_South_Wales_Hunter_railcar</t>
  </si>
  <si>
    <t>https://ru.wikipedia.org/wiki/%D0%A0%D0%902</t>
  </si>
  <si>
    <t>https://en.wikipedia.org/wiki/IC4</t>
  </si>
  <si>
    <t>https://hr.wikipedia.org/wiki/H%C5%BD_serija_7022</t>
  </si>
  <si>
    <t>https://en.wikipedia.org/wiki/TCDD_MT5500</t>
  </si>
  <si>
    <t>https://cs.wikipedia.org/wiki/Motorov%C3%A1_jednotka_814</t>
  </si>
  <si>
    <t>https://en.wikipedia.org/wiki/British_Rail_Class_150</t>
  </si>
  <si>
    <t>https://en.wikipedia.org/wiki/British_Rail_Class_141</t>
  </si>
  <si>
    <t>https://en.wikipedia.org/wiki/DSB_Class_MF</t>
  </si>
  <si>
    <t>https://en.wikipedia.org/wiki/3000_class_railcar</t>
  </si>
  <si>
    <t>https://en.wikipedia.org/wiki/New_South_Wales_Xplorer</t>
  </si>
  <si>
    <t>https://en.wikipedia.org/wiki/KiHa_189_series</t>
  </si>
  <si>
    <t>https://en.wikipedia.org/wiki/Sri_Lanka_Railways_S11#Current_fleet_specifications</t>
  </si>
  <si>
    <t>https://sk.wikipedia.org/wiki/Motorov%C3%A1_jednotka_861</t>
  </si>
  <si>
    <t>https://es.wikipedia.org/wiki/Serie_593_de_Renfe</t>
  </si>
  <si>
    <t>https://fr.wikipedia.org/wiki/Camrail</t>
  </si>
  <si>
    <t>https://en.wikipedia.org/wiki/Blue_Pullmans</t>
  </si>
  <si>
    <t>https://en.wikipedia.org/wiki/ADK/ADB_class_diesel_multiple_unit</t>
  </si>
  <si>
    <t>https://fr.wikipedia.org/wiki/X_4630</t>
  </si>
  <si>
    <t>https://en.wikipedia.org/wiki/SNCF_Class_T_2000</t>
  </si>
  <si>
    <t>https://nl.wikipedia.org/wiki/Wadloper_(spoorwegmaterieel)</t>
  </si>
  <si>
    <t>https://en.wikipedia.org/wiki/DB_Class_628</t>
  </si>
  <si>
    <t>https://fr.wikipedia.org/wiki/AMG_800#Variantes</t>
  </si>
  <si>
    <t>https://www.cccme.cn/products/detail-8157914.aspx</t>
  </si>
  <si>
    <t>https://www.railtram.com.au/diesel-tilt-train</t>
  </si>
  <si>
    <t>https://ja.wikipedia.org/wiki/%E6%97%A5%E6%9C%AC%E8%BB%8A%E8%BC%8C%E8%A3%BD%E9%80%A0%E8%A3%BD%E5%8C%97%E3%82%A2%E3%83%A1%E3%83%AA%E3%82%AB%E5%90%91%E3%81%91%E6%B0%97%E5%8B%95%E8%BB%8A</t>
  </si>
  <si>
    <t>https://en.wikipedia.org/wiki/Materfer_CMM_400-2</t>
  </si>
  <si>
    <t>https://it.wikipedia.org/wiki/Automotrici_FS_ALn_442-448</t>
  </si>
  <si>
    <t>https://pt.wikipedia.org/wiki/S%C3%A9rie_0400_da_CP</t>
  </si>
  <si>
    <t>https://pt.wikipedia.org/wiki/S%C3%A9rie_0600/0650_da_CP</t>
  </si>
  <si>
    <t>ID_RANGE_CARGOEMU</t>
  </si>
  <si>
    <t>Cargo EMU</t>
  </si>
  <si>
    <t>https://es.wikipedia.org/wiki/Serie_524_de_Renfe</t>
  </si>
  <si>
    <t>https://en.wikipedia.org/wiki/Windhoff_CargoSprinter</t>
  </si>
  <si>
    <t>https://en.wikipedia.org/wiki/Sydney_Trains_A_and_B_sets</t>
  </si>
  <si>
    <t>https://da.wikipedia.org/wiki/S-tog_(2._generation)</t>
  </si>
  <si>
    <t>https://da.wikipedia.org/wiki/Litra_SE</t>
  </si>
  <si>
    <t>https://it.wikipedia.org/wiki/Elettromotrice_SRFN_ECD</t>
  </si>
  <si>
    <t>https://nl.wikipedia.org/wiki/Mat_%2724</t>
  </si>
  <si>
    <t>https://nl.wikipedia.org/wiki/Mat_%2736</t>
  </si>
  <si>
    <t>https://nl.wikipedia.org/wiki/Mat_%2754</t>
  </si>
  <si>
    <t>https://nl.wikipedia.org/wiki/Stadsgewestelijk_Materieel</t>
  </si>
  <si>
    <t>https://nl.wikipedia.org/wiki/Intercitymaterieel</t>
  </si>
  <si>
    <t>https://en.wikipedia.org/wiki/NS_VIRM</t>
  </si>
  <si>
    <t>https://pl.wikipedia.org/wiki/EW90</t>
  </si>
  <si>
    <t>https://en.wikipedia.org/wiki/FS_Class_ETR_200</t>
  </si>
  <si>
    <t>https://nl.wikipedia.org/wiki/MDDM</t>
  </si>
  <si>
    <t>https://en.wikipedia.org/wiki/FS_Class_ETR_300</t>
  </si>
  <si>
    <t>https://en.wikipedia.org/wiki/FS_Class_ETR_500</t>
  </si>
  <si>
    <t>https://en.wikipedia.org/wiki/Treno_ad_alta_frequentazione</t>
  </si>
  <si>
    <t>https://fr.wikipedia.org/wiki/ONCF_ZMC</t>
  </si>
  <si>
    <t>https://pl.wikipedia.org/wiki/EW54</t>
  </si>
  <si>
    <t>https://it.wikipedia.org/wiki/Automotrici_FS_ALe_801_e_ALe_940</t>
  </si>
  <si>
    <t>https://de.wikipedia.org/wiki/%C3%96BB_4030</t>
  </si>
  <si>
    <t>https://de.wikipedia.org/wiki/BB%C3%96_ET_10</t>
  </si>
  <si>
    <t>https://en.wikipedia.org/wiki/Stadler_KISS</t>
  </si>
  <si>
    <t>https://de.wikipedia.org/wiki/DB-Baureihe_420</t>
  </si>
  <si>
    <t>https://no.wikipedia.org/wiki/Type_73_(motorvognsett)</t>
  </si>
  <si>
    <t>https://no.wikipedia.org/wiki/Type_65_(motorvognsett)</t>
  </si>
  <si>
    <t>https://sv.wikipedia.org/wiki/X2_(t%C3%A5g)</t>
  </si>
  <si>
    <t>https://de.wikipedia.org/wiki/SBB_RABDe_12/12</t>
  </si>
  <si>
    <t>https://en.wikipedia.org/wiki/SBB_RBDe_560</t>
  </si>
  <si>
    <t>https://de.wikipedia.org/wiki/Stadler_Flirt</t>
  </si>
  <si>
    <t>https://en.wikipedia.org/wiki/Budd_Metroliner</t>
  </si>
  <si>
    <t>https://en.wikipedia.org/wiki/ICE_3</t>
  </si>
  <si>
    <t>https://en.wikipedia.org/wiki/Siemens_Desiro#Bulgaria</t>
  </si>
  <si>
    <t>https://en.wikipedia.org/wiki/VR_Class_Sm2</t>
  </si>
  <si>
    <t>https://sv.wikipedia.org/wiki/Sm4</t>
  </si>
  <si>
    <t>https://hu.wikipedia.org/wiki/BDVmot</t>
  </si>
  <si>
    <t>https://en.wikipedia.org/wiki/0_Series_Shinkansen</t>
  </si>
  <si>
    <t>https://en.wikipedia.org/wiki/700_Series_Shinkansen</t>
  </si>
  <si>
    <t>https://fr.wikipedia.org/wiki/CFL_s%C3%A9rie_2200</t>
  </si>
  <si>
    <t>https://en.wikipedia.org/wiki/%C5%BDS_series_412</t>
  </si>
  <si>
    <t>https://fr.wikipedia.org/wiki/Z_6100</t>
  </si>
  <si>
    <t>https://en.wikipedia.org/wiki/Gautrain</t>
  </si>
  <si>
    <t>https://tr.wikipedia.org/wiki/TCDD_E8000</t>
  </si>
  <si>
    <t>https://en.wikipedia.org/wiki/China_Railway_CRH380A</t>
  </si>
  <si>
    <t>https://en.wikipedia.org/wiki/PRR_MP54</t>
  </si>
  <si>
    <t>https://en.wikipedia.org/wiki/AGV_(train)</t>
  </si>
  <si>
    <t>https://en.wikipedia.org/wiki/Avelia_Horizon</t>
  </si>
  <si>
    <t>https://nl.wikipedia.org/wiki/V250</t>
  </si>
  <si>
    <t>https://de.wikipedia.org/wiki/SBB_RAe_TEE_II</t>
  </si>
  <si>
    <t>https://en.wikipedia.org/wiki/Erie_Lackawanna_MU_Cars</t>
  </si>
  <si>
    <t>NS 4800 HSA 'Fyra'</t>
  </si>
  <si>
    <t>https://en.wikipedia.org/wiki/SNCF_TGV_Sud-Est</t>
  </si>
  <si>
    <t>https://en.wikipedia.org/wiki/TGV_Duplex</t>
  </si>
  <si>
    <t>https://en.wikipedia.org/wiki/PBKA</t>
  </si>
  <si>
    <t>https://en.wikipedia.org/wiki/%C4%8CD_Class_680</t>
  </si>
  <si>
    <t>https://es.wikipedia.org/wiki/Serie_120_de_Renfe</t>
  </si>
  <si>
    <t>https://en.wikipedia.org/wiki/Acela_Express_(trainset)</t>
  </si>
  <si>
    <t>https://en.wikipedia.org/wiki/Shanghai_maglev_train</t>
  </si>
  <si>
    <t>https://en.wikipedia.org/wiki/L0_Series</t>
  </si>
  <si>
    <t>https://ja.wikipedia.org/wiki/%E5%B0%8F%E7%94%B0%E6%80%A53100%E5%BD%A2%E9%9B%BB%E8%BB%8A#%E7%B7%A8%E6%88%90%E8%A1%A8</t>
  </si>
  <si>
    <t>https://ja.wikipedia.org/wiki/%E5%B0%8F%E7%94%B0%E6%80%A510000%E5%BD%A2%E9%9B%BB%E8%BB%8A</t>
  </si>
  <si>
    <t>https://en.wikipedia.org/wiki/New_South_Wales_S_set</t>
  </si>
  <si>
    <t>https://en.wikipedia.org/wiki/New_South_Wales_H_set</t>
  </si>
  <si>
    <t>https://en.wikipedia.org/wiki/Swing_Door_(train)</t>
  </si>
  <si>
    <t>https://en.wikipedia.org/wiki/New_Zealand_EM_class_electric_multiple_unit</t>
  </si>
  <si>
    <t>https://en.wikipedia.org/wiki/South_African_Class_5M2</t>
  </si>
  <si>
    <t>https://en.wikipedia.org/wiki/X%27Trapolis_100</t>
  </si>
  <si>
    <t>https://en.wikipedia.org/wiki/AES_Railcar</t>
  </si>
  <si>
    <t>https://en.wikipedia.org/wiki/Electric_Tilt_Train</t>
  </si>
  <si>
    <t>https://en.wikipedia.org/wiki/ER200</t>
  </si>
  <si>
    <t>https://ru.wikipedia.org/wiki/%D0%A1_(%D1%8D%D0%BB%D0%B5%D0%BA%D1%82%D1%80%D0%BE%D0%BF%D0%BE%D0%B5%D0%B7%D0%B4)</t>
  </si>
  <si>
    <t>https://en.wikipedia.org/wiki/H%C5%BD_series_6112</t>
  </si>
  <si>
    <t>https://en.wikipedia.org/wiki/Lastochka</t>
  </si>
  <si>
    <t>https://en.wikipedia.org/wiki/M250_series</t>
  </si>
  <si>
    <t>https://ru.wikipedia.org/wiki/%D0%92%D0%9B15</t>
  </si>
  <si>
    <t>https://ru.wikipedia.org/wiki/%D0%92%D0%9B11</t>
  </si>
  <si>
    <t>https://ru.wikipedia.org/wiki/%D0%92%D0%9B22</t>
  </si>
  <si>
    <t>https://ru.wikipedia.org/wiki/%D0%94%D0%AD1</t>
  </si>
  <si>
    <t>https://ru.wikipedia.org/wiki/%D0%A7%D0%A13</t>
  </si>
  <si>
    <t>https://ru.wikipedia.org/wiki/%D0%A7%D0%A17</t>
  </si>
  <si>
    <t>https://pt.wikipedia.org/wiki/GE_C-C_%28RFFSA%29</t>
  </si>
  <si>
    <t>https://ru.wikipedia.org/wiki/%D0%92%D0%9B85</t>
  </si>
  <si>
    <t>https://ru.wikipedia.org/wiki/%D0%92%D0%9B41</t>
  </si>
  <si>
    <t>https://en.wikipedia.org/wiki/Indian_locomotive_class_WAP-4</t>
  </si>
  <si>
    <t>https://fi.wikipedia.org/wiki/Sr1</t>
  </si>
  <si>
    <t>https://ru.wikipedia.org/wiki/KZ4A</t>
  </si>
  <si>
    <t>https://en.wikipedia.org/wiki/Alstom_KZ8A</t>
  </si>
  <si>
    <t>https://en.wikipedia.org/wiki/EP20</t>
  </si>
  <si>
    <t>https://en.wikipedia.org/wiki/VR_Class_Dm7</t>
  </si>
  <si>
    <t>https://ru.wikipedia.org/wiki/%D0%90%D0%A72</t>
  </si>
  <si>
    <t>https://en.wikipedia.org/wiki/JR_Shikoku_1000_series</t>
  </si>
  <si>
    <t>https://en.wikipedia.org/wiki/KiHa_E120</t>
  </si>
  <si>
    <t>https://it.wikipedia.org/wiki/Automotrice_FS_ALn_56</t>
  </si>
  <si>
    <t>https://www.derbysulzers.com/argentinadmu1935.html</t>
  </si>
  <si>
    <t>https://de.wikipedia.org/wiki/AG_CFe_3/3</t>
  </si>
  <si>
    <t>http://www.railfaneurope.net/list/switzerland_mvr.html</t>
  </si>
  <si>
    <t>https://es.wikipedia.org/wiki/Ferrocarril_de_S%C3%B3ller</t>
  </si>
  <si>
    <t>https://en.wikipedia.org/wiki/Choshi_Electric_Railway_1000_series</t>
  </si>
  <si>
    <t>https://en.wikipedia.org/wiki/Landquart-Davos_G_3/4</t>
  </si>
  <si>
    <t>https://en.wikipedia.org/wiki/JNR_Class_E10</t>
  </si>
  <si>
    <t>https://en.wikipedia.org/wiki/JGR_Class_7100</t>
  </si>
  <si>
    <t>https://en.wikipedia.org/wiki/JGR_Class_860</t>
  </si>
  <si>
    <t>https://en.wikipedia.org/wiki/JNR_Class_9600</t>
  </si>
  <si>
    <t>https://en.wikipedia.org/wiki/JNR_Class_D50</t>
  </si>
  <si>
    <t>https://en.wikipedia.org/wiki/JNR_Class_DF50</t>
  </si>
  <si>
    <t>https://de.wikipedia.org/wiki/BB_Fe_2/2</t>
  </si>
  <si>
    <t>https://en.wikipedia.org/wiki/JNR_Class_EH10</t>
  </si>
  <si>
    <t>https://en.wikipedia.org/wiki/JNR_Class_EF64</t>
  </si>
  <si>
    <t>https://en.wikipedia.org/wiki/NZR_EO_class_(1923)</t>
  </si>
  <si>
    <t>https://en.wikipedia.org/wiki/Victorian_Railways_W_class#New_South_Wales_71_class_locomotive</t>
  </si>
  <si>
    <t>https://en.wikipedia.org/wiki/South_African_Class_4E</t>
  </si>
  <si>
    <t>https://en.wikipedia.org/wiki/South_African_Class_5E1,_Series_1</t>
  </si>
  <si>
    <t>https://en.wikipedia.org/wiki/South_African_Class_6E</t>
  </si>
  <si>
    <t>https://en.wikipedia.org/wiki/South_African_Class_7E</t>
  </si>
  <si>
    <t>https://en.wikipedia.org/wiki/South_African_Class_11E</t>
  </si>
  <si>
    <t>https://de.wikipedia.org/wiki/RhB_Ge_4/4_I</t>
  </si>
  <si>
    <t>https://de.wikipedia.org/wiki/RhB_Ge_6/6_I</t>
  </si>
  <si>
    <t>https://en.wikipedia.org/wiki/New_Zealand_EF_class_locomotive</t>
  </si>
  <si>
    <t>https://en.wikipedia.org/wiki/BU_cars_(New_York_City_Subway_car)</t>
  </si>
  <si>
    <t>https://hu.wikipedia.org/wiki/Siemens_&amp;_Halske_motorkocsi</t>
  </si>
  <si>
    <t>https://www.chicago-l.org/trains/roster/woods.html</t>
  </si>
  <si>
    <t>https://de.wikipedia.org/wiki/BVG-Baureihe_C</t>
  </si>
  <si>
    <t>Count of VEHIDCODE</t>
  </si>
  <si>
    <t>INTRO_20YR</t>
  </si>
  <si>
    <t>REGION_CONC</t>
  </si>
  <si>
    <t>TRUE</t>
  </si>
  <si>
    <t>https://www.loco-info.com/view.aspx?id=17041&amp;t=Class&amp;cookies=decline</t>
  </si>
  <si>
    <t>https://loco-info.com/view.aspx?id=17943&amp;t=Country&amp;cookies=decline</t>
  </si>
  <si>
    <t>https://loco-info.com/view.aspx?id=17916&amp;cookies=decline</t>
  </si>
  <si>
    <t>https://en.wikipedia.org/wiki/DRB_Class_52</t>
  </si>
  <si>
    <t>https://en.wikipedia.org/wiki/DR_18_201</t>
  </si>
  <si>
    <t>https://en.wikipedia.org/wiki/Prussian_T_14</t>
  </si>
  <si>
    <t>https://en.wikipedia.org/wiki/%C3%89tat_140-101_to_140-370</t>
  </si>
  <si>
    <t>https://en.wikipedia.org/wiki/SJ_F_(steam_locomotive)</t>
  </si>
  <si>
    <t>https://de.wikipedia.org/wiki/Klasse_1%E2%80%99D_Liberation</t>
  </si>
  <si>
    <t>https://rixke.tassignon.be/spip.php?article814</t>
  </si>
  <si>
    <t>https://en.wikipedia.org/wiki/GE_U20C</t>
  </si>
  <si>
    <t>https://rixke.tassignon.be/spip.php?article795</t>
  </si>
  <si>
    <t>https://rixke.tassignon.be/spip.php?article760</t>
  </si>
  <si>
    <t>http://www.railetindustrie.com/RI61abstract.pdf</t>
  </si>
  <si>
    <t>https://en.wikipedia.org/wiki/EMD_GT22_Series#GT22LC-2</t>
  </si>
  <si>
    <t>https://www.railvolution.net/news/new-locomotives-for-tanzania</t>
  </si>
  <si>
    <t>Brooklyn Union Gate 1300</t>
  </si>
  <si>
    <t>Brooklyn Union Gate Elevated</t>
  </si>
  <si>
    <t>COUNTS</t>
  </si>
  <si>
    <t>7th Gen Boxcar [Food]</t>
  </si>
  <si>
    <t>7th Gen Self-discharging Hopper [Food]</t>
  </si>
  <si>
    <t>7th Gen Silo [Food]</t>
  </si>
  <si>
    <t>2nd Gen Wooden Box Van [Food]</t>
  </si>
  <si>
    <t>3rd Gen Wooden Boxcar [Food]</t>
  </si>
  <si>
    <t>3rd Gen Silo [Food]</t>
  </si>
  <si>
    <t>4th Gen Boxcar [Food]</t>
  </si>
  <si>
    <t>4th Gen Silo [Food]</t>
  </si>
  <si>
    <t>4th Gen Self-discharging Hopper [Food]</t>
  </si>
  <si>
    <t>5th Gen Boxcar [Food]</t>
  </si>
  <si>
    <t>5th Gen Silo [Food]</t>
  </si>
  <si>
    <t>5th Gen Self-discharging Hopper [Food]</t>
  </si>
  <si>
    <t>6th Gen Boxcar [Food]</t>
  </si>
  <si>
    <t>6th Gen Silo [Food]</t>
  </si>
  <si>
    <t>6th Gen Self-discharging Hopper [Food]</t>
  </si>
  <si>
    <t>7th Gen Boxcar [Non-Food]</t>
  </si>
  <si>
    <t>7th Gen Self-discharging Hopper [Non-Food]</t>
  </si>
  <si>
    <t>7th Gen Silo [Non-Food]</t>
  </si>
  <si>
    <t>2nd Gen Wooden Box Van [Non-Food]</t>
  </si>
  <si>
    <t>3rd Gen Wooden Boxcar [Non-Food]</t>
  </si>
  <si>
    <t>3rd Gen Silo [Non-Food]</t>
  </si>
  <si>
    <t>4th Gen Boxcar [Non-Food]</t>
  </si>
  <si>
    <t>4th Gen Silo [Non-Food]</t>
  </si>
  <si>
    <t>4th Gen Self-discharging Hopper [Non-Food]</t>
  </si>
  <si>
    <t>5th Gen Boxcar [Non-Food]</t>
  </si>
  <si>
    <t>5th Gen Silo [Non-Food]</t>
  </si>
  <si>
    <t>5th Gen Self-discharging Hopper [Non-Food]</t>
  </si>
  <si>
    <t>6th Gen Boxcar [Non-Food]</t>
  </si>
  <si>
    <t>6th Gen Silo [Non-Food]</t>
  </si>
  <si>
    <t>6th Gen Self-discharging Hopper [Non-Food]</t>
  </si>
  <si>
    <t>FCGR [BAGS] No. 315 2-4-0T</t>
  </si>
  <si>
    <t>ROSTER</t>
  </si>
  <si>
    <t>MAV 377</t>
  </si>
  <si>
    <t>CIE 113</t>
  </si>
  <si>
    <t>KkStB 4.0</t>
  </si>
  <si>
    <t>PURCHASECOST_MAGLEVENGINE_VALUE</t>
  </si>
  <si>
    <t>RUNNINGCOST_MAGLEVENGINE_VALUE</t>
  </si>
  <si>
    <t>MAGLEVENGINE</t>
  </si>
  <si>
    <t>ID_RANGE_MAGLEV</t>
  </si>
  <si>
    <t>Maglev</t>
  </si>
  <si>
    <t>mu_Wagon_Gen2_Livestock_Van</t>
  </si>
  <si>
    <t>mu_Wagon_Gen3_Livestock_Van</t>
  </si>
  <si>
    <t>mu_Wagon_Gen4_Livestock_Van</t>
  </si>
  <si>
    <t>mu_Wagon_Gen5_Livestock_Van</t>
  </si>
  <si>
    <t>mu_Wagon_Gen6_Livestock_Van</t>
  </si>
  <si>
    <t>mu_Wagon_Gen1_Livestock_Van</t>
  </si>
  <si>
    <t>1st Gen Livestock Van</t>
  </si>
  <si>
    <t>2nd Gen Livestock Van</t>
  </si>
  <si>
    <t>3rd Gen Livestock Van</t>
  </si>
  <si>
    <t>4th Gen Livestock Van</t>
  </si>
  <si>
    <t>5th Gen Livestock Van</t>
  </si>
  <si>
    <t>6th Gen Livestock Van</t>
  </si>
  <si>
    <t>7th Gen Livestock Van</t>
  </si>
  <si>
    <t>LIVESTOCK</t>
  </si>
  <si>
    <t>https://hu.wikipedia.org/wiki/M%C3%81V_V63_sorozat</t>
  </si>
  <si>
    <t>TRC E6800</t>
  </si>
  <si>
    <t>UGOFE GM-EMD J16CW/AC</t>
  </si>
  <si>
    <t>'CityNightLine' Sleeper</t>
  </si>
  <si>
    <t>'Trans Euro Night' Sleeper</t>
  </si>
  <si>
    <t>mu_Coach_Gen5_CityNightLine_Sleeper</t>
  </si>
  <si>
    <t>mu_Coach_Gen4_Trans_Euro_Night_Sleeper</t>
  </si>
  <si>
    <t>https://en.wikipedia.org/wiki/London_Underground_1992_Stock</t>
  </si>
  <si>
    <t>https://en.wikipedia.org/wiki/London_Underground_S7_and_S8_Stock</t>
  </si>
  <si>
    <t>mglv_Wagon_Gen7M_Livestock_Van</t>
  </si>
  <si>
    <t>https://en.wikipedia.org/wiki/London_Underground_1972_Stock</t>
  </si>
  <si>
    <t>https://en.wikipedia.org/wiki/London_Underground_1959_Stock</t>
  </si>
  <si>
    <t>IS_STANDARD</t>
  </si>
  <si>
    <t>IS_NARROW</t>
  </si>
  <si>
    <t>IS_BROAD</t>
  </si>
  <si>
    <t>GAUGE</t>
  </si>
  <si>
    <t>https://en.wikipedia.org/wiki/Kawasaki_Heavy_Industries_C151</t>
  </si>
  <si>
    <t>https://en.wikipedia.org/wiki/Kawasaki_Heavy_Industries_%26_Nippon_Sharyo_C751B</t>
  </si>
  <si>
    <t>Comeng Light Metro Prototype</t>
  </si>
  <si>
    <t>https://en.wikipedia.org/wiki/Comeng_(train)</t>
  </si>
  <si>
    <t>Comeng EMU</t>
  </si>
  <si>
    <t>https://en.wikipedia.org/wiki/High_Capacity_Metro_Train</t>
  </si>
  <si>
    <t>https://en.wikipedia.org/wiki/DR_Class_130_family#DR_Class_130_/_DBAG_Class_230</t>
  </si>
  <si>
    <t>https://en.wikipedia.org/wiki/GE_AC6000CW</t>
  </si>
  <si>
    <t>https://en.wikipedia.org/wiki/Hitachi_(Australian_train)</t>
  </si>
  <si>
    <t>https://en.wikipedia.org/wiki/Harris_(train)</t>
  </si>
  <si>
    <t>https://en.wikipedia.org/wiki/Siemens_Nexas</t>
  </si>
  <si>
    <t>https://en.wikipedia.org/wiki/Tait_(train)</t>
  </si>
  <si>
    <t>https://en.wikipedia.org/wiki/BVG_Class_F</t>
  </si>
  <si>
    <t>https://en.wikipedia.org/wiki/BVG_Class_H</t>
  </si>
  <si>
    <t>https://de.wikipedia.org/wiki/LB%26SCR-Klasse_A1</t>
  </si>
  <si>
    <t>https://en.wikipedia.org/wiki/New_South_Wales_C30_class_locomotive</t>
  </si>
  <si>
    <t>https://en.wikipedia.org/wiki/New_South_Wales_C32_class_locomotive</t>
  </si>
  <si>
    <t>https://en.wikipedia.org/wiki/New_South_Wales_D50_class_locomotive</t>
  </si>
  <si>
    <t>https://en.wikipedia.org/wiki/New_South_Wales_Z12_class_locomotive</t>
  </si>
  <si>
    <t>https://en.wikipedia.org/wiki/New_South_Wales_Z19_class_locomotive</t>
  </si>
  <si>
    <t>https://en.wikipedia.org/wiki/New_South_Wales_Z26_class_locomotive</t>
  </si>
  <si>
    <t>https://en.wikipedia.org/wiki/GCR_Class_8K</t>
  </si>
  <si>
    <t>https://en.wikipedia.org/wiki/South_Australian_Railways_600_class_(steam)</t>
  </si>
  <si>
    <t>https://en.wikipedia.org/wiki/South_Maitland_Railways_10_Class</t>
  </si>
  <si>
    <t>Victorian Railways H</t>
  </si>
  <si>
    <t>https://en.wikipedia.org/wiki/Victorian_Railways_H_class</t>
  </si>
  <si>
    <t>https://en.wikipedia.org/wiki/New_South_Wales_41_class_locomotive</t>
  </si>
  <si>
    <t>https://en.wikipedia.org/wiki/New_South_Wales_48_class_locomotive</t>
  </si>
  <si>
    <t>https://en.wikipedia.org/wiki/Commonwealth_Railways_GM_class</t>
  </si>
  <si>
    <t>https://en.wikipedia.org/wiki/V/Line_A_class</t>
  </si>
  <si>
    <t>https://en.wikipedia.org/wiki/New_South_Wales_42_class_locomotive</t>
  </si>
  <si>
    <t>https://en.wikipedia.org/wiki/Australian_National_DL_class</t>
  </si>
  <si>
    <t>https://en.wikipedia.org/wiki/Queensland_Railways_3500/3600_class</t>
  </si>
  <si>
    <t>https://en.wikipedia.org/wiki/New_South_Wales_90_class_locomotive</t>
  </si>
  <si>
    <t>https://en.wikipedia.org/wiki/V/Line_N_class</t>
  </si>
  <si>
    <t>https://en.wikipedia.org/wiki/New_South_Wales_81_class_locomotive</t>
  </si>
  <si>
    <t>https://en.wikipedia.org/wiki/New_South_Wales_82_class_locomotive</t>
  </si>
  <si>
    <t>https://en.wikipedia.org/wiki/GML10</t>
  </si>
  <si>
    <t>https://en.wikipedia.org/wiki/Westrail_S_class</t>
  </si>
  <si>
    <t>https://en.wikipedia.org/wiki/Victorian_Railways_B_class_(diesel)</t>
  </si>
  <si>
    <t>https://en.wikipedia.org/wiki/Victorian_Railways_X_class_(diesel)#Status_table</t>
  </si>
  <si>
    <t>https://en.wikipedia.org/wiki/New_South_Wales_80_class_locomotive</t>
  </si>
  <si>
    <t>https://en.wikipedia.org/wiki/New_South_Wales_85_class_locomotive</t>
  </si>
  <si>
    <t>https://en.wikipedia.org/wiki/DSB_Class_MZ#MZ_III</t>
  </si>
  <si>
    <t>https://en.wikipedia.org/wiki/Queensland_Railways_2170_class</t>
  </si>
  <si>
    <t>https://en.wikipedia.org/wiki/Tasmanian_Government_Railways_Z_class</t>
  </si>
  <si>
    <t>https://en.wikipedia.org/wiki/Queensland_Railways_2350_class</t>
  </si>
  <si>
    <t>https://en.wikipedia.org/wiki/New_Zealand_DX_class_locomotive</t>
  </si>
  <si>
    <t>https://en.wikipedia.org/wiki/New_South_Wales_46_class_locomotive</t>
  </si>
  <si>
    <t>https://en.wikipedia.org/wiki/New_South_Wales_40_class_locomotive</t>
  </si>
  <si>
    <t>https://en.wikipedia.org/wiki/New_South_Wales_49_class_locomotive</t>
  </si>
  <si>
    <t>https://en.wikipedia.org/wiki/New_Zealand_DA_class_locomotive</t>
  </si>
  <si>
    <t>https://en.wikipedia.org/wiki/New_South_Wales_47_class_locomotive</t>
  </si>
  <si>
    <t>https://pt.wikipedia.org/wiki/Baroneza_%28locomotiva%29</t>
  </si>
  <si>
    <t>https://www.steamlocomotive.com/locobase.php?country=Argentina&amp;wheel=0-4-0&amp;railroad=baw</t>
  </si>
  <si>
    <t>https://www.steamlocomotive.com/locobase.php?country=Brazil&amp;wheel=2-10-0&amp;railroad=dps</t>
  </si>
  <si>
    <t>https://www.railwaysofthefarsouth.co.uk/Resources/Peruvian%20standard%20gauge%20steam%20loco%20list.pdf</t>
  </si>
  <si>
    <t>https://locomotive.fandom.com/wiki/FCCA_Class_PS10</t>
  </si>
  <si>
    <t>https://loco-info.com/view.aspx?id=17891&amp;cookies=decline</t>
  </si>
  <si>
    <t>https://pt.wikipedia.org/wiki/Winterthur-BBC_1-D-1</t>
  </si>
  <si>
    <t>COST_VALUE_TYPE</t>
  </si>
  <si>
    <t>GE 2-C+C-2</t>
  </si>
  <si>
    <t>https://en.wikipedia.org/wiki/GE_2-C%2BC-2</t>
  </si>
  <si>
    <t>https://en.wikipedia.org/wiki/East_London_Harbour_0-4-0VB</t>
  </si>
  <si>
    <t>https://es.wikipedia.org/wiki/Locomotora_Copiap%C3%B3</t>
  </si>
  <si>
    <t>AEG A1A+A1A</t>
  </si>
  <si>
    <t>https://www.ferrolatino.ch/en/reports/costarica/</t>
  </si>
  <si>
    <t>https://loco-info.com/view.aspx?id=10859&amp;cookies=decline</t>
  </si>
  <si>
    <t>https://cdi.mecon.gob.ar/bases/doc/trenrodante/254.pdf</t>
  </si>
  <si>
    <t>https://en.wikipedia.org/wiki/AEZ_Railcar</t>
  </si>
  <si>
    <t>BREL GEC Auckland ART Concept</t>
  </si>
  <si>
    <t>https://en.wikipedia.org/wiki/New_South_Wales_1100_class_railcar</t>
  </si>
  <si>
    <t>ID_RANGE_RBE</t>
  </si>
  <si>
    <t>Thai Comeng XPT Concept</t>
  </si>
  <si>
    <t>https://en.wikipedia.org/wiki/New_South_Wales_XPT</t>
  </si>
  <si>
    <t>Tangara V-Set Hybrid Concept</t>
  </si>
  <si>
    <t>NSWGR 800/900 'DEB'</t>
  </si>
  <si>
    <t>https://en.wikipedia.org/wiki/New_South_Wales_900/800_class_railcar</t>
  </si>
  <si>
    <t>https://en.wikipedia.org/wiki/4D_(train)</t>
  </si>
  <si>
    <t>NSWGR 600/700</t>
  </si>
  <si>
    <t>https://en.wikipedia.org/wiki/Sydney_Trains_T_set</t>
  </si>
  <si>
    <t>https://en.wikipedia.org/wiki/New_South_Wales_600/700_class_railcar</t>
  </si>
  <si>
    <t>https://en.wikipedia.org/wiki/NZR_RM_class_(Silver_Fern)</t>
  </si>
  <si>
    <t>https://en.wikipedia.org/wiki/New_South_Wales_W_set</t>
  </si>
  <si>
    <t>PURCHASECOST_MMU_VALUE</t>
  </si>
  <si>
    <t>RUNNINGCOST_MMU_VALUE</t>
  </si>
  <si>
    <t>MMU</t>
  </si>
  <si>
    <t>ID_RANGE_MMU</t>
  </si>
  <si>
    <t>https://en.wikipedia.org/wiki/New_South_Wales_Standard_suburban_carriage_stock</t>
  </si>
  <si>
    <t>NSWGR 'Tulloch' EMU</t>
  </si>
  <si>
    <t>https://en.wikipedia.org/wiki/New_South_Wales_Tulloch_suburban_carriage_stock</t>
  </si>
  <si>
    <t>https://en.wikipedia.org/wiki/X%27Trapolis_100#Melbourne</t>
  </si>
  <si>
    <t>mu_Coach_Gen1_American_Style_NZAUS_Coach</t>
  </si>
  <si>
    <t>U</t>
  </si>
  <si>
    <t>mu_Coach_Gen1_American_Style_NZAUS_Mail_Coach</t>
  </si>
  <si>
    <t>mu_Coach_Gen1_2_Axle_NZAUS_Coach</t>
  </si>
  <si>
    <t>mu_Coach_Gen1_2_Axle_NZAUS_Mail_Coach</t>
  </si>
  <si>
    <t>Early 2-axle Compartment Coach</t>
  </si>
  <si>
    <t>Early 2-axle Mail Coach</t>
  </si>
  <si>
    <t>mu_Coach_Gen1_End_Platform_2_Axle_NZAUS_Coach</t>
  </si>
  <si>
    <t>mu_Coach_Gen1_Suburban_2_Axle_NZAUS_Coach</t>
  </si>
  <si>
    <t>Early 2-axle End-Platform Coach</t>
  </si>
  <si>
    <t>Early 2-axle Suburban Coach</t>
  </si>
  <si>
    <t>mu_Coach_Gen4_BREL_Mk3_Coach</t>
  </si>
  <si>
    <t>mu_Coach_Gen4_BREL_Mk3_Mail_Coach</t>
  </si>
  <si>
    <t>https://en.wikipedia.org/wiki/British_Rail_Mark_3</t>
  </si>
  <si>
    <t>mu_Coach_Gen4_Comeng_Suburban_Double_Deck_SA2000</t>
  </si>
  <si>
    <t>Comeng SA2000 SDD Concept</t>
  </si>
  <si>
    <t>mu_Coach_Gen4_Gonian_4D_Concept</t>
  </si>
  <si>
    <t>mu_Coach_Gen4_Gonian_Tangara_Concept</t>
  </si>
  <si>
    <t>Tangara V-Set Hybrid Coach Concept</t>
  </si>
  <si>
    <t>mu_Coach_Gen3_Hitachi_Nippon_Sharyo_Silver_Star_Coach</t>
  </si>
  <si>
    <t>NZR Silver Star Coach</t>
  </si>
  <si>
    <t>mu_Coach_Gen3_Hitachi_Nippon_Sharyo_Silver_Star_Mail_Coach</t>
  </si>
  <si>
    <t>NZR Silver Star Mail Coach</t>
  </si>
  <si>
    <t>mu_Coach_Gen3_Comeng_High_Speed_Coach</t>
  </si>
  <si>
    <t>mu_Coach_Gen3_Comeng_High_Speed_Mail_Coach</t>
  </si>
  <si>
    <t>Comeng High Speed Coach</t>
  </si>
  <si>
    <t>Comeng High Speed Mail Coach</t>
  </si>
  <si>
    <t>Comeng-M&amp;K H-Type Suburban Coach</t>
  </si>
  <si>
    <t>mu_Coach_Gen4_Comeng_HType_Suburban_Coach</t>
  </si>
  <si>
    <t>NSWGR 'Tulloch' RUB Coach</t>
  </si>
  <si>
    <t>mu_Coach_Gen3_NSW_Tulloch_RUB_Stock_Coach</t>
  </si>
  <si>
    <t>mu_Coach_Gen3_NSW_Tulloch_RUB_Stock_Mail_Coach</t>
  </si>
  <si>
    <t>NSWGR 'Tulloch' RUB Mail Coach</t>
  </si>
  <si>
    <t>mu_Coach_Gen3_WAGR_AY_Suburban_Coach</t>
  </si>
  <si>
    <t>WAGR AY Suburban Coaches</t>
  </si>
  <si>
    <t>mu_Coach_Gen3_NZR_56ft_Coach</t>
  </si>
  <si>
    <t>mu_Coach_Gen3_NZR_56ft_Mail_Coach</t>
  </si>
  <si>
    <t>NZR 56ft Coach</t>
  </si>
  <si>
    <t>NZR 56ft Mail Coach</t>
  </si>
  <si>
    <t>https://de.wikipedia.org/wiki/WAGR-Nahverkehrswagen_AY_und_AYB</t>
  </si>
  <si>
    <t>https://en.wikipedia.org/wiki/NZR_56-foot_carriage</t>
  </si>
  <si>
    <t>https://en.wikipedia.org/wiki/Silver_Star_(NZR_train)</t>
  </si>
  <si>
    <t>NZR 50ft Coach</t>
  </si>
  <si>
    <t>https://en.wikipedia.org/wiki/NZR_50-foot_carriage</t>
  </si>
  <si>
    <t>mu_Coach_Gen2_NZR_50ft_Coach</t>
  </si>
  <si>
    <t>mu_Coach_Gen2_NZR_50ft_Mail_Coach</t>
  </si>
  <si>
    <t>NZR 50ft Mail Coach</t>
  </si>
  <si>
    <t>mu_Coach_Gen1_NSW_KA_Tram_Car</t>
  </si>
  <si>
    <t>KA Type Tram Car</t>
  </si>
  <si>
    <t>https://www.sydneytramwaymuseum.com.au/tramway/wp-content/uploads/2023/07/143-Trolley-Wire-Dec-1972.pdf</t>
  </si>
  <si>
    <t>https://en.wikipedia.org/wiki/New_South_Wales_86_class_locomotive</t>
  </si>
  <si>
    <t>https://en.wikipedia.org/wiki/New_Zealand_DM_class_electric_multiple_unit</t>
  </si>
  <si>
    <t>https://en.wikipedia.org/wiki/New_Zealand_FP_class_electric_multiple_unit</t>
  </si>
  <si>
    <t>EXCLUDE</t>
  </si>
  <si>
    <t>https://hu.wikipedia.org/wiki/Ganz%E2%80%93Hunslet_G2</t>
  </si>
  <si>
    <t>https://en.wikipedia.org/wiki/Commonwealth_Railways_NSU_class</t>
  </si>
  <si>
    <t>FALSE</t>
  </si>
  <si>
    <t>Grand Total</t>
  </si>
  <si>
    <t>EXCLUDE_READONLY</t>
  </si>
  <si>
    <t>https://en.wikipedia.org/wiki/MTR_SP1900_EMU</t>
  </si>
  <si>
    <t>https://en.wikipedia.org/wiki/China_Railways_HXD2</t>
  </si>
  <si>
    <t>https://en.wikipedia.org/wiki/China_Railways_DF11</t>
  </si>
  <si>
    <t>https://en.wikipedia.org/wiki/China_Railways_SS8</t>
  </si>
  <si>
    <t>https://en.wikipedia.org/wiki/China_Railways_HXD2B</t>
  </si>
  <si>
    <t>https://en.wikipedia.org/wiki/China_Railways_HXD3D</t>
  </si>
  <si>
    <t>https://en.wikipedia.org/wiki/China_Railways_DF4</t>
  </si>
  <si>
    <t>https://en.wikipedia.org/wiki/China_Railways_DF5</t>
  </si>
  <si>
    <t>https://en.wikipedia.org/wiki/China_Railways_JS</t>
  </si>
  <si>
    <t>https://en.wikipedia.org/wiki/China_Railways_RM</t>
  </si>
  <si>
    <t>MAV Ikarus 260</t>
  </si>
  <si>
    <t>https://hu.wikipedia.org/wiki/M%C3%81V_Ikarus_260</t>
  </si>
  <si>
    <t>https://en.wikipedia.org/wiki/EMD_SD40</t>
  </si>
  <si>
    <t>EMD SD70</t>
  </si>
  <si>
    <t>https://en.wikipedia.org/wiki/GE_C30-7</t>
  </si>
  <si>
    <t>https://en.wikipedia.org/wiki/GE_Dash_8-40C</t>
  </si>
  <si>
    <t>https://en.wikipedia.org/wiki/GE_Dash_9-44CW</t>
  </si>
  <si>
    <t>EMD GP40</t>
  </si>
  <si>
    <t>https://en.wikipedia.org/wiki/EMD_GP40</t>
  </si>
  <si>
    <t>https://www.steamlocomotive.com/locobase.php?country=Egypt&amp;wheel=2-6-0&amp;railroad=es</t>
  </si>
  <si>
    <t>https://www.steamlocomotive.com/locobase.php?country=Egypt&amp;wheel=2-2-2&amp;railroad=es</t>
  </si>
  <si>
    <t>https://www.steamlocomotive.com/locobase.php?country=Egypt&amp;wheel=0-6-0&amp;railroad=es</t>
  </si>
  <si>
    <t>https://wiki.openttd.org/en/Manual/Base%20Set/Trains/Lev3%20%27Pegasus%27</t>
  </si>
  <si>
    <t>https://wiki.openttd.org/en/Manual/Base%20Set/MagLev#:~:text=Lev4%20%27-,Chimaera%27,-There%20is%20only</t>
  </si>
  <si>
    <t>mglv_coach_Gen7M_Chimaera_Passenger_Coach</t>
  </si>
  <si>
    <t>mglv_coach_Gen7M_Chimaera_Mail_Coach</t>
  </si>
  <si>
    <t>ID_RANGE_COACHES_MGLV</t>
  </si>
  <si>
    <t>Coaches (Maglev)</t>
  </si>
  <si>
    <t>https://bg.wikipedia.org/wiki/%D0%9B%D0%BE%D0%BA%D0%BE%D0%BC%D0%BE%D1%82%D0%B8%D0%B2%D0%B8_%D0%91%D0%94%D0%96_142-150</t>
  </si>
  <si>
    <t>https://hu.wikipedia.org/wiki/M%C3%81V_203_sorozat</t>
  </si>
  <si>
    <t>https://hu.wikipedia.org/wiki/M%C3%81V_601_sorozat</t>
  </si>
  <si>
    <t>https://hu.wikipedia.org/wiki/M%C3%81V_V40_sorozat</t>
  </si>
  <si>
    <t>https://pl.wikipedia.org/wiki/Pesa_Gama</t>
  </si>
  <si>
    <t>https://en.wikipedia.org/wiki/Locomotives_LVCI_1-50,_155-164</t>
  </si>
  <si>
    <t>https://loco-info.com/view.aspx?id=13614&amp;cookies=decline</t>
  </si>
  <si>
    <t>WITHDRAWAL_YEAR</t>
  </si>
  <si>
    <t>https://loco-info.com/view.aspx?id=17982&amp;cookies=decline</t>
  </si>
  <si>
    <t>https://loco-info.com/view.aspx?id=11969&amp;cookies=decline</t>
  </si>
  <si>
    <t>https://es.wikipedia.org/wiki/Serie_SFB-500</t>
  </si>
  <si>
    <t>Russian Intercity Sleeper Coach</t>
  </si>
  <si>
    <t>https://en.wikipedia.org/wiki/EMC_E3</t>
  </si>
  <si>
    <t>EMC E3</t>
  </si>
  <si>
    <t>EMD FT</t>
  </si>
  <si>
    <t>https://en.wikipedia.org/wiki/EMD_FT</t>
  </si>
  <si>
    <t>https://en.wikipedia.org/wiki/100_Series_Shinkansen</t>
  </si>
  <si>
    <t>https://en.wikipedia.org/wiki/Krauss-Maffei_ML_2200_C%27C%27</t>
  </si>
  <si>
    <t>https://hu.wikipedia.org/wiki/M%C3%81V_Hargita_t%C3%ADpus</t>
  </si>
  <si>
    <t>https://de.wikipedia.org/wiki/DR-Baureihe_E_44</t>
  </si>
  <si>
    <t>https://en.wikipedia.org/wiki/ALCO_FA#ALCO_%22World_Locomotive%22</t>
  </si>
  <si>
    <t>PESA 111MS</t>
  </si>
  <si>
    <t>https://en.wikipedia.org/wiki/Soviet_locomotive_class_VL19</t>
  </si>
  <si>
    <t>https://en.wikipedia.org/wiki/DRG_Class_E_18</t>
  </si>
  <si>
    <t>https://en.wikipedia.org/wiki/British_Rail_Class_895</t>
  </si>
  <si>
    <t>https://en.wikipedia.org/wiki/CI%C3%89_071_Class</t>
  </si>
  <si>
    <t>OLD_WORLD</t>
  </si>
  <si>
    <t>NON_EUROPEAN</t>
  </si>
  <si>
    <t>APAC</t>
  </si>
  <si>
    <t>COMECON</t>
  </si>
  <si>
    <t>COMECON_EXTENDED</t>
  </si>
  <si>
    <t>NORTH_WEST_EUROPE</t>
  </si>
  <si>
    <t>POST_SOVIET_BALTIC</t>
  </si>
  <si>
    <t>https://en.wikipedia.org/wiki/DR1_diesel_train</t>
  </si>
  <si>
    <t>English Electric E [AEI E]</t>
  </si>
  <si>
    <t>Skoda 47E</t>
  </si>
  <si>
    <t>NEVZ ES40</t>
  </si>
  <si>
    <t>HCP 203E</t>
  </si>
  <si>
    <t>Skoda 69E</t>
  </si>
  <si>
    <t>Pafawag 104E</t>
  </si>
  <si>
    <t>SLM-ABB Lok 2000</t>
  </si>
  <si>
    <t>Skoda 98E</t>
  </si>
  <si>
    <t>Bombardier Traxx H80 AC</t>
  </si>
  <si>
    <t>Skoda 109E</t>
  </si>
  <si>
    <t>Stadler He 4/4</t>
  </si>
  <si>
    <t>https://www.loco-info.com/view.aspx?id=9618&amp;t=Country</t>
  </si>
  <si>
    <t>Pesa 308B</t>
  </si>
  <si>
    <t>CKD T 435.0</t>
  </si>
  <si>
    <t>LTZ TE109</t>
  </si>
  <si>
    <t>EMD JT22CW</t>
  </si>
  <si>
    <t>FAUR LDE1300</t>
  </si>
  <si>
    <t>MaK DE 6400</t>
  </si>
  <si>
    <t>EMD JT42CWRM</t>
  </si>
  <si>
    <t>EMD JT42HW-HS</t>
  </si>
  <si>
    <t>Stadler UKLight</t>
  </si>
  <si>
    <t xml:space="preserve">Vagonka Studenka 91M0 </t>
  </si>
  <si>
    <t>GMD GT22LC-2</t>
  </si>
  <si>
    <t>GE AC6044CW</t>
  </si>
  <si>
    <t>GE C44-9W 'Dash 9'</t>
  </si>
  <si>
    <t>GE C30-7 'Dash 7'</t>
  </si>
  <si>
    <t>BBC/SLM Am 4/6</t>
  </si>
  <si>
    <t>ALCO S-2</t>
  </si>
  <si>
    <t>EMD F3</t>
  </si>
  <si>
    <t>EMD E8</t>
  </si>
  <si>
    <t>Baldwin RF-16 'Sharknose'</t>
  </si>
  <si>
    <t>FM H-24-66 'Trainmaster'</t>
  </si>
  <si>
    <t>EMD SW1200</t>
  </si>
  <si>
    <t>EMD FP9</t>
  </si>
  <si>
    <t>EMD FL9</t>
  </si>
  <si>
    <t>Electroputre 060-DA</t>
  </si>
  <si>
    <t>EMD GL8</t>
  </si>
  <si>
    <t>Kolomna TEP60</t>
  </si>
  <si>
    <t>MaK 100</t>
  </si>
  <si>
    <t>LTZ M62</t>
  </si>
  <si>
    <t>EMD DDA40X</t>
  </si>
  <si>
    <t>EMD G26</t>
  </si>
  <si>
    <t>MLW M420W</t>
  </si>
  <si>
    <t>EMD SDP-40F</t>
  </si>
  <si>
    <t>GE P42DC 'Genesis'</t>
  </si>
  <si>
    <t>EMC TA</t>
  </si>
  <si>
    <t>Baldwin VO-660</t>
  </si>
  <si>
    <t>FM H-10-44</t>
  </si>
  <si>
    <t>Baldwin DRS6-4-1000</t>
  </si>
  <si>
    <t>Baldwin AS-616</t>
  </si>
  <si>
    <t>FM H-16-44</t>
  </si>
  <si>
    <t>EMD SD18</t>
  </si>
  <si>
    <t>GMD JT42HCW</t>
  </si>
  <si>
    <t>EMD F59PH</t>
  </si>
  <si>
    <t>GE U5B</t>
  </si>
  <si>
    <t>EMD DDM45</t>
  </si>
  <si>
    <t>LTZ TE114E</t>
  </si>
  <si>
    <t>LTZ TEP10L</t>
  </si>
  <si>
    <t>LTZ 2TE10M</t>
  </si>
  <si>
    <t>LTZ 2TE126</t>
  </si>
  <si>
    <t>LTZ 2TE10Ut</t>
  </si>
  <si>
    <t>Krauss-Maffei ML 4000</t>
  </si>
  <si>
    <t>Canadian Locomotive Company V-1</t>
  </si>
  <si>
    <t>GE U20C</t>
  </si>
  <si>
    <t>Baldwin 0-6-6-0 1000</t>
  </si>
  <si>
    <t>ALCO RSC-2</t>
  </si>
  <si>
    <t>Budd RDC</t>
  </si>
  <si>
    <t>RVR AR2</t>
  </si>
  <si>
    <t>Budd SPV-2000</t>
  </si>
  <si>
    <t>EMD F40PH</t>
  </si>
  <si>
    <t>Alstom DE43CA 'Prima'</t>
  </si>
  <si>
    <t>LTZ TEP150</t>
  </si>
  <si>
    <t>Voith Gravita 10 BB</t>
  </si>
  <si>
    <t>Siemens ER20 'Eurorunner'</t>
  </si>
  <si>
    <t>Voith Maxima 40 CC</t>
  </si>
  <si>
    <t>MPI MP40PH-3C</t>
  </si>
  <si>
    <t>CNR CKD8G</t>
  </si>
  <si>
    <t>GE ES40ACi</t>
  </si>
  <si>
    <t>Siemens Charger ALC-42</t>
  </si>
  <si>
    <t>Siemens Desiro</t>
  </si>
  <si>
    <t>MVM RA2</t>
  </si>
  <si>
    <t>NEVZ VL22M</t>
  </si>
  <si>
    <t>GE ES43ACi</t>
  </si>
  <si>
    <t>PESA 111D</t>
  </si>
  <si>
    <t>Kolomna VL19</t>
  </si>
  <si>
    <t>Mitsubishi series 269</t>
  </si>
  <si>
    <t>DEVZ DS3</t>
  </si>
  <si>
    <t>GE E60C-2</t>
  </si>
  <si>
    <t>ASEA-GMD GF6C</t>
  </si>
  <si>
    <t>ASEA-EMD AEM-7</t>
  </si>
  <si>
    <t>Bombardier-Alstom HHP-8</t>
  </si>
  <si>
    <t>Siemens ACS-64</t>
  </si>
  <si>
    <t>NEVZ-TEVZ VL15</t>
  </si>
  <si>
    <t>TEVZ VL11</t>
  </si>
  <si>
    <t>DEVZ DE1</t>
  </si>
  <si>
    <t>Skoda 82E</t>
  </si>
  <si>
    <t>NEVZ VL85</t>
  </si>
  <si>
    <t>DEVZ VL41</t>
  </si>
  <si>
    <t>Vossloh G 2000 BB</t>
  </si>
  <si>
    <t>Komarek NOLB 1</t>
  </si>
  <si>
    <t>Kerr, Stuart &amp; Co. 86</t>
  </si>
  <si>
    <t>Esslingen Czm 1/2</t>
  </si>
  <si>
    <t>Maffei MCCi</t>
  </si>
  <si>
    <t>AEC Railcar</t>
  </si>
  <si>
    <t>Simmering VT42</t>
  </si>
  <si>
    <t>Hutt RM31</t>
  </si>
  <si>
    <t>NOHAB CP 0100</t>
  </si>
  <si>
    <t>Uerdingen railbus</t>
  </si>
  <si>
    <t>MaK GDT</t>
  </si>
  <si>
    <t>Allan 'Kameel'</t>
  </si>
  <si>
    <t>Jenbacher Werke 5047</t>
  </si>
  <si>
    <t>Hunslet-Barclay 'Super Sprinter'</t>
  </si>
  <si>
    <t>Vagonka Studenka 809</t>
  </si>
  <si>
    <t>DWA 670</t>
  </si>
  <si>
    <t>https://lt.wikipedia.org/wiki/AR2</t>
  </si>
  <si>
    <t>Austro-Daimler Z1</t>
  </si>
  <si>
    <t>McKeen Motor Car 70</t>
  </si>
  <si>
    <t>BBC DET 1-2 'Sächsischer'</t>
  </si>
  <si>
    <t>LHW BSt 6001</t>
  </si>
  <si>
    <t>EMC DERM</t>
  </si>
  <si>
    <t>Franz Kruckenberg Schienenzeppelin</t>
  </si>
  <si>
    <t>Strommens Kristine Valdresdatter</t>
  </si>
  <si>
    <t>Tatra M290</t>
  </si>
  <si>
    <t>Tatra M120.4</t>
  </si>
  <si>
    <t>Werkspoor DM37</t>
  </si>
  <si>
    <t>Eveleigh 400 Class</t>
  </si>
  <si>
    <t>Vale do Vouga ME51-55</t>
  </si>
  <si>
    <t>Ateliers Germain 42/43</t>
  </si>
  <si>
    <t>SGP 77783/1960</t>
  </si>
  <si>
    <t>Ferrostaal-Esslingen AA.71</t>
  </si>
  <si>
    <t>CKD Vagonka Dm12</t>
  </si>
  <si>
    <t>Fiat Ferroviaria ALn 668.1400</t>
  </si>
  <si>
    <t>Ringhoffer 40.001</t>
  </si>
  <si>
    <t>Decauville Z 7100</t>
  </si>
  <si>
    <t>HAWA/AEG Kleinbahn Nr. 1-3</t>
  </si>
  <si>
    <t>Studenka 425.95</t>
  </si>
  <si>
    <t>Pozzuoli - OCREN OM ALe 840</t>
  </si>
  <si>
    <t>Stanga ALe 80</t>
  </si>
  <si>
    <t>Franz Knotz 4855</t>
  </si>
  <si>
    <t>Lindner/Talbot ET 10.109</t>
  </si>
  <si>
    <t>Waggonfabrik Fuchs ET 85</t>
  </si>
  <si>
    <t>ASJ Y6</t>
  </si>
  <si>
    <t>Budd Silverliner II</t>
  </si>
  <si>
    <t>Hyundai Rotem Silverliner V</t>
  </si>
  <si>
    <t>John Cockerill &amp; Cie. Le Belge</t>
  </si>
  <si>
    <t>Esslingen Ec 2/5</t>
  </si>
  <si>
    <t>Baldwin 2-8-0 'Consolidation'</t>
  </si>
  <si>
    <t>Krauss KkStB 99</t>
  </si>
  <si>
    <t>McIntosh [Caledonian Railway] 439</t>
  </si>
  <si>
    <t>SLM Winterthur A 3/5</t>
  </si>
  <si>
    <t>SLM Winterthur E 3/3</t>
  </si>
  <si>
    <t>Krauss 299</t>
  </si>
  <si>
    <t>Schneider et Cie 140C</t>
  </si>
  <si>
    <t>Baldwin 5000 'Madame Queen'</t>
  </si>
  <si>
    <t>Schwartzkopff S 10 'Prussian'</t>
  </si>
  <si>
    <t>MLW 'Royal Hudson'</t>
  </si>
  <si>
    <t>NOHAB 4-6-2 'F'</t>
  </si>
  <si>
    <t>GGL/HAS 52</t>
  </si>
  <si>
    <t>Doncaster/Darlington 'Peppercorn'</t>
  </si>
  <si>
    <t>ANF/DEL 150B</t>
  </si>
  <si>
    <t>H. Cegielski OKz32</t>
  </si>
  <si>
    <t>SLM C 5/6 'Elephant'</t>
  </si>
  <si>
    <t>Stephenson 0-4-2 'Locomotive No.1'</t>
  </si>
  <si>
    <t>Cooke 4-2-2 'T. D. Judah'</t>
  </si>
  <si>
    <t>Schneider RENFE 040</t>
  </si>
  <si>
    <t>Sächsische Maschinenfabrik IV K</t>
  </si>
  <si>
    <t>Hanomag S 3</t>
  </si>
  <si>
    <t>Thune XXIa</t>
  </si>
  <si>
    <t>Machinefabriek Breda 661-667</t>
  </si>
  <si>
    <t>Orenstein &amp; Koppel 2-8-0 '8-Tender'</t>
  </si>
  <si>
    <t>ALCO 46581 2-6-6-2 'Mallet'</t>
  </si>
  <si>
    <t>Stratford Works L77 'LNER N7'</t>
  </si>
  <si>
    <t>Baldwin 10-32-E 55246</t>
  </si>
  <si>
    <t>Swindon Works 381</t>
  </si>
  <si>
    <t>North British LC R 4-6-4 Hudson</t>
  </si>
  <si>
    <t>VEB 2-10-2T 99.77-79</t>
  </si>
  <si>
    <t xml:space="preserve">RAW Meiningen 4-6-2 89 </t>
  </si>
  <si>
    <t>NZR 4-6-4T 'WAB'</t>
  </si>
  <si>
    <t>Clyde 4-8-2 'D57'</t>
  </si>
  <si>
    <t>Islington Railway Workshops 81-92 520</t>
  </si>
  <si>
    <t>Sir Armstrong Whithworth &amp; Co. PS11</t>
  </si>
  <si>
    <t>Alexander Chaplin &amp; Co. 1584 0-4-0VB</t>
  </si>
  <si>
    <t>Falcon Engine and Car Works F2</t>
  </si>
  <si>
    <t>Ansaldo R.440 'Mallet'</t>
  </si>
  <si>
    <t>Sächsische Maschinenfabrik XX HV</t>
  </si>
  <si>
    <t>Beyer, P &amp; Co. 4-6-4+4-6-4 '15th'</t>
  </si>
  <si>
    <t>Beyer, P &amp; Co. 4-8-2+2-8-4 7550-7552</t>
  </si>
  <si>
    <t>Vulcan Foundry 2-8-4 6228</t>
  </si>
  <si>
    <t>Kitson 2-2-2WT 481 'Fairy Queen'</t>
  </si>
  <si>
    <t>Baldwin 2-8-0 Sentetsu Sorii</t>
  </si>
  <si>
    <t>Putilov 4-6-0 U</t>
  </si>
  <si>
    <t>Baldwin 12-44 F 2-10-0 'Ye'</t>
  </si>
  <si>
    <t>Baldwin 4-6-0 50201</t>
  </si>
  <si>
    <t>North British Lb 2-10-0</t>
  </si>
  <si>
    <t>ALCO/Baldwin 2-8-0 'USATC S160'</t>
  </si>
  <si>
    <t>Hanomag/Fablok 4-6-0 Ok22</t>
  </si>
  <si>
    <t>MAVAG 4-8-0 424</t>
  </si>
  <si>
    <t>MAVAG 4-4-4T 242</t>
  </si>
  <si>
    <t>Vulcan Foundry 2-8-0 'Liberation'</t>
  </si>
  <si>
    <t>Fablok 2-6-2 OI49</t>
  </si>
  <si>
    <t>Floridsdorf 2-6-2 KkStB 310</t>
  </si>
  <si>
    <t>GS&amp;WR 0-6-0 '101'</t>
  </si>
  <si>
    <t>Eveleigh 4-6-0 'C35'</t>
  </si>
  <si>
    <t>Werkspoor 200 'Sik'</t>
  </si>
  <si>
    <t>BMAG 'WR 200 B 14'</t>
  </si>
  <si>
    <t>English Electric 'Bakkie'</t>
  </si>
  <si>
    <t>BR Class 08 0-6-0DE</t>
  </si>
  <si>
    <t>Jenbacher Werke 2060</t>
  </si>
  <si>
    <t>Krauss-Maffei V200</t>
  </si>
  <si>
    <t>BN/ACEC 62</t>
  </si>
  <si>
    <t>ALCO DL560C 'WDM-2'</t>
  </si>
  <si>
    <t>BR 14 0-6-0DH</t>
  </si>
  <si>
    <t>Henschel TGOJ V4</t>
  </si>
  <si>
    <t>Sifang DFH3</t>
  </si>
  <si>
    <t>Sorefame/Alsthom 1900</t>
  </si>
  <si>
    <t>Valmet Oy Dr16</t>
  </si>
  <si>
    <t>Tulomsas TCDD DH7000</t>
  </si>
  <si>
    <t>CKD T-669</t>
  </si>
  <si>
    <t>GE/CRRC Qishuyan ES59ACi</t>
  </si>
  <si>
    <t>Voronezh/VNIIZHT GT1</t>
  </si>
  <si>
    <t>Hohenzollern Emch3</t>
  </si>
  <si>
    <t>https://ru.wikipedia.org/wiki/%D0%AD%D0%BC%D1%853</t>
  </si>
  <si>
    <t>LMS No. 7080 'D3/7'</t>
  </si>
  <si>
    <t>Islington Railway Workshops SAR 900</t>
  </si>
  <si>
    <t>Metropolitan-Vickers/CIE 001</t>
  </si>
  <si>
    <t>Henschel Di4</t>
  </si>
  <si>
    <t>Qishuyan DF8</t>
  </si>
  <si>
    <t>Brush Class 60</t>
  </si>
  <si>
    <t>GE/Goninan CM25-8</t>
  </si>
  <si>
    <t>EMD SD70ACS</t>
  </si>
  <si>
    <t>ALCO RSD-39</t>
  </si>
  <si>
    <t>AEG SAR DS</t>
  </si>
  <si>
    <t>EMD GL8 [040DF]</t>
  </si>
  <si>
    <t>CMKS 709 0-4-0DE</t>
  </si>
  <si>
    <t>Antonio Badoni Lecco 'Sogliole' 207</t>
  </si>
  <si>
    <t>Brissonneau and Lotz BB 67400</t>
  </si>
  <si>
    <t>Vossloh Afro 4000</t>
  </si>
  <si>
    <t>GE U10B</t>
  </si>
  <si>
    <t>EMD/Pacific GT26C-3</t>
  </si>
  <si>
    <t>GE/Pacific C44ESACi</t>
  </si>
  <si>
    <t>LHB ET 171</t>
  </si>
  <si>
    <t>https://en.wikipedia.org/wiki/MP_55</t>
  </si>
  <si>
    <t>ACF New York R1</t>
  </si>
  <si>
    <t>LHB Lisbon ML7</t>
  </si>
  <si>
    <t>Strommens Oslo T1000</t>
  </si>
  <si>
    <t>Hawker Siddeley Toronto H1</t>
  </si>
  <si>
    <t>MAN Munchen MVG A2</t>
  </si>
  <si>
    <t>St. Louis Car Co New York R44</t>
  </si>
  <si>
    <t>LHB Amsterdam M1</t>
  </si>
  <si>
    <t>Valmet Helsinki M100</t>
  </si>
  <si>
    <t>Sorefame Sao Paulo Serie 5500</t>
  </si>
  <si>
    <t>Kinki Sharyo Vcairo</t>
  </si>
  <si>
    <t>LHB London DLR P86</t>
  </si>
  <si>
    <t>Bombardier Boston 01800</t>
  </si>
  <si>
    <t>Breda LA A650</t>
  </si>
  <si>
    <t>Kawasaki Taipei C301</t>
  </si>
  <si>
    <t>CAF Amsterdam S3 90</t>
  </si>
  <si>
    <t>Alstom Singapore C830 'Metropolis'</t>
  </si>
  <si>
    <t>Siemens Oslo MX3000</t>
  </si>
  <si>
    <t>Kawasaki Tokyo S01</t>
  </si>
  <si>
    <t>Kawasaki Osaka 30000</t>
  </si>
  <si>
    <t>Kawasaki Singapore C151A</t>
  </si>
  <si>
    <t>Kawasaki Washington 7000</t>
  </si>
  <si>
    <t>Hitachi Thessaloniki 2014</t>
  </si>
  <si>
    <t>AEG Berlin U-Bahn A I</t>
  </si>
  <si>
    <t>ACF New York Hedley Hi-V</t>
  </si>
  <si>
    <t>Kawasaki Osaka 1000</t>
  </si>
  <si>
    <t>ACF New York R10</t>
  </si>
  <si>
    <t>Stanga Rome MR 100</t>
  </si>
  <si>
    <t>Werkspoor Rotterdam MG2 Type M</t>
  </si>
  <si>
    <t>Hitachi Buenos Aires Serie 1200</t>
  </si>
  <si>
    <t>GEC-Alsthom Santiago NS-93</t>
  </si>
  <si>
    <t>GEC-Alsthom Paris MP55</t>
  </si>
  <si>
    <t>GEC-Alsthom Paris MP89</t>
  </si>
  <si>
    <t>Alstom Brasil Santiago AS-2002</t>
  </si>
  <si>
    <t>TUDH Recife VLT Mobile 3</t>
  </si>
  <si>
    <t>CAF Madrid Series 5000</t>
  </si>
  <si>
    <t>CAF Rome S/300</t>
  </si>
  <si>
    <t>CAF Algiers 2011 Stock</t>
  </si>
  <si>
    <t>Stadler Berlin U-Bahn IK</t>
  </si>
  <si>
    <t>St. Louis Car Company Chicago L 6000 Series</t>
  </si>
  <si>
    <t>BRC&amp;W London 1903 Stock</t>
  </si>
  <si>
    <t>Hitachi/Kawasaki EF55</t>
  </si>
  <si>
    <t>SLM NS 1000</t>
  </si>
  <si>
    <t>British Thomson-Houston ES1</t>
  </si>
  <si>
    <t>ALCO-GE NYC S-Motor S1</t>
  </si>
  <si>
    <t>Nippon Sharyo DeKi 400</t>
  </si>
  <si>
    <t>Jeumont-Schneider BB 9004</t>
  </si>
  <si>
    <t>Werkspoor ESS 3200</t>
  </si>
  <si>
    <t>GE ES-2</t>
  </si>
  <si>
    <t>GE 2-4-8-0+0-8-4-2 EP2</t>
  </si>
  <si>
    <t>Breda E.428</t>
  </si>
  <si>
    <t>Werkspoor SAR ES</t>
  </si>
  <si>
    <t>TIBB E.646</t>
  </si>
  <si>
    <t>Breda E.424</t>
  </si>
  <si>
    <t>Savigliano E.444</t>
  </si>
  <si>
    <t>Fiat E.633</t>
  </si>
  <si>
    <t>BN/ACEC 25.5</t>
  </si>
  <si>
    <t>Krauss Maffei/CAF 250</t>
  </si>
  <si>
    <t>Vulcan Foundry-EE EM/1</t>
  </si>
  <si>
    <t>Vulcan Foundry-SLM EF/1</t>
  </si>
  <si>
    <t>Union Carriage &amp; Wagon E38</t>
  </si>
  <si>
    <t>AEG/Skabo EL7</t>
  </si>
  <si>
    <t xml:space="preserve">Westinghouse FF-1 'Big Liz' </t>
  </si>
  <si>
    <t>ELIN/Floridsdorf 1161</t>
  </si>
  <si>
    <t>Maffei/SSW Lok 5 'Adolphine'</t>
  </si>
  <si>
    <t>Thune/ASEA EL10</t>
  </si>
  <si>
    <t>AEG E 04</t>
  </si>
  <si>
    <t>GE 4-6-0+0-6-4OE GG-1</t>
  </si>
  <si>
    <t>Krauss/WASSEG E 91.9</t>
  </si>
  <si>
    <t>SLM Ce 4/4</t>
  </si>
  <si>
    <t>SLM Ae 6/6</t>
  </si>
  <si>
    <t>SLM-BBC 1-D-1</t>
  </si>
  <si>
    <t>Stadler Butler Eem 923</t>
  </si>
  <si>
    <t>ASEA Dm3</t>
  </si>
  <si>
    <t>Siemens Oa</t>
  </si>
  <si>
    <t>Borsig/SSW ES 6</t>
  </si>
  <si>
    <t>Westinghouse 6wOE B1</t>
  </si>
  <si>
    <t>Siemens E40 AG-V1</t>
  </si>
  <si>
    <t>Toshiba/CNR Dalian HXD3</t>
  </si>
  <si>
    <t>Toshiba/CRRC HXD1D</t>
  </si>
  <si>
    <t>Kawasaki 6K</t>
  </si>
  <si>
    <t>GE E44</t>
  </si>
  <si>
    <t>Robert Stephenson 4-6-2 6982-6985</t>
  </si>
  <si>
    <t>Beyer, P &amp; Co. 4-8-0 6128-6133</t>
  </si>
  <si>
    <t>Vulcan Foundry 4-8-2 4318-4320</t>
  </si>
  <si>
    <t>Lima  4-8-4 7798-7817 'Daylight'</t>
  </si>
  <si>
    <t>ALCO 2-8-2 5100-5194 'Light Mikado'</t>
  </si>
  <si>
    <t>ALCO 2-8-0 74707-74785 'Type 29'</t>
  </si>
  <si>
    <t>Datong QJ 2-10-2 101-3602</t>
  </si>
  <si>
    <t>ZELC 20E 'China Doll'</t>
  </si>
  <si>
    <t>Ansaldo - Breda C.F E.491</t>
  </si>
  <si>
    <t>ASEA/Koncar Rb</t>
  </si>
  <si>
    <t>CEF BB 1600</t>
  </si>
  <si>
    <t>Toshiba EA</t>
  </si>
  <si>
    <t>GEC-Alsthom BB 26000</t>
  </si>
  <si>
    <t>Toshiba EH500</t>
  </si>
  <si>
    <t>CAF/Macosa 252</t>
  </si>
  <si>
    <t>TIBB E.550</t>
  </si>
  <si>
    <t>Hitachi EF81</t>
  </si>
  <si>
    <t>ABB/Brush Class 92</t>
  </si>
  <si>
    <t>LHB VT 04.0 'Flying Hamburger'</t>
  </si>
  <si>
    <t>Harland &amp; Wolf 'Silver City Comet'</t>
  </si>
  <si>
    <t>Tatra M131</t>
  </si>
  <si>
    <t>MAN VT 08.5</t>
  </si>
  <si>
    <t>Werkspoor Plan U DE-III</t>
  </si>
  <si>
    <t>UAC 'Turbo Train'</t>
  </si>
  <si>
    <t>BREL 43 IC125</t>
  </si>
  <si>
    <t>Bombardier M6109</t>
  </si>
  <si>
    <t>ABB IC3 Y2</t>
  </si>
  <si>
    <t>CAF 594 TRD</t>
  </si>
  <si>
    <t>Adtranz Class 168 'Clubman'</t>
  </si>
  <si>
    <t>Adtranz Class 612 'Regio Swinger'</t>
  </si>
  <si>
    <t>Alstom Coradia LINT</t>
  </si>
  <si>
    <t>Bombardier Talent NSB BM 93</t>
  </si>
  <si>
    <t>UGL WD 'Prospector'</t>
  </si>
  <si>
    <t>UGL 'Hunter' Railcar</t>
  </si>
  <si>
    <t>AnsaldoBreda IC4</t>
  </si>
  <si>
    <t>TZV Gredelj 7022</t>
  </si>
  <si>
    <t>Fiat TCDD MT 5500</t>
  </si>
  <si>
    <t>https://en.wikipedia.org/wiki/KiHa_181_series</t>
  </si>
  <si>
    <t>Fuji KiHa 181</t>
  </si>
  <si>
    <t>Vagonka Studenka 814</t>
  </si>
  <si>
    <t>BREL 141 'Pacer'</t>
  </si>
  <si>
    <t>ABB IC3 [Israel]</t>
  </si>
  <si>
    <t>Comeng 3100</t>
  </si>
  <si>
    <t>ABB Xplorer</t>
  </si>
  <si>
    <t>Niigata Transys KiHa 189</t>
  </si>
  <si>
    <t>Integral Coach Factory S11</t>
  </si>
  <si>
    <t>ZOS Vrutky 861</t>
  </si>
  <si>
    <t>CAF TLD-500</t>
  </si>
  <si>
    <t>Metro-Cammell 251 'Blue Pullman'</t>
  </si>
  <si>
    <t>Comeng ADK</t>
  </si>
  <si>
    <t>ANF X 4630</t>
  </si>
  <si>
    <t>ANF T 2000</t>
  </si>
  <si>
    <t>Duwag Wadloper</t>
  </si>
  <si>
    <t>Duwag 628.2</t>
  </si>
  <si>
    <t>CAF ZZ 2200 Autorail</t>
  </si>
  <si>
    <t>CFD AMT 800</t>
  </si>
  <si>
    <t>CNR Tangshan Ghana DEMU</t>
  </si>
  <si>
    <t>Downer EDI/Hitachi Tilt Train</t>
  </si>
  <si>
    <t>Materfer CMM 400-2</t>
  </si>
  <si>
    <t>Fiat ALn 442-448</t>
  </si>
  <si>
    <t>Sorefame CP 0600</t>
  </si>
  <si>
    <t>Sorefame CP 0400</t>
  </si>
  <si>
    <t>MTM 2400 'Apollos'</t>
  </si>
  <si>
    <t>Windhoff CargoSprinter</t>
  </si>
  <si>
    <t>Downer/CRRC/Hitachi 'Waratah'</t>
  </si>
  <si>
    <t>Frichs &amp; Scandia S-Tog II</t>
  </si>
  <si>
    <t>TIBB ECD 21-30</t>
  </si>
  <si>
    <t>Werkspoor Mat'24</t>
  </si>
  <si>
    <t>Werkspoor Mat'36</t>
  </si>
  <si>
    <t>Werkspoor Mat'54</t>
  </si>
  <si>
    <t>Talbot Plan Y</t>
  </si>
  <si>
    <t>Talbot ICM 4000</t>
  </si>
  <si>
    <t>Talbot DD-IRM 'VIRM' 8000</t>
  </si>
  <si>
    <t>De Dietrich/Adtranz mDDm 390</t>
  </si>
  <si>
    <t>Breda ETR.200</t>
  </si>
  <si>
    <t>Breda ETR.300 'Settebello'</t>
  </si>
  <si>
    <t>TREVI ETR.500 'Frecciarossa'</t>
  </si>
  <si>
    <t>AnsaldoBreda ALe 426</t>
  </si>
  <si>
    <t>BN/ACEC ZMC</t>
  </si>
  <si>
    <t>ASEA EW54</t>
  </si>
  <si>
    <t>Breda ALe 801</t>
  </si>
  <si>
    <t>SGP/AEG/BBC 4030</t>
  </si>
  <si>
    <t>ELIN ET 10</t>
  </si>
  <si>
    <t>LHB 420</t>
  </si>
  <si>
    <t>Adtranz BM73</t>
  </si>
  <si>
    <t>NEBB M65</t>
  </si>
  <si>
    <t>ASEA X2000</t>
  </si>
  <si>
    <t>SWP RABDe 510</t>
  </si>
  <si>
    <t>Schindler RBDe 560</t>
  </si>
  <si>
    <t>Stadler RABe 523 'Flirt'</t>
  </si>
  <si>
    <t>Budd Metroliner</t>
  </si>
  <si>
    <t>Siemens Desiro BDZ</t>
  </si>
  <si>
    <t>Valmet Sm2</t>
  </si>
  <si>
    <t>Fiat/CAF Sm4</t>
  </si>
  <si>
    <t>Hitachi Shinkansen Series 0</t>
  </si>
  <si>
    <t>Hitachi Shinkansen Series 700</t>
  </si>
  <si>
    <t>Hitachi/Kawasaki Shinkansen Series E1 Max</t>
  </si>
  <si>
    <t>RVR ER31</t>
  </si>
  <si>
    <t>Bombardier/UCW Electrostar 'Gautrain'</t>
  </si>
  <si>
    <t>CSR Qingdao CHR380A</t>
  </si>
  <si>
    <t>Alstom AGV</t>
  </si>
  <si>
    <t>Alstom Avelia Horizon</t>
  </si>
  <si>
    <t>AnsaldoBreda V250 'Albatros'</t>
  </si>
  <si>
    <t>SIG Rae TEE II</t>
  </si>
  <si>
    <t>CAF/Alstom Class 120</t>
  </si>
  <si>
    <t>EMD GT46CWM</t>
  </si>
  <si>
    <t>INKA CC300</t>
  </si>
  <si>
    <t>Alstom KZ8A</t>
  </si>
  <si>
    <t>Zuzhou KZ4A</t>
  </si>
  <si>
    <t>Clyde-ASEA CF48</t>
  </si>
  <si>
    <t>Siemens Velero</t>
  </si>
  <si>
    <t>RVR ER200</t>
  </si>
  <si>
    <t>Bombarier/Alstom Acela Express</t>
  </si>
  <si>
    <t>Siemens &amp; Halske Budapest 1894 Stock</t>
  </si>
  <si>
    <t>Siemens-Thyssenkrupp Transrapid</t>
  </si>
  <si>
    <t>Mistubishi/Nippon Sharyo MLX01-901</t>
  </si>
  <si>
    <t>Niigata Transys Shikoku 1000</t>
  </si>
  <si>
    <t>Niigata Transys KiHa E120</t>
  </si>
  <si>
    <t>Sulzer M Railcar</t>
  </si>
  <si>
    <t>SLM CFe 3/3</t>
  </si>
  <si>
    <t>Hitachi Choshi DeHa 1000</t>
  </si>
  <si>
    <t>SLM G 3/4</t>
  </si>
  <si>
    <t>Kisha Seizo 2-10-4T E10</t>
  </si>
  <si>
    <t>Richard Francis Trevithick 2-4-2T 860</t>
  </si>
  <si>
    <t>Kawasaki 2-8-0 9600</t>
  </si>
  <si>
    <t>Kawasaki 2-8-2 D50</t>
  </si>
  <si>
    <t>Kisha/Mitsubishi/NS DF50</t>
  </si>
  <si>
    <t>SIG Alioth De 2/2</t>
  </si>
  <si>
    <t>Toshiba EH10</t>
  </si>
  <si>
    <t>Kawasaki/Toshiba EF64</t>
  </si>
  <si>
    <t>EEC EO Class</t>
  </si>
  <si>
    <t>Tulloch 0-6-0DM 'W' Class</t>
  </si>
  <si>
    <t xml:space="preserve">GEC/NBLC SAR 4E </t>
  </si>
  <si>
    <t>Metrowick MV 5E1</t>
  </si>
  <si>
    <t>UCW 6E</t>
  </si>
  <si>
    <t>SLM/BBC/MFO Ge 4/4 I</t>
  </si>
  <si>
    <t>SLM/BBC/MFO Ge 6/6 'Krokodil'</t>
  </si>
  <si>
    <t>UCW 50 c/s Group 7E</t>
  </si>
  <si>
    <t>General Motors GM5FC</t>
  </si>
  <si>
    <t>Brush EF Class</t>
  </si>
  <si>
    <t>Nippon Sharyo Odakyu 3100 series NSE</t>
  </si>
  <si>
    <t>Nippon Sharyo Odakyu 10000 series HiSE</t>
  </si>
  <si>
    <t>Comeng/Goninan S-set</t>
  </si>
  <si>
    <t>UGL Rail H-set 'OSCAR'</t>
  </si>
  <si>
    <t>Ganz-MAVAG EM/ET</t>
  </si>
  <si>
    <t>Metro-Cammell 5M2</t>
  </si>
  <si>
    <t>Alstom X'Trapolis 100</t>
  </si>
  <si>
    <t>GEC/Fiat AES Railcar</t>
  </si>
  <si>
    <t>Ganz-MAVAG YZ-E</t>
  </si>
  <si>
    <t>https://hu.wikipedia.org/wiki/H%C5%BD_6111_sorozat</t>
  </si>
  <si>
    <t>Walkers Tilt Train 'ETT'</t>
  </si>
  <si>
    <t>GE C-C 4400 RFFSA</t>
  </si>
  <si>
    <t>CLW WAP-4</t>
  </si>
  <si>
    <t>TRTrans/NEVZ EP20</t>
  </si>
  <si>
    <t>Valmet Dm7</t>
  </si>
  <si>
    <t>MMZ 'S'</t>
  </si>
  <si>
    <t>Koncar 6112</t>
  </si>
  <si>
    <t>Siemens Desiro ES1 'Lastochka'</t>
  </si>
  <si>
    <t>Porter 2-8-2 Class 200 'Katanga Mikado'</t>
  </si>
  <si>
    <t>Kawasaki/Nippon Sharyo/Toshiba M250</t>
  </si>
  <si>
    <t>Esslingen/MAN/Hohenzollern 'Thomas'</t>
  </si>
  <si>
    <t>Komarek NOLB 30-33</t>
  </si>
  <si>
    <t>Henschel 4-4-2 19906</t>
  </si>
  <si>
    <t>Henschel EMD TT12</t>
  </si>
  <si>
    <t>Henschel GE G16</t>
  </si>
  <si>
    <t>ACEC/BN Type 2450</t>
  </si>
  <si>
    <t>BREL/ABB London 1992 Stock</t>
  </si>
  <si>
    <t>Bombardier Movia London S Stock</t>
  </si>
  <si>
    <t>Metro-Cammell London 1972 Stock</t>
  </si>
  <si>
    <t>Metro-Cammell London 1959 Stock</t>
  </si>
  <si>
    <t>Kawasaki HI C151</t>
  </si>
  <si>
    <t>Kawasaki HI &amp; Nippon Sharyo C751B</t>
  </si>
  <si>
    <t>Evolution Rail HCMT Munnel</t>
  </si>
  <si>
    <t>LTZ DR 130</t>
  </si>
  <si>
    <t>https://www.steamlocomotive.com/locobase.php?country=Egypt&amp;wheel=2-2-2&amp;railroad=es#10456</t>
  </si>
  <si>
    <t>Robert Stephenson and Co 2-2-2 192</t>
  </si>
  <si>
    <t>Comeng/MK Hitachi Trains</t>
  </si>
  <si>
    <t>GRC&amp;W Harris Trains</t>
  </si>
  <si>
    <t>Siemens Nexas</t>
  </si>
  <si>
    <t>Victorian Railways Tait Trains</t>
  </si>
  <si>
    <t>ABB Henschel Berlin BVG F74</t>
  </si>
  <si>
    <t>Adtranz Berlin BVG H</t>
  </si>
  <si>
    <t>LB&amp;SCR BRW 0-6-0T 'A1'</t>
  </si>
  <si>
    <t>BP 4-6-4T 4444-4478 'C30'</t>
  </si>
  <si>
    <t>BP/Baldwin/Clyde 4-6-0 'C32'</t>
  </si>
  <si>
    <t>BP/NBLC 2-8-0 'D50'</t>
  </si>
  <si>
    <t>BP/Dubs 4-4-0 'Z12'</t>
  </si>
  <si>
    <t>BP 0-6-0 'Z19'</t>
  </si>
  <si>
    <t>Dubs 2-6-2ST 'Z26'</t>
  </si>
  <si>
    <t>GCR/Kitson/NBLC ROD 2-8-0 '8K'</t>
  </si>
  <si>
    <t>ALCO 4-6-2 SAR 600</t>
  </si>
  <si>
    <t>BP 2-8-2T South Maitland 10</t>
  </si>
  <si>
    <t>BTH 41 Class</t>
  </si>
  <si>
    <t>ALCO/AE Goodwin DL531/532</t>
  </si>
  <si>
    <t>ALCO/AE Goodwin DL500</t>
  </si>
  <si>
    <t>EMD/Clyde A16C</t>
  </si>
  <si>
    <t>EMD/Clyde A7</t>
  </si>
  <si>
    <t xml:space="preserve">EMD/Clyde AT42C </t>
  </si>
  <si>
    <t>Clyde JE28C PTC 73 Class Concept</t>
  </si>
  <si>
    <t>Clyde-EMD GT46CW NR Concept</t>
  </si>
  <si>
    <t>EMD/Clyde JT22HC-2</t>
  </si>
  <si>
    <t>EMD/Clyde JT42C</t>
  </si>
  <si>
    <t>EMD/Clyde G16C X1</t>
  </si>
  <si>
    <t>EMD/Clyde G26C X2</t>
  </si>
  <si>
    <t>EMD/Clyde G26C X3</t>
  </si>
  <si>
    <t>ALCO/Comeng CE615A</t>
  </si>
  <si>
    <t>Comeng Class 85</t>
  </si>
  <si>
    <t>Comeng Maldon-Dombarton '8650'</t>
  </si>
  <si>
    <t>EMD/NOHAB J30C-2DSB MZ III</t>
  </si>
  <si>
    <t>https://en.wikipedia.org/wiki/Commonwealth_Railways_CL_class</t>
  </si>
  <si>
    <t>EMD/Clyde AT26C 'Twin 16-645'</t>
  </si>
  <si>
    <t>EMD/Clyde G8C</t>
  </si>
  <si>
    <t>EMD/Clyde G12</t>
  </si>
  <si>
    <t>https://en.wikipedia.org/wiki/New_Zealand_DB_class_locomotive</t>
  </si>
  <si>
    <t>EMD/Clyde G8</t>
  </si>
  <si>
    <t>Goninan 47 Class</t>
  </si>
  <si>
    <t>William Fairbairn 2-2-2 'Baroneza'</t>
  </si>
  <si>
    <t>Hunslet 0-4-0ST 'La Portena'</t>
  </si>
  <si>
    <t>Burnham 2-10-0 'Dom Pedro Segundo 119'</t>
  </si>
  <si>
    <t>Baldwin 0-22C No8 'Monsefu'</t>
  </si>
  <si>
    <t>NBLC 4-6-2 PS10 Class</t>
  </si>
  <si>
    <t>Yorkshire Engine Co. 4-8-4T 'Nitrate 101'</t>
  </si>
  <si>
    <t>Norris &amp; Brothers 4-4-0 'La Copiapo'</t>
  </si>
  <si>
    <t>Avonside 0-6-0ST Sao Paulo No. 13 - 14</t>
  </si>
  <si>
    <t>Kawasaki/Hitachi AEZ Railcar</t>
  </si>
  <si>
    <t>Comeng 1100 Railcar</t>
  </si>
  <si>
    <t>Comeng NSW XPT</t>
  </si>
  <si>
    <t>Goninan Tangara 4D Prototype</t>
  </si>
  <si>
    <t>Goninan Tangara T-Set</t>
  </si>
  <si>
    <t>Kawasaki RM 'Silver Fern'</t>
  </si>
  <si>
    <t>Comeng W Class 'Sputnik'</t>
  </si>
  <si>
    <t>Leeds/Clyde 'Standard' EMU</t>
  </si>
  <si>
    <t>Alstom X'Trapolis 100 Melbourne</t>
  </si>
  <si>
    <t>BREL Mk3 Coach</t>
  </si>
  <si>
    <t>BREL Mk3 Mail Coach</t>
  </si>
  <si>
    <t>Comeng 86 Class</t>
  </si>
  <si>
    <t>EEC DM EMU</t>
  </si>
  <si>
    <t>BRC&amp;W NSU Class</t>
  </si>
  <si>
    <t>Itochu/Kinki/Kawasaki SP1900</t>
  </si>
  <si>
    <t>Alstom/CRRC Datong HXD2</t>
  </si>
  <si>
    <t>CRRC Qishuyan DF11</t>
  </si>
  <si>
    <t>Zhuzhou SS8</t>
  </si>
  <si>
    <t>Alstom/CRRC Datong HXD2B</t>
  </si>
  <si>
    <t>CRRC Dalian DF4</t>
  </si>
  <si>
    <t>Tangshan/Dalian/Sifang DF5</t>
  </si>
  <si>
    <t>Dalian 2-8-2 JS Class</t>
  </si>
  <si>
    <t>GE C40-8 'Dash-8'</t>
  </si>
  <si>
    <t>Kitson 2-2-2 3166-3171</t>
  </si>
  <si>
    <t>Burnham 2-6-0 15857-15871</t>
  </si>
  <si>
    <t>SA Franco-Belge 0-6-0 'Class 4'</t>
  </si>
  <si>
    <t>Sharp/BP 0-6-0 BDZ 142-150</t>
  </si>
  <si>
    <t>MAVAG 4-4-2 Class 203</t>
  </si>
  <si>
    <t>MAVAG 2-6-6-0 Class 601</t>
  </si>
  <si>
    <t>Ganz-MAVAG VM7 'V40'</t>
  </si>
  <si>
    <t>Stephenson/BP 2-2-2 LVCI Class 1</t>
  </si>
  <si>
    <t>Babcock 4-6-2+2-6-4T '462'</t>
  </si>
  <si>
    <t>Koechlin 0-6-0 '030'</t>
  </si>
  <si>
    <t>Hanomag/ALCO 4-8-0 '240'</t>
  </si>
  <si>
    <t>CRRC Sifang SFB-500</t>
  </si>
  <si>
    <t>Hitachi/Kawasaki Shinkansen Series 100</t>
  </si>
  <si>
    <t>SSW/Krauss E44</t>
  </si>
  <si>
    <t>AEG/Krupp E18</t>
  </si>
  <si>
    <t>Hitachi-Alstom Zefiro Class 895 'HS2'</t>
  </si>
  <si>
    <t>SLM 1100 'Crocodile'</t>
  </si>
  <si>
    <t>AEG/BBC/Henschel/Siemens E03</t>
  </si>
  <si>
    <t>SGP 1044</t>
  </si>
  <si>
    <t>SGP 1063</t>
  </si>
  <si>
    <t>Zuzhou SS6</t>
  </si>
  <si>
    <t>Zuzhou SS3</t>
  </si>
  <si>
    <t>Alsthom Z-431</t>
  </si>
  <si>
    <t>Alsthom CC 72000</t>
  </si>
  <si>
    <t>Alsthom BB 7200/NS 1600</t>
  </si>
  <si>
    <t>Alsthom CP 2600</t>
  </si>
  <si>
    <t>Alsthom BB 22200</t>
  </si>
  <si>
    <t>Alsthom BB 25500</t>
  </si>
  <si>
    <t>Alsthom Class 13 HLE</t>
  </si>
  <si>
    <t>Alsthom S-Tog IV</t>
  </si>
  <si>
    <t>Alsthom/Jeumont TCDD E8000</t>
  </si>
  <si>
    <t>Alsthom TGV 23000</t>
  </si>
  <si>
    <t>Alsthom TGV Duplex</t>
  </si>
  <si>
    <t>GEC-Alsthom Thalys PBKA</t>
  </si>
  <si>
    <t>Alsthom 'Pendolino' 680</t>
  </si>
  <si>
    <t>Alsthom AD30B</t>
  </si>
  <si>
    <t>Alsthom BB-BB 300</t>
  </si>
  <si>
    <t>GE W-1</t>
  </si>
  <si>
    <t>GE EL-2B</t>
  </si>
  <si>
    <t>Pullman Erie Lackawanna 2500 Series</t>
  </si>
  <si>
    <t>CSR Sifang 4-6-2 RM</t>
  </si>
  <si>
    <t>RVR DR1A</t>
  </si>
  <si>
    <t>Krauss-Maffei ML 2200</t>
  </si>
  <si>
    <t>ENGLISH_READONLY</t>
  </si>
  <si>
    <t>CRRC Dalian HXD3D</t>
  </si>
  <si>
    <t>H. K. Porter, Inc 2-6-0 7100</t>
  </si>
  <si>
    <t>ASEA Stockholm C8</t>
  </si>
  <si>
    <t>ASEA F</t>
  </si>
  <si>
    <t>Ganz Hunslet Budapest G2</t>
  </si>
  <si>
    <t>Fiat Grandi Motori D.341</t>
  </si>
  <si>
    <t>Fiat Grandi Motori D.345</t>
  </si>
  <si>
    <t>Ganz 'Hargita' M440</t>
  </si>
  <si>
    <t>Skoda 6Lo</t>
  </si>
  <si>
    <t>CONCEPT_READONLY</t>
  </si>
  <si>
    <t>ACME Corp. Turbobus</t>
  </si>
  <si>
    <t>ACME Corp. Pegasus</t>
  </si>
  <si>
    <t>ACME Corp. Chimaera</t>
  </si>
  <si>
    <t>ACME Corp. Chimaera Passenger Coach</t>
  </si>
  <si>
    <t>ACME Corp. Chimaera Mail Coach</t>
  </si>
  <si>
    <t>ACME Corp. HS001</t>
  </si>
  <si>
    <t>ACME Corp. HS002</t>
  </si>
  <si>
    <t>ACME Corp. V200D DMU</t>
  </si>
  <si>
    <t>ACME Corp. V200E EMU</t>
  </si>
  <si>
    <t>Ganz-MAVAG DVM2 'M44'</t>
  </si>
  <si>
    <t>ACME Corp. DD CargoEMU</t>
  </si>
  <si>
    <t>https://de.wikipedia.org/wiki/DR-Baureihe_V_180</t>
  </si>
  <si>
    <t>https://en.wikipedia.org/wiki/Pesa_Dart</t>
  </si>
  <si>
    <t>PESA 43WE 'DART'</t>
  </si>
  <si>
    <t>LEW EL2</t>
  </si>
  <si>
    <t>https://en.wikipedia.org/wiki/LEW_EL2</t>
  </si>
  <si>
    <t>Pafawag 201E</t>
  </si>
  <si>
    <t>https://en.wikipedia.org/wiki/PKP_class_ET22</t>
  </si>
  <si>
    <t>NOHAB AA16</t>
  </si>
  <si>
    <t>https://de.wikipedia.org/wiki/NOHAB_AA16</t>
  </si>
  <si>
    <t>LEW V100</t>
  </si>
  <si>
    <t>https://en.wikipedia.org/wiki/DR_Class_V_100</t>
  </si>
  <si>
    <t>ACME Corp. Sureot</t>
  </si>
  <si>
    <t>GE 44-ton switcher</t>
  </si>
  <si>
    <t>Valmet/Lokomo Dr12</t>
  </si>
  <si>
    <t>ALCO series 4000 4-8-8-4 'Big Boy'</t>
  </si>
  <si>
    <t>Henschel 895</t>
  </si>
  <si>
    <t>Henschel &amp; Sohn series 6300</t>
  </si>
  <si>
    <t>EMD/Clyde GL26C</t>
  </si>
  <si>
    <t>EMD/Clyde J26C</t>
  </si>
  <si>
    <t>EMD/Clyde JT46C</t>
  </si>
  <si>
    <t>ALCO/AE Goodwin DL-500B</t>
  </si>
  <si>
    <t>Henschel DH-1420</t>
  </si>
  <si>
    <t>Thyssen-Henschel EL17</t>
  </si>
  <si>
    <t>Ganz-MAVAG VM14 'V43'</t>
  </si>
  <si>
    <t>Alsthom CP 2500</t>
  </si>
  <si>
    <t>Ganz-MAVAG VM17 'BDVmot'</t>
  </si>
  <si>
    <t xml:space="preserve">EEC A.249 </t>
  </si>
  <si>
    <t>EEC A.253</t>
  </si>
  <si>
    <t>Metrowick/BP 786</t>
  </si>
  <si>
    <t>ALCO RSC-3 77732</t>
  </si>
  <si>
    <t>Ganz-MAVAG VM15 'V63'</t>
  </si>
  <si>
    <t>Raba M 030 'M28 Nyünyüke'</t>
  </si>
  <si>
    <t>Fablok 6D</t>
  </si>
  <si>
    <t>https://en.wikipedia.org/wiki/Stadler_FLIRT</t>
  </si>
  <si>
    <t>Stadler 'Flirt' PowerPack DMU</t>
  </si>
  <si>
    <t>https://en.wikipedia.org/wiki/PKP_class_SM42</t>
  </si>
  <si>
    <t>HCP 301D</t>
  </si>
  <si>
    <t>https://en.wikipedia.org/wiki/PKP_class_SU45</t>
  </si>
  <si>
    <t>JNR Container Bullet Train Concept</t>
  </si>
  <si>
    <t>https://note.com/jnr_era/n/nc2246eb31f4b?hl=en</t>
  </si>
  <si>
    <t>Bombardier Traxx F140 MS</t>
  </si>
  <si>
    <t>VT133 Wismar Railcar</t>
  </si>
  <si>
    <t>Hitachi WAG-6B/C</t>
  </si>
  <si>
    <t>https://en.wikipedia.org/wiki/Indian_locomotive_class_WAG-6B/C</t>
  </si>
  <si>
    <t>Toshiba 10E</t>
  </si>
  <si>
    <t>https://en.wikipedia.org/wiki/South_African_Class_10E</t>
  </si>
  <si>
    <t>GEC 9E</t>
  </si>
  <si>
    <t>https://en.wikipedia.org/wiki/South_African_Class_9E,_Series_1</t>
  </si>
  <si>
    <t>Hitachi E1100</t>
  </si>
  <si>
    <t>https://loco-info.com/view.aspx?id=11536&amp;t=Type&amp;cookies=decline</t>
  </si>
  <si>
    <t>RDSO/CLW WAM-4</t>
  </si>
  <si>
    <t>https://en.wikipedia.org/wiki/Indian_locomotive_class_WAM-4</t>
  </si>
  <si>
    <t>GE U26C</t>
  </si>
  <si>
    <t>Groupement 50 Hz WAM 1</t>
  </si>
  <si>
    <t>https://en.wikipedia.org/wiki/Indian_locomotive_class_WAM-1</t>
  </si>
  <si>
    <t>Baldwin-Lima-Hamilton RF-615-E</t>
  </si>
  <si>
    <t>https://www.wikidata.org/wiki/Q124754944</t>
  </si>
  <si>
    <t>EE/Dick, Kerr &amp; Co/Vulcan Foundry DE2</t>
  </si>
  <si>
    <t>https://en.wikipedia.org/wiki/Rhodesia_Railways_class_DE2</t>
  </si>
  <si>
    <t>https://en.wikipedia.org/wiki/Euskotren_TD2000_series</t>
  </si>
  <si>
    <t>Ingeteam TD2000 series</t>
  </si>
  <si>
    <t>rbs_Komarek_NOLB_1</t>
  </si>
  <si>
    <t>rbs_Kerr__Stuart___Co__86</t>
  </si>
  <si>
    <t>rbs_Victorian_Railways_Rowan_Railmotor</t>
  </si>
  <si>
    <t>rbs_Esslingen_Czm_1_2</t>
  </si>
  <si>
    <t>rbs_Maffei_MCCi</t>
  </si>
  <si>
    <t>rbs_Kitson___Co_CSAR_Railmotor</t>
  </si>
  <si>
    <t>rbs_Kerr_Stuart_steam_railmotor</t>
  </si>
  <si>
    <t>rbs_KkStB_4_0</t>
  </si>
  <si>
    <t>rbd_AEC_railmotor_RM1</t>
  </si>
  <si>
    <t>rbd_VT133_Wismar_Railcar</t>
  </si>
  <si>
    <t>rbd_AEC_Railcar</t>
  </si>
  <si>
    <t>rbd_Simmering_VT42</t>
  </si>
  <si>
    <t>rbd_Hutt_RM31</t>
  </si>
  <si>
    <t>rbd_NOHAB_CP_0100</t>
  </si>
  <si>
    <t>rbd_Budd_RDC</t>
  </si>
  <si>
    <t>rbd_Uerdingen_railbus</t>
  </si>
  <si>
    <t>rbd_MaK_GDT</t>
  </si>
  <si>
    <t>rbd_Allan_Kameel</t>
  </si>
  <si>
    <t>rbd_NS_DH1</t>
  </si>
  <si>
    <t>rbd_Jenbacher_Werke_5047</t>
  </si>
  <si>
    <t>rbd_Hunslet_Barclay_Super_Sprinter</t>
  </si>
  <si>
    <t>rbd_Vagonka_Studenka_809</t>
  </si>
  <si>
    <t>rbd_DWA_670</t>
  </si>
  <si>
    <t>rbd_RVR_AR2</t>
  </si>
  <si>
    <t>rbd_Austro_Daimler_Z1</t>
  </si>
  <si>
    <t>rbd_McKeen_Motor_Car_70</t>
  </si>
  <si>
    <t>rbd_BBC_DET_1_2_Sachsischer</t>
  </si>
  <si>
    <t>rbd_WC_PR_Drewry_Railcar</t>
  </si>
  <si>
    <t>rbd_LHW_BSt_6001</t>
  </si>
  <si>
    <t>rbd_EMC_DERM</t>
  </si>
  <si>
    <t>rbd_Tatra_M120_4</t>
  </si>
  <si>
    <t>rbd_Franz_Kruckenberg_Schienenzeppelin</t>
  </si>
  <si>
    <t>rbd_DSB_MO_Serie_1</t>
  </si>
  <si>
    <t>rbd_Strommens_Kristine_Valdresdatter</t>
  </si>
  <si>
    <t>rbd_Tatra_M290</t>
  </si>
  <si>
    <t>rbd_Werkspoor_DM37</t>
  </si>
  <si>
    <t>rbd_Eveleigh_400_Class</t>
  </si>
  <si>
    <t>rbd_Vale_do_Vouga_ME51_55</t>
  </si>
  <si>
    <t>rbd_Ateliers_Germain_42_43</t>
  </si>
  <si>
    <t>rbd_SGP_77783_1960</t>
  </si>
  <si>
    <t>rbd_Ferrostaal_Esslingen_AA_71</t>
  </si>
  <si>
    <t>rbd_Alsthom_Z_431</t>
  </si>
  <si>
    <t>rbd_Budd_SPV_2000</t>
  </si>
  <si>
    <t>rbd_CKD_Vagonka_Dm12</t>
  </si>
  <si>
    <t>rbd_Fiat_Ferroviaria_ALn_668_1400</t>
  </si>
  <si>
    <t>rbe_Ringhoffer_40_001</t>
  </si>
  <si>
    <t>rbe_Decauville_Z_7100</t>
  </si>
  <si>
    <t>rbe_HAWA_AEG_Kleinbahn_Nr__1_3</t>
  </si>
  <si>
    <t>rbe_Studenka_425_95</t>
  </si>
  <si>
    <t>rbe_Pozzuoli___OCREN_OM_ALe_840</t>
  </si>
  <si>
    <t>rbe_Stanga_ALe_80</t>
  </si>
  <si>
    <t>rbe_FS_E_623</t>
  </si>
  <si>
    <t>rbe_ONCF_ZAB1000</t>
  </si>
  <si>
    <t>rbe_Pesa_308B</t>
  </si>
  <si>
    <t>rbe_Franz_Knotz_4855</t>
  </si>
  <si>
    <t>rbe_Lindner_Talbot_ET_10_109</t>
  </si>
  <si>
    <t>rbe_Waggonfabrik_Fuchs_ET_85</t>
  </si>
  <si>
    <t>rbe_ASJ_Y6</t>
  </si>
  <si>
    <t>rbe_Budd_Silverliner_II</t>
  </si>
  <si>
    <t>rbe_Hyundai_Rotem_Silverliner_V</t>
  </si>
  <si>
    <t>steam_John_Cockerill___Cie__Le_Belge</t>
  </si>
  <si>
    <t>steam_GWR_4_4_0_American</t>
  </si>
  <si>
    <t>steam_Esslingen_Ec_2_5</t>
  </si>
  <si>
    <t>steam_Norris_4_6_0_Ten_wheeler</t>
  </si>
  <si>
    <t>steam_Baldwin_2_8_0_Consolidation</t>
  </si>
  <si>
    <t>steam_MAV_377</t>
  </si>
  <si>
    <t>steam_Krauss_KkStB_99</t>
  </si>
  <si>
    <t>steam_McIntosh__Caledonian_Railway__439</t>
  </si>
  <si>
    <t>steam_SLM_Winterthur_A_3_5</t>
  </si>
  <si>
    <t>steam_SLM_Winterthur_E_3_3</t>
  </si>
  <si>
    <t>steam_Krauss_299</t>
  </si>
  <si>
    <t>steam_NZR_X</t>
  </si>
  <si>
    <t>steam_FS_880</t>
  </si>
  <si>
    <t>steam_FCNEA_11B_2_8_0</t>
  </si>
  <si>
    <t>steam_Schneider_et_Cie_140C</t>
  </si>
  <si>
    <t>steam_GWR_4900_Hall</t>
  </si>
  <si>
    <t>steam_GWR_5700_Pannier</t>
  </si>
  <si>
    <t>steam_Henschel___Sohn_series_6300</t>
  </si>
  <si>
    <t>steam_Baldwin_5000_Madame_Queen</t>
  </si>
  <si>
    <t>steam_Schwartzkopff_S_10_Prussian</t>
  </si>
  <si>
    <t>steam_LMS_5MT_Black_Five</t>
  </si>
  <si>
    <t>steam_Kolomena_9P</t>
  </si>
  <si>
    <t>steam_LNER_A4_Gresley</t>
  </si>
  <si>
    <t>steam_MLW_Royal_Hudson</t>
  </si>
  <si>
    <t>steam_NOHAB_4_6_2_F</t>
  </si>
  <si>
    <t>steam_GGL_HAS_52</t>
  </si>
  <si>
    <t>steam_Doncaster_Darlington_Peppercorn</t>
  </si>
  <si>
    <t>steam_Henschel___Son_Condenser</t>
  </si>
  <si>
    <t>steam_Kolomena_P36</t>
  </si>
  <si>
    <t>steam_ANF_DEL_150B</t>
  </si>
  <si>
    <t>steam_Henschel_895</t>
  </si>
  <si>
    <t>steam_H__Cegielski_OKz32</t>
  </si>
  <si>
    <t>steam_SLM_C_5_6_Elephant</t>
  </si>
  <si>
    <t>steam_ALCO_series_4000_4_8_8_4_Big_Boy</t>
  </si>
  <si>
    <t>steam_Sharp_Stewart_3557_3565</t>
  </si>
  <si>
    <t>steam_GWR_Iron_Duke</t>
  </si>
  <si>
    <t>steam_Stephenson_0_4_2_Locomotive_No_1</t>
  </si>
  <si>
    <t>steam_Cooke_4_2_2_T__D__Judah</t>
  </si>
  <si>
    <t>steam_Beyer__P___Co_2_4_0_SS_9_16__21_78</t>
  </si>
  <si>
    <t>steam_Beyer__P___Co_2_6_0T_1702_1706</t>
  </si>
  <si>
    <t>steam_Beyer__P___Co_2_6_0_2073_2092</t>
  </si>
  <si>
    <t>steam_Canadian_Pacific_374</t>
  </si>
  <si>
    <t>steam_Nasmyth__Wilson___Co_35_tonner_4_6_0T</t>
  </si>
  <si>
    <t>steam_Schneider_RENFE_040</t>
  </si>
  <si>
    <t>steam_Sachsische_Maschinenfabrik_IV_K</t>
  </si>
  <si>
    <t>steam_Hanomag_S_3</t>
  </si>
  <si>
    <t>steam_Thune_XXIa</t>
  </si>
  <si>
    <t>steam_PRR_D16</t>
  </si>
  <si>
    <t>steam_Machinefabriek_Breda_661_667</t>
  </si>
  <si>
    <t>steam_ALCO_46581_2_6_6_2_Mallet</t>
  </si>
  <si>
    <t>steam_Orenstein___Koppel_2_8_0_8_Tender</t>
  </si>
  <si>
    <t>steam_Stratford_Works_L77_LNER_N7</t>
  </si>
  <si>
    <t>steam_Sachsische_Maschinenfabrik_XX_HV</t>
  </si>
  <si>
    <t>steam_Beyer__P___Co_2_4_0_SS_9_16</t>
  </si>
  <si>
    <t>steam_Beyer__P___Co_2_6_0_6112_6113</t>
  </si>
  <si>
    <t>steam_Baldwin_10_32_E_55246</t>
  </si>
  <si>
    <t>steam_Vulcan_Foundry_2_6_4_Class_XB</t>
  </si>
  <si>
    <t>steam_Robert_Stephenson_4_6_2_6982_6985</t>
  </si>
  <si>
    <t>steam_ENR_1100__LMS_Fowler_3F___WD_0_6_0T_</t>
  </si>
  <si>
    <t>steam_Swindon_Works_381</t>
  </si>
  <si>
    <t>steam_North_British_LC_R_4_6_4_Hudson</t>
  </si>
  <si>
    <t>steam_VEB_2_10_2T_99_77_79</t>
  </si>
  <si>
    <t>steam_RAW_Meiningen_4_6_2_89_</t>
  </si>
  <si>
    <t>steam_NZR_4_6_4T_WAB</t>
  </si>
  <si>
    <t>steam_Clyde_4_8_2_D57</t>
  </si>
  <si>
    <t>steam_Islington_Railway_Workshops_81_92_520</t>
  </si>
  <si>
    <t>steam_Beyer__P___Co_4_8_4_4_8_4_7473_7497</t>
  </si>
  <si>
    <t>steam_AFE_N1_2_6_0</t>
  </si>
  <si>
    <t>steam_Sir_Armstrong_Whithworth___Co__PS11</t>
  </si>
  <si>
    <t>steam_Alexander_Chaplin___Co__1584_0_4_0VB</t>
  </si>
  <si>
    <t>steam_Falcon_Engine_and_Car_Works_F2</t>
  </si>
  <si>
    <t>steam_Ansaldo_R_440_Mallet</t>
  </si>
  <si>
    <t>steam_Beyer__P___Co__4_8_0_6128_6133</t>
  </si>
  <si>
    <t>steam_Vulcan_Foundry_4_8_2_4318_4320</t>
  </si>
  <si>
    <t>steam_Beyer__P___Co__4_6_4_4_6_4_15th</t>
  </si>
  <si>
    <t>steam_Beyer__P___Co__4_8_2_2_8_4_7550_7552</t>
  </si>
  <si>
    <t>steam_Vulcan_Foundry_2_8_4_6228</t>
  </si>
  <si>
    <t>steam_Kitson_2_2_2WT_481_Fairy_Queen</t>
  </si>
  <si>
    <t>steam_Sharp__Stewart___Co_0_4_0ST_DHR_B</t>
  </si>
  <si>
    <t>steam_Baldwin_2_8_0_Sentetsu_Sorii</t>
  </si>
  <si>
    <t>steam_Putilov_4_6_0_U</t>
  </si>
  <si>
    <t>steam_Baldwin_12_44_F_2_10_0_Ye</t>
  </si>
  <si>
    <t>steam_Baldwin_4_6_0_50201</t>
  </si>
  <si>
    <t>steam_FS_480</t>
  </si>
  <si>
    <t>steam_FS_691</t>
  </si>
  <si>
    <t>steam_North_British_Lb_2_10_0</t>
  </si>
  <si>
    <t>steam_ALCO_Baldwin_2_8_0_USATC_S160</t>
  </si>
  <si>
    <t>steam_Skoda_6Lo</t>
  </si>
  <si>
    <t>steam_Hanomag_Fablok_4_6_0_Ok22</t>
  </si>
  <si>
    <t>steam_MAVAG_4_8_0_424</t>
  </si>
  <si>
    <t>steam_MAVAG_4_4_4T_242</t>
  </si>
  <si>
    <t>steam_Vulcan_Foundry_2_8_0_Liberation</t>
  </si>
  <si>
    <t>steam_Fablok_2_6_2_OI49</t>
  </si>
  <si>
    <t>steam_Floridsdorf_2_6_2_KkStB_310</t>
  </si>
  <si>
    <t>steam_Lima__4_8_4_7798_7817_Daylight</t>
  </si>
  <si>
    <t>steam_GS_WR_0_6_0_101</t>
  </si>
  <si>
    <t>steam_ALCO_2_8_2_5100_5194_Light_Mikado</t>
  </si>
  <si>
    <t>steam_FCGR__BAGS__No__315_2_4_0T</t>
  </si>
  <si>
    <t>steam_Eveleigh_4_6_0_C35</t>
  </si>
  <si>
    <t>steam_ALCO_2_8_0_74707_74785_Type_29</t>
  </si>
  <si>
    <t>steam_FCAB_4_8_2_Vulcan_Mountain</t>
  </si>
  <si>
    <t>steam_Datong_QJ_2_10_2_101_3602</t>
  </si>
  <si>
    <t>diesel_DB_Kof_II___DB_322</t>
  </si>
  <si>
    <t>diesel_CNJ_ALCo_GE_IR_Boxcab_100T</t>
  </si>
  <si>
    <t>diesel_Werkspoor_200_Sik</t>
  </si>
  <si>
    <t>diesel_BMAG_WR_200_B_14</t>
  </si>
  <si>
    <t>diesel_BBC_SLM_Am_4_6</t>
  </si>
  <si>
    <t>diesel_GE_44_ton_switcher</t>
  </si>
  <si>
    <t>diesel_ALCO_S_2</t>
  </si>
  <si>
    <t>diesel_EMD_F3</t>
  </si>
  <si>
    <t>diesel_EMD_E8</t>
  </si>
  <si>
    <t>diesel_EFCB_ALCO_RS_3</t>
  </si>
  <si>
    <t>diesel_English_Electric_Bakkie</t>
  </si>
  <si>
    <t>diesel_Baldwin_RF_16_Sharknose</t>
  </si>
  <si>
    <t>diesel_AFE_1500</t>
  </si>
  <si>
    <t>diesel_FM_H_24_66_Trainmaster</t>
  </si>
  <si>
    <t>diesel_BR_Class_08_0_6_0DE</t>
  </si>
  <si>
    <t>diesel_Jenbacher_Werke_2060</t>
  </si>
  <si>
    <t>diesel_EMD_SW1200</t>
  </si>
  <si>
    <t>diesel_EMD_FP9</t>
  </si>
  <si>
    <t>diesel_Ganz_MAVAG_DVM2_M44</t>
  </si>
  <si>
    <t>diesel_Krauss_Maffei_V200</t>
  </si>
  <si>
    <t>diesel_EMD_FL9</t>
  </si>
  <si>
    <t>diesel_CKD_T_435_0</t>
  </si>
  <si>
    <t>diesel_Valmet_Lokomo_Dr12</t>
  </si>
  <si>
    <t>diesel_Electroputre_060_DA</t>
  </si>
  <si>
    <t>diesel_EMD_GL8</t>
  </si>
  <si>
    <t>diesel_Krauss_Maffei_ML_4000</t>
  </si>
  <si>
    <t>diesel_Kolomna_TEP60</t>
  </si>
  <si>
    <t>diesel_BN_ACEC_62</t>
  </si>
  <si>
    <t>diesel_MaK_100</t>
  </si>
  <si>
    <t>diesel_ALCO_DL560C_WDM_2</t>
  </si>
  <si>
    <t>diesel_BR_14_0_6_0DH</t>
  </si>
  <si>
    <t>diesel_CKD_T_669</t>
  </si>
  <si>
    <t>diesel_UGOFE_GM_EMD_J16CW_AC</t>
  </si>
  <si>
    <t>diesel_LTZ_M62</t>
  </si>
  <si>
    <t>diesel_EMD_Clyde_J26C</t>
  </si>
  <si>
    <t>diesel_GE_G22W</t>
  </si>
  <si>
    <t>diesel_EMD_DDA40X</t>
  </si>
  <si>
    <t>diesel_EMD_Clyde_GL26C</t>
  </si>
  <si>
    <t>diesel_EMD_G26</t>
  </si>
  <si>
    <t>diesel_Henschel_TGOJ_V4</t>
  </si>
  <si>
    <t>diesel_MLW_M420W</t>
  </si>
  <si>
    <t>diesel_EMD_SDP_40F</t>
  </si>
  <si>
    <t>diesel_Sifang_DFH3</t>
  </si>
  <si>
    <t>diesel_EMD_F40PH</t>
  </si>
  <si>
    <t>diesel_Sorefame_Alsthom_1900</t>
  </si>
  <si>
    <t>diesel_Valmet_Oy_Dr16</t>
  </si>
  <si>
    <t>diesel_Kolomena_TEP80</t>
  </si>
  <si>
    <t>diesel_EMD_Clyde_JT46C</t>
  </si>
  <si>
    <t>diesel_GE_P42DC_Genesis</t>
  </si>
  <si>
    <t>diesel_Tulomsas_TCDD_DH7000</t>
  </si>
  <si>
    <t>diesel_GE_U20C</t>
  </si>
  <si>
    <t>diesel_EMD_JT42CWRM</t>
  </si>
  <si>
    <t>diesel_EMD_JT42HW_HS</t>
  </si>
  <si>
    <t>diesel_Alstom_DE43CA_Prima</t>
  </si>
  <si>
    <t>diesel_LTZ_TEP150</t>
  </si>
  <si>
    <t>diesel_GE_CRRC_Qishuyan_ES59ACi</t>
  </si>
  <si>
    <t>diesel_Voith_Gravita_10_BB</t>
  </si>
  <si>
    <t>diesel_Voronezh_VNIIZHT_GT1</t>
  </si>
  <si>
    <t>diesel_Siemens_ER20_Eurorunner</t>
  </si>
  <si>
    <t>diesel_Voith_Maxima_40_CC</t>
  </si>
  <si>
    <t>diesel_Hohenzollern_Emch3</t>
  </si>
  <si>
    <t>diesel_Canadian_Locomotive_Company_V_1</t>
  </si>
  <si>
    <t>diesel_LMS_7051_Diesel_Shunter</t>
  </si>
  <si>
    <t>diesel_EMC_TA</t>
  </si>
  <si>
    <t>diesel_Baldwin_VO_660</t>
  </si>
  <si>
    <t>diesel_LMS_No__7080_D3_7</t>
  </si>
  <si>
    <t>diesel_Queensland_Railways_DL</t>
  </si>
  <si>
    <t>diesel_FM_H_10_44</t>
  </si>
  <si>
    <t>diesel_Baldwin_DRS6_4_1000</t>
  </si>
  <si>
    <t>diesel_CIE_113</t>
  </si>
  <si>
    <t>diesel_Baldwin_AS_616</t>
  </si>
  <si>
    <t>diesel_FM_H_16_44</t>
  </si>
  <si>
    <t>diesel_Islington_Railway_Workshops_SAR_900</t>
  </si>
  <si>
    <t>diesel_EMD_G12_A608_M2</t>
  </si>
  <si>
    <t>diesel_Metropolitan_Vickers_CIE_001</t>
  </si>
  <si>
    <t>diesel_Fiat_Grandi_Motori_D_341</t>
  </si>
  <si>
    <t>diesel_ALCO_AE_Goodwin_DL_500B</t>
  </si>
  <si>
    <t>diesel_Henschel_DH_1420</t>
  </si>
  <si>
    <t>diesel_EMD_SD18</t>
  </si>
  <si>
    <t>diesel_Fiat_Grandi_Motori_D_345</t>
  </si>
  <si>
    <t>diesel_Henschel_Di4</t>
  </si>
  <si>
    <t>diesel_Qishuyan_DF8</t>
  </si>
  <si>
    <t>diesel_Brush_Class_60</t>
  </si>
  <si>
    <t>diesel_GE_Goninan_CM25_8</t>
  </si>
  <si>
    <t>diesel_EMD_SD70ACS</t>
  </si>
  <si>
    <t>diesel_GMD_JT42HCW</t>
  </si>
  <si>
    <t>diesel_EMD_F59PH</t>
  </si>
  <si>
    <t>diesel_MaK___Vossloh_G1206</t>
  </si>
  <si>
    <t>diesel_Vossloh_G_2000_BB</t>
  </si>
  <si>
    <t>diesel_MPI_MP40PH_3C</t>
  </si>
  <si>
    <t>diesel_INKA_CC300</t>
  </si>
  <si>
    <t>diesel_Great_Southern_Railway_DH501</t>
  </si>
  <si>
    <t>diesel_EE_VFFLB</t>
  </si>
  <si>
    <t>diesel_GE_U5B</t>
  </si>
  <si>
    <t>diesel_ALCO_RSD_39</t>
  </si>
  <si>
    <t>diesel_EMD_DDM45</t>
  </si>
  <si>
    <t>diesel_GE_C39_8__FCCA_</t>
  </si>
  <si>
    <t>diesel_SOFSE_319_3</t>
  </si>
  <si>
    <t>diesel_CNR_CKD8G</t>
  </si>
  <si>
    <t>diesel_AEG_SAR_DS</t>
  </si>
  <si>
    <t>diesel_GM_GT_26_W__040DG_</t>
  </si>
  <si>
    <t>diesel_EMD_GL8__040DF_</t>
  </si>
  <si>
    <t>diesel_LTZ_TE114E</t>
  </si>
  <si>
    <t>diesel_GM_GL_18_B__040DJ_</t>
  </si>
  <si>
    <t>diesel_Alsthom_CC_72000</t>
  </si>
  <si>
    <t>diesel_LTZ_TEP10L</t>
  </si>
  <si>
    <t>diesel_LTZ_2TE10M</t>
  </si>
  <si>
    <t>diesel_FAUR_LDE1300</t>
  </si>
  <si>
    <t>diesel_LTZ_2TE126</t>
  </si>
  <si>
    <t>diesel_LTZ_2TE10Ut</t>
  </si>
  <si>
    <t>diesel_CMKS_709_0_4_0DE</t>
  </si>
  <si>
    <t>diesel_Antonio_Badoni_Lecco_Sogliole_207</t>
  </si>
  <si>
    <t>diesel_Baldwin_0_6_6_0_1000</t>
  </si>
  <si>
    <t>diesel_ALCO_RSC_2</t>
  </si>
  <si>
    <t>diesel_Brissonneau_and_Lotz_BB_67400</t>
  </si>
  <si>
    <t>diesel_MaK_DE_6400</t>
  </si>
  <si>
    <t>diesel_GE_ES40ACi</t>
  </si>
  <si>
    <t>diesel_Vossloh_Afro_4000</t>
  </si>
  <si>
    <t>diesel_GE_U10B</t>
  </si>
  <si>
    <t>diesel_EMD_Pacific_GT26C_3</t>
  </si>
  <si>
    <t>diesel_CargoNet_312</t>
  </si>
  <si>
    <t>diesel_GE_Pacific_C44ESACi</t>
  </si>
  <si>
    <t>diesel_Stadler_UKLight</t>
  </si>
  <si>
    <t>diesel_Siemens_Charger_ALC_42</t>
  </si>
  <si>
    <t>mtro_Buenos_Aires_Le_Brugeoise</t>
  </si>
  <si>
    <t>mtro_ACF_New_York_R1</t>
  </si>
  <si>
    <t>mtro_LHB_ET_171</t>
  </si>
  <si>
    <t>mtro_GEC_Alsthom_Paris_MP55</t>
  </si>
  <si>
    <t>mtro_LHB_Lisbon_ML7</t>
  </si>
  <si>
    <t>mtro_MMZ_Budapest_Ev3</t>
  </si>
  <si>
    <t>mtro_Strommens_Oslo_T1000</t>
  </si>
  <si>
    <t>mtro_Hawker_Siddeley_Toronto_H1</t>
  </si>
  <si>
    <t>mtro_MAN_Munchen_MVG_A2</t>
  </si>
  <si>
    <t>mtro_St__Louis_Car_Co_New_York_R44</t>
  </si>
  <si>
    <t>mtro_LHB_Amsterdam_M1</t>
  </si>
  <si>
    <t>mtro_ASEA_Stockholm_C8</t>
  </si>
  <si>
    <t>mtro_AEG_Pyongyang_D</t>
  </si>
  <si>
    <t>mtro_Valmet_Helsinki_M100</t>
  </si>
  <si>
    <t>mtro_Sorefame_Sao_Paulo_Serie_5500</t>
  </si>
  <si>
    <t>mtro_MMZ_Moscow_81_720</t>
  </si>
  <si>
    <t>mtro_Kawasaki_Tokyo_S01</t>
  </si>
  <si>
    <t>mtro_Kinki_Sharyo_Vcairo</t>
  </si>
  <si>
    <t>mtro_LHB_London_DLR_P86</t>
  </si>
  <si>
    <t>mtro_MMZ_Moscow_81_717_5M</t>
  </si>
  <si>
    <t>mtro_Bombardier_Boston_01800</t>
  </si>
  <si>
    <t>mtro_Breda_LA_A650</t>
  </si>
  <si>
    <t>mtro_Kawasaki_Taipei_C301</t>
  </si>
  <si>
    <t>mtro_CAF_Amsterdam_S3_90</t>
  </si>
  <si>
    <t>mtro_GEC_Alsthom_Paris_MP89</t>
  </si>
  <si>
    <t>mtro_MMZ_Moscow_81_740</t>
  </si>
  <si>
    <t>mtro_Alstom_Singapore_C830_Metropolis</t>
  </si>
  <si>
    <t>mtro_Siemens_Oslo_MX3000</t>
  </si>
  <si>
    <t>mtro_Kawasaki_Osaka_30000</t>
  </si>
  <si>
    <t>mtro_Kawasaki_Singapore_C151A</t>
  </si>
  <si>
    <t>mtro_Kawasaki_Washington_7000</t>
  </si>
  <si>
    <t>mtro_Hitachi_Thessaloniki_2014</t>
  </si>
  <si>
    <t>mtro_AEG_Berlin_U_Bahn_A_I</t>
  </si>
  <si>
    <t>mtro_ACF_New_York_Hedley_Hi_V</t>
  </si>
  <si>
    <t>mtro_Kawasaki_Osaka_1000</t>
  </si>
  <si>
    <t>mtro_MMZ_Moscow_Type_A</t>
  </si>
  <si>
    <t>mtro_ACF_New_York_R10</t>
  </si>
  <si>
    <t>mtro_Stanga_Rome_MR_100</t>
  </si>
  <si>
    <t>mtro_MMZ_Moscow_Type_D</t>
  </si>
  <si>
    <t>mtro_Werkspoor_Rotterdam_MG2_Type_M</t>
  </si>
  <si>
    <t>mtro_MMZ_Prague_ECS_Set</t>
  </si>
  <si>
    <t>mtro_Hitachi_Buenos_Aires_Serie_1200</t>
  </si>
  <si>
    <t>mtro_GEC_Alsthom_Santiago_NS_93</t>
  </si>
  <si>
    <t>mtro_Alstom_Brasil_Santiago_AS_2002</t>
  </si>
  <si>
    <t>mtro_TUDH_Recife_VLT_Mobile_3</t>
  </si>
  <si>
    <t>mtro_CAF_Madrid_Series_5000</t>
  </si>
  <si>
    <t>mtro_CAF_Rome_S_300</t>
  </si>
  <si>
    <t>mtro_CAF_Algiers_2011_Stock</t>
  </si>
  <si>
    <t>mtro_Stadler_Berlin_U_Bahn_IK</t>
  </si>
  <si>
    <t>mtro_St__Louis_Car_Company_Chicago_L_6000_Series</t>
  </si>
  <si>
    <t>mtro_BRC_W_London_1903_Stock</t>
  </si>
  <si>
    <t>mtro_London_1938_Stock</t>
  </si>
  <si>
    <t>electric_NER_EF1</t>
  </si>
  <si>
    <t>electric_JNR_EB10</t>
  </si>
  <si>
    <t>electric_Hitachi_Kawasaki_EF55</t>
  </si>
  <si>
    <t>electric_SLM_NS_1000</t>
  </si>
  <si>
    <t>electric_Alsthom_BB_7200_NS_1600</t>
  </si>
  <si>
    <t>electric_Victorian_Railways_E</t>
  </si>
  <si>
    <t>electric_British_Thomson_Houston_ES1</t>
  </si>
  <si>
    <t>electric_ALCO_GE_NYC_S_Motor_S1</t>
  </si>
  <si>
    <t>electric_Nippon_Sharyo_DeKi_400</t>
  </si>
  <si>
    <t>electric_Vulcan_Foundry_SLM_EF_1</t>
  </si>
  <si>
    <t>electric_Jeumont_Schneider_BB_9004</t>
  </si>
  <si>
    <t>electric_Werkspoor_ESS_3200</t>
  </si>
  <si>
    <t>electric_Metropolitan_Vicerks_EM2</t>
  </si>
  <si>
    <t>electric_NER_EE1</t>
  </si>
  <si>
    <t>electric_GE_ES_2</t>
  </si>
  <si>
    <t>electric_GE_2_4_8_0_0_8_4_2_EP2</t>
  </si>
  <si>
    <t>electric_EFE_E_28</t>
  </si>
  <si>
    <t>electric_Breda_E_428</t>
  </si>
  <si>
    <t>electric_Werkspoor_SAR_ES</t>
  </si>
  <si>
    <t>electric_English_Electric_E__AEI_E_</t>
  </si>
  <si>
    <t>electric_HCP_203E</t>
  </si>
  <si>
    <t>electric_Pafawag_104E</t>
  </si>
  <si>
    <t>electric_Skoda_98E</t>
  </si>
  <si>
    <t>electric_TIBB_E_646</t>
  </si>
  <si>
    <t>electric_Breda_E_424</t>
  </si>
  <si>
    <t>electric_Savigliano_E_444</t>
  </si>
  <si>
    <t>electric_Fiat_E_633</t>
  </si>
  <si>
    <t>electric_BN_ACEC_25_5</t>
  </si>
  <si>
    <t>electric_Krauss_Maffei_CAF_250</t>
  </si>
  <si>
    <t>electric_EFE_E_29</t>
  </si>
  <si>
    <t>electric_EFE_E_17</t>
  </si>
  <si>
    <t>electric_Alsthom_E_700</t>
  </si>
  <si>
    <t>electric_Vulcan_Foundry_EE_EM_1</t>
  </si>
  <si>
    <t>electric_Union_Carriage___Wagon_E38</t>
  </si>
  <si>
    <t>electric_Mitsubishi_series_269</t>
  </si>
  <si>
    <t>electric_Skoda_69E</t>
  </si>
  <si>
    <t>electric_AEG_Skabo_EL7</t>
  </si>
  <si>
    <t>electric_Westinghouse_FF_1_Big_Liz_</t>
  </si>
  <si>
    <t>electric_ELIN_Floridsdorf_1161</t>
  </si>
  <si>
    <t>electric_Maffei_SSW_Lok_5_Adolphine</t>
  </si>
  <si>
    <t>electric_Thune_ASEA_EL10</t>
  </si>
  <si>
    <t>electric_AEG_E_04</t>
  </si>
  <si>
    <t>electric_GE_4_6_0_0_6_4OE_GG_1</t>
  </si>
  <si>
    <t>electric_SLM_1100_Crocodile</t>
  </si>
  <si>
    <t>electric_AEG_BBC_Henschel_Siemens_E03</t>
  </si>
  <si>
    <t>electric_Krauss_WASSEG_E_91_9</t>
  </si>
  <si>
    <t>electric_SLM_Ce_4_4</t>
  </si>
  <si>
    <t>electric_SLM_Ae_6_6</t>
  </si>
  <si>
    <t>electric_SLM_ABB_Lok_2000</t>
  </si>
  <si>
    <t>electric_Stadler_Butler_Eem_923</t>
  </si>
  <si>
    <t>electric_SGP_1044</t>
  </si>
  <si>
    <t>electric_SGP_1063</t>
  </si>
  <si>
    <t>electric_ASEA_Dm3</t>
  </si>
  <si>
    <t>electric_Bombardier_Traxx_H80_AC</t>
  </si>
  <si>
    <t>electric_Siemens_Oa</t>
  </si>
  <si>
    <t>electric_ASEA_F</t>
  </si>
  <si>
    <t>electric_Thyssen_Henschel_EL17</t>
  </si>
  <si>
    <t>electric_Borsig_SSW_ES_6</t>
  </si>
  <si>
    <t>electric_GE_EL_2B</t>
  </si>
  <si>
    <t>electric_GE_W_1</t>
  </si>
  <si>
    <t>electric_Westinghouse_6wOE_B1</t>
  </si>
  <si>
    <t>electric_Siemens_E40_AG_V1</t>
  </si>
  <si>
    <t>electric_Zuzhou_SS6</t>
  </si>
  <si>
    <t>electric_Zuzhou_SS3</t>
  </si>
  <si>
    <t>electric_Toshiba_CNR_Dalian_HXD3</t>
  </si>
  <si>
    <t>electric_Toshiba_CRRC_HXD1D</t>
  </si>
  <si>
    <t>electric_Kawasaki_6K</t>
  </si>
  <si>
    <t>electric_GE_E44</t>
  </si>
  <si>
    <t>electric_ASEA_Koncar_Rb</t>
  </si>
  <si>
    <t>electric_Ganz_MAVAG_VM14_V43</t>
  </si>
  <si>
    <t>electric_Alsthom_CP_2500</t>
  </si>
  <si>
    <t>electric_Alsthom_CP_2600</t>
  </si>
  <si>
    <t>electric_ZELC_20E_China_Doll</t>
  </si>
  <si>
    <t>electric_DEVZ_DS3</t>
  </si>
  <si>
    <t>electric_Skoda_47E</t>
  </si>
  <si>
    <t>electric_Ansaldo___Breda_C_F_E_491</t>
  </si>
  <si>
    <t>electric_ASEA_Electroputere_Rb</t>
  </si>
  <si>
    <t>electric_CEF_BB_1600</t>
  </si>
  <si>
    <t>electric_BR_85</t>
  </si>
  <si>
    <t>electric_GE_E60C_2</t>
  </si>
  <si>
    <t>electric_Alstom_Prima_II</t>
  </si>
  <si>
    <t>electric_Toshiba_EA</t>
  </si>
  <si>
    <t>electric_ASEA_GMD_GF6C</t>
  </si>
  <si>
    <t>electric_Alsthom_BB_22200</t>
  </si>
  <si>
    <t>electric_GEC_Alsthom_BB_26000</t>
  </si>
  <si>
    <t>electric_Alsthom_BB_25500</t>
  </si>
  <si>
    <t>electric_Siemens_Eurosprinter_ES64U4</t>
  </si>
  <si>
    <t>electric_Toshiba_EH500</t>
  </si>
  <si>
    <t>electric_ASEA_EMD_AEM_7</t>
  </si>
  <si>
    <t>electric_Bombardier_Alstom_HHP_8</t>
  </si>
  <si>
    <t>electric_Skoda_109E</t>
  </si>
  <si>
    <t>electric_CAF_Macosa_252</t>
  </si>
  <si>
    <t>electric_Bombardier_Traxx_F140_MS</t>
  </si>
  <si>
    <t>electric_TIBB_E_550</t>
  </si>
  <si>
    <t>electric_Hitachi_EF81</t>
  </si>
  <si>
    <t>electric_ABB_Brush_Class_92</t>
  </si>
  <si>
    <t>electric_Siemens_ACS_64</t>
  </si>
  <si>
    <t>electric_Alsthom_CC_40101</t>
  </si>
  <si>
    <t>electric_Alsthom_Class_13_HLE</t>
  </si>
  <si>
    <t>dmu_LHB_VT_04_0_Flying_Hamburger</t>
  </si>
  <si>
    <t>dmu_Harland___Wolf_Silver_City_Comet</t>
  </si>
  <si>
    <t>dmu_Tatra_M131</t>
  </si>
  <si>
    <t>dmu_MAN_VT_08_5</t>
  </si>
  <si>
    <t>dmu_South_Australian_Railways_400_Redhen</t>
  </si>
  <si>
    <t>dmu_MAN_LHB_VT11_5___DB_601_TEE</t>
  </si>
  <si>
    <t>dmu_Werkspoor_Plan_U_DE_III</t>
  </si>
  <si>
    <t>dmu_UAC_Turbo_Train</t>
  </si>
  <si>
    <t>dmu_JZ_811</t>
  </si>
  <si>
    <t>dmu_BREL_43_IC125</t>
  </si>
  <si>
    <t>dmu_Bombardier_M6109</t>
  </si>
  <si>
    <t>dmu_ABB_IC3_Y2</t>
  </si>
  <si>
    <t>dmu_CAF_594_TRD</t>
  </si>
  <si>
    <t>dmu_Adtranz_Class_168_Clubman</t>
  </si>
  <si>
    <t>dmu_Adtranz_Class_612_Regio_Swinger</t>
  </si>
  <si>
    <t>dmu_Siemens_Desiro</t>
  </si>
  <si>
    <t>dmu_Alstom_Coradia_LINT</t>
  </si>
  <si>
    <t>dmu_Bombardier_Talent_NSB_BM_93</t>
  </si>
  <si>
    <t>dmu_UGL_WD_Prospector</t>
  </si>
  <si>
    <t>dmu_UGL_Hunter_Railcar</t>
  </si>
  <si>
    <t>dmu_MVM_RA2</t>
  </si>
  <si>
    <t>dmu_AnsaldoBreda_IC4</t>
  </si>
  <si>
    <t>dmu_TZV_Gredelj_7022</t>
  </si>
  <si>
    <t>dmu_Fiat_TCDD_MT_5500</t>
  </si>
  <si>
    <t>dmu_Fuji_KiHa_181</t>
  </si>
  <si>
    <t>dmu_Vagonka_Studenka_814</t>
  </si>
  <si>
    <t>dmu_BR_150_0_Sprinter</t>
  </si>
  <si>
    <t>dmu_BREL_141_Pacer</t>
  </si>
  <si>
    <t>dmu_ABB_IC3__Israel_</t>
  </si>
  <si>
    <t>dmu_Comeng_3100</t>
  </si>
  <si>
    <t>dmu_ABB_Xplorer</t>
  </si>
  <si>
    <t>dmu_Niigata_Transys_KiHa_189</t>
  </si>
  <si>
    <t>dmu_Integral_Coach_Factory_S11</t>
  </si>
  <si>
    <t>dmu_ZOS_Vrutky_861</t>
  </si>
  <si>
    <t>dmu_CAF_TLD_500</t>
  </si>
  <si>
    <t>dmu_Camrail_ZE_500</t>
  </si>
  <si>
    <t>dmu_Metro_Cammell_251_Blue_Pullman</t>
  </si>
  <si>
    <t>dmu_Comeng_ADK</t>
  </si>
  <si>
    <t>dmu_ANF_X_4630</t>
  </si>
  <si>
    <t>dmu_ANF_T_2000</t>
  </si>
  <si>
    <t>dmu_Duwag_Wadloper</t>
  </si>
  <si>
    <t>dmu_Duwag_628_2</t>
  </si>
  <si>
    <t>dmu_CAF_ZZ_2200_Autorail</t>
  </si>
  <si>
    <t>dmu_CFD_AMT_800</t>
  </si>
  <si>
    <t>dmu_CNR_Tangshan_Ghana_DEMU</t>
  </si>
  <si>
    <t>dmu_Downer_EDI_Hitachi_Tilt_Train</t>
  </si>
  <si>
    <t>dmu_Nippon_Sharyo_1000_Series</t>
  </si>
  <si>
    <t>dmu_Materfer_CMM_400_2</t>
  </si>
  <si>
    <t>dmu_Fiat_ALn_442_448</t>
  </si>
  <si>
    <t>dmu_Sorefame_CP_0400</t>
  </si>
  <si>
    <t>dmu_Sorefame_CP_0600</t>
  </si>
  <si>
    <t>dmu_MTM_2400_Apollos</t>
  </si>
  <si>
    <t>cargodmu_Windhoff_CargoSprinter</t>
  </si>
  <si>
    <t>emu_Downer_CRRC_Hitachi_Waratah</t>
  </si>
  <si>
    <t>emu_Frichs___Scandia_S_Tog_II</t>
  </si>
  <si>
    <t>emu_Alsthom_S_Tog_IV</t>
  </si>
  <si>
    <t>emu_TIBB_ECD_21_30</t>
  </si>
  <si>
    <t>emu_Werkspoor_Mat24</t>
  </si>
  <si>
    <t>emu_Werkspoor_Mat36</t>
  </si>
  <si>
    <t>emu_Werkspoor_Mat54</t>
  </si>
  <si>
    <t>emu_Talbot_Plan_Y</t>
  </si>
  <si>
    <t>emu_Talbot_ICM_4000</t>
  </si>
  <si>
    <t>emu_Talbot_DD_IRM_VIRM_8000</t>
  </si>
  <si>
    <t>emu_De_Dietrich_Adtranz_mDDm_390</t>
  </si>
  <si>
    <t>emu_AEG_EW90</t>
  </si>
  <si>
    <t>emu_Breda_ETR_200</t>
  </si>
  <si>
    <t>emu_Breda_ETR_300_Settebello</t>
  </si>
  <si>
    <t>emu_TREVI_ETR_500_Frecciarossa</t>
  </si>
  <si>
    <t>emu_AnsaldoBreda_ALe_426</t>
  </si>
  <si>
    <t>emu_BN_ACEC_ZMC</t>
  </si>
  <si>
    <t>emu_ASEA_EW54</t>
  </si>
  <si>
    <t>emu_Breda_ALe_801</t>
  </si>
  <si>
    <t>emu_SGP_AEG_BBC_4030</t>
  </si>
  <si>
    <t>emu_ELIN_ET_10</t>
  </si>
  <si>
    <t>emu_Stadler_4010_KISS</t>
  </si>
  <si>
    <t>emu_LHB_420</t>
  </si>
  <si>
    <t>emu_Adtranz_BM73</t>
  </si>
  <si>
    <t>emu_NEBB_M65</t>
  </si>
  <si>
    <t>emu_ASEA_X2000</t>
  </si>
  <si>
    <t>emu_SWP_RABDe_510</t>
  </si>
  <si>
    <t>emu_Schindler_RBDe_560</t>
  </si>
  <si>
    <t>emu_Stadler_RABe_523_Flirt</t>
  </si>
  <si>
    <t>emu_Budd_Metroliner</t>
  </si>
  <si>
    <t>emu_Siemens_Velero</t>
  </si>
  <si>
    <t>emu_Siemens_Desiro_BDZ</t>
  </si>
  <si>
    <t>emu_Valmet_Sm2</t>
  </si>
  <si>
    <t>emu_Fiat_CAF_Sm4</t>
  </si>
  <si>
    <t>emu_Ganz_MAVAG_VM17_BDVmot</t>
  </si>
  <si>
    <t>emu_ACME_Corp__Sureot</t>
  </si>
  <si>
    <t>emu_Hitachi_Shinkansen_Series_0</t>
  </si>
  <si>
    <t>emu_Hitachi_Shinkansen_Series_700</t>
  </si>
  <si>
    <t>emu_Hitachi_Kawasaki_Shinkansen_Series_E1_Max</t>
  </si>
  <si>
    <t>emu_Alstom_Coradia_Duplex</t>
  </si>
  <si>
    <t>emu_RVR_ER31</t>
  </si>
  <si>
    <t>emu_Bombardier_UCW_Electrostar_Gautrain</t>
  </si>
  <si>
    <t>emu_Alsthom_Jeumont_TCDD_E8000</t>
  </si>
  <si>
    <t>emu_CSR_Qingdao_CHR380A</t>
  </si>
  <si>
    <t>emu_PRR_MP54</t>
  </si>
  <si>
    <t>emu_Alstom_AGV</t>
  </si>
  <si>
    <t>emu_Alstom_Avelia_Horizon</t>
  </si>
  <si>
    <t>emu_AnsaldoBreda_V250_Albatros</t>
  </si>
  <si>
    <t>emu_NS_4800_HSA_Fyra</t>
  </si>
  <si>
    <t>emu_SIG_Rae_TEE_II</t>
  </si>
  <si>
    <t>emu_Pullman_Erie_Lackawanna_2500_Series</t>
  </si>
  <si>
    <t>emu_Alsthom_TGV_23000</t>
  </si>
  <si>
    <t>emu_Alsthom_TGV_Duplex</t>
  </si>
  <si>
    <t>emu_GEC_Alsthom_Thalys_PBKA</t>
  </si>
  <si>
    <t>emu_Alsthom_Pendolino_680</t>
  </si>
  <si>
    <t>emu_CAF_Alstom_Class_120</t>
  </si>
  <si>
    <t>emu_Bombarier_Alstom_Acela_Express</t>
  </si>
  <si>
    <t>singlemtro_Brooklyn_Union_Gate_1300</t>
  </si>
  <si>
    <t>singlemtro_Siemens___Halske_Budapest_1894_Stock</t>
  </si>
  <si>
    <t>singlemtro_Chicago_L_Northwest_Elevated_1907_Stock</t>
  </si>
  <si>
    <t>singlemtro_Berlin_U_Bahn_C_II</t>
  </si>
  <si>
    <t>rbm_ACME_Corp__Turbobus</t>
  </si>
  <si>
    <t>mglv_Siemens_Eurosprinter_ES64U4M</t>
  </si>
  <si>
    <t>mmu_Siemens_Thyssenkrupp_Transrapid</t>
  </si>
  <si>
    <t>mmu_Mistubishi_Nippon_Sharyo_MLX01_901</t>
  </si>
  <si>
    <t>rbd_Niigata_Transys_Shikoku_1000</t>
  </si>
  <si>
    <t>rbd_Niigata_Transys_KiHa_E120</t>
  </si>
  <si>
    <t>rbd_EFE_SB_56_Buscarril</t>
  </si>
  <si>
    <t>rbd_Sulzer_M_Railcar</t>
  </si>
  <si>
    <t>rbd_Eritrean_Railway_A_62_70_Littorina</t>
  </si>
  <si>
    <t>rbe_SLM_CFe_3_3</t>
  </si>
  <si>
    <t>rbe_TPC_BVB_Be_2_2</t>
  </si>
  <si>
    <t>rbe_MVR_Beh_2_4</t>
  </si>
  <si>
    <t>rbe_Ferrocarril_de_Soller_1_3</t>
  </si>
  <si>
    <t>rbe_Hitachi_Choshi_DeHa_1000</t>
  </si>
  <si>
    <t>steam_SLM_G_3_4</t>
  </si>
  <si>
    <t>steam_Kisha_Seizo_2_10_4T_E10</t>
  </si>
  <si>
    <t>steam_H__K__Porter__Inc_2_6_0_7100</t>
  </si>
  <si>
    <t>steam_Richard_Francis_Trevithick_2_4_2T_860</t>
  </si>
  <si>
    <t>steam_Kawasaki_2_8_0_9600</t>
  </si>
  <si>
    <t>steam_Kawasaki_2_8_2_D50</t>
  </si>
  <si>
    <t>diesel_Kisha_Mitsubishi_NS_DF50</t>
  </si>
  <si>
    <t>electric_SIG_Alioth_De_2_2</t>
  </si>
  <si>
    <t>electric_Toshiba_EH10</t>
  </si>
  <si>
    <t>electric_Kawasaki_Toshiba_EF64</t>
  </si>
  <si>
    <t>electric_EEC_EO_Class</t>
  </si>
  <si>
    <t>electric_Tulloch_0_6_0DM_W_Class</t>
  </si>
  <si>
    <t>electric_GEC_NBLC_SAR_4E_</t>
  </si>
  <si>
    <t>electric_Metrowick_MV_5E1</t>
  </si>
  <si>
    <t>electric_UCW_6E</t>
  </si>
  <si>
    <t>electric_SLM_BBC_MFO_Ge_4_4_I</t>
  </si>
  <si>
    <t>electric_SLM_BBC_MFO_Ge_6_6_Krokodil</t>
  </si>
  <si>
    <t>electric_Stadler_He_4_4</t>
  </si>
  <si>
    <t>electric_UCW_50_c_s_Group_7E</t>
  </si>
  <si>
    <t>electric_General_Motors_GM5FC</t>
  </si>
  <si>
    <t>electric_Brush_EF_Class</t>
  </si>
  <si>
    <t>emu_Nippon_Sharyo_Odakyu_3100_series_NSE</t>
  </si>
  <si>
    <t>emu_Nippon_Sharyo_Odakyu_10000_series_HiSE</t>
  </si>
  <si>
    <t>emu_Comeng_Goninan_S_set</t>
  </si>
  <si>
    <t>emu_UGL_Rail_H_set_OSCAR</t>
  </si>
  <si>
    <t>emu_Victorian_Railways_Swing_Door</t>
  </si>
  <si>
    <t>emu_Ganz_MAVAG_EM_ET</t>
  </si>
  <si>
    <t>emu_Metro_Cammell_5M2</t>
  </si>
  <si>
    <t>emu_Alstom_XTrapolis_100</t>
  </si>
  <si>
    <t>emu_GEC_Fiat_AES_Railcar</t>
  </si>
  <si>
    <t>emu_Ganz_MAVAG_YZ_E</t>
  </si>
  <si>
    <t>emu_Walkers_Tilt_Train_ETT</t>
  </si>
  <si>
    <t>electric_NEVZ_TEVZ_VL15</t>
  </si>
  <si>
    <t>electric_TEVZ_VL11</t>
  </si>
  <si>
    <t>electric_NEVZ_VL22M</t>
  </si>
  <si>
    <t>electric_DEVZ_DE1</t>
  </si>
  <si>
    <t>electric_Skoda_29E</t>
  </si>
  <si>
    <t>electric_Skoda_82E</t>
  </si>
  <si>
    <t>electric_GE_C_C_4400_RFFSA</t>
  </si>
  <si>
    <t>electric_NEVZ_VL85</t>
  </si>
  <si>
    <t>electric_DEVZ_VL41</t>
  </si>
  <si>
    <t>electric_CLW_WAP_4</t>
  </si>
  <si>
    <t>electric_NEVZ_ES40</t>
  </si>
  <si>
    <t>electric_Zuzhou_KZ4A</t>
  </si>
  <si>
    <t>electric_Alstom_KZ8A</t>
  </si>
  <si>
    <t>electric_TRTrans_NEVZ_EP20</t>
  </si>
  <si>
    <t>rbd_Valmet_Dm7</t>
  </si>
  <si>
    <t>rbd_Vagonka_Studenka_91M0_</t>
  </si>
  <si>
    <t>emu_RVR_ER200</t>
  </si>
  <si>
    <t>emu_MMZ_S</t>
  </si>
  <si>
    <t>emu_Koncar_6112</t>
  </si>
  <si>
    <t>emu_Siemens_Desiro_ES1_Lastochka</t>
  </si>
  <si>
    <t>diesel_Alsthom_AD30B</t>
  </si>
  <si>
    <t>steam_Porter_2_8_2_Class_200_Katanga_Mikado</t>
  </si>
  <si>
    <t>cargoemu_Kawasaki_Nippon_Sharyo_Toshiba_M250</t>
  </si>
  <si>
    <t>rbs_Esslingen_MAN_Hohenzollern_Thomas</t>
  </si>
  <si>
    <t>rbs_Komarek_NOLB_30_33</t>
  </si>
  <si>
    <t>steam_Henschel_4_4_2_19906</t>
  </si>
  <si>
    <t>diesel_Henschel_EMD_TT12</t>
  </si>
  <si>
    <t>diesel_Henschel_GE_G16</t>
  </si>
  <si>
    <t>electric_ACEC_BN_Type_2450</t>
  </si>
  <si>
    <t>diesel_Alsthom_BB_BB_300</t>
  </si>
  <si>
    <t>diesel_Sorefame_DE8</t>
  </si>
  <si>
    <t>diesel_GMD_GT22LC_2</t>
  </si>
  <si>
    <t>electric_TRC_E6800</t>
  </si>
  <si>
    <t>mtro_Brooklyn_Union_Gate_Elevated</t>
  </si>
  <si>
    <t>electric_Ganz_MAVAG_VM15_V63</t>
  </si>
  <si>
    <t>mtro_BREL_ABB_London_1992_Stock</t>
  </si>
  <si>
    <t>mtro_Bombardier_Movia_London_S_Stock</t>
  </si>
  <si>
    <t>mtro_Metro_Cammell_London_1972_Stock</t>
  </si>
  <si>
    <t>mtro_Metro_Cammell_London_1959_Stock</t>
  </si>
  <si>
    <t>mtro_Kawasaki_HI_C151</t>
  </si>
  <si>
    <t>mtro_Kawasaki_HI___Nippon_Sharyo_C751B</t>
  </si>
  <si>
    <t>mtro_Comeng_Light_Metro_Prototype</t>
  </si>
  <si>
    <t>emu_Comeng_EMU</t>
  </si>
  <si>
    <t>emu_Evolution_Rail_HCMT_Munnel</t>
  </si>
  <si>
    <t>diesel_LTZ_DR_130</t>
  </si>
  <si>
    <t>diesel_GE_AC6044CW</t>
  </si>
  <si>
    <t>steam_Robert_Stephenson_and_Co_2_2_2_192</t>
  </si>
  <si>
    <t>emu_Comeng_MK_Hitachi_Trains</t>
  </si>
  <si>
    <t>emu_GRC_W_Harris_Trains</t>
  </si>
  <si>
    <t>emu_Siemens_Nexas</t>
  </si>
  <si>
    <t>emu_Victorian_Railways_Tait_Trains</t>
  </si>
  <si>
    <t>mtro_ABB_Henschel_Berlin_BVG_F74</t>
  </si>
  <si>
    <t>mtro_Adtranz_Berlin_BVG_H</t>
  </si>
  <si>
    <t>steam_LB_SCR_BRW_0_6_0T_A1</t>
  </si>
  <si>
    <t>steam_BP_4_6_4T_4444_4478_C30</t>
  </si>
  <si>
    <t>steam_BP_Baldwin_Clyde_4_6_0_C32</t>
  </si>
  <si>
    <t>steam_BP_NBLC_2_8_0_D50</t>
  </si>
  <si>
    <t>steam_BP_Dubs_4_4_0_Z12</t>
  </si>
  <si>
    <t>steam_BP_0_6_0_Z19</t>
  </si>
  <si>
    <t>steam_Dubs_2_6_2ST_Z26</t>
  </si>
  <si>
    <t>steam_GCR_Kitson_NBLC_ROD_2_8_0_8K</t>
  </si>
  <si>
    <t>steam_ALCO_4_6_2_SAR_600</t>
  </si>
  <si>
    <t>steam_BP_2_8_2T_South_Maitland_10</t>
  </si>
  <si>
    <t>steam_Victorian_Railways_H</t>
  </si>
  <si>
    <t>diesel_BTH_41_Class</t>
  </si>
  <si>
    <t>diesel_ALCO_AE_Goodwin_DL531_532</t>
  </si>
  <si>
    <t>diesel_ALCO_AE_Goodwin_DL500</t>
  </si>
  <si>
    <t>diesel_EMD_Clyde_A16C</t>
  </si>
  <si>
    <t>diesel_EMD_Clyde_A7</t>
  </si>
  <si>
    <t>diesel_EMD_Clyde_AT42C_</t>
  </si>
  <si>
    <t>electric_Clyde_ASEA_CF48</t>
  </si>
  <si>
    <t>diesel_EMD_GT46CWM</t>
  </si>
  <si>
    <t>diesel_Clyde_EMD_GT46CW_NR_Concept</t>
  </si>
  <si>
    <t>diesel_Clyde_JE28C_PTC_73_Class_Concept</t>
  </si>
  <si>
    <t>diesel_EMD_Clyde_JT22HC_2</t>
  </si>
  <si>
    <t>diesel_EMD_Clyde_JT42C</t>
  </si>
  <si>
    <t>diesel_EMD_Clyde_G16C_X1</t>
  </si>
  <si>
    <t>diesel_EMD_Clyde_G26C_X2</t>
  </si>
  <si>
    <t>diesel_EMD_Clyde_G26C_X3</t>
  </si>
  <si>
    <t>diesel_ALCO_Comeng_CE615A</t>
  </si>
  <si>
    <t>electric_Comeng_Class_85</t>
  </si>
  <si>
    <t>electric_Comeng_Maldon_Dombarton_8650</t>
  </si>
  <si>
    <t>diesel_EMD_NOHAB_J30C_2DSB_MZ_III</t>
  </si>
  <si>
    <t>diesel_EMD_Clyde_AT26C_Twin_16_645</t>
  </si>
  <si>
    <t>diesel_EEC_A_249_</t>
  </si>
  <si>
    <t>diesel_EEC_A_253</t>
  </si>
  <si>
    <t>diesel_GE_U26C</t>
  </si>
  <si>
    <t>electric_Metrowick_BP_786</t>
  </si>
  <si>
    <t>diesel_ALCO_RSC_3_77732</t>
  </si>
  <si>
    <t>diesel_EMD_Clyde_G8C</t>
  </si>
  <si>
    <t>diesel_EMD_Clyde_G12</t>
  </si>
  <si>
    <t>diesel_EMD_Clyde_G8</t>
  </si>
  <si>
    <t>diesel_Goninan_47_Class</t>
  </si>
  <si>
    <t>steam_William_Fairbairn_2_2_2_Baroneza</t>
  </si>
  <si>
    <t>steam_Hunslet_0_4_0ST_La_Portena</t>
  </si>
  <si>
    <t>steam_Burnham_2_10_0_Dom_Pedro_Segundo_119</t>
  </si>
  <si>
    <t>steam_Baldwin_0_22C_No8_Monsefu</t>
  </si>
  <si>
    <t>steam_FCCP_Q_Class</t>
  </si>
  <si>
    <t>steam_NBLC_4_6_2_PS10_Class</t>
  </si>
  <si>
    <t>steam_Yorkshire_Engine_Co__4_8_4T_Nitrate_101</t>
  </si>
  <si>
    <t>electric_SLM_BBC_1_D_1</t>
  </si>
  <si>
    <t>electric_GE_2_C_C_2</t>
  </si>
  <si>
    <t>steam_Norris___Brothers_4_4_0_La_Copiapo</t>
  </si>
  <si>
    <t>electric_AEG_A1A_A1A</t>
  </si>
  <si>
    <t>steam_Avonside_0_6_0ST_Sao_Paulo_No__13___14</t>
  </si>
  <si>
    <t>emu_Kawasaki_Hitachi_AEZ_Railcar</t>
  </si>
  <si>
    <t>emu_BREL_GEC_Auckland_ART_Concept</t>
  </si>
  <si>
    <t>dmu_Comeng_1100_Railcar</t>
  </si>
  <si>
    <t>dmu_Thai_Comeng_XPT_Concept</t>
  </si>
  <si>
    <t>dmu_Comeng_NSW_XPT</t>
  </si>
  <si>
    <t>emu_Tangara_V_Set_Hybrid_Concept</t>
  </si>
  <si>
    <t>dmu_NSWGR_800_900_DEB</t>
  </si>
  <si>
    <t>emu_Goninan_Tangara_4D_Prototype</t>
  </si>
  <si>
    <t>emu_Goninan_Tangara_T_Set</t>
  </si>
  <si>
    <t>dmu_NSWGR_600_700</t>
  </si>
  <si>
    <t>dmu_Kawasaki_RM_Silver_Fern</t>
  </si>
  <si>
    <t>emu_Comeng_W_Class_Sputnik</t>
  </si>
  <si>
    <t>emu_Leeds_Clyde_Standard_EMU</t>
  </si>
  <si>
    <t>emu_NSWGR_Tulloch_EMU</t>
  </si>
  <si>
    <t>emu_Alstom_XTrapolis_100_Melbourne</t>
  </si>
  <si>
    <t>electric_Comeng_86_Class</t>
  </si>
  <si>
    <t>emu_EEC_DM_EMU</t>
  </si>
  <si>
    <t>emu_Hyundai_Rotem__Mitsui_Matangi</t>
  </si>
  <si>
    <t>mtro_Ganz_Hunslet_Budapest_G2</t>
  </si>
  <si>
    <t>diesel_BRC_W_NSU_Class</t>
  </si>
  <si>
    <t>emu_Itochu_Kinki_Kawasaki_SP1900</t>
  </si>
  <si>
    <t>electric_Alstom_CRRC_Datong_HXD2</t>
  </si>
  <si>
    <t>diesel_CRRC_Qishuyan_DF11</t>
  </si>
  <si>
    <t>electric_Zhuzhou_SS8</t>
  </si>
  <si>
    <t>electric_Alstom_CRRC_Datong_HXD2B</t>
  </si>
  <si>
    <t>electric_CRRC_Dalian_HXD3D</t>
  </si>
  <si>
    <t>diesel_CRRC_Dalian_DF4</t>
  </si>
  <si>
    <t>diesel_Tangshan_Dalian_Sifang_DF5</t>
  </si>
  <si>
    <t>steam_Dalian_2_8_2_JS_Class</t>
  </si>
  <si>
    <t>steam_CSR_Sifang_4_6_2_RM</t>
  </si>
  <si>
    <t>rbd_MAV_Ikarus_260</t>
  </si>
  <si>
    <t>diesel_GE_ES43ACi</t>
  </si>
  <si>
    <t>diesel_EMD_GP40</t>
  </si>
  <si>
    <t>diesel_EMD_SD70</t>
  </si>
  <si>
    <t>diesel_GE_C30_7_Dash_7</t>
  </si>
  <si>
    <t>diesel_GE_C40_8_Dash_8</t>
  </si>
  <si>
    <t>diesel_GE_C44_9W_Dash_9</t>
  </si>
  <si>
    <t>steam_Kitson_2_2_2_3166_3171</t>
  </si>
  <si>
    <t>steam_Burnham_2_6_0_15857_15871</t>
  </si>
  <si>
    <t>steam_SA_Franco_Belge_0_6_0_Class_4</t>
  </si>
  <si>
    <t>mglv_ACME_Corp__Pegasus</t>
  </si>
  <si>
    <t>mmu_ACME_Corp__Chimaera</t>
  </si>
  <si>
    <t>steam_Sharp_BP_0_6_0_BDZ_142_150</t>
  </si>
  <si>
    <t>steam_MAVAG_4_4_2_Class_203</t>
  </si>
  <si>
    <t>steam_MAVAG_2_6_6_0_Class_601</t>
  </si>
  <si>
    <t>electric_Ganz_MAVAG_VM7_V40</t>
  </si>
  <si>
    <t>diesel_PESA_111D</t>
  </si>
  <si>
    <t>steam_Stephenson_BP_2_2_2_LVCI_Class_1</t>
  </si>
  <si>
    <t>steam_Babcock_4_6_2_2_6_4T_462</t>
  </si>
  <si>
    <t>steam_Koechlin_0_6_0_030</t>
  </si>
  <si>
    <t>steam_Hanomag_ALCO_4_8_0_240</t>
  </si>
  <si>
    <t>emu_CRRC_Sifang_SFB_500</t>
  </si>
  <si>
    <t>diesel_EMC_E3</t>
  </si>
  <si>
    <t>diesel_EMD_FT</t>
  </si>
  <si>
    <t>diesel_LTZ_TE109</t>
  </si>
  <si>
    <t>emu_Hitachi_Kawasaki_Shinkansen_Series_100</t>
  </si>
  <si>
    <t>diesel_Krauss_Maffei_ML_2200</t>
  </si>
  <si>
    <t>dmu_Ganz_Hargita_M440</t>
  </si>
  <si>
    <t>electric_SSW_Krauss_E44</t>
  </si>
  <si>
    <t>electric_PESA_111MS</t>
  </si>
  <si>
    <t>electric_Kolomna_VL19</t>
  </si>
  <si>
    <t>electric_AEG_Krupp_E18</t>
  </si>
  <si>
    <t>emu_Hitachi_Alstom_Zefiro_Class_895_HS2</t>
  </si>
  <si>
    <t>diesel_EMD_JT22CW</t>
  </si>
  <si>
    <t>dmu_RVR_DR1A</t>
  </si>
  <si>
    <t>electric_ACME_Corp__HS001</t>
  </si>
  <si>
    <t>electric_ACME_Corp__HS002</t>
  </si>
  <si>
    <t>dmu_ACME_Corp__V200D_DMU</t>
  </si>
  <si>
    <t>emu_ACME_Corp__V200E_EMU</t>
  </si>
  <si>
    <t>cargoemu_ACME_Corp__DD_CargoEMU</t>
  </si>
  <si>
    <t>diesel_VEB_LKM_V180</t>
  </si>
  <si>
    <t>emu_PESA_43WE_DART</t>
  </si>
  <si>
    <t>electric_LEW_EL2</t>
  </si>
  <si>
    <t>electric_Pafawag_201E</t>
  </si>
  <si>
    <t>diesel_NOHAB_AA16</t>
  </si>
  <si>
    <t>diesel_LEW_V100</t>
  </si>
  <si>
    <t>diesel_Fablok_6D</t>
  </si>
  <si>
    <t>diesel_HCP_301D</t>
  </si>
  <si>
    <t>dmu_Stadler_Flirt_PowerPack_DMU</t>
  </si>
  <si>
    <t>cargoemu_JNR_Container_Bullet_Train_Concept</t>
  </si>
  <si>
    <t>electric_Hitachi_WAG_6B_C</t>
  </si>
  <si>
    <t>electric_Toshiba_10E</t>
  </si>
  <si>
    <t>electric_GEC_9E</t>
  </si>
  <si>
    <t>electric_Hitachi_E1100</t>
  </si>
  <si>
    <t>electric_RDSO_CLW_WAM_4</t>
  </si>
  <si>
    <t>electric_Groupement_50_Hz_WAM_1</t>
  </si>
  <si>
    <t>diesel_Baldwin_Lima_Hamilton_RF_615_E</t>
  </si>
  <si>
    <t>diesel_EE_Dick__Kerr___Co_Vulcan_Foundry_DE2</t>
  </si>
  <si>
    <t>diesel_Raba_M_030_M28</t>
  </si>
  <si>
    <t>diesel_Cockerill_Sambre_HLD_serie_83</t>
  </si>
  <si>
    <t>Cockerill-Sambre HLD serie 83</t>
  </si>
  <si>
    <t>diesel_Vossloh_Siemens_serie_77_78</t>
  </si>
  <si>
    <t>Vossloh Siemens serie 77/78</t>
  </si>
  <si>
    <t>emu_Carel_et_Fouche_Alsthom_Z_6100</t>
  </si>
  <si>
    <t>Carel et Fouche/Alsthom Z 6100</t>
  </si>
  <si>
    <t>steam_Haine_Saint_Pierre_2_6_0_0_6_2T_Golwe</t>
  </si>
  <si>
    <t>Haine-Saint-Pierre 2-6-0+0-6-2T 'Golwe'</t>
  </si>
  <si>
    <t>Reunion</t>
  </si>
  <si>
    <t>Saint Barthelemy</t>
  </si>
  <si>
    <t>steam_MaVAG_375</t>
  </si>
  <si>
    <t>diesel_EMD_Clyde_JT26C_2SS</t>
  </si>
  <si>
    <t>diesel_EMD_Clyde_JT26C_2SS_NSW_81</t>
  </si>
  <si>
    <t>diesel_EMD_Clyde_JT26C_2SS_V_line_G</t>
  </si>
  <si>
    <t>rbd_Stadler_Regio_Shuttle_RS1</t>
  </si>
  <si>
    <t>steam_Canadian_National_U_1_a_</t>
  </si>
  <si>
    <t>electric_Siemens_EuroSprinter_ES64F</t>
  </si>
  <si>
    <t>diesel_EMD_Clyde_AAT22C_2R</t>
  </si>
  <si>
    <t>diesel_EMD_JT42C_90_1277</t>
  </si>
  <si>
    <t>diesel_EMD_Clyde_ML2</t>
  </si>
  <si>
    <t>diesel_EMD_Clyde_GL26C_2</t>
  </si>
  <si>
    <t>Stadler Regio-Shuttle RS1</t>
  </si>
  <si>
    <t xml:space="preserve">Canadian National U-1-a </t>
  </si>
  <si>
    <t>EMD/Clyde JT26C-2SS</t>
  </si>
  <si>
    <t>EMD/Clyde AAT22C-2R</t>
  </si>
  <si>
    <t>EMD/Clyde JT26C-2SS NSW 81</t>
  </si>
  <si>
    <t>EMD/Clyde JT26C-2SS V-line G</t>
  </si>
  <si>
    <t>EMD JT42C 90-1277</t>
  </si>
  <si>
    <t>EMD/Clyde ML2</t>
  </si>
  <si>
    <t>EMD/Clyde GL26C-2</t>
  </si>
  <si>
    <t>diesel_Vossloh_Espana___EMD_334</t>
  </si>
  <si>
    <t>rbe_Raw_Schoneweide_479_201</t>
  </si>
  <si>
    <t>steam_Union_Giesserei_2_8_2T</t>
  </si>
  <si>
    <t>Union Giesserei 2-8-2T</t>
  </si>
  <si>
    <t>steam_RENFE_4_8_4_242F_Confederacion</t>
  </si>
  <si>
    <t>RENFE 4-8-4 242F 'Confederacion'</t>
  </si>
  <si>
    <t>diesel_EMD_Clyde_JT42C_NSW82</t>
  </si>
  <si>
    <t>diesel_EMD_GP40_DNU</t>
  </si>
  <si>
    <t>emu_Ganz_MAVAG_EM_ET_DNU</t>
  </si>
  <si>
    <t>diesel_Tulloch_0_6_0DM_W_Class</t>
  </si>
  <si>
    <t>Tulloch 0-6-0DM 'W' Class DNU WRONG</t>
  </si>
  <si>
    <t>Doncaster AL5</t>
  </si>
  <si>
    <t>Alsthom CC 40100</t>
  </si>
  <si>
    <t>ASEA/Electroputere LE5100</t>
  </si>
  <si>
    <t>Siemens EuroSprinter ES64U4</t>
  </si>
  <si>
    <t>Siemens EuroSprinter ES64U4M</t>
  </si>
  <si>
    <t>Siemens EuroSprinter ES64F4</t>
  </si>
  <si>
    <t>diesel_Ingeteam_TD2000_series</t>
  </si>
  <si>
    <t>Alstom E 1400</t>
  </si>
  <si>
    <t>ET 165</t>
  </si>
  <si>
    <t>Stadler 'KISS'</t>
  </si>
  <si>
    <t>electric_GE_289_Boxcab</t>
  </si>
  <si>
    <t>electric_Breda_Marelli_E32</t>
  </si>
  <si>
    <t>Breda Marelli E32</t>
  </si>
  <si>
    <t>electric_Alsthom_EC_386</t>
  </si>
  <si>
    <t>Alsthom EC 386</t>
  </si>
  <si>
    <t>GE 289A Boxcab</t>
  </si>
  <si>
    <t>https://pt.wikipedia.org/wiki/Alstom_EC-362</t>
  </si>
  <si>
    <t>Chesta Casagrande E650</t>
  </si>
  <si>
    <t>electric_Chesta_Casagrande_E650</t>
  </si>
  <si>
    <t>https://es.wikipedia.org/wiki/Locomotora_E-32</t>
  </si>
  <si>
    <t>https://en.wikipedia.org/wiki/Tocopilla_railway#Locomotives_of_the_Tocopilla_nitrate_railway</t>
  </si>
  <si>
    <t>diesel_GE_ES58ACi</t>
  </si>
  <si>
    <t>GE ES58ACi</t>
  </si>
  <si>
    <t>Metropolitan-Vickers EM2</t>
  </si>
  <si>
    <t>Kolomna 9P</t>
  </si>
  <si>
    <t>Kolomna P36</t>
  </si>
  <si>
    <t>Kolomna TEP80</t>
  </si>
  <si>
    <t>Alsthom CC 200</t>
  </si>
  <si>
    <t>https://loco-info.com/view.aspx?id=10226&amp;cookies=decline</t>
  </si>
  <si>
    <t>Baldwin Class D 4-6-0 'Ten-wheeler'</t>
  </si>
  <si>
    <t>https://loco-info.com/view.aspx?id=9712</t>
  </si>
  <si>
    <t>https://loco-info.com/view.aspx?id=16762</t>
  </si>
  <si>
    <t>ALCO RS-3</t>
  </si>
  <si>
    <t>https://en.wikipedia.org/wiki/EMD_GT26_Series</t>
  </si>
  <si>
    <t>GM GT26</t>
  </si>
  <si>
    <t>EMD G12</t>
  </si>
  <si>
    <t>REGION4</t>
  </si>
  <si>
    <t>GE G22</t>
  </si>
  <si>
    <t>https://en.wikipedia.org/wiki/EMD_G18</t>
  </si>
  <si>
    <t>GM G18</t>
  </si>
  <si>
    <t>GE C39-8</t>
  </si>
  <si>
    <t>GE AC6000CW</t>
  </si>
  <si>
    <t>Alsthom BB 8100</t>
  </si>
  <si>
    <t>https://en.wikipedia.org/wiki/SNCF_Class_BB_8100</t>
  </si>
  <si>
    <t>https://www.scribd.com/document/65935573/motorni-vozovi</t>
  </si>
  <si>
    <t>Ganz-MAVAG 811</t>
  </si>
  <si>
    <t>https://en.wikipedia.org/wiki/LMS_Fowler_Class_3F</t>
  </si>
  <si>
    <t>LMS Fowler 3F WD 0-6-0T</t>
  </si>
  <si>
    <t>Hyundai Rotem/Mitsui 'Matangi'</t>
  </si>
  <si>
    <t>DB Kof II/DB 322</t>
  </si>
  <si>
    <t>MaK/Vossloh G1206</t>
  </si>
  <si>
    <t>Vossloh Espana/EMD 334</t>
  </si>
  <si>
    <t>MAN/LHB VT11.5/DB 601 'TEE'</t>
  </si>
  <si>
    <t>https://www.tram-museum.ch/en/machines/bvb-be-2-2-8</t>
  </si>
  <si>
    <t>https://es.wikipedia.org/wiki/Ramal_Talca-Constituci%C3%B3n</t>
  </si>
  <si>
    <t>Ferrostaal SB-56</t>
  </si>
  <si>
    <t>https://en.wikipedia.org/wiki/E1_Series_Shinkansen</t>
  </si>
  <si>
    <t>GAI/Breda E-17</t>
  </si>
  <si>
    <t>https://www.railpictures.net/photo/437209/</t>
  </si>
  <si>
    <t>EF-E 29 GE 2-C+C-2</t>
  </si>
  <si>
    <t>Baldwin Westinghouse E-28</t>
  </si>
  <si>
    <t>https://hu.wikipedia.org/wiki/M%C3%81V_Bzmot_601</t>
  </si>
  <si>
    <t>MAVAG 375</t>
  </si>
  <si>
    <t>North British 2-6-0 Q Class</t>
  </si>
  <si>
    <t>https://www.steamlocomotive.com/locobase.php?country=Paraguay&amp;wheel=2-6-0&amp;railroad=fccp</t>
  </si>
  <si>
    <t>Melbourne/Goninan 4D Coach Concept</t>
  </si>
  <si>
    <t>Railbus (Diesel)</t>
  </si>
  <si>
    <t>Ganz-MAVAG Ikarus 725.00</t>
  </si>
  <si>
    <t>MMZ 81-720</t>
  </si>
  <si>
    <t>MMZ 81-717.5M</t>
  </si>
  <si>
    <t>MMZ 81-740</t>
  </si>
  <si>
    <t>MMZ Type A</t>
  </si>
  <si>
    <t>AEG D</t>
  </si>
  <si>
    <t>MMZ 81-707 Type Ezsh</t>
  </si>
  <si>
    <t>https://ru.wikipedia.org/wiki/%D0%95%D0%B6_(%D0%B2%D0%B0%D0%B3%D0%BE%D0%BD_%D0%BC%D0%B5%D1%82%D1%80%D0%BE)</t>
  </si>
  <si>
    <t>MMZ 81-702 Type D</t>
  </si>
  <si>
    <t>MMZ 81-709 ECS</t>
  </si>
  <si>
    <t>mtro_Alstom_Metropolis</t>
  </si>
  <si>
    <t>Alstom Metropolis</t>
  </si>
  <si>
    <t>https://en.wikipedia.org/wiki/Alstom_Metropolis</t>
  </si>
  <si>
    <t>steam_Sharp_2_2_2_Patriot</t>
  </si>
  <si>
    <t>https://www.steamlocomotive.com/locobase.php?country=Jamaica&amp;wheel=2-2-2&amp;railroad=jr</t>
  </si>
  <si>
    <t>Sharp Brothers 2-2-2 'Patriot'</t>
  </si>
  <si>
    <t>Service Car [European Style]</t>
  </si>
  <si>
    <t>Service Car [American Style]</t>
  </si>
  <si>
    <t>S</t>
  </si>
  <si>
    <t>Streamlined Intercity Coach</t>
  </si>
  <si>
    <t>Streamlined Regional Coach</t>
  </si>
  <si>
    <t>Streamlined Mail Coach</t>
  </si>
  <si>
    <t>mu_Coach_Gen2_Heavyweight_Regional_Coach</t>
  </si>
  <si>
    <t>Heavyweight Regional Coach</t>
  </si>
  <si>
    <t>Early American End-Platform Coach [Smaller]</t>
  </si>
  <si>
    <t>Early American End-Platform Mail Coach [Smaller]</t>
  </si>
  <si>
    <t>mu_Coach_Gen1_American_Style_Mail_Coach</t>
  </si>
  <si>
    <t>mu_Coach_Gen1_American_Style_Coach</t>
  </si>
  <si>
    <t>Early American End-Platform Coach [Larger]</t>
  </si>
  <si>
    <t>Early American End-Platform Mail Coach [Larger]</t>
  </si>
  <si>
    <t>Lightweight Intercity Coach</t>
  </si>
  <si>
    <t>Lightweight Regional Coach</t>
  </si>
  <si>
    <t>Lightweight Mail Coach</t>
  </si>
  <si>
    <t>mu_Coach_Gen3_Steel_Lightweight_Commuter_Coach</t>
  </si>
  <si>
    <t>Lightweight Commuter Coach</t>
  </si>
  <si>
    <t>electric_ALCO_GE_T_Motor</t>
  </si>
  <si>
    <t>ALCO-GE T-Motor</t>
  </si>
  <si>
    <t>https://en.wikipedia.org/wiki/New_York_Central_T-Motor</t>
  </si>
  <si>
    <t>electric_Altoona_Works_DD1</t>
  </si>
  <si>
    <t>Altoona Works Pennsylvania Railroad DD1</t>
  </si>
  <si>
    <t>https://en.wikipedia.org/wiki/Pennsylvania_Railroad_class_DD1</t>
  </si>
  <si>
    <t>https://en.wikipedia.org/wiki/PRR_MP70</t>
  </si>
  <si>
    <t>PRR MP70</t>
  </si>
  <si>
    <t>emu_PRR_MP_70</t>
  </si>
  <si>
    <t>emu_Pullman_Standard_LIRR_MP75</t>
  </si>
  <si>
    <t>Pullman Standard LIRR MP75 ACMU</t>
  </si>
  <si>
    <t>https://en.wikipedia.org/wiki/ACMU</t>
  </si>
  <si>
    <t>https://en.wikipedia.org/wiki/New_York_Central_MU_Cars</t>
  </si>
  <si>
    <t>singlemtro_ACF_NYCC_Heavyweight</t>
  </si>
  <si>
    <t>ACF New York Central Heavyweight MU</t>
  </si>
  <si>
    <t>mu_Coach_Gen3_Goerlitz_Doppelstockwagen_Articulated_Coach</t>
  </si>
  <si>
    <t>Goerlitz Articulated Double Decker Coach</t>
  </si>
  <si>
    <t>https://en.wikipedia.org/wiki/Bombardier_Double-deck_Coach</t>
  </si>
  <si>
    <t>mu_Coach_Gen4_Doppelstockwagen_Local_Coach</t>
  </si>
  <si>
    <t>Goerlitz Double Decker Coach</t>
  </si>
  <si>
    <t>emu_PRR_MP54_3RL</t>
  </si>
  <si>
    <t>emu_PRR_MP54_OHLE</t>
  </si>
  <si>
    <t>mu_Coach_Gen2_PRR_MP54_Mail_Coach</t>
  </si>
  <si>
    <t>mu_Coach_Gen2_PRR_MP54_Commuter_Coach</t>
  </si>
  <si>
    <t>PRR P54 Commuter Coach</t>
  </si>
  <si>
    <t>PRR P54 Mail Coach</t>
  </si>
  <si>
    <t>diesel_GE_AC6000CW</t>
  </si>
  <si>
    <t>Macosa-Meinfesa 319.3 J26 CW/HEP</t>
  </si>
  <si>
    <t>VEB LKM V180 B'B'</t>
  </si>
  <si>
    <t>mu_Coach_Gen3_PRR_P70_Bilevel_Coach</t>
  </si>
  <si>
    <t>PRR P70 Bilevel Coach</t>
  </si>
  <si>
    <t>diesel_LTZ_TE10M</t>
  </si>
  <si>
    <t>diesel_LTZ_TE126</t>
  </si>
  <si>
    <t>diesel_LTZ_TE10Ut</t>
  </si>
  <si>
    <t>Faur A20D-P</t>
  </si>
  <si>
    <t>https://en.wikipedia.org/wiki/PKP_class_MBxd2</t>
  </si>
  <si>
    <t>mu_Coach_Gen4_Faur_AD20DP_Trailer</t>
  </si>
  <si>
    <t>Faur A20D-P Trailer</t>
  </si>
  <si>
    <t>diesel_Faur_L45H</t>
  </si>
  <si>
    <t>Faur L45H</t>
  </si>
  <si>
    <t>https://de.wikipedia.org/wiki/FAUR_L45H</t>
  </si>
  <si>
    <t>Pafawag 3Aw</t>
  </si>
  <si>
    <t>mu_Coach_Gen3_Pafawag_3Aw</t>
  </si>
  <si>
    <t>https://pl.wikipedia.org/wiki/3Aw</t>
  </si>
  <si>
    <t>diesel_KMZ_TU7_TGM40</t>
  </si>
  <si>
    <t>KMZ TU7/TGM40</t>
  </si>
  <si>
    <t>http://www.locomotives.com.pl/Diesels/TGM40.htm</t>
  </si>
  <si>
    <t>electric_Alsthom_F_Series</t>
  </si>
  <si>
    <t>Alsthom CC 7100</t>
  </si>
  <si>
    <t>electric_Alsthom_CC_7100</t>
  </si>
  <si>
    <t>Alsthom F Series</t>
  </si>
  <si>
    <t>https://en.wikipedia.org/wiki/SNCF_Class_CC_7100</t>
  </si>
  <si>
    <t>https://ru.wikipedia.org/wiki/%D0%A4_(%D1%8D%D0%BB%D0%B5%D0%BA%D1%82%D1%80%D0%BE%D0%B2%D0%BE%D0%B7)</t>
  </si>
  <si>
    <t>Skoda 12E</t>
  </si>
  <si>
    <t>Vulcan Foundry 4-6-2 Class XB</t>
  </si>
  <si>
    <t>electric_Siemens_Vectron_Dual_Mode</t>
  </si>
  <si>
    <t>Siemens Vectron DE</t>
  </si>
  <si>
    <t>Siemens Vectron Dual Mode</t>
  </si>
  <si>
    <t>diesel_Siemens_Vectron_DE</t>
  </si>
  <si>
    <t>https://en.wikipedia.org/wiki/Vectron_(locomotive)</t>
  </si>
  <si>
    <t>POWER_SPECIAL</t>
  </si>
  <si>
    <t>GAS_TURBINE</t>
  </si>
  <si>
    <t>DUAL</t>
  </si>
  <si>
    <t>Siemens Vectron MS</t>
  </si>
  <si>
    <t>IS_TILT</t>
  </si>
  <si>
    <t>HAS_CAB</t>
  </si>
  <si>
    <t>POWER_DC</t>
  </si>
  <si>
    <t>POWER_DM_DIESEL</t>
  </si>
  <si>
    <t>POWER_15KW</t>
  </si>
  <si>
    <t>SPEED_15KW</t>
  </si>
  <si>
    <t>SPEED_DC</t>
  </si>
  <si>
    <t>SPEED_DM_DIESEL</t>
  </si>
  <si>
    <t>BRC&amp;W London 1938 Stock</t>
  </si>
  <si>
    <t>rbd_Faur_A20DP</t>
  </si>
  <si>
    <t>Tours/Chapelon 2-12-0 SNCF 160A</t>
  </si>
  <si>
    <t>https://www.loco-info.com/view.aspx?id=17187&amp;t=&amp;cookies=decline</t>
  </si>
  <si>
    <t>steam_Tours_Chapelon_2_12_0_160A</t>
  </si>
  <si>
    <t>LENGTH_P2</t>
  </si>
  <si>
    <t>LENGTH_P3_WAGON</t>
  </si>
  <si>
    <t>LENGTH_P1_HEAD</t>
  </si>
  <si>
    <t>HAS_DRIVING_STATE</t>
  </si>
  <si>
    <t>LOADING_STATE_COUNT</t>
  </si>
  <si>
    <t>OPEN_WAGON_G1</t>
  </si>
  <si>
    <t>OPEN_WAGON_G2PLUS</t>
  </si>
  <si>
    <t>HOPPER_TYPE_FOOD</t>
  </si>
  <si>
    <t>HOPPER_TYPE_NONFOOD</t>
  </si>
  <si>
    <t>SILO_TYPE_FOOD</t>
  </si>
  <si>
    <t>SILO_TYPE_NONFOOD</t>
  </si>
  <si>
    <t>BOXCAR_TYPE_NONFOOD</t>
  </si>
  <si>
    <t>BOXCAR_TYPE_FOOD</t>
  </si>
  <si>
    <t>https://zh.wikipedia.org/wiki/2TE126%E5%9E%8B%E6%9F%B4%E6%B2%B9%E6%9C%BA%E8%BD%A6</t>
  </si>
  <si>
    <t>diesel_LTZ_TE166</t>
  </si>
  <si>
    <t>LTZ 2TE116</t>
  </si>
  <si>
    <t>electric_Siemens_Vectron_MS</t>
  </si>
  <si>
    <t>AEC Railmotor RM1</t>
  </si>
  <si>
    <t>Alstom Coradia Duplex</t>
  </si>
  <si>
    <t>Kitson &amp; Co. CSAR Railmotor</t>
  </si>
  <si>
    <t>Breese, Kneeland &amp; Co. 4-4-0 'No 1'</t>
  </si>
  <si>
    <t>Sharp, Stewart &amp; Co. 4-4-0 3557-3565</t>
  </si>
  <si>
    <t>Beyer, P &amp; Co. 2-4-0 SS 9-16, 21-78</t>
  </si>
  <si>
    <t>Beyer, P &amp; Co. 2-6-0T 1702-1706</t>
  </si>
  <si>
    <t>Beyer, P &amp; Co. 2-6-0 2073-2092</t>
  </si>
  <si>
    <t>Nasmyth, Wilson &amp; Co. '35-tonner' 4-6-0T</t>
  </si>
  <si>
    <t>Beyer, P &amp; Co. 2-4-0 SS 9-16</t>
  </si>
  <si>
    <t>Beyer, P &amp; Co. 2-6-0 6112-6113</t>
  </si>
  <si>
    <t>Beyer, P &amp; Co. 4-8-4+4-8-4 7473-7497</t>
  </si>
  <si>
    <t>Sharp, Stewart &amp; Co. 0-4-0ST DHR B</t>
  </si>
  <si>
    <t>dmu_Ganz_CMU_4701_Transandino</t>
  </si>
  <si>
    <t>dmu_Ganz_Bariloche_DMU</t>
  </si>
  <si>
    <t>Ganz 'Bariloche' DMU</t>
  </si>
  <si>
    <t>Ganz 'Transandino' CMU 4701</t>
  </si>
  <si>
    <t>Henschel &amp; Sohn 'Condenser'</t>
  </si>
  <si>
    <t>Kerr, Stuart &amp; Co. Motor Car 3</t>
  </si>
  <si>
    <t>Nippon Sharyo 1000 Series</t>
  </si>
  <si>
    <t>RAW Schoneweide 479.201</t>
  </si>
  <si>
    <t>TPL_READONLY</t>
  </si>
  <si>
    <t>#REF!</t>
  </si>
  <si>
    <t>rbd_Ganz_MAVAG_SN61</t>
  </si>
  <si>
    <t>https://pl.wikipedia.org/wiki/SN61</t>
  </si>
  <si>
    <t>Ganz-MAVAG SN61</t>
  </si>
  <si>
    <t>rbd_Ganz_MAVAG_Ikarus_725_00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</si>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</sst>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 tint="0.499984740745262"/>
      <name val="Aptos Narrow"/>
      <family val="2"/>
      <scheme val="minor"/>
    </font>
    <font>
      <sz val="11"/>
      <color theme="0" tint="-0.149967955565050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 tint="-0.2499465926084170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" fontId="0" fillId="0" borderId="10" xfId="0" applyNumberFormat="1" applyBorder="1"/>
    <xf numFmtId="1" fontId="0" fillId="0" borderId="11" xfId="0" applyNumberFormat="1" applyBorder="1"/>
    <xf numFmtId="1" fontId="13" fillId="35" borderId="12" xfId="0" applyNumberFormat="1" applyFont="1" applyFill="1" applyBorder="1" applyAlignment="1">
      <alignment wrapText="1"/>
    </xf>
    <xf numFmtId="0" fontId="0" fillId="37" borderId="10" xfId="0" applyFill="1" applyBorder="1" applyAlignment="1">
      <alignment wrapText="1"/>
    </xf>
    <xf numFmtId="0" fontId="0" fillId="37" borderId="0" xfId="0" applyFill="1" applyAlignment="1">
      <alignment wrapText="1"/>
    </xf>
    <xf numFmtId="0" fontId="0" fillId="36" borderId="14" xfId="0" applyFill="1" applyBorder="1"/>
    <xf numFmtId="0" fontId="0" fillId="0" borderId="14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10" xfId="42" applyNumberFormat="1" applyFont="1" applyBorder="1"/>
    <xf numFmtId="2" fontId="0" fillId="0" borderId="0" xfId="42" applyNumberFormat="1" applyFont="1"/>
    <xf numFmtId="2" fontId="0" fillId="0" borderId="0" xfId="0" applyNumberFormat="1" applyAlignment="1">
      <alignment wrapText="1"/>
    </xf>
    <xf numFmtId="2" fontId="0" fillId="0" borderId="10" xfId="0" applyNumberFormat="1" applyBorder="1"/>
    <xf numFmtId="2" fontId="0" fillId="0" borderId="0" xfId="0" applyNumberFormat="1"/>
    <xf numFmtId="0" fontId="21" fillId="0" borderId="0" xfId="0" applyFont="1"/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pivotButton="1"/>
    <xf numFmtId="0" fontId="22" fillId="0" borderId="0" xfId="0" applyFont="1"/>
    <xf numFmtId="1" fontId="0" fillId="0" borderId="15" xfId="0" applyNumberFormat="1" applyBorder="1"/>
    <xf numFmtId="1" fontId="0" fillId="0" borderId="11" xfId="42" applyNumberFormat="1" applyFont="1" applyBorder="1"/>
    <xf numFmtId="0" fontId="0" fillId="0" borderId="16" xfId="0" applyBorder="1"/>
    <xf numFmtId="1" fontId="0" fillId="0" borderId="14" xfId="0" applyNumberFormat="1" applyBorder="1"/>
    <xf numFmtId="0" fontId="21" fillId="0" borderId="13" xfId="0" applyFont="1" applyBorder="1"/>
    <xf numFmtId="49" fontId="0" fillId="33" borderId="0" xfId="0" applyNumberFormat="1" applyFill="1" applyAlignment="1">
      <alignment wrapText="1"/>
    </xf>
    <xf numFmtId="49" fontId="0" fillId="0" borderId="0" xfId="0" applyNumberFormat="1"/>
    <xf numFmtId="49" fontId="0" fillId="0" borderId="0" xfId="0" quotePrefix="1" applyNumberFormat="1"/>
    <xf numFmtId="0" fontId="23" fillId="0" borderId="0" xfId="43"/>
    <xf numFmtId="0" fontId="0" fillId="0" borderId="15" xfId="0" applyBorder="1"/>
    <xf numFmtId="1" fontId="0" fillId="0" borderId="17" xfId="0" applyNumberFormat="1" applyBorder="1"/>
    <xf numFmtId="0" fontId="0" fillId="0" borderId="0" xfId="0" pivotButton="1" applyAlignment="1">
      <alignment wrapText="1"/>
    </xf>
    <xf numFmtId="0" fontId="0" fillId="0" borderId="11" xfId="0" applyBorder="1"/>
    <xf numFmtId="0" fontId="0" fillId="0" borderId="11" xfId="42" applyNumberFormat="1" applyFont="1" applyBorder="1"/>
    <xf numFmtId="0" fontId="24" fillId="0" borderId="0" xfId="0" applyFont="1"/>
    <xf numFmtId="0" fontId="24" fillId="37" borderId="0" xfId="0" applyFont="1" applyFill="1" applyAlignment="1">
      <alignment wrapText="1"/>
    </xf>
    <xf numFmtId="1" fontId="21" fillId="0" borderId="10" xfId="0" applyNumberFormat="1" applyFont="1" applyBorder="1"/>
    <xf numFmtId="0" fontId="0" fillId="0" borderId="15" xfId="0" applyBorder="1" applyAlignment="1">
      <alignment horizontal="left" wrapText="1"/>
    </xf>
    <xf numFmtId="1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 wrapText="1"/>
    </xf>
    <xf numFmtId="1" fontId="0" fillId="0" borderId="10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38" borderId="0" xfId="0" applyFill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1"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/>
      </font>
    </dxf>
    <dxf>
      <font>
        <strike/>
      </font>
    </dxf>
    <dxf>
      <font>
        <strike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/>
      </font>
    </dxf>
    <dxf>
      <font>
        <color theme="0" tint="-0.14996795556505021"/>
      </font>
    </dxf>
    <dxf>
      <font>
        <color theme="0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14996795556505021"/>
      </font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strike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/>
      </font>
    </dxf>
    <dxf>
      <font>
        <strike/>
      </font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/>
      </font>
    </dxf>
    <dxf>
      <fill>
        <patternFill>
          <bgColor rgb="FFFF0000"/>
        </patternFill>
      </fill>
    </dxf>
    <dxf>
      <numFmt numFmtId="1" formatCode="0"/>
    </dxf>
    <dxf>
      <numFmt numFmtId="1" formatCode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4659260841701"/>
        <name val="Aptos Narrow"/>
        <family val="2"/>
        <scheme val="minor"/>
      </font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1" formatCode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1" formatCode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</dxf>
    <dxf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</dxf>
    <dxf>
      <font>
        <color theme="0" tint="-0.24994659260841701"/>
      </font>
      <numFmt numFmtId="0" formatCode="General"/>
    </dxf>
    <dxf>
      <numFmt numFmtId="1" formatCode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numFmt numFmtId="1" formatCode="0"/>
      <alignment horizontal="left" vertical="bottom" textRotation="0" indent="0" justifyLastLine="0" shrinkToFit="0" readingOrder="0"/>
    </dxf>
    <dxf>
      <numFmt numFmtId="1" formatCode="0"/>
      <alignment horizontal="left" vertical="bottom" textRotation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</dxf>
    <dxf>
      <numFmt numFmtId="1" formatCode="0"/>
    </dxf>
    <dxf>
      <numFmt numFmtId="1" formatCode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  <border diagonalUp="0" diagonalDown="0">
        <left style="thin">
          <color indexed="64"/>
        </left>
        <right/>
        <vertic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2" formatCode="0.00"/>
      <border diagonalUp="0" diagonalDown="0" outline="0">
        <left/>
        <right style="thin">
          <color indexed="64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0" tint="-0.24994659260841701"/>
        <name val="Aptos Narrow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0" tint="-0.24994659260841701"/>
        <name val="Aptos Narrow"/>
        <family val="2"/>
        <scheme val="minor"/>
      </font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tor Nemeth" refreshedDate="46300.716571759258" createdVersion="8" refreshedVersion="8" minRefreshableVersion="3" recordCount="1115" xr:uid="{5F828BE0-C5A3-4511-A613-EC3031480AF9}">
  <cacheSource type="worksheet">
    <worksheetSource ref="A1:O1048576" sheet="roster"/>
  </cacheSource>
  <cacheFields count="15">
    <cacheField name="VEHIDCODE" numFmtId="0">
      <sharedItems containsBlank="1"/>
    </cacheField>
    <cacheField name="EXCLUDE" numFmtId="0">
      <sharedItems containsBlank="1" count="4">
        <b v="0"/>
        <b v="1"/>
        <e v="#N/A"/>
        <m/>
      </sharedItems>
    </cacheField>
    <cacheField name="IS_WAGON_OR_COACH" numFmtId="0">
      <sharedItems containsBlank="1" count="4">
        <b v="1"/>
        <b v="0"/>
        <e v="#N/A"/>
        <m/>
      </sharedItems>
    </cacheField>
    <cacheField name="INTRO_20YR" numFmtId="0">
      <sharedItems containsBlank="1" containsMixedTypes="1" containsNumber="1" containsInteger="1" minValue="1660" maxValue="2040" count="15">
        <n v="2000"/>
        <n v="1900"/>
        <n v="1880"/>
        <n v="1920"/>
        <n v="1940"/>
        <n v="1980"/>
        <n v="1960"/>
        <n v="1820"/>
        <n v="1840"/>
        <n v="1860"/>
        <n v="2020"/>
        <n v="2040"/>
        <n v="1660"/>
        <e v="#N/A"/>
        <m/>
      </sharedItems>
    </cacheField>
    <cacheField name="ROLE" numFmtId="0">
      <sharedItems containsBlank="1" count="38">
        <e v="#REF!"/>
        <m/>
        <s v="Powered/Unpowered Sundry" u="1"/>
        <s v="Commuter/Urban" u="1"/>
        <s v="Light Freight" u="1"/>
        <s v="Express Passenger" u="1"/>
        <s v="Shunting" u="1"/>
        <s v="Universal" u="1"/>
        <s v="Express" u="1"/>
        <s v="Heavy Freight" u="1"/>
        <s v="Metro" u="1"/>
        <s v="Ultra-High-Speed (Universal)" u="1"/>
        <s v="Freight" u="1"/>
        <s v="Ultra-High-Speed (Pax)" u="1"/>
        <s v="Wagon" u="1"/>
        <s v="Coach (Commuter)" u="1"/>
        <s v="Coach (Mail)" u="1"/>
        <s v="Coach (Express)" u="1"/>
        <s v="Coach (HS)" u="1"/>
        <e v="#N/A" u="1"/>
        <s v="Commuter / Urban" u="1"/>
        <s v="Express (Passenger)" u="1"/>
        <s v="Shunter" u="1"/>
        <s v="General Purpose" u="1"/>
        <s v="Express (Universal)" u="1"/>
        <s v="Metro/Rapid Transit" u="1"/>
        <s v="Regional Passenger" u="1"/>
        <s v="Standard Freight" u="1"/>
        <s v="Coach (Regional))" u="1"/>
        <s v="Shunter (Freight)" u="1"/>
        <s v="Commuter Coach" u="1"/>
        <s v="Regional Coach" u="1"/>
        <s v="Mail Coach" u="1"/>
        <s v="Express Coach" u="1"/>
        <s v="HS Coach" u="1"/>
        <s v="Express (Freight)" u="1"/>
        <s v="Express Mail / Parcel" u="1"/>
        <s v="Ultra-High-Speed (Freight)" u="1"/>
      </sharedItems>
    </cacheField>
    <cacheField name="REGION_CONC" numFmtId="0">
      <sharedItems containsBlank="1"/>
    </cacheField>
    <cacheField name="AFRICA" numFmtId="0">
      <sharedItems containsBlank="1" count="3">
        <b v="1"/>
        <b v="0"/>
        <m/>
      </sharedItems>
    </cacheField>
    <cacheField name="ASIA" numFmtId="0">
      <sharedItems containsBlank="1" count="3">
        <b v="1"/>
        <b v="0"/>
        <m/>
      </sharedItems>
    </cacheField>
    <cacheField name="SOUTHERN_EUROPE" numFmtId="0">
      <sharedItems containsBlank="1" count="3">
        <b v="1"/>
        <b v="0"/>
        <m/>
      </sharedItems>
    </cacheField>
    <cacheField name="EASTERN_EUROPE" numFmtId="0">
      <sharedItems containsBlank="1" count="3">
        <b v="1"/>
        <b v="0"/>
        <m/>
      </sharedItems>
    </cacheField>
    <cacheField name="WESTERN_EUROPE" numFmtId="0">
      <sharedItems containsBlank="1" count="3">
        <b v="1"/>
        <b v="0"/>
        <m/>
      </sharedItems>
    </cacheField>
    <cacheField name="NORTHERN_EUROPE" numFmtId="0">
      <sharedItems containsBlank="1" count="3">
        <b v="1"/>
        <b v="0"/>
        <m/>
      </sharedItems>
    </cacheField>
    <cacheField name="NORTH_AMERICA" numFmtId="0">
      <sharedItems containsBlank="1" count="3">
        <b v="1"/>
        <b v="0"/>
        <m/>
      </sharedItems>
    </cacheField>
    <cacheField name="SOUTH_AMERICA" numFmtId="0">
      <sharedItems containsBlank="1" count="3">
        <b v="1"/>
        <b v="0"/>
        <m/>
      </sharedItems>
    </cacheField>
    <cacheField name="OCEANIA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Autorefresh</xxpvi:lastRefreshFeature>
      </xxpvi:cacheVersionInfo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5">
  <r>
    <s v="mglv_Maglev_Wagon_Powered"/>
    <x v="0"/>
    <x v="0"/>
    <x v="0"/>
    <x v="0"/>
    <s v="ALL_REGION_NO_REGION_NO_REGION_NO_REGION"/>
    <x v="0"/>
    <x v="0"/>
    <x v="0"/>
    <x v="0"/>
    <x v="0"/>
    <x v="0"/>
    <x v="0"/>
    <x v="0"/>
    <x v="0"/>
  </r>
  <r>
    <s v="mglv_Maglev_Wagon_Unpowered"/>
    <x v="0"/>
    <x v="0"/>
    <x v="0"/>
    <x v="0"/>
    <s v="ALL_REGION_NO_REGION_NO_REGION_NO_REGION"/>
    <x v="0"/>
    <x v="0"/>
    <x v="0"/>
    <x v="0"/>
    <x v="0"/>
    <x v="0"/>
    <x v="0"/>
    <x v="0"/>
    <x v="0"/>
  </r>
  <r>
    <s v="rbs_Komarek_NOLB_1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rbs_Kerr__Stuart___Co__86"/>
    <x v="0"/>
    <x v="1"/>
    <x v="1"/>
    <x v="0"/>
    <s v="SOUTHERN_EUROPE_NO_REGION_NO_REGION_NO_REGION"/>
    <x v="1"/>
    <x v="1"/>
    <x v="0"/>
    <x v="1"/>
    <x v="1"/>
    <x v="1"/>
    <x v="1"/>
    <x v="1"/>
    <x v="1"/>
  </r>
  <r>
    <s v="rbs_Victorian_Railways_Rowan_Railmotor"/>
    <x v="0"/>
    <x v="1"/>
    <x v="2"/>
    <x v="0"/>
    <s v="OCEANIA_NO_REGION_NO_REGION_NO_REGION"/>
    <x v="1"/>
    <x v="1"/>
    <x v="1"/>
    <x v="1"/>
    <x v="1"/>
    <x v="1"/>
    <x v="1"/>
    <x v="1"/>
    <x v="0"/>
  </r>
  <r>
    <s v="rbs_Esslingen_Czm_1_2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rbs_Maffei_MCCi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rbs_Kitson___Co_CSAR_Railmotor"/>
    <x v="0"/>
    <x v="1"/>
    <x v="1"/>
    <x v="0"/>
    <s v="AFRICA_NO_REGION_NO_REGION_NO_REGION"/>
    <x v="0"/>
    <x v="1"/>
    <x v="1"/>
    <x v="1"/>
    <x v="1"/>
    <x v="1"/>
    <x v="1"/>
    <x v="1"/>
    <x v="1"/>
  </r>
  <r>
    <s v="rbs_Kerr_Stuart_steam_railmotor"/>
    <x v="0"/>
    <x v="1"/>
    <x v="1"/>
    <x v="0"/>
    <s v="OCEANIA_NO_REGION_NO_REGION_NO_REGION"/>
    <x v="1"/>
    <x v="1"/>
    <x v="1"/>
    <x v="1"/>
    <x v="1"/>
    <x v="1"/>
    <x v="1"/>
    <x v="1"/>
    <x v="0"/>
  </r>
  <r>
    <s v="rbs_KkStB_4_0"/>
    <x v="0"/>
    <x v="1"/>
    <x v="2"/>
    <x v="0"/>
    <s v="WESTERN_EUROPE_NO_REGION_NO_REGION_NO_REGION"/>
    <x v="1"/>
    <x v="1"/>
    <x v="1"/>
    <x v="1"/>
    <x v="0"/>
    <x v="1"/>
    <x v="1"/>
    <x v="1"/>
    <x v="1"/>
  </r>
  <r>
    <s v="rbd_AEC_railmotor_RM1"/>
    <x v="0"/>
    <x v="1"/>
    <x v="3"/>
    <x v="0"/>
    <s v="OCEANIA_NO_REGION_NO_REGION_NO_REGION"/>
    <x v="1"/>
    <x v="1"/>
    <x v="1"/>
    <x v="1"/>
    <x v="1"/>
    <x v="1"/>
    <x v="1"/>
    <x v="1"/>
    <x v="0"/>
  </r>
  <r>
    <s v="rbd_VT133_Wismar_Railcar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rbd_AEC_Railcar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rbd_Simmering_VT42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rbd_Hutt_RM31"/>
    <x v="0"/>
    <x v="1"/>
    <x v="4"/>
    <x v="0"/>
    <s v="OCEANIA_NO_REGION_NO_REGION_NO_REGION"/>
    <x v="1"/>
    <x v="1"/>
    <x v="1"/>
    <x v="1"/>
    <x v="1"/>
    <x v="1"/>
    <x v="1"/>
    <x v="1"/>
    <x v="0"/>
  </r>
  <r>
    <s v="rbd_NOHAB_CP_0100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rbd_Budd_RDC"/>
    <x v="0"/>
    <x v="1"/>
    <x v="4"/>
    <x v="0"/>
    <s v="ALL_AMERICA_APAC_NO_REGION_NO_REGION"/>
    <x v="1"/>
    <x v="0"/>
    <x v="1"/>
    <x v="1"/>
    <x v="1"/>
    <x v="1"/>
    <x v="0"/>
    <x v="0"/>
    <x v="0"/>
  </r>
  <r>
    <s v="rbd_Uerdingen_railbus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rbd_MaK_GDT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rbd_Allan_Kameel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rbd_NS_DH1"/>
    <x v="0"/>
    <x v="1"/>
    <x v="5"/>
    <x v="0"/>
    <s v="ALL_EUROPE_SOUTH_AMERICA_NO_REGION_NO_REGION"/>
    <x v="1"/>
    <x v="1"/>
    <x v="0"/>
    <x v="0"/>
    <x v="0"/>
    <x v="0"/>
    <x v="1"/>
    <x v="0"/>
    <x v="1"/>
  </r>
  <r>
    <s v="rbd_Jenbacher_Werke_5047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rbd_Hunslet_Barclay_Super_Sprinter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rbd_Vagonka_Studenka_809"/>
    <x v="0"/>
    <x v="1"/>
    <x v="5"/>
    <x v="0"/>
    <s v="EASTERN_EUROPE_NO_REGION_NO_REGION_NO_REGION"/>
    <x v="1"/>
    <x v="1"/>
    <x v="1"/>
    <x v="0"/>
    <x v="1"/>
    <x v="1"/>
    <x v="1"/>
    <x v="1"/>
    <x v="1"/>
  </r>
  <r>
    <s v="rbd_DWA_670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rbd_RVR_AR2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rbd_Austro_Daimler_Z1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rbd_McKeen_Motor_Car_70"/>
    <x v="0"/>
    <x v="1"/>
    <x v="1"/>
    <x v="0"/>
    <s v="NORTH_AMERICA_NO_REGION_NO_REGION_NO_REGION"/>
    <x v="1"/>
    <x v="1"/>
    <x v="1"/>
    <x v="1"/>
    <x v="1"/>
    <x v="1"/>
    <x v="0"/>
    <x v="1"/>
    <x v="1"/>
  </r>
  <r>
    <s v="rbd_BBC_DET_1_2_Sachsischer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rbd_WC_PR_Drewry_Railcar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rbd_LHW_BSt_6001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rbd_EMC_DERM"/>
    <x v="0"/>
    <x v="1"/>
    <x v="3"/>
    <x v="0"/>
    <s v="OCEANIA_NO_REGION_NO_REGION_NO_REGION"/>
    <x v="1"/>
    <x v="1"/>
    <x v="1"/>
    <x v="1"/>
    <x v="1"/>
    <x v="1"/>
    <x v="1"/>
    <x v="1"/>
    <x v="0"/>
  </r>
  <r>
    <s v="rbd_Tatra_M120_4"/>
    <x v="0"/>
    <x v="1"/>
    <x v="3"/>
    <x v="0"/>
    <s v="EASTERN_EUROPE_NO_REGION_NO_REGION_NO_REGION"/>
    <x v="1"/>
    <x v="1"/>
    <x v="1"/>
    <x v="0"/>
    <x v="1"/>
    <x v="1"/>
    <x v="1"/>
    <x v="1"/>
    <x v="1"/>
  </r>
  <r>
    <s v="rbd_Franz_Kruckenberg_Schienenzeppelin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rbd_DSB_MO_Serie_1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rbd_Strommens_Kristine_Valdresdatter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rbd_Tatra_M290"/>
    <x v="0"/>
    <x v="1"/>
    <x v="3"/>
    <x v="0"/>
    <s v="EASTERN_EUROPE_NO_REGION_NO_REGION_NO_REGION"/>
    <x v="1"/>
    <x v="1"/>
    <x v="1"/>
    <x v="0"/>
    <x v="1"/>
    <x v="1"/>
    <x v="1"/>
    <x v="1"/>
    <x v="1"/>
  </r>
  <r>
    <s v="rbd_Werkspoor_DM37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rbd_Eveleigh_400_Class"/>
    <x v="0"/>
    <x v="1"/>
    <x v="3"/>
    <x v="0"/>
    <s v="OCEANIA_NO_REGION_NO_REGION_NO_REGION"/>
    <x v="1"/>
    <x v="1"/>
    <x v="1"/>
    <x v="1"/>
    <x v="1"/>
    <x v="1"/>
    <x v="1"/>
    <x v="1"/>
    <x v="0"/>
  </r>
  <r>
    <s v="rbd_Vale_do_Vouga_ME51_55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rbd_Ateliers_Germain_42_43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rbd_SGP_77783_1960"/>
    <x v="0"/>
    <x v="1"/>
    <x v="6"/>
    <x v="0"/>
    <s v="EASTERN_EUROPE_NO_REGION_NO_REGION_NO_REGION"/>
    <x v="1"/>
    <x v="1"/>
    <x v="1"/>
    <x v="0"/>
    <x v="1"/>
    <x v="1"/>
    <x v="1"/>
    <x v="1"/>
    <x v="1"/>
  </r>
  <r>
    <s v="rbd_Ferrostaal_Esslingen_AA_71"/>
    <x v="0"/>
    <x v="1"/>
    <x v="6"/>
    <x v="0"/>
    <s v="SOUTHERN_EUROPE_NO_REGION_NO_REGION_NO_REGION"/>
    <x v="1"/>
    <x v="1"/>
    <x v="0"/>
    <x v="1"/>
    <x v="1"/>
    <x v="1"/>
    <x v="1"/>
    <x v="1"/>
    <x v="1"/>
  </r>
  <r>
    <s v="rbd_Alsthom_Z_431"/>
    <x v="0"/>
    <x v="1"/>
    <x v="6"/>
    <x v="0"/>
    <s v="AFRICA_NO_REGION_NO_REGION_NO_REGION"/>
    <x v="0"/>
    <x v="1"/>
    <x v="1"/>
    <x v="1"/>
    <x v="1"/>
    <x v="1"/>
    <x v="1"/>
    <x v="1"/>
    <x v="1"/>
  </r>
  <r>
    <s v="rbd_Budd_SPV_2000"/>
    <x v="0"/>
    <x v="1"/>
    <x v="6"/>
    <x v="0"/>
    <s v="NORTH_AMERICA_AFRICA_NO_REGION_NO_REGION"/>
    <x v="0"/>
    <x v="1"/>
    <x v="1"/>
    <x v="1"/>
    <x v="1"/>
    <x v="1"/>
    <x v="0"/>
    <x v="1"/>
    <x v="1"/>
  </r>
  <r>
    <s v="rbd_CKD_Vagonka_Dm12"/>
    <x v="0"/>
    <x v="1"/>
    <x v="0"/>
    <x v="0"/>
    <s v="NORTHERN_EUROPE_NO_REGION_NO_REGION_NO_REGION"/>
    <x v="1"/>
    <x v="1"/>
    <x v="1"/>
    <x v="1"/>
    <x v="1"/>
    <x v="0"/>
    <x v="1"/>
    <x v="1"/>
    <x v="1"/>
  </r>
  <r>
    <s v="rbd_Stadler_Regio_Shuttle_RS1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rbd_Fiat_Ferroviaria_ALn_668_1400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rbe_Ringhoffer_40_001"/>
    <x v="0"/>
    <x v="1"/>
    <x v="1"/>
    <x v="0"/>
    <s v="EASTERN_EUROPE_NO_REGION_NO_REGION_NO_REGION"/>
    <x v="1"/>
    <x v="1"/>
    <x v="1"/>
    <x v="0"/>
    <x v="1"/>
    <x v="1"/>
    <x v="1"/>
    <x v="1"/>
    <x v="1"/>
  </r>
  <r>
    <s v="rbe_Decauville_Z_7100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rbe_HAWA_AEG_Kleinbahn_Nr__1_3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rbe_Raw_Schoneweide_479_201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rbe_Studenka_425_95"/>
    <x v="0"/>
    <x v="1"/>
    <x v="3"/>
    <x v="0"/>
    <s v="EASTERN_EUROPE_NO_REGION_NO_REGION_NO_REGION"/>
    <x v="1"/>
    <x v="1"/>
    <x v="1"/>
    <x v="0"/>
    <x v="1"/>
    <x v="1"/>
    <x v="1"/>
    <x v="1"/>
    <x v="1"/>
  </r>
  <r>
    <s v="rbe_Pozzuoli___OCREN_OM_ALe_840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rbe_Stanga_ALe_80"/>
    <x v="0"/>
    <x v="1"/>
    <x v="5"/>
    <x v="0"/>
    <s v="SOUTHERN_EUROPE_NO_REGION_NO_REGION_NO_REGION"/>
    <x v="1"/>
    <x v="1"/>
    <x v="0"/>
    <x v="1"/>
    <x v="1"/>
    <x v="1"/>
    <x v="1"/>
    <x v="1"/>
    <x v="1"/>
  </r>
  <r>
    <s v="rbe_FS_E_623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rbe_ONCF_ZAB1000"/>
    <x v="0"/>
    <x v="1"/>
    <x v="3"/>
    <x v="0"/>
    <s v="AFRICA_NO_REGION_NO_REGION_NO_REGION"/>
    <x v="0"/>
    <x v="1"/>
    <x v="1"/>
    <x v="1"/>
    <x v="1"/>
    <x v="1"/>
    <x v="1"/>
    <x v="1"/>
    <x v="1"/>
  </r>
  <r>
    <s v="rbe_Pesa_308B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rbe_Franz_Knotz_4855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rbe_Lindner_Talbot_ET_10_109"/>
    <x v="0"/>
    <x v="1"/>
    <x v="0"/>
    <x v="0"/>
    <s v="WESTERN_EUROPE_NO_REGION_NO_REGION_NO_REGION"/>
    <x v="1"/>
    <x v="1"/>
    <x v="1"/>
    <x v="1"/>
    <x v="0"/>
    <x v="1"/>
    <x v="1"/>
    <x v="1"/>
    <x v="1"/>
  </r>
  <r>
    <s v="rbe_Waggonfabrik_Fuchs_ET_85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rbe_ASJ_Y6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rbe_Budd_Silverliner_II"/>
    <x v="0"/>
    <x v="1"/>
    <x v="6"/>
    <x v="0"/>
    <s v="NORTH_AMERICA_NO_REGION_NO_REGION_NO_REGION"/>
    <x v="1"/>
    <x v="1"/>
    <x v="1"/>
    <x v="1"/>
    <x v="1"/>
    <x v="1"/>
    <x v="0"/>
    <x v="1"/>
    <x v="1"/>
  </r>
  <r>
    <s v="rbe_Hyundai_Rotem_Silverliner_V"/>
    <x v="0"/>
    <x v="1"/>
    <x v="0"/>
    <x v="0"/>
    <s v="NORTH_AMERICA_NO_REGION_NO_REGION_NO_REGION"/>
    <x v="1"/>
    <x v="1"/>
    <x v="1"/>
    <x v="1"/>
    <x v="1"/>
    <x v="1"/>
    <x v="0"/>
    <x v="1"/>
    <x v="1"/>
  </r>
  <r>
    <s v="steam_John_Cockerill___Cie__Le_Belge"/>
    <x v="0"/>
    <x v="1"/>
    <x v="7"/>
    <x v="0"/>
    <s v="WESTERN_EUROPE_NO_REGION_NO_REGION_NO_REGION"/>
    <x v="1"/>
    <x v="1"/>
    <x v="1"/>
    <x v="1"/>
    <x v="0"/>
    <x v="1"/>
    <x v="1"/>
    <x v="1"/>
    <x v="1"/>
  </r>
  <r>
    <s v="steam_GWR_4_4_0_American"/>
    <x v="0"/>
    <x v="1"/>
    <x v="8"/>
    <x v="0"/>
    <s v="NORTH_AMERICA_NO_REGION_NO_REGION_NO_REGION"/>
    <x v="1"/>
    <x v="1"/>
    <x v="1"/>
    <x v="1"/>
    <x v="1"/>
    <x v="1"/>
    <x v="0"/>
    <x v="1"/>
    <x v="1"/>
  </r>
  <r>
    <s v="steam_Esslingen_Ec_2_5"/>
    <x v="0"/>
    <x v="1"/>
    <x v="8"/>
    <x v="0"/>
    <s v="WESTERN_EUROPE_NO_REGION_NO_REGION_NO_REGION"/>
    <x v="1"/>
    <x v="1"/>
    <x v="1"/>
    <x v="1"/>
    <x v="0"/>
    <x v="1"/>
    <x v="1"/>
    <x v="1"/>
    <x v="1"/>
  </r>
  <r>
    <s v="steam_Norris_4_6_0_Ten_wheeler"/>
    <x v="0"/>
    <x v="1"/>
    <x v="9"/>
    <x v="0"/>
    <s v="NORTH_AMERICA_NO_REGION_NO_REGION_NO_REGION"/>
    <x v="1"/>
    <x v="1"/>
    <x v="1"/>
    <x v="1"/>
    <x v="1"/>
    <x v="1"/>
    <x v="0"/>
    <x v="1"/>
    <x v="1"/>
  </r>
  <r>
    <s v="steam_Baldwin_2_8_0_Consolidation"/>
    <x v="0"/>
    <x v="1"/>
    <x v="9"/>
    <x v="0"/>
    <s v="NORTH_AMERICA_NO_REGION_NO_REGION_NO_REGION"/>
    <x v="1"/>
    <x v="1"/>
    <x v="1"/>
    <x v="1"/>
    <x v="1"/>
    <x v="1"/>
    <x v="0"/>
    <x v="1"/>
    <x v="1"/>
  </r>
  <r>
    <s v="steam_MAV_377"/>
    <x v="0"/>
    <x v="1"/>
    <x v="2"/>
    <x v="0"/>
    <s v="EASTERN_EUROPE_NO_REGION_NO_REGION_NO_REGION"/>
    <x v="1"/>
    <x v="1"/>
    <x v="1"/>
    <x v="0"/>
    <x v="1"/>
    <x v="1"/>
    <x v="1"/>
    <x v="1"/>
    <x v="1"/>
  </r>
  <r>
    <s v="steam_Krauss_KkStB_99"/>
    <x v="0"/>
    <x v="1"/>
    <x v="2"/>
    <x v="0"/>
    <s v="WESTERN_EUROPE_NO_REGION_NO_REGION_NO_REGION"/>
    <x v="1"/>
    <x v="1"/>
    <x v="1"/>
    <x v="1"/>
    <x v="0"/>
    <x v="1"/>
    <x v="1"/>
    <x v="1"/>
    <x v="1"/>
  </r>
  <r>
    <s v="steam_McIntosh__Caledonian_Railway__439"/>
    <x v="0"/>
    <x v="1"/>
    <x v="1"/>
    <x v="0"/>
    <s v="NORTHERN_EUROPE_NO_REGION_NO_REGION_NO_REGION"/>
    <x v="1"/>
    <x v="1"/>
    <x v="1"/>
    <x v="1"/>
    <x v="1"/>
    <x v="0"/>
    <x v="1"/>
    <x v="1"/>
    <x v="1"/>
  </r>
  <r>
    <s v="steam_SLM_Winterthur_A_3_5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steam_SLM_Winterthur_E_3_3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steam_Krauss_299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steam_NZR_X"/>
    <x v="0"/>
    <x v="1"/>
    <x v="1"/>
    <x v="0"/>
    <s v="OCEANIA_NO_REGION_NO_REGION_NO_REGION"/>
    <x v="1"/>
    <x v="1"/>
    <x v="1"/>
    <x v="1"/>
    <x v="1"/>
    <x v="1"/>
    <x v="1"/>
    <x v="1"/>
    <x v="0"/>
  </r>
  <r>
    <s v="steam_MaVAG_375"/>
    <x v="0"/>
    <x v="1"/>
    <x v="1"/>
    <x v="0"/>
    <s v="EASTERN_EUROPE_NO_REGION_NO_REGION_NO_REGION"/>
    <x v="1"/>
    <x v="1"/>
    <x v="1"/>
    <x v="0"/>
    <x v="1"/>
    <x v="1"/>
    <x v="1"/>
    <x v="1"/>
    <x v="1"/>
  </r>
  <r>
    <s v="steam_FS_880"/>
    <x v="0"/>
    <x v="1"/>
    <x v="1"/>
    <x v="0"/>
    <s v="SOUTHERN_EUROPE_NO_REGION_NO_REGION_NO_REGION"/>
    <x v="1"/>
    <x v="1"/>
    <x v="0"/>
    <x v="1"/>
    <x v="1"/>
    <x v="1"/>
    <x v="1"/>
    <x v="1"/>
    <x v="1"/>
  </r>
  <r>
    <s v="steam_FCNEA_11B_2_8_0"/>
    <x v="0"/>
    <x v="1"/>
    <x v="1"/>
    <x v="0"/>
    <s v="SOUTH_AMERICA_NO_REGION_NO_REGION_NO_REGION"/>
    <x v="1"/>
    <x v="1"/>
    <x v="1"/>
    <x v="1"/>
    <x v="1"/>
    <x v="1"/>
    <x v="1"/>
    <x v="0"/>
    <x v="1"/>
  </r>
  <r>
    <s v="steam_Schneider_et_Cie_140C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steam_Union_Giesserei_2_8_2T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steam_GWR_4900_Hall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steam_GWR_5700_Pannier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steam_Henschel___Sohn_series_6300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steam_Baldwin_5000_Madame_Queen"/>
    <x v="0"/>
    <x v="1"/>
    <x v="3"/>
    <x v="0"/>
    <s v="NORTH_AMERICA_NO_REGION_NO_REGION_NO_REGION"/>
    <x v="1"/>
    <x v="1"/>
    <x v="1"/>
    <x v="1"/>
    <x v="1"/>
    <x v="1"/>
    <x v="0"/>
    <x v="1"/>
    <x v="1"/>
  </r>
  <r>
    <s v="steam_Schwartzkopff_S_10_Prussian"/>
    <x v="0"/>
    <x v="1"/>
    <x v="1"/>
    <x v="0"/>
    <s v="EASTERN_EUROPE_NO_REGION_NO_REGION_NO_REGION"/>
    <x v="1"/>
    <x v="1"/>
    <x v="1"/>
    <x v="0"/>
    <x v="1"/>
    <x v="1"/>
    <x v="1"/>
    <x v="1"/>
    <x v="1"/>
  </r>
  <r>
    <s v="steam_LMS_5MT_Black_Five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steam_Kolomena_9P"/>
    <x v="0"/>
    <x v="1"/>
    <x v="3"/>
    <x v="0"/>
    <s v="POST_SOVIET_BALTIC_NO_REGION_NO_REGION_NO_REGION"/>
    <x v="1"/>
    <x v="0"/>
    <x v="1"/>
    <x v="0"/>
    <x v="1"/>
    <x v="0"/>
    <x v="1"/>
    <x v="1"/>
    <x v="1"/>
  </r>
  <r>
    <s v="steam_LNER_A4_Gresley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steam_MLW_Royal_Hudson"/>
    <x v="0"/>
    <x v="1"/>
    <x v="3"/>
    <x v="0"/>
    <s v="NORTH_AMERICA_NO_REGION_NO_REGION_NO_REGION"/>
    <x v="1"/>
    <x v="1"/>
    <x v="1"/>
    <x v="1"/>
    <x v="1"/>
    <x v="1"/>
    <x v="0"/>
    <x v="1"/>
    <x v="1"/>
  </r>
  <r>
    <s v="steam_NOHAB_4_6_2_F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steam_GGL_HAS_52"/>
    <x v="0"/>
    <x v="1"/>
    <x v="4"/>
    <x v="0"/>
    <s v="ALL_EUROPE_ASIA_NO_REGION_NO_REGION"/>
    <x v="1"/>
    <x v="0"/>
    <x v="0"/>
    <x v="0"/>
    <x v="0"/>
    <x v="0"/>
    <x v="1"/>
    <x v="1"/>
    <x v="1"/>
  </r>
  <r>
    <s v="steam_Doncaster_Darlington_Peppercorn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steam_Henschel___Son_Condenser"/>
    <x v="0"/>
    <x v="1"/>
    <x v="4"/>
    <x v="0"/>
    <s v="AFRICA_NO_REGION_NO_REGION_NO_REGION"/>
    <x v="0"/>
    <x v="1"/>
    <x v="1"/>
    <x v="1"/>
    <x v="1"/>
    <x v="1"/>
    <x v="1"/>
    <x v="1"/>
    <x v="1"/>
  </r>
  <r>
    <s v="steam_Kolomena_P36"/>
    <x v="0"/>
    <x v="1"/>
    <x v="4"/>
    <x v="0"/>
    <s v="POST_SOVIET_BALTIC_NO_REGION_NO_REGION_NO_REGION"/>
    <x v="1"/>
    <x v="0"/>
    <x v="1"/>
    <x v="0"/>
    <x v="1"/>
    <x v="0"/>
    <x v="1"/>
    <x v="1"/>
    <x v="1"/>
  </r>
  <r>
    <s v="steam_ANF_DEL_150B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steam_Henschel_895"/>
    <x v="0"/>
    <x v="1"/>
    <x v="1"/>
    <x v="0"/>
    <s v="SOUTHERN_EUROPE_NO_REGION_NO_REGION_NO_REGION"/>
    <x v="1"/>
    <x v="1"/>
    <x v="0"/>
    <x v="1"/>
    <x v="1"/>
    <x v="1"/>
    <x v="1"/>
    <x v="1"/>
    <x v="1"/>
  </r>
  <r>
    <s v="steam_H__Cegielski_OKz32"/>
    <x v="0"/>
    <x v="1"/>
    <x v="3"/>
    <x v="0"/>
    <s v="EASTERN_EUROPE_NO_REGION_NO_REGION_NO_REGION"/>
    <x v="1"/>
    <x v="1"/>
    <x v="1"/>
    <x v="0"/>
    <x v="1"/>
    <x v="1"/>
    <x v="1"/>
    <x v="1"/>
    <x v="1"/>
  </r>
  <r>
    <s v="steam_SLM_C_5_6_Elephant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steam_ALCO_series_4000_4_8_8_4_Big_Boy"/>
    <x v="0"/>
    <x v="1"/>
    <x v="4"/>
    <x v="0"/>
    <s v="NORTH_AMERICA_NO_REGION_NO_REGION_NO_REGION"/>
    <x v="1"/>
    <x v="1"/>
    <x v="1"/>
    <x v="1"/>
    <x v="1"/>
    <x v="1"/>
    <x v="0"/>
    <x v="1"/>
    <x v="1"/>
  </r>
  <r>
    <s v="steam_Sharp_Stewart_3557_3565"/>
    <x v="0"/>
    <x v="1"/>
    <x v="2"/>
    <x v="0"/>
    <s v="WESTERN_EUROPE_NO_REGION_NO_REGION_NO_REGION"/>
    <x v="1"/>
    <x v="1"/>
    <x v="1"/>
    <x v="1"/>
    <x v="0"/>
    <x v="1"/>
    <x v="1"/>
    <x v="1"/>
    <x v="1"/>
  </r>
  <r>
    <s v="steam_GWR_Iron_Duke"/>
    <x v="0"/>
    <x v="1"/>
    <x v="8"/>
    <x v="0"/>
    <s v="NORTHERN_EUROPE_NO_REGION_NO_REGION_NO_REGION"/>
    <x v="1"/>
    <x v="1"/>
    <x v="1"/>
    <x v="1"/>
    <x v="1"/>
    <x v="0"/>
    <x v="1"/>
    <x v="1"/>
    <x v="1"/>
  </r>
  <r>
    <s v="steam_Stephenson_0_4_2_Locomotive_No_1"/>
    <x v="0"/>
    <x v="1"/>
    <x v="8"/>
    <x v="0"/>
    <s v="OCEANIA_NO_REGION_NO_REGION_NO_REGION"/>
    <x v="1"/>
    <x v="1"/>
    <x v="1"/>
    <x v="1"/>
    <x v="1"/>
    <x v="1"/>
    <x v="1"/>
    <x v="1"/>
    <x v="0"/>
  </r>
  <r>
    <s v="steam_Cooke_4_2_2_T__D__Judah"/>
    <x v="0"/>
    <x v="1"/>
    <x v="9"/>
    <x v="0"/>
    <s v="NORTH_AMERICA_NO_REGION_NO_REGION_NO_REGION"/>
    <x v="1"/>
    <x v="1"/>
    <x v="1"/>
    <x v="1"/>
    <x v="1"/>
    <x v="1"/>
    <x v="0"/>
    <x v="1"/>
    <x v="1"/>
  </r>
  <r>
    <s v="steam_Beyer__P___Co_2_4_0_SS_9_16__21_78"/>
    <x v="0"/>
    <x v="1"/>
    <x v="9"/>
    <x v="0"/>
    <s v="WESTERN_EUROPE_NO_REGION_NO_REGION_NO_REGION"/>
    <x v="1"/>
    <x v="1"/>
    <x v="1"/>
    <x v="1"/>
    <x v="0"/>
    <x v="1"/>
    <x v="1"/>
    <x v="1"/>
    <x v="1"/>
  </r>
  <r>
    <s v="steam_Beyer__P___Co_2_6_0T_1702_1706"/>
    <x v="0"/>
    <x v="1"/>
    <x v="9"/>
    <x v="0"/>
    <s v="AFRICA_NO_REGION_NO_REGION_NO_REGION"/>
    <x v="0"/>
    <x v="1"/>
    <x v="1"/>
    <x v="1"/>
    <x v="1"/>
    <x v="1"/>
    <x v="1"/>
    <x v="1"/>
    <x v="1"/>
  </r>
  <r>
    <s v="steam_Beyer__P___Co_2_6_0_2073_2092"/>
    <x v="0"/>
    <x v="1"/>
    <x v="2"/>
    <x v="0"/>
    <s v="OCEANIA_NO_REGION_NO_REGION_NO_REGION"/>
    <x v="1"/>
    <x v="1"/>
    <x v="1"/>
    <x v="1"/>
    <x v="1"/>
    <x v="1"/>
    <x v="1"/>
    <x v="1"/>
    <x v="0"/>
  </r>
  <r>
    <s v="steam_Canadian_Pacific_374"/>
    <x v="0"/>
    <x v="1"/>
    <x v="2"/>
    <x v="0"/>
    <s v="NORTH_AMERICA_NO_REGION_NO_REGION_NO_REGION"/>
    <x v="1"/>
    <x v="1"/>
    <x v="1"/>
    <x v="1"/>
    <x v="1"/>
    <x v="1"/>
    <x v="0"/>
    <x v="1"/>
    <x v="1"/>
  </r>
  <r>
    <s v="steam_Nasmyth__Wilson___Co_35_tonner_4_6_0T"/>
    <x v="0"/>
    <x v="1"/>
    <x v="2"/>
    <x v="0"/>
    <s v="AFRICA_NO_REGION_NO_REGION_NO_REGION"/>
    <x v="0"/>
    <x v="1"/>
    <x v="1"/>
    <x v="1"/>
    <x v="1"/>
    <x v="1"/>
    <x v="1"/>
    <x v="1"/>
    <x v="1"/>
  </r>
  <r>
    <s v="steam_Schneider_RENFE_040"/>
    <x v="0"/>
    <x v="1"/>
    <x v="2"/>
    <x v="0"/>
    <s v="SOUTHERN_EUROPE_NO_REGION_NO_REGION_NO_REGION"/>
    <x v="1"/>
    <x v="1"/>
    <x v="0"/>
    <x v="1"/>
    <x v="1"/>
    <x v="1"/>
    <x v="1"/>
    <x v="1"/>
    <x v="1"/>
  </r>
  <r>
    <s v="steam_Sachsische_Maschinenfabrik_IV_K"/>
    <x v="0"/>
    <x v="1"/>
    <x v="2"/>
    <x v="0"/>
    <s v="WESTERN_EUROPE_NO_REGION_NO_REGION_NO_REGION"/>
    <x v="1"/>
    <x v="1"/>
    <x v="1"/>
    <x v="1"/>
    <x v="0"/>
    <x v="1"/>
    <x v="1"/>
    <x v="1"/>
    <x v="1"/>
  </r>
  <r>
    <s v="steam_Hanomag_S_3"/>
    <x v="0"/>
    <x v="1"/>
    <x v="2"/>
    <x v="0"/>
    <s v="WESTERN_EUROPE_NO_REGION_NO_REGION_NO_REGION"/>
    <x v="1"/>
    <x v="1"/>
    <x v="1"/>
    <x v="1"/>
    <x v="0"/>
    <x v="1"/>
    <x v="1"/>
    <x v="1"/>
    <x v="1"/>
  </r>
  <r>
    <s v="steam_Thune_XXIa"/>
    <x v="0"/>
    <x v="1"/>
    <x v="2"/>
    <x v="0"/>
    <s v="NORTHERN_EUROPE_NO_REGION_NO_REGION_NO_REGION"/>
    <x v="1"/>
    <x v="1"/>
    <x v="1"/>
    <x v="1"/>
    <x v="1"/>
    <x v="0"/>
    <x v="1"/>
    <x v="1"/>
    <x v="1"/>
  </r>
  <r>
    <s v="steam_PRR_D16"/>
    <x v="0"/>
    <x v="1"/>
    <x v="2"/>
    <x v="0"/>
    <s v="NORTH_AMERICA_NO_REGION_NO_REGION_NO_REGION"/>
    <x v="1"/>
    <x v="1"/>
    <x v="1"/>
    <x v="1"/>
    <x v="1"/>
    <x v="1"/>
    <x v="0"/>
    <x v="1"/>
    <x v="1"/>
  </r>
  <r>
    <s v="steam_Machinefabriek_Breda_661_667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steam_ALCO_46581_2_6_6_2_Mallet"/>
    <x v="0"/>
    <x v="1"/>
    <x v="1"/>
    <x v="0"/>
    <s v="AFRICA_NO_REGION_NO_REGION_NO_REGION"/>
    <x v="0"/>
    <x v="1"/>
    <x v="1"/>
    <x v="1"/>
    <x v="1"/>
    <x v="1"/>
    <x v="1"/>
    <x v="1"/>
    <x v="1"/>
  </r>
  <r>
    <s v="steam_Orenstein___Koppel_2_8_0_8_Tender"/>
    <x v="0"/>
    <x v="1"/>
    <x v="1"/>
    <x v="0"/>
    <s v="AFRICA_NO_REGION_NO_REGION_NO_REGION"/>
    <x v="0"/>
    <x v="1"/>
    <x v="1"/>
    <x v="1"/>
    <x v="1"/>
    <x v="1"/>
    <x v="1"/>
    <x v="1"/>
    <x v="1"/>
  </r>
  <r>
    <s v="steam_Stratford_Works_L77_LNER_N7"/>
    <x v="0"/>
    <x v="1"/>
    <x v="1"/>
    <x v="0"/>
    <s v="NORTHERN_EUROPE_NO_REGION_NO_REGION_NO_REGION"/>
    <x v="1"/>
    <x v="1"/>
    <x v="1"/>
    <x v="1"/>
    <x v="1"/>
    <x v="0"/>
    <x v="1"/>
    <x v="1"/>
    <x v="1"/>
  </r>
  <r>
    <s v="steam_Sachsische_Maschinenfabrik_XX_HV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steam_Beyer__P___Co_2_4_0_SS_9_16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steam_Beyer__P___Co_2_6_0_6112_6113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steam_Baldwin_10_32_E_55246"/>
    <x v="0"/>
    <x v="1"/>
    <x v="3"/>
    <x v="0"/>
    <s v="NORTH_AMERICA_NO_REGION_NO_REGION_NO_REGION"/>
    <x v="1"/>
    <x v="1"/>
    <x v="1"/>
    <x v="1"/>
    <x v="1"/>
    <x v="1"/>
    <x v="0"/>
    <x v="1"/>
    <x v="1"/>
  </r>
  <r>
    <s v="steam_Canadian_National_U_1_a_"/>
    <x v="0"/>
    <x v="1"/>
    <x v="3"/>
    <x v="0"/>
    <s v="NORTH_AMERICA_NO_REGION_NO_REGION_NO_REGION"/>
    <x v="1"/>
    <x v="1"/>
    <x v="1"/>
    <x v="1"/>
    <x v="1"/>
    <x v="1"/>
    <x v="0"/>
    <x v="1"/>
    <x v="1"/>
  </r>
  <r>
    <s v="steam_Vulcan_Foundry_2_6_4_Class_XB"/>
    <x v="0"/>
    <x v="1"/>
    <x v="3"/>
    <x v="0"/>
    <s v="ASIA_NO_REGION_NO_REGION_NO_REGION"/>
    <x v="1"/>
    <x v="0"/>
    <x v="1"/>
    <x v="1"/>
    <x v="1"/>
    <x v="1"/>
    <x v="1"/>
    <x v="1"/>
    <x v="1"/>
  </r>
  <r>
    <s v="steam_Robert_Stephenson_4_6_2_6982_6985"/>
    <x v="0"/>
    <x v="1"/>
    <x v="4"/>
    <x v="0"/>
    <s v="ASIA_NO_REGION_NO_REGION_NO_REGION"/>
    <x v="1"/>
    <x v="0"/>
    <x v="1"/>
    <x v="1"/>
    <x v="1"/>
    <x v="1"/>
    <x v="1"/>
    <x v="1"/>
    <x v="1"/>
  </r>
  <r>
    <s v="steam_ENR_1100__LMS_Fowler_3F___WD_0_6_0T_"/>
    <x v="0"/>
    <x v="1"/>
    <x v="3"/>
    <x v="0"/>
    <s v="AFRICA_NORTH_WEST_EUROPE_NO_REGION_NO_REGION"/>
    <x v="0"/>
    <x v="1"/>
    <x v="1"/>
    <x v="1"/>
    <x v="0"/>
    <x v="0"/>
    <x v="1"/>
    <x v="1"/>
    <x v="1"/>
  </r>
  <r>
    <s v="steam_Swindon_Works_381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steam_North_British_LC_R_4_6_4_Hudson"/>
    <x v="0"/>
    <x v="1"/>
    <x v="4"/>
    <x v="0"/>
    <s v="OCEANIA_NO_REGION_NO_REGION_NO_REGION"/>
    <x v="1"/>
    <x v="1"/>
    <x v="1"/>
    <x v="1"/>
    <x v="1"/>
    <x v="1"/>
    <x v="1"/>
    <x v="1"/>
    <x v="0"/>
  </r>
  <r>
    <s v="steam_VEB_2_10_2T_99_77_79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steam_RAW_Meiningen_4_6_2_89_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steam_NZR_4_6_4T_WAB"/>
    <x v="0"/>
    <x v="1"/>
    <x v="3"/>
    <x v="0"/>
    <s v="OCEANIA_NO_REGION_NO_REGION_NO_REGION"/>
    <x v="1"/>
    <x v="1"/>
    <x v="1"/>
    <x v="1"/>
    <x v="1"/>
    <x v="1"/>
    <x v="1"/>
    <x v="1"/>
    <x v="0"/>
  </r>
  <r>
    <s v="steam_Clyde_4_8_2_D57"/>
    <x v="0"/>
    <x v="1"/>
    <x v="3"/>
    <x v="0"/>
    <s v="OCEANIA_NO_REGION_NO_REGION_NO_REGION"/>
    <x v="1"/>
    <x v="1"/>
    <x v="1"/>
    <x v="1"/>
    <x v="1"/>
    <x v="1"/>
    <x v="1"/>
    <x v="1"/>
    <x v="0"/>
  </r>
  <r>
    <s v="steam_Islington_Railway_Workshops_81_92_520"/>
    <x v="0"/>
    <x v="1"/>
    <x v="4"/>
    <x v="0"/>
    <s v="OCEANIA_NO_REGION_NO_REGION_NO_REGION"/>
    <x v="1"/>
    <x v="1"/>
    <x v="1"/>
    <x v="1"/>
    <x v="1"/>
    <x v="1"/>
    <x v="1"/>
    <x v="1"/>
    <x v="0"/>
  </r>
  <r>
    <s v="steam_Beyer__P___Co_4_8_4_4_8_4_7473_7497"/>
    <x v="0"/>
    <x v="1"/>
    <x v="4"/>
    <x v="0"/>
    <s v="OCEANIA_NO_REGION_NO_REGION_NO_REGION"/>
    <x v="1"/>
    <x v="1"/>
    <x v="1"/>
    <x v="1"/>
    <x v="1"/>
    <x v="1"/>
    <x v="1"/>
    <x v="1"/>
    <x v="0"/>
  </r>
  <r>
    <s v="steam_AFE_N1_2_6_0"/>
    <x v="0"/>
    <x v="1"/>
    <x v="1"/>
    <x v="0"/>
    <s v="SOUTH_AMERICA_NO_REGION_NO_REGION_NO_REGION"/>
    <x v="1"/>
    <x v="1"/>
    <x v="1"/>
    <x v="1"/>
    <x v="1"/>
    <x v="1"/>
    <x v="1"/>
    <x v="0"/>
    <x v="1"/>
  </r>
  <r>
    <s v="steam_Sir_Armstrong_Whithworth___Co__PS11"/>
    <x v="0"/>
    <x v="1"/>
    <x v="3"/>
    <x v="0"/>
    <s v="SOUTH_AMERICA_NO_REGION_NO_REGION_NO_REGION"/>
    <x v="1"/>
    <x v="1"/>
    <x v="1"/>
    <x v="1"/>
    <x v="1"/>
    <x v="1"/>
    <x v="1"/>
    <x v="0"/>
    <x v="1"/>
  </r>
  <r>
    <s v="steam_Alexander_Chaplin___Co__1584_0_4_0VB"/>
    <x v="0"/>
    <x v="1"/>
    <x v="9"/>
    <x v="0"/>
    <s v="AFRICA_NO_REGION_NO_REGION_NO_REGION"/>
    <x v="0"/>
    <x v="1"/>
    <x v="1"/>
    <x v="1"/>
    <x v="1"/>
    <x v="1"/>
    <x v="1"/>
    <x v="1"/>
    <x v="1"/>
  </r>
  <r>
    <s v="steam_Falcon_Engine_and_Car_Works_F2"/>
    <x v="0"/>
    <x v="1"/>
    <x v="2"/>
    <x v="0"/>
    <s v="AFRICA_NO_REGION_NO_REGION_NO_REGION"/>
    <x v="0"/>
    <x v="1"/>
    <x v="1"/>
    <x v="1"/>
    <x v="1"/>
    <x v="1"/>
    <x v="1"/>
    <x v="1"/>
    <x v="1"/>
  </r>
  <r>
    <s v="steam_Ansaldo_R_440_Mallet"/>
    <x v="0"/>
    <x v="1"/>
    <x v="1"/>
    <x v="0"/>
    <s v="AFRICA_NO_REGION_NO_REGION_NO_REGION"/>
    <x v="0"/>
    <x v="1"/>
    <x v="1"/>
    <x v="1"/>
    <x v="1"/>
    <x v="1"/>
    <x v="1"/>
    <x v="1"/>
    <x v="1"/>
  </r>
  <r>
    <s v="steam_Beyer__P___Co__4_8_0_6128_6133"/>
    <x v="0"/>
    <x v="1"/>
    <x v="3"/>
    <x v="0"/>
    <s v="AFRICA_NO_REGION_NO_REGION_NO_REGION"/>
    <x v="0"/>
    <x v="1"/>
    <x v="1"/>
    <x v="1"/>
    <x v="1"/>
    <x v="1"/>
    <x v="1"/>
    <x v="1"/>
    <x v="1"/>
  </r>
  <r>
    <s v="steam_Vulcan_Foundry_4_8_2_4318_4320"/>
    <x v="0"/>
    <x v="1"/>
    <x v="3"/>
    <x v="0"/>
    <s v="AFRICA_NO_REGION_NO_REGION_NO_REGION"/>
    <x v="0"/>
    <x v="1"/>
    <x v="1"/>
    <x v="1"/>
    <x v="1"/>
    <x v="1"/>
    <x v="1"/>
    <x v="1"/>
    <x v="1"/>
  </r>
  <r>
    <s v="steam_Beyer__P___Co__4_6_4_4_6_4_15th"/>
    <x v="0"/>
    <x v="1"/>
    <x v="4"/>
    <x v="0"/>
    <s v="AFRICA_NO_REGION_NO_REGION_NO_REGION"/>
    <x v="0"/>
    <x v="1"/>
    <x v="1"/>
    <x v="1"/>
    <x v="1"/>
    <x v="1"/>
    <x v="1"/>
    <x v="1"/>
    <x v="1"/>
  </r>
  <r>
    <s v="steam_Beyer__P___Co__4_8_2_2_8_4_7550_7552"/>
    <x v="0"/>
    <x v="1"/>
    <x v="4"/>
    <x v="0"/>
    <s v="AFRICA_NO_REGION_NO_REGION_NO_REGION"/>
    <x v="0"/>
    <x v="1"/>
    <x v="1"/>
    <x v="1"/>
    <x v="1"/>
    <x v="1"/>
    <x v="1"/>
    <x v="1"/>
    <x v="1"/>
  </r>
  <r>
    <s v="steam_Vulcan_Foundry_2_8_4_6228"/>
    <x v="0"/>
    <x v="1"/>
    <x v="4"/>
    <x v="0"/>
    <s v="AFRICA_NO_REGION_NO_REGION_NO_REGION"/>
    <x v="0"/>
    <x v="1"/>
    <x v="1"/>
    <x v="1"/>
    <x v="1"/>
    <x v="1"/>
    <x v="1"/>
    <x v="1"/>
    <x v="1"/>
  </r>
  <r>
    <s v="steam_Kitson_2_2_2WT_481_Fairy_Queen"/>
    <x v="0"/>
    <x v="1"/>
    <x v="8"/>
    <x v="0"/>
    <s v="ASIA_NO_REGION_NO_REGION_NO_REGION"/>
    <x v="1"/>
    <x v="0"/>
    <x v="1"/>
    <x v="1"/>
    <x v="1"/>
    <x v="1"/>
    <x v="1"/>
    <x v="1"/>
    <x v="1"/>
  </r>
  <r>
    <s v="steam_Sharp__Stewart___Co_0_4_0ST_DHR_B"/>
    <x v="0"/>
    <x v="1"/>
    <x v="2"/>
    <x v="0"/>
    <s v="ASIA_NO_REGION_NO_REGION_NO_REGION"/>
    <x v="1"/>
    <x v="0"/>
    <x v="1"/>
    <x v="1"/>
    <x v="1"/>
    <x v="1"/>
    <x v="1"/>
    <x v="1"/>
    <x v="1"/>
  </r>
  <r>
    <s v="steam_Baldwin_2_8_0_Sentetsu_Sorii"/>
    <x v="0"/>
    <x v="1"/>
    <x v="2"/>
    <x v="0"/>
    <s v="ASIA_NO_REGION_NO_REGION_NO_REGION"/>
    <x v="1"/>
    <x v="0"/>
    <x v="1"/>
    <x v="1"/>
    <x v="1"/>
    <x v="1"/>
    <x v="1"/>
    <x v="1"/>
    <x v="1"/>
  </r>
  <r>
    <s v="steam_Putilov_4_6_0_U"/>
    <x v="0"/>
    <x v="1"/>
    <x v="1"/>
    <x v="0"/>
    <s v="POST_SOVIET_BALTIC_NO_REGION_NO_REGION_NO_REGION"/>
    <x v="1"/>
    <x v="0"/>
    <x v="1"/>
    <x v="0"/>
    <x v="1"/>
    <x v="0"/>
    <x v="1"/>
    <x v="1"/>
    <x v="1"/>
  </r>
  <r>
    <s v="steam_Baldwin_12_44_F_2_10_0_Ye"/>
    <x v="0"/>
    <x v="1"/>
    <x v="1"/>
    <x v="0"/>
    <s v="POST_SOVIET_BALTIC_NO_REGION_NO_REGION_NO_REGION"/>
    <x v="1"/>
    <x v="0"/>
    <x v="1"/>
    <x v="0"/>
    <x v="1"/>
    <x v="0"/>
    <x v="1"/>
    <x v="1"/>
    <x v="1"/>
  </r>
  <r>
    <s v="steam_Baldwin_4_6_0_50201"/>
    <x v="0"/>
    <x v="1"/>
    <x v="1"/>
    <x v="0"/>
    <s v="ASIA_NO_REGION_NO_REGION_NO_REGION"/>
    <x v="1"/>
    <x v="0"/>
    <x v="1"/>
    <x v="1"/>
    <x v="1"/>
    <x v="1"/>
    <x v="1"/>
    <x v="1"/>
    <x v="1"/>
  </r>
  <r>
    <s v="steam_FS_480"/>
    <x v="0"/>
    <x v="1"/>
    <x v="3"/>
    <x v="0"/>
    <s v="SOUTHERN_EUROPE_NO_REGION_NO_REGION_NO_REGION"/>
    <x v="1"/>
    <x v="1"/>
    <x v="0"/>
    <x v="1"/>
    <x v="1"/>
    <x v="1"/>
    <x v="1"/>
    <x v="1"/>
    <x v="1"/>
  </r>
  <r>
    <s v="steam_FS_691"/>
    <x v="0"/>
    <x v="1"/>
    <x v="3"/>
    <x v="0"/>
    <s v="SOUTHERN_EUROPE_NO_REGION_NO_REGION_NO_REGION"/>
    <x v="1"/>
    <x v="1"/>
    <x v="0"/>
    <x v="1"/>
    <x v="1"/>
    <x v="1"/>
    <x v="1"/>
    <x v="1"/>
    <x v="1"/>
  </r>
  <r>
    <s v="steam_North_British_Lb_2_10_0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steam_ALCO_Baldwin_2_8_0_USATC_S160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steam_RENFE_4_8_4_242F_Confederacion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steam_Skoda_6Lo"/>
    <x v="0"/>
    <x v="1"/>
    <x v="1"/>
    <x v="0"/>
    <s v="EASTERN_EUROPE_NO_REGION_NO_REGION_NO_REGION"/>
    <x v="1"/>
    <x v="1"/>
    <x v="1"/>
    <x v="0"/>
    <x v="1"/>
    <x v="1"/>
    <x v="1"/>
    <x v="1"/>
    <x v="1"/>
  </r>
  <r>
    <s v="steam_Hanomag_Fablok_4_6_0_Ok22"/>
    <x v="0"/>
    <x v="1"/>
    <x v="3"/>
    <x v="0"/>
    <s v="EASTERN_EUROPE_NO_REGION_NO_REGION_NO_REGION"/>
    <x v="1"/>
    <x v="1"/>
    <x v="1"/>
    <x v="0"/>
    <x v="1"/>
    <x v="1"/>
    <x v="1"/>
    <x v="1"/>
    <x v="1"/>
  </r>
  <r>
    <s v="steam_MAVAG_4_8_0_424"/>
    <x v="0"/>
    <x v="1"/>
    <x v="3"/>
    <x v="0"/>
    <s v="EASTERN_EUROPE_NO_REGION_NO_REGION_NO_REGION"/>
    <x v="1"/>
    <x v="1"/>
    <x v="1"/>
    <x v="0"/>
    <x v="1"/>
    <x v="1"/>
    <x v="1"/>
    <x v="1"/>
    <x v="1"/>
  </r>
  <r>
    <s v="steam_MAVAG_4_4_4T_242"/>
    <x v="0"/>
    <x v="1"/>
    <x v="3"/>
    <x v="0"/>
    <s v="EASTERN_EUROPE_NO_REGION_NO_REGION_NO_REGION"/>
    <x v="1"/>
    <x v="1"/>
    <x v="1"/>
    <x v="0"/>
    <x v="1"/>
    <x v="1"/>
    <x v="1"/>
    <x v="1"/>
    <x v="1"/>
  </r>
  <r>
    <s v="steam_Vulcan_Foundry_2_8_0_Liberation"/>
    <x v="0"/>
    <x v="1"/>
    <x v="4"/>
    <x v="0"/>
    <s v="EASTERN_EUROPE_NO_REGION_NO_REGION_NO_REGION"/>
    <x v="1"/>
    <x v="1"/>
    <x v="1"/>
    <x v="0"/>
    <x v="1"/>
    <x v="1"/>
    <x v="1"/>
    <x v="1"/>
    <x v="1"/>
  </r>
  <r>
    <s v="steam_Fablok_2_6_2_OI49"/>
    <x v="0"/>
    <x v="1"/>
    <x v="4"/>
    <x v="0"/>
    <s v="EASTERN_EUROPE_ASIA_NO_REGION_NO_REGION"/>
    <x v="1"/>
    <x v="0"/>
    <x v="1"/>
    <x v="0"/>
    <x v="1"/>
    <x v="1"/>
    <x v="1"/>
    <x v="1"/>
    <x v="1"/>
  </r>
  <r>
    <s v="steam_Floridsdorf_2_6_2_KkStB_310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steam_Lima__4_8_4_7798_7817_Daylight"/>
    <x v="0"/>
    <x v="1"/>
    <x v="4"/>
    <x v="0"/>
    <s v="NORTH_AMERICA_NO_REGION_NO_REGION_NO_REGION"/>
    <x v="1"/>
    <x v="1"/>
    <x v="1"/>
    <x v="1"/>
    <x v="1"/>
    <x v="1"/>
    <x v="0"/>
    <x v="1"/>
    <x v="1"/>
  </r>
  <r>
    <s v="steam_GS_WR_0_6_0_101"/>
    <x v="0"/>
    <x v="1"/>
    <x v="9"/>
    <x v="0"/>
    <s v="NORTHERN_EUROPE_NO_REGION_NO_REGION_NO_REGION"/>
    <x v="1"/>
    <x v="1"/>
    <x v="1"/>
    <x v="1"/>
    <x v="1"/>
    <x v="0"/>
    <x v="1"/>
    <x v="1"/>
    <x v="1"/>
  </r>
  <r>
    <s v="steam_ALCO_2_8_2_5100_5194_Light_Mikado"/>
    <x v="0"/>
    <x v="1"/>
    <x v="1"/>
    <x v="0"/>
    <s v="NORTH_AMERICA_NO_REGION_NO_REGION_NO_REGION"/>
    <x v="1"/>
    <x v="1"/>
    <x v="1"/>
    <x v="1"/>
    <x v="1"/>
    <x v="1"/>
    <x v="0"/>
    <x v="1"/>
    <x v="1"/>
  </r>
  <r>
    <s v="steam_FCGR__BAGS__No__315_2_4_0T"/>
    <x v="0"/>
    <x v="1"/>
    <x v="9"/>
    <x v="0"/>
    <s v="SOUTH_AMERICA_NO_REGION_NO_REGION_NO_REGION"/>
    <x v="1"/>
    <x v="1"/>
    <x v="1"/>
    <x v="1"/>
    <x v="1"/>
    <x v="1"/>
    <x v="1"/>
    <x v="0"/>
    <x v="1"/>
  </r>
  <r>
    <s v="steam_Eveleigh_4_6_0_C35"/>
    <x v="0"/>
    <x v="1"/>
    <x v="1"/>
    <x v="0"/>
    <s v="OCEANIA_NO_REGION_NO_REGION_NO_REGION"/>
    <x v="1"/>
    <x v="1"/>
    <x v="1"/>
    <x v="1"/>
    <x v="1"/>
    <x v="1"/>
    <x v="1"/>
    <x v="1"/>
    <x v="0"/>
  </r>
  <r>
    <s v="steam_ALCO_2_8_0_74707_74785_Type_29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steam_FCAB_4_8_2_Vulcan_Mountain"/>
    <x v="1"/>
    <x v="1"/>
    <x v="4"/>
    <x v="0"/>
    <s v="SOUTH_AMERICA_NO_REGION_NO_REGION_NO_REGION"/>
    <x v="1"/>
    <x v="1"/>
    <x v="1"/>
    <x v="1"/>
    <x v="1"/>
    <x v="1"/>
    <x v="1"/>
    <x v="0"/>
    <x v="1"/>
  </r>
  <r>
    <s v="steam_Datong_QJ_2_10_2_101_3602"/>
    <x v="0"/>
    <x v="1"/>
    <x v="4"/>
    <x v="0"/>
    <s v="ASIA_NO_REGION_NO_REGION_NO_REGION"/>
    <x v="1"/>
    <x v="0"/>
    <x v="1"/>
    <x v="1"/>
    <x v="1"/>
    <x v="1"/>
    <x v="1"/>
    <x v="1"/>
    <x v="1"/>
  </r>
  <r>
    <s v="diesel_DB_Kof_II___DB_322"/>
    <x v="0"/>
    <x v="1"/>
    <x v="3"/>
    <x v="0"/>
    <s v="ALL_EUROPE_NO_REGION_NO_REGION_NO_REGION"/>
    <x v="1"/>
    <x v="1"/>
    <x v="0"/>
    <x v="0"/>
    <x v="0"/>
    <x v="0"/>
    <x v="1"/>
    <x v="1"/>
    <x v="1"/>
  </r>
  <r>
    <s v="diesel_CNJ_ALCo_GE_IR_Boxcab_100T"/>
    <x v="0"/>
    <x v="1"/>
    <x v="3"/>
    <x v="0"/>
    <s v="NORTH_AMERICA_NO_REGION_NO_REGION_NO_REGION"/>
    <x v="1"/>
    <x v="1"/>
    <x v="1"/>
    <x v="1"/>
    <x v="1"/>
    <x v="1"/>
    <x v="0"/>
    <x v="1"/>
    <x v="1"/>
  </r>
  <r>
    <s v="diesel_Werkspoor_200_Sik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diesel_BMAG_WR_200_B_14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diesel_BBC_SLM_Am_4_6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diesel_GE_44_ton_switcher"/>
    <x v="0"/>
    <x v="1"/>
    <x v="4"/>
    <x v="0"/>
    <s v="APAC_ALL_AMERICA_NORTH_WEST_EUROPE_NORTH_WEST_EUROPE"/>
    <x v="1"/>
    <x v="0"/>
    <x v="1"/>
    <x v="1"/>
    <x v="0"/>
    <x v="0"/>
    <x v="0"/>
    <x v="0"/>
    <x v="0"/>
  </r>
  <r>
    <s v="diesel_ALCO_S_2"/>
    <x v="0"/>
    <x v="1"/>
    <x v="4"/>
    <x v="0"/>
    <s v="NORTH_AMERICA_OCEANIA_NO_REGION_NO_REGION"/>
    <x v="1"/>
    <x v="1"/>
    <x v="1"/>
    <x v="1"/>
    <x v="1"/>
    <x v="1"/>
    <x v="0"/>
    <x v="1"/>
    <x v="0"/>
  </r>
  <r>
    <s v="diesel_EMD_F3"/>
    <x v="0"/>
    <x v="1"/>
    <x v="4"/>
    <x v="0"/>
    <s v="NORTH_AMERICA_NO_REGION_NO_REGION_NO_REGION"/>
    <x v="1"/>
    <x v="1"/>
    <x v="1"/>
    <x v="1"/>
    <x v="1"/>
    <x v="1"/>
    <x v="0"/>
    <x v="1"/>
    <x v="1"/>
  </r>
  <r>
    <s v="diesel_EMD_E8"/>
    <x v="0"/>
    <x v="1"/>
    <x v="4"/>
    <x v="0"/>
    <s v="NORTH_AMERICA_NO_REGION_NO_REGION_NO_REGION"/>
    <x v="1"/>
    <x v="1"/>
    <x v="1"/>
    <x v="1"/>
    <x v="1"/>
    <x v="1"/>
    <x v="0"/>
    <x v="1"/>
    <x v="1"/>
  </r>
  <r>
    <s v="diesel_EFCB_ALCO_RS_3"/>
    <x v="0"/>
    <x v="1"/>
    <x v="4"/>
    <x v="0"/>
    <s v="ALL_AMERICA_SOUTHERN_EUROPE_NO_REGION_NO_REGION"/>
    <x v="1"/>
    <x v="1"/>
    <x v="0"/>
    <x v="1"/>
    <x v="1"/>
    <x v="1"/>
    <x v="0"/>
    <x v="0"/>
    <x v="1"/>
  </r>
  <r>
    <s v="diesel_English_Electric_Bakkie"/>
    <x v="0"/>
    <x v="1"/>
    <x v="4"/>
    <x v="0"/>
    <s v="NORTH_WEST_EUROPE_NO_REGION_NO_REGION_NO_REGION"/>
    <x v="1"/>
    <x v="1"/>
    <x v="1"/>
    <x v="1"/>
    <x v="0"/>
    <x v="0"/>
    <x v="1"/>
    <x v="1"/>
    <x v="1"/>
  </r>
  <r>
    <s v="diesel_Baldwin_RF_16_Sharknose"/>
    <x v="0"/>
    <x v="1"/>
    <x v="4"/>
    <x v="0"/>
    <s v="NORTH_AMERICA_NO_REGION_NO_REGION_NO_REGION"/>
    <x v="1"/>
    <x v="1"/>
    <x v="1"/>
    <x v="1"/>
    <x v="1"/>
    <x v="1"/>
    <x v="0"/>
    <x v="1"/>
    <x v="1"/>
  </r>
  <r>
    <s v="diesel_AFE_1500"/>
    <x v="0"/>
    <x v="1"/>
    <x v="4"/>
    <x v="0"/>
    <s v="SOUTH_AMERICA_NO_REGION_NO_REGION_NO_REGION"/>
    <x v="1"/>
    <x v="1"/>
    <x v="1"/>
    <x v="1"/>
    <x v="1"/>
    <x v="1"/>
    <x v="1"/>
    <x v="0"/>
    <x v="1"/>
  </r>
  <r>
    <s v="diesel_FM_H_24_66_Trainmaster"/>
    <x v="0"/>
    <x v="1"/>
    <x v="4"/>
    <x v="0"/>
    <s v="NORTH_AMERICA_NO_REGION_NO_REGION_NO_REGION"/>
    <x v="1"/>
    <x v="1"/>
    <x v="1"/>
    <x v="1"/>
    <x v="1"/>
    <x v="1"/>
    <x v="0"/>
    <x v="1"/>
    <x v="1"/>
  </r>
  <r>
    <s v="diesel_BR_Class_08_0_6_0DE"/>
    <x v="0"/>
    <x v="1"/>
    <x v="4"/>
    <x v="0"/>
    <s v="AFRICA_NORTHERN_EUROPE_NO_REGION_NO_REGION"/>
    <x v="0"/>
    <x v="1"/>
    <x v="1"/>
    <x v="1"/>
    <x v="1"/>
    <x v="0"/>
    <x v="1"/>
    <x v="1"/>
    <x v="1"/>
  </r>
  <r>
    <s v="diesel_Jenbacher_Werke_2060"/>
    <x v="0"/>
    <x v="1"/>
    <x v="4"/>
    <x v="0"/>
    <s v="WESTERN_EUROPE_EASTERN_EUROPE_NO_REGION_NO_REGION"/>
    <x v="1"/>
    <x v="1"/>
    <x v="1"/>
    <x v="0"/>
    <x v="0"/>
    <x v="1"/>
    <x v="1"/>
    <x v="1"/>
    <x v="1"/>
  </r>
  <r>
    <s v="diesel_EMD_SW1200"/>
    <x v="0"/>
    <x v="1"/>
    <x v="4"/>
    <x v="0"/>
    <s v="ALL_AMERICA_NO_REGION_NO_REGION_NO_REGION"/>
    <x v="1"/>
    <x v="1"/>
    <x v="1"/>
    <x v="1"/>
    <x v="1"/>
    <x v="1"/>
    <x v="0"/>
    <x v="0"/>
    <x v="1"/>
  </r>
  <r>
    <s v="diesel_EMD_FP9"/>
    <x v="0"/>
    <x v="1"/>
    <x v="4"/>
    <x v="0"/>
    <s v="NORTH_AMERICA_ASIA_NO_REGION_NO_REGION"/>
    <x v="1"/>
    <x v="0"/>
    <x v="1"/>
    <x v="1"/>
    <x v="1"/>
    <x v="1"/>
    <x v="0"/>
    <x v="1"/>
    <x v="1"/>
  </r>
  <r>
    <s v="diesel_Ganz_MAVAG_DVM2_M44"/>
    <x v="0"/>
    <x v="1"/>
    <x v="4"/>
    <x v="0"/>
    <s v="EASTERN_EUROPE_NO_REGION_NO_REGION_NO_REGION"/>
    <x v="1"/>
    <x v="1"/>
    <x v="1"/>
    <x v="0"/>
    <x v="1"/>
    <x v="1"/>
    <x v="1"/>
    <x v="1"/>
    <x v="1"/>
  </r>
  <r>
    <s v="diesel_Raba_M_030_M28"/>
    <x v="0"/>
    <x v="1"/>
    <x v="4"/>
    <x v="0"/>
    <s v="EASTERN_EUROPE_NO_REGION_NO_REGION_NO_REGION"/>
    <x v="1"/>
    <x v="1"/>
    <x v="1"/>
    <x v="0"/>
    <x v="1"/>
    <x v="1"/>
    <x v="1"/>
    <x v="1"/>
    <x v="1"/>
  </r>
  <r>
    <s v="diesel_Cockerill_Sambre_HLD_serie_83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diesel_Krauss_Maffei_V200"/>
    <x v="0"/>
    <x v="1"/>
    <x v="4"/>
    <x v="0"/>
    <s v="WESTERN_EUROPE_SOUTHERN_EUROPE_NO_REGION_NO_REGION"/>
    <x v="1"/>
    <x v="1"/>
    <x v="0"/>
    <x v="1"/>
    <x v="0"/>
    <x v="1"/>
    <x v="1"/>
    <x v="1"/>
    <x v="1"/>
  </r>
  <r>
    <s v="diesel_EMD_FL9"/>
    <x v="0"/>
    <x v="1"/>
    <x v="4"/>
    <x v="0"/>
    <s v="NORTH_AMERICA_NO_REGION_NO_REGION_NO_REGION"/>
    <x v="1"/>
    <x v="1"/>
    <x v="1"/>
    <x v="1"/>
    <x v="1"/>
    <x v="1"/>
    <x v="0"/>
    <x v="1"/>
    <x v="1"/>
  </r>
  <r>
    <s v="diesel_CKD_T_435_0"/>
    <x v="0"/>
    <x v="1"/>
    <x v="4"/>
    <x v="0"/>
    <s v="COMECON_WESTERN_EUROPE_NO_REGION_NO_REGION"/>
    <x v="1"/>
    <x v="0"/>
    <x v="1"/>
    <x v="0"/>
    <x v="0"/>
    <x v="1"/>
    <x v="1"/>
    <x v="1"/>
    <x v="1"/>
  </r>
  <r>
    <s v="diesel_Valmet_Lokomo_Dr12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diesel_Electroputre_060_DA"/>
    <x v="0"/>
    <x v="1"/>
    <x v="4"/>
    <x v="0"/>
    <s v="COMECON_SOUTHERN_EUROPE_WESTERN_EUROPE_NO_REGION"/>
    <x v="1"/>
    <x v="0"/>
    <x v="0"/>
    <x v="0"/>
    <x v="0"/>
    <x v="1"/>
    <x v="1"/>
    <x v="1"/>
    <x v="1"/>
  </r>
  <r>
    <s v="diesel_EMD_GL8"/>
    <x v="0"/>
    <x v="1"/>
    <x v="6"/>
    <x v="0"/>
    <s v="SOUTH_AMERICA_APAC_AFRICA_NORTHERN_EUROPE"/>
    <x v="0"/>
    <x v="0"/>
    <x v="1"/>
    <x v="1"/>
    <x v="1"/>
    <x v="0"/>
    <x v="1"/>
    <x v="0"/>
    <x v="0"/>
  </r>
  <r>
    <s v="diesel_Krauss_Maffei_ML_4000"/>
    <x v="0"/>
    <x v="1"/>
    <x v="6"/>
    <x v="0"/>
    <s v="ALL_AMERICA_NO_REGION_NO_REGION_NO_REGION"/>
    <x v="1"/>
    <x v="1"/>
    <x v="1"/>
    <x v="1"/>
    <x v="1"/>
    <x v="1"/>
    <x v="0"/>
    <x v="0"/>
    <x v="1"/>
  </r>
  <r>
    <s v="diesel_Kolomna_TEP60"/>
    <x v="0"/>
    <x v="1"/>
    <x v="6"/>
    <x v="0"/>
    <s v="POST_SOVIET_BALTIC_NO_REGION_NO_REGION_NO_REGION"/>
    <x v="1"/>
    <x v="0"/>
    <x v="1"/>
    <x v="0"/>
    <x v="1"/>
    <x v="0"/>
    <x v="1"/>
    <x v="1"/>
    <x v="1"/>
  </r>
  <r>
    <s v="diesel_BN_ACEC_62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diesel_MaK_100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diesel_ALCO_DL560C_WDM_2"/>
    <x v="0"/>
    <x v="1"/>
    <x v="6"/>
    <x v="0"/>
    <s v="ASIA_NO_REGION_NO_REGION_NO_REGION"/>
    <x v="1"/>
    <x v="0"/>
    <x v="1"/>
    <x v="1"/>
    <x v="1"/>
    <x v="1"/>
    <x v="1"/>
    <x v="1"/>
    <x v="1"/>
  </r>
  <r>
    <s v="diesel_BR_14_0_6_0DH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diesel_CKD_T_669"/>
    <x v="0"/>
    <x v="1"/>
    <x v="6"/>
    <x v="0"/>
    <s v="POST_SOVIET_BALTIC_NO_REGION_NO_REGION_NO_REGION"/>
    <x v="1"/>
    <x v="0"/>
    <x v="1"/>
    <x v="0"/>
    <x v="1"/>
    <x v="0"/>
    <x v="1"/>
    <x v="1"/>
    <x v="1"/>
  </r>
  <r>
    <s v="diesel_UGOFE_GM_EMD_J16CW_AC"/>
    <x v="0"/>
    <x v="1"/>
    <x v="5"/>
    <x v="0"/>
    <s v="SOUTH_AMERICA_NO_REGION_NO_REGION_NO_REGION"/>
    <x v="1"/>
    <x v="1"/>
    <x v="1"/>
    <x v="1"/>
    <x v="1"/>
    <x v="1"/>
    <x v="1"/>
    <x v="0"/>
    <x v="1"/>
  </r>
  <r>
    <s v="diesel_LTZ_M62"/>
    <x v="0"/>
    <x v="1"/>
    <x v="6"/>
    <x v="0"/>
    <s v="POST_SOVIET_BALTIC_SOUTH_AMERICA_NO_REGION_NO_REGION"/>
    <x v="1"/>
    <x v="0"/>
    <x v="1"/>
    <x v="0"/>
    <x v="1"/>
    <x v="0"/>
    <x v="1"/>
    <x v="0"/>
    <x v="1"/>
  </r>
  <r>
    <s v="diesel_EMD_Clyde_J26C"/>
    <x v="0"/>
    <x v="1"/>
    <x v="6"/>
    <x v="0"/>
    <s v="OCEANIA_NO_REGION_NO_REGION_NO_REGION"/>
    <x v="1"/>
    <x v="1"/>
    <x v="1"/>
    <x v="1"/>
    <x v="1"/>
    <x v="1"/>
    <x v="1"/>
    <x v="1"/>
    <x v="0"/>
  </r>
  <r>
    <s v="diesel_GE_G22W"/>
    <x v="0"/>
    <x v="1"/>
    <x v="6"/>
    <x v="0"/>
    <s v="AFRICA_NORTHERN_EUROPE_ASIA_NO_REGION"/>
    <x v="0"/>
    <x v="0"/>
    <x v="1"/>
    <x v="1"/>
    <x v="1"/>
    <x v="0"/>
    <x v="1"/>
    <x v="1"/>
    <x v="1"/>
  </r>
  <r>
    <s v="diesel_EMD_DDA40X"/>
    <x v="0"/>
    <x v="1"/>
    <x v="6"/>
    <x v="0"/>
    <s v="NORTH_AMERICA_NO_REGION_NO_REGION_NO_REGION"/>
    <x v="1"/>
    <x v="1"/>
    <x v="1"/>
    <x v="1"/>
    <x v="1"/>
    <x v="1"/>
    <x v="0"/>
    <x v="1"/>
    <x v="1"/>
  </r>
  <r>
    <s v="diesel_EMD_Clyde_GL26C"/>
    <x v="0"/>
    <x v="1"/>
    <x v="6"/>
    <x v="0"/>
    <s v="OCEANIA_NO_REGION_NO_REGION_NO_REGION"/>
    <x v="1"/>
    <x v="1"/>
    <x v="1"/>
    <x v="1"/>
    <x v="1"/>
    <x v="1"/>
    <x v="1"/>
    <x v="1"/>
    <x v="0"/>
  </r>
  <r>
    <s v="diesel_EMD_G26"/>
    <x v="0"/>
    <x v="1"/>
    <x v="6"/>
    <x v="0"/>
    <s v="EASTERN_EUROPE_AFRICA_APAC_SOUTH_AMERICA"/>
    <x v="0"/>
    <x v="0"/>
    <x v="1"/>
    <x v="0"/>
    <x v="1"/>
    <x v="1"/>
    <x v="1"/>
    <x v="0"/>
    <x v="0"/>
  </r>
  <r>
    <s v="diesel_Henschel_TGOJ_V4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diesel_MLW_M420W"/>
    <x v="0"/>
    <x v="1"/>
    <x v="6"/>
    <x v="0"/>
    <s v="ALL_AMERICA_NO_REGION_NO_REGION_NO_REGION"/>
    <x v="1"/>
    <x v="1"/>
    <x v="1"/>
    <x v="1"/>
    <x v="1"/>
    <x v="1"/>
    <x v="0"/>
    <x v="0"/>
    <x v="1"/>
  </r>
  <r>
    <s v="diesel_EMD_SDP_40F"/>
    <x v="0"/>
    <x v="1"/>
    <x v="6"/>
    <x v="0"/>
    <s v="NORTH_AMERICA_NO_REGION_NO_REGION_NO_REGION"/>
    <x v="1"/>
    <x v="1"/>
    <x v="1"/>
    <x v="1"/>
    <x v="1"/>
    <x v="1"/>
    <x v="0"/>
    <x v="1"/>
    <x v="1"/>
  </r>
  <r>
    <s v="diesel_Sifang_DFH3"/>
    <x v="0"/>
    <x v="1"/>
    <x v="6"/>
    <x v="0"/>
    <s v="ASIA_NO_REGION_NO_REGION_NO_REGION"/>
    <x v="1"/>
    <x v="0"/>
    <x v="1"/>
    <x v="1"/>
    <x v="1"/>
    <x v="1"/>
    <x v="1"/>
    <x v="1"/>
    <x v="1"/>
  </r>
  <r>
    <s v="diesel_EMD_F40PH"/>
    <x v="0"/>
    <x v="1"/>
    <x v="6"/>
    <x v="0"/>
    <s v="ALL_AMERICA_NO_REGION_NO_REGION_NO_REGION"/>
    <x v="1"/>
    <x v="1"/>
    <x v="1"/>
    <x v="1"/>
    <x v="1"/>
    <x v="1"/>
    <x v="0"/>
    <x v="0"/>
    <x v="1"/>
  </r>
  <r>
    <s v="diesel_Sorefame_Alsthom_1900"/>
    <x v="0"/>
    <x v="1"/>
    <x v="5"/>
    <x v="0"/>
    <s v="SOUTHERN_EUROPE_NO_REGION_NO_REGION_NO_REGION"/>
    <x v="1"/>
    <x v="1"/>
    <x v="0"/>
    <x v="1"/>
    <x v="1"/>
    <x v="1"/>
    <x v="1"/>
    <x v="1"/>
    <x v="1"/>
  </r>
  <r>
    <s v="diesel_Valmet_Oy_Dr16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diesel_Kolomena_TEP80"/>
    <x v="0"/>
    <x v="1"/>
    <x v="5"/>
    <x v="0"/>
    <s v="COMECON_NO_REGION_NO_REGION_NO_REGION"/>
    <x v="1"/>
    <x v="0"/>
    <x v="1"/>
    <x v="0"/>
    <x v="1"/>
    <x v="1"/>
    <x v="1"/>
    <x v="1"/>
    <x v="1"/>
  </r>
  <r>
    <s v="diesel_EMD_Clyde_JT46C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GE_P42DC_Genesis"/>
    <x v="0"/>
    <x v="1"/>
    <x v="5"/>
    <x v="0"/>
    <s v="NORTH_AMERICA_NO_REGION_NO_REGION_NO_REGION"/>
    <x v="1"/>
    <x v="1"/>
    <x v="1"/>
    <x v="1"/>
    <x v="1"/>
    <x v="1"/>
    <x v="0"/>
    <x v="1"/>
    <x v="1"/>
  </r>
  <r>
    <s v="diesel_Tulomsas_TCDD_DH7000"/>
    <x v="0"/>
    <x v="1"/>
    <x v="5"/>
    <x v="0"/>
    <s v="COMECON_NO_REGION_NO_REGION_NO_REGION"/>
    <x v="1"/>
    <x v="0"/>
    <x v="1"/>
    <x v="0"/>
    <x v="1"/>
    <x v="1"/>
    <x v="1"/>
    <x v="1"/>
    <x v="1"/>
  </r>
  <r>
    <s v="diesel_GE_U20C"/>
    <x v="0"/>
    <x v="1"/>
    <x v="5"/>
    <x v="0"/>
    <s v="SOUTH_AMERICA_AFRICA_ASIA_NO_REGION"/>
    <x v="0"/>
    <x v="0"/>
    <x v="1"/>
    <x v="1"/>
    <x v="1"/>
    <x v="1"/>
    <x v="1"/>
    <x v="0"/>
    <x v="1"/>
  </r>
  <r>
    <s v="diesel_Vossloh_Siemens_serie_77_78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diesel_EMD_JT42CWRM"/>
    <x v="0"/>
    <x v="1"/>
    <x v="5"/>
    <x v="0"/>
    <s v="ALL_EUROPE_AFRICA_NO_REGION_NO_REGION"/>
    <x v="0"/>
    <x v="1"/>
    <x v="0"/>
    <x v="0"/>
    <x v="0"/>
    <x v="0"/>
    <x v="1"/>
    <x v="1"/>
    <x v="1"/>
  </r>
  <r>
    <s v="diesel_EMD_JT42HW_HS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diesel_Alstom_DE43CA_Prima"/>
    <x v="0"/>
    <x v="1"/>
    <x v="0"/>
    <x v="0"/>
    <s v="ASIA_NO_REGION_NO_REGION_NO_REGION"/>
    <x v="1"/>
    <x v="0"/>
    <x v="1"/>
    <x v="1"/>
    <x v="1"/>
    <x v="1"/>
    <x v="1"/>
    <x v="1"/>
    <x v="1"/>
  </r>
  <r>
    <s v="diesel_LTZ_TEP150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diesel_GE_CRRC_Qishuyan_ES59ACi"/>
    <x v="0"/>
    <x v="1"/>
    <x v="0"/>
    <x v="0"/>
    <s v="ASIA_NO_REGION_NO_REGION_NO_REGION"/>
    <x v="1"/>
    <x v="0"/>
    <x v="1"/>
    <x v="1"/>
    <x v="1"/>
    <x v="1"/>
    <x v="1"/>
    <x v="1"/>
    <x v="1"/>
  </r>
  <r>
    <s v="diesel_Voith_Gravita_10_BB"/>
    <x v="0"/>
    <x v="1"/>
    <x v="0"/>
    <x v="0"/>
    <s v="WESTERN_EUROPE_NO_REGION_NO_REGION_NO_REGION"/>
    <x v="1"/>
    <x v="1"/>
    <x v="1"/>
    <x v="1"/>
    <x v="0"/>
    <x v="1"/>
    <x v="1"/>
    <x v="1"/>
    <x v="1"/>
  </r>
  <r>
    <s v="diesel_Voronezh_VNIIZHT_GT1"/>
    <x v="0"/>
    <x v="1"/>
    <x v="0"/>
    <x v="0"/>
    <s v="ASIA_NO_REGION_NO_REGION_NO_REGION"/>
    <x v="1"/>
    <x v="0"/>
    <x v="1"/>
    <x v="1"/>
    <x v="1"/>
    <x v="1"/>
    <x v="1"/>
    <x v="1"/>
    <x v="1"/>
  </r>
  <r>
    <s v="diesel_Siemens_ER20_Eurorunner"/>
    <x v="0"/>
    <x v="1"/>
    <x v="0"/>
    <x v="0"/>
    <s v="ASIA_WESTERN_EUROPE_EASTERN_EUROPE_NO_REGION"/>
    <x v="1"/>
    <x v="0"/>
    <x v="1"/>
    <x v="0"/>
    <x v="0"/>
    <x v="1"/>
    <x v="1"/>
    <x v="1"/>
    <x v="1"/>
  </r>
  <r>
    <s v="diesel_Voith_Maxima_40_CC"/>
    <x v="0"/>
    <x v="1"/>
    <x v="0"/>
    <x v="0"/>
    <s v="WESTERN_EUROPE_EASTERN_EUROPE_NO_REGION_NO_REGION"/>
    <x v="1"/>
    <x v="1"/>
    <x v="1"/>
    <x v="0"/>
    <x v="0"/>
    <x v="1"/>
    <x v="1"/>
    <x v="1"/>
    <x v="1"/>
  </r>
  <r>
    <s v="diesel_Hohenzollern_Emch3"/>
    <x v="0"/>
    <x v="1"/>
    <x v="3"/>
    <x v="0"/>
    <s v="COMECON_NO_REGION_NO_REGION_NO_REGION"/>
    <x v="1"/>
    <x v="0"/>
    <x v="1"/>
    <x v="0"/>
    <x v="1"/>
    <x v="1"/>
    <x v="1"/>
    <x v="1"/>
    <x v="1"/>
  </r>
  <r>
    <s v="diesel_Canadian_Locomotive_Company_V_1"/>
    <x v="0"/>
    <x v="1"/>
    <x v="3"/>
    <x v="0"/>
    <s v="NORTH_AMERICA_NO_REGION_NO_REGION_NO_REGION"/>
    <x v="1"/>
    <x v="1"/>
    <x v="1"/>
    <x v="1"/>
    <x v="1"/>
    <x v="1"/>
    <x v="0"/>
    <x v="1"/>
    <x v="1"/>
  </r>
  <r>
    <s v="diesel_LMS_7051_Diesel_Shunter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diesel_EMC_TA"/>
    <x v="0"/>
    <x v="1"/>
    <x v="3"/>
    <x v="0"/>
    <s v="NORTH_AMERICA_NO_REGION_NO_REGION_NO_REGION"/>
    <x v="1"/>
    <x v="1"/>
    <x v="1"/>
    <x v="1"/>
    <x v="1"/>
    <x v="1"/>
    <x v="0"/>
    <x v="1"/>
    <x v="1"/>
  </r>
  <r>
    <s v="diesel_Baldwin_VO_660"/>
    <x v="0"/>
    <x v="1"/>
    <x v="3"/>
    <x v="0"/>
    <s v="NORTH_AMERICA_NO_REGION_NO_REGION_NO_REGION"/>
    <x v="1"/>
    <x v="1"/>
    <x v="1"/>
    <x v="1"/>
    <x v="1"/>
    <x v="1"/>
    <x v="0"/>
    <x v="1"/>
    <x v="1"/>
  </r>
  <r>
    <s v="diesel_LMS_No__7080_D3_7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diesel_Queensland_Railways_DL"/>
    <x v="0"/>
    <x v="1"/>
    <x v="3"/>
    <x v="0"/>
    <s v="OCEANIA_NO_REGION_NO_REGION_NO_REGION"/>
    <x v="1"/>
    <x v="1"/>
    <x v="1"/>
    <x v="1"/>
    <x v="1"/>
    <x v="1"/>
    <x v="1"/>
    <x v="1"/>
    <x v="0"/>
  </r>
  <r>
    <s v="diesel_FM_H_10_44"/>
    <x v="0"/>
    <x v="1"/>
    <x v="4"/>
    <x v="0"/>
    <s v="NORTH_AMERICA_NO_REGION_NO_REGION_NO_REGION"/>
    <x v="1"/>
    <x v="1"/>
    <x v="1"/>
    <x v="1"/>
    <x v="1"/>
    <x v="1"/>
    <x v="0"/>
    <x v="1"/>
    <x v="1"/>
  </r>
  <r>
    <s v="diesel_Baldwin_DRS6_4_1000"/>
    <x v="0"/>
    <x v="1"/>
    <x v="4"/>
    <x v="0"/>
    <s v="AFRICA_NO_REGION_NO_REGION_NO_REGION"/>
    <x v="0"/>
    <x v="1"/>
    <x v="1"/>
    <x v="1"/>
    <x v="1"/>
    <x v="1"/>
    <x v="1"/>
    <x v="1"/>
    <x v="1"/>
  </r>
  <r>
    <s v="diesel_CIE_113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diesel_Baldwin_AS_616"/>
    <x v="0"/>
    <x v="1"/>
    <x v="4"/>
    <x v="0"/>
    <s v="ALL_AMERICA_NO_REGION_NO_REGION_NO_REGION"/>
    <x v="1"/>
    <x v="1"/>
    <x v="1"/>
    <x v="1"/>
    <x v="1"/>
    <x v="1"/>
    <x v="0"/>
    <x v="0"/>
    <x v="1"/>
  </r>
  <r>
    <s v="diesel_FM_H_16_44"/>
    <x v="0"/>
    <x v="1"/>
    <x v="4"/>
    <x v="0"/>
    <s v="NORTH_AMERICA_NO_REGION_NO_REGION_NO_REGION"/>
    <x v="1"/>
    <x v="1"/>
    <x v="1"/>
    <x v="1"/>
    <x v="1"/>
    <x v="1"/>
    <x v="0"/>
    <x v="1"/>
    <x v="1"/>
  </r>
  <r>
    <s v="diesel_Islington_Railway_Workshops_SAR_900"/>
    <x v="0"/>
    <x v="1"/>
    <x v="4"/>
    <x v="0"/>
    <s v="OCEANIA_NO_REGION_NO_REGION_NO_REGION"/>
    <x v="1"/>
    <x v="1"/>
    <x v="1"/>
    <x v="1"/>
    <x v="1"/>
    <x v="1"/>
    <x v="1"/>
    <x v="1"/>
    <x v="0"/>
  </r>
  <r>
    <s v="diesel_EMD_G12_A608_M2"/>
    <x v="0"/>
    <x v="1"/>
    <x v="4"/>
    <x v="0"/>
    <s v="APAC_ALL_AMERICA_AFRICA_NORTH_WEST_EUROPE"/>
    <x v="0"/>
    <x v="0"/>
    <x v="1"/>
    <x v="1"/>
    <x v="0"/>
    <x v="0"/>
    <x v="0"/>
    <x v="0"/>
    <x v="0"/>
  </r>
  <r>
    <s v="diesel_Metropolitan_Vickers_CIE_001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diesel_Fiat_Grandi_Motori_D_341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diesel_ALCO_AE_Goodwin_DL_500B"/>
    <x v="1"/>
    <x v="1"/>
    <x v="4"/>
    <x v="0"/>
    <s v="OCEANIA_NO_REGION_NO_REGION_NO_REGION"/>
    <x v="1"/>
    <x v="1"/>
    <x v="1"/>
    <x v="1"/>
    <x v="1"/>
    <x v="1"/>
    <x v="1"/>
    <x v="1"/>
    <x v="0"/>
  </r>
  <r>
    <s v="diesel_Henschel_DH_1420"/>
    <x v="0"/>
    <x v="1"/>
    <x v="4"/>
    <x v="0"/>
    <s v="AFRICA_NO_REGION_NO_REGION_NO_REGION"/>
    <x v="0"/>
    <x v="1"/>
    <x v="1"/>
    <x v="1"/>
    <x v="1"/>
    <x v="1"/>
    <x v="1"/>
    <x v="1"/>
    <x v="1"/>
  </r>
  <r>
    <s v="diesel_EMD_SD18"/>
    <x v="0"/>
    <x v="1"/>
    <x v="6"/>
    <x v="0"/>
    <s v="ASIA_ALL_AMERICA_NO_REGION_NO_REGION"/>
    <x v="1"/>
    <x v="0"/>
    <x v="1"/>
    <x v="1"/>
    <x v="1"/>
    <x v="1"/>
    <x v="0"/>
    <x v="0"/>
    <x v="1"/>
  </r>
  <r>
    <s v="diesel_Fiat_Grandi_Motori_D_345"/>
    <x v="0"/>
    <x v="1"/>
    <x v="6"/>
    <x v="0"/>
    <s v="SOUTHERN_EUROPE_NO_REGION_NO_REGION_NO_REGION"/>
    <x v="1"/>
    <x v="1"/>
    <x v="0"/>
    <x v="1"/>
    <x v="1"/>
    <x v="1"/>
    <x v="1"/>
    <x v="1"/>
    <x v="1"/>
  </r>
  <r>
    <s v="diesel_Henschel_Di4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diesel_Qishuyan_DF8"/>
    <x v="0"/>
    <x v="1"/>
    <x v="5"/>
    <x v="0"/>
    <s v="ASIA_NO_REGION_NO_REGION_NO_REGION"/>
    <x v="1"/>
    <x v="0"/>
    <x v="1"/>
    <x v="1"/>
    <x v="1"/>
    <x v="1"/>
    <x v="1"/>
    <x v="1"/>
    <x v="1"/>
  </r>
  <r>
    <s v="diesel_EMD_Clyde_JT26C_2SS"/>
    <x v="1"/>
    <x v="1"/>
    <x v="5"/>
    <x v="0"/>
    <s v="OCEANIA_NO_REGION_NO_REGION_NO_REGION"/>
    <x v="1"/>
    <x v="1"/>
    <x v="1"/>
    <x v="1"/>
    <x v="1"/>
    <x v="1"/>
    <x v="1"/>
    <x v="1"/>
    <x v="0"/>
  </r>
  <r>
    <s v="diesel_Brush_Class_60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diesel_GE_Goninan_CM25_8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EMD_SD70ACS"/>
    <x v="1"/>
    <x v="1"/>
    <x v="5"/>
    <x v="0"/>
    <s v="ASIA_NO_REGION_NO_REGION_NO_REGION"/>
    <x v="1"/>
    <x v="0"/>
    <x v="1"/>
    <x v="1"/>
    <x v="1"/>
    <x v="1"/>
    <x v="1"/>
    <x v="1"/>
    <x v="1"/>
  </r>
  <r>
    <s v="diesel_GMD_JT42HCW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diesel_EMD_F59PH"/>
    <x v="0"/>
    <x v="1"/>
    <x v="5"/>
    <x v="0"/>
    <s v="NORTH_AMERICA_NO_REGION_NO_REGION_NO_REGION"/>
    <x v="1"/>
    <x v="1"/>
    <x v="1"/>
    <x v="1"/>
    <x v="1"/>
    <x v="1"/>
    <x v="0"/>
    <x v="1"/>
    <x v="1"/>
  </r>
  <r>
    <s v="diesel_MaK___Vossloh_G1206"/>
    <x v="0"/>
    <x v="1"/>
    <x v="0"/>
    <x v="0"/>
    <s v="WESTERN_EUROPE_NO_REGION_NO_REGION_NO_REGION"/>
    <x v="1"/>
    <x v="1"/>
    <x v="1"/>
    <x v="1"/>
    <x v="0"/>
    <x v="1"/>
    <x v="1"/>
    <x v="1"/>
    <x v="1"/>
  </r>
  <r>
    <s v="diesel_Vossloh_G_2000_BB"/>
    <x v="0"/>
    <x v="1"/>
    <x v="0"/>
    <x v="0"/>
    <s v="SOUTHERN_EUROPE_NO_REGION_NO_REGION_NO_REGION"/>
    <x v="1"/>
    <x v="1"/>
    <x v="0"/>
    <x v="1"/>
    <x v="1"/>
    <x v="1"/>
    <x v="1"/>
    <x v="1"/>
    <x v="1"/>
  </r>
  <r>
    <s v="diesel_MPI_MP40PH_3C"/>
    <x v="0"/>
    <x v="1"/>
    <x v="0"/>
    <x v="0"/>
    <s v="NORTH_AMERICA_NO_REGION_NO_REGION_NO_REGION"/>
    <x v="1"/>
    <x v="1"/>
    <x v="1"/>
    <x v="1"/>
    <x v="1"/>
    <x v="1"/>
    <x v="0"/>
    <x v="1"/>
    <x v="1"/>
  </r>
  <r>
    <s v="diesel_Vossloh_Espana___EMD_334"/>
    <x v="0"/>
    <x v="1"/>
    <x v="0"/>
    <x v="0"/>
    <s v="SOUTHERN_EUROPE_NO_REGION_NO_REGION_NO_REGION"/>
    <x v="1"/>
    <x v="1"/>
    <x v="0"/>
    <x v="1"/>
    <x v="1"/>
    <x v="1"/>
    <x v="1"/>
    <x v="1"/>
    <x v="1"/>
  </r>
  <r>
    <s v="diesel_INKA_CC300"/>
    <x v="0"/>
    <x v="1"/>
    <x v="0"/>
    <x v="0"/>
    <s v="OCEANIA_NO_REGION_NO_REGION_NO_REGION"/>
    <x v="1"/>
    <x v="1"/>
    <x v="1"/>
    <x v="1"/>
    <x v="1"/>
    <x v="1"/>
    <x v="1"/>
    <x v="1"/>
    <x v="0"/>
  </r>
  <r>
    <s v="diesel_Great_Southern_Railway_DH501"/>
    <x v="0"/>
    <x v="1"/>
    <x v="3"/>
    <x v="0"/>
    <s v="SOUTH_AMERICA_NO_REGION_NO_REGION_NO_REGION"/>
    <x v="1"/>
    <x v="1"/>
    <x v="1"/>
    <x v="1"/>
    <x v="1"/>
    <x v="1"/>
    <x v="1"/>
    <x v="0"/>
    <x v="1"/>
  </r>
  <r>
    <s v="diesel_EE_VFFLB"/>
    <x v="0"/>
    <x v="1"/>
    <x v="3"/>
    <x v="0"/>
    <s v="SOUTH_AMERICA_NO_REGION_NO_REGION_NO_REGION"/>
    <x v="1"/>
    <x v="1"/>
    <x v="1"/>
    <x v="1"/>
    <x v="1"/>
    <x v="1"/>
    <x v="1"/>
    <x v="0"/>
    <x v="1"/>
  </r>
  <r>
    <s v="diesel_GE_U5B"/>
    <x v="0"/>
    <x v="1"/>
    <x v="6"/>
    <x v="0"/>
    <s v="SOUTH_AMERICA_AFRICA_NO_REGION_NO_REGION"/>
    <x v="0"/>
    <x v="1"/>
    <x v="1"/>
    <x v="1"/>
    <x v="1"/>
    <x v="1"/>
    <x v="1"/>
    <x v="0"/>
    <x v="1"/>
  </r>
  <r>
    <s v="diesel_ALCO_RSD_39"/>
    <x v="0"/>
    <x v="1"/>
    <x v="6"/>
    <x v="0"/>
    <s v="SOUTH_AMERICA_SOUTHERN_EUROPE_NO_REGION_NO_REGION"/>
    <x v="1"/>
    <x v="1"/>
    <x v="0"/>
    <x v="1"/>
    <x v="1"/>
    <x v="1"/>
    <x v="1"/>
    <x v="0"/>
    <x v="1"/>
  </r>
  <r>
    <s v="diesel_EMD_DDM45"/>
    <x v="0"/>
    <x v="1"/>
    <x v="6"/>
    <x v="0"/>
    <s v="SOUTH_AMERICA_NO_REGION_NO_REGION_NO_REGION"/>
    <x v="1"/>
    <x v="1"/>
    <x v="1"/>
    <x v="1"/>
    <x v="1"/>
    <x v="1"/>
    <x v="1"/>
    <x v="0"/>
    <x v="1"/>
  </r>
  <r>
    <s v="diesel_GE_C39_8__FCCA_"/>
    <x v="0"/>
    <x v="1"/>
    <x v="5"/>
    <x v="0"/>
    <s v="ALL_AMERICA_NO_REGION_NO_REGION_NO_REGION"/>
    <x v="1"/>
    <x v="1"/>
    <x v="1"/>
    <x v="1"/>
    <x v="1"/>
    <x v="1"/>
    <x v="0"/>
    <x v="0"/>
    <x v="1"/>
  </r>
  <r>
    <s v="diesel_SOFSE_319_3"/>
    <x v="0"/>
    <x v="1"/>
    <x v="5"/>
    <x v="0"/>
    <s v="SOUTH_AMERICA_ASIA_NO_REGION_NO_REGION"/>
    <x v="1"/>
    <x v="0"/>
    <x v="1"/>
    <x v="1"/>
    <x v="1"/>
    <x v="1"/>
    <x v="1"/>
    <x v="0"/>
    <x v="1"/>
  </r>
  <r>
    <s v="diesel_CNR_CKD8G"/>
    <x v="0"/>
    <x v="1"/>
    <x v="0"/>
    <x v="0"/>
    <s v="SOUTH_AMERICA_NO_REGION_NO_REGION_NO_REGION"/>
    <x v="1"/>
    <x v="1"/>
    <x v="1"/>
    <x v="1"/>
    <x v="1"/>
    <x v="1"/>
    <x v="1"/>
    <x v="0"/>
    <x v="1"/>
  </r>
  <r>
    <s v="diesel_AEG_SAR_DS"/>
    <x v="0"/>
    <x v="1"/>
    <x v="3"/>
    <x v="0"/>
    <s v="AFRICA_NO_REGION_NO_REGION_NO_REGION"/>
    <x v="0"/>
    <x v="1"/>
    <x v="1"/>
    <x v="1"/>
    <x v="1"/>
    <x v="1"/>
    <x v="1"/>
    <x v="1"/>
    <x v="1"/>
  </r>
  <r>
    <s v="diesel_GM_GT_26_W__040DG_"/>
    <x v="0"/>
    <x v="1"/>
    <x v="6"/>
    <x v="0"/>
    <s v="AFRICA_COMECON_EXTENDED_NO_REGION_NO_REGION"/>
    <x v="0"/>
    <x v="0"/>
    <x v="1"/>
    <x v="0"/>
    <x v="1"/>
    <x v="1"/>
    <x v="1"/>
    <x v="0"/>
    <x v="1"/>
  </r>
  <r>
    <s v="diesel_EMD_GL8__040DF_"/>
    <x v="1"/>
    <x v="1"/>
    <x v="6"/>
    <x v="0"/>
    <s v="AFRICA_NO_REGION_NO_REGION_NO_REGION"/>
    <x v="0"/>
    <x v="1"/>
    <x v="1"/>
    <x v="1"/>
    <x v="1"/>
    <x v="1"/>
    <x v="1"/>
    <x v="1"/>
    <x v="1"/>
  </r>
  <r>
    <s v="diesel_LTZ_TE114E"/>
    <x v="0"/>
    <x v="1"/>
    <x v="6"/>
    <x v="0"/>
    <s v="AFRICA_COMECON_EXTENDED_NO_REGION_NO_REGION"/>
    <x v="0"/>
    <x v="0"/>
    <x v="1"/>
    <x v="0"/>
    <x v="1"/>
    <x v="1"/>
    <x v="1"/>
    <x v="0"/>
    <x v="1"/>
  </r>
  <r>
    <s v="diesel_GM_GL_18_B__040DJ_"/>
    <x v="0"/>
    <x v="1"/>
    <x v="6"/>
    <x v="0"/>
    <s v="AFRICA_SOUTH_AMERICA_SOUTHERN_EUROPE_ASIA"/>
    <x v="0"/>
    <x v="0"/>
    <x v="0"/>
    <x v="1"/>
    <x v="1"/>
    <x v="1"/>
    <x v="1"/>
    <x v="0"/>
    <x v="1"/>
  </r>
  <r>
    <s v="diesel_Alsthom_CC_72000"/>
    <x v="0"/>
    <x v="1"/>
    <x v="6"/>
    <x v="0"/>
    <s v="AFRICA_WESTERN_EUROPE_NO_REGION_NO_REGION"/>
    <x v="0"/>
    <x v="1"/>
    <x v="1"/>
    <x v="1"/>
    <x v="0"/>
    <x v="1"/>
    <x v="1"/>
    <x v="1"/>
    <x v="1"/>
  </r>
  <r>
    <s v="diesel_LTZ_TEP10L"/>
    <x v="0"/>
    <x v="1"/>
    <x v="6"/>
    <x v="0"/>
    <s v="COMECON_NO_REGION_NO_REGION_NO_REGION"/>
    <x v="1"/>
    <x v="0"/>
    <x v="1"/>
    <x v="0"/>
    <x v="1"/>
    <x v="1"/>
    <x v="1"/>
    <x v="1"/>
    <x v="1"/>
  </r>
  <r>
    <s v="diesel_LTZ_2TE10M"/>
    <x v="1"/>
    <x v="1"/>
    <x v="5"/>
    <x v="0"/>
    <s v="POST_SOVIET_BALTIC_NO_REGION_NO_REGION_NO_REGION"/>
    <x v="1"/>
    <x v="0"/>
    <x v="1"/>
    <x v="0"/>
    <x v="1"/>
    <x v="0"/>
    <x v="1"/>
    <x v="1"/>
    <x v="1"/>
  </r>
  <r>
    <s v="diesel_FAUR_LDE1300"/>
    <x v="0"/>
    <x v="1"/>
    <x v="5"/>
    <x v="0"/>
    <s v="EASTERN_EUROPE_NO_REGION_NO_REGION_NO_REGION"/>
    <x v="1"/>
    <x v="1"/>
    <x v="1"/>
    <x v="0"/>
    <x v="1"/>
    <x v="1"/>
    <x v="1"/>
    <x v="1"/>
    <x v="1"/>
  </r>
  <r>
    <s v="diesel_LTZ_2TE126"/>
    <x v="1"/>
    <x v="1"/>
    <x v="5"/>
    <x v="0"/>
    <s v="COMECON_NO_REGION_NO_REGION_NO_REGION"/>
    <x v="1"/>
    <x v="0"/>
    <x v="1"/>
    <x v="0"/>
    <x v="1"/>
    <x v="1"/>
    <x v="1"/>
    <x v="1"/>
    <x v="1"/>
  </r>
  <r>
    <s v="diesel_LTZ_2TE10Ut"/>
    <x v="1"/>
    <x v="1"/>
    <x v="5"/>
    <x v="0"/>
    <s v="COMECON_NO_REGION_NO_REGION_NO_REGION"/>
    <x v="1"/>
    <x v="0"/>
    <x v="1"/>
    <x v="0"/>
    <x v="1"/>
    <x v="1"/>
    <x v="1"/>
    <x v="1"/>
    <x v="1"/>
  </r>
  <r>
    <s v="diesel_CMKS_709_0_4_0DE"/>
    <x v="0"/>
    <x v="1"/>
    <x v="5"/>
    <x v="0"/>
    <s v="EASTERN_EUROPE_NO_REGION_NO_REGION_NO_REGION"/>
    <x v="1"/>
    <x v="1"/>
    <x v="1"/>
    <x v="0"/>
    <x v="1"/>
    <x v="1"/>
    <x v="1"/>
    <x v="1"/>
    <x v="1"/>
  </r>
  <r>
    <s v="diesel_Antonio_Badoni_Lecco_Sogliole_207"/>
    <x v="0"/>
    <x v="1"/>
    <x v="3"/>
    <x v="0"/>
    <s v="SOUTHERN_EUROPE_AFRICA_NO_REGION_NO_REGION"/>
    <x v="0"/>
    <x v="1"/>
    <x v="0"/>
    <x v="1"/>
    <x v="1"/>
    <x v="1"/>
    <x v="1"/>
    <x v="1"/>
    <x v="1"/>
  </r>
  <r>
    <s v="diesel_Baldwin_0_6_6_0_1000"/>
    <x v="0"/>
    <x v="1"/>
    <x v="4"/>
    <x v="0"/>
    <s v="COMECON_NO_REGION_NO_REGION_NO_REGION"/>
    <x v="1"/>
    <x v="0"/>
    <x v="1"/>
    <x v="0"/>
    <x v="1"/>
    <x v="1"/>
    <x v="1"/>
    <x v="1"/>
    <x v="1"/>
  </r>
  <r>
    <s v="diesel_ALCO_RSC_2"/>
    <x v="0"/>
    <x v="1"/>
    <x v="4"/>
    <x v="0"/>
    <s v="SOUTHERN_EUROPE_NORTH_AMERICA_AFRICA_AFRICA"/>
    <x v="0"/>
    <x v="1"/>
    <x v="0"/>
    <x v="1"/>
    <x v="1"/>
    <x v="1"/>
    <x v="0"/>
    <x v="1"/>
    <x v="1"/>
  </r>
  <r>
    <s v="diesel_Brissonneau_and_Lotz_BB_67400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diesel_MaK_DE_6400"/>
    <x v="0"/>
    <x v="1"/>
    <x v="5"/>
    <x v="0"/>
    <s v="WESTERN_EUROPE_EASTERN_EUROPE_NO_REGION_NO_REGION"/>
    <x v="1"/>
    <x v="1"/>
    <x v="1"/>
    <x v="0"/>
    <x v="0"/>
    <x v="1"/>
    <x v="1"/>
    <x v="1"/>
    <x v="1"/>
  </r>
  <r>
    <s v="diesel_GE_ES40ACi"/>
    <x v="0"/>
    <x v="1"/>
    <x v="0"/>
    <x v="0"/>
    <s v="AFRICA_NO_REGION_NO_REGION_NO_REGION"/>
    <x v="0"/>
    <x v="1"/>
    <x v="1"/>
    <x v="1"/>
    <x v="1"/>
    <x v="1"/>
    <x v="1"/>
    <x v="1"/>
    <x v="1"/>
  </r>
  <r>
    <s v="diesel_Vossloh_Afro_4000"/>
    <x v="0"/>
    <x v="1"/>
    <x v="0"/>
    <x v="0"/>
    <s v="AFRICA_NO_REGION_NO_REGION_NO_REGION"/>
    <x v="0"/>
    <x v="1"/>
    <x v="1"/>
    <x v="1"/>
    <x v="1"/>
    <x v="1"/>
    <x v="1"/>
    <x v="1"/>
    <x v="1"/>
  </r>
  <r>
    <s v="diesel_GE_U10B"/>
    <x v="0"/>
    <x v="1"/>
    <x v="6"/>
    <x v="0"/>
    <s v="SOUTHERN_EUROPE_SOUTH_AMERICA_APAC_AFRICA"/>
    <x v="0"/>
    <x v="0"/>
    <x v="0"/>
    <x v="1"/>
    <x v="1"/>
    <x v="1"/>
    <x v="1"/>
    <x v="0"/>
    <x v="0"/>
  </r>
  <r>
    <s v="diesel_EMD_Pacific_GT26C_3"/>
    <x v="0"/>
    <x v="1"/>
    <x v="0"/>
    <x v="0"/>
    <s v="OCEANIA_NO_REGION_NO_REGION_NO_REGION"/>
    <x v="1"/>
    <x v="1"/>
    <x v="1"/>
    <x v="1"/>
    <x v="1"/>
    <x v="1"/>
    <x v="1"/>
    <x v="1"/>
    <x v="0"/>
  </r>
  <r>
    <s v="diesel_CargoNet_312"/>
    <x v="0"/>
    <x v="1"/>
    <x v="0"/>
    <x v="0"/>
    <s v="NORTHERN_EUROPE_NO_REGION_NO_REGION_NO_REGION"/>
    <x v="1"/>
    <x v="1"/>
    <x v="1"/>
    <x v="1"/>
    <x v="1"/>
    <x v="0"/>
    <x v="1"/>
    <x v="1"/>
    <x v="1"/>
  </r>
  <r>
    <s v="diesel_GE_Pacific_C44ESACi"/>
    <x v="0"/>
    <x v="1"/>
    <x v="0"/>
    <x v="0"/>
    <s v="OCEANIA_NO_REGION_NO_REGION_NO_REGION"/>
    <x v="1"/>
    <x v="1"/>
    <x v="1"/>
    <x v="1"/>
    <x v="1"/>
    <x v="1"/>
    <x v="1"/>
    <x v="1"/>
    <x v="0"/>
  </r>
  <r>
    <s v="diesel_Stadler_UKLight"/>
    <x v="0"/>
    <x v="1"/>
    <x v="0"/>
    <x v="0"/>
    <s v="NORTHERN_EUROPE_NO_REGION_NO_REGION_NO_REGION"/>
    <x v="1"/>
    <x v="1"/>
    <x v="1"/>
    <x v="1"/>
    <x v="1"/>
    <x v="0"/>
    <x v="1"/>
    <x v="1"/>
    <x v="1"/>
  </r>
  <r>
    <s v="diesel_Siemens_Charger_ALC_42"/>
    <x v="0"/>
    <x v="1"/>
    <x v="0"/>
    <x v="0"/>
    <s v="NORTH_AMERICA_NO_REGION_NO_REGION_NO_REGION"/>
    <x v="1"/>
    <x v="1"/>
    <x v="1"/>
    <x v="1"/>
    <x v="1"/>
    <x v="1"/>
    <x v="0"/>
    <x v="1"/>
    <x v="1"/>
  </r>
  <r>
    <s v="mtro_Buenos_Aires_Le_Brugeoise"/>
    <x v="0"/>
    <x v="1"/>
    <x v="1"/>
    <x v="0"/>
    <s v="SOUTH_AMERICA_NO_REGION_NO_REGION_NO_REGION"/>
    <x v="1"/>
    <x v="1"/>
    <x v="1"/>
    <x v="1"/>
    <x v="1"/>
    <x v="1"/>
    <x v="1"/>
    <x v="0"/>
    <x v="1"/>
  </r>
  <r>
    <s v="mtro_ACF_New_York_R1"/>
    <x v="0"/>
    <x v="1"/>
    <x v="3"/>
    <x v="0"/>
    <s v="NORTH_AMERICA_NO_REGION_NO_REGION_NO_REGION"/>
    <x v="1"/>
    <x v="1"/>
    <x v="1"/>
    <x v="1"/>
    <x v="1"/>
    <x v="1"/>
    <x v="0"/>
    <x v="1"/>
    <x v="1"/>
  </r>
  <r>
    <s v="mtro_LHB_ET_171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mtro_GEC_Alsthom_Paris_MP55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mtro_LHB_Lisbon_ML7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mtro_MMZ_Budapest_Ev3"/>
    <x v="0"/>
    <x v="1"/>
    <x v="6"/>
    <x v="0"/>
    <s v="COMECON_NO_REGION_NO_REGION_NO_REGION"/>
    <x v="1"/>
    <x v="0"/>
    <x v="1"/>
    <x v="0"/>
    <x v="1"/>
    <x v="1"/>
    <x v="1"/>
    <x v="1"/>
    <x v="1"/>
  </r>
  <r>
    <s v="mtro_Strommens_Oslo_T1000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mtro_Hawker_Siddeley_Toronto_H1"/>
    <x v="0"/>
    <x v="1"/>
    <x v="6"/>
    <x v="0"/>
    <s v="NORTH_AMERICA_NO_REGION_NO_REGION_NO_REGION"/>
    <x v="1"/>
    <x v="1"/>
    <x v="1"/>
    <x v="1"/>
    <x v="1"/>
    <x v="1"/>
    <x v="0"/>
    <x v="1"/>
    <x v="1"/>
  </r>
  <r>
    <s v="mtro_MAN_Munchen_MVG_A2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mtro_St__Louis_Car_Co_New_York_R44"/>
    <x v="0"/>
    <x v="1"/>
    <x v="6"/>
    <x v="0"/>
    <s v="NORTH_AMERICA_NO_REGION_NO_REGION_NO_REGION"/>
    <x v="1"/>
    <x v="1"/>
    <x v="1"/>
    <x v="1"/>
    <x v="1"/>
    <x v="1"/>
    <x v="0"/>
    <x v="1"/>
    <x v="1"/>
  </r>
  <r>
    <s v="mtro_LHB_Amsterdam_M1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mtro_ASEA_Stockholm_C8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mtro_AEG_Pyongyang_D"/>
    <x v="0"/>
    <x v="1"/>
    <x v="4"/>
    <x v="0"/>
    <s v="WESTERN_EUROPE_ASIA_NO_REGION_NO_REGION"/>
    <x v="1"/>
    <x v="0"/>
    <x v="1"/>
    <x v="1"/>
    <x v="0"/>
    <x v="1"/>
    <x v="1"/>
    <x v="1"/>
    <x v="1"/>
  </r>
  <r>
    <s v="mtro_Valmet_Helsinki_M100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mtro_Sorefame_Sao_Paulo_Serie_5500"/>
    <x v="0"/>
    <x v="1"/>
    <x v="6"/>
    <x v="0"/>
    <s v="SOUTH_AMERICA_NO_REGION_NO_REGION_NO_REGION"/>
    <x v="1"/>
    <x v="1"/>
    <x v="1"/>
    <x v="1"/>
    <x v="1"/>
    <x v="1"/>
    <x v="1"/>
    <x v="0"/>
    <x v="1"/>
  </r>
  <r>
    <s v="mtro_MMZ_Moscow_81_720"/>
    <x v="0"/>
    <x v="1"/>
    <x v="5"/>
    <x v="0"/>
    <s v="COMECON_NO_REGION_NO_REGION_NO_REGION"/>
    <x v="1"/>
    <x v="0"/>
    <x v="1"/>
    <x v="0"/>
    <x v="1"/>
    <x v="1"/>
    <x v="1"/>
    <x v="1"/>
    <x v="1"/>
  </r>
  <r>
    <s v="mtro_Kawasaki_Tokyo_S01"/>
    <x v="0"/>
    <x v="1"/>
    <x v="5"/>
    <x v="0"/>
    <s v="ASIA_NO_REGION_NO_REGION_NO_REGION"/>
    <x v="1"/>
    <x v="0"/>
    <x v="1"/>
    <x v="1"/>
    <x v="1"/>
    <x v="1"/>
    <x v="1"/>
    <x v="1"/>
    <x v="1"/>
  </r>
  <r>
    <s v="mtro_Kinki_Sharyo_Vcairo"/>
    <x v="0"/>
    <x v="1"/>
    <x v="5"/>
    <x v="0"/>
    <s v="AFRICA_NO_REGION_NO_REGION_NO_REGION"/>
    <x v="0"/>
    <x v="1"/>
    <x v="1"/>
    <x v="1"/>
    <x v="1"/>
    <x v="1"/>
    <x v="1"/>
    <x v="1"/>
    <x v="1"/>
  </r>
  <r>
    <s v="mtro_LHB_London_DLR_P86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mtro_MMZ_Moscow_81_717_5M"/>
    <x v="0"/>
    <x v="1"/>
    <x v="5"/>
    <x v="0"/>
    <s v="COMECON_NO_REGION_NO_REGION_NO_REGION"/>
    <x v="1"/>
    <x v="0"/>
    <x v="1"/>
    <x v="0"/>
    <x v="1"/>
    <x v="1"/>
    <x v="1"/>
    <x v="1"/>
    <x v="1"/>
  </r>
  <r>
    <s v="mtro_Bombardier_Boston_01800"/>
    <x v="0"/>
    <x v="1"/>
    <x v="5"/>
    <x v="0"/>
    <s v="NORTH_AMERICA_NO_REGION_NO_REGION_NO_REGION"/>
    <x v="1"/>
    <x v="1"/>
    <x v="1"/>
    <x v="1"/>
    <x v="1"/>
    <x v="1"/>
    <x v="0"/>
    <x v="1"/>
    <x v="1"/>
  </r>
  <r>
    <s v="mtro_Breda_LA_A650"/>
    <x v="0"/>
    <x v="1"/>
    <x v="5"/>
    <x v="0"/>
    <s v="NORTH_AMERICA_NO_REGION_NO_REGION_NO_REGION"/>
    <x v="1"/>
    <x v="1"/>
    <x v="1"/>
    <x v="1"/>
    <x v="1"/>
    <x v="1"/>
    <x v="0"/>
    <x v="1"/>
    <x v="1"/>
  </r>
  <r>
    <s v="mtro_Kawasaki_Taipei_C301"/>
    <x v="0"/>
    <x v="1"/>
    <x v="5"/>
    <x v="0"/>
    <s v="ASIA_NO_REGION_NO_REGION_NO_REGION"/>
    <x v="1"/>
    <x v="0"/>
    <x v="1"/>
    <x v="1"/>
    <x v="1"/>
    <x v="1"/>
    <x v="1"/>
    <x v="1"/>
    <x v="1"/>
  </r>
  <r>
    <s v="mtro_CAF_Amsterdam_S3_90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mtro_GEC_Alsthom_Paris_MP89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mtro_MMZ_Moscow_81_740"/>
    <x v="0"/>
    <x v="1"/>
    <x v="0"/>
    <x v="0"/>
    <s v="COMECON_NO_REGION_NO_REGION_NO_REGION"/>
    <x v="1"/>
    <x v="0"/>
    <x v="1"/>
    <x v="0"/>
    <x v="1"/>
    <x v="1"/>
    <x v="1"/>
    <x v="1"/>
    <x v="1"/>
  </r>
  <r>
    <s v="mtro_Alstom_Singapore_C830_Metropolis"/>
    <x v="1"/>
    <x v="1"/>
    <x v="0"/>
    <x v="0"/>
    <s v="ASIA_NO_REGION_NO_REGION_NO_REGION"/>
    <x v="1"/>
    <x v="0"/>
    <x v="1"/>
    <x v="1"/>
    <x v="1"/>
    <x v="1"/>
    <x v="1"/>
    <x v="1"/>
    <x v="1"/>
  </r>
  <r>
    <s v="mtro_Siemens_Oslo_MX3000"/>
    <x v="0"/>
    <x v="1"/>
    <x v="0"/>
    <x v="0"/>
    <s v="NORTHERN_EUROPE_NO_REGION_NO_REGION_NO_REGION"/>
    <x v="1"/>
    <x v="1"/>
    <x v="1"/>
    <x v="1"/>
    <x v="1"/>
    <x v="0"/>
    <x v="1"/>
    <x v="1"/>
    <x v="1"/>
  </r>
  <r>
    <s v="mtro_Kawasaki_Osaka_30000"/>
    <x v="0"/>
    <x v="1"/>
    <x v="0"/>
    <x v="0"/>
    <s v="ASIA_NO_REGION_NO_REGION_NO_REGION"/>
    <x v="1"/>
    <x v="0"/>
    <x v="1"/>
    <x v="1"/>
    <x v="1"/>
    <x v="1"/>
    <x v="1"/>
    <x v="1"/>
    <x v="1"/>
  </r>
  <r>
    <s v="mtro_Kawasaki_Singapore_C151A"/>
    <x v="0"/>
    <x v="1"/>
    <x v="0"/>
    <x v="0"/>
    <s v="ASIA_NO_REGION_NO_REGION_NO_REGION"/>
    <x v="1"/>
    <x v="0"/>
    <x v="1"/>
    <x v="1"/>
    <x v="1"/>
    <x v="1"/>
    <x v="1"/>
    <x v="1"/>
    <x v="1"/>
  </r>
  <r>
    <s v="mtro_Kawasaki_Washington_7000"/>
    <x v="0"/>
    <x v="1"/>
    <x v="0"/>
    <x v="0"/>
    <s v="NORTH_AMERICA_NO_REGION_NO_REGION_NO_REGION"/>
    <x v="1"/>
    <x v="1"/>
    <x v="1"/>
    <x v="1"/>
    <x v="1"/>
    <x v="1"/>
    <x v="0"/>
    <x v="1"/>
    <x v="1"/>
  </r>
  <r>
    <s v="mtro_Hitachi_Thessaloniki_2014"/>
    <x v="0"/>
    <x v="1"/>
    <x v="10"/>
    <x v="0"/>
    <s v="SOUTHERN_EUROPE_NO_REGION_NO_REGION_NO_REGION"/>
    <x v="1"/>
    <x v="1"/>
    <x v="0"/>
    <x v="1"/>
    <x v="1"/>
    <x v="1"/>
    <x v="1"/>
    <x v="1"/>
    <x v="1"/>
  </r>
  <r>
    <s v="mtro_AEG_Berlin_U_Bahn_A_I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mtro_ACF_New_York_Hedley_Hi_V"/>
    <x v="0"/>
    <x v="1"/>
    <x v="1"/>
    <x v="0"/>
    <s v="NORTH_AMERICA_NO_REGION_NO_REGION_NO_REGION"/>
    <x v="1"/>
    <x v="1"/>
    <x v="1"/>
    <x v="1"/>
    <x v="1"/>
    <x v="1"/>
    <x v="0"/>
    <x v="1"/>
    <x v="1"/>
  </r>
  <r>
    <s v="mtro_Kawasaki_Osaka_1000"/>
    <x v="0"/>
    <x v="1"/>
    <x v="3"/>
    <x v="0"/>
    <s v="ASIA_NO_REGION_NO_REGION_NO_REGION"/>
    <x v="1"/>
    <x v="0"/>
    <x v="1"/>
    <x v="1"/>
    <x v="1"/>
    <x v="1"/>
    <x v="1"/>
    <x v="1"/>
    <x v="1"/>
  </r>
  <r>
    <s v="mtro_MMZ_Moscow_Type_A"/>
    <x v="0"/>
    <x v="1"/>
    <x v="3"/>
    <x v="0"/>
    <s v="COMECON_NO_REGION_NO_REGION_NO_REGION"/>
    <x v="1"/>
    <x v="0"/>
    <x v="1"/>
    <x v="0"/>
    <x v="1"/>
    <x v="1"/>
    <x v="1"/>
    <x v="1"/>
    <x v="1"/>
  </r>
  <r>
    <s v="mtro_ACF_New_York_R10"/>
    <x v="0"/>
    <x v="1"/>
    <x v="4"/>
    <x v="0"/>
    <s v="NORTH_AMERICA_NO_REGION_NO_REGION_NO_REGION"/>
    <x v="1"/>
    <x v="1"/>
    <x v="1"/>
    <x v="1"/>
    <x v="1"/>
    <x v="1"/>
    <x v="0"/>
    <x v="1"/>
    <x v="1"/>
  </r>
  <r>
    <s v="mtro_Stanga_Rome_MR_100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mtro_MMZ_Moscow_Type_D"/>
    <x v="0"/>
    <x v="1"/>
    <x v="4"/>
    <x v="0"/>
    <s v="COMECON_NO_REGION_NO_REGION_NO_REGION"/>
    <x v="1"/>
    <x v="0"/>
    <x v="1"/>
    <x v="0"/>
    <x v="1"/>
    <x v="1"/>
    <x v="1"/>
    <x v="1"/>
    <x v="1"/>
  </r>
  <r>
    <s v="mtro_Werkspoor_Rotterdam_MG2_Type_M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mtro_MMZ_Prague_ECS_Set"/>
    <x v="1"/>
    <x v="1"/>
    <x v="6"/>
    <x v="0"/>
    <s v="COMECON_NO_REGION_NO_REGION_NO_REGION"/>
    <x v="1"/>
    <x v="0"/>
    <x v="1"/>
    <x v="0"/>
    <x v="1"/>
    <x v="1"/>
    <x v="1"/>
    <x v="1"/>
    <x v="1"/>
  </r>
  <r>
    <s v="mtro_Hitachi_Buenos_Aires_Serie_1200"/>
    <x v="0"/>
    <x v="1"/>
    <x v="5"/>
    <x v="0"/>
    <s v="SOUTH_AMERICA_NO_REGION_NO_REGION_NO_REGION"/>
    <x v="1"/>
    <x v="1"/>
    <x v="1"/>
    <x v="1"/>
    <x v="1"/>
    <x v="1"/>
    <x v="1"/>
    <x v="0"/>
    <x v="1"/>
  </r>
  <r>
    <s v="mtro_GEC_Alsthom_Santiago_NS_93"/>
    <x v="0"/>
    <x v="1"/>
    <x v="5"/>
    <x v="0"/>
    <s v="SOUTH_AMERICA_NO_REGION_NO_REGION_NO_REGION"/>
    <x v="1"/>
    <x v="1"/>
    <x v="1"/>
    <x v="1"/>
    <x v="1"/>
    <x v="1"/>
    <x v="1"/>
    <x v="0"/>
    <x v="1"/>
  </r>
  <r>
    <s v="mtro_Alstom_Brasil_Santiago_AS_2002"/>
    <x v="1"/>
    <x v="1"/>
    <x v="0"/>
    <x v="0"/>
    <s v="SOUTH_AMERICA_NO_REGION_NO_REGION_NO_REGION"/>
    <x v="1"/>
    <x v="1"/>
    <x v="1"/>
    <x v="1"/>
    <x v="1"/>
    <x v="1"/>
    <x v="1"/>
    <x v="0"/>
    <x v="1"/>
  </r>
  <r>
    <s v="mtro_TUDH_Recife_VLT_Mobile_3"/>
    <x v="0"/>
    <x v="1"/>
    <x v="0"/>
    <x v="0"/>
    <s v="SOUTH_AMERICA_NO_REGION_NO_REGION_NO_REGION"/>
    <x v="1"/>
    <x v="1"/>
    <x v="1"/>
    <x v="1"/>
    <x v="1"/>
    <x v="1"/>
    <x v="1"/>
    <x v="0"/>
    <x v="1"/>
  </r>
  <r>
    <s v="mtro_CAF_Madrid_Series_5000"/>
    <x v="0"/>
    <x v="1"/>
    <x v="6"/>
    <x v="0"/>
    <s v="SOUTHERN_EUROPE_NO_REGION_NO_REGION_NO_REGION"/>
    <x v="1"/>
    <x v="1"/>
    <x v="0"/>
    <x v="1"/>
    <x v="1"/>
    <x v="1"/>
    <x v="1"/>
    <x v="1"/>
    <x v="1"/>
  </r>
  <r>
    <s v="mtro_CAF_Rome_S_300"/>
    <x v="0"/>
    <x v="1"/>
    <x v="5"/>
    <x v="0"/>
    <s v="SOUTHERN_EUROPE_NO_REGION_NO_REGION_NO_REGION"/>
    <x v="1"/>
    <x v="1"/>
    <x v="0"/>
    <x v="1"/>
    <x v="1"/>
    <x v="1"/>
    <x v="1"/>
    <x v="1"/>
    <x v="1"/>
  </r>
  <r>
    <s v="mtro_CAF_Algiers_2011_Stock"/>
    <x v="0"/>
    <x v="1"/>
    <x v="0"/>
    <x v="0"/>
    <s v="AFRICA_NO_REGION_NO_REGION_NO_REGION"/>
    <x v="0"/>
    <x v="1"/>
    <x v="1"/>
    <x v="1"/>
    <x v="1"/>
    <x v="1"/>
    <x v="1"/>
    <x v="1"/>
    <x v="1"/>
  </r>
  <r>
    <s v="mtro_Stadler_Berlin_U_Bahn_IK"/>
    <x v="0"/>
    <x v="1"/>
    <x v="0"/>
    <x v="0"/>
    <s v="WESTERN_EUROPE_NO_REGION_NO_REGION_NO_REGION"/>
    <x v="1"/>
    <x v="1"/>
    <x v="1"/>
    <x v="1"/>
    <x v="0"/>
    <x v="1"/>
    <x v="1"/>
    <x v="1"/>
    <x v="1"/>
  </r>
  <r>
    <s v="mtro_St__Louis_Car_Company_Chicago_L_6000_Series"/>
    <x v="0"/>
    <x v="1"/>
    <x v="4"/>
    <x v="0"/>
    <s v="NORTH_AMERICA_NO_REGION_NO_REGION_NO_REGION"/>
    <x v="1"/>
    <x v="1"/>
    <x v="1"/>
    <x v="1"/>
    <x v="1"/>
    <x v="1"/>
    <x v="0"/>
    <x v="1"/>
    <x v="1"/>
  </r>
  <r>
    <s v="mtro_BRC_W_London_1903_Stock"/>
    <x v="0"/>
    <x v="1"/>
    <x v="1"/>
    <x v="0"/>
    <s v="NORTHERN_EUROPE_NO_REGION_NO_REGION_NO_REGION"/>
    <x v="1"/>
    <x v="1"/>
    <x v="1"/>
    <x v="1"/>
    <x v="1"/>
    <x v="0"/>
    <x v="1"/>
    <x v="1"/>
    <x v="1"/>
  </r>
  <r>
    <s v="mtro_London_1938_Stock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electric_NER_EF1"/>
    <x v="0"/>
    <x v="1"/>
    <x v="1"/>
    <x v="0"/>
    <s v="NORTHERN_EUROPE_NO_REGION_NO_REGION_NO_REGION"/>
    <x v="1"/>
    <x v="1"/>
    <x v="1"/>
    <x v="1"/>
    <x v="1"/>
    <x v="0"/>
    <x v="1"/>
    <x v="1"/>
    <x v="1"/>
  </r>
  <r>
    <s v="electric_JNR_EB10"/>
    <x v="0"/>
    <x v="1"/>
    <x v="3"/>
    <x v="0"/>
    <s v="ASIA_NO_REGION_NO_REGION_NO_REGION"/>
    <x v="1"/>
    <x v="0"/>
    <x v="1"/>
    <x v="1"/>
    <x v="1"/>
    <x v="1"/>
    <x v="1"/>
    <x v="1"/>
    <x v="1"/>
  </r>
  <r>
    <s v="electric_Hitachi_Kawasaki_EF55"/>
    <x v="0"/>
    <x v="1"/>
    <x v="3"/>
    <x v="0"/>
    <s v="ASIA_NO_REGION_NO_REGION_NO_REGION"/>
    <x v="1"/>
    <x v="0"/>
    <x v="1"/>
    <x v="1"/>
    <x v="1"/>
    <x v="1"/>
    <x v="1"/>
    <x v="1"/>
    <x v="1"/>
  </r>
  <r>
    <s v="electric_SLM_NS_1000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electric_Alsthom_BB_7200_NS_1600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electric_Victorian_Railways_E"/>
    <x v="0"/>
    <x v="1"/>
    <x v="3"/>
    <x v="0"/>
    <s v="OCEANIA_NO_REGION_NO_REGION_NO_REGION"/>
    <x v="1"/>
    <x v="1"/>
    <x v="1"/>
    <x v="1"/>
    <x v="1"/>
    <x v="1"/>
    <x v="1"/>
    <x v="1"/>
    <x v="0"/>
  </r>
  <r>
    <s v="electric_British_Thomson_Houston_ES1"/>
    <x v="0"/>
    <x v="1"/>
    <x v="1"/>
    <x v="0"/>
    <s v="NORTHERN_EUROPE_NO_REGION_NO_REGION_NO_REGION"/>
    <x v="1"/>
    <x v="1"/>
    <x v="1"/>
    <x v="1"/>
    <x v="1"/>
    <x v="0"/>
    <x v="1"/>
    <x v="1"/>
    <x v="1"/>
  </r>
  <r>
    <s v="electric_ALCO_GE_NYC_S_Motor_S1"/>
    <x v="0"/>
    <x v="1"/>
    <x v="1"/>
    <x v="0"/>
    <s v="NORTH_AMERICA_NO_REGION_NO_REGION_NO_REGION"/>
    <x v="1"/>
    <x v="1"/>
    <x v="1"/>
    <x v="1"/>
    <x v="1"/>
    <x v="1"/>
    <x v="0"/>
    <x v="1"/>
    <x v="1"/>
  </r>
  <r>
    <s v="electric_Nippon_Sharyo_DeKi_400"/>
    <x v="0"/>
    <x v="1"/>
    <x v="3"/>
    <x v="0"/>
    <s v="ASIA_NO_REGION_NO_REGION_NO_REGION"/>
    <x v="1"/>
    <x v="0"/>
    <x v="1"/>
    <x v="1"/>
    <x v="1"/>
    <x v="1"/>
    <x v="1"/>
    <x v="1"/>
    <x v="1"/>
  </r>
  <r>
    <s v="electric_Vulcan_Foundry_SLM_EF_1"/>
    <x v="0"/>
    <x v="1"/>
    <x v="3"/>
    <x v="0"/>
    <s v="ASIA_NO_REGION_NO_REGION_NO_REGION"/>
    <x v="1"/>
    <x v="0"/>
    <x v="1"/>
    <x v="1"/>
    <x v="1"/>
    <x v="1"/>
    <x v="1"/>
    <x v="1"/>
    <x v="1"/>
  </r>
  <r>
    <s v="electric_Jeumont_Schneider_BB_9004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electric_Werkspoor_ESS_3200"/>
    <x v="0"/>
    <x v="1"/>
    <x v="3"/>
    <x v="0"/>
    <s v="OCEANIA_NO_REGION_NO_REGION_NO_REGION"/>
    <x v="1"/>
    <x v="1"/>
    <x v="1"/>
    <x v="1"/>
    <x v="1"/>
    <x v="1"/>
    <x v="1"/>
    <x v="1"/>
    <x v="0"/>
  </r>
  <r>
    <s v="electric_Metropolitan_Vicerks_EM2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electric_NER_EE1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electric_GE_ES_2"/>
    <x v="0"/>
    <x v="1"/>
    <x v="1"/>
    <x v="0"/>
    <s v="NORTH_AMERICA_NO_REGION_NO_REGION_NO_REGION"/>
    <x v="1"/>
    <x v="1"/>
    <x v="1"/>
    <x v="1"/>
    <x v="1"/>
    <x v="1"/>
    <x v="0"/>
    <x v="1"/>
    <x v="1"/>
  </r>
  <r>
    <s v="electric_GE_2_4_8_0_0_8_4_2_EP2"/>
    <x v="0"/>
    <x v="1"/>
    <x v="1"/>
    <x v="0"/>
    <s v="NORTH_AMERICA_NO_REGION_NO_REGION_NO_REGION"/>
    <x v="1"/>
    <x v="1"/>
    <x v="1"/>
    <x v="1"/>
    <x v="1"/>
    <x v="1"/>
    <x v="0"/>
    <x v="1"/>
    <x v="1"/>
  </r>
  <r>
    <s v="electric_EFE_E_28"/>
    <x v="0"/>
    <x v="1"/>
    <x v="3"/>
    <x v="0"/>
    <s v="SOUTH_AMERICA_NO_REGION_NO_REGION_NO_REGION"/>
    <x v="1"/>
    <x v="1"/>
    <x v="1"/>
    <x v="1"/>
    <x v="1"/>
    <x v="1"/>
    <x v="1"/>
    <x v="0"/>
    <x v="1"/>
  </r>
  <r>
    <s v="electric_Breda_E_428"/>
    <x v="0"/>
    <x v="1"/>
    <x v="3"/>
    <x v="0"/>
    <s v="SOUTHERN_EUROPE_NO_REGION_NO_REGION_NO_REGION"/>
    <x v="1"/>
    <x v="1"/>
    <x v="0"/>
    <x v="1"/>
    <x v="1"/>
    <x v="1"/>
    <x v="1"/>
    <x v="1"/>
    <x v="1"/>
  </r>
  <r>
    <s v="electric_Werkspoor_SAR_ES"/>
    <x v="0"/>
    <x v="1"/>
    <x v="3"/>
    <x v="0"/>
    <s v="AFRICA_NO_REGION_NO_REGION_NO_REGION"/>
    <x v="0"/>
    <x v="1"/>
    <x v="1"/>
    <x v="1"/>
    <x v="1"/>
    <x v="1"/>
    <x v="1"/>
    <x v="1"/>
    <x v="1"/>
  </r>
  <r>
    <s v="electric_English_Electric_E__AEI_E_"/>
    <x v="0"/>
    <x v="1"/>
    <x v="6"/>
    <x v="0"/>
    <s v="EASTERN_EUROPE_NO_REGION_NO_REGION_NO_REGION"/>
    <x v="1"/>
    <x v="1"/>
    <x v="1"/>
    <x v="0"/>
    <x v="1"/>
    <x v="1"/>
    <x v="1"/>
    <x v="1"/>
    <x v="1"/>
  </r>
  <r>
    <s v="electric_HCP_203E"/>
    <x v="0"/>
    <x v="1"/>
    <x v="6"/>
    <x v="0"/>
    <s v="EASTERN_EUROPE_NO_REGION_NO_REGION_NO_REGION"/>
    <x v="1"/>
    <x v="1"/>
    <x v="1"/>
    <x v="0"/>
    <x v="1"/>
    <x v="1"/>
    <x v="1"/>
    <x v="1"/>
    <x v="1"/>
  </r>
  <r>
    <s v="electric_Pafawag_104E"/>
    <x v="0"/>
    <x v="1"/>
    <x v="5"/>
    <x v="0"/>
    <s v="EASTERN_EUROPE_NO_REGION_NO_REGION_NO_REGION"/>
    <x v="1"/>
    <x v="1"/>
    <x v="1"/>
    <x v="0"/>
    <x v="1"/>
    <x v="1"/>
    <x v="1"/>
    <x v="1"/>
    <x v="1"/>
  </r>
  <r>
    <s v="electric_Skoda_98E"/>
    <x v="0"/>
    <x v="1"/>
    <x v="5"/>
    <x v="0"/>
    <s v="EASTERN_EUROPE_NO_REGION_NO_REGION_NO_REGION"/>
    <x v="1"/>
    <x v="1"/>
    <x v="1"/>
    <x v="0"/>
    <x v="1"/>
    <x v="1"/>
    <x v="1"/>
    <x v="1"/>
    <x v="1"/>
  </r>
  <r>
    <s v="electric_TIBB_E_646"/>
    <x v="0"/>
    <x v="1"/>
    <x v="6"/>
    <x v="0"/>
    <s v="SOUTHERN_EUROPE_NO_REGION_NO_REGION_NO_REGION"/>
    <x v="1"/>
    <x v="1"/>
    <x v="0"/>
    <x v="1"/>
    <x v="1"/>
    <x v="1"/>
    <x v="1"/>
    <x v="1"/>
    <x v="1"/>
  </r>
  <r>
    <s v="electric_Breda_E_424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electric_Savigliano_E_444"/>
    <x v="0"/>
    <x v="1"/>
    <x v="6"/>
    <x v="0"/>
    <s v="SOUTHERN_EUROPE_NO_REGION_NO_REGION_NO_REGION"/>
    <x v="1"/>
    <x v="1"/>
    <x v="0"/>
    <x v="1"/>
    <x v="1"/>
    <x v="1"/>
    <x v="1"/>
    <x v="1"/>
    <x v="1"/>
  </r>
  <r>
    <s v="electric_Fiat_E_633"/>
    <x v="0"/>
    <x v="1"/>
    <x v="6"/>
    <x v="0"/>
    <s v="SOUTHERN_EUROPE_NO_REGION_NO_REGION_NO_REGION"/>
    <x v="1"/>
    <x v="1"/>
    <x v="0"/>
    <x v="1"/>
    <x v="1"/>
    <x v="1"/>
    <x v="1"/>
    <x v="1"/>
    <x v="1"/>
  </r>
  <r>
    <s v="electric_BN_ACEC_25_5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lectric_Krauss_Maffei_CAF_250"/>
    <x v="0"/>
    <x v="1"/>
    <x v="5"/>
    <x v="0"/>
    <s v="SOUTHERN_EUROPE_NO_REGION_NO_REGION_NO_REGION"/>
    <x v="1"/>
    <x v="1"/>
    <x v="0"/>
    <x v="1"/>
    <x v="1"/>
    <x v="1"/>
    <x v="1"/>
    <x v="1"/>
    <x v="1"/>
  </r>
  <r>
    <s v="electric_EFE_E_29"/>
    <x v="1"/>
    <x v="1"/>
    <x v="4"/>
    <x v="0"/>
    <s v="ALL_AMERICA_COMECON_NO_REGION_NO_REGION"/>
    <x v="1"/>
    <x v="0"/>
    <x v="1"/>
    <x v="0"/>
    <x v="1"/>
    <x v="1"/>
    <x v="0"/>
    <x v="0"/>
    <x v="1"/>
  </r>
  <r>
    <s v="electric_EFE_E_17"/>
    <x v="0"/>
    <x v="1"/>
    <x v="6"/>
    <x v="0"/>
    <s v="SOUTH_AMERICA_NO_REGION_NO_REGION_NO_REGION"/>
    <x v="1"/>
    <x v="1"/>
    <x v="1"/>
    <x v="1"/>
    <x v="1"/>
    <x v="1"/>
    <x v="1"/>
    <x v="0"/>
    <x v="1"/>
  </r>
  <r>
    <s v="electric_Alsthom_E_700"/>
    <x v="0"/>
    <x v="1"/>
    <x v="4"/>
    <x v="0"/>
    <s v="AFRICA_WESTERN_EUROPE_NO_REGION_NO_REGION"/>
    <x v="0"/>
    <x v="1"/>
    <x v="1"/>
    <x v="1"/>
    <x v="0"/>
    <x v="1"/>
    <x v="1"/>
    <x v="1"/>
    <x v="1"/>
  </r>
  <r>
    <s v="electric_Vulcan_Foundry_EE_EM_1"/>
    <x v="0"/>
    <x v="1"/>
    <x v="4"/>
    <x v="0"/>
    <s v="ASIA_NO_REGION_NO_REGION_NO_REGION"/>
    <x v="1"/>
    <x v="0"/>
    <x v="1"/>
    <x v="1"/>
    <x v="1"/>
    <x v="1"/>
    <x v="1"/>
    <x v="1"/>
    <x v="1"/>
  </r>
  <r>
    <s v="electric_Union_Carriage___Wagon_E38"/>
    <x v="0"/>
    <x v="1"/>
    <x v="5"/>
    <x v="0"/>
    <s v="AFRICA_NO_REGION_NO_REGION_NO_REGION"/>
    <x v="0"/>
    <x v="1"/>
    <x v="1"/>
    <x v="1"/>
    <x v="1"/>
    <x v="1"/>
    <x v="1"/>
    <x v="1"/>
    <x v="1"/>
  </r>
  <r>
    <s v="electric_Mitsubishi_series_269"/>
    <x v="0"/>
    <x v="1"/>
    <x v="5"/>
    <x v="0"/>
    <s v="SOUTH_AMERICA_SOUTHERN_EUROPE_NO_REGION_NO_REGION"/>
    <x v="1"/>
    <x v="1"/>
    <x v="0"/>
    <x v="1"/>
    <x v="1"/>
    <x v="1"/>
    <x v="1"/>
    <x v="0"/>
    <x v="1"/>
  </r>
  <r>
    <s v="electric_Skoda_69E"/>
    <x v="0"/>
    <x v="1"/>
    <x v="5"/>
    <x v="0"/>
    <s v="EASTERN_EUROPE_NO_REGION_NO_REGION_NO_REGION"/>
    <x v="1"/>
    <x v="1"/>
    <x v="1"/>
    <x v="0"/>
    <x v="1"/>
    <x v="1"/>
    <x v="1"/>
    <x v="1"/>
    <x v="1"/>
  </r>
  <r>
    <s v="electric_AEG_Skabo_EL7"/>
    <x v="0"/>
    <x v="1"/>
    <x v="1"/>
    <x v="0"/>
    <s v="NORTHERN_EUROPE_NO_REGION_NO_REGION_NO_REGION"/>
    <x v="1"/>
    <x v="1"/>
    <x v="1"/>
    <x v="1"/>
    <x v="1"/>
    <x v="0"/>
    <x v="1"/>
    <x v="1"/>
    <x v="1"/>
  </r>
  <r>
    <s v="electric_Westinghouse_FF_1_Big_Liz_"/>
    <x v="0"/>
    <x v="1"/>
    <x v="1"/>
    <x v="0"/>
    <s v="NORTH_AMERICA_NO_REGION_NO_REGION_NO_REGION"/>
    <x v="1"/>
    <x v="1"/>
    <x v="1"/>
    <x v="1"/>
    <x v="1"/>
    <x v="1"/>
    <x v="0"/>
    <x v="1"/>
    <x v="1"/>
  </r>
  <r>
    <s v="electric_ELIN_Floridsdorf_1161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electric_Maffei_SSW_Lok_5_Adolphine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electric_Thune_ASEA_EL10"/>
    <x v="0"/>
    <x v="1"/>
    <x v="3"/>
    <x v="0"/>
    <s v="NORTHERN_EUROPE_NO_REGION_NO_REGION_NO_REGION"/>
    <x v="1"/>
    <x v="1"/>
    <x v="1"/>
    <x v="1"/>
    <x v="1"/>
    <x v="0"/>
    <x v="1"/>
    <x v="1"/>
    <x v="1"/>
  </r>
  <r>
    <s v="electric_AEG_E_04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electric_GE_4_6_0_0_6_4OE_GG_1"/>
    <x v="0"/>
    <x v="1"/>
    <x v="3"/>
    <x v="0"/>
    <s v="NORTH_AMERICA_NO_REGION_NO_REGION_NO_REGION"/>
    <x v="1"/>
    <x v="1"/>
    <x v="1"/>
    <x v="1"/>
    <x v="1"/>
    <x v="1"/>
    <x v="0"/>
    <x v="1"/>
    <x v="1"/>
  </r>
  <r>
    <s v="electric_SLM_1100_Crocodile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electric_AEG_BBC_Henschel_Siemens_E03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lectric_Krauss_WASSEG_E_91_9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electric_SLM_Ce_4_4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electric_SLM_Ae_6_6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electric_SLM_ABB_Lok_2000"/>
    <x v="0"/>
    <x v="1"/>
    <x v="5"/>
    <x v="0"/>
    <s v="NORTH_WEST_EUROPE_ASIA_NO_REGION_NO_REGION"/>
    <x v="1"/>
    <x v="0"/>
    <x v="1"/>
    <x v="1"/>
    <x v="0"/>
    <x v="0"/>
    <x v="1"/>
    <x v="1"/>
    <x v="1"/>
  </r>
  <r>
    <s v="electric_Stadler_Butler_Eem_923"/>
    <x v="0"/>
    <x v="1"/>
    <x v="0"/>
    <x v="0"/>
    <s v="WESTERN_EUROPE_NO_REGION_NO_REGION_NO_REGION"/>
    <x v="1"/>
    <x v="1"/>
    <x v="1"/>
    <x v="1"/>
    <x v="0"/>
    <x v="1"/>
    <x v="1"/>
    <x v="1"/>
    <x v="1"/>
  </r>
  <r>
    <s v="electric_SGP_1044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lectric_SGP_1063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electric_ASEA_Dm3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electric_Bombardier_Traxx_H80_AC"/>
    <x v="0"/>
    <x v="1"/>
    <x v="0"/>
    <x v="0"/>
    <s v="NORTHERN_EUROPE_NO_REGION_NO_REGION_NO_REGION"/>
    <x v="1"/>
    <x v="1"/>
    <x v="1"/>
    <x v="1"/>
    <x v="1"/>
    <x v="0"/>
    <x v="1"/>
    <x v="1"/>
    <x v="1"/>
  </r>
  <r>
    <s v="electric_Siemens_Oa"/>
    <x v="0"/>
    <x v="1"/>
    <x v="1"/>
    <x v="0"/>
    <s v="NORTHERN_EUROPE_NO_REGION_NO_REGION_NO_REGION"/>
    <x v="1"/>
    <x v="1"/>
    <x v="1"/>
    <x v="1"/>
    <x v="1"/>
    <x v="0"/>
    <x v="1"/>
    <x v="1"/>
    <x v="1"/>
  </r>
  <r>
    <s v="electric_ASEA_F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electric_Thyssen_Henschel_EL17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electric_Borsig_SSW_ES_6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electric_GE_EL_2B"/>
    <x v="0"/>
    <x v="1"/>
    <x v="4"/>
    <x v="0"/>
    <s v="NORTH_AMERICA_NO_REGION_NO_REGION_NO_REGION"/>
    <x v="1"/>
    <x v="1"/>
    <x v="1"/>
    <x v="1"/>
    <x v="1"/>
    <x v="1"/>
    <x v="0"/>
    <x v="1"/>
    <x v="1"/>
  </r>
  <r>
    <s v="electric_GE_W_1"/>
    <x v="0"/>
    <x v="1"/>
    <x v="4"/>
    <x v="0"/>
    <s v="NORTH_AMERICA_NO_REGION_NO_REGION_NO_REGION"/>
    <x v="1"/>
    <x v="1"/>
    <x v="1"/>
    <x v="1"/>
    <x v="1"/>
    <x v="1"/>
    <x v="0"/>
    <x v="1"/>
    <x v="1"/>
  </r>
  <r>
    <s v="electric_Westinghouse_6wOE_B1"/>
    <x v="0"/>
    <x v="1"/>
    <x v="3"/>
    <x v="0"/>
    <s v="NORTH_AMERICA_NO_REGION_NO_REGION_NO_REGION"/>
    <x v="1"/>
    <x v="1"/>
    <x v="1"/>
    <x v="1"/>
    <x v="1"/>
    <x v="1"/>
    <x v="0"/>
    <x v="1"/>
    <x v="1"/>
  </r>
  <r>
    <s v="electric_Siemens_E40_AG_V1"/>
    <x v="0"/>
    <x v="1"/>
    <x v="0"/>
    <x v="0"/>
    <s v="OCEANIA_NO_REGION_NO_REGION_NO_REGION"/>
    <x v="1"/>
    <x v="1"/>
    <x v="1"/>
    <x v="1"/>
    <x v="1"/>
    <x v="1"/>
    <x v="1"/>
    <x v="1"/>
    <x v="0"/>
  </r>
  <r>
    <s v="electric_Zuzhou_SS6"/>
    <x v="0"/>
    <x v="1"/>
    <x v="5"/>
    <x v="0"/>
    <s v="ASIA_NO_REGION_NO_REGION_NO_REGION"/>
    <x v="1"/>
    <x v="0"/>
    <x v="1"/>
    <x v="1"/>
    <x v="1"/>
    <x v="1"/>
    <x v="1"/>
    <x v="1"/>
    <x v="1"/>
  </r>
  <r>
    <s v="electric_Zuzhou_SS3"/>
    <x v="0"/>
    <x v="1"/>
    <x v="6"/>
    <x v="0"/>
    <s v="ASIA_NO_REGION_NO_REGION_NO_REGION"/>
    <x v="1"/>
    <x v="0"/>
    <x v="1"/>
    <x v="1"/>
    <x v="1"/>
    <x v="1"/>
    <x v="1"/>
    <x v="1"/>
    <x v="1"/>
  </r>
  <r>
    <s v="electric_Toshiba_CNR_Dalian_HXD3"/>
    <x v="0"/>
    <x v="1"/>
    <x v="0"/>
    <x v="0"/>
    <s v="ASIA_NO_REGION_NO_REGION_NO_REGION"/>
    <x v="1"/>
    <x v="0"/>
    <x v="1"/>
    <x v="1"/>
    <x v="1"/>
    <x v="1"/>
    <x v="1"/>
    <x v="1"/>
    <x v="1"/>
  </r>
  <r>
    <s v="electric_Toshiba_CRRC_HXD1D"/>
    <x v="0"/>
    <x v="1"/>
    <x v="0"/>
    <x v="0"/>
    <s v="ASIA_NO_REGION_NO_REGION_NO_REGION"/>
    <x v="1"/>
    <x v="0"/>
    <x v="1"/>
    <x v="1"/>
    <x v="1"/>
    <x v="1"/>
    <x v="1"/>
    <x v="1"/>
    <x v="1"/>
  </r>
  <r>
    <s v="electric_Kawasaki_6K"/>
    <x v="0"/>
    <x v="1"/>
    <x v="5"/>
    <x v="0"/>
    <s v="ASIA_NO_REGION_NO_REGION_NO_REGION"/>
    <x v="1"/>
    <x v="0"/>
    <x v="1"/>
    <x v="1"/>
    <x v="1"/>
    <x v="1"/>
    <x v="1"/>
    <x v="1"/>
    <x v="1"/>
  </r>
  <r>
    <s v="electric_GE_E44"/>
    <x v="0"/>
    <x v="1"/>
    <x v="6"/>
    <x v="0"/>
    <s v="NORTH_AMERICA_NO_REGION_NO_REGION_NO_REGION"/>
    <x v="1"/>
    <x v="1"/>
    <x v="1"/>
    <x v="1"/>
    <x v="1"/>
    <x v="1"/>
    <x v="0"/>
    <x v="1"/>
    <x v="1"/>
  </r>
  <r>
    <s v="electric_ASEA_Koncar_Rb"/>
    <x v="0"/>
    <x v="1"/>
    <x v="6"/>
    <x v="0"/>
    <s v="EASTERN_EUROPE_NO_REGION_NO_REGION_NO_REGION"/>
    <x v="1"/>
    <x v="1"/>
    <x v="1"/>
    <x v="0"/>
    <x v="1"/>
    <x v="1"/>
    <x v="1"/>
    <x v="1"/>
    <x v="1"/>
  </r>
  <r>
    <s v="electric_Ganz_MAVAG_VM14_V43"/>
    <x v="0"/>
    <x v="1"/>
    <x v="6"/>
    <x v="0"/>
    <s v="EASTERN_EUROPE_NO_REGION_NO_REGION_NO_REGION"/>
    <x v="1"/>
    <x v="1"/>
    <x v="1"/>
    <x v="0"/>
    <x v="1"/>
    <x v="1"/>
    <x v="1"/>
    <x v="1"/>
    <x v="1"/>
  </r>
  <r>
    <s v="electric_Alsthom_CP_2500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electric_Alsthom_CP_2600"/>
    <x v="0"/>
    <x v="1"/>
    <x v="6"/>
    <x v="0"/>
    <s v="SOUTHERN_EUROPE_NO_REGION_NO_REGION_NO_REGION"/>
    <x v="1"/>
    <x v="1"/>
    <x v="0"/>
    <x v="1"/>
    <x v="1"/>
    <x v="1"/>
    <x v="1"/>
    <x v="1"/>
    <x v="1"/>
  </r>
  <r>
    <s v="electric_ZELC_20E_China_Doll"/>
    <x v="0"/>
    <x v="1"/>
    <x v="0"/>
    <x v="0"/>
    <s v="AFRICA_NO_REGION_NO_REGION_NO_REGION"/>
    <x v="0"/>
    <x v="1"/>
    <x v="1"/>
    <x v="1"/>
    <x v="1"/>
    <x v="1"/>
    <x v="1"/>
    <x v="1"/>
    <x v="1"/>
  </r>
  <r>
    <s v="electric_Siemens_EuroSprinter_ES64F"/>
    <x v="0"/>
    <x v="1"/>
    <x v="0"/>
    <x v="0"/>
    <s v="ASIA_ALL_EUROPE_NO_REGION_NO_REGION"/>
    <x v="1"/>
    <x v="0"/>
    <x v="0"/>
    <x v="0"/>
    <x v="0"/>
    <x v="0"/>
    <x v="1"/>
    <x v="1"/>
    <x v="1"/>
  </r>
  <r>
    <s v="electric_DEVZ_DS3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electric_Skoda_47E"/>
    <x v="0"/>
    <x v="1"/>
    <x v="6"/>
    <x v="0"/>
    <s v="EASTERN_EUROPE_NO_REGION_NO_REGION_NO_REGION"/>
    <x v="1"/>
    <x v="1"/>
    <x v="1"/>
    <x v="0"/>
    <x v="1"/>
    <x v="1"/>
    <x v="1"/>
    <x v="1"/>
    <x v="1"/>
  </r>
  <r>
    <s v="electric_Ansaldo___Breda_C_F_E_491"/>
    <x v="0"/>
    <x v="1"/>
    <x v="5"/>
    <x v="0"/>
    <s v="SOUTHERN_EUROPE_NO_REGION_NO_REGION_NO_REGION"/>
    <x v="1"/>
    <x v="1"/>
    <x v="0"/>
    <x v="1"/>
    <x v="1"/>
    <x v="1"/>
    <x v="1"/>
    <x v="1"/>
    <x v="1"/>
  </r>
  <r>
    <s v="electric_ASEA_Electroputere_Rb"/>
    <x v="0"/>
    <x v="1"/>
    <x v="6"/>
    <x v="0"/>
    <s v="SOUTHERN_EUROPE_NO_REGION_NO_REGION_NO_REGION"/>
    <x v="1"/>
    <x v="1"/>
    <x v="0"/>
    <x v="1"/>
    <x v="1"/>
    <x v="1"/>
    <x v="1"/>
    <x v="1"/>
    <x v="1"/>
  </r>
  <r>
    <s v="electric_CEF_BB_1600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electric_BR_85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electric_GE_E60C_2"/>
    <x v="0"/>
    <x v="1"/>
    <x v="5"/>
    <x v="0"/>
    <s v="NORTH_AMERICA_NO_REGION_NO_REGION_NO_REGION"/>
    <x v="1"/>
    <x v="1"/>
    <x v="1"/>
    <x v="1"/>
    <x v="1"/>
    <x v="1"/>
    <x v="0"/>
    <x v="1"/>
    <x v="1"/>
  </r>
  <r>
    <s v="electric_Alstom_Prima_II"/>
    <x v="0"/>
    <x v="1"/>
    <x v="0"/>
    <x v="0"/>
    <s v="AFRICA_NO_REGION_NO_REGION_NO_REGION"/>
    <x v="0"/>
    <x v="1"/>
    <x v="1"/>
    <x v="1"/>
    <x v="1"/>
    <x v="1"/>
    <x v="1"/>
    <x v="1"/>
    <x v="1"/>
  </r>
  <r>
    <s v="electric_Toshiba_EA"/>
    <x v="0"/>
    <x v="1"/>
    <x v="6"/>
    <x v="0"/>
    <s v="OCEANIA_NO_REGION_NO_REGION_NO_REGION"/>
    <x v="1"/>
    <x v="1"/>
    <x v="1"/>
    <x v="1"/>
    <x v="1"/>
    <x v="1"/>
    <x v="1"/>
    <x v="1"/>
    <x v="0"/>
  </r>
  <r>
    <s v="electric_ASEA_GMD_GF6C"/>
    <x v="0"/>
    <x v="1"/>
    <x v="5"/>
    <x v="0"/>
    <s v="NORTH_AMERICA_NO_REGION_NO_REGION_NO_REGION"/>
    <x v="1"/>
    <x v="1"/>
    <x v="1"/>
    <x v="1"/>
    <x v="1"/>
    <x v="1"/>
    <x v="0"/>
    <x v="1"/>
    <x v="1"/>
  </r>
  <r>
    <s v="electric_Alsthom_BB_22200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lectric_GEC_Alsthom_BB_26000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electric_Alsthom_BB_25500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lectric_Siemens_Eurosprinter_ES64U4"/>
    <x v="0"/>
    <x v="1"/>
    <x v="0"/>
    <x v="0"/>
    <s v="ALL_EUROPE_NO_REGION_NO_REGION_NO_REGION"/>
    <x v="1"/>
    <x v="1"/>
    <x v="0"/>
    <x v="0"/>
    <x v="0"/>
    <x v="0"/>
    <x v="1"/>
    <x v="1"/>
    <x v="1"/>
  </r>
  <r>
    <s v="electric_Toshiba_EH500"/>
    <x v="0"/>
    <x v="1"/>
    <x v="5"/>
    <x v="0"/>
    <s v="ASIA_NO_REGION_NO_REGION_NO_REGION"/>
    <x v="1"/>
    <x v="0"/>
    <x v="1"/>
    <x v="1"/>
    <x v="1"/>
    <x v="1"/>
    <x v="1"/>
    <x v="1"/>
    <x v="1"/>
  </r>
  <r>
    <s v="electric_ASEA_EMD_AEM_7"/>
    <x v="0"/>
    <x v="1"/>
    <x v="6"/>
    <x v="0"/>
    <s v="NORTH_AMERICA_NO_REGION_NO_REGION_NO_REGION"/>
    <x v="1"/>
    <x v="1"/>
    <x v="1"/>
    <x v="1"/>
    <x v="1"/>
    <x v="1"/>
    <x v="0"/>
    <x v="1"/>
    <x v="1"/>
  </r>
  <r>
    <s v="electric_Bombardier_Alstom_HHP_8"/>
    <x v="0"/>
    <x v="1"/>
    <x v="5"/>
    <x v="0"/>
    <s v="NORTH_AMERICA_NO_REGION_NO_REGION_NO_REGION"/>
    <x v="1"/>
    <x v="1"/>
    <x v="1"/>
    <x v="1"/>
    <x v="1"/>
    <x v="1"/>
    <x v="0"/>
    <x v="1"/>
    <x v="1"/>
  </r>
  <r>
    <s v="electric_Skoda_109E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electric_CAF_Macosa_252"/>
    <x v="0"/>
    <x v="1"/>
    <x v="5"/>
    <x v="0"/>
    <s v="SOUTHERN_EUROPE_NO_REGION_NO_REGION_NO_REGION"/>
    <x v="1"/>
    <x v="1"/>
    <x v="0"/>
    <x v="1"/>
    <x v="1"/>
    <x v="1"/>
    <x v="1"/>
    <x v="1"/>
    <x v="1"/>
  </r>
  <r>
    <s v="electric_Bombardier_Traxx_F140_MS"/>
    <x v="0"/>
    <x v="1"/>
    <x v="0"/>
    <x v="0"/>
    <s v="ALL_EUROPE_NO_REGION_NO_REGION_NO_REGION"/>
    <x v="1"/>
    <x v="1"/>
    <x v="0"/>
    <x v="0"/>
    <x v="0"/>
    <x v="0"/>
    <x v="1"/>
    <x v="1"/>
    <x v="1"/>
  </r>
  <r>
    <s v="electric_TIBB_E_550"/>
    <x v="0"/>
    <x v="1"/>
    <x v="1"/>
    <x v="0"/>
    <s v="SOUTHERN_EUROPE_NO_REGION_NO_REGION_NO_REGION"/>
    <x v="1"/>
    <x v="1"/>
    <x v="0"/>
    <x v="1"/>
    <x v="1"/>
    <x v="1"/>
    <x v="1"/>
    <x v="1"/>
    <x v="1"/>
  </r>
  <r>
    <s v="electric_Hitachi_EF81"/>
    <x v="0"/>
    <x v="1"/>
    <x v="6"/>
    <x v="0"/>
    <s v="ASIA_NO_REGION_NO_REGION_NO_REGION"/>
    <x v="1"/>
    <x v="0"/>
    <x v="1"/>
    <x v="1"/>
    <x v="1"/>
    <x v="1"/>
    <x v="1"/>
    <x v="1"/>
    <x v="1"/>
  </r>
  <r>
    <s v="electric_ABB_Brush_Class_92"/>
    <x v="0"/>
    <x v="1"/>
    <x v="5"/>
    <x v="0"/>
    <s v="NORTHERN_EUROPE_WESTERN_EUROPE_EASTERN_EUROPE_NO_REGION"/>
    <x v="1"/>
    <x v="1"/>
    <x v="1"/>
    <x v="0"/>
    <x v="0"/>
    <x v="0"/>
    <x v="1"/>
    <x v="1"/>
    <x v="1"/>
  </r>
  <r>
    <s v="electric_Siemens_ACS_64"/>
    <x v="0"/>
    <x v="1"/>
    <x v="0"/>
    <x v="0"/>
    <s v="NORTH_AMERICA_NO_REGION_NO_REGION_NO_REGION"/>
    <x v="1"/>
    <x v="1"/>
    <x v="1"/>
    <x v="1"/>
    <x v="1"/>
    <x v="1"/>
    <x v="0"/>
    <x v="1"/>
    <x v="1"/>
  </r>
  <r>
    <s v="electric_Alsthom_CC_40101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lectric_Alsthom_Class_13_HLE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dmu_LHB_VT_04_0_Flying_Hamburger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dmu_Harland___Wolf_Silver_City_Comet"/>
    <x v="0"/>
    <x v="1"/>
    <x v="3"/>
    <x v="0"/>
    <s v="OCEANIA_NO_REGION_NO_REGION_NO_REGION"/>
    <x v="1"/>
    <x v="1"/>
    <x v="1"/>
    <x v="1"/>
    <x v="1"/>
    <x v="1"/>
    <x v="1"/>
    <x v="1"/>
    <x v="0"/>
  </r>
  <r>
    <s v="dmu_Tatra_M131"/>
    <x v="0"/>
    <x v="1"/>
    <x v="4"/>
    <x v="0"/>
    <s v="EASTERN_EUROPE_NO_REGION_NO_REGION_NO_REGION"/>
    <x v="1"/>
    <x v="1"/>
    <x v="1"/>
    <x v="0"/>
    <x v="1"/>
    <x v="1"/>
    <x v="1"/>
    <x v="1"/>
    <x v="1"/>
  </r>
  <r>
    <s v="dmu_MAN_VT_08_5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dmu_South_Australian_Railways_400_Redhen"/>
    <x v="0"/>
    <x v="1"/>
    <x v="4"/>
    <x v="0"/>
    <s v="OCEANIA_NO_REGION_NO_REGION_NO_REGION"/>
    <x v="1"/>
    <x v="1"/>
    <x v="1"/>
    <x v="1"/>
    <x v="1"/>
    <x v="1"/>
    <x v="1"/>
    <x v="1"/>
    <x v="0"/>
  </r>
  <r>
    <s v="dmu_MAN_LHB_VT11_5___DB_601_TEE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dmu_Werkspoor_Plan_U_DE_III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dmu_UAC_Turbo_Train"/>
    <x v="0"/>
    <x v="1"/>
    <x v="6"/>
    <x v="0"/>
    <s v="NORTH_AMERICA_NO_REGION_NO_REGION_NO_REGION"/>
    <x v="1"/>
    <x v="1"/>
    <x v="1"/>
    <x v="1"/>
    <x v="1"/>
    <x v="1"/>
    <x v="0"/>
    <x v="1"/>
    <x v="1"/>
  </r>
  <r>
    <s v="dmu_JZ_811"/>
    <x v="0"/>
    <x v="1"/>
    <x v="6"/>
    <x v="0"/>
    <s v="EASTERN_EUROPE_NO_REGION_NO_REGION_NO_REGION"/>
    <x v="1"/>
    <x v="1"/>
    <x v="1"/>
    <x v="0"/>
    <x v="1"/>
    <x v="1"/>
    <x v="1"/>
    <x v="1"/>
    <x v="1"/>
  </r>
  <r>
    <s v="dmu_BREL_43_IC125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dmu_Bombardier_M6109"/>
    <x v="0"/>
    <x v="1"/>
    <x v="5"/>
    <x v="0"/>
    <s v="NORTH_AMERICA_NO_REGION_NO_REGION_NO_REGION"/>
    <x v="1"/>
    <x v="1"/>
    <x v="1"/>
    <x v="1"/>
    <x v="1"/>
    <x v="1"/>
    <x v="0"/>
    <x v="1"/>
    <x v="1"/>
  </r>
  <r>
    <s v="dmu_ABB_IC3_Y2"/>
    <x v="0"/>
    <x v="1"/>
    <x v="5"/>
    <x v="0"/>
    <s v="ALL_EUROPE_AFRICA_NO_REGION_NO_REGION"/>
    <x v="0"/>
    <x v="1"/>
    <x v="0"/>
    <x v="0"/>
    <x v="0"/>
    <x v="0"/>
    <x v="1"/>
    <x v="1"/>
    <x v="1"/>
  </r>
  <r>
    <s v="dmu_CAF_594_TRD"/>
    <x v="0"/>
    <x v="1"/>
    <x v="5"/>
    <x v="0"/>
    <s v="ALL_EUROPE_AFRICA_NO_REGION_NO_REGION"/>
    <x v="0"/>
    <x v="1"/>
    <x v="0"/>
    <x v="0"/>
    <x v="0"/>
    <x v="0"/>
    <x v="1"/>
    <x v="1"/>
    <x v="1"/>
  </r>
  <r>
    <s v="dmu_Adtranz_Class_168_Clubman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dmu_Adtranz_Class_612_Regio_Swinger"/>
    <x v="0"/>
    <x v="1"/>
    <x v="5"/>
    <x v="0"/>
    <s v="WESTERN_EUROPE_EASTERN_EUROPE_NO_REGION_NO_REGION"/>
    <x v="1"/>
    <x v="1"/>
    <x v="1"/>
    <x v="0"/>
    <x v="0"/>
    <x v="1"/>
    <x v="1"/>
    <x v="1"/>
    <x v="1"/>
  </r>
  <r>
    <s v="dmu_Siemens_Desiro"/>
    <x v="0"/>
    <x v="1"/>
    <x v="0"/>
    <x v="0"/>
    <s v="ALL_EUROPE_NORTH_AMERICA_NO_REGION_NO_REGION"/>
    <x v="1"/>
    <x v="1"/>
    <x v="0"/>
    <x v="0"/>
    <x v="0"/>
    <x v="0"/>
    <x v="0"/>
    <x v="1"/>
    <x v="1"/>
  </r>
  <r>
    <s v="dmu_Alstom_Coradia_LINT"/>
    <x v="0"/>
    <x v="1"/>
    <x v="0"/>
    <x v="0"/>
    <s v="NORTHERN_EUROPE_NO_REGION_NO_REGION_NO_REGION"/>
    <x v="1"/>
    <x v="1"/>
    <x v="1"/>
    <x v="1"/>
    <x v="1"/>
    <x v="0"/>
    <x v="1"/>
    <x v="1"/>
    <x v="1"/>
  </r>
  <r>
    <s v="dmu_Bombardier_Talent_NSB_BM_93"/>
    <x v="0"/>
    <x v="1"/>
    <x v="0"/>
    <x v="0"/>
    <s v="NORTHERN_EUROPE_NO_REGION_NO_REGION_NO_REGION"/>
    <x v="1"/>
    <x v="1"/>
    <x v="1"/>
    <x v="1"/>
    <x v="1"/>
    <x v="0"/>
    <x v="1"/>
    <x v="1"/>
    <x v="1"/>
  </r>
  <r>
    <s v="dmu_UGL_WD_Prospector"/>
    <x v="0"/>
    <x v="1"/>
    <x v="0"/>
    <x v="0"/>
    <s v="OCEANIA_NO_REGION_NO_REGION_NO_REGION"/>
    <x v="1"/>
    <x v="1"/>
    <x v="1"/>
    <x v="1"/>
    <x v="1"/>
    <x v="1"/>
    <x v="1"/>
    <x v="1"/>
    <x v="0"/>
  </r>
  <r>
    <s v="dmu_UGL_Hunter_Railcar"/>
    <x v="0"/>
    <x v="1"/>
    <x v="0"/>
    <x v="0"/>
    <s v="OCEANIA_NO_REGION_NO_REGION_NO_REGION"/>
    <x v="1"/>
    <x v="1"/>
    <x v="1"/>
    <x v="1"/>
    <x v="1"/>
    <x v="1"/>
    <x v="1"/>
    <x v="1"/>
    <x v="0"/>
  </r>
  <r>
    <s v="dmu_MVM_RA2"/>
    <x v="0"/>
    <x v="1"/>
    <x v="0"/>
    <x v="0"/>
    <s v="COMECON_NO_REGION_NO_REGION_NO_REGION"/>
    <x v="1"/>
    <x v="0"/>
    <x v="1"/>
    <x v="0"/>
    <x v="1"/>
    <x v="1"/>
    <x v="1"/>
    <x v="1"/>
    <x v="1"/>
  </r>
  <r>
    <s v="dmu_AnsaldoBreda_IC4"/>
    <x v="0"/>
    <x v="1"/>
    <x v="0"/>
    <x v="0"/>
    <s v="NORTHERN_EUROPE_AFRICA_NO_REGION_NO_REGION"/>
    <x v="0"/>
    <x v="1"/>
    <x v="1"/>
    <x v="1"/>
    <x v="1"/>
    <x v="0"/>
    <x v="1"/>
    <x v="1"/>
    <x v="1"/>
  </r>
  <r>
    <s v="dmu_TZV_Gredelj_7022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dmu_Fiat_TCDD_MT_5500"/>
    <x v="0"/>
    <x v="1"/>
    <x v="6"/>
    <x v="0"/>
    <s v="COMECON_NO_REGION_NO_REGION_NO_REGION"/>
    <x v="1"/>
    <x v="0"/>
    <x v="1"/>
    <x v="0"/>
    <x v="1"/>
    <x v="1"/>
    <x v="1"/>
    <x v="1"/>
    <x v="1"/>
  </r>
  <r>
    <s v="dmu_Fuji_KiHa_181"/>
    <x v="0"/>
    <x v="1"/>
    <x v="6"/>
    <x v="0"/>
    <s v="ASIA_NO_REGION_NO_REGION_NO_REGION"/>
    <x v="1"/>
    <x v="0"/>
    <x v="1"/>
    <x v="1"/>
    <x v="1"/>
    <x v="1"/>
    <x v="1"/>
    <x v="1"/>
    <x v="1"/>
  </r>
  <r>
    <s v="dmu_Vagonka_Studenka_814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dmu_BR_150_0_Sprinter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dmu_BREL_141_Pacer"/>
    <x v="0"/>
    <x v="1"/>
    <x v="5"/>
    <x v="0"/>
    <s v="ASIA_NO_REGION_NO_REGION_NO_REGION"/>
    <x v="1"/>
    <x v="0"/>
    <x v="1"/>
    <x v="1"/>
    <x v="1"/>
    <x v="1"/>
    <x v="1"/>
    <x v="1"/>
    <x v="1"/>
  </r>
  <r>
    <s v="dmu_ABB_IC3__Israel_"/>
    <x v="1"/>
    <x v="1"/>
    <x v="5"/>
    <x v="0"/>
    <s v="AFRICA_ALL_EUROPE_NO_REGION_NO_REGION"/>
    <x v="0"/>
    <x v="1"/>
    <x v="0"/>
    <x v="0"/>
    <x v="0"/>
    <x v="0"/>
    <x v="1"/>
    <x v="1"/>
    <x v="1"/>
  </r>
  <r>
    <s v="dmu_Comeng_3100"/>
    <x v="0"/>
    <x v="1"/>
    <x v="5"/>
    <x v="0"/>
    <s v="OCEANIA_NO_REGION_NO_REGION_NO_REGION"/>
    <x v="1"/>
    <x v="1"/>
    <x v="1"/>
    <x v="1"/>
    <x v="1"/>
    <x v="1"/>
    <x v="1"/>
    <x v="1"/>
    <x v="0"/>
  </r>
  <r>
    <s v="dmu_ABB_Xplorer"/>
    <x v="0"/>
    <x v="1"/>
    <x v="5"/>
    <x v="0"/>
    <s v="OCEANIA_NO_REGION_NO_REGION_NO_REGION"/>
    <x v="1"/>
    <x v="1"/>
    <x v="1"/>
    <x v="1"/>
    <x v="1"/>
    <x v="1"/>
    <x v="1"/>
    <x v="1"/>
    <x v="0"/>
  </r>
  <r>
    <s v="dmu_Niigata_Transys_KiHa_189"/>
    <x v="0"/>
    <x v="1"/>
    <x v="0"/>
    <x v="0"/>
    <s v="ASIA_NO_REGION_NO_REGION_NO_REGION"/>
    <x v="1"/>
    <x v="0"/>
    <x v="1"/>
    <x v="1"/>
    <x v="1"/>
    <x v="1"/>
    <x v="1"/>
    <x v="1"/>
    <x v="1"/>
  </r>
  <r>
    <s v="dmu_Integral_Coach_Factory_S11"/>
    <x v="0"/>
    <x v="1"/>
    <x v="0"/>
    <x v="0"/>
    <s v="ASIA_NO_REGION_NO_REGION_NO_REGION"/>
    <x v="1"/>
    <x v="0"/>
    <x v="1"/>
    <x v="1"/>
    <x v="1"/>
    <x v="1"/>
    <x v="1"/>
    <x v="1"/>
    <x v="1"/>
  </r>
  <r>
    <s v="dmu_ZOS_Vrutky_861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dmu_CAF_TLD_500"/>
    <x v="0"/>
    <x v="1"/>
    <x v="5"/>
    <x v="0"/>
    <s v="SOUTH_AMERICA_NO_REGION_NO_REGION_NO_REGION"/>
    <x v="1"/>
    <x v="1"/>
    <x v="1"/>
    <x v="1"/>
    <x v="1"/>
    <x v="1"/>
    <x v="1"/>
    <x v="0"/>
    <x v="1"/>
  </r>
  <r>
    <s v="dmu_Camrail_ZE_500"/>
    <x v="0"/>
    <x v="1"/>
    <x v="6"/>
    <x v="0"/>
    <s v="AFRICA_NO_REGION_NO_REGION_NO_REGION"/>
    <x v="0"/>
    <x v="1"/>
    <x v="1"/>
    <x v="1"/>
    <x v="1"/>
    <x v="1"/>
    <x v="1"/>
    <x v="1"/>
    <x v="1"/>
  </r>
  <r>
    <s v="dmu_Metro_Cammell_251_Blue_Pullman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dmu_Comeng_ADK"/>
    <x v="0"/>
    <x v="1"/>
    <x v="6"/>
    <x v="0"/>
    <s v="OCEANIA_NO_REGION_NO_REGION_NO_REGION"/>
    <x v="1"/>
    <x v="1"/>
    <x v="1"/>
    <x v="1"/>
    <x v="1"/>
    <x v="1"/>
    <x v="1"/>
    <x v="1"/>
    <x v="0"/>
  </r>
  <r>
    <s v="dmu_ANF_X_4630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dmu_ANF_T_2000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dmu_Duwag_Wadloper"/>
    <x v="0"/>
    <x v="1"/>
    <x v="5"/>
    <x v="0"/>
    <s v="ALL_EUROPE_SOUTH_AMERICA_NO_REGION_NO_REGION"/>
    <x v="1"/>
    <x v="1"/>
    <x v="0"/>
    <x v="0"/>
    <x v="0"/>
    <x v="0"/>
    <x v="1"/>
    <x v="0"/>
    <x v="1"/>
  </r>
  <r>
    <s v="dmu_Duwag_628_2"/>
    <x v="0"/>
    <x v="1"/>
    <x v="5"/>
    <x v="0"/>
    <s v="WESTERN_EUROPE_EASTERN_EUROPE_NO_REGION_NO_REGION"/>
    <x v="1"/>
    <x v="1"/>
    <x v="1"/>
    <x v="0"/>
    <x v="0"/>
    <x v="1"/>
    <x v="1"/>
    <x v="1"/>
    <x v="1"/>
  </r>
  <r>
    <s v="dmu_CAF_ZZ_2200_Autorail"/>
    <x v="0"/>
    <x v="1"/>
    <x v="0"/>
    <x v="0"/>
    <s v="AFRICA_NO_REGION_NO_REGION_NO_REGION"/>
    <x v="0"/>
    <x v="1"/>
    <x v="1"/>
    <x v="1"/>
    <x v="1"/>
    <x v="1"/>
    <x v="1"/>
    <x v="1"/>
    <x v="1"/>
  </r>
  <r>
    <s v="dmu_CFD_AMT_800"/>
    <x v="0"/>
    <x v="1"/>
    <x v="0"/>
    <x v="0"/>
    <s v="AFRICA_NO_REGION_NO_REGION_NO_REGION"/>
    <x v="0"/>
    <x v="1"/>
    <x v="1"/>
    <x v="1"/>
    <x v="1"/>
    <x v="1"/>
    <x v="1"/>
    <x v="1"/>
    <x v="1"/>
  </r>
  <r>
    <s v="dmu_CNR_Tangshan_Ghana_DEMU"/>
    <x v="0"/>
    <x v="1"/>
    <x v="0"/>
    <x v="0"/>
    <s v="AFRICA_NO_REGION_NO_REGION_NO_REGION"/>
    <x v="0"/>
    <x v="1"/>
    <x v="1"/>
    <x v="1"/>
    <x v="1"/>
    <x v="1"/>
    <x v="1"/>
    <x v="1"/>
    <x v="1"/>
  </r>
  <r>
    <s v="dmu_Downer_EDI_Hitachi_Tilt_Train"/>
    <x v="0"/>
    <x v="1"/>
    <x v="0"/>
    <x v="0"/>
    <s v="OCEANIA_NO_REGION_NO_REGION_NO_REGION"/>
    <x v="1"/>
    <x v="1"/>
    <x v="1"/>
    <x v="1"/>
    <x v="1"/>
    <x v="1"/>
    <x v="1"/>
    <x v="1"/>
    <x v="0"/>
  </r>
  <r>
    <s v="dmu_Nippon_Sharyo_1000_Series"/>
    <x v="0"/>
    <x v="1"/>
    <x v="0"/>
    <x v="0"/>
    <s v="NORTH_AMERICA_NO_REGION_NO_REGION_NO_REGION"/>
    <x v="1"/>
    <x v="1"/>
    <x v="1"/>
    <x v="1"/>
    <x v="1"/>
    <x v="1"/>
    <x v="0"/>
    <x v="1"/>
    <x v="1"/>
  </r>
  <r>
    <s v="dmu_Materfer_CMM_400_2"/>
    <x v="0"/>
    <x v="1"/>
    <x v="0"/>
    <x v="0"/>
    <s v="SOUTH_AMERICA_NO_REGION_NO_REGION_NO_REGION"/>
    <x v="1"/>
    <x v="1"/>
    <x v="1"/>
    <x v="1"/>
    <x v="1"/>
    <x v="1"/>
    <x v="1"/>
    <x v="0"/>
    <x v="1"/>
  </r>
  <r>
    <s v="dmu_Fiat_ALn_442_448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dmu_Sorefame_CP_0400"/>
    <x v="0"/>
    <x v="1"/>
    <x v="6"/>
    <x v="0"/>
    <s v="SOUTHERN_EUROPE_NO_REGION_NO_REGION_NO_REGION"/>
    <x v="1"/>
    <x v="1"/>
    <x v="0"/>
    <x v="1"/>
    <x v="1"/>
    <x v="1"/>
    <x v="1"/>
    <x v="1"/>
    <x v="1"/>
  </r>
  <r>
    <s v="dmu_Sorefame_CP_0600"/>
    <x v="0"/>
    <x v="1"/>
    <x v="6"/>
    <x v="0"/>
    <s v="SOUTHERN_EUROPE_NO_REGION_NO_REGION_NO_REGION"/>
    <x v="1"/>
    <x v="1"/>
    <x v="0"/>
    <x v="1"/>
    <x v="1"/>
    <x v="1"/>
    <x v="1"/>
    <x v="1"/>
    <x v="1"/>
  </r>
  <r>
    <s v="dmu_MTM_2400_Apollos"/>
    <x v="0"/>
    <x v="1"/>
    <x v="5"/>
    <x v="0"/>
    <s v="SOUTHERN_EUROPE_NO_REGION_NO_REGION_NO_REGION"/>
    <x v="1"/>
    <x v="1"/>
    <x v="0"/>
    <x v="1"/>
    <x v="1"/>
    <x v="1"/>
    <x v="1"/>
    <x v="1"/>
    <x v="1"/>
  </r>
  <r>
    <s v="cargodmu_Windhoff_CargoSprinter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emu_Downer_CRRC_Hitachi_Waratah"/>
    <x v="0"/>
    <x v="1"/>
    <x v="0"/>
    <x v="0"/>
    <s v="OCEANIA_NO_REGION_NO_REGION_NO_REGION"/>
    <x v="1"/>
    <x v="1"/>
    <x v="1"/>
    <x v="1"/>
    <x v="1"/>
    <x v="1"/>
    <x v="1"/>
    <x v="1"/>
    <x v="0"/>
  </r>
  <r>
    <s v="emu_Frichs___Scandia_S_Tog_II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emu_Alsthom_S_Tog_IV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emu_TIBB_ECD_21_30"/>
    <x v="0"/>
    <x v="1"/>
    <x v="3"/>
    <x v="0"/>
    <s v="SOUTHERN_EUROPE_NO_REGION_NO_REGION_NO_REGION"/>
    <x v="1"/>
    <x v="1"/>
    <x v="0"/>
    <x v="1"/>
    <x v="1"/>
    <x v="1"/>
    <x v="1"/>
    <x v="1"/>
    <x v="1"/>
  </r>
  <r>
    <s v="emu_Werkspoor_Mat24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emu_Werkspoor_Mat36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emu_Werkspoor_Mat54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emu_Talbot_Plan_Y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mu_Talbot_ICM_4000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mu_Talbot_DD_IRM_VIRM_8000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emu_De_Dietrich_Adtranz_mDDm_390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emu_AEG_EW90"/>
    <x v="0"/>
    <x v="1"/>
    <x v="3"/>
    <x v="0"/>
    <s v="COMECON_WESTERN_EUROPE_NO_REGION_NO_REGION"/>
    <x v="1"/>
    <x v="0"/>
    <x v="1"/>
    <x v="0"/>
    <x v="0"/>
    <x v="1"/>
    <x v="1"/>
    <x v="1"/>
    <x v="1"/>
  </r>
  <r>
    <s v="emu_Breda_ETR_200"/>
    <x v="0"/>
    <x v="1"/>
    <x v="3"/>
    <x v="0"/>
    <s v="SOUTHERN_EUROPE_NO_REGION_NO_REGION_NO_REGION"/>
    <x v="1"/>
    <x v="1"/>
    <x v="0"/>
    <x v="1"/>
    <x v="1"/>
    <x v="1"/>
    <x v="1"/>
    <x v="1"/>
    <x v="1"/>
  </r>
  <r>
    <s v="emu_Breda_ETR_300_Settebello"/>
    <x v="0"/>
    <x v="1"/>
    <x v="4"/>
    <x v="0"/>
    <s v="SOUTHERN_EUROPE_NO_REGION_NO_REGION_NO_REGION"/>
    <x v="1"/>
    <x v="1"/>
    <x v="0"/>
    <x v="1"/>
    <x v="1"/>
    <x v="1"/>
    <x v="1"/>
    <x v="1"/>
    <x v="1"/>
  </r>
  <r>
    <s v="emu_TREVI_ETR_500_Frecciarossa"/>
    <x v="0"/>
    <x v="1"/>
    <x v="5"/>
    <x v="0"/>
    <s v="SOUTHERN_EUROPE_NO_REGION_NO_REGION_NO_REGION"/>
    <x v="1"/>
    <x v="1"/>
    <x v="0"/>
    <x v="1"/>
    <x v="1"/>
    <x v="1"/>
    <x v="1"/>
    <x v="1"/>
    <x v="1"/>
  </r>
  <r>
    <s v="emu_AnsaldoBreda_ALe_426"/>
    <x v="0"/>
    <x v="1"/>
    <x v="5"/>
    <x v="0"/>
    <s v="SOUTHERN_EUROPE_NO_REGION_NO_REGION_NO_REGION"/>
    <x v="1"/>
    <x v="1"/>
    <x v="0"/>
    <x v="1"/>
    <x v="1"/>
    <x v="1"/>
    <x v="1"/>
    <x v="1"/>
    <x v="1"/>
  </r>
  <r>
    <s v="emu_BN_ACEC_ZMC"/>
    <x v="0"/>
    <x v="1"/>
    <x v="5"/>
    <x v="0"/>
    <s v="AFRICA_WESTERN_EUROPE_NO_REGION_NO_REGION"/>
    <x v="0"/>
    <x v="1"/>
    <x v="1"/>
    <x v="1"/>
    <x v="0"/>
    <x v="1"/>
    <x v="1"/>
    <x v="1"/>
    <x v="1"/>
  </r>
  <r>
    <s v="emu_ASEA_EW54"/>
    <x v="0"/>
    <x v="1"/>
    <x v="4"/>
    <x v="0"/>
    <s v="EASTERN_EUROPE_NO_REGION_NO_REGION_NO_REGION"/>
    <x v="1"/>
    <x v="1"/>
    <x v="1"/>
    <x v="0"/>
    <x v="1"/>
    <x v="1"/>
    <x v="1"/>
    <x v="1"/>
    <x v="1"/>
  </r>
  <r>
    <s v="emu_Breda_ALe_801"/>
    <x v="0"/>
    <x v="1"/>
    <x v="6"/>
    <x v="0"/>
    <s v="SOUTHERN_EUROPE_NO_REGION_NO_REGION_NO_REGION"/>
    <x v="1"/>
    <x v="1"/>
    <x v="0"/>
    <x v="1"/>
    <x v="1"/>
    <x v="1"/>
    <x v="1"/>
    <x v="1"/>
    <x v="1"/>
  </r>
  <r>
    <s v="emu_SGP_AEG_BBC_4030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emu_ELIN_ET_10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emu_Stadler_4010_KISS"/>
    <x v="0"/>
    <x v="1"/>
    <x v="0"/>
    <x v="0"/>
    <s v="WESTERN_EUROPE_NO_REGION_NO_REGION_NO_REGION"/>
    <x v="1"/>
    <x v="1"/>
    <x v="1"/>
    <x v="1"/>
    <x v="0"/>
    <x v="1"/>
    <x v="1"/>
    <x v="1"/>
    <x v="1"/>
  </r>
  <r>
    <s v="emu_LHB_420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mu_Adtranz_BM73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emu_NEBB_M65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emu_ASEA_X2000"/>
    <x v="0"/>
    <x v="1"/>
    <x v="5"/>
    <x v="0"/>
    <s v="NORTHERN_EUROPE_APAC_NO_REGION_NO_REGION"/>
    <x v="1"/>
    <x v="0"/>
    <x v="1"/>
    <x v="1"/>
    <x v="1"/>
    <x v="0"/>
    <x v="1"/>
    <x v="1"/>
    <x v="0"/>
  </r>
  <r>
    <s v="emu_SWP_RABDe_510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mu_Schindler_RBDe_560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emu_Stadler_RABe_523_Flirt"/>
    <x v="0"/>
    <x v="1"/>
    <x v="0"/>
    <x v="0"/>
    <s v="ALL_EUROPE_NO_REGION_NO_REGION_NO_REGION"/>
    <x v="1"/>
    <x v="1"/>
    <x v="0"/>
    <x v="0"/>
    <x v="0"/>
    <x v="0"/>
    <x v="1"/>
    <x v="1"/>
    <x v="1"/>
  </r>
  <r>
    <s v="emu_Budd_Metroliner"/>
    <x v="0"/>
    <x v="1"/>
    <x v="6"/>
    <x v="0"/>
    <s v="NORTH_AMERICA_NO_REGION_NO_REGION_NO_REGION"/>
    <x v="1"/>
    <x v="1"/>
    <x v="1"/>
    <x v="1"/>
    <x v="1"/>
    <x v="1"/>
    <x v="0"/>
    <x v="1"/>
    <x v="1"/>
  </r>
  <r>
    <s v="emu_Siemens_Velero"/>
    <x v="0"/>
    <x v="1"/>
    <x v="0"/>
    <x v="0"/>
    <s v="NORTH_WEST_EUROPE_COMECON_NO_REGION_NO_REGION"/>
    <x v="1"/>
    <x v="0"/>
    <x v="1"/>
    <x v="0"/>
    <x v="0"/>
    <x v="0"/>
    <x v="1"/>
    <x v="1"/>
    <x v="1"/>
  </r>
  <r>
    <s v="emu_Siemens_Desiro_BDZ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emu_Valmet_Sm2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emu_Fiat_CAF_Sm4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emu_Ganz_MAVAG_VM17_BDVmot"/>
    <x v="0"/>
    <x v="1"/>
    <x v="5"/>
    <x v="0"/>
    <s v="EASTERN_EUROPE_NO_REGION_NO_REGION_NO_REGION"/>
    <x v="1"/>
    <x v="1"/>
    <x v="1"/>
    <x v="0"/>
    <x v="1"/>
    <x v="1"/>
    <x v="1"/>
    <x v="1"/>
    <x v="1"/>
  </r>
  <r>
    <s v="emu_ACME_Corp__Sureot"/>
    <x v="0"/>
    <x v="1"/>
    <x v="10"/>
    <x v="0"/>
    <s v="ALL_EUROPE_NO_REGION_NO_REGION_NO_REGION"/>
    <x v="1"/>
    <x v="1"/>
    <x v="0"/>
    <x v="0"/>
    <x v="0"/>
    <x v="0"/>
    <x v="1"/>
    <x v="1"/>
    <x v="1"/>
  </r>
  <r>
    <s v="emu_Hitachi_Shinkansen_Series_0"/>
    <x v="0"/>
    <x v="1"/>
    <x v="6"/>
    <x v="0"/>
    <s v="ASIA_NO_REGION_NO_REGION_NO_REGION"/>
    <x v="1"/>
    <x v="0"/>
    <x v="1"/>
    <x v="1"/>
    <x v="1"/>
    <x v="1"/>
    <x v="1"/>
    <x v="1"/>
    <x v="1"/>
  </r>
  <r>
    <s v="emu_Hitachi_Shinkansen_Series_700"/>
    <x v="0"/>
    <x v="1"/>
    <x v="5"/>
    <x v="0"/>
    <s v="ASIA_NO_REGION_NO_REGION_NO_REGION"/>
    <x v="1"/>
    <x v="0"/>
    <x v="1"/>
    <x v="1"/>
    <x v="1"/>
    <x v="1"/>
    <x v="1"/>
    <x v="1"/>
    <x v="1"/>
  </r>
  <r>
    <s v="emu_Hitachi_Kawasaki_Shinkansen_Series_E1_Max"/>
    <x v="0"/>
    <x v="1"/>
    <x v="5"/>
    <x v="0"/>
    <s v="ASIA_NO_REGION_NO_REGION_NO_REGION"/>
    <x v="1"/>
    <x v="0"/>
    <x v="1"/>
    <x v="1"/>
    <x v="1"/>
    <x v="1"/>
    <x v="1"/>
    <x v="1"/>
    <x v="1"/>
  </r>
  <r>
    <s v="emu_Alstom_Coradia_Duplex"/>
    <x v="0"/>
    <x v="1"/>
    <x v="5"/>
    <x v="0"/>
    <s v="NORTH_WEST_EUROPE_NO_REGION_NO_REGION_NO_REGION"/>
    <x v="1"/>
    <x v="1"/>
    <x v="1"/>
    <x v="1"/>
    <x v="0"/>
    <x v="0"/>
    <x v="1"/>
    <x v="1"/>
    <x v="1"/>
  </r>
  <r>
    <s v="emu_RVR_ER31"/>
    <x v="0"/>
    <x v="1"/>
    <x v="5"/>
    <x v="0"/>
    <s v="SOUTHERN_EUROPE_NO_REGION_NO_REGION_NO_REGION"/>
    <x v="1"/>
    <x v="1"/>
    <x v="0"/>
    <x v="1"/>
    <x v="1"/>
    <x v="1"/>
    <x v="1"/>
    <x v="1"/>
    <x v="1"/>
  </r>
  <r>
    <s v="emu_Carel_et_Fouche_Alsthom_Z_6100"/>
    <x v="0"/>
    <x v="1"/>
    <x v="6"/>
    <x v="0"/>
    <s v="EASTERN_EUROPE_WESTERN_EUROPE_NO_REGION_NO_REGION"/>
    <x v="1"/>
    <x v="1"/>
    <x v="1"/>
    <x v="0"/>
    <x v="0"/>
    <x v="1"/>
    <x v="1"/>
    <x v="1"/>
    <x v="1"/>
  </r>
  <r>
    <s v="emu_Bombardier_UCW_Electrostar_Gautrain"/>
    <x v="0"/>
    <x v="1"/>
    <x v="0"/>
    <x v="0"/>
    <s v="AFRICA_NO_REGION_NO_REGION_NO_REGION"/>
    <x v="0"/>
    <x v="1"/>
    <x v="1"/>
    <x v="1"/>
    <x v="1"/>
    <x v="1"/>
    <x v="1"/>
    <x v="1"/>
    <x v="1"/>
  </r>
  <r>
    <s v="emu_Alsthom_Jeumont_TCDD_E8000"/>
    <x v="0"/>
    <x v="1"/>
    <x v="4"/>
    <x v="0"/>
    <s v="COMECON_NO_REGION_NO_REGION_NO_REGION"/>
    <x v="1"/>
    <x v="0"/>
    <x v="1"/>
    <x v="0"/>
    <x v="1"/>
    <x v="1"/>
    <x v="1"/>
    <x v="1"/>
    <x v="1"/>
  </r>
  <r>
    <s v="emu_CSR_Qingdao_CHR380A"/>
    <x v="0"/>
    <x v="1"/>
    <x v="0"/>
    <x v="0"/>
    <s v="ASIA_NO_REGION_NO_REGION_NO_REGION"/>
    <x v="1"/>
    <x v="0"/>
    <x v="1"/>
    <x v="1"/>
    <x v="1"/>
    <x v="1"/>
    <x v="1"/>
    <x v="1"/>
    <x v="1"/>
  </r>
  <r>
    <s v="emu_PRR_MP54"/>
    <x v="1"/>
    <x v="1"/>
    <x v="1"/>
    <x v="0"/>
    <s v="NORTH_AMERICA_NO_REGION_NO_REGION_NO_REGION"/>
    <x v="1"/>
    <x v="1"/>
    <x v="1"/>
    <x v="1"/>
    <x v="1"/>
    <x v="1"/>
    <x v="0"/>
    <x v="1"/>
    <x v="1"/>
  </r>
  <r>
    <s v="emu_Alstom_AGV"/>
    <x v="0"/>
    <x v="1"/>
    <x v="0"/>
    <x v="0"/>
    <s v="SOUTHERN_EUROPE_NO_REGION_NO_REGION_NO_REGION"/>
    <x v="1"/>
    <x v="1"/>
    <x v="0"/>
    <x v="1"/>
    <x v="1"/>
    <x v="1"/>
    <x v="1"/>
    <x v="1"/>
    <x v="1"/>
  </r>
  <r>
    <s v="emu_Alstom_Avelia_Horizon"/>
    <x v="0"/>
    <x v="1"/>
    <x v="0"/>
    <x v="0"/>
    <s v="SOUTHERN_EUROPE_AFRICA_NO_REGION_NO_REGION"/>
    <x v="0"/>
    <x v="1"/>
    <x v="0"/>
    <x v="1"/>
    <x v="1"/>
    <x v="1"/>
    <x v="1"/>
    <x v="1"/>
    <x v="1"/>
  </r>
  <r>
    <s v="emu_AnsaldoBreda_V250_Albatros"/>
    <x v="0"/>
    <x v="1"/>
    <x v="0"/>
    <x v="0"/>
    <s v="WESTERN_EUROPE_NO_REGION_NO_REGION_NO_REGION"/>
    <x v="1"/>
    <x v="1"/>
    <x v="1"/>
    <x v="1"/>
    <x v="0"/>
    <x v="1"/>
    <x v="1"/>
    <x v="1"/>
    <x v="1"/>
  </r>
  <r>
    <s v="emu_NS_4800_HSA_Fyra"/>
    <x v="0"/>
    <x v="1"/>
    <x v="0"/>
    <x v="0"/>
    <s v="WESTERN_EUROPE_NO_REGION_NO_REGION_NO_REGION"/>
    <x v="1"/>
    <x v="1"/>
    <x v="1"/>
    <x v="1"/>
    <x v="0"/>
    <x v="1"/>
    <x v="1"/>
    <x v="1"/>
    <x v="1"/>
  </r>
  <r>
    <s v="emu_SIG_Rae_TEE_II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mu_Pullman_Erie_Lackawanna_2500_Series"/>
    <x v="0"/>
    <x v="1"/>
    <x v="3"/>
    <x v="0"/>
    <s v="NORTH_AMERICA_NO_REGION_NO_REGION_NO_REGION"/>
    <x v="1"/>
    <x v="1"/>
    <x v="1"/>
    <x v="1"/>
    <x v="1"/>
    <x v="1"/>
    <x v="0"/>
    <x v="1"/>
    <x v="1"/>
  </r>
  <r>
    <s v="emu_Alsthom_TGV_23000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emu_Alsthom_TGV_Duplex"/>
    <x v="0"/>
    <x v="1"/>
    <x v="5"/>
    <x v="0"/>
    <s v="WESTERN_EUROPE_AFRICA_NO_REGION_NO_REGION"/>
    <x v="0"/>
    <x v="1"/>
    <x v="1"/>
    <x v="1"/>
    <x v="0"/>
    <x v="1"/>
    <x v="1"/>
    <x v="1"/>
    <x v="1"/>
  </r>
  <r>
    <s v="emu_GEC_Alsthom_Thalys_PBKA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emu_Alsthom_Pendolino_680"/>
    <x v="0"/>
    <x v="1"/>
    <x v="5"/>
    <x v="0"/>
    <s v="ALL_EUROPE_NO_REGION_NO_REGION_NO_REGION"/>
    <x v="1"/>
    <x v="1"/>
    <x v="0"/>
    <x v="0"/>
    <x v="0"/>
    <x v="0"/>
    <x v="1"/>
    <x v="1"/>
    <x v="1"/>
  </r>
  <r>
    <s v="emu_CAF_Alstom_Class_120"/>
    <x v="0"/>
    <x v="1"/>
    <x v="0"/>
    <x v="0"/>
    <s v="SOUTHERN_EUROPE_NO_REGION_NO_REGION_NO_REGION"/>
    <x v="1"/>
    <x v="1"/>
    <x v="0"/>
    <x v="1"/>
    <x v="1"/>
    <x v="1"/>
    <x v="1"/>
    <x v="1"/>
    <x v="1"/>
  </r>
  <r>
    <s v="emu_Bombarier_Alstom_Acela_Express"/>
    <x v="0"/>
    <x v="1"/>
    <x v="5"/>
    <x v="0"/>
    <s v="NORTH_AMERICA_NO_REGION_NO_REGION_NO_REGION"/>
    <x v="1"/>
    <x v="1"/>
    <x v="1"/>
    <x v="1"/>
    <x v="1"/>
    <x v="1"/>
    <x v="0"/>
    <x v="1"/>
    <x v="1"/>
  </r>
  <r>
    <s v="singlemtro_Brooklyn_Union_Gate_1300"/>
    <x v="0"/>
    <x v="1"/>
    <x v="2"/>
    <x v="0"/>
    <s v="NORTH_AMERICA_NO_REGION_NO_REGION_NO_REGION"/>
    <x v="1"/>
    <x v="1"/>
    <x v="1"/>
    <x v="1"/>
    <x v="1"/>
    <x v="1"/>
    <x v="0"/>
    <x v="1"/>
    <x v="1"/>
  </r>
  <r>
    <s v="singlemtro_Siemens___Halske_Budapest_1894_Stock"/>
    <x v="0"/>
    <x v="1"/>
    <x v="1"/>
    <x v="0"/>
    <s v="EASTERN_EUROPE_NO_REGION_NO_REGION_NO_REGION"/>
    <x v="1"/>
    <x v="1"/>
    <x v="1"/>
    <x v="0"/>
    <x v="1"/>
    <x v="1"/>
    <x v="1"/>
    <x v="1"/>
    <x v="1"/>
  </r>
  <r>
    <s v="singlemtro_Chicago_L_Northwest_Elevated_1907_Stock"/>
    <x v="0"/>
    <x v="1"/>
    <x v="1"/>
    <x v="0"/>
    <s v="NORTH_AMERICA_NO_REGION_NO_REGION_NO_REGION"/>
    <x v="1"/>
    <x v="1"/>
    <x v="1"/>
    <x v="1"/>
    <x v="1"/>
    <x v="1"/>
    <x v="0"/>
    <x v="1"/>
    <x v="1"/>
  </r>
  <r>
    <s v="singlemtro_Berlin_U_Bahn_C_II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rbm_ACME_Corp__Turbobus"/>
    <x v="0"/>
    <x v="1"/>
    <x v="11"/>
    <x v="0"/>
    <s v="ALL_REGION_NO_REGION_NO_REGION_NO_REGION"/>
    <x v="0"/>
    <x v="0"/>
    <x v="0"/>
    <x v="0"/>
    <x v="0"/>
    <x v="0"/>
    <x v="0"/>
    <x v="0"/>
    <x v="0"/>
  </r>
  <r>
    <s v="mglv_Siemens_Eurosprinter_ES64U4M"/>
    <x v="0"/>
    <x v="1"/>
    <x v="0"/>
    <x v="0"/>
    <s v="WESTERN_EUROPE_NO_REGION_NO_REGION_NO_REGION"/>
    <x v="1"/>
    <x v="1"/>
    <x v="1"/>
    <x v="1"/>
    <x v="0"/>
    <x v="1"/>
    <x v="1"/>
    <x v="1"/>
    <x v="1"/>
  </r>
  <r>
    <s v="mmu_Siemens_Thyssenkrupp_Transrapid"/>
    <x v="0"/>
    <x v="1"/>
    <x v="0"/>
    <x v="0"/>
    <s v="ASIA_WESTERN_EUROPE_NO_REGION_NO_REGION"/>
    <x v="1"/>
    <x v="0"/>
    <x v="1"/>
    <x v="1"/>
    <x v="0"/>
    <x v="1"/>
    <x v="1"/>
    <x v="1"/>
    <x v="1"/>
  </r>
  <r>
    <s v="mmu_Mistubishi_Nippon_Sharyo_MLX01_901"/>
    <x v="0"/>
    <x v="1"/>
    <x v="10"/>
    <x v="0"/>
    <s v="ASIA_NO_REGION_NO_REGION_NO_REGION"/>
    <x v="1"/>
    <x v="0"/>
    <x v="1"/>
    <x v="1"/>
    <x v="1"/>
    <x v="1"/>
    <x v="1"/>
    <x v="1"/>
    <x v="1"/>
  </r>
  <r>
    <s v="mglv_Wagon_Gen7M_Boxcar_Type1"/>
    <x v="0"/>
    <x v="0"/>
    <x v="0"/>
    <x v="0"/>
    <s v="ALL_REGION_NO_REGION_NO_REGION_NO_REGION"/>
    <x v="0"/>
    <x v="0"/>
    <x v="0"/>
    <x v="0"/>
    <x v="0"/>
    <x v="0"/>
    <x v="0"/>
    <x v="0"/>
    <x v="0"/>
  </r>
  <r>
    <s v="mglv_Wagon_Gen7M_Boxcar_Type2"/>
    <x v="0"/>
    <x v="0"/>
    <x v="0"/>
    <x v="0"/>
    <s v="ALL_REGION_NO_REGION_NO_REGION_NO_REGION"/>
    <x v="0"/>
    <x v="0"/>
    <x v="0"/>
    <x v="0"/>
    <x v="0"/>
    <x v="0"/>
    <x v="0"/>
    <x v="0"/>
    <x v="0"/>
  </r>
  <r>
    <s v="mglv_Wagon_Gen7M_Car_Transporter"/>
    <x v="0"/>
    <x v="0"/>
    <x v="10"/>
    <x v="0"/>
    <s v="ALL_REGION_NO_REGION_NO_REGION_NO_REGION"/>
    <x v="0"/>
    <x v="0"/>
    <x v="0"/>
    <x v="0"/>
    <x v="0"/>
    <x v="0"/>
    <x v="0"/>
    <x v="0"/>
    <x v="0"/>
  </r>
  <r>
    <s v="mglv_Wagon_Gen7M_Centerbeam"/>
    <x v="0"/>
    <x v="0"/>
    <x v="0"/>
    <x v="0"/>
    <s v="ALL_REGION_NO_REGION_NO_REGION_NO_REGION"/>
    <x v="0"/>
    <x v="0"/>
    <x v="0"/>
    <x v="0"/>
    <x v="0"/>
    <x v="0"/>
    <x v="0"/>
    <x v="0"/>
    <x v="0"/>
  </r>
  <r>
    <s v="mglv_Wagon_Gen7M_Container_Carrier"/>
    <x v="0"/>
    <x v="0"/>
    <x v="0"/>
    <x v="0"/>
    <s v="ALL_REGION_NO_REGION_NO_REGION_NO_REGION"/>
    <x v="0"/>
    <x v="0"/>
    <x v="0"/>
    <x v="0"/>
    <x v="0"/>
    <x v="0"/>
    <x v="0"/>
    <x v="0"/>
    <x v="0"/>
  </r>
  <r>
    <s v="mglv_Wagon_Gen7M_Container_Doublestack"/>
    <x v="0"/>
    <x v="0"/>
    <x v="0"/>
    <x v="0"/>
    <s v="ALL_REGION_NO_REGION_NO_REGION_NO_REGION"/>
    <x v="0"/>
    <x v="0"/>
    <x v="0"/>
    <x v="0"/>
    <x v="0"/>
    <x v="0"/>
    <x v="0"/>
    <x v="0"/>
    <x v="0"/>
  </r>
  <r>
    <s v="mglv_Wagon_Gen7M_Flatcar"/>
    <x v="0"/>
    <x v="0"/>
    <x v="0"/>
    <x v="0"/>
    <s v="ALL_REGION_NO_REGION_NO_REGION_NO_REGION"/>
    <x v="0"/>
    <x v="0"/>
    <x v="0"/>
    <x v="0"/>
    <x v="0"/>
    <x v="0"/>
    <x v="0"/>
    <x v="0"/>
    <x v="0"/>
  </r>
  <r>
    <s v="mglv_Wagon_Gen7M_Gondola"/>
    <x v="0"/>
    <x v="0"/>
    <x v="0"/>
    <x v="0"/>
    <s v="ALL_REGION_NO_REGION_NO_REGION_NO_REGION"/>
    <x v="0"/>
    <x v="0"/>
    <x v="0"/>
    <x v="0"/>
    <x v="0"/>
    <x v="0"/>
    <x v="0"/>
    <x v="0"/>
    <x v="0"/>
  </r>
  <r>
    <s v="mglv_Wagon_Gen7M_Heavy_Flatcar"/>
    <x v="0"/>
    <x v="0"/>
    <x v="10"/>
    <x v="0"/>
    <s v="ALL_REGION_NO_REGION_NO_REGION_NO_REGION"/>
    <x v="0"/>
    <x v="0"/>
    <x v="0"/>
    <x v="0"/>
    <x v="0"/>
    <x v="0"/>
    <x v="0"/>
    <x v="0"/>
    <x v="0"/>
  </r>
  <r>
    <s v="mglv_Wagon_Gen7M_Hopper_Type1"/>
    <x v="0"/>
    <x v="0"/>
    <x v="10"/>
    <x v="0"/>
    <s v="ALL_REGION_NO_REGION_NO_REGION_NO_REGION"/>
    <x v="0"/>
    <x v="0"/>
    <x v="0"/>
    <x v="0"/>
    <x v="0"/>
    <x v="0"/>
    <x v="0"/>
    <x v="0"/>
    <x v="0"/>
  </r>
  <r>
    <s v="mglv_Wagon_Gen7M_Hopper_Type2"/>
    <x v="0"/>
    <x v="0"/>
    <x v="10"/>
    <x v="0"/>
    <s v="ALL_REGION_NO_REGION_NO_REGION_NO_REGION"/>
    <x v="0"/>
    <x v="0"/>
    <x v="0"/>
    <x v="0"/>
    <x v="0"/>
    <x v="0"/>
    <x v="0"/>
    <x v="0"/>
    <x v="0"/>
  </r>
  <r>
    <s v="mglv_Wagon_Gen7M_Silo_Type1"/>
    <x v="0"/>
    <x v="0"/>
    <x v="10"/>
    <x v="0"/>
    <s v="ALL_REGION_NO_REGION_NO_REGION_NO_REGION"/>
    <x v="0"/>
    <x v="0"/>
    <x v="0"/>
    <x v="0"/>
    <x v="0"/>
    <x v="0"/>
    <x v="0"/>
    <x v="0"/>
    <x v="0"/>
  </r>
  <r>
    <s v="mglv_Wagon_Gen7M_Silo_Type2"/>
    <x v="0"/>
    <x v="0"/>
    <x v="10"/>
    <x v="0"/>
    <s v="ALL_REGION_NO_REGION_NO_REGION_NO_REGION"/>
    <x v="0"/>
    <x v="0"/>
    <x v="0"/>
    <x v="0"/>
    <x v="0"/>
    <x v="0"/>
    <x v="0"/>
    <x v="0"/>
    <x v="0"/>
  </r>
  <r>
    <s v="mglv_Wagon_Gen7M_Superheavy_Flatcar"/>
    <x v="0"/>
    <x v="0"/>
    <x v="0"/>
    <x v="0"/>
    <s v="ALL_REGION_NO_REGION_NO_REGION_NO_REGION"/>
    <x v="0"/>
    <x v="0"/>
    <x v="0"/>
    <x v="0"/>
    <x v="0"/>
    <x v="0"/>
    <x v="0"/>
    <x v="0"/>
    <x v="0"/>
  </r>
  <r>
    <s v="mglv_Wagon_Gen7M_Tanker"/>
    <x v="0"/>
    <x v="0"/>
    <x v="10"/>
    <x v="0"/>
    <s v="ALL_REGION_NO_REGION_NO_REGION_NO_REGION"/>
    <x v="0"/>
    <x v="0"/>
    <x v="0"/>
    <x v="0"/>
    <x v="0"/>
    <x v="0"/>
    <x v="0"/>
    <x v="0"/>
    <x v="0"/>
  </r>
  <r>
    <s v="rbd_Niigata_Transys_Shikoku_1000"/>
    <x v="0"/>
    <x v="1"/>
    <x v="5"/>
    <x v="0"/>
    <s v="ASIA_NO_REGION_NO_REGION_NO_REGION"/>
    <x v="1"/>
    <x v="0"/>
    <x v="1"/>
    <x v="1"/>
    <x v="1"/>
    <x v="1"/>
    <x v="1"/>
    <x v="1"/>
    <x v="1"/>
  </r>
  <r>
    <s v="rbd_Niigata_Transys_KiHa_E120"/>
    <x v="0"/>
    <x v="1"/>
    <x v="0"/>
    <x v="0"/>
    <s v="ASIA_NO_REGION_NO_REGION_NO_REGION"/>
    <x v="1"/>
    <x v="0"/>
    <x v="1"/>
    <x v="1"/>
    <x v="1"/>
    <x v="1"/>
    <x v="1"/>
    <x v="1"/>
    <x v="1"/>
  </r>
  <r>
    <s v="rbd_EFE_SB_56_Buscarril"/>
    <x v="0"/>
    <x v="1"/>
    <x v="6"/>
    <x v="0"/>
    <s v="SOUTH_AMERICA_NO_REGION_NO_REGION_NO_REGION"/>
    <x v="1"/>
    <x v="1"/>
    <x v="1"/>
    <x v="1"/>
    <x v="1"/>
    <x v="1"/>
    <x v="1"/>
    <x v="0"/>
    <x v="1"/>
  </r>
  <r>
    <s v="rbd_Sulzer_M_Railcar"/>
    <x v="0"/>
    <x v="1"/>
    <x v="3"/>
    <x v="0"/>
    <s v="SOUTH_AMERICA_NO_REGION_NO_REGION_NO_REGION"/>
    <x v="1"/>
    <x v="1"/>
    <x v="1"/>
    <x v="1"/>
    <x v="1"/>
    <x v="1"/>
    <x v="1"/>
    <x v="0"/>
    <x v="1"/>
  </r>
  <r>
    <s v="rbd_Eritrean_Railway_A_62_70_Littorina"/>
    <x v="0"/>
    <x v="1"/>
    <x v="3"/>
    <x v="0"/>
    <s v="AFRICA_NO_REGION_NO_REGION_NO_REGION"/>
    <x v="0"/>
    <x v="1"/>
    <x v="1"/>
    <x v="1"/>
    <x v="1"/>
    <x v="1"/>
    <x v="1"/>
    <x v="1"/>
    <x v="1"/>
  </r>
  <r>
    <s v="rbe_SLM_CFe_3_3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rbe_TPC_BVB_Be_2_2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rbe_MVR_Beh_2_4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rbe_Ferrocarril_de_Soller_1_3"/>
    <x v="0"/>
    <x v="1"/>
    <x v="3"/>
    <x v="0"/>
    <s v="SOUTHERN_EUROPE_NO_REGION_NO_REGION_NO_REGION"/>
    <x v="1"/>
    <x v="1"/>
    <x v="0"/>
    <x v="1"/>
    <x v="1"/>
    <x v="1"/>
    <x v="1"/>
    <x v="1"/>
    <x v="1"/>
  </r>
  <r>
    <s v="rbe_Hitachi_Choshi_DeHa_1000"/>
    <x v="0"/>
    <x v="1"/>
    <x v="6"/>
    <x v="0"/>
    <s v="ASIA_NO_REGION_NO_REGION_NO_REGION"/>
    <x v="1"/>
    <x v="0"/>
    <x v="1"/>
    <x v="1"/>
    <x v="1"/>
    <x v="1"/>
    <x v="1"/>
    <x v="1"/>
    <x v="1"/>
  </r>
  <r>
    <s v="steam_SLM_G_3_4"/>
    <x v="0"/>
    <x v="1"/>
    <x v="2"/>
    <x v="0"/>
    <s v="WESTERN_EUROPE_NO_REGION_NO_REGION_NO_REGION"/>
    <x v="1"/>
    <x v="1"/>
    <x v="1"/>
    <x v="1"/>
    <x v="0"/>
    <x v="1"/>
    <x v="1"/>
    <x v="1"/>
    <x v="1"/>
  </r>
  <r>
    <s v="steam_Kisha_Seizo_2_10_4T_E10"/>
    <x v="0"/>
    <x v="1"/>
    <x v="4"/>
    <x v="0"/>
    <s v="ASIA_NO_REGION_NO_REGION_NO_REGION"/>
    <x v="1"/>
    <x v="0"/>
    <x v="1"/>
    <x v="1"/>
    <x v="1"/>
    <x v="1"/>
    <x v="1"/>
    <x v="1"/>
    <x v="1"/>
  </r>
  <r>
    <s v="steam_H__K__Porter__Inc_2_6_0_7100"/>
    <x v="0"/>
    <x v="1"/>
    <x v="2"/>
    <x v="0"/>
    <s v="ASIA_NO_REGION_NO_REGION_NO_REGION"/>
    <x v="1"/>
    <x v="0"/>
    <x v="1"/>
    <x v="1"/>
    <x v="1"/>
    <x v="1"/>
    <x v="1"/>
    <x v="1"/>
    <x v="1"/>
  </r>
  <r>
    <s v="steam_Richard_Francis_Trevithick_2_4_2T_860"/>
    <x v="0"/>
    <x v="1"/>
    <x v="2"/>
    <x v="0"/>
    <s v="ASIA_NO_REGION_NO_REGION_NO_REGION"/>
    <x v="1"/>
    <x v="0"/>
    <x v="1"/>
    <x v="1"/>
    <x v="1"/>
    <x v="1"/>
    <x v="1"/>
    <x v="1"/>
    <x v="1"/>
  </r>
  <r>
    <s v="steam_Kawasaki_2_8_0_9600"/>
    <x v="0"/>
    <x v="1"/>
    <x v="1"/>
    <x v="0"/>
    <s v="ASIA_NO_REGION_NO_REGION_NO_REGION"/>
    <x v="1"/>
    <x v="0"/>
    <x v="1"/>
    <x v="1"/>
    <x v="1"/>
    <x v="1"/>
    <x v="1"/>
    <x v="1"/>
    <x v="1"/>
  </r>
  <r>
    <s v="steam_Kawasaki_2_8_2_D50"/>
    <x v="0"/>
    <x v="1"/>
    <x v="3"/>
    <x v="0"/>
    <s v="ASIA_NO_REGION_NO_REGION_NO_REGION"/>
    <x v="1"/>
    <x v="0"/>
    <x v="1"/>
    <x v="1"/>
    <x v="1"/>
    <x v="1"/>
    <x v="1"/>
    <x v="1"/>
    <x v="1"/>
  </r>
  <r>
    <s v="diesel_Kisha_Mitsubishi_NS_DF50"/>
    <x v="0"/>
    <x v="1"/>
    <x v="4"/>
    <x v="0"/>
    <s v="ASIA_NO_REGION_NO_REGION_NO_REGION"/>
    <x v="1"/>
    <x v="0"/>
    <x v="1"/>
    <x v="1"/>
    <x v="1"/>
    <x v="1"/>
    <x v="1"/>
    <x v="1"/>
    <x v="1"/>
  </r>
  <r>
    <s v="electric_SIG_Alioth_De_2_2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electric_Toshiba_EH10"/>
    <x v="0"/>
    <x v="1"/>
    <x v="4"/>
    <x v="0"/>
    <s v="ASIA_NO_REGION_NO_REGION_NO_REGION"/>
    <x v="1"/>
    <x v="0"/>
    <x v="1"/>
    <x v="1"/>
    <x v="1"/>
    <x v="1"/>
    <x v="1"/>
    <x v="1"/>
    <x v="1"/>
  </r>
  <r>
    <s v="electric_Kawasaki_Toshiba_EF64"/>
    <x v="0"/>
    <x v="1"/>
    <x v="6"/>
    <x v="0"/>
    <s v="ASIA_NO_REGION_NO_REGION_NO_REGION"/>
    <x v="1"/>
    <x v="0"/>
    <x v="1"/>
    <x v="1"/>
    <x v="1"/>
    <x v="1"/>
    <x v="1"/>
    <x v="1"/>
    <x v="1"/>
  </r>
  <r>
    <s v="electric_EEC_EO_Class"/>
    <x v="0"/>
    <x v="1"/>
    <x v="3"/>
    <x v="0"/>
    <s v="OCEANIA_NO_REGION_NO_REGION_NO_REGION"/>
    <x v="1"/>
    <x v="1"/>
    <x v="1"/>
    <x v="1"/>
    <x v="1"/>
    <x v="1"/>
    <x v="1"/>
    <x v="1"/>
    <x v="0"/>
  </r>
  <r>
    <s v="electric_Tulloch_0_6_0DM_W_Class"/>
    <x v="1"/>
    <x v="1"/>
    <x v="4"/>
    <x v="0"/>
    <s v="OCEANIA_NO_REGION_NO_REGION_NO_REGION"/>
    <x v="1"/>
    <x v="1"/>
    <x v="1"/>
    <x v="1"/>
    <x v="1"/>
    <x v="1"/>
    <x v="1"/>
    <x v="1"/>
    <x v="0"/>
  </r>
  <r>
    <s v="electric_GEC_NBLC_SAR_4E_"/>
    <x v="0"/>
    <x v="1"/>
    <x v="4"/>
    <x v="0"/>
    <s v="AFRICA_NO_REGION_NO_REGION_NO_REGION"/>
    <x v="0"/>
    <x v="1"/>
    <x v="1"/>
    <x v="1"/>
    <x v="1"/>
    <x v="1"/>
    <x v="1"/>
    <x v="1"/>
    <x v="1"/>
  </r>
  <r>
    <s v="electric_Metrowick_MV_5E1"/>
    <x v="0"/>
    <x v="1"/>
    <x v="6"/>
    <x v="0"/>
    <s v="AFRICA_NO_REGION_NO_REGION_NO_REGION"/>
    <x v="0"/>
    <x v="1"/>
    <x v="1"/>
    <x v="1"/>
    <x v="1"/>
    <x v="1"/>
    <x v="1"/>
    <x v="1"/>
    <x v="1"/>
  </r>
  <r>
    <s v="electric_UCW_6E"/>
    <x v="0"/>
    <x v="1"/>
    <x v="6"/>
    <x v="0"/>
    <s v="AFRICA_NO_REGION_NO_REGION_NO_REGION"/>
    <x v="0"/>
    <x v="1"/>
    <x v="1"/>
    <x v="1"/>
    <x v="1"/>
    <x v="1"/>
    <x v="1"/>
    <x v="1"/>
    <x v="1"/>
  </r>
  <r>
    <s v="electric_SLM_BBC_MFO_Ge_4_4_I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electric_SLM_BBC_MFO_Ge_6_6_Krokodil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electric_Stadler_He_4_4"/>
    <x v="0"/>
    <x v="1"/>
    <x v="0"/>
    <x v="0"/>
    <s v="SOUTH_AMERICA_NO_REGION_NO_REGION_NO_REGION"/>
    <x v="1"/>
    <x v="1"/>
    <x v="1"/>
    <x v="1"/>
    <x v="1"/>
    <x v="1"/>
    <x v="1"/>
    <x v="0"/>
    <x v="1"/>
  </r>
  <r>
    <s v="electric_UCW_50_c_s_Group_7E"/>
    <x v="0"/>
    <x v="1"/>
    <x v="6"/>
    <x v="0"/>
    <s v="AFRICA_NO_REGION_NO_REGION_NO_REGION"/>
    <x v="0"/>
    <x v="1"/>
    <x v="1"/>
    <x v="1"/>
    <x v="1"/>
    <x v="1"/>
    <x v="1"/>
    <x v="1"/>
    <x v="1"/>
  </r>
  <r>
    <s v="electric_General_Motors_GM5FC"/>
    <x v="0"/>
    <x v="1"/>
    <x v="5"/>
    <x v="0"/>
    <s v="AFRICA_NO_REGION_NO_REGION_NO_REGION"/>
    <x v="0"/>
    <x v="1"/>
    <x v="1"/>
    <x v="1"/>
    <x v="1"/>
    <x v="1"/>
    <x v="1"/>
    <x v="1"/>
    <x v="1"/>
  </r>
  <r>
    <s v="electric_Brush_EF_Class"/>
    <x v="0"/>
    <x v="1"/>
    <x v="5"/>
    <x v="0"/>
    <s v="OCEANIA_NO_REGION_NO_REGION_NO_REGION"/>
    <x v="1"/>
    <x v="1"/>
    <x v="1"/>
    <x v="1"/>
    <x v="1"/>
    <x v="1"/>
    <x v="1"/>
    <x v="1"/>
    <x v="0"/>
  </r>
  <r>
    <s v="emu_Nippon_Sharyo_Odakyu_3100_series_NSE"/>
    <x v="0"/>
    <x v="1"/>
    <x v="6"/>
    <x v="0"/>
    <s v="ASIA_NO_REGION_NO_REGION_NO_REGION"/>
    <x v="1"/>
    <x v="0"/>
    <x v="1"/>
    <x v="1"/>
    <x v="1"/>
    <x v="1"/>
    <x v="1"/>
    <x v="1"/>
    <x v="1"/>
  </r>
  <r>
    <s v="emu_Nippon_Sharyo_Odakyu_10000_series_HiSE"/>
    <x v="0"/>
    <x v="1"/>
    <x v="5"/>
    <x v="0"/>
    <s v="ASIA_NO_REGION_NO_REGION_NO_REGION"/>
    <x v="1"/>
    <x v="0"/>
    <x v="1"/>
    <x v="1"/>
    <x v="1"/>
    <x v="1"/>
    <x v="1"/>
    <x v="1"/>
    <x v="1"/>
  </r>
  <r>
    <s v="emu_Comeng_Goninan_S_set"/>
    <x v="0"/>
    <x v="1"/>
    <x v="6"/>
    <x v="0"/>
    <s v="OCEANIA_NO_REGION_NO_REGION_NO_REGION"/>
    <x v="1"/>
    <x v="1"/>
    <x v="1"/>
    <x v="1"/>
    <x v="1"/>
    <x v="1"/>
    <x v="1"/>
    <x v="1"/>
    <x v="0"/>
  </r>
  <r>
    <s v="emu_UGL_Rail_H_set_OSCAR"/>
    <x v="0"/>
    <x v="1"/>
    <x v="0"/>
    <x v="0"/>
    <s v="OCEANIA_NO_REGION_NO_REGION_NO_REGION"/>
    <x v="1"/>
    <x v="1"/>
    <x v="1"/>
    <x v="1"/>
    <x v="1"/>
    <x v="1"/>
    <x v="1"/>
    <x v="1"/>
    <x v="0"/>
  </r>
  <r>
    <s v="emu_Victorian_Railways_Swing_Door"/>
    <x v="0"/>
    <x v="1"/>
    <x v="1"/>
    <x v="0"/>
    <s v="OCEANIA_NO_REGION_NO_REGION_NO_REGION"/>
    <x v="1"/>
    <x v="1"/>
    <x v="1"/>
    <x v="1"/>
    <x v="1"/>
    <x v="1"/>
    <x v="1"/>
    <x v="1"/>
    <x v="0"/>
  </r>
  <r>
    <s v="emu_Ganz_MAVAG_EM_ET_DNU"/>
    <x v="1"/>
    <x v="1"/>
    <x v="6"/>
    <x v="0"/>
    <s v="OCEANIA_NO_REGION_NO_REGION_NO_REGION"/>
    <x v="1"/>
    <x v="1"/>
    <x v="1"/>
    <x v="1"/>
    <x v="1"/>
    <x v="1"/>
    <x v="1"/>
    <x v="1"/>
    <x v="0"/>
  </r>
  <r>
    <s v="emu_Metro_Cammell_5M2"/>
    <x v="0"/>
    <x v="1"/>
    <x v="4"/>
    <x v="0"/>
    <s v="AFRICA_NO_REGION_NO_REGION_NO_REGION"/>
    <x v="0"/>
    <x v="1"/>
    <x v="1"/>
    <x v="1"/>
    <x v="1"/>
    <x v="1"/>
    <x v="1"/>
    <x v="1"/>
    <x v="1"/>
  </r>
  <r>
    <s v="emu_Alstom_XTrapolis_100"/>
    <x v="0"/>
    <x v="1"/>
    <x v="0"/>
    <x v="0"/>
    <s v="SOUTH_AMERICA_OCEANIA_NO_REGION_NO_REGION"/>
    <x v="1"/>
    <x v="1"/>
    <x v="1"/>
    <x v="1"/>
    <x v="1"/>
    <x v="1"/>
    <x v="1"/>
    <x v="0"/>
    <x v="0"/>
  </r>
  <r>
    <s v="emu_GEC_Fiat_AES_Railcar"/>
    <x v="1"/>
    <x v="1"/>
    <x v="6"/>
    <x v="0"/>
    <s v="SOUTH_AMERICA_NO_REGION_NO_REGION_NO_REGION"/>
    <x v="1"/>
    <x v="1"/>
    <x v="1"/>
    <x v="1"/>
    <x v="1"/>
    <x v="1"/>
    <x v="1"/>
    <x v="0"/>
    <x v="1"/>
  </r>
  <r>
    <s v="emu_Ganz_MAVAG_YZ_E"/>
    <x v="0"/>
    <x v="1"/>
    <x v="5"/>
    <x v="0"/>
    <s v="AFRICA_NO_REGION_NO_REGION_NO_REGION"/>
    <x v="0"/>
    <x v="1"/>
    <x v="1"/>
    <x v="1"/>
    <x v="1"/>
    <x v="1"/>
    <x v="1"/>
    <x v="1"/>
    <x v="1"/>
  </r>
  <r>
    <s v="emu_Walkers_Tilt_Train_ETT"/>
    <x v="0"/>
    <x v="1"/>
    <x v="5"/>
    <x v="0"/>
    <s v="OCEANIA_NO_REGION_NO_REGION_NO_REGION"/>
    <x v="1"/>
    <x v="1"/>
    <x v="1"/>
    <x v="1"/>
    <x v="1"/>
    <x v="1"/>
    <x v="1"/>
    <x v="1"/>
    <x v="0"/>
  </r>
  <r>
    <s v="electric_NEVZ_TEVZ_VL15"/>
    <x v="0"/>
    <x v="1"/>
    <x v="5"/>
    <x v="0"/>
    <s v="COMECON_NO_REGION_NO_REGION_NO_REGION"/>
    <x v="1"/>
    <x v="0"/>
    <x v="1"/>
    <x v="0"/>
    <x v="1"/>
    <x v="1"/>
    <x v="1"/>
    <x v="1"/>
    <x v="1"/>
  </r>
  <r>
    <s v="electric_TEVZ_VL11"/>
    <x v="0"/>
    <x v="1"/>
    <x v="6"/>
    <x v="0"/>
    <s v="COMECON_NO_REGION_NO_REGION_NO_REGION"/>
    <x v="1"/>
    <x v="0"/>
    <x v="1"/>
    <x v="0"/>
    <x v="1"/>
    <x v="1"/>
    <x v="1"/>
    <x v="1"/>
    <x v="1"/>
  </r>
  <r>
    <s v="electric_NEVZ_VL22M"/>
    <x v="0"/>
    <x v="1"/>
    <x v="4"/>
    <x v="0"/>
    <s v="COMECON_NO_REGION_NO_REGION_NO_REGION"/>
    <x v="1"/>
    <x v="0"/>
    <x v="1"/>
    <x v="0"/>
    <x v="1"/>
    <x v="1"/>
    <x v="1"/>
    <x v="1"/>
    <x v="1"/>
  </r>
  <r>
    <s v="electric_DEVZ_DE1"/>
    <x v="0"/>
    <x v="1"/>
    <x v="5"/>
    <x v="0"/>
    <s v="EASTERN_EUROPE_NO_REGION_NO_REGION_NO_REGION"/>
    <x v="1"/>
    <x v="1"/>
    <x v="1"/>
    <x v="0"/>
    <x v="1"/>
    <x v="1"/>
    <x v="1"/>
    <x v="1"/>
    <x v="1"/>
  </r>
  <r>
    <s v="electric_Skoda_29E"/>
    <x v="0"/>
    <x v="1"/>
    <x v="4"/>
    <x v="0"/>
    <s v="COMECON_NO_REGION_NO_REGION_NO_REGION"/>
    <x v="1"/>
    <x v="0"/>
    <x v="1"/>
    <x v="0"/>
    <x v="1"/>
    <x v="1"/>
    <x v="1"/>
    <x v="1"/>
    <x v="1"/>
  </r>
  <r>
    <s v="electric_Skoda_82E"/>
    <x v="0"/>
    <x v="1"/>
    <x v="5"/>
    <x v="0"/>
    <s v="COMECON_NO_REGION_NO_REGION_NO_REGION"/>
    <x v="1"/>
    <x v="0"/>
    <x v="1"/>
    <x v="0"/>
    <x v="1"/>
    <x v="1"/>
    <x v="1"/>
    <x v="1"/>
    <x v="1"/>
  </r>
  <r>
    <s v="electric_GE_C_C_4400_RFFSA"/>
    <x v="0"/>
    <x v="1"/>
    <x v="6"/>
    <x v="0"/>
    <s v="SOUTH_AMERICA_NO_REGION_NO_REGION_NO_REGION"/>
    <x v="1"/>
    <x v="1"/>
    <x v="1"/>
    <x v="1"/>
    <x v="1"/>
    <x v="1"/>
    <x v="1"/>
    <x v="0"/>
    <x v="1"/>
  </r>
  <r>
    <s v="electric_NEVZ_VL85"/>
    <x v="0"/>
    <x v="1"/>
    <x v="5"/>
    <x v="0"/>
    <s v="COMECON_NO_REGION_NO_REGION_NO_REGION"/>
    <x v="1"/>
    <x v="0"/>
    <x v="1"/>
    <x v="0"/>
    <x v="1"/>
    <x v="1"/>
    <x v="1"/>
    <x v="1"/>
    <x v="1"/>
  </r>
  <r>
    <s v="electric_DEVZ_VL41"/>
    <x v="0"/>
    <x v="1"/>
    <x v="6"/>
    <x v="0"/>
    <s v="COMECON_NO_REGION_NO_REGION_NO_REGION"/>
    <x v="1"/>
    <x v="0"/>
    <x v="1"/>
    <x v="0"/>
    <x v="1"/>
    <x v="1"/>
    <x v="1"/>
    <x v="1"/>
    <x v="1"/>
  </r>
  <r>
    <s v="electric_CLW_WAP_4"/>
    <x v="0"/>
    <x v="1"/>
    <x v="5"/>
    <x v="0"/>
    <s v="ASIA_NO_REGION_NO_REGION_NO_REGION"/>
    <x v="1"/>
    <x v="0"/>
    <x v="1"/>
    <x v="1"/>
    <x v="1"/>
    <x v="1"/>
    <x v="1"/>
    <x v="1"/>
    <x v="1"/>
  </r>
  <r>
    <s v="electric_NEVZ_ES40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electric_Zuzhou_KZ4A"/>
    <x v="0"/>
    <x v="1"/>
    <x v="0"/>
    <x v="0"/>
    <s v="ASIA_NO_REGION_NO_REGION_NO_REGION"/>
    <x v="1"/>
    <x v="0"/>
    <x v="1"/>
    <x v="1"/>
    <x v="1"/>
    <x v="1"/>
    <x v="1"/>
    <x v="1"/>
    <x v="1"/>
  </r>
  <r>
    <s v="electric_Alstom_KZ8A"/>
    <x v="0"/>
    <x v="1"/>
    <x v="0"/>
    <x v="0"/>
    <s v="ASIA_NO_REGION_NO_REGION_NO_REGION"/>
    <x v="1"/>
    <x v="0"/>
    <x v="1"/>
    <x v="1"/>
    <x v="1"/>
    <x v="1"/>
    <x v="1"/>
    <x v="1"/>
    <x v="1"/>
  </r>
  <r>
    <s v="electric_TRTrans_NEVZ_EP20"/>
    <x v="0"/>
    <x v="1"/>
    <x v="0"/>
    <x v="0"/>
    <s v="COMECON_NO_REGION_NO_REGION_NO_REGION"/>
    <x v="1"/>
    <x v="0"/>
    <x v="1"/>
    <x v="0"/>
    <x v="1"/>
    <x v="1"/>
    <x v="1"/>
    <x v="1"/>
    <x v="1"/>
  </r>
  <r>
    <s v="rbd_Valmet_Dm7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rbd_Vagonka_Studenka_91M0_"/>
    <x v="0"/>
    <x v="1"/>
    <x v="5"/>
    <x v="0"/>
    <s v="COMECON_NO_REGION_NO_REGION_NO_REGION"/>
    <x v="1"/>
    <x v="0"/>
    <x v="1"/>
    <x v="0"/>
    <x v="1"/>
    <x v="1"/>
    <x v="1"/>
    <x v="1"/>
    <x v="1"/>
  </r>
  <r>
    <s v="emu_RVR_ER200"/>
    <x v="0"/>
    <x v="1"/>
    <x v="6"/>
    <x v="0"/>
    <s v="EASTERN_EUROPE_NO_REGION_NO_REGION_NO_REGION"/>
    <x v="1"/>
    <x v="1"/>
    <x v="1"/>
    <x v="0"/>
    <x v="1"/>
    <x v="1"/>
    <x v="1"/>
    <x v="1"/>
    <x v="1"/>
  </r>
  <r>
    <s v="emu_MMZ_S"/>
    <x v="0"/>
    <x v="1"/>
    <x v="3"/>
    <x v="0"/>
    <s v="POST_SOVIET_BALTIC_NO_REGION_NO_REGION_NO_REGION"/>
    <x v="1"/>
    <x v="0"/>
    <x v="1"/>
    <x v="0"/>
    <x v="1"/>
    <x v="0"/>
    <x v="1"/>
    <x v="1"/>
    <x v="1"/>
  </r>
  <r>
    <s v="emu_Koncar_6112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emu_Siemens_Desiro_ES1_Lastochka"/>
    <x v="0"/>
    <x v="1"/>
    <x v="0"/>
    <x v="0"/>
    <s v="ASIA_NO_REGION_NO_REGION_NO_REGION"/>
    <x v="1"/>
    <x v="0"/>
    <x v="1"/>
    <x v="1"/>
    <x v="1"/>
    <x v="1"/>
    <x v="1"/>
    <x v="1"/>
    <x v="1"/>
  </r>
  <r>
    <s v="mtro_Metro_Wagon_Powered"/>
    <x v="0"/>
    <x v="0"/>
    <x v="1"/>
    <x v="0"/>
    <s v="ALL_REGION_NO_REGION_NO_REGION_NO_REGION"/>
    <x v="0"/>
    <x v="0"/>
    <x v="0"/>
    <x v="0"/>
    <x v="0"/>
    <x v="0"/>
    <x v="0"/>
    <x v="0"/>
    <x v="0"/>
  </r>
  <r>
    <s v="mtro_Metro_Wagon_Unpowered"/>
    <x v="0"/>
    <x v="0"/>
    <x v="1"/>
    <x v="0"/>
    <s v="ALL_REGION_NO_REGION_NO_REGION_NO_REGION"/>
    <x v="0"/>
    <x v="0"/>
    <x v="0"/>
    <x v="0"/>
    <x v="0"/>
    <x v="0"/>
    <x v="0"/>
    <x v="0"/>
    <x v="0"/>
  </r>
  <r>
    <s v="mu_MU_Cargo_Wagon_Powered"/>
    <x v="0"/>
    <x v="0"/>
    <x v="5"/>
    <x v="0"/>
    <s v="ALL_REGION_NO_REGION_NO_REGION_NO_REGION"/>
    <x v="0"/>
    <x v="0"/>
    <x v="0"/>
    <x v="0"/>
    <x v="0"/>
    <x v="0"/>
    <x v="0"/>
    <x v="0"/>
    <x v="0"/>
  </r>
  <r>
    <s v="mu_MU_Cargo_Wagon_Unpowered"/>
    <x v="0"/>
    <x v="0"/>
    <x v="5"/>
    <x v="0"/>
    <s v="ALL_REGION_NO_REGION_NO_REGION_NO_REGION"/>
    <x v="0"/>
    <x v="0"/>
    <x v="0"/>
    <x v="0"/>
    <x v="0"/>
    <x v="0"/>
    <x v="0"/>
    <x v="0"/>
    <x v="0"/>
  </r>
  <r>
    <s v="mu_MU_Wagon_Powered"/>
    <x v="0"/>
    <x v="0"/>
    <x v="1"/>
    <x v="0"/>
    <s v="ALL_REGION_NO_REGION_NO_REGION_NO_REGION"/>
    <x v="0"/>
    <x v="0"/>
    <x v="0"/>
    <x v="0"/>
    <x v="0"/>
    <x v="0"/>
    <x v="0"/>
    <x v="0"/>
    <x v="0"/>
  </r>
  <r>
    <s v="mu_MU_Wagon_Unpowered"/>
    <x v="0"/>
    <x v="0"/>
    <x v="1"/>
    <x v="0"/>
    <s v="ALL_REGION_NO_REGION_NO_REGION_NO_REGION"/>
    <x v="0"/>
    <x v="0"/>
    <x v="0"/>
    <x v="0"/>
    <x v="0"/>
    <x v="0"/>
    <x v="0"/>
    <x v="0"/>
    <x v="0"/>
  </r>
  <r>
    <s v="mu_Wagon_Gen1_Flat_Wagon"/>
    <x v="0"/>
    <x v="0"/>
    <x v="7"/>
    <x v="0"/>
    <s v="ALL_REGION_NO_REGION_NO_REGION_NO_REGION"/>
    <x v="0"/>
    <x v="0"/>
    <x v="0"/>
    <x v="0"/>
    <x v="0"/>
    <x v="0"/>
    <x v="0"/>
    <x v="0"/>
    <x v="0"/>
  </r>
  <r>
    <s v="mu_Wagon_Gen1_Boxcar"/>
    <x v="0"/>
    <x v="0"/>
    <x v="7"/>
    <x v="0"/>
    <s v="ALL_REGION_NO_REGION_NO_REGION_NO_REGION"/>
    <x v="0"/>
    <x v="0"/>
    <x v="0"/>
    <x v="0"/>
    <x v="0"/>
    <x v="0"/>
    <x v="0"/>
    <x v="0"/>
    <x v="0"/>
  </r>
  <r>
    <s v="mu_Wagon_Gen1_Tanker"/>
    <x v="0"/>
    <x v="0"/>
    <x v="7"/>
    <x v="0"/>
    <s v="ALL_REGION_NO_REGION_NO_REGION_NO_REGION"/>
    <x v="0"/>
    <x v="0"/>
    <x v="0"/>
    <x v="0"/>
    <x v="0"/>
    <x v="0"/>
    <x v="0"/>
    <x v="0"/>
    <x v="0"/>
  </r>
  <r>
    <s v="mu_Wagon_Gen1_Open_Wagon"/>
    <x v="0"/>
    <x v="0"/>
    <x v="7"/>
    <x v="0"/>
    <s v="ALL_REGION_NO_REGION_NO_REGION_NO_REGION"/>
    <x v="0"/>
    <x v="0"/>
    <x v="0"/>
    <x v="0"/>
    <x v="0"/>
    <x v="0"/>
    <x v="0"/>
    <x v="0"/>
    <x v="0"/>
  </r>
  <r>
    <s v="mu_Wagon_Gen2_Flat_Wagon"/>
    <x v="0"/>
    <x v="0"/>
    <x v="1"/>
    <x v="0"/>
    <s v="ALL_REGION_NO_REGION_NO_REGION_NO_REGION"/>
    <x v="0"/>
    <x v="0"/>
    <x v="0"/>
    <x v="0"/>
    <x v="0"/>
    <x v="0"/>
    <x v="0"/>
    <x v="0"/>
    <x v="0"/>
  </r>
  <r>
    <s v="mu_Wagon_Gen2_Boxcar_Type1"/>
    <x v="0"/>
    <x v="0"/>
    <x v="2"/>
    <x v="0"/>
    <s v="ALL_REGION_NO_REGION_NO_REGION_NO_REGION"/>
    <x v="0"/>
    <x v="0"/>
    <x v="0"/>
    <x v="0"/>
    <x v="0"/>
    <x v="0"/>
    <x v="0"/>
    <x v="0"/>
    <x v="0"/>
  </r>
  <r>
    <s v="mu_Wagon_Gen2_Boxcar_Type2"/>
    <x v="0"/>
    <x v="0"/>
    <x v="2"/>
    <x v="0"/>
    <s v="ALL_REGION_NO_REGION_NO_REGION_NO_REGION"/>
    <x v="0"/>
    <x v="0"/>
    <x v="0"/>
    <x v="0"/>
    <x v="0"/>
    <x v="0"/>
    <x v="0"/>
    <x v="0"/>
    <x v="0"/>
  </r>
  <r>
    <s v="mu_Wagon_Gen2_Tanker"/>
    <x v="0"/>
    <x v="0"/>
    <x v="1"/>
    <x v="0"/>
    <s v="ALL_REGION_NO_REGION_NO_REGION_NO_REGION"/>
    <x v="0"/>
    <x v="0"/>
    <x v="0"/>
    <x v="0"/>
    <x v="0"/>
    <x v="0"/>
    <x v="0"/>
    <x v="0"/>
    <x v="0"/>
  </r>
  <r>
    <s v="mu_Wagon_Gen2_Open_Wagon"/>
    <x v="0"/>
    <x v="0"/>
    <x v="2"/>
    <x v="0"/>
    <s v="ALL_REGION_NO_REGION_NO_REGION_NO_REGION"/>
    <x v="0"/>
    <x v="0"/>
    <x v="0"/>
    <x v="0"/>
    <x v="0"/>
    <x v="0"/>
    <x v="0"/>
    <x v="0"/>
    <x v="0"/>
  </r>
  <r>
    <s v="mu_Wagon_Gen2_Silo"/>
    <x v="0"/>
    <x v="0"/>
    <x v="1"/>
    <x v="0"/>
    <s v="ALL_REGION_NO_REGION_NO_REGION_NO_REGION"/>
    <x v="0"/>
    <x v="0"/>
    <x v="0"/>
    <x v="0"/>
    <x v="0"/>
    <x v="0"/>
    <x v="0"/>
    <x v="0"/>
    <x v="0"/>
  </r>
  <r>
    <s v="mu_Wagon_Gen2_Hopper"/>
    <x v="0"/>
    <x v="0"/>
    <x v="2"/>
    <x v="0"/>
    <s v="ALL_REGION_NO_REGION_NO_REGION_NO_REGION"/>
    <x v="0"/>
    <x v="0"/>
    <x v="0"/>
    <x v="0"/>
    <x v="0"/>
    <x v="0"/>
    <x v="0"/>
    <x v="0"/>
    <x v="0"/>
  </r>
  <r>
    <s v="mu_Wagon_Gen3_Flat_Wagon"/>
    <x v="0"/>
    <x v="0"/>
    <x v="3"/>
    <x v="0"/>
    <s v="ALL_REGION_NO_REGION_NO_REGION_NO_REGION"/>
    <x v="0"/>
    <x v="0"/>
    <x v="0"/>
    <x v="0"/>
    <x v="0"/>
    <x v="0"/>
    <x v="0"/>
    <x v="0"/>
    <x v="0"/>
  </r>
  <r>
    <s v="mu_Wagon_Gen3_Boxcar_Type1"/>
    <x v="0"/>
    <x v="0"/>
    <x v="3"/>
    <x v="0"/>
    <s v="ALL_REGION_NO_REGION_NO_REGION_NO_REGION"/>
    <x v="0"/>
    <x v="0"/>
    <x v="0"/>
    <x v="0"/>
    <x v="0"/>
    <x v="0"/>
    <x v="0"/>
    <x v="0"/>
    <x v="0"/>
  </r>
  <r>
    <s v="mu_Wagon_Gen3_Boxcar_Type2"/>
    <x v="0"/>
    <x v="0"/>
    <x v="3"/>
    <x v="0"/>
    <s v="ALL_REGION_NO_REGION_NO_REGION_NO_REGION"/>
    <x v="0"/>
    <x v="0"/>
    <x v="0"/>
    <x v="0"/>
    <x v="0"/>
    <x v="0"/>
    <x v="0"/>
    <x v="0"/>
    <x v="0"/>
  </r>
  <r>
    <s v="mu_Wagon_Gen3_Tanker"/>
    <x v="0"/>
    <x v="0"/>
    <x v="3"/>
    <x v="0"/>
    <s v="ALL_REGION_NO_REGION_NO_REGION_NO_REGION"/>
    <x v="0"/>
    <x v="0"/>
    <x v="0"/>
    <x v="0"/>
    <x v="0"/>
    <x v="0"/>
    <x v="0"/>
    <x v="0"/>
    <x v="0"/>
  </r>
  <r>
    <s v="mu_Wagon_Gen3_Open_Wagon"/>
    <x v="0"/>
    <x v="0"/>
    <x v="3"/>
    <x v="0"/>
    <s v="ALL_REGION_NO_REGION_NO_REGION_NO_REGION"/>
    <x v="0"/>
    <x v="0"/>
    <x v="0"/>
    <x v="0"/>
    <x v="0"/>
    <x v="0"/>
    <x v="0"/>
    <x v="0"/>
    <x v="0"/>
  </r>
  <r>
    <s v="mu_Wagon_Gen3_Silo_Type1"/>
    <x v="0"/>
    <x v="0"/>
    <x v="3"/>
    <x v="0"/>
    <s v="ALL_REGION_NO_REGION_NO_REGION_NO_REGION"/>
    <x v="0"/>
    <x v="0"/>
    <x v="0"/>
    <x v="0"/>
    <x v="0"/>
    <x v="0"/>
    <x v="0"/>
    <x v="0"/>
    <x v="0"/>
  </r>
  <r>
    <s v="mu_Wagon_Gen3_Silo_Type2"/>
    <x v="0"/>
    <x v="0"/>
    <x v="3"/>
    <x v="0"/>
    <s v="ALL_REGION_NO_REGION_NO_REGION_NO_REGION"/>
    <x v="0"/>
    <x v="0"/>
    <x v="0"/>
    <x v="0"/>
    <x v="0"/>
    <x v="0"/>
    <x v="0"/>
    <x v="0"/>
    <x v="0"/>
  </r>
  <r>
    <s v="mu_Wagon_Gen3_Hopper"/>
    <x v="0"/>
    <x v="0"/>
    <x v="3"/>
    <x v="0"/>
    <s v="ALL_REGION_NO_REGION_NO_REGION_NO_REGION"/>
    <x v="0"/>
    <x v="0"/>
    <x v="0"/>
    <x v="0"/>
    <x v="0"/>
    <x v="0"/>
    <x v="0"/>
    <x v="0"/>
    <x v="0"/>
  </r>
  <r>
    <s v="mu_Wagon_Gen4_Flatcar"/>
    <x v="0"/>
    <x v="0"/>
    <x v="6"/>
    <x v="0"/>
    <s v="ALL_REGION_NO_REGION_NO_REGION_NO_REGION"/>
    <x v="0"/>
    <x v="0"/>
    <x v="0"/>
    <x v="0"/>
    <x v="0"/>
    <x v="0"/>
    <x v="0"/>
    <x v="0"/>
    <x v="0"/>
  </r>
  <r>
    <s v="mu_Wagon_Gen4_Heavy_Flatcar"/>
    <x v="0"/>
    <x v="0"/>
    <x v="6"/>
    <x v="0"/>
    <s v="ALL_REGION_NO_REGION_NO_REGION_NO_REGION"/>
    <x v="0"/>
    <x v="0"/>
    <x v="0"/>
    <x v="0"/>
    <x v="0"/>
    <x v="0"/>
    <x v="0"/>
    <x v="0"/>
    <x v="0"/>
  </r>
  <r>
    <s v="mu_Wagon_Gen4_Boxcar_Type1"/>
    <x v="0"/>
    <x v="0"/>
    <x v="4"/>
    <x v="0"/>
    <s v="ALL_REGION_NO_REGION_NO_REGION_NO_REGION"/>
    <x v="0"/>
    <x v="0"/>
    <x v="0"/>
    <x v="0"/>
    <x v="0"/>
    <x v="0"/>
    <x v="0"/>
    <x v="0"/>
    <x v="0"/>
  </r>
  <r>
    <s v="mu_Wagon_Gen4_Boxcar_Type2"/>
    <x v="0"/>
    <x v="0"/>
    <x v="4"/>
    <x v="0"/>
    <s v="ALL_REGION_NO_REGION_NO_REGION_NO_REGION"/>
    <x v="0"/>
    <x v="0"/>
    <x v="0"/>
    <x v="0"/>
    <x v="0"/>
    <x v="0"/>
    <x v="0"/>
    <x v="0"/>
    <x v="0"/>
  </r>
  <r>
    <s v="mu_Wagon_Gen4_Tanker"/>
    <x v="0"/>
    <x v="0"/>
    <x v="4"/>
    <x v="0"/>
    <s v="ALL_REGION_NO_REGION_NO_REGION_NO_REGION"/>
    <x v="0"/>
    <x v="0"/>
    <x v="0"/>
    <x v="0"/>
    <x v="0"/>
    <x v="0"/>
    <x v="0"/>
    <x v="0"/>
    <x v="0"/>
  </r>
  <r>
    <s v="mu_Wagon_Gen4_Gondola"/>
    <x v="0"/>
    <x v="0"/>
    <x v="4"/>
    <x v="0"/>
    <s v="ALL_REGION_NO_REGION_NO_REGION_NO_REGION"/>
    <x v="0"/>
    <x v="0"/>
    <x v="0"/>
    <x v="0"/>
    <x v="0"/>
    <x v="0"/>
    <x v="0"/>
    <x v="0"/>
    <x v="0"/>
  </r>
  <r>
    <s v="mu_Wagon_Gen4_Silo_Type1"/>
    <x v="0"/>
    <x v="0"/>
    <x v="4"/>
    <x v="0"/>
    <s v="ALL_REGION_NO_REGION_NO_REGION_NO_REGION"/>
    <x v="0"/>
    <x v="0"/>
    <x v="0"/>
    <x v="0"/>
    <x v="0"/>
    <x v="0"/>
    <x v="0"/>
    <x v="0"/>
    <x v="0"/>
  </r>
  <r>
    <s v="mu_Wagon_Gen4_Silo_Type2"/>
    <x v="0"/>
    <x v="0"/>
    <x v="4"/>
    <x v="0"/>
    <s v="ALL_REGION_NO_REGION_NO_REGION_NO_REGION"/>
    <x v="0"/>
    <x v="0"/>
    <x v="0"/>
    <x v="0"/>
    <x v="0"/>
    <x v="0"/>
    <x v="0"/>
    <x v="0"/>
    <x v="0"/>
  </r>
  <r>
    <s v="mu_Wagon_Gen4_Hopper_Type1"/>
    <x v="0"/>
    <x v="0"/>
    <x v="6"/>
    <x v="0"/>
    <s v="ALL_REGION_NO_REGION_NO_REGION_NO_REGION"/>
    <x v="0"/>
    <x v="0"/>
    <x v="0"/>
    <x v="0"/>
    <x v="0"/>
    <x v="0"/>
    <x v="0"/>
    <x v="0"/>
    <x v="0"/>
  </r>
  <r>
    <s v="mu_Wagon_Gen4_Hopper_Type2"/>
    <x v="0"/>
    <x v="0"/>
    <x v="6"/>
    <x v="0"/>
    <s v="ALL_REGION_NO_REGION_NO_REGION_NO_REGION"/>
    <x v="0"/>
    <x v="0"/>
    <x v="0"/>
    <x v="0"/>
    <x v="0"/>
    <x v="0"/>
    <x v="0"/>
    <x v="0"/>
    <x v="0"/>
  </r>
  <r>
    <s v="mu_Wagon_Gen4_Car_Transporter"/>
    <x v="0"/>
    <x v="0"/>
    <x v="6"/>
    <x v="0"/>
    <s v="ALL_REGION_NO_REGION_NO_REGION_NO_REGION"/>
    <x v="0"/>
    <x v="0"/>
    <x v="0"/>
    <x v="0"/>
    <x v="0"/>
    <x v="0"/>
    <x v="0"/>
    <x v="0"/>
    <x v="0"/>
  </r>
  <r>
    <s v="mu_Wagon_Gen4_Container_Carrier"/>
    <x v="0"/>
    <x v="0"/>
    <x v="6"/>
    <x v="0"/>
    <s v="ALL_REGION_NO_REGION_NO_REGION_NO_REGION"/>
    <x v="0"/>
    <x v="0"/>
    <x v="0"/>
    <x v="0"/>
    <x v="0"/>
    <x v="0"/>
    <x v="0"/>
    <x v="0"/>
    <x v="0"/>
  </r>
  <r>
    <s v="mu_Wagon_Gen4_Centerbeam"/>
    <x v="0"/>
    <x v="0"/>
    <x v="4"/>
    <x v="0"/>
    <s v="ALL_REGION_NO_REGION_NO_REGION_NO_REGION"/>
    <x v="0"/>
    <x v="0"/>
    <x v="0"/>
    <x v="0"/>
    <x v="0"/>
    <x v="0"/>
    <x v="0"/>
    <x v="0"/>
    <x v="0"/>
  </r>
  <r>
    <s v="mu_Wagon_Gen5_Flatcar"/>
    <x v="0"/>
    <x v="0"/>
    <x v="5"/>
    <x v="0"/>
    <s v="ALL_REGION_NO_REGION_NO_REGION_NO_REGION"/>
    <x v="0"/>
    <x v="0"/>
    <x v="0"/>
    <x v="0"/>
    <x v="0"/>
    <x v="0"/>
    <x v="0"/>
    <x v="0"/>
    <x v="0"/>
  </r>
  <r>
    <s v="mu_Wagon_Gen5_Heavy_Flatcar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5_Boxcar_Type1"/>
    <x v="0"/>
    <x v="0"/>
    <x v="5"/>
    <x v="0"/>
    <s v="ALL_REGION_NO_REGION_NO_REGION_NO_REGION"/>
    <x v="0"/>
    <x v="0"/>
    <x v="0"/>
    <x v="0"/>
    <x v="0"/>
    <x v="0"/>
    <x v="0"/>
    <x v="0"/>
    <x v="0"/>
  </r>
  <r>
    <s v="mu_Wagon_Gen5_Boxcar_Type2"/>
    <x v="0"/>
    <x v="0"/>
    <x v="5"/>
    <x v="0"/>
    <s v="ALL_REGION_NO_REGION_NO_REGION_NO_REGION"/>
    <x v="0"/>
    <x v="0"/>
    <x v="0"/>
    <x v="0"/>
    <x v="0"/>
    <x v="0"/>
    <x v="0"/>
    <x v="0"/>
    <x v="0"/>
  </r>
  <r>
    <s v="mu_Wagon_Gen5_Tanker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5_Gondola"/>
    <x v="0"/>
    <x v="0"/>
    <x v="5"/>
    <x v="0"/>
    <s v="ALL_REGION_NO_REGION_NO_REGION_NO_REGION"/>
    <x v="0"/>
    <x v="0"/>
    <x v="0"/>
    <x v="0"/>
    <x v="0"/>
    <x v="0"/>
    <x v="0"/>
    <x v="0"/>
    <x v="0"/>
  </r>
  <r>
    <s v="mu_Wagon_Gen5_Silo_Type1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5_Silo_Type2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5_Hopper_Type1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5_Hopper_Type2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5_Car_Transporter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5_Container_Carrier"/>
    <x v="0"/>
    <x v="0"/>
    <x v="5"/>
    <x v="0"/>
    <s v="ALL_REGION_NO_REGION_NO_REGION_NO_REGION"/>
    <x v="0"/>
    <x v="0"/>
    <x v="0"/>
    <x v="0"/>
    <x v="0"/>
    <x v="0"/>
    <x v="0"/>
    <x v="0"/>
    <x v="0"/>
  </r>
  <r>
    <s v="mu_Wagon_Gen5_Centerbeam"/>
    <x v="0"/>
    <x v="0"/>
    <x v="5"/>
    <x v="0"/>
    <s v="ALL_REGION_NO_REGION_NO_REGION_NO_REGION"/>
    <x v="0"/>
    <x v="0"/>
    <x v="0"/>
    <x v="0"/>
    <x v="0"/>
    <x v="0"/>
    <x v="0"/>
    <x v="0"/>
    <x v="0"/>
  </r>
  <r>
    <s v="mu_Wagon_Gen5_Container_Doublestack"/>
    <x v="0"/>
    <x v="0"/>
    <x v="5"/>
    <x v="0"/>
    <s v="ALL_REGION_NO_REGION_NO_REGION_NO_REGION"/>
    <x v="0"/>
    <x v="0"/>
    <x v="0"/>
    <x v="0"/>
    <x v="0"/>
    <x v="0"/>
    <x v="0"/>
    <x v="0"/>
    <x v="0"/>
  </r>
  <r>
    <s v="mu_Wagon_Gen5_Superheavy_Flatcar"/>
    <x v="0"/>
    <x v="0"/>
    <x v="5"/>
    <x v="0"/>
    <s v="ALL_REGION_NO_REGION_NO_REGION_NO_REGION"/>
    <x v="0"/>
    <x v="0"/>
    <x v="0"/>
    <x v="0"/>
    <x v="0"/>
    <x v="0"/>
    <x v="0"/>
    <x v="0"/>
    <x v="0"/>
  </r>
  <r>
    <s v="mu_Wagon_Gen6_Flatcar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6_Heavy_Flatcar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Wagon_Gen6_Boxcar_Type1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6_Boxcar_Type2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6_Tanker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Wagon_Gen6_Gondola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6_Silo_Type1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Wagon_Gen6_Silo_Type2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Wagon_Gen6_Hopper_Type1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Wagon_Gen6_Hopper_Type2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Wagon_Gen6_Car_Transporter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Wagon_Gen6_Container_Carrier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6_Centerbeam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6_Container_Doublestack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Gen6_Superheavy_Flatcar"/>
    <x v="0"/>
    <x v="0"/>
    <x v="0"/>
    <x v="0"/>
    <s v="ALL_REGION_NO_REGION_NO_REGION_NO_REGION"/>
    <x v="0"/>
    <x v="0"/>
    <x v="0"/>
    <x v="0"/>
    <x v="0"/>
    <x v="0"/>
    <x v="0"/>
    <x v="0"/>
    <x v="0"/>
  </r>
  <r>
    <s v="mu_Wagon_Service_Car_Type1"/>
    <x v="0"/>
    <x v="0"/>
    <x v="12"/>
    <x v="0"/>
    <s v="ALL_REGION_NO_REGION_NO_REGION_NO_REGION"/>
    <x v="0"/>
    <x v="0"/>
    <x v="0"/>
    <x v="0"/>
    <x v="0"/>
    <x v="0"/>
    <x v="0"/>
    <x v="0"/>
    <x v="0"/>
  </r>
  <r>
    <s v="mu_Wagon_Service_Car_Type2"/>
    <x v="0"/>
    <x v="0"/>
    <x v="12"/>
    <x v="0"/>
    <s v="ALL_REGION_NO_REGION_NO_REGION_NO_REGION"/>
    <x v="0"/>
    <x v="0"/>
    <x v="0"/>
    <x v="0"/>
    <x v="0"/>
    <x v="0"/>
    <x v="0"/>
    <x v="0"/>
    <x v="0"/>
  </r>
  <r>
    <s v="mu_Coach_Gen1_Wooden_2_axle_Compartment_Coach"/>
    <x v="0"/>
    <x v="0"/>
    <x v="7"/>
    <x v="0"/>
    <s v="OLD_WORLD_OCEANIA_NO_REGION_NO_REGION"/>
    <x v="0"/>
    <x v="0"/>
    <x v="0"/>
    <x v="0"/>
    <x v="0"/>
    <x v="0"/>
    <x v="1"/>
    <x v="1"/>
    <x v="0"/>
  </r>
  <r>
    <s v="mu_Coach_Gen1_Wooden_2_axle_Regional_Coach"/>
    <x v="0"/>
    <x v="0"/>
    <x v="7"/>
    <x v="0"/>
    <s v="ALL_REGION_NO_REGION_NO_REGION_NO_REGION"/>
    <x v="0"/>
    <x v="0"/>
    <x v="0"/>
    <x v="0"/>
    <x v="0"/>
    <x v="0"/>
    <x v="0"/>
    <x v="0"/>
    <x v="0"/>
  </r>
  <r>
    <s v="mu_Coach_Gen1_Wooden_2_axle_Mail_Coach"/>
    <x v="0"/>
    <x v="0"/>
    <x v="7"/>
    <x v="0"/>
    <s v="ALL_REGION_NO_REGION_NO_REGION_NO_REGION"/>
    <x v="0"/>
    <x v="0"/>
    <x v="0"/>
    <x v="0"/>
    <x v="0"/>
    <x v="0"/>
    <x v="0"/>
    <x v="0"/>
    <x v="0"/>
  </r>
  <r>
    <s v="mu_Coach_Gen1_Clerestory_Compartment_Coach"/>
    <x v="0"/>
    <x v="0"/>
    <x v="8"/>
    <x v="0"/>
    <s v="OLD_WORLD_OCEANIA_NO_REGION_NO_REGION"/>
    <x v="0"/>
    <x v="0"/>
    <x v="0"/>
    <x v="0"/>
    <x v="0"/>
    <x v="0"/>
    <x v="1"/>
    <x v="1"/>
    <x v="0"/>
  </r>
  <r>
    <s v="mu_Coach_Gen1_Clerestory_Regional_Coach"/>
    <x v="0"/>
    <x v="0"/>
    <x v="8"/>
    <x v="0"/>
    <s v="ALL_REGION_NO_REGION_NO_REGION_NO_REGION"/>
    <x v="0"/>
    <x v="0"/>
    <x v="0"/>
    <x v="0"/>
    <x v="0"/>
    <x v="0"/>
    <x v="0"/>
    <x v="0"/>
    <x v="0"/>
  </r>
  <r>
    <s v="mu_Coach_Gen1_Clerestory_Mail_Coach"/>
    <x v="0"/>
    <x v="0"/>
    <x v="8"/>
    <x v="0"/>
    <s v="ALL_REGION_NO_REGION_NO_REGION_NO_REGION"/>
    <x v="0"/>
    <x v="0"/>
    <x v="0"/>
    <x v="0"/>
    <x v="0"/>
    <x v="0"/>
    <x v="0"/>
    <x v="0"/>
    <x v="0"/>
  </r>
  <r>
    <s v="mu_Coach_Gen1_Wooden_3_axle_Compartment_Coach"/>
    <x v="0"/>
    <x v="0"/>
    <x v="8"/>
    <x v="0"/>
    <s v="OLD_WORLD_OCEANIA_NO_REGION_NO_REGION"/>
    <x v="0"/>
    <x v="0"/>
    <x v="0"/>
    <x v="0"/>
    <x v="0"/>
    <x v="0"/>
    <x v="1"/>
    <x v="1"/>
    <x v="0"/>
  </r>
  <r>
    <s v="mu_Coach_Gen1_Wooden_3_axle_Regional_Coach"/>
    <x v="0"/>
    <x v="0"/>
    <x v="8"/>
    <x v="0"/>
    <s v="OLD_WORLD_OCEANIA_NO_REGION_NO_REGION"/>
    <x v="0"/>
    <x v="0"/>
    <x v="0"/>
    <x v="0"/>
    <x v="0"/>
    <x v="0"/>
    <x v="1"/>
    <x v="1"/>
    <x v="0"/>
  </r>
  <r>
    <s v="mu_Coach_Gen1_Wooden_3_axle_Mail_Coach"/>
    <x v="0"/>
    <x v="0"/>
    <x v="8"/>
    <x v="0"/>
    <s v="OLD_WORLD_OCEANIA_NO_REGION_NO_REGION"/>
    <x v="0"/>
    <x v="0"/>
    <x v="0"/>
    <x v="0"/>
    <x v="0"/>
    <x v="0"/>
    <x v="1"/>
    <x v="1"/>
    <x v="0"/>
  </r>
  <r>
    <s v="mu_Coach_Gen2_Heavyweight_Intercity_Coach"/>
    <x v="0"/>
    <x v="0"/>
    <x v="1"/>
    <x v="0"/>
    <s v="ALL_AMERICA_OCEANIA_NO_REGION_NO_REGION"/>
    <x v="1"/>
    <x v="1"/>
    <x v="1"/>
    <x v="1"/>
    <x v="1"/>
    <x v="1"/>
    <x v="0"/>
    <x v="0"/>
    <x v="0"/>
  </r>
  <r>
    <s v="mu_Coach_Gen2_Heavyweight_Mail_Coach"/>
    <x v="0"/>
    <x v="0"/>
    <x v="1"/>
    <x v="0"/>
    <s v="ALL_AMERICA_OCEANIA_NO_REGION_NO_REGION"/>
    <x v="1"/>
    <x v="1"/>
    <x v="1"/>
    <x v="1"/>
    <x v="1"/>
    <x v="1"/>
    <x v="0"/>
    <x v="0"/>
    <x v="0"/>
  </r>
  <r>
    <s v="mu_Coach_Gen2_Steel_Intercity_Coach"/>
    <x v="0"/>
    <x v="0"/>
    <x v="1"/>
    <x v="0"/>
    <s v="OLD_WORLD_OCEANIA_NO_REGION_NO_REGION"/>
    <x v="0"/>
    <x v="0"/>
    <x v="0"/>
    <x v="0"/>
    <x v="0"/>
    <x v="0"/>
    <x v="1"/>
    <x v="1"/>
    <x v="0"/>
  </r>
  <r>
    <s v="mu_Coach_Gen2_Steel_Compartment_Coach"/>
    <x v="0"/>
    <x v="0"/>
    <x v="1"/>
    <x v="0"/>
    <s v="OLD_WORLD_OCEANIA_NO_REGION_NO_REGION"/>
    <x v="0"/>
    <x v="0"/>
    <x v="0"/>
    <x v="0"/>
    <x v="0"/>
    <x v="0"/>
    <x v="1"/>
    <x v="1"/>
    <x v="0"/>
  </r>
  <r>
    <s v="mu_Coach_Gen2_Steel_Regional_Coach"/>
    <x v="0"/>
    <x v="0"/>
    <x v="1"/>
    <x v="0"/>
    <s v="OLD_WORLD_OCEANIA_NO_REGION_NO_REGION"/>
    <x v="0"/>
    <x v="0"/>
    <x v="0"/>
    <x v="0"/>
    <x v="0"/>
    <x v="0"/>
    <x v="1"/>
    <x v="1"/>
    <x v="0"/>
  </r>
  <r>
    <s v="mu_Coach_Gen2_Steel_Mail_Coach"/>
    <x v="0"/>
    <x v="0"/>
    <x v="1"/>
    <x v="0"/>
    <s v="OLD_WORLD_OCEANIA_NO_REGION_NO_REGION"/>
    <x v="0"/>
    <x v="0"/>
    <x v="0"/>
    <x v="0"/>
    <x v="0"/>
    <x v="0"/>
    <x v="1"/>
    <x v="1"/>
    <x v="0"/>
  </r>
  <r>
    <s v="mu_Coach_Gen2_Steel_2_axle_Compartment_Coach"/>
    <x v="0"/>
    <x v="0"/>
    <x v="3"/>
    <x v="0"/>
    <s v="OLD_WORLD_OCEANIA_NO_REGION_NO_REGION"/>
    <x v="0"/>
    <x v="0"/>
    <x v="0"/>
    <x v="0"/>
    <x v="0"/>
    <x v="0"/>
    <x v="1"/>
    <x v="1"/>
    <x v="0"/>
  </r>
  <r>
    <s v="mu_Coach_Gen2_Steel_2_axle_Regional_Coach"/>
    <x v="0"/>
    <x v="0"/>
    <x v="3"/>
    <x v="0"/>
    <s v="ALL_REGION_NO_REGION_NO_REGION_NO_REGION"/>
    <x v="0"/>
    <x v="0"/>
    <x v="0"/>
    <x v="0"/>
    <x v="0"/>
    <x v="0"/>
    <x v="0"/>
    <x v="0"/>
    <x v="0"/>
  </r>
  <r>
    <s v="mu_Coach_Gen2_Steel_2_axle_Mail_Coach"/>
    <x v="0"/>
    <x v="0"/>
    <x v="3"/>
    <x v="0"/>
    <s v="ALL_REGION_NO_REGION_NO_REGION_NO_REGION"/>
    <x v="0"/>
    <x v="0"/>
    <x v="0"/>
    <x v="0"/>
    <x v="0"/>
    <x v="0"/>
    <x v="0"/>
    <x v="0"/>
    <x v="0"/>
  </r>
  <r>
    <s v="mu_Coach_Gen2_Steel_3_axle_Compartment_Coach"/>
    <x v="0"/>
    <x v="0"/>
    <x v="3"/>
    <x v="0"/>
    <s v="OLD_WORLD_OCEANIA_NO_REGION_NO_REGION"/>
    <x v="0"/>
    <x v="0"/>
    <x v="0"/>
    <x v="0"/>
    <x v="0"/>
    <x v="0"/>
    <x v="1"/>
    <x v="1"/>
    <x v="0"/>
  </r>
  <r>
    <s v="mu_Coach_Gen2_Steel_3_axle_Regional_Coach"/>
    <x v="0"/>
    <x v="0"/>
    <x v="3"/>
    <x v="0"/>
    <s v="OLD_WORLD_OCEANIA_NO_REGION_NO_REGION"/>
    <x v="0"/>
    <x v="0"/>
    <x v="0"/>
    <x v="0"/>
    <x v="0"/>
    <x v="0"/>
    <x v="1"/>
    <x v="1"/>
    <x v="0"/>
  </r>
  <r>
    <s v="mu_Coach_Gen2_Steel_3_axle_Mail_Coach"/>
    <x v="0"/>
    <x v="0"/>
    <x v="3"/>
    <x v="0"/>
    <s v="OLD_WORLD_OCEANIA_NO_REGION_NO_REGION"/>
    <x v="0"/>
    <x v="0"/>
    <x v="0"/>
    <x v="0"/>
    <x v="0"/>
    <x v="0"/>
    <x v="1"/>
    <x v="1"/>
    <x v="0"/>
  </r>
  <r>
    <s v="mu_Coach_Gen3_Steel_Lightweight_Intercity_Coach"/>
    <x v="0"/>
    <x v="0"/>
    <x v="3"/>
    <x v="0"/>
    <s v="APAC_ALL_AMERICA_NO_REGION_NO_REGION"/>
    <x v="1"/>
    <x v="0"/>
    <x v="1"/>
    <x v="1"/>
    <x v="1"/>
    <x v="1"/>
    <x v="0"/>
    <x v="0"/>
    <x v="0"/>
  </r>
  <r>
    <s v="mu_Coach_Gen3_Steel_Lightweight_Regional_Coach"/>
    <x v="0"/>
    <x v="0"/>
    <x v="3"/>
    <x v="0"/>
    <s v="APAC_ALL_AMERICA_NO_REGION_NO_REGION"/>
    <x v="1"/>
    <x v="0"/>
    <x v="1"/>
    <x v="1"/>
    <x v="1"/>
    <x v="1"/>
    <x v="0"/>
    <x v="0"/>
    <x v="0"/>
  </r>
  <r>
    <s v="mu_Coach_Gen3_Steel_Lightweight_Mail_Coach"/>
    <x v="0"/>
    <x v="0"/>
    <x v="3"/>
    <x v="0"/>
    <s v="APAC_ALL_AMERICA_NO_REGION_NO_REGION"/>
    <x v="1"/>
    <x v="0"/>
    <x v="1"/>
    <x v="1"/>
    <x v="1"/>
    <x v="1"/>
    <x v="0"/>
    <x v="0"/>
    <x v="0"/>
  </r>
  <r>
    <s v="mu_Coach_Gen3_Aluminium_Lightweight_Intercity_Coach"/>
    <x v="0"/>
    <x v="0"/>
    <x v="4"/>
    <x v="0"/>
    <s v="OLD_WORLD_OCEANIA_NO_REGION_NO_REGION"/>
    <x v="0"/>
    <x v="0"/>
    <x v="0"/>
    <x v="0"/>
    <x v="0"/>
    <x v="0"/>
    <x v="1"/>
    <x v="1"/>
    <x v="0"/>
  </r>
  <r>
    <s v="mu_Coach_Gen3_Aluminium_Lightweight_Regional_Coach"/>
    <x v="0"/>
    <x v="0"/>
    <x v="4"/>
    <x v="0"/>
    <s v="ALL_AMERICA_OCEANIA_NO_REGION_NO_REGION"/>
    <x v="1"/>
    <x v="1"/>
    <x v="1"/>
    <x v="1"/>
    <x v="1"/>
    <x v="1"/>
    <x v="0"/>
    <x v="0"/>
    <x v="0"/>
  </r>
  <r>
    <s v="mu_Coach_Gen3_Aluminium_Lightweight_Mail_Coach"/>
    <x v="0"/>
    <x v="0"/>
    <x v="4"/>
    <x v="0"/>
    <s v="ALL_AMERICA_OCEANIA_NO_REGION_NO_REGION"/>
    <x v="1"/>
    <x v="1"/>
    <x v="1"/>
    <x v="1"/>
    <x v="1"/>
    <x v="1"/>
    <x v="0"/>
    <x v="0"/>
    <x v="0"/>
  </r>
  <r>
    <s v="mu_Coach_Gen3_Gallery_Car"/>
    <x v="0"/>
    <x v="0"/>
    <x v="4"/>
    <x v="0"/>
    <s v="ALL_AMERICA_OCEANIA_NO_REGION_NO_REGION"/>
    <x v="1"/>
    <x v="1"/>
    <x v="1"/>
    <x v="1"/>
    <x v="1"/>
    <x v="1"/>
    <x v="0"/>
    <x v="0"/>
    <x v="0"/>
  </r>
  <r>
    <s v="mu_Coach_Gen3_Mk1_Intercity_Coach"/>
    <x v="0"/>
    <x v="0"/>
    <x v="4"/>
    <x v="0"/>
    <s v="OLD_WORLD_NO_REGION_NO_REGION_NO_REGION"/>
    <x v="0"/>
    <x v="0"/>
    <x v="0"/>
    <x v="0"/>
    <x v="0"/>
    <x v="0"/>
    <x v="1"/>
    <x v="1"/>
    <x v="1"/>
  </r>
  <r>
    <s v="mu_Coach_Gen3_Mk1_Regional_Coach"/>
    <x v="0"/>
    <x v="0"/>
    <x v="4"/>
    <x v="0"/>
    <s v="OLD_WORLD_NO_REGION_NO_REGION_NO_REGION"/>
    <x v="0"/>
    <x v="0"/>
    <x v="0"/>
    <x v="0"/>
    <x v="0"/>
    <x v="0"/>
    <x v="1"/>
    <x v="1"/>
    <x v="1"/>
  </r>
  <r>
    <s v="mu_Coach_Gen3_Mk1_Mail_Coach"/>
    <x v="0"/>
    <x v="0"/>
    <x v="4"/>
    <x v="0"/>
    <s v="OLD_WORLD_NO_REGION_NO_REGION_NO_REGION"/>
    <x v="0"/>
    <x v="0"/>
    <x v="0"/>
    <x v="0"/>
    <x v="0"/>
    <x v="0"/>
    <x v="1"/>
    <x v="1"/>
    <x v="1"/>
  </r>
  <r>
    <s v="mu_Coach_Gen3_UIC_X_Intercity_Coach"/>
    <x v="0"/>
    <x v="0"/>
    <x v="4"/>
    <x v="0"/>
    <s v="OLD_WORLD_NO_REGION_NO_REGION_NO_REGION"/>
    <x v="0"/>
    <x v="0"/>
    <x v="0"/>
    <x v="0"/>
    <x v="0"/>
    <x v="0"/>
    <x v="1"/>
    <x v="1"/>
    <x v="1"/>
  </r>
  <r>
    <s v="mu_Coach_Gen3_TEE_Intercity_Coach"/>
    <x v="0"/>
    <x v="0"/>
    <x v="4"/>
    <x v="0"/>
    <s v="ALL_EUROPE_NO_REGION_NO_REGION_NO_REGION"/>
    <x v="1"/>
    <x v="1"/>
    <x v="0"/>
    <x v="0"/>
    <x v="0"/>
    <x v="0"/>
    <x v="1"/>
    <x v="1"/>
    <x v="1"/>
  </r>
  <r>
    <s v="mu_Coach_Gen3_UIC_X_Regional_Coach"/>
    <x v="0"/>
    <x v="0"/>
    <x v="4"/>
    <x v="0"/>
    <s v="OLD_WORLD_NO_REGION_NO_REGION_NO_REGION"/>
    <x v="0"/>
    <x v="0"/>
    <x v="0"/>
    <x v="0"/>
    <x v="0"/>
    <x v="0"/>
    <x v="1"/>
    <x v="1"/>
    <x v="1"/>
  </r>
  <r>
    <s v="mu_Coach_Gen3_Umbauwagen_Local_Coach"/>
    <x v="0"/>
    <x v="0"/>
    <x v="4"/>
    <x v="0"/>
    <s v="OLD_WORLD_NO_REGION_NO_REGION_NO_REGION"/>
    <x v="0"/>
    <x v="0"/>
    <x v="0"/>
    <x v="0"/>
    <x v="0"/>
    <x v="0"/>
    <x v="1"/>
    <x v="1"/>
    <x v="1"/>
  </r>
  <r>
    <s v="mu_Coach_Gen4_Doppelstockwagen_Local_Coach"/>
    <x v="0"/>
    <x v="0"/>
    <x v="6"/>
    <x v="0"/>
    <s v="OLD_WORLD_NO_REGION_NO_REGION_NO_REGION"/>
    <x v="0"/>
    <x v="0"/>
    <x v="0"/>
    <x v="0"/>
    <x v="0"/>
    <x v="0"/>
    <x v="1"/>
    <x v="1"/>
    <x v="1"/>
  </r>
  <r>
    <s v="mu_Coach_Gen3_UIC_X_Mail_Coach"/>
    <x v="0"/>
    <x v="0"/>
    <x v="4"/>
    <x v="0"/>
    <s v="OLD_WORLD_NO_REGION_NO_REGION_NO_REGION"/>
    <x v="0"/>
    <x v="0"/>
    <x v="0"/>
    <x v="0"/>
    <x v="0"/>
    <x v="0"/>
    <x v="1"/>
    <x v="1"/>
    <x v="1"/>
  </r>
  <r>
    <s v="mu_Coach_Gen3_Indian_Intercity_Coach"/>
    <x v="0"/>
    <x v="0"/>
    <x v="4"/>
    <x v="0"/>
    <s v="ASIA_NO_REGION_NO_REGION_NO_REGION"/>
    <x v="1"/>
    <x v="0"/>
    <x v="1"/>
    <x v="1"/>
    <x v="1"/>
    <x v="1"/>
    <x v="1"/>
    <x v="1"/>
    <x v="1"/>
  </r>
  <r>
    <s v="mu_Coach_Gen3_Indian_Local_Coach"/>
    <x v="0"/>
    <x v="0"/>
    <x v="4"/>
    <x v="0"/>
    <s v="ASIA_NO_REGION_NO_REGION_NO_REGION"/>
    <x v="1"/>
    <x v="0"/>
    <x v="1"/>
    <x v="1"/>
    <x v="1"/>
    <x v="1"/>
    <x v="1"/>
    <x v="1"/>
    <x v="1"/>
  </r>
  <r>
    <s v="mu_Coach_Gen3_Indian_Regional_Coach"/>
    <x v="0"/>
    <x v="0"/>
    <x v="4"/>
    <x v="0"/>
    <s v="ASIA_NO_REGION_NO_REGION_NO_REGION"/>
    <x v="1"/>
    <x v="0"/>
    <x v="1"/>
    <x v="1"/>
    <x v="1"/>
    <x v="1"/>
    <x v="1"/>
    <x v="1"/>
    <x v="1"/>
  </r>
  <r>
    <s v="mu_Coach_Gen3_Indian_Mail_Coach"/>
    <x v="0"/>
    <x v="0"/>
    <x v="4"/>
    <x v="0"/>
    <s v="ASIA_NO_REGION_NO_REGION_NO_REGION"/>
    <x v="1"/>
    <x v="0"/>
    <x v="1"/>
    <x v="1"/>
    <x v="1"/>
    <x v="1"/>
    <x v="1"/>
    <x v="1"/>
    <x v="1"/>
  </r>
  <r>
    <s v="mu_Coach_Gen4_Eurofima_Intercity_Coach"/>
    <x v="0"/>
    <x v="0"/>
    <x v="6"/>
    <x v="0"/>
    <s v="OLD_WORLD_NO_REGION_NO_REGION_NO_REGION"/>
    <x v="0"/>
    <x v="0"/>
    <x v="0"/>
    <x v="0"/>
    <x v="0"/>
    <x v="0"/>
    <x v="1"/>
    <x v="1"/>
    <x v="1"/>
  </r>
  <r>
    <s v="mu_Coach_Gen4_InterRegio_Coach"/>
    <x v="0"/>
    <x v="0"/>
    <x v="6"/>
    <x v="0"/>
    <s v="OLD_WORLD_NO_REGION_NO_REGION_NO_REGION"/>
    <x v="0"/>
    <x v="0"/>
    <x v="0"/>
    <x v="0"/>
    <x v="0"/>
    <x v="0"/>
    <x v="1"/>
    <x v="1"/>
    <x v="1"/>
  </r>
  <r>
    <s v="mu_Coach_Gen4_Silberling_Commuter_Coach"/>
    <x v="0"/>
    <x v="0"/>
    <x v="6"/>
    <x v="0"/>
    <s v="OLD_WORLD_NO_REGION_NO_REGION_NO_REGION"/>
    <x v="0"/>
    <x v="0"/>
    <x v="0"/>
    <x v="0"/>
    <x v="0"/>
    <x v="0"/>
    <x v="1"/>
    <x v="1"/>
    <x v="1"/>
  </r>
  <r>
    <s v="mu_Coach_Gen4_Eurofima_Mail_Coach"/>
    <x v="0"/>
    <x v="0"/>
    <x v="6"/>
    <x v="0"/>
    <s v="OLD_WORLD_NO_REGION_NO_REGION_NO_REGION"/>
    <x v="0"/>
    <x v="0"/>
    <x v="0"/>
    <x v="0"/>
    <x v="0"/>
    <x v="0"/>
    <x v="1"/>
    <x v="1"/>
    <x v="1"/>
  </r>
  <r>
    <s v="mu_Coach_Gen4_Double_Decker_Coach"/>
    <x v="0"/>
    <x v="0"/>
    <x v="6"/>
    <x v="0"/>
    <s v="ALL_EUROPE_ASIA_NO_REGION_NO_REGION"/>
    <x v="1"/>
    <x v="0"/>
    <x v="0"/>
    <x v="0"/>
    <x v="0"/>
    <x v="0"/>
    <x v="1"/>
    <x v="1"/>
    <x v="1"/>
  </r>
  <r>
    <s v="mu_Coach_Gen4_Russian_Intercity_Coach"/>
    <x v="0"/>
    <x v="0"/>
    <x v="6"/>
    <x v="0"/>
    <s v="ALL_EUROPE_ASIA_NO_REGION_NO_REGION"/>
    <x v="1"/>
    <x v="0"/>
    <x v="0"/>
    <x v="0"/>
    <x v="0"/>
    <x v="0"/>
    <x v="1"/>
    <x v="1"/>
    <x v="1"/>
  </r>
  <r>
    <s v="mu_Coach_Gen4_Russian_Regional_Coach"/>
    <x v="0"/>
    <x v="0"/>
    <x v="6"/>
    <x v="0"/>
    <s v="ALL_EUROPE_ASIA_NO_REGION_NO_REGION"/>
    <x v="1"/>
    <x v="0"/>
    <x v="0"/>
    <x v="0"/>
    <x v="0"/>
    <x v="0"/>
    <x v="1"/>
    <x v="1"/>
    <x v="1"/>
  </r>
  <r>
    <s v="mu_Coach_Gen4_Russian_Mail_Coach"/>
    <x v="0"/>
    <x v="0"/>
    <x v="6"/>
    <x v="0"/>
    <s v="ALL_EUROPE_ASIA_NO_REGION_NO_REGION"/>
    <x v="1"/>
    <x v="0"/>
    <x v="0"/>
    <x v="0"/>
    <x v="0"/>
    <x v="0"/>
    <x v="1"/>
    <x v="1"/>
    <x v="1"/>
  </r>
  <r>
    <s v="mu_Coach_Gen4_Superliner_Coach"/>
    <x v="0"/>
    <x v="0"/>
    <x v="5"/>
    <x v="0"/>
    <s v="ALL_AMERICA_OCEANIA_NO_REGION_NO_REGION"/>
    <x v="1"/>
    <x v="1"/>
    <x v="1"/>
    <x v="1"/>
    <x v="1"/>
    <x v="1"/>
    <x v="0"/>
    <x v="0"/>
    <x v="0"/>
  </r>
  <r>
    <s v="mu_Coach_Gen4_Superliner_California"/>
    <x v="0"/>
    <x v="0"/>
    <x v="5"/>
    <x v="0"/>
    <s v="ALL_AMERICA_OCEANIA_NO_REGION_NO_REGION"/>
    <x v="1"/>
    <x v="1"/>
    <x v="1"/>
    <x v="1"/>
    <x v="1"/>
    <x v="1"/>
    <x v="0"/>
    <x v="0"/>
    <x v="0"/>
  </r>
  <r>
    <s v="mu_Coach_Gen4_Amfleet_Regional_Coach"/>
    <x v="0"/>
    <x v="0"/>
    <x v="6"/>
    <x v="0"/>
    <s v="ALL_AMERICA_OCEANIA_NO_REGION_NO_REGION"/>
    <x v="1"/>
    <x v="1"/>
    <x v="1"/>
    <x v="1"/>
    <x v="1"/>
    <x v="1"/>
    <x v="0"/>
    <x v="0"/>
    <x v="0"/>
  </r>
  <r>
    <s v="mu_Coach_Gen4_Amfleet_Intercity_Coach"/>
    <x v="0"/>
    <x v="0"/>
    <x v="6"/>
    <x v="0"/>
    <s v="ALL_AMERICA_OCEANIA_NO_REGION_NO_REGION"/>
    <x v="1"/>
    <x v="1"/>
    <x v="1"/>
    <x v="1"/>
    <x v="1"/>
    <x v="1"/>
    <x v="0"/>
    <x v="0"/>
    <x v="0"/>
  </r>
  <r>
    <s v="mu_Coach_Gen4_Comet_Commuter_Coach"/>
    <x v="0"/>
    <x v="0"/>
    <x v="6"/>
    <x v="0"/>
    <s v="ALL_AMERICA_OCEANIA_NO_REGION_NO_REGION"/>
    <x v="1"/>
    <x v="1"/>
    <x v="1"/>
    <x v="1"/>
    <x v="1"/>
    <x v="1"/>
    <x v="0"/>
    <x v="0"/>
    <x v="0"/>
  </r>
  <r>
    <s v="mu_Coach_Gen4_Horizon_Regional_Coach"/>
    <x v="0"/>
    <x v="0"/>
    <x v="6"/>
    <x v="0"/>
    <s v="ALL_AMERICA_OCEANIA_NO_REGION_NO_REGION"/>
    <x v="1"/>
    <x v="1"/>
    <x v="1"/>
    <x v="1"/>
    <x v="1"/>
    <x v="1"/>
    <x v="0"/>
    <x v="0"/>
    <x v="0"/>
  </r>
  <r>
    <s v="mu_Coach_Gen4_Horizon_Baggage_Coach"/>
    <x v="0"/>
    <x v="0"/>
    <x v="6"/>
    <x v="0"/>
    <s v="ALL_AMERICA_OCEANIA_NO_REGION_NO_REGION"/>
    <x v="1"/>
    <x v="1"/>
    <x v="1"/>
    <x v="1"/>
    <x v="1"/>
    <x v="1"/>
    <x v="0"/>
    <x v="0"/>
    <x v="0"/>
  </r>
  <r>
    <s v="mu_Coach_Gen4_Bombardier_Bi_level"/>
    <x v="0"/>
    <x v="0"/>
    <x v="6"/>
    <x v="0"/>
    <s v="ALL_AMERICA_OCEANIA_NO_REGION_NO_REGION"/>
    <x v="1"/>
    <x v="1"/>
    <x v="1"/>
    <x v="1"/>
    <x v="1"/>
    <x v="1"/>
    <x v="0"/>
    <x v="0"/>
    <x v="0"/>
  </r>
  <r>
    <s v="mu_Coach_Gen5_High_Speed_Coach"/>
    <x v="0"/>
    <x v="0"/>
    <x v="0"/>
    <x v="0"/>
    <s v="ALL_REGION_NO_REGION_NO_REGION_NO_REGION"/>
    <x v="0"/>
    <x v="0"/>
    <x v="0"/>
    <x v="0"/>
    <x v="0"/>
    <x v="0"/>
    <x v="0"/>
    <x v="0"/>
    <x v="0"/>
  </r>
  <r>
    <s v="mu_Coach_Gen5_Modern_Regional_Coach"/>
    <x v="0"/>
    <x v="0"/>
    <x v="0"/>
    <x v="0"/>
    <s v="ALL_REGION_NO_REGION_NO_REGION_NO_REGION"/>
    <x v="0"/>
    <x v="0"/>
    <x v="0"/>
    <x v="0"/>
    <x v="0"/>
    <x v="0"/>
    <x v="0"/>
    <x v="0"/>
    <x v="0"/>
  </r>
  <r>
    <s v="mu_Coach_Gen5_Modern_Commuter_Coach"/>
    <x v="0"/>
    <x v="0"/>
    <x v="0"/>
    <x v="0"/>
    <s v="ALL_REGION_NO_REGION_NO_REGION_NO_REGION"/>
    <x v="0"/>
    <x v="0"/>
    <x v="0"/>
    <x v="0"/>
    <x v="0"/>
    <x v="0"/>
    <x v="0"/>
    <x v="0"/>
    <x v="0"/>
  </r>
  <r>
    <s v="mu_Coach_Gen5_Modern_Double_Decker_Coach"/>
    <x v="0"/>
    <x v="0"/>
    <x v="0"/>
    <x v="0"/>
    <s v="ALL_REGION_NO_REGION_NO_REGION_NO_REGION"/>
    <x v="0"/>
    <x v="0"/>
    <x v="0"/>
    <x v="0"/>
    <x v="0"/>
    <x v="0"/>
    <x v="0"/>
    <x v="0"/>
    <x v="0"/>
  </r>
  <r>
    <s v="mu_Coach_Gen5_High_Speed_Double_Decker_IC2000"/>
    <x v="0"/>
    <x v="0"/>
    <x v="0"/>
    <x v="0"/>
    <s v="ALL_REGION_NO_REGION_NO_REGION_NO_REGION"/>
    <x v="0"/>
    <x v="0"/>
    <x v="0"/>
    <x v="0"/>
    <x v="0"/>
    <x v="0"/>
    <x v="0"/>
    <x v="0"/>
    <x v="0"/>
  </r>
  <r>
    <s v="mu_Coach_Gen5_High_Speed_Mail_Coach"/>
    <x v="0"/>
    <x v="0"/>
    <x v="0"/>
    <x v="0"/>
    <s v="ALL_REGION_NO_REGION_NO_REGION_NO_REGION"/>
    <x v="0"/>
    <x v="0"/>
    <x v="0"/>
    <x v="0"/>
    <x v="0"/>
    <x v="0"/>
    <x v="0"/>
    <x v="0"/>
    <x v="0"/>
  </r>
  <r>
    <s v="mu_Coach_Gen5_Talgo_Pendular"/>
    <x v="0"/>
    <x v="0"/>
    <x v="5"/>
    <x v="0"/>
    <s v="ALL_REGION_NO_REGION_NO_REGION_NO_REGION"/>
    <x v="0"/>
    <x v="0"/>
    <x v="0"/>
    <x v="0"/>
    <x v="0"/>
    <x v="0"/>
    <x v="0"/>
    <x v="0"/>
    <x v="0"/>
  </r>
  <r>
    <s v="mu_Coach_Gen5_Talgo_Pendular_Mail"/>
    <x v="0"/>
    <x v="0"/>
    <x v="5"/>
    <x v="0"/>
    <s v="ALL_REGION_NO_REGION_NO_REGION_NO_REGION"/>
    <x v="0"/>
    <x v="0"/>
    <x v="0"/>
    <x v="0"/>
    <x v="0"/>
    <x v="0"/>
    <x v="0"/>
    <x v="0"/>
    <x v="0"/>
  </r>
  <r>
    <s v="mu_Coach_Gen6_Grand_Voyager_Coach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Coach_Gen6_Grand_Regio_Coach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Coach_Gen6_Metropolis_Coach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Coach_Gen6_Speedmail_Coach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Coach_Gen6_Super_Regio_Coach"/>
    <x v="0"/>
    <x v="0"/>
    <x v="10"/>
    <x v="0"/>
    <s v="ALL_REGION_NO_REGION_NO_REGION_NO_REGION"/>
    <x v="0"/>
    <x v="0"/>
    <x v="0"/>
    <x v="0"/>
    <x v="0"/>
    <x v="0"/>
    <x v="0"/>
    <x v="0"/>
    <x v="0"/>
  </r>
  <r>
    <s v="mu_Coach_Gen6_Super_Voyager_Coach"/>
    <x v="0"/>
    <x v="0"/>
    <x v="10"/>
    <x v="0"/>
    <s v="ALL_REGION_NO_REGION_NO_REGION_NO_REGION"/>
    <x v="0"/>
    <x v="0"/>
    <x v="0"/>
    <x v="0"/>
    <x v="0"/>
    <x v="0"/>
    <x v="0"/>
    <x v="0"/>
    <x v="0"/>
  </r>
  <r>
    <s v="diesel_Alsthom_AD30B"/>
    <x v="0"/>
    <x v="1"/>
    <x v="6"/>
    <x v="0"/>
    <s v="AFRICA_NO_REGION_NO_REGION_NO_REGION"/>
    <x v="0"/>
    <x v="1"/>
    <x v="1"/>
    <x v="1"/>
    <x v="1"/>
    <x v="1"/>
    <x v="1"/>
    <x v="1"/>
    <x v="1"/>
  </r>
  <r>
    <s v="steam_Porter_2_8_2_Class_200_Katanga_Mikado"/>
    <x v="0"/>
    <x v="1"/>
    <x v="1"/>
    <x v="0"/>
    <s v="AFRICA_NO_REGION_NO_REGION_NO_REGION"/>
    <x v="0"/>
    <x v="1"/>
    <x v="1"/>
    <x v="1"/>
    <x v="1"/>
    <x v="1"/>
    <x v="1"/>
    <x v="1"/>
    <x v="1"/>
  </r>
  <r>
    <s v="cargoemu_Kawasaki_Nippon_Sharyo_Toshiba_M250"/>
    <x v="0"/>
    <x v="1"/>
    <x v="0"/>
    <x v="0"/>
    <s v="ASIA_NO_REGION_NO_REGION_NO_REGION"/>
    <x v="1"/>
    <x v="0"/>
    <x v="1"/>
    <x v="1"/>
    <x v="1"/>
    <x v="1"/>
    <x v="1"/>
    <x v="1"/>
    <x v="1"/>
  </r>
  <r>
    <s v="rbs_Esslingen_MAN_Hohenzollern_Thomas"/>
    <x v="0"/>
    <x v="1"/>
    <x v="2"/>
    <x v="0"/>
    <s v="NORTH_WEST_EUROPE_NO_REGION_NO_REGION_NO_REGION"/>
    <x v="1"/>
    <x v="1"/>
    <x v="1"/>
    <x v="1"/>
    <x v="0"/>
    <x v="0"/>
    <x v="1"/>
    <x v="1"/>
    <x v="1"/>
  </r>
  <r>
    <s v="rbs_Komarek_NOLB_30_33"/>
    <x v="0"/>
    <x v="1"/>
    <x v="1"/>
    <x v="0"/>
    <s v="WESTERN_EUROPE_NO_REGION_NO_REGION_NO_REGION"/>
    <x v="1"/>
    <x v="1"/>
    <x v="1"/>
    <x v="1"/>
    <x v="0"/>
    <x v="1"/>
    <x v="1"/>
    <x v="1"/>
    <x v="1"/>
  </r>
  <r>
    <s v="steam_Henschel_4_4_2_19906"/>
    <x v="0"/>
    <x v="1"/>
    <x v="3"/>
    <x v="0"/>
    <s v="AFRICA_NO_REGION_NO_REGION_NO_REGION"/>
    <x v="0"/>
    <x v="1"/>
    <x v="1"/>
    <x v="1"/>
    <x v="1"/>
    <x v="1"/>
    <x v="1"/>
    <x v="1"/>
    <x v="1"/>
  </r>
  <r>
    <s v="steam_Haine_Saint_Pierre_2_6_0_0_6_2T_Golwe"/>
    <x v="0"/>
    <x v="1"/>
    <x v="3"/>
    <x v="0"/>
    <s v="AFRICA_NO_REGION_NO_REGION_NO_REGION"/>
    <x v="0"/>
    <x v="1"/>
    <x v="1"/>
    <x v="1"/>
    <x v="1"/>
    <x v="1"/>
    <x v="1"/>
    <x v="1"/>
    <x v="1"/>
  </r>
  <r>
    <s v="diesel_Henschel_EMD_TT12"/>
    <x v="0"/>
    <x v="1"/>
    <x v="4"/>
    <x v="0"/>
    <s v="AFRICA_NO_REGION_NO_REGION_NO_REGION"/>
    <x v="0"/>
    <x v="1"/>
    <x v="1"/>
    <x v="1"/>
    <x v="1"/>
    <x v="1"/>
    <x v="1"/>
    <x v="1"/>
    <x v="1"/>
  </r>
  <r>
    <s v="diesel_Henschel_GE_G16"/>
    <x v="0"/>
    <x v="1"/>
    <x v="6"/>
    <x v="0"/>
    <s v="AFRICA_NO_REGION_NO_REGION_NO_REGION"/>
    <x v="0"/>
    <x v="1"/>
    <x v="1"/>
    <x v="1"/>
    <x v="1"/>
    <x v="1"/>
    <x v="1"/>
    <x v="1"/>
    <x v="1"/>
  </r>
  <r>
    <s v="electric_ACEC_BN_Type_2450"/>
    <x v="0"/>
    <x v="1"/>
    <x v="6"/>
    <x v="0"/>
    <s v="AFRICA_NO_REGION_NO_REGION_NO_REGION"/>
    <x v="0"/>
    <x v="1"/>
    <x v="1"/>
    <x v="1"/>
    <x v="1"/>
    <x v="1"/>
    <x v="1"/>
    <x v="1"/>
    <x v="1"/>
  </r>
  <r>
    <s v="diesel_Alsthom_BB_BB_300"/>
    <x v="0"/>
    <x v="1"/>
    <x v="6"/>
    <x v="0"/>
    <s v="AFRICA_NO_REGION_NO_REGION_NO_REGION"/>
    <x v="0"/>
    <x v="1"/>
    <x v="1"/>
    <x v="1"/>
    <x v="1"/>
    <x v="1"/>
    <x v="1"/>
    <x v="1"/>
    <x v="1"/>
  </r>
  <r>
    <s v="diesel_Sorefame_DE8"/>
    <x v="0"/>
    <x v="1"/>
    <x v="6"/>
    <x v="0"/>
    <s v="AFRICA_NO_REGION_NO_REGION_NO_REGION"/>
    <x v="0"/>
    <x v="1"/>
    <x v="1"/>
    <x v="1"/>
    <x v="1"/>
    <x v="1"/>
    <x v="1"/>
    <x v="1"/>
    <x v="1"/>
  </r>
  <r>
    <s v="diesel_GMD_GT22LC_2"/>
    <x v="0"/>
    <x v="1"/>
    <x v="5"/>
    <x v="0"/>
    <s v="AFRICA_NO_REGION_NO_REGION_NO_REGION"/>
    <x v="0"/>
    <x v="1"/>
    <x v="1"/>
    <x v="1"/>
    <x v="1"/>
    <x v="1"/>
    <x v="1"/>
    <x v="1"/>
    <x v="1"/>
  </r>
  <r>
    <s v="electric_TRC_E6800"/>
    <x v="0"/>
    <x v="1"/>
    <x v="10"/>
    <x v="0"/>
    <s v="AFRICA_NO_REGION_NO_REGION_NO_REGION"/>
    <x v="0"/>
    <x v="1"/>
    <x v="1"/>
    <x v="1"/>
    <x v="1"/>
    <x v="1"/>
    <x v="1"/>
    <x v="1"/>
    <x v="1"/>
  </r>
  <r>
    <s v="mtro_Brooklyn_Union_Gate_Elevated"/>
    <x v="0"/>
    <x v="1"/>
    <x v="2"/>
    <x v="0"/>
    <s v="NORTH_AMERICA_NO_REGION_NO_REGION_NO_REGION"/>
    <x v="1"/>
    <x v="1"/>
    <x v="1"/>
    <x v="1"/>
    <x v="1"/>
    <x v="1"/>
    <x v="0"/>
    <x v="1"/>
    <x v="1"/>
  </r>
  <r>
    <s v="mu_Coach_Gen5_CityNightLine_Sleeper"/>
    <x v="0"/>
    <x v="0"/>
    <x v="5"/>
    <x v="0"/>
    <s v="ALL_REGION_NO_REGION_NO_REGION_NO_REGION"/>
    <x v="0"/>
    <x v="0"/>
    <x v="0"/>
    <x v="0"/>
    <x v="0"/>
    <x v="0"/>
    <x v="0"/>
    <x v="0"/>
    <x v="0"/>
  </r>
  <r>
    <s v="mu_Coach_Gen4_Trans_Euro_Night_Sleeper"/>
    <x v="0"/>
    <x v="0"/>
    <x v="6"/>
    <x v="0"/>
    <s v="ALL_REGION_NO_REGION_NO_REGION_NO_REGION"/>
    <x v="0"/>
    <x v="0"/>
    <x v="0"/>
    <x v="0"/>
    <x v="0"/>
    <x v="0"/>
    <x v="0"/>
    <x v="0"/>
    <x v="0"/>
  </r>
  <r>
    <s v="mu_Wagon_Gen1_Livestock_Van"/>
    <x v="0"/>
    <x v="0"/>
    <x v="7"/>
    <x v="0"/>
    <s v="ALL_REGION_NO_REGION_NO_REGION_NO_REGION"/>
    <x v="0"/>
    <x v="0"/>
    <x v="0"/>
    <x v="0"/>
    <x v="0"/>
    <x v="0"/>
    <x v="0"/>
    <x v="0"/>
    <x v="0"/>
  </r>
  <r>
    <s v="mu_Wagon_Gen2_Livestock_Van"/>
    <x v="0"/>
    <x v="0"/>
    <x v="2"/>
    <x v="0"/>
    <s v="ALL_REGION_NO_REGION_NO_REGION_NO_REGION"/>
    <x v="0"/>
    <x v="0"/>
    <x v="0"/>
    <x v="0"/>
    <x v="0"/>
    <x v="0"/>
    <x v="0"/>
    <x v="0"/>
    <x v="0"/>
  </r>
  <r>
    <s v="mu_Wagon_Gen3_Livestock_Van"/>
    <x v="0"/>
    <x v="0"/>
    <x v="3"/>
    <x v="0"/>
    <s v="ALL_REGION_NO_REGION_NO_REGION_NO_REGION"/>
    <x v="0"/>
    <x v="0"/>
    <x v="0"/>
    <x v="0"/>
    <x v="0"/>
    <x v="0"/>
    <x v="0"/>
    <x v="0"/>
    <x v="0"/>
  </r>
  <r>
    <s v="mu_Wagon_Gen4_Livestock_Van"/>
    <x v="0"/>
    <x v="0"/>
    <x v="4"/>
    <x v="0"/>
    <s v="ALL_REGION_NO_REGION_NO_REGION_NO_REGION"/>
    <x v="0"/>
    <x v="0"/>
    <x v="0"/>
    <x v="0"/>
    <x v="0"/>
    <x v="0"/>
    <x v="0"/>
    <x v="0"/>
    <x v="0"/>
  </r>
  <r>
    <s v="mu_Wagon_Gen5_Livestock_Van"/>
    <x v="0"/>
    <x v="0"/>
    <x v="5"/>
    <x v="0"/>
    <s v="ALL_REGION_NO_REGION_NO_REGION_NO_REGION"/>
    <x v="0"/>
    <x v="0"/>
    <x v="0"/>
    <x v="0"/>
    <x v="0"/>
    <x v="0"/>
    <x v="0"/>
    <x v="0"/>
    <x v="0"/>
  </r>
  <r>
    <s v="mu_Wagon_Gen6_Livestock_Van"/>
    <x v="0"/>
    <x v="0"/>
    <x v="0"/>
    <x v="0"/>
    <s v="ALL_REGION_NO_REGION_NO_REGION_NO_REGION"/>
    <x v="0"/>
    <x v="0"/>
    <x v="0"/>
    <x v="0"/>
    <x v="0"/>
    <x v="0"/>
    <x v="0"/>
    <x v="0"/>
    <x v="0"/>
  </r>
  <r>
    <s v="mglv_Wagon_Gen7M_Livestock_Van"/>
    <x v="0"/>
    <x v="0"/>
    <x v="0"/>
    <x v="0"/>
    <s v="ALL_REGION_NO_REGION_NO_REGION_NO_REGION"/>
    <x v="0"/>
    <x v="0"/>
    <x v="0"/>
    <x v="0"/>
    <x v="0"/>
    <x v="0"/>
    <x v="0"/>
    <x v="0"/>
    <x v="0"/>
  </r>
  <r>
    <s v="electric_Ganz_MAVAG_VM15_V63"/>
    <x v="0"/>
    <x v="1"/>
    <x v="6"/>
    <x v="0"/>
    <s v="EASTERN_EUROPE_NO_REGION_NO_REGION_NO_REGION"/>
    <x v="1"/>
    <x v="1"/>
    <x v="1"/>
    <x v="0"/>
    <x v="1"/>
    <x v="1"/>
    <x v="1"/>
    <x v="1"/>
    <x v="1"/>
  </r>
  <r>
    <s v="mtro_BREL_ABB_London_1992_Stock"/>
    <x v="0"/>
    <x v="1"/>
    <x v="5"/>
    <x v="0"/>
    <s v="NORTHERN_EUROPE_NO_REGION_NO_REGION_NO_REGION"/>
    <x v="1"/>
    <x v="1"/>
    <x v="1"/>
    <x v="1"/>
    <x v="1"/>
    <x v="0"/>
    <x v="1"/>
    <x v="1"/>
    <x v="1"/>
  </r>
  <r>
    <s v="mtro_Bombardier_Movia_London_S_Stock"/>
    <x v="0"/>
    <x v="1"/>
    <x v="0"/>
    <x v="0"/>
    <s v="NORTHERN_EUROPE_NO_REGION_NO_REGION_NO_REGION"/>
    <x v="1"/>
    <x v="1"/>
    <x v="1"/>
    <x v="1"/>
    <x v="1"/>
    <x v="0"/>
    <x v="1"/>
    <x v="1"/>
    <x v="1"/>
  </r>
  <r>
    <s v="mtro_Metro_Cammell_London_1972_Stock"/>
    <x v="0"/>
    <x v="1"/>
    <x v="6"/>
    <x v="0"/>
    <s v="NORTHERN_EUROPE_NO_REGION_NO_REGION_NO_REGION"/>
    <x v="1"/>
    <x v="1"/>
    <x v="1"/>
    <x v="1"/>
    <x v="1"/>
    <x v="0"/>
    <x v="1"/>
    <x v="1"/>
    <x v="1"/>
  </r>
  <r>
    <s v="mtro_Metro_Cammell_London_1959_Stock"/>
    <x v="0"/>
    <x v="1"/>
    <x v="4"/>
    <x v="0"/>
    <s v="NORTHERN_EUROPE_NO_REGION_NO_REGION_NO_REGION"/>
    <x v="1"/>
    <x v="1"/>
    <x v="1"/>
    <x v="1"/>
    <x v="1"/>
    <x v="0"/>
    <x v="1"/>
    <x v="1"/>
    <x v="1"/>
  </r>
  <r>
    <s v="mtro_Kawasaki_HI_C151"/>
    <x v="0"/>
    <x v="1"/>
    <x v="5"/>
    <x v="0"/>
    <s v="ASIA_NO_REGION_NO_REGION_NO_REGION"/>
    <x v="1"/>
    <x v="0"/>
    <x v="1"/>
    <x v="1"/>
    <x v="1"/>
    <x v="1"/>
    <x v="1"/>
    <x v="1"/>
    <x v="1"/>
  </r>
  <r>
    <s v="mtro_Kawasaki_HI___Nippon_Sharyo_C751B"/>
    <x v="0"/>
    <x v="1"/>
    <x v="0"/>
    <x v="0"/>
    <s v="ASIA_NO_REGION_NO_REGION_NO_REGION"/>
    <x v="1"/>
    <x v="0"/>
    <x v="1"/>
    <x v="1"/>
    <x v="1"/>
    <x v="1"/>
    <x v="1"/>
    <x v="1"/>
    <x v="1"/>
  </r>
  <r>
    <s v="mtro_Comeng_Light_Metro_Prototype"/>
    <x v="0"/>
    <x v="1"/>
    <x v="6"/>
    <x v="0"/>
    <s v="OCEANIA_NO_REGION_NO_REGION_NO_REGION"/>
    <x v="1"/>
    <x v="1"/>
    <x v="1"/>
    <x v="1"/>
    <x v="1"/>
    <x v="1"/>
    <x v="1"/>
    <x v="1"/>
    <x v="0"/>
  </r>
  <r>
    <s v="emu_Comeng_EMU"/>
    <x v="0"/>
    <x v="1"/>
    <x v="5"/>
    <x v="0"/>
    <s v="OCEANIA_NO_REGION_NO_REGION_NO_REGION"/>
    <x v="1"/>
    <x v="1"/>
    <x v="1"/>
    <x v="1"/>
    <x v="1"/>
    <x v="1"/>
    <x v="1"/>
    <x v="1"/>
    <x v="0"/>
  </r>
  <r>
    <s v="emu_Evolution_Rail_HCMT_Munnel"/>
    <x v="0"/>
    <x v="1"/>
    <x v="10"/>
    <x v="0"/>
    <s v="OCEANIA_NO_REGION_NO_REGION_NO_REGION"/>
    <x v="1"/>
    <x v="1"/>
    <x v="1"/>
    <x v="1"/>
    <x v="1"/>
    <x v="1"/>
    <x v="1"/>
    <x v="1"/>
    <x v="0"/>
  </r>
  <r>
    <s v="diesel_LTZ_DR_130"/>
    <x v="1"/>
    <x v="1"/>
    <x v="6"/>
    <x v="0"/>
    <s v="WESTERN_EUROPE_COMECON_NO_REGION_NO_REGION"/>
    <x v="1"/>
    <x v="0"/>
    <x v="1"/>
    <x v="0"/>
    <x v="0"/>
    <x v="1"/>
    <x v="1"/>
    <x v="1"/>
    <x v="1"/>
  </r>
  <r>
    <s v="diesel_GE_AC6044CW"/>
    <x v="1"/>
    <x v="1"/>
    <x v="5"/>
    <x v="0"/>
    <s v="ALL_AMERICA_OCEANIA_NO_REGION_NO_REGION"/>
    <x v="1"/>
    <x v="1"/>
    <x v="1"/>
    <x v="1"/>
    <x v="1"/>
    <x v="1"/>
    <x v="0"/>
    <x v="0"/>
    <x v="0"/>
  </r>
  <r>
    <s v="diesel_GE_AC6000CW"/>
    <x v="0"/>
    <x v="1"/>
    <x v="5"/>
    <x v="0"/>
    <s v="ALL_AMERICA_OCEANIA_NO_REGION_NO_REGION"/>
    <x v="1"/>
    <x v="1"/>
    <x v="1"/>
    <x v="1"/>
    <x v="1"/>
    <x v="1"/>
    <x v="0"/>
    <x v="0"/>
    <x v="0"/>
  </r>
  <r>
    <s v="steam_Robert_Stephenson_and_Co_2_2_2_192"/>
    <x v="0"/>
    <x v="1"/>
    <x v="9"/>
    <x v="0"/>
    <s v="AFRICA_NO_REGION_NO_REGION_NO_REGION"/>
    <x v="0"/>
    <x v="1"/>
    <x v="1"/>
    <x v="1"/>
    <x v="1"/>
    <x v="1"/>
    <x v="1"/>
    <x v="1"/>
    <x v="1"/>
  </r>
  <r>
    <s v="emu_Comeng_MK_Hitachi_Trains"/>
    <x v="0"/>
    <x v="1"/>
    <x v="6"/>
    <x v="0"/>
    <s v="OCEANIA_NO_REGION_NO_REGION_NO_REGION"/>
    <x v="1"/>
    <x v="1"/>
    <x v="1"/>
    <x v="1"/>
    <x v="1"/>
    <x v="1"/>
    <x v="1"/>
    <x v="1"/>
    <x v="0"/>
  </r>
  <r>
    <s v="emu_GRC_W_Harris_Trains"/>
    <x v="0"/>
    <x v="1"/>
    <x v="4"/>
    <x v="0"/>
    <s v="OCEANIA_NO_REGION_NO_REGION_NO_REGION"/>
    <x v="1"/>
    <x v="1"/>
    <x v="1"/>
    <x v="1"/>
    <x v="1"/>
    <x v="1"/>
    <x v="1"/>
    <x v="1"/>
    <x v="0"/>
  </r>
  <r>
    <s v="emu_Siemens_Nexas"/>
    <x v="0"/>
    <x v="1"/>
    <x v="10"/>
    <x v="0"/>
    <s v="OCEANIA_NO_REGION_NO_REGION_NO_REGION"/>
    <x v="1"/>
    <x v="1"/>
    <x v="1"/>
    <x v="1"/>
    <x v="1"/>
    <x v="1"/>
    <x v="1"/>
    <x v="1"/>
    <x v="0"/>
  </r>
  <r>
    <s v="emu_Victorian_Railways_Tait_Trains"/>
    <x v="0"/>
    <x v="1"/>
    <x v="1"/>
    <x v="0"/>
    <s v="OCEANIA_NO_REGION_NO_REGION_NO_REGION"/>
    <x v="1"/>
    <x v="1"/>
    <x v="1"/>
    <x v="1"/>
    <x v="1"/>
    <x v="1"/>
    <x v="1"/>
    <x v="1"/>
    <x v="0"/>
  </r>
  <r>
    <s v="mtro_ABB_Henschel_Berlin_BVG_F74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mtro_Adtranz_Berlin_BVG_H"/>
    <x v="0"/>
    <x v="1"/>
    <x v="5"/>
    <x v="0"/>
    <s v="WESTERN_EUROPE_NO_REGION_NO_REGION_NO_REGION"/>
    <x v="1"/>
    <x v="1"/>
    <x v="1"/>
    <x v="1"/>
    <x v="0"/>
    <x v="1"/>
    <x v="1"/>
    <x v="1"/>
    <x v="1"/>
  </r>
  <r>
    <s v="steam_LB_SCR_BRW_0_6_0T_A1"/>
    <x v="0"/>
    <x v="1"/>
    <x v="9"/>
    <x v="0"/>
    <s v="NORTHERN_EUROPE_OCEANIA_NO_REGION_NO_REGION"/>
    <x v="1"/>
    <x v="1"/>
    <x v="1"/>
    <x v="1"/>
    <x v="1"/>
    <x v="0"/>
    <x v="1"/>
    <x v="1"/>
    <x v="0"/>
  </r>
  <r>
    <s v="steam_BP_4_6_4T_4444_4478_C30"/>
    <x v="0"/>
    <x v="1"/>
    <x v="1"/>
    <x v="0"/>
    <s v="OCEANIA_NO_REGION_NO_REGION_NO_REGION"/>
    <x v="1"/>
    <x v="1"/>
    <x v="1"/>
    <x v="1"/>
    <x v="1"/>
    <x v="1"/>
    <x v="1"/>
    <x v="1"/>
    <x v="0"/>
  </r>
  <r>
    <s v="steam_BP_Baldwin_Clyde_4_6_0_C32"/>
    <x v="0"/>
    <x v="1"/>
    <x v="2"/>
    <x v="0"/>
    <s v="OCEANIA_NO_REGION_NO_REGION_NO_REGION"/>
    <x v="1"/>
    <x v="1"/>
    <x v="1"/>
    <x v="1"/>
    <x v="1"/>
    <x v="1"/>
    <x v="1"/>
    <x v="1"/>
    <x v="0"/>
  </r>
  <r>
    <s v="steam_BP_NBLC_2_8_0_D50"/>
    <x v="0"/>
    <x v="1"/>
    <x v="2"/>
    <x v="0"/>
    <s v="OCEANIA_NO_REGION_NO_REGION_NO_REGION"/>
    <x v="1"/>
    <x v="1"/>
    <x v="1"/>
    <x v="1"/>
    <x v="1"/>
    <x v="1"/>
    <x v="1"/>
    <x v="1"/>
    <x v="0"/>
  </r>
  <r>
    <s v="steam_BP_Dubs_4_4_0_Z12"/>
    <x v="0"/>
    <x v="1"/>
    <x v="9"/>
    <x v="0"/>
    <s v="OCEANIA_NO_REGION_NO_REGION_NO_REGION"/>
    <x v="1"/>
    <x v="1"/>
    <x v="1"/>
    <x v="1"/>
    <x v="1"/>
    <x v="1"/>
    <x v="1"/>
    <x v="1"/>
    <x v="0"/>
  </r>
  <r>
    <s v="steam_BP_0_6_0_Z19"/>
    <x v="0"/>
    <x v="1"/>
    <x v="9"/>
    <x v="0"/>
    <s v="OCEANIA_NO_REGION_NO_REGION_NO_REGION"/>
    <x v="1"/>
    <x v="1"/>
    <x v="1"/>
    <x v="1"/>
    <x v="1"/>
    <x v="1"/>
    <x v="1"/>
    <x v="1"/>
    <x v="0"/>
  </r>
  <r>
    <s v="steam_Dubs_2_6_2ST_Z26"/>
    <x v="0"/>
    <x v="1"/>
    <x v="2"/>
    <x v="0"/>
    <s v="OCEANIA_NO_REGION_NO_REGION_NO_REGION"/>
    <x v="1"/>
    <x v="1"/>
    <x v="1"/>
    <x v="1"/>
    <x v="1"/>
    <x v="1"/>
    <x v="1"/>
    <x v="1"/>
    <x v="0"/>
  </r>
  <r>
    <s v="steam_GCR_Kitson_NBLC_ROD_2_8_0_8K"/>
    <x v="0"/>
    <x v="1"/>
    <x v="3"/>
    <x v="0"/>
    <s v="NORTHERN_EUROPE_OCEANIA_NO_REGION_NO_REGION"/>
    <x v="1"/>
    <x v="1"/>
    <x v="1"/>
    <x v="1"/>
    <x v="1"/>
    <x v="0"/>
    <x v="1"/>
    <x v="1"/>
    <x v="0"/>
  </r>
  <r>
    <s v="steam_ALCO_4_6_2_SAR_600"/>
    <x v="0"/>
    <x v="1"/>
    <x v="3"/>
    <x v="0"/>
    <s v="OCEANIA_NO_REGION_NO_REGION_NO_REGION"/>
    <x v="1"/>
    <x v="1"/>
    <x v="1"/>
    <x v="1"/>
    <x v="1"/>
    <x v="1"/>
    <x v="1"/>
    <x v="1"/>
    <x v="0"/>
  </r>
  <r>
    <s v="steam_BP_2_8_2T_South_Maitland_10"/>
    <x v="0"/>
    <x v="1"/>
    <x v="1"/>
    <x v="0"/>
    <s v="OCEANIA_NO_REGION_NO_REGION_NO_REGION"/>
    <x v="1"/>
    <x v="1"/>
    <x v="1"/>
    <x v="1"/>
    <x v="1"/>
    <x v="1"/>
    <x v="1"/>
    <x v="1"/>
    <x v="0"/>
  </r>
  <r>
    <s v="steam_Victorian_Railways_H"/>
    <x v="0"/>
    <x v="1"/>
    <x v="4"/>
    <x v="0"/>
    <s v="OCEANIA_NO_REGION_NO_REGION_NO_REGION"/>
    <x v="1"/>
    <x v="1"/>
    <x v="1"/>
    <x v="1"/>
    <x v="1"/>
    <x v="1"/>
    <x v="1"/>
    <x v="1"/>
    <x v="0"/>
  </r>
  <r>
    <s v="diesel_BTH_41_Class"/>
    <x v="0"/>
    <x v="1"/>
    <x v="4"/>
    <x v="0"/>
    <s v="OCEANIA_NO_REGION_NO_REGION_NO_REGION"/>
    <x v="1"/>
    <x v="1"/>
    <x v="1"/>
    <x v="1"/>
    <x v="1"/>
    <x v="1"/>
    <x v="1"/>
    <x v="1"/>
    <x v="0"/>
  </r>
  <r>
    <s v="diesel_ALCO_AE_Goodwin_DL531_532"/>
    <x v="0"/>
    <x v="1"/>
    <x v="4"/>
    <x v="0"/>
    <s v="COMECON_APAC_NO_REGION_NO_REGION"/>
    <x v="1"/>
    <x v="0"/>
    <x v="1"/>
    <x v="0"/>
    <x v="1"/>
    <x v="1"/>
    <x v="1"/>
    <x v="1"/>
    <x v="0"/>
  </r>
  <r>
    <s v="diesel_ALCO_AE_Goodwin_DL500"/>
    <x v="0"/>
    <x v="1"/>
    <x v="4"/>
    <x v="0"/>
    <s v="SOUTH_AMERICA_NORTHERN_EUROPE_SOUTHERN_EUROPE_APAC"/>
    <x v="1"/>
    <x v="0"/>
    <x v="0"/>
    <x v="1"/>
    <x v="1"/>
    <x v="0"/>
    <x v="1"/>
    <x v="0"/>
    <x v="0"/>
  </r>
  <r>
    <s v="diesel_EMD_Clyde_A16C"/>
    <x v="0"/>
    <x v="1"/>
    <x v="4"/>
    <x v="0"/>
    <s v="OCEANIA_NO_REGION_NO_REGION_NO_REGION"/>
    <x v="1"/>
    <x v="1"/>
    <x v="1"/>
    <x v="1"/>
    <x v="1"/>
    <x v="1"/>
    <x v="1"/>
    <x v="1"/>
    <x v="0"/>
  </r>
  <r>
    <s v="diesel_EMD_Clyde_AAT22C_2R"/>
    <x v="1"/>
    <x v="1"/>
    <x v="5"/>
    <x v="0"/>
    <s v="OCEANIA_NO_REGION_NO_REGION_NO_REGION"/>
    <x v="1"/>
    <x v="1"/>
    <x v="1"/>
    <x v="1"/>
    <x v="1"/>
    <x v="1"/>
    <x v="1"/>
    <x v="1"/>
    <x v="0"/>
  </r>
  <r>
    <s v="diesel_EMD_Clyde_A7"/>
    <x v="0"/>
    <x v="1"/>
    <x v="4"/>
    <x v="0"/>
    <s v="OCEANIA_NO_REGION_NO_REGION_NO_REGION"/>
    <x v="1"/>
    <x v="1"/>
    <x v="1"/>
    <x v="1"/>
    <x v="1"/>
    <x v="1"/>
    <x v="1"/>
    <x v="1"/>
    <x v="0"/>
  </r>
  <r>
    <s v="diesel_EMD_Clyde_AT42C_"/>
    <x v="0"/>
    <x v="1"/>
    <x v="5"/>
    <x v="0"/>
    <s v="OCEANIA_NO_REGION_NO_REGION_NO_REGION"/>
    <x v="1"/>
    <x v="1"/>
    <x v="1"/>
    <x v="1"/>
    <x v="1"/>
    <x v="1"/>
    <x v="1"/>
    <x v="1"/>
    <x v="0"/>
  </r>
  <r>
    <s v="electric_Clyde_ASEA_CF48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EMD_GT46CWM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Clyde_EMD_GT46CW_NR_Concept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Clyde_JE28C_PTC_73_Class_Concept"/>
    <x v="0"/>
    <x v="1"/>
    <x v="6"/>
    <x v="0"/>
    <s v="OCEANIA_NO_REGION_NO_REGION_NO_REGION"/>
    <x v="1"/>
    <x v="1"/>
    <x v="1"/>
    <x v="1"/>
    <x v="1"/>
    <x v="1"/>
    <x v="1"/>
    <x v="1"/>
    <x v="0"/>
  </r>
  <r>
    <s v="diesel_EMD_Clyde_JT22HC_2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EMD_Clyde_JT26C_2SS_NSW_81"/>
    <x v="1"/>
    <x v="1"/>
    <x v="5"/>
    <x v="0"/>
    <s v="OCEANIA_NO_REGION_NO_REGION_NO_REGION"/>
    <x v="1"/>
    <x v="1"/>
    <x v="1"/>
    <x v="1"/>
    <x v="1"/>
    <x v="1"/>
    <x v="1"/>
    <x v="1"/>
    <x v="0"/>
  </r>
  <r>
    <s v="diesel_EMD_Clyde_JT26C_2SS_V_line_G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EMD_Clyde_JT42C_NSW82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EMD_JT42C_90_1277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EMD_Clyde_JT42C"/>
    <x v="1"/>
    <x v="1"/>
    <x v="4"/>
    <x v="0"/>
    <s v="OCEANIA_NO_REGION_NO_REGION_NO_REGION"/>
    <x v="1"/>
    <x v="1"/>
    <x v="1"/>
    <x v="1"/>
    <x v="1"/>
    <x v="1"/>
    <x v="1"/>
    <x v="1"/>
    <x v="0"/>
  </r>
  <r>
    <s v="diesel_EMD_Clyde_ML2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EMD_Clyde_G16C_X1"/>
    <x v="0"/>
    <x v="1"/>
    <x v="6"/>
    <x v="0"/>
    <s v="OCEANIA_NO_REGION_NO_REGION_NO_REGION"/>
    <x v="1"/>
    <x v="1"/>
    <x v="1"/>
    <x v="1"/>
    <x v="1"/>
    <x v="1"/>
    <x v="1"/>
    <x v="1"/>
    <x v="0"/>
  </r>
  <r>
    <s v="diesel_EMD_Clyde_G26C_X2"/>
    <x v="1"/>
    <x v="1"/>
    <x v="6"/>
    <x v="0"/>
    <s v="OCEANIA_NO_REGION_NO_REGION_NO_REGION"/>
    <x v="1"/>
    <x v="1"/>
    <x v="1"/>
    <x v="1"/>
    <x v="1"/>
    <x v="1"/>
    <x v="1"/>
    <x v="1"/>
    <x v="0"/>
  </r>
  <r>
    <s v="diesel_EMD_Clyde_G26C_X3"/>
    <x v="1"/>
    <x v="1"/>
    <x v="6"/>
    <x v="0"/>
    <s v="OCEANIA_NO_REGION_NO_REGION_NO_REGION"/>
    <x v="1"/>
    <x v="1"/>
    <x v="1"/>
    <x v="1"/>
    <x v="1"/>
    <x v="1"/>
    <x v="1"/>
    <x v="1"/>
    <x v="0"/>
  </r>
  <r>
    <s v="diesel_ALCO_Comeng_CE615A"/>
    <x v="0"/>
    <x v="1"/>
    <x v="6"/>
    <x v="0"/>
    <s v="OCEANIA_NO_REGION_NO_REGION_NO_REGION"/>
    <x v="1"/>
    <x v="1"/>
    <x v="1"/>
    <x v="1"/>
    <x v="1"/>
    <x v="1"/>
    <x v="1"/>
    <x v="1"/>
    <x v="0"/>
  </r>
  <r>
    <s v="electric_Comeng_Class_85"/>
    <x v="0"/>
    <x v="1"/>
    <x v="6"/>
    <x v="0"/>
    <s v="OCEANIA_NO_REGION_NO_REGION_NO_REGION"/>
    <x v="1"/>
    <x v="1"/>
    <x v="1"/>
    <x v="1"/>
    <x v="1"/>
    <x v="1"/>
    <x v="1"/>
    <x v="1"/>
    <x v="0"/>
  </r>
  <r>
    <s v="electric_Comeng_Maldon_Dombarton_8650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EMD_NOHAB_J30C_2DSB_MZ_III"/>
    <x v="0"/>
    <x v="1"/>
    <x v="6"/>
    <x v="0"/>
    <s v="OCEANIA_NORTHERN_EUROPE_NO_REGION_NO_REGION"/>
    <x v="1"/>
    <x v="1"/>
    <x v="1"/>
    <x v="1"/>
    <x v="1"/>
    <x v="0"/>
    <x v="1"/>
    <x v="1"/>
    <x v="0"/>
  </r>
  <r>
    <s v="diesel_EMD_Clyde_AT26C_Twin_16_645"/>
    <x v="0"/>
    <x v="1"/>
    <x v="6"/>
    <x v="0"/>
    <s v="OCEANIA_NO_REGION_NO_REGION_NO_REGION"/>
    <x v="1"/>
    <x v="1"/>
    <x v="1"/>
    <x v="1"/>
    <x v="1"/>
    <x v="1"/>
    <x v="1"/>
    <x v="1"/>
    <x v="0"/>
  </r>
  <r>
    <s v="diesel_EMD_Clyde_GL26C_2"/>
    <x v="0"/>
    <x v="1"/>
    <x v="5"/>
    <x v="0"/>
    <s v="OCEANIA_NO_REGION_NO_REGION_NO_REGION"/>
    <x v="1"/>
    <x v="1"/>
    <x v="1"/>
    <x v="1"/>
    <x v="1"/>
    <x v="1"/>
    <x v="1"/>
    <x v="1"/>
    <x v="0"/>
  </r>
  <r>
    <s v="diesel_EEC_A_249_"/>
    <x v="0"/>
    <x v="1"/>
    <x v="6"/>
    <x v="0"/>
    <s v="OCEANIA_NO_REGION_NO_REGION_NO_REGION"/>
    <x v="1"/>
    <x v="1"/>
    <x v="1"/>
    <x v="1"/>
    <x v="1"/>
    <x v="1"/>
    <x v="1"/>
    <x v="1"/>
    <x v="0"/>
  </r>
  <r>
    <s v="diesel_EEC_A_253"/>
    <x v="0"/>
    <x v="1"/>
    <x v="6"/>
    <x v="0"/>
    <s v="OCEANIA_NO_REGION_NO_REGION_NO_REGION"/>
    <x v="1"/>
    <x v="1"/>
    <x v="1"/>
    <x v="1"/>
    <x v="1"/>
    <x v="1"/>
    <x v="1"/>
    <x v="1"/>
    <x v="0"/>
  </r>
  <r>
    <s v="diesel_GE_U26C"/>
    <x v="0"/>
    <x v="1"/>
    <x v="6"/>
    <x v="0"/>
    <s v="OCEANIA_AFRICA_SOUTH_AMERICA_NO_REGION"/>
    <x v="0"/>
    <x v="1"/>
    <x v="1"/>
    <x v="1"/>
    <x v="1"/>
    <x v="1"/>
    <x v="1"/>
    <x v="0"/>
    <x v="0"/>
  </r>
  <r>
    <s v="electric_Metrowick_BP_786"/>
    <x v="0"/>
    <x v="1"/>
    <x v="4"/>
    <x v="0"/>
    <s v="OCEANIA_NO_REGION_NO_REGION_NO_REGION"/>
    <x v="1"/>
    <x v="1"/>
    <x v="1"/>
    <x v="1"/>
    <x v="1"/>
    <x v="1"/>
    <x v="1"/>
    <x v="1"/>
    <x v="0"/>
  </r>
  <r>
    <s v="diesel_ALCO_RSC_3_77732"/>
    <x v="1"/>
    <x v="1"/>
    <x v="4"/>
    <x v="0"/>
    <s v="OCEANIA_NO_REGION_NO_REGION_NO_REGION"/>
    <x v="1"/>
    <x v="1"/>
    <x v="1"/>
    <x v="1"/>
    <x v="1"/>
    <x v="1"/>
    <x v="1"/>
    <x v="1"/>
    <x v="0"/>
  </r>
  <r>
    <s v="diesel_EMD_Clyde_G8C"/>
    <x v="0"/>
    <x v="1"/>
    <x v="6"/>
    <x v="0"/>
    <s v="OCEANIA_NO_REGION_NO_REGION_NO_REGION"/>
    <x v="1"/>
    <x v="1"/>
    <x v="1"/>
    <x v="1"/>
    <x v="1"/>
    <x v="1"/>
    <x v="1"/>
    <x v="1"/>
    <x v="0"/>
  </r>
  <r>
    <s v="diesel_EMD_Clyde_G12"/>
    <x v="1"/>
    <x v="1"/>
    <x v="4"/>
    <x v="0"/>
    <s v="OCEANIA_NO_REGION_NO_REGION_NO_REGION"/>
    <x v="1"/>
    <x v="1"/>
    <x v="1"/>
    <x v="1"/>
    <x v="1"/>
    <x v="1"/>
    <x v="1"/>
    <x v="1"/>
    <x v="0"/>
  </r>
  <r>
    <s v="diesel_EMD_Clyde_G8"/>
    <x v="0"/>
    <x v="1"/>
    <x v="6"/>
    <x v="0"/>
    <s v="OCEANIA_NO_REGION_NO_REGION_NO_REGION"/>
    <x v="1"/>
    <x v="1"/>
    <x v="1"/>
    <x v="1"/>
    <x v="1"/>
    <x v="1"/>
    <x v="1"/>
    <x v="1"/>
    <x v="0"/>
  </r>
  <r>
    <s v="diesel_Goninan_47_Class"/>
    <x v="0"/>
    <x v="1"/>
    <x v="6"/>
    <x v="0"/>
    <s v="OCEANIA_NO_REGION_NO_REGION_NO_REGION"/>
    <x v="1"/>
    <x v="1"/>
    <x v="1"/>
    <x v="1"/>
    <x v="1"/>
    <x v="1"/>
    <x v="1"/>
    <x v="1"/>
    <x v="0"/>
  </r>
  <r>
    <s v="steam_William_Fairbairn_2_2_2_Baroneza"/>
    <x v="0"/>
    <x v="1"/>
    <x v="8"/>
    <x v="0"/>
    <s v="SOUTH_AMERICA_NO_REGION_NO_REGION_NO_REGION"/>
    <x v="1"/>
    <x v="1"/>
    <x v="1"/>
    <x v="1"/>
    <x v="1"/>
    <x v="1"/>
    <x v="1"/>
    <x v="0"/>
    <x v="1"/>
  </r>
  <r>
    <s v="steam_Hunslet_0_4_0ST_La_Portena"/>
    <x v="0"/>
    <x v="1"/>
    <x v="8"/>
    <x v="0"/>
    <s v="SOUTH_AMERICA_NO_REGION_NO_REGION_NO_REGION"/>
    <x v="1"/>
    <x v="1"/>
    <x v="1"/>
    <x v="1"/>
    <x v="1"/>
    <x v="1"/>
    <x v="1"/>
    <x v="0"/>
    <x v="1"/>
  </r>
  <r>
    <s v="steam_Burnham_2_10_0_Dom_Pedro_Segundo_119"/>
    <x v="0"/>
    <x v="1"/>
    <x v="2"/>
    <x v="0"/>
    <s v="SOUTH_AMERICA_NO_REGION_NO_REGION_NO_REGION"/>
    <x v="1"/>
    <x v="1"/>
    <x v="1"/>
    <x v="1"/>
    <x v="1"/>
    <x v="1"/>
    <x v="1"/>
    <x v="0"/>
    <x v="1"/>
  </r>
  <r>
    <s v="steam_Baldwin_0_22C_No8_Monsefu"/>
    <x v="0"/>
    <x v="1"/>
    <x v="1"/>
    <x v="0"/>
    <s v="SOUTH_AMERICA_NO_REGION_NO_REGION_NO_REGION"/>
    <x v="1"/>
    <x v="1"/>
    <x v="1"/>
    <x v="1"/>
    <x v="1"/>
    <x v="1"/>
    <x v="1"/>
    <x v="0"/>
    <x v="1"/>
  </r>
  <r>
    <s v="steam_FCCP_Q_Class"/>
    <x v="0"/>
    <x v="1"/>
    <x v="1"/>
    <x v="0"/>
    <s v="SOUTH_AMERICA_NO_REGION_NO_REGION_NO_REGION"/>
    <x v="1"/>
    <x v="1"/>
    <x v="1"/>
    <x v="1"/>
    <x v="1"/>
    <x v="1"/>
    <x v="1"/>
    <x v="0"/>
    <x v="1"/>
  </r>
  <r>
    <s v="steam_NBLC_4_6_2_PS10_Class"/>
    <x v="0"/>
    <x v="1"/>
    <x v="1"/>
    <x v="0"/>
    <s v="SOUTH_AMERICA_NO_REGION_NO_REGION_NO_REGION"/>
    <x v="1"/>
    <x v="1"/>
    <x v="1"/>
    <x v="1"/>
    <x v="1"/>
    <x v="1"/>
    <x v="1"/>
    <x v="0"/>
    <x v="1"/>
  </r>
  <r>
    <s v="steam_Yorkshire_Engine_Co__4_8_4T_Nitrate_101"/>
    <x v="0"/>
    <x v="1"/>
    <x v="3"/>
    <x v="0"/>
    <s v="SOUTH_AMERICA_NO_REGION_NO_REGION_NO_REGION"/>
    <x v="1"/>
    <x v="1"/>
    <x v="1"/>
    <x v="1"/>
    <x v="1"/>
    <x v="1"/>
    <x v="1"/>
    <x v="0"/>
    <x v="1"/>
  </r>
  <r>
    <s v="electric_SLM_BBC_1_D_1"/>
    <x v="0"/>
    <x v="1"/>
    <x v="3"/>
    <x v="0"/>
    <s v="SOUTH_AMERICA_NO_REGION_NO_REGION_NO_REGION"/>
    <x v="1"/>
    <x v="1"/>
    <x v="1"/>
    <x v="1"/>
    <x v="1"/>
    <x v="1"/>
    <x v="1"/>
    <x v="0"/>
    <x v="1"/>
  </r>
  <r>
    <s v="electric_GE_2_C_C_2"/>
    <x v="0"/>
    <x v="1"/>
    <x v="4"/>
    <x v="0"/>
    <s v="SOUTH_AMERICA_NO_REGION_NO_REGION_NO_REGION"/>
    <x v="1"/>
    <x v="1"/>
    <x v="1"/>
    <x v="1"/>
    <x v="1"/>
    <x v="1"/>
    <x v="1"/>
    <x v="0"/>
    <x v="1"/>
  </r>
  <r>
    <s v="steam_Norris___Brothers_4_4_0_La_Copiapo"/>
    <x v="0"/>
    <x v="1"/>
    <x v="8"/>
    <x v="0"/>
    <s v="SOUTH_AMERICA_NO_REGION_NO_REGION_NO_REGION"/>
    <x v="1"/>
    <x v="1"/>
    <x v="1"/>
    <x v="1"/>
    <x v="1"/>
    <x v="1"/>
    <x v="1"/>
    <x v="0"/>
    <x v="1"/>
  </r>
  <r>
    <s v="electric_AEG_A1A_A1A"/>
    <x v="0"/>
    <x v="1"/>
    <x v="3"/>
    <x v="0"/>
    <s v="NORTH_AMERICA_NO_REGION_NO_REGION_NO_REGION"/>
    <x v="1"/>
    <x v="1"/>
    <x v="1"/>
    <x v="1"/>
    <x v="1"/>
    <x v="1"/>
    <x v="0"/>
    <x v="1"/>
    <x v="1"/>
  </r>
  <r>
    <s v="dmu_Ganz_Bariloche_DMU"/>
    <x v="0"/>
    <x v="1"/>
    <x v="3"/>
    <x v="0"/>
    <s v="SOUTH_AMERICA_NO_REGION_NO_REGION_NO_REGION"/>
    <x v="1"/>
    <x v="1"/>
    <x v="1"/>
    <x v="1"/>
    <x v="1"/>
    <x v="1"/>
    <x v="1"/>
    <x v="0"/>
    <x v="1"/>
  </r>
  <r>
    <s v="steam_Avonside_0_6_0ST_Sao_Paulo_No__13___14"/>
    <x v="0"/>
    <x v="1"/>
    <x v="9"/>
    <x v="0"/>
    <s v="SOUTH_AMERICA_NO_REGION_NO_REGION_NO_REGION"/>
    <x v="1"/>
    <x v="1"/>
    <x v="1"/>
    <x v="1"/>
    <x v="1"/>
    <x v="1"/>
    <x v="1"/>
    <x v="0"/>
    <x v="1"/>
  </r>
  <r>
    <s v="dmu_Ganz_CMU_4701_Transandino"/>
    <x v="0"/>
    <x v="1"/>
    <x v="6"/>
    <x v="0"/>
    <s v="SOUTH_AMERICA_NO_REGION_NO_REGION_NO_REGION"/>
    <x v="1"/>
    <x v="1"/>
    <x v="1"/>
    <x v="1"/>
    <x v="1"/>
    <x v="1"/>
    <x v="1"/>
    <x v="0"/>
    <x v="1"/>
  </r>
  <r>
    <s v="emu_Kawasaki_Hitachi_AEZ_Railcar"/>
    <x v="0"/>
    <x v="1"/>
    <x v="6"/>
    <x v="0"/>
    <s v="SOUTH_AMERICA_NO_REGION_NO_REGION_NO_REGION"/>
    <x v="1"/>
    <x v="1"/>
    <x v="1"/>
    <x v="1"/>
    <x v="1"/>
    <x v="1"/>
    <x v="1"/>
    <x v="0"/>
    <x v="1"/>
  </r>
  <r>
    <s v="emu_BREL_GEC_Auckland_ART_Concept"/>
    <x v="0"/>
    <x v="1"/>
    <x v="6"/>
    <x v="0"/>
    <s v="OCEANIA_NO_REGION_NO_REGION_NO_REGION"/>
    <x v="1"/>
    <x v="1"/>
    <x v="1"/>
    <x v="1"/>
    <x v="1"/>
    <x v="1"/>
    <x v="1"/>
    <x v="1"/>
    <x v="0"/>
  </r>
  <r>
    <s v="dmu_Comeng_1100_Railcar"/>
    <x v="0"/>
    <x v="1"/>
    <x v="6"/>
    <x v="0"/>
    <s v="OCEANIA_NO_REGION_NO_REGION_NO_REGION"/>
    <x v="1"/>
    <x v="1"/>
    <x v="1"/>
    <x v="1"/>
    <x v="1"/>
    <x v="1"/>
    <x v="1"/>
    <x v="1"/>
    <x v="0"/>
  </r>
  <r>
    <s v="dmu_Thai_Comeng_XPT_Concept"/>
    <x v="0"/>
    <x v="1"/>
    <x v="5"/>
    <x v="0"/>
    <s v="ASIA_NO_REGION_NO_REGION_NO_REGION"/>
    <x v="1"/>
    <x v="0"/>
    <x v="1"/>
    <x v="1"/>
    <x v="1"/>
    <x v="1"/>
    <x v="1"/>
    <x v="1"/>
    <x v="1"/>
  </r>
  <r>
    <s v="dmu_Comeng_NSW_XPT"/>
    <x v="0"/>
    <x v="1"/>
    <x v="5"/>
    <x v="0"/>
    <s v="OCEANIA_NO_REGION_NO_REGION_NO_REGION"/>
    <x v="1"/>
    <x v="1"/>
    <x v="1"/>
    <x v="1"/>
    <x v="1"/>
    <x v="1"/>
    <x v="1"/>
    <x v="1"/>
    <x v="0"/>
  </r>
  <r>
    <s v="emu_Tangara_V_Set_Hybrid_Concept"/>
    <x v="0"/>
    <x v="1"/>
    <x v="5"/>
    <x v="0"/>
    <s v="OCEANIA_NO_REGION_NO_REGION_NO_REGION"/>
    <x v="1"/>
    <x v="1"/>
    <x v="1"/>
    <x v="1"/>
    <x v="1"/>
    <x v="1"/>
    <x v="1"/>
    <x v="1"/>
    <x v="0"/>
  </r>
  <r>
    <s v="dmu_NSWGR_800_900_DEB"/>
    <x v="0"/>
    <x v="1"/>
    <x v="4"/>
    <x v="0"/>
    <s v="OCEANIA_NO_REGION_NO_REGION_NO_REGION"/>
    <x v="1"/>
    <x v="1"/>
    <x v="1"/>
    <x v="1"/>
    <x v="1"/>
    <x v="1"/>
    <x v="1"/>
    <x v="1"/>
    <x v="0"/>
  </r>
  <r>
    <s v="emu_Goninan_Tangara_4D_Prototype"/>
    <x v="0"/>
    <x v="1"/>
    <x v="5"/>
    <x v="0"/>
    <s v="OCEANIA_NO_REGION_NO_REGION_NO_REGION"/>
    <x v="1"/>
    <x v="1"/>
    <x v="1"/>
    <x v="1"/>
    <x v="1"/>
    <x v="1"/>
    <x v="1"/>
    <x v="1"/>
    <x v="0"/>
  </r>
  <r>
    <s v="emu_Goninan_Tangara_T_Set"/>
    <x v="0"/>
    <x v="1"/>
    <x v="5"/>
    <x v="0"/>
    <s v="OCEANIA_NO_REGION_NO_REGION_NO_REGION"/>
    <x v="1"/>
    <x v="1"/>
    <x v="1"/>
    <x v="1"/>
    <x v="1"/>
    <x v="1"/>
    <x v="1"/>
    <x v="1"/>
    <x v="0"/>
  </r>
  <r>
    <s v="dmu_NSWGR_600_700"/>
    <x v="0"/>
    <x v="1"/>
    <x v="4"/>
    <x v="0"/>
    <s v="OCEANIA_NO_REGION_NO_REGION_NO_REGION"/>
    <x v="1"/>
    <x v="1"/>
    <x v="1"/>
    <x v="1"/>
    <x v="1"/>
    <x v="1"/>
    <x v="1"/>
    <x v="1"/>
    <x v="0"/>
  </r>
  <r>
    <s v="dmu_Kawasaki_RM_Silver_Fern"/>
    <x v="0"/>
    <x v="1"/>
    <x v="6"/>
    <x v="0"/>
    <s v="OCEANIA_NO_REGION_NO_REGION_NO_REGION"/>
    <x v="1"/>
    <x v="1"/>
    <x v="1"/>
    <x v="1"/>
    <x v="1"/>
    <x v="1"/>
    <x v="1"/>
    <x v="1"/>
    <x v="0"/>
  </r>
  <r>
    <s v="emu_Comeng_W_Class_Sputnik"/>
    <x v="0"/>
    <x v="1"/>
    <x v="4"/>
    <x v="0"/>
    <s v="OCEANIA_NO_REGION_NO_REGION_NO_REGION"/>
    <x v="1"/>
    <x v="1"/>
    <x v="1"/>
    <x v="1"/>
    <x v="1"/>
    <x v="1"/>
    <x v="1"/>
    <x v="1"/>
    <x v="0"/>
  </r>
  <r>
    <s v="emu_Leeds_Clyde_Standard_EMU"/>
    <x v="0"/>
    <x v="1"/>
    <x v="3"/>
    <x v="0"/>
    <s v="OCEANIA_NO_REGION_NO_REGION_NO_REGION"/>
    <x v="1"/>
    <x v="1"/>
    <x v="1"/>
    <x v="1"/>
    <x v="1"/>
    <x v="1"/>
    <x v="1"/>
    <x v="1"/>
    <x v="0"/>
  </r>
  <r>
    <s v="emu_NSWGR_Tulloch_EMU"/>
    <x v="0"/>
    <x v="1"/>
    <x v="4"/>
    <x v="0"/>
    <s v="OCEANIA_NO_REGION_NO_REGION_NO_REGION"/>
    <x v="1"/>
    <x v="1"/>
    <x v="1"/>
    <x v="1"/>
    <x v="1"/>
    <x v="1"/>
    <x v="1"/>
    <x v="1"/>
    <x v="0"/>
  </r>
  <r>
    <s v="emu_Alstom_XTrapolis_100_Melbourne"/>
    <x v="1"/>
    <x v="1"/>
    <x v="0"/>
    <x v="0"/>
    <s v="OCEANIA_NO_REGION_NO_REGION_NO_REGION"/>
    <x v="1"/>
    <x v="1"/>
    <x v="1"/>
    <x v="1"/>
    <x v="1"/>
    <x v="1"/>
    <x v="1"/>
    <x v="1"/>
    <x v="0"/>
  </r>
  <r>
    <s v="mu_Coach_Gen1_American_Style_NZAUS_Coach"/>
    <x v="0"/>
    <x v="0"/>
    <x v="9"/>
    <x v="0"/>
    <s v="OCEANIA_NO_REGION_NO_REGION_NO_REGION"/>
    <x v="1"/>
    <x v="1"/>
    <x v="1"/>
    <x v="1"/>
    <x v="1"/>
    <x v="1"/>
    <x v="1"/>
    <x v="1"/>
    <x v="0"/>
  </r>
  <r>
    <s v="mu_Coach_Gen1_American_Style_NZAUS_Mail_Coach"/>
    <x v="0"/>
    <x v="0"/>
    <x v="9"/>
    <x v="0"/>
    <s v="OCEANIA_NO_REGION_NO_REGION_NO_REGION"/>
    <x v="1"/>
    <x v="1"/>
    <x v="1"/>
    <x v="1"/>
    <x v="1"/>
    <x v="1"/>
    <x v="1"/>
    <x v="1"/>
    <x v="0"/>
  </r>
  <r>
    <s v="mu_Coach_Gen1_2_Axle_NZAUS_Coach"/>
    <x v="0"/>
    <x v="0"/>
    <x v="8"/>
    <x v="0"/>
    <s v="OCEANIA_NO_REGION_NO_REGION_NO_REGION"/>
    <x v="1"/>
    <x v="1"/>
    <x v="1"/>
    <x v="1"/>
    <x v="1"/>
    <x v="1"/>
    <x v="1"/>
    <x v="1"/>
    <x v="0"/>
  </r>
  <r>
    <s v="mu_Coach_Gen1_2_Axle_NZAUS_Mail_Coach"/>
    <x v="0"/>
    <x v="0"/>
    <x v="8"/>
    <x v="0"/>
    <s v="OCEANIA_NO_REGION_NO_REGION_NO_REGION"/>
    <x v="1"/>
    <x v="1"/>
    <x v="1"/>
    <x v="1"/>
    <x v="1"/>
    <x v="1"/>
    <x v="1"/>
    <x v="1"/>
    <x v="0"/>
  </r>
  <r>
    <s v="mu_Coach_Gen1_End_Platform_2_Axle_NZAUS_Coach"/>
    <x v="0"/>
    <x v="0"/>
    <x v="9"/>
    <x v="0"/>
    <s v="OCEANIA_NO_REGION_NO_REGION_NO_REGION"/>
    <x v="1"/>
    <x v="1"/>
    <x v="1"/>
    <x v="1"/>
    <x v="1"/>
    <x v="1"/>
    <x v="1"/>
    <x v="1"/>
    <x v="0"/>
  </r>
  <r>
    <s v="mu_Coach_Gen1_Suburban_2_Axle_NZAUS_Coach"/>
    <x v="0"/>
    <x v="0"/>
    <x v="9"/>
    <x v="0"/>
    <s v="OCEANIA_NO_REGION_NO_REGION_NO_REGION"/>
    <x v="1"/>
    <x v="1"/>
    <x v="1"/>
    <x v="1"/>
    <x v="1"/>
    <x v="1"/>
    <x v="1"/>
    <x v="1"/>
    <x v="0"/>
  </r>
  <r>
    <s v="mu_Coach_Gen4_BREL_Mk3_Coach"/>
    <x v="0"/>
    <x v="0"/>
    <x v="6"/>
    <x v="0"/>
    <s v="OLD_WORLD_OCEANIA_NO_REGION_NO_REGION"/>
    <x v="0"/>
    <x v="0"/>
    <x v="0"/>
    <x v="0"/>
    <x v="0"/>
    <x v="0"/>
    <x v="1"/>
    <x v="1"/>
    <x v="0"/>
  </r>
  <r>
    <s v="mu_Coach_Gen4_BREL_Mk3_Mail_Coach"/>
    <x v="0"/>
    <x v="0"/>
    <x v="6"/>
    <x v="0"/>
    <s v="OLD_WORLD_OCEANIA_NO_REGION_NO_REGION"/>
    <x v="0"/>
    <x v="0"/>
    <x v="0"/>
    <x v="0"/>
    <x v="0"/>
    <x v="0"/>
    <x v="1"/>
    <x v="1"/>
    <x v="0"/>
  </r>
  <r>
    <s v="mu_Coach_Gen4_Comeng_Suburban_Double_Deck_SA2000"/>
    <x v="0"/>
    <x v="0"/>
    <x v="5"/>
    <x v="0"/>
    <s v="OCEANIA_NO_REGION_NO_REGION_NO_REGION"/>
    <x v="1"/>
    <x v="1"/>
    <x v="1"/>
    <x v="1"/>
    <x v="1"/>
    <x v="1"/>
    <x v="1"/>
    <x v="1"/>
    <x v="0"/>
  </r>
  <r>
    <s v="mu_Coach_Gen4_Gonian_4D_Concept"/>
    <x v="0"/>
    <x v="0"/>
    <x v="5"/>
    <x v="0"/>
    <s v="OCEANIA_NO_REGION_NO_REGION_NO_REGION"/>
    <x v="1"/>
    <x v="1"/>
    <x v="1"/>
    <x v="1"/>
    <x v="1"/>
    <x v="1"/>
    <x v="1"/>
    <x v="1"/>
    <x v="0"/>
  </r>
  <r>
    <s v="mu_Coach_Gen4_Gonian_Tangara_Concept"/>
    <x v="0"/>
    <x v="0"/>
    <x v="5"/>
    <x v="0"/>
    <s v="OCEANIA_NO_REGION_NO_REGION_NO_REGION"/>
    <x v="1"/>
    <x v="1"/>
    <x v="1"/>
    <x v="1"/>
    <x v="1"/>
    <x v="1"/>
    <x v="1"/>
    <x v="1"/>
    <x v="0"/>
  </r>
  <r>
    <s v="mu_Coach_Gen3_Hitachi_Nippon_Sharyo_Silver_Star_Coach"/>
    <x v="0"/>
    <x v="0"/>
    <x v="6"/>
    <x v="0"/>
    <s v="OCEANIA_NO_REGION_NO_REGION_NO_REGION"/>
    <x v="1"/>
    <x v="1"/>
    <x v="1"/>
    <x v="1"/>
    <x v="1"/>
    <x v="1"/>
    <x v="1"/>
    <x v="1"/>
    <x v="0"/>
  </r>
  <r>
    <s v="mu_Coach_Gen3_Hitachi_Nippon_Sharyo_Silver_Star_Mail_Coach"/>
    <x v="0"/>
    <x v="0"/>
    <x v="6"/>
    <x v="0"/>
    <s v="OCEANIA_NO_REGION_NO_REGION_NO_REGION"/>
    <x v="1"/>
    <x v="1"/>
    <x v="1"/>
    <x v="1"/>
    <x v="1"/>
    <x v="1"/>
    <x v="1"/>
    <x v="1"/>
    <x v="0"/>
  </r>
  <r>
    <s v="mu_Coach_Gen3_Comeng_High_Speed_Coach"/>
    <x v="0"/>
    <x v="0"/>
    <x v="5"/>
    <x v="0"/>
    <s v="OCEANIA_NO_REGION_NO_REGION_NO_REGION"/>
    <x v="1"/>
    <x v="1"/>
    <x v="1"/>
    <x v="1"/>
    <x v="1"/>
    <x v="1"/>
    <x v="1"/>
    <x v="1"/>
    <x v="0"/>
  </r>
  <r>
    <s v="mu_Coach_Gen3_Comeng_High_Speed_Mail_Coach"/>
    <x v="0"/>
    <x v="0"/>
    <x v="5"/>
    <x v="0"/>
    <s v="OCEANIA_NO_REGION_NO_REGION_NO_REGION"/>
    <x v="1"/>
    <x v="1"/>
    <x v="1"/>
    <x v="1"/>
    <x v="1"/>
    <x v="1"/>
    <x v="1"/>
    <x v="1"/>
    <x v="0"/>
  </r>
  <r>
    <s v="mu_Coach_Gen4_Comeng_HType_Suburban_Coach"/>
    <x v="0"/>
    <x v="0"/>
    <x v="5"/>
    <x v="0"/>
    <s v="OCEANIA_NO_REGION_NO_REGION_NO_REGION"/>
    <x v="1"/>
    <x v="1"/>
    <x v="1"/>
    <x v="1"/>
    <x v="1"/>
    <x v="1"/>
    <x v="1"/>
    <x v="1"/>
    <x v="0"/>
  </r>
  <r>
    <s v="mu_Coach_Gen3_NSW_Tulloch_RUB_Stock_Coach"/>
    <x v="0"/>
    <x v="0"/>
    <x v="4"/>
    <x v="0"/>
    <s v="OCEANIA_NO_REGION_NO_REGION_NO_REGION"/>
    <x v="1"/>
    <x v="1"/>
    <x v="1"/>
    <x v="1"/>
    <x v="1"/>
    <x v="1"/>
    <x v="1"/>
    <x v="1"/>
    <x v="0"/>
  </r>
  <r>
    <s v="mu_Coach_Gen3_NSW_Tulloch_RUB_Stock_Mail_Coach"/>
    <x v="0"/>
    <x v="0"/>
    <x v="4"/>
    <x v="0"/>
    <s v="OCEANIA_NO_REGION_NO_REGION_NO_REGION"/>
    <x v="1"/>
    <x v="1"/>
    <x v="1"/>
    <x v="1"/>
    <x v="1"/>
    <x v="1"/>
    <x v="1"/>
    <x v="1"/>
    <x v="0"/>
  </r>
  <r>
    <s v="mu_Coach_Gen3_WAGR_AY_Suburban_Coach"/>
    <x v="0"/>
    <x v="0"/>
    <x v="3"/>
    <x v="0"/>
    <s v="OCEANIA_NO_REGION_NO_REGION_NO_REGION"/>
    <x v="1"/>
    <x v="1"/>
    <x v="1"/>
    <x v="1"/>
    <x v="1"/>
    <x v="1"/>
    <x v="1"/>
    <x v="1"/>
    <x v="0"/>
  </r>
  <r>
    <s v="mu_Coach_Gen3_NZR_56ft_Coach"/>
    <x v="0"/>
    <x v="0"/>
    <x v="3"/>
    <x v="0"/>
    <s v="OCEANIA_NO_REGION_NO_REGION_NO_REGION"/>
    <x v="1"/>
    <x v="1"/>
    <x v="1"/>
    <x v="1"/>
    <x v="1"/>
    <x v="1"/>
    <x v="1"/>
    <x v="1"/>
    <x v="0"/>
  </r>
  <r>
    <s v="mu_Coach_Gen3_NZR_56ft_Mail_Coach"/>
    <x v="0"/>
    <x v="0"/>
    <x v="3"/>
    <x v="0"/>
    <s v="OCEANIA_NO_REGION_NO_REGION_NO_REGION"/>
    <x v="1"/>
    <x v="1"/>
    <x v="1"/>
    <x v="1"/>
    <x v="1"/>
    <x v="1"/>
    <x v="1"/>
    <x v="1"/>
    <x v="0"/>
  </r>
  <r>
    <s v="mu_Coach_Gen2_NZR_50ft_Coach"/>
    <x v="0"/>
    <x v="0"/>
    <x v="1"/>
    <x v="0"/>
    <s v="OCEANIA_NO_REGION_NO_REGION_NO_REGION"/>
    <x v="1"/>
    <x v="1"/>
    <x v="1"/>
    <x v="1"/>
    <x v="1"/>
    <x v="1"/>
    <x v="1"/>
    <x v="1"/>
    <x v="0"/>
  </r>
  <r>
    <s v="mu_Coach_Gen2_NZR_50ft_Mail_Coach"/>
    <x v="0"/>
    <x v="0"/>
    <x v="1"/>
    <x v="0"/>
    <s v="OCEANIA_NO_REGION_NO_REGION_NO_REGION"/>
    <x v="1"/>
    <x v="1"/>
    <x v="1"/>
    <x v="1"/>
    <x v="1"/>
    <x v="1"/>
    <x v="1"/>
    <x v="1"/>
    <x v="0"/>
  </r>
  <r>
    <s v="mu_Coach_Gen1_NSW_KA_Tram_Car"/>
    <x v="0"/>
    <x v="0"/>
    <x v="9"/>
    <x v="0"/>
    <s v="OCEANIA_NO_REGION_NO_REGION_NO_REGION"/>
    <x v="1"/>
    <x v="1"/>
    <x v="1"/>
    <x v="1"/>
    <x v="1"/>
    <x v="1"/>
    <x v="1"/>
    <x v="1"/>
    <x v="0"/>
  </r>
  <r>
    <s v="electric_Comeng_86_Class"/>
    <x v="0"/>
    <x v="1"/>
    <x v="5"/>
    <x v="0"/>
    <s v="OCEANIA_NO_REGION_NO_REGION_NO_REGION"/>
    <x v="1"/>
    <x v="1"/>
    <x v="1"/>
    <x v="1"/>
    <x v="1"/>
    <x v="1"/>
    <x v="1"/>
    <x v="1"/>
    <x v="0"/>
  </r>
  <r>
    <s v="emu_Ganz_MAVAG_EM_ET"/>
    <x v="0"/>
    <x v="1"/>
    <x v="5"/>
    <x v="0"/>
    <s v="OCEANIA_NO_REGION_NO_REGION_NO_REGION"/>
    <x v="1"/>
    <x v="1"/>
    <x v="1"/>
    <x v="1"/>
    <x v="1"/>
    <x v="1"/>
    <x v="1"/>
    <x v="1"/>
    <x v="0"/>
  </r>
  <r>
    <s v="emu_EEC_DM_EMU"/>
    <x v="0"/>
    <x v="1"/>
    <x v="3"/>
    <x v="0"/>
    <s v="OCEANIA_NO_REGION_NO_REGION_NO_REGION"/>
    <x v="1"/>
    <x v="1"/>
    <x v="1"/>
    <x v="1"/>
    <x v="1"/>
    <x v="1"/>
    <x v="1"/>
    <x v="1"/>
    <x v="0"/>
  </r>
  <r>
    <s v="emu_Hyundai_Rotem__Mitsui_Matangi"/>
    <x v="0"/>
    <x v="1"/>
    <x v="0"/>
    <x v="0"/>
    <s v="OCEANIA_NO_REGION_NO_REGION_NO_REGION"/>
    <x v="1"/>
    <x v="1"/>
    <x v="1"/>
    <x v="1"/>
    <x v="1"/>
    <x v="1"/>
    <x v="1"/>
    <x v="1"/>
    <x v="0"/>
  </r>
  <r>
    <s v="mtro_Ganz_Hunslet_Budapest_G2"/>
    <x v="0"/>
    <x v="1"/>
    <x v="5"/>
    <x v="0"/>
    <s v="EASTERN_EUROPE_NO_REGION_NO_REGION_NO_REGION"/>
    <x v="1"/>
    <x v="1"/>
    <x v="1"/>
    <x v="0"/>
    <x v="1"/>
    <x v="1"/>
    <x v="1"/>
    <x v="1"/>
    <x v="1"/>
  </r>
  <r>
    <s v="diesel_BRC_W_NSU_Class"/>
    <x v="0"/>
    <x v="1"/>
    <x v="4"/>
    <x v="0"/>
    <s v="OCEANIA_NO_REGION_NO_REGION_NO_REGION"/>
    <x v="1"/>
    <x v="1"/>
    <x v="1"/>
    <x v="1"/>
    <x v="1"/>
    <x v="1"/>
    <x v="1"/>
    <x v="1"/>
    <x v="0"/>
  </r>
  <r>
    <s v="emu_Itochu_Kinki_Kawasaki_SP1900"/>
    <x v="0"/>
    <x v="1"/>
    <x v="0"/>
    <x v="0"/>
    <s v="ASIA_NO_REGION_NO_REGION_NO_REGION"/>
    <x v="1"/>
    <x v="0"/>
    <x v="1"/>
    <x v="1"/>
    <x v="1"/>
    <x v="1"/>
    <x v="1"/>
    <x v="1"/>
    <x v="1"/>
  </r>
  <r>
    <s v="electric_Alstom_CRRC_Datong_HXD2"/>
    <x v="0"/>
    <x v="1"/>
    <x v="0"/>
    <x v="0"/>
    <s v="ASIA_NO_REGION_NO_REGION_NO_REGION"/>
    <x v="1"/>
    <x v="0"/>
    <x v="1"/>
    <x v="1"/>
    <x v="1"/>
    <x v="1"/>
    <x v="1"/>
    <x v="1"/>
    <x v="1"/>
  </r>
  <r>
    <s v="diesel_CRRC_Qishuyan_DF11"/>
    <x v="0"/>
    <x v="1"/>
    <x v="5"/>
    <x v="0"/>
    <s v="ASIA_NO_REGION_NO_REGION_NO_REGION"/>
    <x v="1"/>
    <x v="0"/>
    <x v="1"/>
    <x v="1"/>
    <x v="1"/>
    <x v="1"/>
    <x v="1"/>
    <x v="1"/>
    <x v="1"/>
  </r>
  <r>
    <s v="electric_Zhuzhou_SS8"/>
    <x v="0"/>
    <x v="1"/>
    <x v="5"/>
    <x v="0"/>
    <s v="ASIA_NO_REGION_NO_REGION_NO_REGION"/>
    <x v="1"/>
    <x v="0"/>
    <x v="1"/>
    <x v="1"/>
    <x v="1"/>
    <x v="1"/>
    <x v="1"/>
    <x v="1"/>
    <x v="1"/>
  </r>
  <r>
    <s v="electric_Alstom_CRRC_Datong_HXD2B"/>
    <x v="0"/>
    <x v="1"/>
    <x v="0"/>
    <x v="0"/>
    <s v="COMECON_NO_REGION_NO_REGION_NO_REGION"/>
    <x v="1"/>
    <x v="0"/>
    <x v="1"/>
    <x v="0"/>
    <x v="1"/>
    <x v="1"/>
    <x v="1"/>
    <x v="1"/>
    <x v="1"/>
  </r>
  <r>
    <s v="electric_CRRC_Dalian_HXD3D"/>
    <x v="0"/>
    <x v="1"/>
    <x v="0"/>
    <x v="0"/>
    <s v="ASIA_NO_REGION_NO_REGION_NO_REGION"/>
    <x v="1"/>
    <x v="0"/>
    <x v="1"/>
    <x v="1"/>
    <x v="1"/>
    <x v="1"/>
    <x v="1"/>
    <x v="1"/>
    <x v="1"/>
  </r>
  <r>
    <s v="diesel_CRRC_Dalian_DF4"/>
    <x v="0"/>
    <x v="1"/>
    <x v="5"/>
    <x v="0"/>
    <s v="ASIA_NO_REGION_NO_REGION_NO_REGION"/>
    <x v="1"/>
    <x v="0"/>
    <x v="1"/>
    <x v="1"/>
    <x v="1"/>
    <x v="1"/>
    <x v="1"/>
    <x v="1"/>
    <x v="1"/>
  </r>
  <r>
    <s v="diesel_Tangshan_Dalian_Sifang_DF5"/>
    <x v="0"/>
    <x v="1"/>
    <x v="6"/>
    <x v="0"/>
    <s v="ASIA_NO_REGION_NO_REGION_NO_REGION"/>
    <x v="1"/>
    <x v="0"/>
    <x v="1"/>
    <x v="1"/>
    <x v="1"/>
    <x v="1"/>
    <x v="1"/>
    <x v="1"/>
    <x v="1"/>
  </r>
  <r>
    <s v="steam_Dalian_2_8_2_JS_Class"/>
    <x v="0"/>
    <x v="1"/>
    <x v="4"/>
    <x v="0"/>
    <s v="ASIA_NO_REGION_NO_REGION_NO_REGION"/>
    <x v="1"/>
    <x v="0"/>
    <x v="1"/>
    <x v="1"/>
    <x v="1"/>
    <x v="1"/>
    <x v="1"/>
    <x v="1"/>
    <x v="1"/>
  </r>
  <r>
    <s v="steam_CSR_Sifang_4_6_2_RM"/>
    <x v="0"/>
    <x v="1"/>
    <x v="4"/>
    <x v="0"/>
    <s v="ASIA_NO_REGION_NO_REGION_NO_REGION"/>
    <x v="1"/>
    <x v="0"/>
    <x v="1"/>
    <x v="1"/>
    <x v="1"/>
    <x v="1"/>
    <x v="1"/>
    <x v="1"/>
    <x v="1"/>
  </r>
  <r>
    <s v="rbd_MAV_Ikarus_260"/>
    <x v="0"/>
    <x v="1"/>
    <x v="5"/>
    <x v="0"/>
    <s v="EASTERN_EUROPE_NO_REGION_NO_REGION_NO_REGION"/>
    <x v="1"/>
    <x v="1"/>
    <x v="1"/>
    <x v="0"/>
    <x v="1"/>
    <x v="1"/>
    <x v="1"/>
    <x v="1"/>
    <x v="1"/>
  </r>
  <r>
    <s v="diesel_GE_ES43ACi"/>
    <x v="0"/>
    <x v="1"/>
    <x v="0"/>
    <x v="0"/>
    <s v="ALL_REGION_NO_REGION_NO_REGION_NO_REGION"/>
    <x v="0"/>
    <x v="0"/>
    <x v="0"/>
    <x v="0"/>
    <x v="0"/>
    <x v="0"/>
    <x v="0"/>
    <x v="0"/>
    <x v="0"/>
  </r>
  <r>
    <s v="diesel_EMD_GP40"/>
    <x v="0"/>
    <x v="1"/>
    <x v="6"/>
    <x v="0"/>
    <s v="ALL_AMERICA_AFRICA_NO_REGION_NO_REGION"/>
    <x v="0"/>
    <x v="1"/>
    <x v="1"/>
    <x v="1"/>
    <x v="1"/>
    <x v="1"/>
    <x v="0"/>
    <x v="0"/>
    <x v="1"/>
  </r>
  <r>
    <s v="diesel_EMD_SD70"/>
    <x v="0"/>
    <x v="1"/>
    <x v="5"/>
    <x v="0"/>
    <s v="ALL_AMERICA_AFRICA_AFRICA_NO_REGION"/>
    <x v="0"/>
    <x v="1"/>
    <x v="1"/>
    <x v="1"/>
    <x v="1"/>
    <x v="1"/>
    <x v="0"/>
    <x v="0"/>
    <x v="1"/>
  </r>
  <r>
    <s v="diesel_GE_C30_7_Dash_7"/>
    <x v="0"/>
    <x v="1"/>
    <x v="6"/>
    <x v="0"/>
    <s v="ALL_AMERICA_NORTHERN_EUROPE_ASIA_NO_REGION"/>
    <x v="1"/>
    <x v="0"/>
    <x v="1"/>
    <x v="1"/>
    <x v="1"/>
    <x v="0"/>
    <x v="0"/>
    <x v="0"/>
    <x v="1"/>
  </r>
  <r>
    <s v="diesel_GE_C40_8_Dash_8"/>
    <x v="0"/>
    <x v="1"/>
    <x v="5"/>
    <x v="0"/>
    <s v="ALL_AMERICA_NO_REGION_NO_REGION_NO_REGION"/>
    <x v="1"/>
    <x v="1"/>
    <x v="1"/>
    <x v="1"/>
    <x v="1"/>
    <x v="1"/>
    <x v="0"/>
    <x v="0"/>
    <x v="1"/>
  </r>
  <r>
    <s v="diesel_GE_C44_9W_Dash_9"/>
    <x v="0"/>
    <x v="1"/>
    <x v="5"/>
    <x v="0"/>
    <s v="ALL_AMERICA_OCEANIA_NO_REGION_NO_REGION"/>
    <x v="1"/>
    <x v="1"/>
    <x v="1"/>
    <x v="1"/>
    <x v="1"/>
    <x v="1"/>
    <x v="0"/>
    <x v="0"/>
    <x v="0"/>
  </r>
  <r>
    <s v="diesel_EMD_GP40_DNU"/>
    <x v="1"/>
    <x v="1"/>
    <x v="6"/>
    <x v="0"/>
    <s v="ALL_AMERICA_NO_REGION_NO_REGION_NO_REGION"/>
    <x v="1"/>
    <x v="1"/>
    <x v="1"/>
    <x v="1"/>
    <x v="1"/>
    <x v="1"/>
    <x v="0"/>
    <x v="0"/>
    <x v="1"/>
  </r>
  <r>
    <s v="steam_Kitson_2_2_2_3166_3171"/>
    <x v="0"/>
    <x v="1"/>
    <x v="2"/>
    <x v="0"/>
    <s v="AFRICA_NO_REGION_NO_REGION_NO_REGION"/>
    <x v="0"/>
    <x v="1"/>
    <x v="1"/>
    <x v="1"/>
    <x v="1"/>
    <x v="1"/>
    <x v="1"/>
    <x v="1"/>
    <x v="1"/>
  </r>
  <r>
    <s v="steam_Burnham_2_6_0_15857_15871"/>
    <x v="0"/>
    <x v="1"/>
    <x v="2"/>
    <x v="0"/>
    <s v="AFRICA_NO_REGION_NO_REGION_NO_REGION"/>
    <x v="0"/>
    <x v="1"/>
    <x v="1"/>
    <x v="1"/>
    <x v="1"/>
    <x v="1"/>
    <x v="1"/>
    <x v="1"/>
    <x v="1"/>
  </r>
  <r>
    <s v="steam_SA_Franco_Belge_0_6_0_Class_4"/>
    <x v="0"/>
    <x v="1"/>
    <x v="2"/>
    <x v="0"/>
    <s v="AFRICA_NO_REGION_NO_REGION_NO_REGION"/>
    <x v="0"/>
    <x v="1"/>
    <x v="1"/>
    <x v="1"/>
    <x v="1"/>
    <x v="1"/>
    <x v="1"/>
    <x v="1"/>
    <x v="1"/>
  </r>
  <r>
    <s v="mglv_ACME_Corp__Pegasus"/>
    <x v="0"/>
    <x v="1"/>
    <x v="0"/>
    <x v="0"/>
    <s v="ALL_REGION_NO_REGION_NO_REGION_NO_REGION"/>
    <x v="0"/>
    <x v="0"/>
    <x v="0"/>
    <x v="0"/>
    <x v="0"/>
    <x v="0"/>
    <x v="0"/>
    <x v="0"/>
    <x v="0"/>
  </r>
  <r>
    <s v="mmu_ACME_Corp__Chimaera"/>
    <x v="0"/>
    <x v="1"/>
    <x v="10"/>
    <x v="0"/>
    <s v="ALL_REGION_NO_REGION_NO_REGION_NO_REGION"/>
    <x v="0"/>
    <x v="0"/>
    <x v="0"/>
    <x v="0"/>
    <x v="0"/>
    <x v="0"/>
    <x v="0"/>
    <x v="0"/>
    <x v="0"/>
  </r>
  <r>
    <s v="mglv_coach_Gen7M_Chimaera_Passenger_Coach"/>
    <x v="0"/>
    <x v="0"/>
    <x v="0"/>
    <x v="0"/>
    <s v="ALL_REGION_NO_REGION_NO_REGION_NO_REGION"/>
    <x v="0"/>
    <x v="0"/>
    <x v="0"/>
    <x v="0"/>
    <x v="0"/>
    <x v="0"/>
    <x v="0"/>
    <x v="0"/>
    <x v="0"/>
  </r>
  <r>
    <s v="mglv_coach_Gen7M_Chimaera_Mail_Coach"/>
    <x v="0"/>
    <x v="0"/>
    <x v="0"/>
    <x v="0"/>
    <s v="ALL_REGION_NO_REGION_NO_REGION_NO_REGION"/>
    <x v="0"/>
    <x v="0"/>
    <x v="0"/>
    <x v="0"/>
    <x v="0"/>
    <x v="0"/>
    <x v="0"/>
    <x v="0"/>
    <x v="0"/>
  </r>
  <r>
    <s v="steam_Sharp_BP_0_6_0_BDZ_142_150"/>
    <x v="0"/>
    <x v="1"/>
    <x v="9"/>
    <x v="0"/>
    <s v="EASTERN_EUROPE_NO_REGION_NO_REGION_NO_REGION"/>
    <x v="1"/>
    <x v="1"/>
    <x v="1"/>
    <x v="0"/>
    <x v="1"/>
    <x v="1"/>
    <x v="1"/>
    <x v="1"/>
    <x v="1"/>
  </r>
  <r>
    <s v="steam_MAVAG_4_4_2_Class_203"/>
    <x v="0"/>
    <x v="1"/>
    <x v="1"/>
    <x v="0"/>
    <s v="EASTERN_EUROPE_NO_REGION_NO_REGION_NO_REGION"/>
    <x v="1"/>
    <x v="1"/>
    <x v="1"/>
    <x v="0"/>
    <x v="1"/>
    <x v="1"/>
    <x v="1"/>
    <x v="1"/>
    <x v="1"/>
  </r>
  <r>
    <s v="steam_MAVAG_2_6_6_0_Class_601"/>
    <x v="0"/>
    <x v="1"/>
    <x v="1"/>
    <x v="0"/>
    <s v="EASTERN_EUROPE_NO_REGION_NO_REGION_NO_REGION"/>
    <x v="1"/>
    <x v="1"/>
    <x v="1"/>
    <x v="0"/>
    <x v="1"/>
    <x v="1"/>
    <x v="1"/>
    <x v="1"/>
    <x v="1"/>
  </r>
  <r>
    <s v="electric_Ganz_MAVAG_VM7_V40"/>
    <x v="0"/>
    <x v="1"/>
    <x v="3"/>
    <x v="0"/>
    <s v="EASTERN_EUROPE_NO_REGION_NO_REGION_NO_REGION"/>
    <x v="1"/>
    <x v="1"/>
    <x v="1"/>
    <x v="0"/>
    <x v="1"/>
    <x v="1"/>
    <x v="1"/>
    <x v="1"/>
    <x v="1"/>
  </r>
  <r>
    <s v="diesel_PESA_111D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steam_Stephenson_BP_2_2_2_LVCI_Class_1"/>
    <x v="0"/>
    <x v="1"/>
    <x v="8"/>
    <x v="0"/>
    <s v="SOUTHERN_EUROPE_NO_REGION_NO_REGION_NO_REGION"/>
    <x v="1"/>
    <x v="1"/>
    <x v="0"/>
    <x v="1"/>
    <x v="1"/>
    <x v="1"/>
    <x v="1"/>
    <x v="1"/>
    <x v="1"/>
  </r>
  <r>
    <s v="steam_Babcock_4_6_2_2_6_4T_462"/>
    <x v="0"/>
    <x v="1"/>
    <x v="3"/>
    <x v="0"/>
    <s v="SOUTHERN_EUROPE_NO_REGION_NO_REGION_NO_REGION"/>
    <x v="1"/>
    <x v="1"/>
    <x v="0"/>
    <x v="1"/>
    <x v="1"/>
    <x v="1"/>
    <x v="1"/>
    <x v="1"/>
    <x v="1"/>
  </r>
  <r>
    <s v="steam_Koechlin_0_6_0_030"/>
    <x v="0"/>
    <x v="1"/>
    <x v="9"/>
    <x v="0"/>
    <s v="SOUTHERN_EUROPE_NO_REGION_NO_REGION_NO_REGION"/>
    <x v="1"/>
    <x v="1"/>
    <x v="0"/>
    <x v="1"/>
    <x v="1"/>
    <x v="1"/>
    <x v="1"/>
    <x v="1"/>
    <x v="1"/>
  </r>
  <r>
    <s v="steam_Hanomag_ALCO_4_8_0_240"/>
    <x v="0"/>
    <x v="1"/>
    <x v="1"/>
    <x v="0"/>
    <s v="SOUTHERN_EUROPE_NO_REGION_NO_REGION_NO_REGION"/>
    <x v="1"/>
    <x v="1"/>
    <x v="0"/>
    <x v="1"/>
    <x v="1"/>
    <x v="1"/>
    <x v="1"/>
    <x v="1"/>
    <x v="1"/>
  </r>
  <r>
    <s v="emu_CRRC_Sifang_SFB_500"/>
    <x v="0"/>
    <x v="1"/>
    <x v="10"/>
    <x v="0"/>
    <s v="SOUTH_AMERICA_NO_REGION_NO_REGION_NO_REGION"/>
    <x v="1"/>
    <x v="1"/>
    <x v="1"/>
    <x v="1"/>
    <x v="1"/>
    <x v="1"/>
    <x v="1"/>
    <x v="0"/>
    <x v="1"/>
  </r>
  <r>
    <s v="diesel_EMC_E3"/>
    <x v="0"/>
    <x v="1"/>
    <x v="3"/>
    <x v="0"/>
    <s v="NORTH_AMERICA_NO_REGION_NO_REGION_NO_REGION"/>
    <x v="1"/>
    <x v="1"/>
    <x v="1"/>
    <x v="1"/>
    <x v="1"/>
    <x v="1"/>
    <x v="0"/>
    <x v="1"/>
    <x v="1"/>
  </r>
  <r>
    <s v="diesel_EMD_FT"/>
    <x v="0"/>
    <x v="1"/>
    <x v="3"/>
    <x v="0"/>
    <s v="NORTH_AMERICA_NO_REGION_NO_REGION_NO_REGION"/>
    <x v="1"/>
    <x v="1"/>
    <x v="1"/>
    <x v="1"/>
    <x v="1"/>
    <x v="1"/>
    <x v="0"/>
    <x v="1"/>
    <x v="1"/>
  </r>
  <r>
    <s v="diesel_LTZ_TE109"/>
    <x v="0"/>
    <x v="1"/>
    <x v="6"/>
    <x v="0"/>
    <s v="WESTERN_EUROPE_COMECON_NO_REGION_NO_REGION"/>
    <x v="1"/>
    <x v="0"/>
    <x v="1"/>
    <x v="0"/>
    <x v="0"/>
    <x v="1"/>
    <x v="1"/>
    <x v="1"/>
    <x v="1"/>
  </r>
  <r>
    <s v="emu_Hitachi_Kawasaki_Shinkansen_Series_100"/>
    <x v="0"/>
    <x v="1"/>
    <x v="5"/>
    <x v="0"/>
    <s v="ASIA_NO_REGION_NO_REGION_NO_REGION"/>
    <x v="1"/>
    <x v="0"/>
    <x v="1"/>
    <x v="1"/>
    <x v="1"/>
    <x v="1"/>
    <x v="1"/>
    <x v="1"/>
    <x v="1"/>
  </r>
  <r>
    <s v="diesel_Krauss_Maffei_ML_2200"/>
    <x v="0"/>
    <x v="1"/>
    <x v="4"/>
    <x v="0"/>
    <s v="EASTERN_EUROPE_NO_REGION_NO_REGION_NO_REGION"/>
    <x v="1"/>
    <x v="1"/>
    <x v="1"/>
    <x v="0"/>
    <x v="1"/>
    <x v="1"/>
    <x v="1"/>
    <x v="1"/>
    <x v="1"/>
  </r>
  <r>
    <s v="dmu_Ganz_Hargita_M440"/>
    <x v="0"/>
    <x v="1"/>
    <x v="4"/>
    <x v="0"/>
    <s v="EASTERN_EUROPE_WESTERN_EUROPE_NO_REGION_NO_REGION"/>
    <x v="1"/>
    <x v="1"/>
    <x v="1"/>
    <x v="0"/>
    <x v="0"/>
    <x v="1"/>
    <x v="1"/>
    <x v="1"/>
    <x v="1"/>
  </r>
  <r>
    <s v="electric_SSW_Krauss_E44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electric_PESA_111MS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electric_Kolomna_VL19"/>
    <x v="0"/>
    <x v="1"/>
    <x v="3"/>
    <x v="0"/>
    <s v="COMECON_NO_REGION_NO_REGION_NO_REGION"/>
    <x v="1"/>
    <x v="0"/>
    <x v="1"/>
    <x v="0"/>
    <x v="1"/>
    <x v="1"/>
    <x v="1"/>
    <x v="1"/>
    <x v="1"/>
  </r>
  <r>
    <s v="electric_AEG_Krupp_E18"/>
    <x v="0"/>
    <x v="1"/>
    <x v="3"/>
    <x v="0"/>
    <s v="WESTERN_EUROPE_NO_REGION_NO_REGION_NO_REGION"/>
    <x v="1"/>
    <x v="1"/>
    <x v="1"/>
    <x v="1"/>
    <x v="0"/>
    <x v="1"/>
    <x v="1"/>
    <x v="1"/>
    <x v="1"/>
  </r>
  <r>
    <s v="emu_Hitachi_Alstom_Zefiro_Class_895_HS2"/>
    <x v="0"/>
    <x v="1"/>
    <x v="10"/>
    <x v="0"/>
    <s v="NORTHERN_EUROPE_NO_REGION_NO_REGION_NO_REGION"/>
    <x v="1"/>
    <x v="1"/>
    <x v="1"/>
    <x v="1"/>
    <x v="1"/>
    <x v="0"/>
    <x v="1"/>
    <x v="1"/>
    <x v="1"/>
  </r>
  <r>
    <s v="diesel_EMD_JT22CW"/>
    <x v="0"/>
    <x v="1"/>
    <x v="6"/>
    <x v="0"/>
    <s v="NORTHERN_EUROPE_EASTERN_EUROPE_NO_REGION_NO_REGION"/>
    <x v="1"/>
    <x v="1"/>
    <x v="1"/>
    <x v="0"/>
    <x v="1"/>
    <x v="0"/>
    <x v="1"/>
    <x v="1"/>
    <x v="1"/>
  </r>
  <r>
    <s v="dmu_RVR_DR1A"/>
    <x v="0"/>
    <x v="1"/>
    <x v="6"/>
    <x v="0"/>
    <s v="POST_SOVIET_BALTIC_NO_REGION_NO_REGION_NO_REGION"/>
    <x v="1"/>
    <x v="0"/>
    <x v="1"/>
    <x v="0"/>
    <x v="1"/>
    <x v="0"/>
    <x v="1"/>
    <x v="1"/>
    <x v="1"/>
  </r>
  <r>
    <s v="electric_ACME_Corp__HS001"/>
    <x v="0"/>
    <x v="1"/>
    <x v="11"/>
    <x v="0"/>
    <s v="WESTERN_EUROPE_NO_REGION_NO_REGION_NO_REGION"/>
    <x v="1"/>
    <x v="1"/>
    <x v="1"/>
    <x v="1"/>
    <x v="0"/>
    <x v="1"/>
    <x v="1"/>
    <x v="1"/>
    <x v="1"/>
  </r>
  <r>
    <s v="electric_ACME_Corp__HS002"/>
    <x v="0"/>
    <x v="1"/>
    <x v="11"/>
    <x v="0"/>
    <s v="WESTERN_EUROPE_NO_REGION_NO_REGION_NO_REGION"/>
    <x v="1"/>
    <x v="1"/>
    <x v="1"/>
    <x v="1"/>
    <x v="0"/>
    <x v="1"/>
    <x v="1"/>
    <x v="1"/>
    <x v="1"/>
  </r>
  <r>
    <s v="dmu_ACME_Corp__V200D_DMU"/>
    <x v="0"/>
    <x v="1"/>
    <x v="11"/>
    <x v="0"/>
    <s v="WESTERN_EUROPE_NO_REGION_NO_REGION_NO_REGION"/>
    <x v="1"/>
    <x v="1"/>
    <x v="1"/>
    <x v="1"/>
    <x v="0"/>
    <x v="1"/>
    <x v="1"/>
    <x v="1"/>
    <x v="1"/>
  </r>
  <r>
    <s v="emu_ACME_Corp__V200E_EMU"/>
    <x v="0"/>
    <x v="1"/>
    <x v="11"/>
    <x v="0"/>
    <s v="WESTERN_EUROPE_NO_REGION_NO_REGION_NO_REGION"/>
    <x v="1"/>
    <x v="1"/>
    <x v="1"/>
    <x v="1"/>
    <x v="0"/>
    <x v="1"/>
    <x v="1"/>
    <x v="1"/>
    <x v="1"/>
  </r>
  <r>
    <s v="cargoemu_ACME_Corp__DD_CargoEMU"/>
    <x v="0"/>
    <x v="1"/>
    <x v="11"/>
    <x v="0"/>
    <s v="ALL_REGION_NO_REGION_NO_REGION_NO_REGION"/>
    <x v="0"/>
    <x v="0"/>
    <x v="0"/>
    <x v="0"/>
    <x v="0"/>
    <x v="0"/>
    <x v="0"/>
    <x v="0"/>
    <x v="0"/>
  </r>
  <r>
    <s v="diesel_VEB_LKM_V180"/>
    <x v="0"/>
    <x v="1"/>
    <x v="6"/>
    <x v="0"/>
    <s v="WESTERN_EUROPE_NO_REGION_NO_REGION_NO_REGION"/>
    <x v="1"/>
    <x v="1"/>
    <x v="1"/>
    <x v="1"/>
    <x v="0"/>
    <x v="1"/>
    <x v="1"/>
    <x v="1"/>
    <x v="1"/>
  </r>
  <r>
    <s v="emu_PESA_43WE_DART"/>
    <x v="0"/>
    <x v="1"/>
    <x v="0"/>
    <x v="0"/>
    <s v="EASTERN_EUROPE_NO_REGION_NO_REGION_NO_REGION"/>
    <x v="1"/>
    <x v="1"/>
    <x v="1"/>
    <x v="0"/>
    <x v="1"/>
    <x v="1"/>
    <x v="1"/>
    <x v="1"/>
    <x v="1"/>
  </r>
  <r>
    <s v="electric_LEW_EL2"/>
    <x v="0"/>
    <x v="1"/>
    <x v="4"/>
    <x v="0"/>
    <s v="COMECON_NO_REGION_NO_REGION_NO_REGION"/>
    <x v="1"/>
    <x v="0"/>
    <x v="1"/>
    <x v="0"/>
    <x v="1"/>
    <x v="1"/>
    <x v="1"/>
    <x v="1"/>
    <x v="1"/>
  </r>
  <r>
    <s v="electric_Pafawag_201E"/>
    <x v="0"/>
    <x v="1"/>
    <x v="6"/>
    <x v="0"/>
    <s v="EASTERN_EUROPE_AFRICA_NO_REGION_NO_REGION"/>
    <x v="0"/>
    <x v="1"/>
    <x v="1"/>
    <x v="0"/>
    <x v="1"/>
    <x v="1"/>
    <x v="1"/>
    <x v="1"/>
    <x v="1"/>
  </r>
  <r>
    <s v="diesel_NOHAB_AA16"/>
    <x v="0"/>
    <x v="1"/>
    <x v="4"/>
    <x v="0"/>
    <s v="ALL_EUROPE_NO_REGION_NO_REGION_NO_REGION"/>
    <x v="1"/>
    <x v="1"/>
    <x v="0"/>
    <x v="0"/>
    <x v="0"/>
    <x v="0"/>
    <x v="1"/>
    <x v="1"/>
    <x v="1"/>
  </r>
  <r>
    <s v="diesel_LEW_V100"/>
    <x v="0"/>
    <x v="1"/>
    <x v="6"/>
    <x v="0"/>
    <s v="COMECON_WESTERN_EUROPE_NO_REGION_NO_REGION"/>
    <x v="1"/>
    <x v="0"/>
    <x v="1"/>
    <x v="0"/>
    <x v="0"/>
    <x v="1"/>
    <x v="1"/>
    <x v="1"/>
    <x v="1"/>
  </r>
  <r>
    <s v="diesel_Fablok_6D"/>
    <x v="0"/>
    <x v="1"/>
    <x v="6"/>
    <x v="0"/>
    <s v="EASTERN_EUROPE_AFRICA_NO_REGION_NO_REGION"/>
    <x v="0"/>
    <x v="1"/>
    <x v="1"/>
    <x v="0"/>
    <x v="1"/>
    <x v="1"/>
    <x v="1"/>
    <x v="1"/>
    <x v="1"/>
  </r>
  <r>
    <s v="diesel_HCP_301D"/>
    <x v="0"/>
    <x v="1"/>
    <x v="6"/>
    <x v="0"/>
    <s v="EASTERN_EUROPE_AFRICA_NO_REGION_NO_REGION"/>
    <x v="0"/>
    <x v="1"/>
    <x v="1"/>
    <x v="0"/>
    <x v="1"/>
    <x v="1"/>
    <x v="1"/>
    <x v="1"/>
    <x v="1"/>
  </r>
  <r>
    <s v="dmu_Stadler_Flirt_PowerPack_DMU"/>
    <x v="0"/>
    <x v="1"/>
    <x v="0"/>
    <x v="0"/>
    <s v="ALL_EUROPE_NORTH_AMERICA_NO_REGION_NO_REGION"/>
    <x v="1"/>
    <x v="1"/>
    <x v="0"/>
    <x v="0"/>
    <x v="0"/>
    <x v="0"/>
    <x v="0"/>
    <x v="1"/>
    <x v="1"/>
  </r>
  <r>
    <s v="cargoemu_JNR_Container_Bullet_Train_Concept"/>
    <x v="0"/>
    <x v="1"/>
    <x v="6"/>
    <x v="0"/>
    <s v="ASIA_NO_REGION_NO_REGION_NO_REGION"/>
    <x v="1"/>
    <x v="0"/>
    <x v="1"/>
    <x v="1"/>
    <x v="1"/>
    <x v="1"/>
    <x v="1"/>
    <x v="1"/>
    <x v="1"/>
  </r>
  <r>
    <s v="electric_Hitachi_WAG_6B_C"/>
    <x v="0"/>
    <x v="1"/>
    <x v="5"/>
    <x v="0"/>
    <s v="ASIA_NO_REGION_NO_REGION_NO_REGION"/>
    <x v="1"/>
    <x v="0"/>
    <x v="1"/>
    <x v="1"/>
    <x v="1"/>
    <x v="1"/>
    <x v="1"/>
    <x v="1"/>
    <x v="1"/>
  </r>
  <r>
    <s v="electric_Toshiba_10E"/>
    <x v="0"/>
    <x v="1"/>
    <x v="5"/>
    <x v="0"/>
    <s v="AFRICA_NO_REGION_NO_REGION_NO_REGION"/>
    <x v="0"/>
    <x v="1"/>
    <x v="1"/>
    <x v="1"/>
    <x v="1"/>
    <x v="1"/>
    <x v="1"/>
    <x v="1"/>
    <x v="1"/>
  </r>
  <r>
    <s v="electric_GEC_9E"/>
    <x v="0"/>
    <x v="1"/>
    <x v="6"/>
    <x v="0"/>
    <s v="AFRICA_NO_REGION_NO_REGION_NO_REGION"/>
    <x v="0"/>
    <x v="1"/>
    <x v="1"/>
    <x v="1"/>
    <x v="1"/>
    <x v="1"/>
    <x v="1"/>
    <x v="1"/>
    <x v="1"/>
  </r>
  <r>
    <s v="electric_Hitachi_E1100"/>
    <x v="0"/>
    <x v="1"/>
    <x v="6"/>
    <x v="0"/>
    <s v="AFRICA_NO_REGION_NO_REGION_NO_REGION"/>
    <x v="0"/>
    <x v="1"/>
    <x v="1"/>
    <x v="1"/>
    <x v="1"/>
    <x v="1"/>
    <x v="1"/>
    <x v="1"/>
    <x v="1"/>
  </r>
  <r>
    <s v="electric_RDSO_CLW_WAM_4"/>
    <x v="0"/>
    <x v="1"/>
    <x v="6"/>
    <x v="0"/>
    <s v="ASIA_NO_REGION_NO_REGION_NO_REGION"/>
    <x v="1"/>
    <x v="0"/>
    <x v="1"/>
    <x v="1"/>
    <x v="1"/>
    <x v="1"/>
    <x v="1"/>
    <x v="1"/>
    <x v="1"/>
  </r>
  <r>
    <s v="electric_Groupement_50_Hz_WAM_1"/>
    <x v="0"/>
    <x v="1"/>
    <x v="6"/>
    <x v="0"/>
    <s v="ASIA_NO_REGION_NO_REGION_NO_REGION"/>
    <x v="1"/>
    <x v="0"/>
    <x v="1"/>
    <x v="1"/>
    <x v="1"/>
    <x v="1"/>
    <x v="1"/>
    <x v="1"/>
    <x v="1"/>
  </r>
  <r>
    <s v="diesel_Baldwin_Lima_Hamilton_RF_615_E"/>
    <x v="0"/>
    <x v="1"/>
    <x v="4"/>
    <x v="0"/>
    <s v="SOUTH_AMERICA_NO_REGION_NO_REGION_NO_REGION"/>
    <x v="1"/>
    <x v="1"/>
    <x v="1"/>
    <x v="1"/>
    <x v="1"/>
    <x v="1"/>
    <x v="1"/>
    <x v="0"/>
    <x v="1"/>
  </r>
  <r>
    <s v="diesel_EE_Dick__Kerr___Co_Vulcan_Foundry_DE2"/>
    <x v="0"/>
    <x v="1"/>
    <x v="4"/>
    <x v="0"/>
    <s v="AFRICA_NO_REGION_NO_REGION_NO_REGION"/>
    <x v="0"/>
    <x v="1"/>
    <x v="1"/>
    <x v="1"/>
    <x v="1"/>
    <x v="1"/>
    <x v="1"/>
    <x v="1"/>
    <x v="1"/>
  </r>
  <r>
    <s v="diesel_Ingeteam_TD2000_series"/>
    <x v="0"/>
    <x v="1"/>
    <x v="0"/>
    <x v="0"/>
    <s v="SOUTH_AMERICA_SOUTHERN_EUROPE_NO_REGION_NO_REGION"/>
    <x v="1"/>
    <x v="1"/>
    <x v="0"/>
    <x v="1"/>
    <x v="1"/>
    <x v="1"/>
    <x v="1"/>
    <x v="0"/>
    <x v="1"/>
  </r>
  <r>
    <s v="diesel_Tulloch_0_6_0DM_W_Class"/>
    <x v="0"/>
    <x v="1"/>
    <x v="4"/>
    <x v="0"/>
    <s v="OCEANIA_NO_REGION_NO_REGION_NO_REGION"/>
    <x v="1"/>
    <x v="1"/>
    <x v="1"/>
    <x v="1"/>
    <x v="1"/>
    <x v="1"/>
    <x v="1"/>
    <x v="1"/>
    <x v="0"/>
  </r>
  <r>
    <s v="electric_GE_289_Boxcab"/>
    <x v="0"/>
    <x v="1"/>
    <x v="3"/>
    <x v="0"/>
    <s v="SOUTH_AMERICA_NO_REGION_NO_REGION_NO_REGION"/>
    <x v="1"/>
    <x v="1"/>
    <x v="1"/>
    <x v="1"/>
    <x v="1"/>
    <x v="1"/>
    <x v="1"/>
    <x v="0"/>
    <x v="1"/>
  </r>
  <r>
    <s v="electric_Alsthom_EC_386"/>
    <x v="0"/>
    <x v="1"/>
    <x v="5"/>
    <x v="0"/>
    <s v="SOUTH_AMERICA_NO_REGION_NO_REGION_NO_REGION"/>
    <x v="1"/>
    <x v="1"/>
    <x v="1"/>
    <x v="1"/>
    <x v="1"/>
    <x v="1"/>
    <x v="1"/>
    <x v="0"/>
    <x v="1"/>
  </r>
  <r>
    <s v="electric_Chesta_Casagrande_E650"/>
    <x v="0"/>
    <x v="1"/>
    <x v="0"/>
    <x v="0"/>
    <s v="SOUTH_AMERICA_NO_REGION_NO_REGION_NO_REGION"/>
    <x v="1"/>
    <x v="1"/>
    <x v="1"/>
    <x v="1"/>
    <x v="1"/>
    <x v="1"/>
    <x v="1"/>
    <x v="0"/>
    <x v="1"/>
  </r>
  <r>
    <s v="electric_Breda_Marelli_E32"/>
    <x v="0"/>
    <x v="1"/>
    <x v="6"/>
    <x v="0"/>
    <s v="SOUTH_AMERICA_NO_REGION_NO_REGION_NO_REGION"/>
    <x v="1"/>
    <x v="1"/>
    <x v="1"/>
    <x v="1"/>
    <x v="1"/>
    <x v="1"/>
    <x v="1"/>
    <x v="0"/>
    <x v="1"/>
  </r>
  <r>
    <s v="diesel_GE_ES58ACi"/>
    <x v="0"/>
    <x v="1"/>
    <x v="0"/>
    <x v="0"/>
    <s v="SOUTH_AMERICA_NO_REGION_NO_REGION_NO_REGION"/>
    <x v="1"/>
    <x v="1"/>
    <x v="1"/>
    <x v="1"/>
    <x v="1"/>
    <x v="1"/>
    <x v="1"/>
    <x v="0"/>
    <x v="1"/>
  </r>
  <r>
    <s v="rbd_Ganz_MAVAG_Ikarus_725_00"/>
    <x v="0"/>
    <x v="1"/>
    <x v="5"/>
    <x v="0"/>
    <s v="COMECON_NO_REGION_NO_REGION_NO_REGION"/>
    <x v="1"/>
    <x v="0"/>
    <x v="1"/>
    <x v="0"/>
    <x v="1"/>
    <x v="1"/>
    <x v="1"/>
    <x v="1"/>
    <x v="1"/>
  </r>
  <r>
    <s v="mtro_Alstom_Metropolis"/>
    <x v="0"/>
    <x v="1"/>
    <x v="5"/>
    <x v="0"/>
    <s v="ALL_AMERICA_APAC_WESTERN_EUROPE_EASTERN_EUROPE"/>
    <x v="1"/>
    <x v="0"/>
    <x v="1"/>
    <x v="0"/>
    <x v="0"/>
    <x v="1"/>
    <x v="0"/>
    <x v="0"/>
    <x v="0"/>
  </r>
  <r>
    <s v="steam_Sharp_2_2_2_Patriot"/>
    <x v="0"/>
    <x v="1"/>
    <x v="8"/>
    <x v="0"/>
    <s v="NORTH_AMERICA_NO_REGION_NO_REGION_NO_REGION"/>
    <x v="1"/>
    <x v="1"/>
    <x v="1"/>
    <x v="1"/>
    <x v="1"/>
    <x v="1"/>
    <x v="0"/>
    <x v="1"/>
    <x v="1"/>
  </r>
  <r>
    <s v="mu_Coach_Gen2_Heavyweight_Regional_Coach"/>
    <x v="0"/>
    <x v="0"/>
    <x v="1"/>
    <x v="0"/>
    <s v="ALL_AMERICA_OCEANIA_NO_REGION_NO_REGION"/>
    <x v="1"/>
    <x v="1"/>
    <x v="1"/>
    <x v="1"/>
    <x v="1"/>
    <x v="1"/>
    <x v="0"/>
    <x v="0"/>
    <x v="0"/>
  </r>
  <r>
    <s v="mu_Coach_Gen1_American_Style_Coach"/>
    <x v="0"/>
    <x v="0"/>
    <x v="9"/>
    <x v="0"/>
    <s v="NON_EUROPEAN_NO_REGION_NO_REGION_NO_REGION"/>
    <x v="0"/>
    <x v="0"/>
    <x v="1"/>
    <x v="1"/>
    <x v="1"/>
    <x v="1"/>
    <x v="0"/>
    <x v="0"/>
    <x v="1"/>
  </r>
  <r>
    <s v="mu_Coach_Gen1_American_Style_Mail_Coach"/>
    <x v="0"/>
    <x v="0"/>
    <x v="9"/>
    <x v="0"/>
    <s v="NON_EUROPEAN_NO_REGION_NO_REGION_NO_REGION"/>
    <x v="0"/>
    <x v="0"/>
    <x v="1"/>
    <x v="1"/>
    <x v="1"/>
    <x v="1"/>
    <x v="0"/>
    <x v="0"/>
    <x v="1"/>
  </r>
  <r>
    <s v="mu_Coach_Gen3_Steel_Lightweight_Commuter_Coach"/>
    <x v="0"/>
    <x v="0"/>
    <x v="4"/>
    <x v="0"/>
    <s v="NORTH_AMERICA_NO_REGION_NO_REGION_NO_REGION"/>
    <x v="1"/>
    <x v="1"/>
    <x v="1"/>
    <x v="1"/>
    <x v="1"/>
    <x v="1"/>
    <x v="0"/>
    <x v="1"/>
    <x v="1"/>
  </r>
  <r>
    <s v="electric_ALCO_GE_T_Motor"/>
    <x v="0"/>
    <x v="1"/>
    <x v="1"/>
    <x v="0"/>
    <s v="NORTH_AMERICA_NO_REGION_NO_REGION_NO_REGION"/>
    <x v="1"/>
    <x v="1"/>
    <x v="1"/>
    <x v="1"/>
    <x v="1"/>
    <x v="1"/>
    <x v="0"/>
    <x v="1"/>
    <x v="1"/>
  </r>
  <r>
    <s v="electric_Altoona_Works_DD1"/>
    <x v="0"/>
    <x v="1"/>
    <x v="1"/>
    <x v="0"/>
    <s v="NORTH_AMERICA_NO_REGION_NO_REGION_NO_REGION"/>
    <x v="1"/>
    <x v="1"/>
    <x v="1"/>
    <x v="1"/>
    <x v="1"/>
    <x v="1"/>
    <x v="0"/>
    <x v="1"/>
    <x v="1"/>
  </r>
  <r>
    <s v="emu_PRR_MP_70"/>
    <x v="0"/>
    <x v="1"/>
    <x v="3"/>
    <x v="0"/>
    <s v="NORTH_AMERICA_NO_REGION_NO_REGION_NO_REGION"/>
    <x v="1"/>
    <x v="1"/>
    <x v="1"/>
    <x v="1"/>
    <x v="1"/>
    <x v="1"/>
    <x v="0"/>
    <x v="1"/>
    <x v="1"/>
  </r>
  <r>
    <s v="emu_Pullman_Standard_LIRR_MP75"/>
    <x v="0"/>
    <x v="1"/>
    <x v="6"/>
    <x v="0"/>
    <s v="NORTH_AMERICA_NO_REGION_NO_REGION_NO_REGION"/>
    <x v="1"/>
    <x v="1"/>
    <x v="1"/>
    <x v="1"/>
    <x v="1"/>
    <x v="1"/>
    <x v="0"/>
    <x v="1"/>
    <x v="1"/>
  </r>
  <r>
    <s v="singlemtro_ACF_NYCC_Heavyweight"/>
    <x v="0"/>
    <x v="1"/>
    <x v="1"/>
    <x v="0"/>
    <s v="NORTH_AMERICA_NO_REGION_NO_REGION_NO_REGION"/>
    <x v="1"/>
    <x v="1"/>
    <x v="1"/>
    <x v="1"/>
    <x v="1"/>
    <x v="1"/>
    <x v="0"/>
    <x v="1"/>
    <x v="1"/>
  </r>
  <r>
    <s v="mu_Coach_Gen3_Goerlitz_Doppelstockwagen_Articulated_Coach"/>
    <x v="0"/>
    <x v="0"/>
    <x v="4"/>
    <x v="0"/>
    <s v="OLD_WORLD_NO_REGION_NO_REGION_NO_REGION"/>
    <x v="0"/>
    <x v="0"/>
    <x v="0"/>
    <x v="0"/>
    <x v="0"/>
    <x v="0"/>
    <x v="1"/>
    <x v="1"/>
    <x v="1"/>
  </r>
  <r>
    <s v="emu_PRR_MP54_3RL"/>
    <x v="0"/>
    <x v="1"/>
    <x v="1"/>
    <x v="0"/>
    <s v="NORTH_AMERICA_NO_REGION_NO_REGION_NO_REGION"/>
    <x v="1"/>
    <x v="1"/>
    <x v="1"/>
    <x v="1"/>
    <x v="1"/>
    <x v="1"/>
    <x v="0"/>
    <x v="1"/>
    <x v="1"/>
  </r>
  <r>
    <s v="emu_PRR_MP54_OHLE"/>
    <x v="0"/>
    <x v="1"/>
    <x v="1"/>
    <x v="0"/>
    <s v="NORTH_AMERICA_NO_REGION_NO_REGION_NO_REGION"/>
    <x v="1"/>
    <x v="1"/>
    <x v="1"/>
    <x v="1"/>
    <x v="1"/>
    <x v="1"/>
    <x v="0"/>
    <x v="1"/>
    <x v="1"/>
  </r>
  <r>
    <s v="mu_Coach_Gen2_PRR_MP54_Commuter_Coach"/>
    <x v="0"/>
    <x v="0"/>
    <x v="1"/>
    <x v="0"/>
    <s v="NORTH_AMERICA_NO_REGION_NO_REGION_NO_REGION"/>
    <x v="1"/>
    <x v="1"/>
    <x v="1"/>
    <x v="1"/>
    <x v="1"/>
    <x v="1"/>
    <x v="0"/>
    <x v="1"/>
    <x v="1"/>
  </r>
  <r>
    <s v="mu_Coach_Gen2_PRR_MP54_Mail_Coach"/>
    <x v="0"/>
    <x v="0"/>
    <x v="1"/>
    <x v="0"/>
    <s v="NORTH_AMERICA_NO_REGION_NO_REGION_NO_REGION"/>
    <x v="1"/>
    <x v="1"/>
    <x v="1"/>
    <x v="1"/>
    <x v="1"/>
    <x v="1"/>
    <x v="0"/>
    <x v="1"/>
    <x v="1"/>
  </r>
  <r>
    <s v="mu_Coach_Gen3_PRR_P70_Bilevel_Coach"/>
    <x v="0"/>
    <x v="0"/>
    <x v="3"/>
    <x v="0"/>
    <s v="NORTH_AMERICA_NO_REGION_NO_REGION_NO_REGION"/>
    <x v="1"/>
    <x v="1"/>
    <x v="1"/>
    <x v="1"/>
    <x v="1"/>
    <x v="1"/>
    <x v="0"/>
    <x v="1"/>
    <x v="1"/>
  </r>
  <r>
    <s v="diesel_LTZ_TE10M"/>
    <x v="0"/>
    <x v="1"/>
    <x v="5"/>
    <x v="0"/>
    <s v="POST_SOVIET_BALTIC_NO_REGION_NO_REGION_NO_REGION"/>
    <x v="1"/>
    <x v="0"/>
    <x v="1"/>
    <x v="0"/>
    <x v="1"/>
    <x v="0"/>
    <x v="1"/>
    <x v="1"/>
    <x v="1"/>
  </r>
  <r>
    <s v="diesel_LTZ_TE126"/>
    <x v="0"/>
    <x v="1"/>
    <x v="5"/>
    <x v="0"/>
    <s v="COMECON_NO_REGION_NO_REGION_NO_REGION"/>
    <x v="1"/>
    <x v="0"/>
    <x v="1"/>
    <x v="0"/>
    <x v="1"/>
    <x v="1"/>
    <x v="1"/>
    <x v="1"/>
    <x v="1"/>
  </r>
  <r>
    <s v="diesel_LTZ_TE10Ut"/>
    <x v="0"/>
    <x v="1"/>
    <x v="5"/>
    <x v="0"/>
    <s v="COMECON_NO_REGION_NO_REGION_NO_REGION"/>
    <x v="1"/>
    <x v="0"/>
    <x v="1"/>
    <x v="0"/>
    <x v="1"/>
    <x v="1"/>
    <x v="1"/>
    <x v="1"/>
    <x v="1"/>
  </r>
  <r>
    <s v="rbd_Faur_A20DP"/>
    <x v="0"/>
    <x v="1"/>
    <x v="5"/>
    <x v="0"/>
    <s v="EASTERN_EUROPE_NO_REGION_NO_REGION_NO_REGION"/>
    <x v="1"/>
    <x v="1"/>
    <x v="1"/>
    <x v="0"/>
    <x v="1"/>
    <x v="1"/>
    <x v="1"/>
    <x v="1"/>
    <x v="1"/>
  </r>
  <r>
    <s v="mu_Coach_Gen4_Faur_AD20DP_Trailer"/>
    <x v="0"/>
    <x v="0"/>
    <x v="5"/>
    <x v="0"/>
    <s v="EASTERN_EUROPE_NO_REGION_NO_REGION_NO_REGION"/>
    <x v="1"/>
    <x v="1"/>
    <x v="1"/>
    <x v="0"/>
    <x v="1"/>
    <x v="1"/>
    <x v="1"/>
    <x v="1"/>
    <x v="1"/>
  </r>
  <r>
    <s v="diesel_Faur_L45H"/>
    <x v="0"/>
    <x v="1"/>
    <x v="6"/>
    <x v="0"/>
    <s v="COMECON_WESTERN_EUROPE_AFRICA_NO_REGION"/>
    <x v="0"/>
    <x v="0"/>
    <x v="1"/>
    <x v="0"/>
    <x v="0"/>
    <x v="1"/>
    <x v="1"/>
    <x v="1"/>
    <x v="1"/>
  </r>
  <r>
    <s v="mu_Coach_Gen3_Pafawag_3Aw"/>
    <x v="0"/>
    <x v="0"/>
    <x v="4"/>
    <x v="0"/>
    <s v="COMECON_NO_REGION_NO_REGION_NO_REGION"/>
    <x v="1"/>
    <x v="0"/>
    <x v="1"/>
    <x v="0"/>
    <x v="1"/>
    <x v="1"/>
    <x v="1"/>
    <x v="1"/>
    <x v="1"/>
  </r>
  <r>
    <s v="diesel_KMZ_TU7_TGM40"/>
    <x v="0"/>
    <x v="1"/>
    <x v="6"/>
    <x v="0"/>
    <s v="ALL_EUROPE_ASIA_NO_REGION_NO_REGION"/>
    <x v="1"/>
    <x v="0"/>
    <x v="0"/>
    <x v="0"/>
    <x v="0"/>
    <x v="0"/>
    <x v="1"/>
    <x v="1"/>
    <x v="1"/>
  </r>
  <r>
    <s v="electric_Alsthom_CC_7100"/>
    <x v="0"/>
    <x v="1"/>
    <x v="4"/>
    <x v="0"/>
    <s v="WESTERN_EUROPE_AFRICA_SOUTHERN_EUROPE_NO_REGION"/>
    <x v="0"/>
    <x v="1"/>
    <x v="0"/>
    <x v="1"/>
    <x v="0"/>
    <x v="1"/>
    <x v="1"/>
    <x v="1"/>
    <x v="1"/>
  </r>
  <r>
    <s v="electric_Alsthom_F_Series"/>
    <x v="0"/>
    <x v="1"/>
    <x v="4"/>
    <x v="0"/>
    <s v="EASTERN_EUROPE_ASIA_NO_REGION_NO_REGION"/>
    <x v="1"/>
    <x v="0"/>
    <x v="1"/>
    <x v="0"/>
    <x v="1"/>
    <x v="1"/>
    <x v="1"/>
    <x v="1"/>
    <x v="1"/>
  </r>
  <r>
    <s v="electric_Siemens_Vectron_MS"/>
    <x v="0"/>
    <x v="1"/>
    <x v="0"/>
    <x v="0"/>
    <s v="ALL_EUROPE_NO_REGION_NO_REGION_NO_REGION"/>
    <x v="1"/>
    <x v="1"/>
    <x v="0"/>
    <x v="0"/>
    <x v="0"/>
    <x v="0"/>
    <x v="1"/>
    <x v="1"/>
    <x v="1"/>
  </r>
  <r>
    <s v="diesel_Siemens_Vectron_DE"/>
    <x v="0"/>
    <x v="1"/>
    <x v="0"/>
    <x v="0"/>
    <s v="ALL_EUROPE_NO_REGION_NO_REGION_NO_REGION"/>
    <x v="1"/>
    <x v="1"/>
    <x v="0"/>
    <x v="0"/>
    <x v="0"/>
    <x v="0"/>
    <x v="1"/>
    <x v="1"/>
    <x v="1"/>
  </r>
  <r>
    <s v="electric_Siemens_Vectron_Dual_Mode"/>
    <x v="0"/>
    <x v="1"/>
    <x v="10"/>
    <x v="0"/>
    <s v="WESTERN_EUROPE_NO_REGION_NO_REGION_NO_REGION"/>
    <x v="1"/>
    <x v="1"/>
    <x v="1"/>
    <x v="1"/>
    <x v="0"/>
    <x v="1"/>
    <x v="1"/>
    <x v="1"/>
    <x v="1"/>
  </r>
  <r>
    <s v="steam_Tours_Chapelon_2_12_0_160A"/>
    <x v="0"/>
    <x v="1"/>
    <x v="4"/>
    <x v="0"/>
    <s v="WESTERN_EUROPE_NO_REGION_NO_REGION_NO_REGION"/>
    <x v="1"/>
    <x v="1"/>
    <x v="1"/>
    <x v="1"/>
    <x v="0"/>
    <x v="1"/>
    <x v="1"/>
    <x v="1"/>
    <x v="1"/>
  </r>
  <r>
    <s v="diesel_LTZ_TE166"/>
    <x v="0"/>
    <x v="1"/>
    <x v="6"/>
    <x v="0"/>
    <s v="COMECON_NO_REGION_NO_REGION_NO_REGION"/>
    <x v="1"/>
    <x v="0"/>
    <x v="1"/>
    <x v="0"/>
    <x v="1"/>
    <x v="1"/>
    <x v="1"/>
    <x v="1"/>
    <x v="1"/>
  </r>
  <r>
    <s v="rbd_Ganz_MAVAG_SN61"/>
    <x v="0"/>
    <x v="1"/>
    <x v="6"/>
    <x v="0"/>
    <s v="EASTERN_EUROPE_NO_REGION_NO_REGION_NO_REGION"/>
    <x v="1"/>
    <x v="1"/>
    <x v="1"/>
    <x v="0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2"/>
    <x v="2"/>
    <x v="13"/>
    <x v="0"/>
    <e v="#N/A"/>
    <x v="1"/>
    <x v="1"/>
    <x v="1"/>
    <x v="1"/>
    <x v="1"/>
    <x v="1"/>
    <x v="1"/>
    <x v="1"/>
    <x v="1"/>
  </r>
  <r>
    <m/>
    <x v="3"/>
    <x v="3"/>
    <x v="14"/>
    <x v="1"/>
    <m/>
    <x v="2"/>
    <x v="2"/>
    <x v="2"/>
    <x v="2"/>
    <x v="2"/>
    <x v="2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8A891-6DF0-48B1-B0F7-DCBA9B80531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L8" firstHeaderRow="1" firstDataRow="2" firstDataCol="1" rowPageCount="3" colPageCount="1"/>
  <pivotFields count="15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8">
        <item m="1" x="15"/>
        <item m="1" x="17"/>
        <item m="1" x="18"/>
        <item m="1" x="28"/>
        <item m="1" x="30"/>
        <item n="Commuter/Urban" m="1" x="20"/>
        <item n="Commuter/Urban2" m="1" x="3"/>
        <item n="Express" m="1" x="24"/>
        <item m="1" x="35"/>
        <item m="1" x="33"/>
        <item m="1" x="36"/>
        <item n="Express Passenger" m="1" x="21"/>
        <item n="Express Passenger2" m="1" x="5"/>
        <item n="Express2" m="1" x="8"/>
        <item m="1" x="12"/>
        <item m="1" x="23"/>
        <item m="1" x="9"/>
        <item m="1" x="34"/>
        <item m="1" x="4"/>
        <item n="Mail" m="1" x="16"/>
        <item m="1" x="32"/>
        <item m="1" x="10"/>
        <item m="1" x="25"/>
        <item m="1" x="2"/>
        <item m="1" x="31"/>
        <item m="1" x="26"/>
        <item m="1" x="29"/>
        <item n="Shunting" m="1" x="22"/>
        <item n="Shunting2" m="1" x="6"/>
        <item m="1" x="27"/>
        <item m="1" x="37"/>
        <item m="1" x="13"/>
        <item m="1" x="11"/>
        <item m="1" x="7"/>
        <item m="1" x="14"/>
        <item x="0"/>
        <item m="1" x="19"/>
        <item x="1"/>
      </items>
    </pivotField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2">
    <i>
      <x v="35"/>
    </i>
    <i t="grand">
      <x/>
    </i>
  </rowItems>
  <colFields count="1">
    <field x="3"/>
  </colFields>
  <colItems count="11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6" hier="-1"/>
  </pageFields>
  <dataFields count="1">
    <dataField name="Count of VEHIDCODE" fld="0" subtotal="count" baseField="0" baseItem="0"/>
  </dataFields>
  <formats count="3">
    <format dxfId="145">
      <pivotArea field="3" type="button" dataOnly="0" labelOnly="1" outline="0" axis="axisCol" fieldPosition="0"/>
    </format>
    <format dxfId="144">
      <pivotArea field="6" type="button" dataOnly="0" labelOnly="1" outline="0" axis="axisPage" fieldPosition="2"/>
    </format>
    <format dxfId="143">
      <pivotArea dataOnly="0" labelOnly="1" outline="0" fieldPosition="0">
        <references count="1">
          <reference field="4" count="14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31737-16B7-4383-899D-48B29D858F6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M8" firstHeaderRow="1" firstDataRow="2" firstDataCol="1" rowPageCount="3" colPageCount="1"/>
  <pivotFields count="15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8">
        <item m="1" x="15"/>
        <item m="1" x="17"/>
        <item m="1" x="18"/>
        <item m="1" x="28"/>
        <item m="1" x="30"/>
        <item n="Commuter/Urban" m="1" x="20"/>
        <item n="Commuter/Urban2" m="1" x="3"/>
        <item n="Express" m="1" x="24"/>
        <item m="1" x="35"/>
        <item m="1" x="33"/>
        <item m="1" x="36"/>
        <item n="Express Passenger" m="1" x="21"/>
        <item n="Express Passenger2" m="1" x="5"/>
        <item n="Express2" m="1" x="8"/>
        <item m="1" x="12"/>
        <item m="1" x="23"/>
        <item m="1" x="9"/>
        <item m="1" x="34"/>
        <item m="1" x="4"/>
        <item n="Mail" m="1" x="16"/>
        <item m="1" x="32"/>
        <item m="1" x="10"/>
        <item m="1" x="25"/>
        <item m="1" x="2"/>
        <item m="1" x="31"/>
        <item m="1" x="26"/>
        <item m="1" x="29"/>
        <item n="Shunting" m="1" x="22"/>
        <item n="Shunting2" m="1" x="6"/>
        <item m="1" x="27"/>
        <item m="1" x="37"/>
        <item m="1" x="13"/>
        <item m="1" x="11"/>
        <item m="1" x="7"/>
        <item m="1" x="14"/>
        <item x="0"/>
        <item m="1" x="19"/>
        <item x="1"/>
      </items>
    </pivotField>
    <pivotField compact="0" outline="0" showAll="0" defaultSubtotal="0"/>
    <pivotField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1"/>
        <item x="0"/>
        <item x="2"/>
      </items>
    </pivotField>
    <pivotField compact="0" outline="0" showAll="0" defaultSubtotal="0"/>
    <pivotField compact="0" outline="0" showAll="0" defaultSubtotal="0"/>
  </pivotFields>
  <rowFields count="1">
    <field x="4"/>
  </rowFields>
  <rowItems count="2">
    <i>
      <x v="35"/>
    </i>
    <i t="grand">
      <x/>
    </i>
  </rowItems>
  <colFields count="1">
    <field x="3"/>
  </colFields>
  <col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2" item="1" hier="-1"/>
  </pageFields>
  <dataFields count="1">
    <dataField name="Count of VEHIDCODE" fld="0" subtotal="count" baseField="0" baseItem="0"/>
  </dataFields>
  <formats count="3">
    <format dxfId="142">
      <pivotArea field="3" type="button" dataOnly="0" labelOnly="1" outline="0" axis="axisCol" fieldPosition="0"/>
    </format>
    <format dxfId="141">
      <pivotArea field="6" type="button" dataOnly="0" labelOnly="1" outline="0"/>
    </format>
    <format dxfId="140">
      <pivotArea dataOnly="0" labelOnly="1" outline="0" fieldPosition="0">
        <references count="1">
          <reference field="4" count="14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2E442-D885-4752-A83C-35D1A6C9351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M8" firstHeaderRow="1" firstDataRow="2" firstDataCol="1" rowPageCount="3" colPageCount="1"/>
  <pivotFields count="15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8">
        <item m="1" x="15"/>
        <item m="1" x="17"/>
        <item m="1" x="18"/>
        <item m="1" x="28"/>
        <item m="1" x="30"/>
        <item n="Commuter/Urban" m="1" x="20"/>
        <item n="Commuter/Urban2" m="1" x="3"/>
        <item n="Express" m="1" x="24"/>
        <item m="1" x="35"/>
        <item m="1" x="21"/>
        <item m="1" x="33"/>
        <item m="1" x="36"/>
        <item m="1" x="5"/>
        <item n="Express2" m="1" x="8"/>
        <item m="1" x="12"/>
        <item m="1" x="23"/>
        <item m="1" x="9"/>
        <item m="1" x="34"/>
        <item m="1" x="4"/>
        <item n="Mail" m="1" x="16"/>
        <item m="1" x="32"/>
        <item m="1" x="10"/>
        <item m="1" x="25"/>
        <item m="1" x="2"/>
        <item m="1" x="31"/>
        <item m="1" x="26"/>
        <item m="1" x="29"/>
        <item n="Shunting" m="1" x="22"/>
        <item n="Shunting2" m="1" x="6"/>
        <item m="1" x="27"/>
        <item m="1" x="37"/>
        <item m="1" x="13"/>
        <item m="1" x="11"/>
        <item m="1" x="7"/>
        <item m="1" x="14"/>
        <item x="0"/>
        <item m="1" x="19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</pivotFields>
  <rowFields count="1">
    <field x="4"/>
  </rowFields>
  <rowItems count="2">
    <i>
      <x v="35"/>
    </i>
    <i t="grand">
      <x/>
    </i>
  </rowItems>
  <colFields count="1">
    <field x="3"/>
  </colFields>
  <col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3" hier="-1"/>
  </pageFields>
  <dataFields count="1">
    <dataField name="Count of VEHIDCODE" fld="0" subtotal="count" baseField="0" baseItem="0"/>
  </dataFields>
  <formats count="3">
    <format dxfId="139">
      <pivotArea field="3" type="button" dataOnly="0" labelOnly="1" outline="0" axis="axisCol" fieldPosition="0"/>
    </format>
    <format dxfId="138">
      <pivotArea field="13" type="button" dataOnly="0" labelOnly="1" outline="0" axis="axisPage" fieldPosition="2"/>
    </format>
    <format dxfId="137">
      <pivotArea dataOnly="0" labelOnly="1" outline="0" fieldPosition="0">
        <references count="1">
          <reference field="4" count="14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A3C76-9B47-4BAB-B6A9-54AB055A697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L8" firstHeaderRow="1" firstDataRow="2" firstDataCol="1" rowPageCount="3" colPageCount="1"/>
  <pivotFields count="15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8">
        <item m="1" x="15"/>
        <item m="1" x="17"/>
        <item m="1" x="18"/>
        <item m="1" x="28"/>
        <item m="1" x="30"/>
        <item n="Commuter/Urban" m="1" x="20"/>
        <item n="Commuter/Urban2" m="1" x="3"/>
        <item n="Express" m="1" x="24"/>
        <item m="1" x="35"/>
        <item m="1" x="33"/>
        <item m="1" x="36"/>
        <item n="Express Passenger" m="1" x="21"/>
        <item n="Express Passenger2" m="1" x="5"/>
        <item n="Express2" m="1" x="8"/>
        <item n="Freight" m="1" x="27"/>
        <item n="Freight2" m="1" x="12"/>
        <item m="1" x="23"/>
        <item m="1" x="9"/>
        <item m="1" x="34"/>
        <item m="1" x="4"/>
        <item n="Mail" m="1" x="16"/>
        <item m="1" x="32"/>
        <item m="1" x="10"/>
        <item m="1" x="25"/>
        <item m="1" x="2"/>
        <item m="1" x="31"/>
        <item m="1" x="26"/>
        <item m="1" x="29"/>
        <item n="Shunting" m="1" x="22"/>
        <item n="Shunting2" m="1" x="6"/>
        <item m="1" x="37"/>
        <item m="1" x="13"/>
        <item m="1" x="11"/>
        <item m="1" x="7"/>
        <item m="1" x="14"/>
        <item x="0"/>
        <item m="1" x="19"/>
        <item x="1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2">
    <i>
      <x v="35"/>
    </i>
    <i t="grand">
      <x/>
    </i>
  </rowItems>
  <colFields count="1">
    <field x="3"/>
  </colFields>
  <colItems count="11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7" hier="-1"/>
    <pageField fld="2" item="0" hier="-1"/>
  </pageFields>
  <dataFields count="1">
    <dataField name="Count of VEHIDCODE" fld="0" subtotal="count" baseField="0" baseItem="0"/>
  </dataFields>
  <formats count="3">
    <format dxfId="136">
      <pivotArea field="3" type="button" dataOnly="0" labelOnly="1" outline="0" axis="axisCol" fieldPosition="0"/>
    </format>
    <format dxfId="135">
      <pivotArea field="7" type="button" dataOnly="0" labelOnly="1" outline="0" axis="axisPage" fieldPosition="1"/>
    </format>
    <format dxfId="134">
      <pivotArea dataOnly="0" labelOnly="1" outline="0" fieldPosition="0">
        <references count="1">
          <reference field="4" count="16">
            <x v="0"/>
            <x v="1"/>
            <x v="2"/>
            <x v="6"/>
            <x v="12"/>
            <x v="13"/>
            <x v="15"/>
            <x v="17"/>
            <x v="20"/>
            <x v="22"/>
            <x v="24"/>
            <x v="29"/>
            <x v="31"/>
            <x v="32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7BDD1-6BAB-46AF-9E32-4D26081578F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M8" firstHeaderRow="1" firstDataRow="2" firstDataCol="1" rowPageCount="3" colPageCount="1"/>
  <pivotFields count="15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8">
        <item m="1" x="15"/>
        <item m="1" x="17"/>
        <item m="1" x="18"/>
        <item m="1" x="28"/>
        <item m="1" x="30"/>
        <item n="Commuter/Urban" m="1" x="20"/>
        <item n="Commuter/Urban2" m="1" x="3"/>
        <item n="Express" m="1" x="24"/>
        <item m="1" x="35"/>
        <item m="1" x="33"/>
        <item m="1" x="36"/>
        <item n="Express Passenger" m="1" x="21"/>
        <item n="Express Passenger2" m="1" x="5"/>
        <item n="Express2" m="1" x="8"/>
        <item m="1" x="12"/>
        <item m="1" x="23"/>
        <item m="1" x="9"/>
        <item m="1" x="34"/>
        <item m="1" x="4"/>
        <item n="Mail" m="1" x="16"/>
        <item m="1" x="32"/>
        <item m="1" x="10"/>
        <item m="1" x="25"/>
        <item m="1" x="2"/>
        <item m="1" x="31"/>
        <item m="1" x="26"/>
        <item m="1" x="29"/>
        <item n="Shunting" m="1" x="22"/>
        <item n="Shunting2" m="1" x="6"/>
        <item m="1" x="27"/>
        <item m="1" x="37"/>
        <item m="1" x="13"/>
        <item m="1" x="11"/>
        <item m="1" x="7"/>
        <item m="1" x="14"/>
        <item x="0"/>
        <item m="1" x="19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</pivotFields>
  <rowFields count="1">
    <field x="4"/>
  </rowFields>
  <rowItems count="2">
    <i>
      <x v="35"/>
    </i>
    <i t="grand">
      <x/>
    </i>
  </rowItems>
  <colFields count="1">
    <field x="3"/>
  </colFields>
  <col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4" hier="-1"/>
  </pageFields>
  <dataFields count="1">
    <dataField name="Count of VEHIDCODE" fld="0" subtotal="count" baseField="0" baseItem="0"/>
  </dataFields>
  <formats count="3">
    <format dxfId="133">
      <pivotArea field="3" type="button" dataOnly="0" labelOnly="1" outline="0" axis="axisCol" fieldPosition="0"/>
    </format>
    <format dxfId="132">
      <pivotArea field="14" type="button" dataOnly="0" labelOnly="1" outline="0" axis="axisPage" fieldPosition="2"/>
    </format>
    <format dxfId="131">
      <pivotArea dataOnly="0" labelOnly="1" outline="0" fieldPosition="0">
        <references count="1">
          <reference field="4" count="15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2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63C25-8487-4E61-BAB8-CB7B23A4460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N8" firstHeaderRow="1" firstDataRow="2" firstDataCol="1" rowPageCount="3" colPageCount="1"/>
  <pivotFields count="15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8">
        <item m="1" x="15"/>
        <item m="1" x="17"/>
        <item m="1" x="18"/>
        <item m="1" x="28"/>
        <item m="1" x="30"/>
        <item n="Commuter/Urban" m="1" x="20"/>
        <item n="Commuter/Urban2" m="1" x="3"/>
        <item n="Express" m="1" x="24"/>
        <item m="1" x="35"/>
        <item m="1" x="33"/>
        <item m="1" x="36"/>
        <item n="Express Passenger" m="1" x="21"/>
        <item n="Express Passenger2" m="1" x="5"/>
        <item n="Express2" m="1" x="8"/>
        <item n="Freight" m="1" x="27"/>
        <item n="Freight2" m="1" x="12"/>
        <item m="1" x="23"/>
        <item m="1" x="9"/>
        <item m="1" x="34"/>
        <item m="1" x="4"/>
        <item n="Mail" m="1" x="16"/>
        <item m="1" x="32"/>
        <item m="1" x="10"/>
        <item m="1" x="25"/>
        <item m="1" x="2"/>
        <item m="1" x="31"/>
        <item m="1" x="26"/>
        <item m="1" x="29"/>
        <item n="Shunting" m="1" x="22"/>
        <item n="Shunting2" m="1" x="6"/>
        <item m="1" x="37"/>
        <item m="1" x="13"/>
        <item m="1" x="11"/>
        <item m="1" x="7"/>
        <item m="1" x="14"/>
        <item x="0"/>
        <item m="1" x="19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2">
    <i>
      <x v="35"/>
    </i>
    <i t="grand">
      <x/>
    </i>
  </rowItems>
  <colFields count="1">
    <field x="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0" hier="-1"/>
  </pageFields>
  <dataFields count="1">
    <dataField name="Count of VEHIDCODE" fld="0" subtotal="count" baseField="0" baseItem="0"/>
  </dataFields>
  <formats count="3">
    <format dxfId="130">
      <pivotArea field="3" type="button" dataOnly="0" labelOnly="1" outline="0" axis="axisCol" fieldPosition="0"/>
    </format>
    <format dxfId="129">
      <pivotArea field="10" type="button" dataOnly="0" labelOnly="1" outline="0" axis="axisPage" fieldPosition="2"/>
    </format>
    <format dxfId="128">
      <pivotArea dataOnly="0" labelOnly="1" outline="0" fieldPosition="0">
        <references count="1">
          <reference field="4" count="17">
            <x v="0"/>
            <x v="1"/>
            <x v="2"/>
            <x v="6"/>
            <x v="12"/>
            <x v="13"/>
            <x v="15"/>
            <x v="17"/>
            <x v="19"/>
            <x v="20"/>
            <x v="22"/>
            <x v="24"/>
            <x v="29"/>
            <x v="31"/>
            <x v="32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D11BE-704B-4E4E-857D-BB7C5EA1B3F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M8" firstHeaderRow="1" firstDataRow="2" firstDataCol="1" rowPageCount="3" colPageCount="1"/>
  <pivotFields count="15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8">
        <item m="1" x="15"/>
        <item m="1" x="17"/>
        <item m="1" x="18"/>
        <item m="1" x="28"/>
        <item m="1" x="30"/>
        <item n="Commuter/Urban" m="1" x="20"/>
        <item n="Commuter/Urban2" m="1" x="3"/>
        <item n="Express" m="1" x="24"/>
        <item m="1" x="35"/>
        <item m="1" x="33"/>
        <item m="1" x="36"/>
        <item n="Express Passenger" m="1" x="21"/>
        <item n="Express Passenger2" m="1" x="5"/>
        <item n="Express2" m="1" x="8"/>
        <item n="Freight" m="1" x="27"/>
        <item n="Freight2" m="1" x="12"/>
        <item m="1" x="23"/>
        <item m="1" x="9"/>
        <item m="1" x="34"/>
        <item m="1" x="4"/>
        <item n="Mail" m="1" x="16"/>
        <item m="1" x="32"/>
        <item m="1" x="10"/>
        <item m="1" x="25"/>
        <item m="1" x="2"/>
        <item m="1" x="31"/>
        <item m="1" x="26"/>
        <item m="1" x="29"/>
        <item n="Shunting" m="1" x="22"/>
        <item n="Shunting2" m="1" x="6"/>
        <item m="1" x="37"/>
        <item m="1" x="13"/>
        <item m="1" x="11"/>
        <item m="1" x="7"/>
        <item m="1" x="14"/>
        <item x="0"/>
        <item m="1" x="19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>
      <items count="3">
        <item h="1" x="1"/>
        <item x="0"/>
        <item h="1" x="2"/>
      </items>
    </pivotField>
    <pivotField axis="axisPage" compact="0" outline="0" showAll="0" defaultSubtotal="0">
      <items count="3">
        <item x="1"/>
        <item x="0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2">
    <i>
      <x v="35"/>
    </i>
    <i t="grand">
      <x/>
    </i>
  </rowItems>
  <colFields count="1">
    <field x="3"/>
  </colFields>
  <col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1" item="1" hier="-1"/>
  </pageFields>
  <dataFields count="1">
    <dataField name="Count of VEHIDCODE" fld="0" subtotal="count" baseField="0" baseItem="0"/>
  </dataFields>
  <formats count="3">
    <format dxfId="127">
      <pivotArea field="3" type="button" dataOnly="0" labelOnly="1" outline="0" axis="axisCol" fieldPosition="0"/>
    </format>
    <format dxfId="126">
      <pivotArea field="10" type="button" dataOnly="0" labelOnly="1" outline="0"/>
    </format>
    <format dxfId="125">
      <pivotArea dataOnly="0" labelOnly="1" outline="0" fieldPosition="0">
        <references count="1">
          <reference field="4" count="17">
            <x v="0"/>
            <x v="1"/>
            <x v="2"/>
            <x v="6"/>
            <x v="12"/>
            <x v="13"/>
            <x v="15"/>
            <x v="17"/>
            <x v="19"/>
            <x v="20"/>
            <x v="22"/>
            <x v="24"/>
            <x v="29"/>
            <x v="31"/>
            <x v="32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601AF-5962-455C-8F3C-2D546657548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L8" firstHeaderRow="1" firstDataRow="2" firstDataCol="1" rowPageCount="3" colPageCount="1"/>
  <pivotFields count="15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8">
        <item m="1" x="15"/>
        <item m="1" x="17"/>
        <item m="1" x="18"/>
        <item m="1" x="28"/>
        <item m="1" x="30"/>
        <item n="Commuter/Urban" m="1" x="20"/>
        <item n="Commuter/Urban2" m="1" x="3"/>
        <item n="Express" m="1" x="24"/>
        <item m="1" x="35"/>
        <item m="1" x="33"/>
        <item m="1" x="36"/>
        <item n="Express Passenger" m="1" x="21"/>
        <item n="Express Passenger2" m="1" x="5"/>
        <item n="Express2" m="1" x="8"/>
        <item m="1" x="12"/>
        <item m="1" x="23"/>
        <item m="1" x="9"/>
        <item m="1" x="34"/>
        <item m="1" x="4"/>
        <item n="Mail" m="1" x="16"/>
        <item m="1" x="32"/>
        <item m="1" x="10"/>
        <item m="1" x="25"/>
        <item m="1" x="2"/>
        <item m="1" x="31"/>
        <item m="1" x="26"/>
        <item m="1" x="29"/>
        <item n="Shunting" m="1" x="22"/>
        <item n="Shunting2" m="1" x="6"/>
        <item m="1" x="27"/>
        <item m="1" x="37"/>
        <item m="1" x="13"/>
        <item m="1" x="11"/>
        <item m="1" x="7"/>
        <item m="1" x="14"/>
        <item x="0"/>
        <item m="1" x="19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2">
    <i>
      <x v="35"/>
    </i>
    <i t="grand">
      <x/>
    </i>
  </rowItems>
  <colFields count="1">
    <field x="3"/>
  </colFields>
  <colItems count="11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9" hier="-1"/>
  </pageFields>
  <dataFields count="1">
    <dataField name="Count of VEHIDCODE" fld="0" subtotal="count" baseField="0" baseItem="0"/>
  </dataFields>
  <formats count="3">
    <format dxfId="124">
      <pivotArea field="3" type="button" dataOnly="0" labelOnly="1" outline="0" axis="axisCol" fieldPosition="0"/>
    </format>
    <format dxfId="123">
      <pivotArea field="9" type="button" dataOnly="0" labelOnly="1" outline="0" axis="axisPage" fieldPosition="2"/>
    </format>
    <format dxfId="122">
      <pivotArea dataOnly="0" labelOnly="1" outline="0" fieldPosition="0">
        <references count="1">
          <reference field="4" count="14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C4B84-5285-469C-81D3-111988FC047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M8" firstHeaderRow="1" firstDataRow="2" firstDataCol="1" rowPageCount="3" colPageCount="1"/>
  <pivotFields count="15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8">
        <item m="1" x="15"/>
        <item m="1" x="17"/>
        <item m="1" x="18"/>
        <item m="1" x="28"/>
        <item m="1" x="30"/>
        <item n="Commuter/Urban" m="1" x="20"/>
        <item n="Commuter/Urban2" m="1" x="3"/>
        <item n="Express" m="1" x="24"/>
        <item m="1" x="35"/>
        <item m="1" x="33"/>
        <item m="1" x="36"/>
        <item n="Express Passenger" m="1" x="21"/>
        <item n="Express Passenger2" m="1" x="5"/>
        <item n="Express2" m="1" x="8"/>
        <item m="1" x="12"/>
        <item m="1" x="23"/>
        <item m="1" x="9"/>
        <item m="1" x="34"/>
        <item m="1" x="4"/>
        <item n="Mail" m="1" x="16"/>
        <item m="1" x="32"/>
        <item m="1" x="10"/>
        <item m="1" x="25"/>
        <item m="1" x="2"/>
        <item m="1" x="31"/>
        <item m="1" x="26"/>
        <item m="1" x="29"/>
        <item n="Shunting" m="1" x="22"/>
        <item n="Shunting2" m="1" x="6"/>
        <item m="1" x="27"/>
        <item m="1" x="37"/>
        <item m="1" x="13"/>
        <item m="1" x="11"/>
        <item m="1" x="7"/>
        <item m="1" x="14"/>
        <item x="0"/>
        <item m="1" x="19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2">
    <i>
      <x v="35"/>
    </i>
    <i t="grand">
      <x/>
    </i>
  </rowItems>
  <colFields count="1">
    <field x="3"/>
  </colFields>
  <col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8" hier="-1"/>
  </pageFields>
  <dataFields count="1">
    <dataField name="Count of VEHIDCODE" fld="0" subtotal="count" baseField="0" baseItem="0"/>
  </dataFields>
  <formats count="3">
    <format dxfId="121">
      <pivotArea field="3" type="button" dataOnly="0" labelOnly="1" outline="0" axis="axisCol" fieldPosition="0"/>
    </format>
    <format dxfId="120">
      <pivotArea field="8" type="button" dataOnly="0" labelOnly="1" outline="0" axis="axisPage" fieldPosition="2"/>
    </format>
    <format dxfId="119">
      <pivotArea dataOnly="0" labelOnly="1" outline="0" fieldPosition="0">
        <references count="1">
          <reference field="4" count="14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EA8B49-66CF-4BEA-9B39-A62C2B50785A}" name="CONTROL" displayName="CONTROL" ref="A1:R1051" totalsRowShown="0" headerRowDxfId="198">
  <autoFilter ref="A1:R1051" xr:uid="{A2EA8B49-66CF-4BEA-9B39-A62C2B50785A}"/>
  <tableColumns count="18">
    <tableColumn id="1" xr3:uid="{FF4A1243-8066-4FF2-9225-EDE41896A1A5}" name="VEHIDCODE"/>
    <tableColumn id="2" xr3:uid="{44DB3ECB-3D36-4D92-B31F-6B9604288D8B}" name="FILENAMES_EXPECTED" dataDxfId="197">
      <calculatedColumnFormula>_xlfn.TEXTAFTER(CONTROL[[#This Row],[VEHIDCODE]],"_")</calculatedColumnFormula>
    </tableColumn>
    <tableColumn id="3" xr3:uid="{58AEBD72-A51F-449B-AF75-94BF72F5E83B}" name="SAVE_TO" dataDxfId="196">
      <calculatedColumnFormula array="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calculatedColumnFormula>
    </tableColumn>
    <tableColumn id="4" xr3:uid="{FAAD5A25-9CB6-4659-8E2D-79C6E6F46654}" name="VEHID_ID_CATEGORY" dataDxfId="195">
      <calculatedColumnFormula array="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calculatedColumnFormula>
    </tableColumn>
    <tableColumn id="5" xr3:uid="{FDD16D0E-AAD0-4DAE-86B7-8822B79E252B}" name="VEHID_ID"/>
    <tableColumn id="18" xr3:uid="{21382560-03DE-409F-8B64-0D6266C1BC27}" name="ENGLISH" dataDxfId="194"/>
    <tableColumn id="17" xr3:uid="{52550B53-5A6E-4D0B-A358-FCA22B56CC77}" name="WEB"/>
    <tableColumn id="15" xr3:uid="{C9DBDDFF-A526-4383-A426-8408C4B17785}" name="IS_POWERED_UNPOWERED_SUNDRY" dataDxfId="193">
      <calculatedColumnFormula>AND(CONTROL[[#This Row],[IS_WAGON_OR_COACH]]=TRUE,OR(RIGHT(CONTROL[[#This Row],[VEHIDCODE]],7)="Powered",RIGHT(CONTROL[[#This Row],[VEHIDCODE]],9)="Unpowered"))</calculatedColumnFormula>
    </tableColumn>
    <tableColumn id="6" xr3:uid="{E751D3DD-E677-4C18-96A6-5605922C887C}" name="IS_WAGON_OR_COACH" dataDxfId="192">
      <calculatedColumnFormula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calculatedColumnFormula>
    </tableColumn>
    <tableColumn id="7" xr3:uid="{B82AB1D7-17AE-4057-AB6F-44B6BA86F247}" name="TRACK_TYPES" dataDxfId="191">
      <calculatedColumnFormula>ISNUMBER(_xlfn.XMATCH(CONTROL[[#This Row],[VEHIDCODE]],TRACK_TYPES[VEHIDCODE],0))</calculatedColumnFormula>
    </tableColumn>
    <tableColumn id="14" xr3:uid="{222C2DB1-CA5D-4369-995A-6A316AC5C947}" name="PROPERTIES" dataDxfId="190">
      <calculatedColumnFormula>ISNUMBER(_xlfn.XMATCH(CONTROL[[#This Row],[VEHIDCODE]],PROPERTIES[VEHIDCODE],0))</calculatedColumnFormula>
    </tableColumn>
    <tableColumn id="11" xr3:uid="{B1BAE31E-1DA6-4159-9020-DBAE19ECF7C3}" name="ROSTER" dataDxfId="189">
      <calculatedColumnFormula>ISNUMBER(_xlfn.XLOOKUP(CONTROL[[#This Row],[VEHIDCODE]],roster!A:A,roster!D:D))</calculatedColumnFormula>
    </tableColumn>
    <tableColumn id="10" xr3:uid="{7783F713-60B4-45CF-AEB3-EE02271B3D6F}" name="GRAPHICS_PROPERTIES" dataDxfId="188">
      <calculatedColumnFormula>ISNUMBER(_xlfn.XMATCH(CONTROL[[#This Row],[VEHIDCODE]],GRAPHICS_PROPERTIES[VEHIDCODE],0))</calculatedColumnFormula>
    </tableColumn>
    <tableColumn id="9" xr3:uid="{7B229E25-CF6B-4C5F-B4A4-FEC34CB93E9B}" name="ITEM" dataDxfId="187">
      <calculatedColumnFormula>"item_"&amp;CONTROL[[#This Row],[VEHIDCODE]]</calculatedColumnFormula>
    </tableColumn>
    <tableColumn id="8" xr3:uid="{327E5CDA-51AE-4721-ACBD-5E8C3D890998}" name="NAME" dataDxfId="186">
      <calculatedColumnFormula>"str_"&amp;CONTROL[[#This Row],[VEHIDCODE]]</calculatedColumnFormula>
    </tableColumn>
    <tableColumn id="20" xr3:uid="{88FD7161-B830-4249-99C6-ED97733BD3B5}" name="CONCEPT_READONLY" dataDxfId="185">
      <calculatedColumnFormula>_xlfn.XLOOKUP(CONTROL[[#This Row],[VEHIDCODE]],PROPERTIES[VEHIDCODE],PROPERTIES[IS_CONCEPT])="IS_CONCEPT"</calculatedColumnFormula>
    </tableColumn>
    <tableColumn id="12" xr3:uid="{EFC553E2-02F2-4304-B3F9-158BFEF75D95}" name="EXCLUDE_READONLY" dataDxfId="184">
      <calculatedColumnFormula>_xlfn.XLOOKUP(CONTROL[[#This Row],[VEHIDCODE]],PROPERTIES[VEHIDCODE],PROPERTIES[EXCLUDE])</calculatedColumnFormula>
    </tableColumn>
    <tableColumn id="13" xr3:uid="{586C832A-56E8-4A49-9E08-FE14BF1C7E56}" name="TPL_READONLY" dataDxfId="183">
      <calculatedColumnFormula array="1">_xlfn.XLOOKUP(CONTROL[[#This Row],[VEHIDCODE]],GRAPHICS_PROPERTIES[VEHIDCODE],GRAPHICS_PROPERTIES[TEMPLATE_ID]&amp;GRAPHICS_PROPERTIES[TEMPLATE_AMENDMENT_CODE])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4AC46B4-8F52-465B-9AAB-A8A862C6E256}" name="PROPERTIES" displayName="PROPERTIES" ref="A1:AU1051" totalsRowShown="0" headerRowDxfId="230">
  <autoFilter ref="A1:AU1051" xr:uid="{B4AC46B4-8F52-465B-9AAB-A8A862C6E256}"/>
  <tableColumns count="47">
    <tableColumn id="1" xr3:uid="{173D09BF-30BA-4FF2-B4FE-F09962415DA2}" name="VEHIDCODE" dataDxfId="229"/>
    <tableColumn id="7" xr3:uid="{1916DEDB-A6C2-4AB6-B9BF-2B3B69CAD452}" name="INTRODUCTION_YEAR"/>
    <tableColumn id="32" xr3:uid="{F9C49132-F57A-4C62-B184-D93485D4CC29}" name="WITHDRAWAL_YEAR"/>
    <tableColumn id="4" xr3:uid="{0B911663-AF6D-4AFE-A704-0E28EFE769C9}" name="DUAL_HEADED" dataDxfId="228">
      <calculatedColumnFormula array="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calculatedColumnFormula>
    </tableColumn>
    <tableColumn id="33" xr3:uid="{4A400405-4306-4C6A-86A1-79E45307A451}" name="ENGLISH_READONLY" dataDxfId="227">
      <calculatedColumnFormula>_xlfn.XLOOKUP(PROPERTIES[[#This Row],[VEHIDCODE]],CONTROL[VEHIDCODE],CONTROL[ENGLISH])</calculatedColumnFormula>
    </tableColumn>
    <tableColumn id="17" xr3:uid="{17B46224-9CA1-4559-B300-6B5EA9CC33A4}" name="COUNTRY" dataDxfId="226"/>
    <tableColumn id="19" xr3:uid="{FD65B400-35DE-464D-97AA-B59BB7DAE7DB}" name="COUNTRY_CODE" dataDxfId="225">
      <calculatedColumnFormula>_xlfn.XLOOKUP(PROPERTIES[[#This Row],[COUNTRY]],COUNTRIES[COUNTRY_DESCRIPTION],COUNTRIES[COUNTRY_LABEL],"")</calculatedColumnFormula>
    </tableColumn>
    <tableColumn id="5" xr3:uid="{98B61C67-E0DC-4AEF-9F29-B41397156B81}" name="ENGINE_CLASS" dataDxfId="224">
      <calculatedColumnFormula array="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calculatedColumnFormula>
    </tableColumn>
    <tableColumn id="3" xr3:uid="{0DC64B1D-4C67-43DD-959D-6EED1D12D08C}" name="CARGODEF"/>
    <tableColumn id="6" xr3:uid="{72045404-B708-4BC9-AB8E-AC519E2E530A}" name="HEAD_CAPACITY"/>
    <tableColumn id="8" xr3:uid="{06C7836D-C199-47D2-8C00-6148717CAB53}" name="LENGTH_P1_HEAD"/>
    <tableColumn id="44" xr3:uid="{2C7FC04F-32C8-4D7F-B206-C625E26D8B05}" name="LENGTH_P2"/>
    <tableColumn id="31" xr3:uid="{26514010-6CAE-4146-9174-85EE3D7D1091}" name="LOADINGSPEED" dataDxfId="223">
      <calculatedColumnFormula array="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calculatedColumnFormula>
    </tableColumn>
    <tableColumn id="58" xr3:uid="{37DCFD33-B11D-4E3C-9899-EA36DBD4DBC0}" name="LOADINGSPEED_VALUE" dataDxfId="222">
      <calculatedColumnFormula>_xlfn.XLOOKUP("LOADINGSPEEDDEF_"&amp;PROPERTIES[[#This Row],[LOADINGSPEED]],LOADINGSPEEDDEF[TYPE],LOADINGSPEEDDEF[SPEED])</calculatedColumnFormula>
    </tableColumn>
    <tableColumn id="10" xr3:uid="{C0F3F1B9-691D-4602-AD0F-0ED5C9105CD8}" name="MODEL_LIFE" dataDxfId="221">
      <calculatedColumnFormula array="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calculatedColumnFormula>
    </tableColumn>
    <tableColumn id="11" xr3:uid="{5BF83B7A-ED86-4C3D-AED2-B51E1342E6D3}" name="PASSENGER">
      <calculatedColumnFormula>IF(ISNUMBER(SEARCH("passenger",PROPERTIES[[#This Row],[CARGODEF]])),1,0)</calculatedColumnFormula>
    </tableColumn>
    <tableColumn id="20" xr3:uid="{F2C39D3A-8FF6-42D0-B4FA-98F5D712B04F}" name="WEIGHT" dataDxfId="220"/>
    <tableColumn id="12" xr3:uid="{261F7748-A233-4C1A-AC65-90519D8B7183}" name="POWER"/>
    <tableColumn id="40" xr3:uid="{B54FBD29-E27E-4CCB-9498-40EEEC8A486C}" name="POWER_15KW"/>
    <tableColumn id="39" xr3:uid="{D0D0EE15-9637-4D32-963F-050CF9CDB5D0}" name="POWER_DC"/>
    <tableColumn id="38" xr3:uid="{FDF07A69-ED00-41BA-B8E5-28602D69D708}" name="POWER_DM_DIESEL"/>
    <tableColumn id="13" xr3:uid="{A6A5F185-541A-4533-B5F7-A2D87152DE1F}" name="SPEED"/>
    <tableColumn id="43" xr3:uid="{F5A32217-7FC3-404A-A051-A27D8D066388}" name="SPEED_15KW"/>
    <tableColumn id="42" xr3:uid="{053C7503-7D37-45D0-93A8-962CFEEDAA5F}" name="SPEED_DC"/>
    <tableColumn id="41" xr3:uid="{849ECB8F-CE34-4DA5-9A61-BE538CE30FAD}" name="SPEED_DM_DIESEL"/>
    <tableColumn id="21" xr3:uid="{82E205A9-8FE6-4815-9D1E-39E1C9F0389C}" name="TE_STARTING_KN" dataDxfId="219"/>
    <tableColumn id="24" xr3:uid="{FFD5C22B-7B16-440D-91CC-48C8761050DA}" name="TE_COEFFICIENT_CALC" dataDxfId="218">
      <calculatedColumnFormula>IFERROR(PROPERTIES[[#This Row],[TE_STARTING_KN]]/(PROPERTIES[[#This Row],[WEIGHT]]*9.81),0)</calculatedColumnFormula>
    </tableColumn>
    <tableColumn id="23" xr3:uid="{89A6FD83-A1C3-4FA4-8852-1C39319A7142}" name="TE_COEFFICIENT_MANUAL" dataDxfId="217"/>
    <tableColumn id="14" xr3:uid="{123AAB87-6D4C-406A-A5E1-A61DC2DDFFEE}" name="TE_COEFFICIENT" dataDxfId="216" dataCellStyle="Comma">
      <calculatedColumnFormula>ROUND(IF(IFERROR(PROPERTIES[[#This Row],[TE_COEFFICIENT_CALC]],0)=0,PROPERTIES[[#This Row],[TE_COEFFICIENT_MANUAL]],PROPERTIES[[#This Row],[TE_COEFFICIENT_CALC]]),3)</calculatedColumnFormula>
    </tableColumn>
    <tableColumn id="16" xr3:uid="{52CFAA15-69B5-45FF-8981-D3CAEB901DFB}" name="VEHICLE_LIFE" dataDxfId="215">
      <calculatedColumnFormula array="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calculatedColumnFormula>
    </tableColumn>
    <tableColumn id="18" xr3:uid="{EB0CE86B-9E06-4ADD-85C1-EA622DE32153}" name="WAGON_CAPACITY" dataDxfId="214"/>
    <tableColumn id="15" xr3:uid="{3558C882-A912-4F84-BDE6-BC0A2A676C4B}" name="LENGTH_P3_WAGON" dataDxfId="213"/>
    <tableColumn id="30" xr3:uid="{235283C1-F061-434B-8C4A-AD474FB16FE8}" name="REGION1" dataDxfId="212"/>
    <tableColumn id="29" xr3:uid="{19EC58E3-4FB9-44BC-BFFA-4C7DCCC53DA8}" name="REGION2" dataDxfId="211"/>
    <tableColumn id="35" xr3:uid="{BABD5FE4-A781-4494-9E58-0659380B54F2}" name="REGION3"/>
    <tableColumn id="34" xr3:uid="{E252F46B-9ACE-4CDD-B00A-279ACE2DE71D}" name="REGION4" dataDxfId="210"/>
    <tableColumn id="27" xr3:uid="{C00DC499-0060-4E48-A71D-AE565097985F}" name="IS_CONCEPT" dataDxfId="209"/>
    <tableColumn id="56" xr3:uid="{188F57E8-1157-47DF-9E8F-B5F737649F6C}" name="PURCHASECOST_VALUE" dataDxfId="208">
      <calculatedColumnFormula>"PURCHASECOST_"&amp;_xlfn.XLOOKUP(_xlfn.XLOOKUP(PROPERTIES[[#This Row],[VEHIDCODE]],CONTROL[VEHIDCODE],CONTROL[VEHID_ID_CATEGORY]),VEHICLE_ID_RANGES[ID Type],VEHICLE_ID_RANGES[COST_VALUE_TYPE])&amp;"_VALUE"</calculatedColumnFormula>
    </tableColumn>
    <tableColumn id="28" xr3:uid="{B24767B4-97D7-4814-9BBD-1231E1A0A0A7}" name="RUNNINGCOST_VALUE" dataDxfId="207">
      <calculatedColumnFormula>"RUNNINGCOST_"&amp;_xlfn.XLOOKUP(_xlfn.XLOOKUP(PROPERTIES[[#This Row],[VEHIDCODE]],CONTROL[VEHIDCODE],CONTROL[VEHID_ID_CATEGORY]),VEHICLE_ID_RANGES[ID Type],VEHICLE_ID_RANGES[COST_VALUE_TYPE])&amp;"_VALUE"</calculatedColumnFormula>
    </tableColumn>
    <tableColumn id="22" xr3:uid="{68BAA036-8189-4A5A-B0EF-3F284C15672C}" name="COST_CAT" dataDxfId="206">
      <calculatedColumnFormula>SUBSTITUTE(SUBSTITUTE(PROPERTIES[[#This Row],[PURCHASECOST_VALUE]], "PURCHASECOST_", ""), "_VALUE", "")</calculatedColumnFormula>
    </tableColumn>
    <tableColumn id="26" xr3:uid="{E8E6C35F-41A6-42EF-BEB4-1004725D20B5}" name="POWER_SPECIAL" dataDxfId="205"/>
    <tableColumn id="37" xr3:uid="{4EA59FD5-0929-4D90-895D-440F7C1044AF}" name="HAS_CAB" dataDxfId="204"/>
    <tableColumn id="36" xr3:uid="{BAA724AA-BB03-4B6D-BE56-C2836EC6A7DF}" name="IS_TILT" dataDxfId="203"/>
    <tableColumn id="2" xr3:uid="{D95C6E98-71C9-4E8E-9221-49A3007D3EF7}" name="LOADING_STATE_COUNT" dataDxfId="202"/>
    <tableColumn id="46" xr3:uid="{CE04F357-ED23-4036-951B-48AD8AE62721}" name="HAS_DRIVING_STATE" dataDxfId="201"/>
    <tableColumn id="9" xr3:uid="{19FCF859-005A-4696-BB66-C378C763CAEF}" name="EXCLUDE" dataDxfId="200"/>
    <tableColumn id="25" xr3:uid="{967B6F30-4C08-47D0-A4C1-79DC433D9519}" name="TPL_READONLY" dataDxfId="199">
      <calculatedColumnFormula array="1">_xlfn.XLOOKUP(PROPERTIES[[#This Row],[VEHIDCODE]],GRAPHICS_PROPERTIES[VEHIDCODE],GRAPHICS_PROPERTIES[TEMPLATE_ID]&amp;GRAPHICS_PROPERTIES[TEMPLATE_AMENDMENT_CODE])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CB998-B5D1-4B0D-8701-BC0E171A94CA}" name="TRACK_TYPES" displayName="TRACK_TYPES" ref="A1:AH1051" totalsRowShown="0" headerRowDxfId="182">
  <autoFilter ref="A1:AH1051" xr:uid="{6DCCB998-B5D1-4B0D-8701-BC0E171A94CA}"/>
  <tableColumns count="34">
    <tableColumn id="1" xr3:uid="{CDEAF13A-A986-4600-A992-A08C1CA6142C}" name="VEHIDCODE" dataDxfId="181"/>
    <tableColumn id="6" xr3:uid="{80742CDB-5E6B-4140-B4FD-5D968A6B8D5E}" name="ENGLISH_READONLY" dataDxfId="180">
      <calculatedColumnFormula>_xlfn.XLOOKUP(PROPERTIES[[#This Row],[VEHIDCODE]],CONTROL[VEHIDCODE],CONTROL[ENGLISH])</calculatedColumnFormula>
    </tableColumn>
    <tableColumn id="55" xr3:uid="{839D134C-3027-42F4-BA04-3BA8BFF71A3B}" name="TRACK_TYPE_STANDARD_GAUGE_RAILTYPE_OHLE" dataDxfId="179"/>
    <tableColumn id="54" xr3:uid="{5D83FD10-ABCB-4FE7-A7DB-4A857A58D719}" name="TRACK_TYPE_STANDARD_GAUGE_RAILTYPE_25KV" dataDxfId="178"/>
    <tableColumn id="53" xr3:uid="{56183170-0B7F-45FB-91B4-356C62C246AD}" name="TRACK_TYPE_STANDARD_GAUGE_RAILTYPE_15KV" dataDxfId="177"/>
    <tableColumn id="52" xr3:uid="{5B71BE07-0EB9-4DEB-A8E8-252C9D979AC2}" name="TRACK_TYPE_STANDARD_GAUGE_RAILTYPE_3KV" dataDxfId="176"/>
    <tableColumn id="51" xr3:uid="{5A6435EB-111E-4AED-A8E1-AEFF82C34393}" name="TRACK_TYPE_STANDARD_GAUGE_RAILTYPE_1500V" dataDxfId="175"/>
    <tableColumn id="50" xr3:uid="{14CA70EA-0EE7-44BA-9D77-FC902C0596DD}" name="TRACK_TYPE_STANDARD_GAUGE_RAILTYPE_3RD" dataDxfId="174"/>
    <tableColumn id="49" xr3:uid="{3A15447A-9663-43FB-8EFF-8F8034548FB0}" name="TRACK_TYPE_STANDARD_GAUGE_RAILTYPE_4TH" dataDxfId="173"/>
    <tableColumn id="47" xr3:uid="{FE3223C6-E685-4456-91E9-10AEB3B699E7}" name="TRACK_TYPE_STANDARD_GAUGE_RAILTYPE_NONE" dataDxfId="172"/>
    <tableColumn id="46" xr3:uid="{D39969E8-C0CA-4A59-A556-D29019991069}" name="TRACK_TYPE_NARROW_GAUGE_RAILTYPE_OHLE" dataDxfId="171"/>
    <tableColumn id="45" xr3:uid="{5266A9E9-D840-4460-AB81-A081897372F3}" name="TRACK_TYPE_NARROW_GAUGE_RAILTYPE_25KV" dataDxfId="170"/>
    <tableColumn id="44" xr3:uid="{7B4C44D1-C745-4291-86A0-777579742A84}" name="TRACK_TYPE_NARROW_GAUGE_RAILTYPE_15KV" dataDxfId="169"/>
    <tableColumn id="43" xr3:uid="{8736D285-A163-4DBE-84E1-870118B47F14}" name="TRACK_TYPE_NARROW_GAUGE_RAILTYPE_3KV" dataDxfId="168"/>
    <tableColumn id="42" xr3:uid="{6FBBA2FB-4743-4072-B4E0-C42BBDA1CC47}" name="TRACK_TYPE_NARROW_GAUGE_RAILTYPE_1500V" dataDxfId="167"/>
    <tableColumn id="41" xr3:uid="{D3ED2E70-19BF-4D92-A76B-0F0F03D31947}" name="TRACK_TYPE_NARROW_GAUGE_RAILTYPE_3RD" dataDxfId="166"/>
    <tableColumn id="40" xr3:uid="{F38AE7AF-B798-40A5-992A-13685296E710}" name="TRACK_TYPE_NARROW_GAUGE_RAILTYPE_4TH" dataDxfId="165"/>
    <tableColumn id="38" xr3:uid="{97037A15-9172-4057-863E-582804353817}" name="TRACK_TYPE_NARROW_GAUGE_RAILTYPE_NONE" dataDxfId="164"/>
    <tableColumn id="37" xr3:uid="{24999D59-5A4F-4A21-B8B4-EBDBF9F8BF1E}" name="TRACK_TYPE_BROAD_GAUGE_RAILTYPE_OHLE" dataDxfId="163"/>
    <tableColumn id="36" xr3:uid="{31AB3927-D18B-49AD-8EF5-C7E9FF4CEDF3}" name="TRACK_TYPE_BROAD_GAUGE_RAILTYPE_25KV" dataDxfId="162"/>
    <tableColumn id="35" xr3:uid="{CB3432E7-4DAE-4807-9CE5-4CB1ACECD395}" name="TRACK_TYPE_BROAD_GAUGE_RAILTYPE_15KV" dataDxfId="161"/>
    <tableColumn id="34" xr3:uid="{E3936FE4-2B46-4DC0-84C0-44C7892A0927}" name="TRACK_TYPE_BROAD_GAUGE_RAILTYPE_3KV" dataDxfId="160"/>
    <tableColumn id="33" xr3:uid="{A5FAA105-CF81-4A75-8967-5721104454E8}" name="TRACK_TYPE_BROAD_GAUGE_RAILTYPE_1500V" dataDxfId="159"/>
    <tableColumn id="32" xr3:uid="{439CDFDE-6BFC-446C-87CF-28C8FF65FCE0}" name="TRACK_TYPE_BROAD_GAUGE_RAILTYPE_3RD" dataDxfId="158"/>
    <tableColumn id="31" xr3:uid="{219AB5E3-CDFF-41B3-BD58-F7427606D15F}" name="TRACK_TYPE_BROAD_GAUGE_RAILTYPE_4TH" dataDxfId="157"/>
    <tableColumn id="29" xr3:uid="{32C384AB-18DB-4161-B29B-A363A2547BB2}" name="TRACK_TYPE_BROAD_GAUGE_RAILTYPE_NONE" dataDxfId="156"/>
    <tableColumn id="26" xr3:uid="{1CFC6F26-22A8-42EE-972B-0F7ED6623B5A}" name="TRACK_TYPE_MONO" dataDxfId="155"/>
    <tableColumn id="25" xr3:uid="{62939270-15C1-494E-9C53-6EA9E8209C3B}" name="TRACK_TYPE_MGLV" dataDxfId="154"/>
    <tableColumn id="24" xr3:uid="{9DA86EDA-F2AB-4C2D-918E-5260313FD8B3}" name="TRACK_TYPE_MTRO" dataDxfId="153"/>
    <tableColumn id="21" xr3:uid="{E6F11214-E912-4D1C-980D-A111C93B0BED}" name="CHECK_ANY_TT" dataDxfId="152">
      <calculatedColumnFormula>LEN(_xlfn.CONCAT(TRACK_TYPES[[#This Row],[TRACK_TYPE_STANDARD_GAUGE_RAILTYPE_OHLE]:[TRACK_TYPE_MTRO]]))&gt;0</calculatedColumnFormula>
    </tableColumn>
    <tableColumn id="2" xr3:uid="{EFD0D7E3-8E71-4A5C-BE25-F4903C343188}" name="IS_STANDARD" dataDxfId="151">
      <calculatedColumnFormula array="1">IFERROR(_xlfn.BYROW(TRACK_TYPES[[#This Row],[TRACK_TYPE_STANDARD_GAUGE_RAILTYPE_OHLE]:[TRACK_TYPE_STANDARD_GAUGE_RAILTYPE_NONE]],_xlfn.LAMBDA(_xlpm.r,OR(_xlpm.r))),FALSE)</calculatedColumnFormula>
    </tableColumn>
    <tableColumn id="3" xr3:uid="{990CDFC7-B848-4CC0-9AF6-047BFDEA6B65}" name="IS_NARROW" dataDxfId="150">
      <calculatedColumnFormula array="1">IFERROR(_xlfn.BYROW(TRACK_TYPES[[#This Row],[TRACK_TYPE_NARROW_GAUGE_RAILTYPE_OHLE]:[TRACK_TYPE_NARROW_GAUGE_RAILTYPE_NONE]],_xlfn.LAMBDA(_xlpm.r,OR(_xlpm.r))),FALSE)</calculatedColumnFormula>
    </tableColumn>
    <tableColumn id="4" xr3:uid="{96330843-B10E-4C30-81BB-1531624371AB}" name="IS_BROAD" dataDxfId="149">
      <calculatedColumnFormula array="1">IFERROR(_xlfn.BYROW(TRACK_TYPES[[#This Row],[TRACK_TYPE_BROAD_GAUGE_RAILTYPE_OHLE]:[TRACK_TYPE_BROAD_GAUGE_RAILTYPE_NONE]],_xlfn.LAMBDA(_xlpm.r,OR(_xlpm.r))),FALSE)</calculatedColumnFormula>
    </tableColumn>
    <tableColumn id="5" xr3:uid="{1B9178BD-5A54-4B39-93D8-6B2BD86F763D}" name="GAUGE" dataDxfId="148">
      <calculatedColumnFormula>IF(TRACK_TYPES[[#This Row],[IS_STANDARD]]=TRUE,"NORMAL",IF(TRACK_TYPES[[#This Row],[IS_NARROW]]=TRUE,"NARROW",IF(TRACK_TYPES[[#This Row],[IS_BROAD]]=TRUE,"BROAD",IF(TRACK_TYPES[[#This Row],[TRACK_TYPE_MGLV]]=TRUE,"MAGLEV","UNKNOWN"))))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23B3BD8-4319-489E-B133-521711C51C42}" name="GRAPHICS_PROPERTIES" displayName="GRAPHICS_PROPERTIES" ref="A1:E1244" totalsRowShown="0" headerRowDxfId="147">
  <autoFilter ref="A1:E1244" xr:uid="{6DCCB998-B5D1-4B0D-8701-BC0E171A94CA}"/>
  <tableColumns count="5">
    <tableColumn id="1" xr3:uid="{0B6094CF-6CA6-410A-A041-C85FACC0820E}" name="VEHIDCODE"/>
    <tableColumn id="2" xr3:uid="{D5F692EC-BD97-49EB-B5E2-A1AC97685811}" name="VISUAL_EFFECT_2" dataDxfId="146"/>
    <tableColumn id="7" xr3:uid="{3D8CAD9A-C0D1-459B-8D7C-DFC931F5B279}" name="PANTOGRAPH_POSITION"/>
    <tableColumn id="6" xr3:uid="{E0637D36-B3FC-4486-87F9-603EB2076188}" name="TEMPLATE_ID"/>
    <tableColumn id="9" xr3:uid="{FEF2BF9C-74F1-405C-9871-E4301805E364}" name="TEMPLATE_AMENDMENT_C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07B88B-67A8-41AF-B7AA-6998CA93498A}" name="VALID_CONCEPTS" displayName="VALID_CONCEPTS" ref="C1:C3" totalsRowShown="0">
  <autoFilter ref="C1:C3" xr:uid="{2507B88B-67A8-41AF-B7AA-6998CA93498A}"/>
  <tableColumns count="1">
    <tableColumn id="1" xr3:uid="{ACD5B0EA-823F-4F6D-8C10-41757ECC7CC7}" name="VALID_CONCEP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89DB64-4C67-430B-BA51-D943512870CC}" name="VALID_PURCHASECOSTVALUE" displayName="VALID_PURCHASECOSTVALUE" ref="E1:E16" totalsRowShown="0" headerRowDxfId="118" headerRowBorderDxfId="117" tableBorderDxfId="116">
  <autoFilter ref="E1:E16" xr:uid="{E089DB64-4C67-430B-BA51-D943512870CC}"/>
  <sortState xmlns:xlrd2="http://schemas.microsoft.com/office/spreadsheetml/2017/richdata2" ref="E2:E16">
    <sortCondition ref="E1:E16"/>
  </sortState>
  <tableColumns count="1">
    <tableColumn id="1" xr3:uid="{8A18D110-4BF4-4537-8A62-071232DD0003}" name="PURCHASECOST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91D585-4C68-47AF-B60A-BBF9F82E8EB3}" name="VALID_RUNNINGCOSTVALUE" displayName="VALID_RUNNINGCOSTVALUE" ref="G1:G16" totalsRowShown="0" headerRowDxfId="115" headerRowBorderDxfId="114" tableBorderDxfId="113">
  <autoFilter ref="G1:G16" xr:uid="{F291D585-4C68-47AF-B60A-BBF9F82E8EB3}"/>
  <sortState xmlns:xlrd2="http://schemas.microsoft.com/office/spreadsheetml/2017/richdata2" ref="G2:G16">
    <sortCondition ref="G1:G16"/>
  </sortState>
  <tableColumns count="1">
    <tableColumn id="1" xr3:uid="{CF1E8CDF-2BEE-4963-9C1A-3A63946B96AD}" name="RUNNINGCOST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243503-43AD-403A-90CE-B69D05B25C30}" name="VALID_REGIONS" displayName="VALID_REGIONS" ref="A1:A21" totalsRowShown="0">
  <autoFilter ref="A1:A21" xr:uid="{0B243503-43AD-403A-90CE-B69D05B25C30}"/>
  <sortState xmlns:xlrd2="http://schemas.microsoft.com/office/spreadsheetml/2017/richdata2" ref="A2:A21">
    <sortCondition ref="A1:A21"/>
  </sortState>
  <tableColumns count="1">
    <tableColumn id="1" xr3:uid="{3709FB1B-DE08-4A3E-8CA6-F5322D2A3261}" name="VALID_REGION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D86A728-E01C-419A-9951-C93E85CB7943}" name="VALID_ENGINE_CLASS" displayName="VALID_ENGINE_CLASS" ref="I1:I5" totalsRowShown="0">
  <autoFilter ref="I1:I5" xr:uid="{DD86A728-E01C-419A-9951-C93E85CB7943}"/>
  <tableColumns count="1">
    <tableColumn id="1" xr3:uid="{D8AE4C91-31DB-4934-9132-C3D904816203}" name="ENGINE_CLAS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4DFB3C9-057E-4E0D-A87A-3C00FA3349E8}" name="COUNTRIES" displayName="COUNTRIES" ref="M1:O255" totalsRowShown="0" headerRowDxfId="112" dataDxfId="111">
  <autoFilter ref="M1:O255" xr:uid="{E4DFB3C9-057E-4E0D-A87A-3C00FA3349E8}"/>
  <sortState xmlns:xlrd2="http://schemas.microsoft.com/office/spreadsheetml/2017/richdata2" ref="M2:N254">
    <sortCondition ref="N239:N254"/>
  </sortState>
  <tableColumns count="3">
    <tableColumn id="1" xr3:uid="{6AD0A310-1E8F-47A7-8279-8DD530ABC996}" name="COUNTRY_LABEL" dataDxfId="110"/>
    <tableColumn id="2" xr3:uid="{CCC9A744-4F42-4023-A516-9395213016EB}" name="COUNTRY_DESCRIPTION" dataDxfId="109"/>
    <tableColumn id="3" xr3:uid="{01E32DA0-BF93-49AA-BE03-33EF914A0BCC}" name="COUNTS" dataDxfId="108">
      <calculatedColumnFormula>COUNTIF(COUNTRIES[COUNTRY_LABEL],COUNTRIES[[#This Row],[COUNTRY_LABEL]])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86D0694-AFBC-4B91-A3D3-72E1CCF00B7D}" name="VEHID_ID_CATEGORY" displayName="VEHID_ID_CATEGORY" ref="K1:K24" totalsRowShown="0" dataDxfId="106" headerRowBorderDxfId="107" tableBorderDxfId="105" totalsRowBorderDxfId="104">
  <autoFilter ref="K1:K24" xr:uid="{686D0694-AFBC-4B91-A3D3-72E1CCF00B7D}"/>
  <tableColumns count="1">
    <tableColumn id="1" xr3:uid="{7F0999BD-E0C9-463F-A054-2DA49D41A9EE}" name="VEHID_ID_CATEGORY" dataDxfId="10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F1B9135-58AA-44F7-B562-C3350CC41E59}" name="CARGODEF" displayName="CARGODEF" ref="Q1:Q27" totalsRowShown="0" headerRowDxfId="102">
  <autoFilter ref="Q1:Q27" xr:uid="{0F1B9135-58AA-44F7-B562-C3350CC41E59}"/>
  <sortState xmlns:xlrd2="http://schemas.microsoft.com/office/spreadsheetml/2017/richdata2" ref="Q2:Q27">
    <sortCondition ref="Q1:Q27"/>
  </sortState>
  <tableColumns count="1">
    <tableColumn id="1" xr3:uid="{D1F21DAF-35DB-43EC-9C9E-88D5452FB6E4}" name="CARGODEF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644B35-EBDC-4591-9617-A762FA1AAE47}" name="VEHICLE_ID_RANGES" displayName="VEHICLE_ID_RANGES" ref="A1:E24" totalsRowShown="0">
  <autoFilter ref="A1:E24" xr:uid="{6F644B35-EBDC-4591-9617-A762FA1AAE47}"/>
  <sortState xmlns:xlrd2="http://schemas.microsoft.com/office/spreadsheetml/2017/richdata2" ref="A3:E24">
    <sortCondition ref="C24"/>
  </sortState>
  <tableColumns count="5">
    <tableColumn id="1" xr3:uid="{D6EBFD08-AF88-4096-B241-03168AE9DF0B}" name="ID Type"/>
    <tableColumn id="2" xr3:uid="{F6758D5E-75DD-401A-8691-2142E9373221}" name="English Title"/>
    <tableColumn id="3" xr3:uid="{40029B66-ACCC-4F04-A4CD-FEA07BA189EA}" name="Range Start" dataDxfId="101"/>
    <tableColumn id="4" xr3:uid="{3DDC8685-BA3D-40E8-A910-1E59013A762D}" name="Range End" dataDxfId="100"/>
    <tableColumn id="5" xr3:uid="{4C1236FA-FF6F-47A6-983D-584E363CDB8B}" name="COST_VALUE_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FB3F6D-9DF8-4EBA-AC40-5EB6713A391D}" name="LOADINGSPEEDDEF" displayName="LOADINGSPEEDDEF" ref="A1:C7" totalsRowShown="0">
  <autoFilter ref="A1:C7" xr:uid="{8DFB3F6D-9DF8-4EBA-AC40-5EB6713A391D}"/>
  <tableColumns count="3">
    <tableColumn id="1" xr3:uid="{F8188308-A85C-46F7-89FF-18D01C137AF4}" name="TYPE"/>
    <tableColumn id="2" xr3:uid="{2A38D150-0E55-4C81-A0D1-4CCE55C6D130}" name="SPEED"/>
    <tableColumn id="3" xr3:uid="{AB57B1F0-F8CB-406F-BC7E-6A39E2B6CC06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New_South_Wales_46_class_locomotive" TargetMode="External"/><Relationship Id="rId13" Type="http://schemas.openxmlformats.org/officeDocument/2006/relationships/hyperlink" Target="https://loco-info.com/view.aspx?id=17982&amp;cookies=decline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en.wikipedia.org/wiki/New_South_Wales_Z26_class_locomotive" TargetMode="External"/><Relationship Id="rId7" Type="http://schemas.openxmlformats.org/officeDocument/2006/relationships/hyperlink" Target="https://en.wikipedia.org/wiki/New_South_Wales_40_class_locomotive" TargetMode="External"/><Relationship Id="rId12" Type="http://schemas.openxmlformats.org/officeDocument/2006/relationships/hyperlink" Target="https://en.wikipedia.org/wiki/China_Railways_DF5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en.wikipedia.org/wiki/New_South_Wales_Z19_class_locomotive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en.wikipedia.org/wiki/New_South_Wales_Z12_class_locomotive" TargetMode="External"/><Relationship Id="rId6" Type="http://schemas.openxmlformats.org/officeDocument/2006/relationships/hyperlink" Target="https://en.wikipedia.org/wiki/New_South_Wales_85_class_locomotive" TargetMode="External"/><Relationship Id="rId11" Type="http://schemas.openxmlformats.org/officeDocument/2006/relationships/hyperlink" Target="https://en.wikipedia.org/wiki/New_South_Wales_86_class_locomotive" TargetMode="External"/><Relationship Id="rId5" Type="http://schemas.openxmlformats.org/officeDocument/2006/relationships/hyperlink" Target="https://en.wikipedia.org/wiki/New_South_Wales_80_class_locomotive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en.wikipedia.org/wiki/AEZ_Railcar" TargetMode="External"/><Relationship Id="rId4" Type="http://schemas.openxmlformats.org/officeDocument/2006/relationships/hyperlink" Target="https://en.wikipedia.org/wiki/New_South_Wales_81_class_locomotive" TargetMode="External"/><Relationship Id="rId9" Type="http://schemas.openxmlformats.org/officeDocument/2006/relationships/hyperlink" Target="https://en.wikipedia.org/wiki/New_South_Wales_47_class_locomotive" TargetMode="External"/><Relationship Id="rId14" Type="http://schemas.openxmlformats.org/officeDocument/2006/relationships/hyperlink" Target="https://en.wikipedia.org/wiki/E1_Series_Shinkans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10" Type="http://schemas.openxmlformats.org/officeDocument/2006/relationships/comments" Target="../comments5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B7A0-7A4E-49EC-BB83-2F67107865FE}">
  <dimension ref="A1:R1051"/>
  <sheetViews>
    <sheetView zoomScaleNormal="100" workbookViewId="0">
      <pane xSplit="1" ySplit="1" topLeftCell="B158" activePane="bottomRight" state="frozen"/>
      <selection pane="topRight" activeCell="B1" sqref="B1"/>
      <selection pane="bottomLeft" activeCell="A2" sqref="A2"/>
      <selection pane="bottomRight" activeCell="G184" sqref="G184"/>
    </sheetView>
  </sheetViews>
  <sheetFormatPr defaultRowHeight="14.5" x14ac:dyDescent="0.35"/>
  <cols>
    <col min="1" max="1" width="50.7265625" bestFit="1" customWidth="1"/>
    <col min="2" max="2" width="20.90625" customWidth="1"/>
    <col min="3" max="3" width="13.1796875" customWidth="1"/>
    <col min="4" max="4" width="34.08984375" bestFit="1" customWidth="1"/>
    <col min="5" max="5" width="10.81640625" bestFit="1" customWidth="1"/>
    <col min="6" max="6" width="34.54296875" style="32" bestFit="1" customWidth="1"/>
    <col min="7" max="7" width="23.6328125" customWidth="1"/>
    <col min="8" max="8" width="13.90625" hidden="1" customWidth="1"/>
    <col min="9" max="9" width="11" style="2" hidden="1" customWidth="1"/>
    <col min="14" max="14" width="55.26953125" hidden="1" customWidth="1"/>
    <col min="15" max="15" width="53.81640625" hidden="1" customWidth="1"/>
    <col min="16" max="16" width="10.08984375" customWidth="1"/>
  </cols>
  <sheetData>
    <row r="1" spans="1:18" ht="43.5" x14ac:dyDescent="0.35">
      <c r="A1" s="1" t="s">
        <v>0</v>
      </c>
      <c r="B1" s="4" t="s">
        <v>228</v>
      </c>
      <c r="C1" s="4" t="s">
        <v>49</v>
      </c>
      <c r="D1" s="4" t="s">
        <v>293</v>
      </c>
      <c r="E1" s="4" t="s">
        <v>249</v>
      </c>
      <c r="F1" s="31" t="s">
        <v>1213</v>
      </c>
      <c r="G1" s="3" t="s">
        <v>1056</v>
      </c>
      <c r="H1" s="4" t="s">
        <v>353</v>
      </c>
      <c r="I1" s="4" t="s">
        <v>246</v>
      </c>
      <c r="J1" s="4" t="s">
        <v>350</v>
      </c>
      <c r="K1" s="4" t="s">
        <v>352</v>
      </c>
      <c r="L1" s="4" t="s">
        <v>1701</v>
      </c>
      <c r="M1" s="4" t="s">
        <v>351</v>
      </c>
      <c r="N1" s="4" t="s">
        <v>50</v>
      </c>
      <c r="O1" s="4" t="s">
        <v>51</v>
      </c>
      <c r="P1" s="4" t="s">
        <v>2576</v>
      </c>
      <c r="Q1" s="4" t="s">
        <v>1890</v>
      </c>
      <c r="R1" s="3" t="s">
        <v>3698</v>
      </c>
    </row>
    <row r="2" spans="1:18" x14ac:dyDescent="0.35">
      <c r="A2" s="2" t="s">
        <v>71</v>
      </c>
      <c r="B2" s="21" t="str">
        <f>_xlfn.TEXTAFTER(CONTROL[[#This Row],[VEHIDCODE]],"_")</f>
        <v>Maglev_Wagon_Powered</v>
      </c>
      <c r="C2" t="str" cm="1">
        <f t="array" ref="C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2" t="str" cm="1">
        <f t="array" ref="D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ID_RANGE_UNIT_WAGONS_MGLV</v>
      </c>
      <c r="E2">
        <v>13005</v>
      </c>
      <c r="F2" s="32" t="s">
        <v>354</v>
      </c>
      <c r="G2" t="s">
        <v>523</v>
      </c>
      <c r="H2" s="2" t="b">
        <f>AND(CONTROL[[#This Row],[IS_WAGON_OR_COACH]]=TRUE,OR(RIGHT(CONTROL[[#This Row],[VEHIDCODE]],7)="Powered",RIGHT(CONTROL[[#This Row],[VEHIDCODE]],9)="Unpowered"))</f>
        <v>1</v>
      </c>
      <c r="I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2" t="b">
        <f>ISNUMBER(_xlfn.XMATCH(CONTROL[[#This Row],[VEHIDCODE]],TRACK_TYPES[VEHIDCODE],0))</f>
        <v>1</v>
      </c>
      <c r="K2" t="b">
        <f>ISNUMBER(_xlfn.XMATCH(CONTROL[[#This Row],[VEHIDCODE]],PROPERTIES[VEHIDCODE],0))</f>
        <v>1</v>
      </c>
      <c r="L2" t="b">
        <f>ISNUMBER(_xlfn.XLOOKUP(CONTROL[[#This Row],[VEHIDCODE]],roster!A:A,roster!D:D))</f>
        <v>1</v>
      </c>
      <c r="M2" t="b">
        <f>ISNUMBER(_xlfn.XMATCH(CONTROL[[#This Row],[VEHIDCODE]],GRAPHICS_PROPERTIES[VEHIDCODE],0))</f>
        <v>1</v>
      </c>
      <c r="N2" s="21" t="str">
        <f>"item_"&amp;CONTROL[[#This Row],[VEHIDCODE]]</f>
        <v>item_mglv_Maglev_Wagon_Powered</v>
      </c>
      <c r="O2" s="21" t="str">
        <f>"str_"&amp;CONTROL[[#This Row],[VEHIDCODE]]</f>
        <v>str_mglv_Maglev_Wagon_Powered</v>
      </c>
      <c r="P2" s="7" t="b">
        <f>_xlfn.XLOOKUP(CONTROL[[#This Row],[VEHIDCODE]],PROPERTIES[VEHIDCODE],PROPERTIES[IS_CONCEPT])="IS_CONCEPT"</f>
        <v>0</v>
      </c>
      <c r="Q2" s="7" t="b">
        <f>_xlfn.XLOOKUP(CONTROL[[#This Row],[VEHIDCODE]],PROPERTIES[VEHIDCODE],PROPERTIES[EXCLUDE])</f>
        <v>0</v>
      </c>
      <c r="R2" t="str" cm="1">
        <f t="array" ref="R2">_xlfn.XLOOKUP(CONTROL[[#This Row],[VEHIDCODE]],GRAPHICS_PROPERTIES[VEHIDCODE],GRAPHICS_PROPERTIES[TEMPLATE_ID]&amp;GRAPHICS_PROPERTIES[TEMPLATE_AMENDMENT_CODE])</f>
        <v>TPL_01F</v>
      </c>
    </row>
    <row r="3" spans="1:18" x14ac:dyDescent="0.35">
      <c r="A3" s="2" t="s">
        <v>72</v>
      </c>
      <c r="B3" s="21" t="str">
        <f>_xlfn.TEXTAFTER(CONTROL[[#This Row],[VEHIDCODE]],"_")</f>
        <v>Maglev_Wagon_Unpowered</v>
      </c>
      <c r="C3" t="str" cm="1">
        <f t="array" ref="C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3" t="str" cm="1">
        <f t="array" ref="D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ID_RANGE_UNIT_WAGONS_MGLV</v>
      </c>
      <c r="E3">
        <v>13004</v>
      </c>
      <c r="F3" s="32" t="s">
        <v>354</v>
      </c>
      <c r="G3" t="s">
        <v>523</v>
      </c>
      <c r="H3" s="2" t="b">
        <f>AND(CONTROL[[#This Row],[IS_WAGON_OR_COACH]]=TRUE,OR(RIGHT(CONTROL[[#This Row],[VEHIDCODE]],7)="Powered",RIGHT(CONTROL[[#This Row],[VEHIDCODE]],9)="Unpowered"))</f>
        <v>1</v>
      </c>
      <c r="I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3" t="b">
        <f>ISNUMBER(_xlfn.XMATCH(CONTROL[[#This Row],[VEHIDCODE]],TRACK_TYPES[VEHIDCODE],0))</f>
        <v>1</v>
      </c>
      <c r="K3" t="b">
        <f>ISNUMBER(_xlfn.XMATCH(CONTROL[[#This Row],[VEHIDCODE]],PROPERTIES[VEHIDCODE],0))</f>
        <v>1</v>
      </c>
      <c r="L3" t="b">
        <f>ISNUMBER(_xlfn.XLOOKUP(CONTROL[[#This Row],[VEHIDCODE]],roster!A:A,roster!D:D))</f>
        <v>1</v>
      </c>
      <c r="M3" t="b">
        <f>ISNUMBER(_xlfn.XMATCH(CONTROL[[#This Row],[VEHIDCODE]],GRAPHICS_PROPERTIES[VEHIDCODE],0))</f>
        <v>1</v>
      </c>
      <c r="N3" s="21" t="str">
        <f>"item_"&amp;CONTROL[[#This Row],[VEHIDCODE]]</f>
        <v>item_mglv_Maglev_Wagon_Unpowered</v>
      </c>
      <c r="O3" s="21" t="str">
        <f>"str_"&amp;CONTROL[[#This Row],[VEHIDCODE]]</f>
        <v>str_mglv_Maglev_Wagon_Unpowered</v>
      </c>
      <c r="P3" s="7" t="b">
        <f>_xlfn.XLOOKUP(CONTROL[[#This Row],[VEHIDCODE]],PROPERTIES[VEHIDCODE],PROPERTIES[IS_CONCEPT])="IS_CONCEPT"</f>
        <v>0</v>
      </c>
      <c r="Q3" s="7" t="b">
        <f>_xlfn.XLOOKUP(CONTROL[[#This Row],[VEHIDCODE]],PROPERTIES[VEHIDCODE],PROPERTIES[EXCLUDE])</f>
        <v>0</v>
      </c>
      <c r="R3" t="str" cm="1">
        <f t="array" ref="R3">_xlfn.XLOOKUP(CONTROL[[#This Row],[VEHIDCODE]],GRAPHICS_PROPERTIES[VEHIDCODE],GRAPHICS_PROPERTIES[TEMPLATE_ID]&amp;GRAPHICS_PROPERTIES[TEMPLATE_AMENDMENT_CODE])</f>
        <v>TPL_01F</v>
      </c>
    </row>
    <row r="4" spans="1:18" x14ac:dyDescent="0.35">
      <c r="A4" s="2" t="s">
        <v>2649</v>
      </c>
      <c r="B4" s="21" t="str">
        <f>_xlfn.TEXTAFTER(CONTROL[[#This Row],[VEHIDCODE]],"_")</f>
        <v>Komarek_NOLB_1</v>
      </c>
      <c r="C4" t="str" cm="1">
        <f t="array" ref="C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4" t="str" cm="1">
        <f t="array" ref="D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4">
        <v>1000</v>
      </c>
      <c r="F4" s="32" t="s">
        <v>2052</v>
      </c>
      <c r="G4" t="s">
        <v>1040</v>
      </c>
      <c r="H4" s="2" t="b">
        <f>AND(CONTROL[[#This Row],[IS_WAGON_OR_COACH]]=TRUE,OR(RIGHT(CONTROL[[#This Row],[VEHIDCODE]],7)="Powered",RIGHT(CONTROL[[#This Row],[VEHIDCODE]],9)="Unpowered"))</f>
        <v>0</v>
      </c>
      <c r="I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" t="b">
        <f>ISNUMBER(_xlfn.XMATCH(CONTROL[[#This Row],[VEHIDCODE]],TRACK_TYPES[VEHIDCODE],0))</f>
        <v>1</v>
      </c>
      <c r="K4" t="b">
        <f>ISNUMBER(_xlfn.XMATCH(CONTROL[[#This Row],[VEHIDCODE]],PROPERTIES[VEHIDCODE],0))</f>
        <v>1</v>
      </c>
      <c r="L4" t="b">
        <f>ISNUMBER(_xlfn.XLOOKUP(CONTROL[[#This Row],[VEHIDCODE]],roster!A:A,roster!D:D))</f>
        <v>1</v>
      </c>
      <c r="M4" t="b">
        <f>ISNUMBER(_xlfn.XMATCH(CONTROL[[#This Row],[VEHIDCODE]],GRAPHICS_PROPERTIES[VEHIDCODE],0))</f>
        <v>1</v>
      </c>
      <c r="N4" s="21" t="str">
        <f>"item_"&amp;CONTROL[[#This Row],[VEHIDCODE]]</f>
        <v>item_rbs_Komarek_NOLB_1</v>
      </c>
      <c r="O4" s="21" t="str">
        <f>"str_"&amp;CONTROL[[#This Row],[VEHIDCODE]]</f>
        <v>str_rbs_Komarek_NOLB_1</v>
      </c>
      <c r="P4" s="7" t="b">
        <f>_xlfn.XLOOKUP(CONTROL[[#This Row],[VEHIDCODE]],PROPERTIES[VEHIDCODE],PROPERTIES[IS_CONCEPT])="IS_CONCEPT"</f>
        <v>0</v>
      </c>
      <c r="Q4" s="7" t="b">
        <f>_xlfn.XLOOKUP(CONTROL[[#This Row],[VEHIDCODE]],PROPERTIES[VEHIDCODE],PROPERTIES[EXCLUDE])</f>
        <v>0</v>
      </c>
      <c r="R4" t="str" cm="1">
        <f t="array" ref="R4">_xlfn.XLOOKUP(CONTROL[[#This Row],[VEHIDCODE]],GRAPHICS_PROPERTIES[VEHIDCODE],GRAPHICS_PROPERTIES[TEMPLATE_ID]&amp;GRAPHICS_PROPERTIES[TEMPLATE_AMENDMENT_CODE])</f>
        <v>TPL_01B</v>
      </c>
    </row>
    <row r="5" spans="1:18" x14ac:dyDescent="0.35">
      <c r="A5" s="2" t="s">
        <v>2650</v>
      </c>
      <c r="B5" s="21" t="str">
        <f>_xlfn.TEXTAFTER(CONTROL[[#This Row],[VEHIDCODE]],"_")</f>
        <v>Kerr__Stuart___Co__86</v>
      </c>
      <c r="C5" t="str" cm="1">
        <f t="array" ref="C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5" t="str" cm="1">
        <f t="array" ref="D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5">
        <v>1001</v>
      </c>
      <c r="F5" s="32" t="s">
        <v>2053</v>
      </c>
      <c r="G5" t="s">
        <v>1041</v>
      </c>
      <c r="H5" s="2" t="b">
        <f>AND(CONTROL[[#This Row],[IS_WAGON_OR_COACH]]=TRUE,OR(RIGHT(CONTROL[[#This Row],[VEHIDCODE]],7)="Powered",RIGHT(CONTROL[[#This Row],[VEHIDCODE]],9)="Unpowered"))</f>
        <v>0</v>
      </c>
      <c r="I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" t="b">
        <f>ISNUMBER(_xlfn.XMATCH(CONTROL[[#This Row],[VEHIDCODE]],TRACK_TYPES[VEHIDCODE],0))</f>
        <v>1</v>
      </c>
      <c r="K5" t="b">
        <f>ISNUMBER(_xlfn.XMATCH(CONTROL[[#This Row],[VEHIDCODE]],PROPERTIES[VEHIDCODE],0))</f>
        <v>1</v>
      </c>
      <c r="L5" t="b">
        <f>ISNUMBER(_xlfn.XLOOKUP(CONTROL[[#This Row],[VEHIDCODE]],roster!A:A,roster!D:D))</f>
        <v>1</v>
      </c>
      <c r="M5" t="b">
        <f>ISNUMBER(_xlfn.XMATCH(CONTROL[[#This Row],[VEHIDCODE]],GRAPHICS_PROPERTIES[VEHIDCODE],0))</f>
        <v>1</v>
      </c>
      <c r="N5" s="21" t="str">
        <f>"item_"&amp;CONTROL[[#This Row],[VEHIDCODE]]</f>
        <v>item_rbs_Kerr__Stuart___Co__86</v>
      </c>
      <c r="O5" s="21" t="str">
        <f>"str_"&amp;CONTROL[[#This Row],[VEHIDCODE]]</f>
        <v>str_rbs_Kerr__Stuart___Co__86</v>
      </c>
      <c r="P5" s="7" t="b">
        <f>_xlfn.XLOOKUP(CONTROL[[#This Row],[VEHIDCODE]],PROPERTIES[VEHIDCODE],PROPERTIES[IS_CONCEPT])="IS_CONCEPT"</f>
        <v>0</v>
      </c>
      <c r="Q5" s="7" t="b">
        <f>_xlfn.XLOOKUP(CONTROL[[#This Row],[VEHIDCODE]],PROPERTIES[VEHIDCODE],PROPERTIES[EXCLUDE])</f>
        <v>0</v>
      </c>
      <c r="R5" t="str" cm="1">
        <f t="array" ref="R5">_xlfn.XLOOKUP(CONTROL[[#This Row],[VEHIDCODE]],GRAPHICS_PROPERTIES[VEHIDCODE],GRAPHICS_PROPERTIES[TEMPLATE_ID]&amp;GRAPHICS_PROPERTIES[TEMPLATE_AMENDMENT_CODE])</f>
        <v>TPL_03C</v>
      </c>
    </row>
    <row r="6" spans="1:18" x14ac:dyDescent="0.35">
      <c r="A6" s="2" t="s">
        <v>2651</v>
      </c>
      <c r="B6" s="21" t="str">
        <f>_xlfn.TEXTAFTER(CONTROL[[#This Row],[VEHIDCODE]],"_")</f>
        <v>Victorian_Railways_Rowan_Railmotor</v>
      </c>
      <c r="C6" t="str" cm="1">
        <f t="array" ref="C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6" t="str" cm="1">
        <f t="array" ref="D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6">
        <v>1002</v>
      </c>
      <c r="F6" s="32" t="s">
        <v>355</v>
      </c>
      <c r="G6" t="s">
        <v>1042</v>
      </c>
      <c r="H6" s="2" t="b">
        <f>AND(CONTROL[[#This Row],[IS_WAGON_OR_COACH]]=TRUE,OR(RIGHT(CONTROL[[#This Row],[VEHIDCODE]],7)="Powered",RIGHT(CONTROL[[#This Row],[VEHIDCODE]],9)="Unpowered"))</f>
        <v>0</v>
      </c>
      <c r="I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" t="b">
        <f>ISNUMBER(_xlfn.XMATCH(CONTROL[[#This Row],[VEHIDCODE]],TRACK_TYPES[VEHIDCODE],0))</f>
        <v>1</v>
      </c>
      <c r="K6" t="b">
        <f>ISNUMBER(_xlfn.XMATCH(CONTROL[[#This Row],[VEHIDCODE]],PROPERTIES[VEHIDCODE],0))</f>
        <v>1</v>
      </c>
      <c r="L6" t="b">
        <f>ISNUMBER(_xlfn.XLOOKUP(CONTROL[[#This Row],[VEHIDCODE]],roster!A:A,roster!D:D))</f>
        <v>1</v>
      </c>
      <c r="M6" t="b">
        <f>ISNUMBER(_xlfn.XMATCH(CONTROL[[#This Row],[VEHIDCODE]],GRAPHICS_PROPERTIES[VEHIDCODE],0))</f>
        <v>1</v>
      </c>
      <c r="N6" s="21" t="str">
        <f>"item_"&amp;CONTROL[[#This Row],[VEHIDCODE]]</f>
        <v>item_rbs_Victorian_Railways_Rowan_Railmotor</v>
      </c>
      <c r="O6" s="21" t="str">
        <f>"str_"&amp;CONTROL[[#This Row],[VEHIDCODE]]</f>
        <v>str_rbs_Victorian_Railways_Rowan_Railmotor</v>
      </c>
      <c r="P6" s="7" t="b">
        <f>_xlfn.XLOOKUP(CONTROL[[#This Row],[VEHIDCODE]],PROPERTIES[VEHIDCODE],PROPERTIES[IS_CONCEPT])="IS_CONCEPT"</f>
        <v>0</v>
      </c>
      <c r="Q6" s="7" t="b">
        <f>_xlfn.XLOOKUP(CONTROL[[#This Row],[VEHIDCODE]],PROPERTIES[VEHIDCODE],PROPERTIES[EXCLUDE])</f>
        <v>0</v>
      </c>
      <c r="R6" t="str" cm="1">
        <f t="array" ref="R6">_xlfn.XLOOKUP(CONTROL[[#This Row],[VEHIDCODE]],GRAPHICS_PROPERTIES[VEHIDCODE],GRAPHICS_PROPERTIES[TEMPLATE_ID]&amp;GRAPHICS_PROPERTIES[TEMPLATE_AMENDMENT_CODE])</f>
        <v>TPL_03C</v>
      </c>
    </row>
    <row r="7" spans="1:18" x14ac:dyDescent="0.35">
      <c r="A7" s="2" t="s">
        <v>2652</v>
      </c>
      <c r="B7" s="21" t="str">
        <f>_xlfn.TEXTAFTER(CONTROL[[#This Row],[VEHIDCODE]],"_")</f>
        <v>Esslingen_Czm_1_2</v>
      </c>
      <c r="C7" t="str" cm="1">
        <f t="array" ref="C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7" t="str" cm="1">
        <f t="array" ref="D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7">
        <v>1003</v>
      </c>
      <c r="F7" s="32" t="s">
        <v>2054</v>
      </c>
      <c r="G7" t="s">
        <v>1043</v>
      </c>
      <c r="H7" s="2" t="b">
        <f>AND(CONTROL[[#This Row],[IS_WAGON_OR_COACH]]=TRUE,OR(RIGHT(CONTROL[[#This Row],[VEHIDCODE]],7)="Powered",RIGHT(CONTROL[[#This Row],[VEHIDCODE]],9)="Unpowered"))</f>
        <v>0</v>
      </c>
      <c r="I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" t="b">
        <f>ISNUMBER(_xlfn.XMATCH(CONTROL[[#This Row],[VEHIDCODE]],TRACK_TYPES[VEHIDCODE],0))</f>
        <v>1</v>
      </c>
      <c r="K7" t="b">
        <f>ISNUMBER(_xlfn.XMATCH(CONTROL[[#This Row],[VEHIDCODE]],PROPERTIES[VEHIDCODE],0))</f>
        <v>1</v>
      </c>
      <c r="L7" t="b">
        <f>ISNUMBER(_xlfn.XLOOKUP(CONTROL[[#This Row],[VEHIDCODE]],roster!A:A,roster!D:D))</f>
        <v>1</v>
      </c>
      <c r="M7" t="b">
        <f>ISNUMBER(_xlfn.XMATCH(CONTROL[[#This Row],[VEHIDCODE]],GRAPHICS_PROPERTIES[VEHIDCODE],0))</f>
        <v>1</v>
      </c>
      <c r="N7" s="21" t="str">
        <f>"item_"&amp;CONTROL[[#This Row],[VEHIDCODE]]</f>
        <v>item_rbs_Esslingen_Czm_1_2</v>
      </c>
      <c r="O7" s="21" t="str">
        <f>"str_"&amp;CONTROL[[#This Row],[VEHIDCODE]]</f>
        <v>str_rbs_Esslingen_Czm_1_2</v>
      </c>
      <c r="P7" s="7" t="b">
        <f>_xlfn.XLOOKUP(CONTROL[[#This Row],[VEHIDCODE]],PROPERTIES[VEHIDCODE],PROPERTIES[IS_CONCEPT])="IS_CONCEPT"</f>
        <v>0</v>
      </c>
      <c r="Q7" s="7" t="b">
        <f>_xlfn.XLOOKUP(CONTROL[[#This Row],[VEHIDCODE]],PROPERTIES[VEHIDCODE],PROPERTIES[EXCLUDE])</f>
        <v>0</v>
      </c>
      <c r="R7" t="str" cm="1">
        <f t="array" ref="R7">_xlfn.XLOOKUP(CONTROL[[#This Row],[VEHIDCODE]],GRAPHICS_PROPERTIES[VEHIDCODE],GRAPHICS_PROPERTIES[TEMPLATE_ID]&amp;GRAPHICS_PROPERTIES[TEMPLATE_AMENDMENT_CODE])</f>
        <v>TPL_03C</v>
      </c>
    </row>
    <row r="8" spans="1:18" x14ac:dyDescent="0.35">
      <c r="A8" s="2" t="s">
        <v>2653</v>
      </c>
      <c r="B8" s="21" t="str">
        <f>_xlfn.TEXTAFTER(CONTROL[[#This Row],[VEHIDCODE]],"_")</f>
        <v>Maffei_MCCi</v>
      </c>
      <c r="C8" t="str" cm="1">
        <f t="array" ref="C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8" t="str" cm="1">
        <f t="array" ref="D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8">
        <v>1004</v>
      </c>
      <c r="F8" s="32" t="s">
        <v>2055</v>
      </c>
      <c r="G8" t="s">
        <v>1045</v>
      </c>
      <c r="H8" s="2" t="b">
        <f>AND(CONTROL[[#This Row],[IS_WAGON_OR_COACH]]=TRUE,OR(RIGHT(CONTROL[[#This Row],[VEHIDCODE]],7)="Powered",RIGHT(CONTROL[[#This Row],[VEHIDCODE]],9)="Unpowered"))</f>
        <v>0</v>
      </c>
      <c r="I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" t="b">
        <f>ISNUMBER(_xlfn.XMATCH(CONTROL[[#This Row],[VEHIDCODE]],TRACK_TYPES[VEHIDCODE],0))</f>
        <v>1</v>
      </c>
      <c r="K8" t="b">
        <f>ISNUMBER(_xlfn.XMATCH(CONTROL[[#This Row],[VEHIDCODE]],PROPERTIES[VEHIDCODE],0))</f>
        <v>1</v>
      </c>
      <c r="L8" t="b">
        <f>ISNUMBER(_xlfn.XLOOKUP(CONTROL[[#This Row],[VEHIDCODE]],roster!A:A,roster!D:D))</f>
        <v>1</v>
      </c>
      <c r="M8" t="b">
        <f>ISNUMBER(_xlfn.XMATCH(CONTROL[[#This Row],[VEHIDCODE]],GRAPHICS_PROPERTIES[VEHIDCODE],0))</f>
        <v>1</v>
      </c>
      <c r="N8" s="21" t="str">
        <f>"item_"&amp;CONTROL[[#This Row],[VEHIDCODE]]</f>
        <v>item_rbs_Maffei_MCCi</v>
      </c>
      <c r="O8" s="21" t="str">
        <f>"str_"&amp;CONTROL[[#This Row],[VEHIDCODE]]</f>
        <v>str_rbs_Maffei_MCCi</v>
      </c>
      <c r="P8" s="7" t="b">
        <f>_xlfn.XLOOKUP(CONTROL[[#This Row],[VEHIDCODE]],PROPERTIES[VEHIDCODE],PROPERTIES[IS_CONCEPT])="IS_CONCEPT"</f>
        <v>0</v>
      </c>
      <c r="Q8" s="7" t="b">
        <f>_xlfn.XLOOKUP(CONTROL[[#This Row],[VEHIDCODE]],PROPERTIES[VEHIDCODE],PROPERTIES[EXCLUDE])</f>
        <v>0</v>
      </c>
      <c r="R8" t="str" cm="1">
        <f t="array" ref="R8">_xlfn.XLOOKUP(CONTROL[[#This Row],[VEHIDCODE]],GRAPHICS_PROPERTIES[VEHIDCODE],GRAPHICS_PROPERTIES[TEMPLATE_ID]&amp;GRAPHICS_PROPERTIES[TEMPLATE_AMENDMENT_CODE])</f>
        <v>TPL_01B</v>
      </c>
    </row>
    <row r="9" spans="1:18" x14ac:dyDescent="0.35">
      <c r="A9" s="2" t="s">
        <v>2654</v>
      </c>
      <c r="B9" s="21" t="str">
        <f>_xlfn.TEXTAFTER(CONTROL[[#This Row],[VEHIDCODE]],"_")</f>
        <v>Kitson___Co_CSAR_Railmotor</v>
      </c>
      <c r="C9" t="str" cm="1">
        <f t="array" ref="C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9" t="str" cm="1">
        <f t="array" ref="D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9">
        <v>1005</v>
      </c>
      <c r="F9" s="32" t="s">
        <v>3679</v>
      </c>
      <c r="G9" t="s">
        <v>1044</v>
      </c>
      <c r="H9" s="2" t="b">
        <f>AND(CONTROL[[#This Row],[IS_WAGON_OR_COACH]]=TRUE,OR(RIGHT(CONTROL[[#This Row],[VEHIDCODE]],7)="Powered",RIGHT(CONTROL[[#This Row],[VEHIDCODE]],9)="Unpowered"))</f>
        <v>0</v>
      </c>
      <c r="I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" t="b">
        <f>ISNUMBER(_xlfn.XMATCH(CONTROL[[#This Row],[VEHIDCODE]],TRACK_TYPES[VEHIDCODE],0))</f>
        <v>1</v>
      </c>
      <c r="K9" t="b">
        <f>ISNUMBER(_xlfn.XMATCH(CONTROL[[#This Row],[VEHIDCODE]],PROPERTIES[VEHIDCODE],0))</f>
        <v>1</v>
      </c>
      <c r="L9" t="b">
        <f>ISNUMBER(_xlfn.XLOOKUP(CONTROL[[#This Row],[VEHIDCODE]],roster!A:A,roster!D:D))</f>
        <v>1</v>
      </c>
      <c r="M9" t="b">
        <f>ISNUMBER(_xlfn.XMATCH(CONTROL[[#This Row],[VEHIDCODE]],GRAPHICS_PROPERTIES[VEHIDCODE],0))</f>
        <v>1</v>
      </c>
      <c r="N9" s="21" t="str">
        <f>"item_"&amp;CONTROL[[#This Row],[VEHIDCODE]]</f>
        <v>item_rbs_Kitson___Co_CSAR_Railmotor</v>
      </c>
      <c r="O9" s="21" t="str">
        <f>"str_"&amp;CONTROL[[#This Row],[VEHIDCODE]]</f>
        <v>str_rbs_Kitson___Co_CSAR_Railmotor</v>
      </c>
      <c r="P9" s="7" t="b">
        <f>_xlfn.XLOOKUP(CONTROL[[#This Row],[VEHIDCODE]],PROPERTIES[VEHIDCODE],PROPERTIES[IS_CONCEPT])="IS_CONCEPT"</f>
        <v>0</v>
      </c>
      <c r="Q9" s="7" t="b">
        <f>_xlfn.XLOOKUP(CONTROL[[#This Row],[VEHIDCODE]],PROPERTIES[VEHIDCODE],PROPERTIES[EXCLUDE])</f>
        <v>0</v>
      </c>
      <c r="R9" t="str" cm="1">
        <f t="array" ref="R9">_xlfn.XLOOKUP(CONTROL[[#This Row],[VEHIDCODE]],GRAPHICS_PROPERTIES[VEHIDCODE],GRAPHICS_PROPERTIES[TEMPLATE_ID]&amp;GRAPHICS_PROPERTIES[TEMPLATE_AMENDMENT_CODE])</f>
        <v>TPL_32B</v>
      </c>
    </row>
    <row r="10" spans="1:18" x14ac:dyDescent="0.35">
      <c r="A10" s="2" t="s">
        <v>2655</v>
      </c>
      <c r="B10" s="21" t="str">
        <f>_xlfn.TEXTAFTER(CONTROL[[#This Row],[VEHIDCODE]],"_")</f>
        <v>Kerr_Stuart_steam_railmotor</v>
      </c>
      <c r="C10" t="str" cm="1">
        <f t="array" ref="C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10" t="str" cm="1">
        <f t="array" ref="D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10">
        <v>1006</v>
      </c>
      <c r="F10" s="32" t="s">
        <v>3695</v>
      </c>
      <c r="G10" t="s">
        <v>1046</v>
      </c>
      <c r="H10" s="2" t="b">
        <f>AND(CONTROL[[#This Row],[IS_WAGON_OR_COACH]]=TRUE,OR(RIGHT(CONTROL[[#This Row],[VEHIDCODE]],7)="Powered",RIGHT(CONTROL[[#This Row],[VEHIDCODE]],9)="Unpowered"))</f>
        <v>0</v>
      </c>
      <c r="I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" t="b">
        <f>ISNUMBER(_xlfn.XMATCH(CONTROL[[#This Row],[VEHIDCODE]],TRACK_TYPES[VEHIDCODE],0))</f>
        <v>1</v>
      </c>
      <c r="K10" t="b">
        <f>ISNUMBER(_xlfn.XMATCH(CONTROL[[#This Row],[VEHIDCODE]],PROPERTIES[VEHIDCODE],0))</f>
        <v>1</v>
      </c>
      <c r="L10" t="b">
        <f>ISNUMBER(_xlfn.XLOOKUP(CONTROL[[#This Row],[VEHIDCODE]],roster!A:A,roster!D:D))</f>
        <v>1</v>
      </c>
      <c r="M10" t="b">
        <f>ISNUMBER(_xlfn.XMATCH(CONTROL[[#This Row],[VEHIDCODE]],GRAPHICS_PROPERTIES[VEHIDCODE],0))</f>
        <v>1</v>
      </c>
      <c r="N10" s="21" t="str">
        <f>"item_"&amp;CONTROL[[#This Row],[VEHIDCODE]]</f>
        <v>item_rbs_Kerr_Stuart_steam_railmotor</v>
      </c>
      <c r="O10" s="21" t="str">
        <f>"str_"&amp;CONTROL[[#This Row],[VEHIDCODE]]</f>
        <v>str_rbs_Kerr_Stuart_steam_railmotor</v>
      </c>
      <c r="P10" s="7" t="b">
        <f>_xlfn.XLOOKUP(CONTROL[[#This Row],[VEHIDCODE]],PROPERTIES[VEHIDCODE],PROPERTIES[IS_CONCEPT])="IS_CONCEPT"</f>
        <v>0</v>
      </c>
      <c r="Q10" s="7" t="b">
        <f>_xlfn.XLOOKUP(CONTROL[[#This Row],[VEHIDCODE]],PROPERTIES[VEHIDCODE],PROPERTIES[EXCLUDE])</f>
        <v>0</v>
      </c>
      <c r="R10" t="str" cm="1">
        <f t="array" ref="R10">_xlfn.XLOOKUP(CONTROL[[#This Row],[VEHIDCODE]],GRAPHICS_PROPERTIES[VEHIDCODE],GRAPHICS_PROPERTIES[TEMPLATE_ID]&amp;GRAPHICS_PROPERTIES[TEMPLATE_AMENDMENT_CODE])</f>
        <v>TPL_03C</v>
      </c>
    </row>
    <row r="11" spans="1:18" x14ac:dyDescent="0.35">
      <c r="A11" s="2" t="s">
        <v>2656</v>
      </c>
      <c r="B11" s="21" t="str">
        <f>_xlfn.TEXTAFTER(CONTROL[[#This Row],[VEHIDCODE]],"_")</f>
        <v>KkStB_4_0</v>
      </c>
      <c r="C11" t="str" cm="1">
        <f t="array" ref="C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11" t="str" cm="1">
        <f t="array" ref="D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11">
        <v>1007</v>
      </c>
      <c r="F11" s="32" t="s">
        <v>1704</v>
      </c>
      <c r="G11" t="s">
        <v>1048</v>
      </c>
      <c r="H11" s="2" t="b">
        <f>AND(CONTROL[[#This Row],[IS_WAGON_OR_COACH]]=TRUE,OR(RIGHT(CONTROL[[#This Row],[VEHIDCODE]],7)="Powered",RIGHT(CONTROL[[#This Row],[VEHIDCODE]],9)="Unpowered"))</f>
        <v>0</v>
      </c>
      <c r="I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" t="b">
        <f>ISNUMBER(_xlfn.XMATCH(CONTROL[[#This Row],[VEHIDCODE]],TRACK_TYPES[VEHIDCODE],0))</f>
        <v>1</v>
      </c>
      <c r="K11" t="b">
        <f>ISNUMBER(_xlfn.XMATCH(CONTROL[[#This Row],[VEHIDCODE]],PROPERTIES[VEHIDCODE],0))</f>
        <v>1</v>
      </c>
      <c r="L11" t="b">
        <f>ISNUMBER(_xlfn.XLOOKUP(CONTROL[[#This Row],[VEHIDCODE]],roster!A:A,roster!D:D))</f>
        <v>1</v>
      </c>
      <c r="M11" t="b">
        <f>ISNUMBER(_xlfn.XMATCH(CONTROL[[#This Row],[VEHIDCODE]],GRAPHICS_PROPERTIES[VEHIDCODE],0))</f>
        <v>1</v>
      </c>
      <c r="N11" s="21" t="str">
        <f>"item_"&amp;CONTROL[[#This Row],[VEHIDCODE]]</f>
        <v>item_rbs_KkStB_4_0</v>
      </c>
      <c r="O11" s="21" t="str">
        <f>"str_"&amp;CONTROL[[#This Row],[VEHIDCODE]]</f>
        <v>str_rbs_KkStB_4_0</v>
      </c>
      <c r="P11" s="7" t="b">
        <f>_xlfn.XLOOKUP(CONTROL[[#This Row],[VEHIDCODE]],PROPERTIES[VEHIDCODE],PROPERTIES[IS_CONCEPT])="IS_CONCEPT"</f>
        <v>0</v>
      </c>
      <c r="Q11" s="7" t="b">
        <f>_xlfn.XLOOKUP(CONTROL[[#This Row],[VEHIDCODE]],PROPERTIES[VEHIDCODE],PROPERTIES[EXCLUDE])</f>
        <v>0</v>
      </c>
      <c r="R11" t="str" cm="1">
        <f t="array" ref="R11">_xlfn.XLOOKUP(CONTROL[[#This Row],[VEHIDCODE]],GRAPHICS_PROPERTIES[VEHIDCODE],GRAPHICS_PROPERTIES[TEMPLATE_ID]&amp;GRAPHICS_PROPERTIES[TEMPLATE_AMENDMENT_CODE])</f>
        <v>TPL_03C</v>
      </c>
    </row>
    <row r="12" spans="1:18" x14ac:dyDescent="0.35">
      <c r="A12" s="2" t="s">
        <v>2657</v>
      </c>
      <c r="B12" s="21" t="str">
        <f>_xlfn.TEXTAFTER(CONTROL[[#This Row],[VEHIDCODE]],"_")</f>
        <v>AEC_railmotor_RM1</v>
      </c>
      <c r="C12" t="str" cm="1">
        <f t="array" ref="C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2" t="str" cm="1">
        <f t="array" ref="D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2">
        <v>2000</v>
      </c>
      <c r="F12" s="32" t="s">
        <v>3677</v>
      </c>
      <c r="G12" t="s">
        <v>1047</v>
      </c>
      <c r="H12" s="2" t="b">
        <f>AND(CONTROL[[#This Row],[IS_WAGON_OR_COACH]]=TRUE,OR(RIGHT(CONTROL[[#This Row],[VEHIDCODE]],7)="Powered",RIGHT(CONTROL[[#This Row],[VEHIDCODE]],9)="Unpowered"))</f>
        <v>0</v>
      </c>
      <c r="I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" t="b">
        <f>ISNUMBER(_xlfn.XMATCH(CONTROL[[#This Row],[VEHIDCODE]],TRACK_TYPES[VEHIDCODE],0))</f>
        <v>1</v>
      </c>
      <c r="K12" t="b">
        <f>ISNUMBER(_xlfn.XMATCH(CONTROL[[#This Row],[VEHIDCODE]],PROPERTIES[VEHIDCODE],0))</f>
        <v>1</v>
      </c>
      <c r="L12" t="b">
        <f>ISNUMBER(_xlfn.XLOOKUP(CONTROL[[#This Row],[VEHIDCODE]],roster!A:A,roster!D:D))</f>
        <v>1</v>
      </c>
      <c r="M12" t="b">
        <f>ISNUMBER(_xlfn.XMATCH(CONTROL[[#This Row],[VEHIDCODE]],GRAPHICS_PROPERTIES[VEHIDCODE],0))</f>
        <v>1</v>
      </c>
      <c r="N12" s="21" t="str">
        <f>"item_"&amp;CONTROL[[#This Row],[VEHIDCODE]]</f>
        <v>item_rbd_AEC_railmotor_RM1</v>
      </c>
      <c r="O12" s="21" t="str">
        <f>"str_"&amp;CONTROL[[#This Row],[VEHIDCODE]]</f>
        <v>str_rbd_AEC_railmotor_RM1</v>
      </c>
      <c r="P12" s="7" t="b">
        <f>_xlfn.XLOOKUP(CONTROL[[#This Row],[VEHIDCODE]],PROPERTIES[VEHIDCODE],PROPERTIES[IS_CONCEPT])="IS_CONCEPT"</f>
        <v>0</v>
      </c>
      <c r="Q12" s="7" t="b">
        <f>_xlfn.XLOOKUP(CONTROL[[#This Row],[VEHIDCODE]],PROPERTIES[VEHIDCODE],PROPERTIES[EXCLUDE])</f>
        <v>0</v>
      </c>
      <c r="R12" t="str" cm="1">
        <f t="array" ref="R12">_xlfn.XLOOKUP(CONTROL[[#This Row],[VEHIDCODE]],GRAPHICS_PROPERTIES[VEHIDCODE],GRAPHICS_PROPERTIES[TEMPLATE_ID]&amp;GRAPHICS_PROPERTIES[TEMPLATE_AMENDMENT_CODE])</f>
        <v>TPL_01B</v>
      </c>
    </row>
    <row r="13" spans="1:18" x14ac:dyDescent="0.35">
      <c r="A13" s="2" t="s">
        <v>2658</v>
      </c>
      <c r="B13" s="21" t="str">
        <f>_xlfn.TEXTAFTER(CONTROL[[#This Row],[VEHIDCODE]],"_")</f>
        <v>VT133_Wismar_Railcar</v>
      </c>
      <c r="C13" t="str" cm="1">
        <f t="array" ref="C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3" t="str" cm="1">
        <f t="array" ref="D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3">
        <v>2001</v>
      </c>
      <c r="F13" s="32" t="s">
        <v>2629</v>
      </c>
      <c r="G13" t="s">
        <v>1049</v>
      </c>
      <c r="H13" s="2" t="b">
        <f>AND(CONTROL[[#This Row],[IS_WAGON_OR_COACH]]=TRUE,OR(RIGHT(CONTROL[[#This Row],[VEHIDCODE]],7)="Powered",RIGHT(CONTROL[[#This Row],[VEHIDCODE]],9)="Unpowered"))</f>
        <v>0</v>
      </c>
      <c r="I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" t="b">
        <f>ISNUMBER(_xlfn.XMATCH(CONTROL[[#This Row],[VEHIDCODE]],TRACK_TYPES[VEHIDCODE],0))</f>
        <v>1</v>
      </c>
      <c r="K13" t="b">
        <f>ISNUMBER(_xlfn.XMATCH(CONTROL[[#This Row],[VEHIDCODE]],PROPERTIES[VEHIDCODE],0))</f>
        <v>1</v>
      </c>
      <c r="L13" t="b">
        <f>ISNUMBER(_xlfn.XLOOKUP(CONTROL[[#This Row],[VEHIDCODE]],roster!A:A,roster!D:D))</f>
        <v>1</v>
      </c>
      <c r="M13" t="b">
        <f>ISNUMBER(_xlfn.XMATCH(CONTROL[[#This Row],[VEHIDCODE]],GRAPHICS_PROPERTIES[VEHIDCODE],0))</f>
        <v>1</v>
      </c>
      <c r="N13" s="21" t="str">
        <f>"item_"&amp;CONTROL[[#This Row],[VEHIDCODE]]</f>
        <v>item_rbd_VT133_Wismar_Railcar</v>
      </c>
      <c r="O13" s="21" t="str">
        <f>"str_"&amp;CONTROL[[#This Row],[VEHIDCODE]]</f>
        <v>str_rbd_VT133_Wismar_Railcar</v>
      </c>
      <c r="P13" s="7" t="b">
        <f>_xlfn.XLOOKUP(CONTROL[[#This Row],[VEHIDCODE]],PROPERTIES[VEHIDCODE],PROPERTIES[IS_CONCEPT])="IS_CONCEPT"</f>
        <v>0</v>
      </c>
      <c r="Q13" s="7" t="b">
        <f>_xlfn.XLOOKUP(CONTROL[[#This Row],[VEHIDCODE]],PROPERTIES[VEHIDCODE],PROPERTIES[EXCLUDE])</f>
        <v>0</v>
      </c>
      <c r="R13" t="str" cm="1">
        <f t="array" ref="R13">_xlfn.XLOOKUP(CONTROL[[#This Row],[VEHIDCODE]],GRAPHICS_PROPERTIES[VEHIDCODE],GRAPHICS_PROPERTIES[TEMPLATE_ID]&amp;GRAPHICS_PROPERTIES[TEMPLATE_AMENDMENT_CODE])</f>
        <v>TPL_01B</v>
      </c>
    </row>
    <row r="14" spans="1:18" x14ac:dyDescent="0.35">
      <c r="A14" s="2" t="s">
        <v>2659</v>
      </c>
      <c r="B14" s="21" t="str">
        <f>_xlfn.TEXTAFTER(CONTROL[[#This Row],[VEHIDCODE]],"_")</f>
        <v>AEC_Railcar</v>
      </c>
      <c r="C14" t="str" cm="1">
        <f t="array" ref="C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4" t="str" cm="1">
        <f t="array" ref="D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4">
        <v>2002</v>
      </c>
      <c r="F14" s="32" t="s">
        <v>2056</v>
      </c>
      <c r="G14" t="s">
        <v>1050</v>
      </c>
      <c r="H14" s="2" t="b">
        <f>AND(CONTROL[[#This Row],[IS_WAGON_OR_COACH]]=TRUE,OR(RIGHT(CONTROL[[#This Row],[VEHIDCODE]],7)="Powered",RIGHT(CONTROL[[#This Row],[VEHIDCODE]],9)="Unpowered"))</f>
        <v>0</v>
      </c>
      <c r="I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" t="b">
        <f>ISNUMBER(_xlfn.XMATCH(CONTROL[[#This Row],[VEHIDCODE]],TRACK_TYPES[VEHIDCODE],0))</f>
        <v>1</v>
      </c>
      <c r="K14" t="b">
        <f>ISNUMBER(_xlfn.XMATCH(CONTROL[[#This Row],[VEHIDCODE]],PROPERTIES[VEHIDCODE],0))</f>
        <v>1</v>
      </c>
      <c r="L14" t="b">
        <f>ISNUMBER(_xlfn.XLOOKUP(CONTROL[[#This Row],[VEHIDCODE]],roster!A:A,roster!D:D))</f>
        <v>1</v>
      </c>
      <c r="M14" t="b">
        <f>ISNUMBER(_xlfn.XMATCH(CONTROL[[#This Row],[VEHIDCODE]],GRAPHICS_PROPERTIES[VEHIDCODE],0))</f>
        <v>1</v>
      </c>
      <c r="N14" s="21" t="str">
        <f>"item_"&amp;CONTROL[[#This Row],[VEHIDCODE]]</f>
        <v>item_rbd_AEC_Railcar</v>
      </c>
      <c r="O14" s="21" t="str">
        <f>"str_"&amp;CONTROL[[#This Row],[VEHIDCODE]]</f>
        <v>str_rbd_AEC_Railcar</v>
      </c>
      <c r="P14" s="7" t="b">
        <f>_xlfn.XLOOKUP(CONTROL[[#This Row],[VEHIDCODE]],PROPERTIES[VEHIDCODE],PROPERTIES[IS_CONCEPT])="IS_CONCEPT"</f>
        <v>0</v>
      </c>
      <c r="Q14" s="7" t="b">
        <f>_xlfn.XLOOKUP(CONTROL[[#This Row],[VEHIDCODE]],PROPERTIES[VEHIDCODE],PROPERTIES[EXCLUDE])</f>
        <v>0</v>
      </c>
      <c r="R14" t="str" cm="1">
        <f t="array" ref="R14">_xlfn.XLOOKUP(CONTROL[[#This Row],[VEHIDCODE]],GRAPHICS_PROPERTIES[VEHIDCODE],GRAPHICS_PROPERTIES[TEMPLATE_ID]&amp;GRAPHICS_PROPERTIES[TEMPLATE_AMENDMENT_CODE])</f>
        <v>TPL_01B</v>
      </c>
    </row>
    <row r="15" spans="1:18" x14ac:dyDescent="0.35">
      <c r="A15" s="2" t="s">
        <v>2660</v>
      </c>
      <c r="B15" s="21" t="str">
        <f>_xlfn.TEXTAFTER(CONTROL[[#This Row],[VEHIDCODE]],"_")</f>
        <v>Simmering_VT42</v>
      </c>
      <c r="C15" t="str" cm="1">
        <f t="array" ref="C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5" t="str" cm="1">
        <f t="array" ref="D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5">
        <v>2003</v>
      </c>
      <c r="F15" s="32" t="s">
        <v>2057</v>
      </c>
      <c r="G15" t="s">
        <v>1051</v>
      </c>
      <c r="H15" s="2" t="b">
        <f>AND(CONTROL[[#This Row],[IS_WAGON_OR_COACH]]=TRUE,OR(RIGHT(CONTROL[[#This Row],[VEHIDCODE]],7)="Powered",RIGHT(CONTROL[[#This Row],[VEHIDCODE]],9)="Unpowered"))</f>
        <v>0</v>
      </c>
      <c r="I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" t="b">
        <f>ISNUMBER(_xlfn.XMATCH(CONTROL[[#This Row],[VEHIDCODE]],TRACK_TYPES[VEHIDCODE],0))</f>
        <v>1</v>
      </c>
      <c r="K15" t="b">
        <f>ISNUMBER(_xlfn.XMATCH(CONTROL[[#This Row],[VEHIDCODE]],PROPERTIES[VEHIDCODE],0))</f>
        <v>1</v>
      </c>
      <c r="L15" t="b">
        <f>ISNUMBER(_xlfn.XLOOKUP(CONTROL[[#This Row],[VEHIDCODE]],roster!A:A,roster!D:D))</f>
        <v>1</v>
      </c>
      <c r="M15" t="b">
        <f>ISNUMBER(_xlfn.XMATCH(CONTROL[[#This Row],[VEHIDCODE]],GRAPHICS_PROPERTIES[VEHIDCODE],0))</f>
        <v>1</v>
      </c>
      <c r="N15" s="21" t="str">
        <f>"item_"&amp;CONTROL[[#This Row],[VEHIDCODE]]</f>
        <v>item_rbd_Simmering_VT42</v>
      </c>
      <c r="O15" s="21" t="str">
        <f>"str_"&amp;CONTROL[[#This Row],[VEHIDCODE]]</f>
        <v>str_rbd_Simmering_VT42</v>
      </c>
      <c r="P15" s="7" t="b">
        <f>_xlfn.XLOOKUP(CONTROL[[#This Row],[VEHIDCODE]],PROPERTIES[VEHIDCODE],PROPERTIES[IS_CONCEPT])="IS_CONCEPT"</f>
        <v>0</v>
      </c>
      <c r="Q15" s="7" t="b">
        <f>_xlfn.XLOOKUP(CONTROL[[#This Row],[VEHIDCODE]],PROPERTIES[VEHIDCODE],PROPERTIES[EXCLUDE])</f>
        <v>0</v>
      </c>
      <c r="R15" t="str" cm="1">
        <f t="array" ref="R15">_xlfn.XLOOKUP(CONTROL[[#This Row],[VEHIDCODE]],GRAPHICS_PROPERTIES[VEHIDCODE],GRAPHICS_PROPERTIES[TEMPLATE_ID]&amp;GRAPHICS_PROPERTIES[TEMPLATE_AMENDMENT_CODE])</f>
        <v>TPL_01B</v>
      </c>
    </row>
    <row r="16" spans="1:18" x14ac:dyDescent="0.35">
      <c r="A16" s="2" t="s">
        <v>2661</v>
      </c>
      <c r="B16" s="21" t="str">
        <f>_xlfn.TEXTAFTER(CONTROL[[#This Row],[VEHIDCODE]],"_")</f>
        <v>Hutt_RM31</v>
      </c>
      <c r="C16" t="str" cm="1">
        <f t="array" ref="C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6" t="str" cm="1">
        <f t="array" ref="D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6">
        <v>2004</v>
      </c>
      <c r="F16" s="32" t="s">
        <v>2058</v>
      </c>
      <c r="G16" t="s">
        <v>1052</v>
      </c>
      <c r="H16" s="2" t="b">
        <f>AND(CONTROL[[#This Row],[IS_WAGON_OR_COACH]]=TRUE,OR(RIGHT(CONTROL[[#This Row],[VEHIDCODE]],7)="Powered",RIGHT(CONTROL[[#This Row],[VEHIDCODE]],9)="Unpowered"))</f>
        <v>0</v>
      </c>
      <c r="I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" t="b">
        <f>ISNUMBER(_xlfn.XMATCH(CONTROL[[#This Row],[VEHIDCODE]],TRACK_TYPES[VEHIDCODE],0))</f>
        <v>1</v>
      </c>
      <c r="K16" t="b">
        <f>ISNUMBER(_xlfn.XMATCH(CONTROL[[#This Row],[VEHIDCODE]],PROPERTIES[VEHIDCODE],0))</f>
        <v>1</v>
      </c>
      <c r="L16" t="b">
        <f>ISNUMBER(_xlfn.XLOOKUP(CONTROL[[#This Row],[VEHIDCODE]],roster!A:A,roster!D:D))</f>
        <v>1</v>
      </c>
      <c r="M16" t="b">
        <f>ISNUMBER(_xlfn.XMATCH(CONTROL[[#This Row],[VEHIDCODE]],GRAPHICS_PROPERTIES[VEHIDCODE],0))</f>
        <v>1</v>
      </c>
      <c r="N16" s="21" t="str">
        <f>"item_"&amp;CONTROL[[#This Row],[VEHIDCODE]]</f>
        <v>item_rbd_Hutt_RM31</v>
      </c>
      <c r="O16" s="21" t="str">
        <f>"str_"&amp;CONTROL[[#This Row],[VEHIDCODE]]</f>
        <v>str_rbd_Hutt_RM31</v>
      </c>
      <c r="P16" s="7" t="b">
        <f>_xlfn.XLOOKUP(CONTROL[[#This Row],[VEHIDCODE]],PROPERTIES[VEHIDCODE],PROPERTIES[IS_CONCEPT])="IS_CONCEPT"</f>
        <v>0</v>
      </c>
      <c r="Q16" s="7" t="b">
        <f>_xlfn.XLOOKUP(CONTROL[[#This Row],[VEHIDCODE]],PROPERTIES[VEHIDCODE],PROPERTIES[EXCLUDE])</f>
        <v>0</v>
      </c>
      <c r="R16" t="str" cm="1">
        <f t="array" ref="R16">_xlfn.XLOOKUP(CONTROL[[#This Row],[VEHIDCODE]],GRAPHICS_PROPERTIES[VEHIDCODE],GRAPHICS_PROPERTIES[TEMPLATE_ID]&amp;GRAPHICS_PROPERTIES[TEMPLATE_AMENDMENT_CODE])</f>
        <v>TPL_01B</v>
      </c>
    </row>
    <row r="17" spans="1:18" x14ac:dyDescent="0.35">
      <c r="A17" s="2" t="s">
        <v>2662</v>
      </c>
      <c r="B17" s="21" t="str">
        <f>_xlfn.TEXTAFTER(CONTROL[[#This Row],[VEHIDCODE]],"_")</f>
        <v>NOHAB_CP_0100</v>
      </c>
      <c r="C17" t="str" cm="1">
        <f t="array" ref="C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7" t="str" cm="1">
        <f t="array" ref="D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7">
        <v>2005</v>
      </c>
      <c r="F17" s="32" t="s">
        <v>2059</v>
      </c>
      <c r="G17" t="s">
        <v>1053</v>
      </c>
      <c r="H17" s="2" t="b">
        <f>AND(CONTROL[[#This Row],[IS_WAGON_OR_COACH]]=TRUE,OR(RIGHT(CONTROL[[#This Row],[VEHIDCODE]],7)="Powered",RIGHT(CONTROL[[#This Row],[VEHIDCODE]],9)="Unpowered"))</f>
        <v>0</v>
      </c>
      <c r="I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" t="b">
        <f>ISNUMBER(_xlfn.XMATCH(CONTROL[[#This Row],[VEHIDCODE]],TRACK_TYPES[VEHIDCODE],0))</f>
        <v>1</v>
      </c>
      <c r="K17" t="b">
        <f>ISNUMBER(_xlfn.XMATCH(CONTROL[[#This Row],[VEHIDCODE]],PROPERTIES[VEHIDCODE],0))</f>
        <v>1</v>
      </c>
      <c r="L17" t="b">
        <f>ISNUMBER(_xlfn.XLOOKUP(CONTROL[[#This Row],[VEHIDCODE]],roster!A:A,roster!D:D))</f>
        <v>1</v>
      </c>
      <c r="M17" t="b">
        <f>ISNUMBER(_xlfn.XMATCH(CONTROL[[#This Row],[VEHIDCODE]],GRAPHICS_PROPERTIES[VEHIDCODE],0))</f>
        <v>1</v>
      </c>
      <c r="N17" s="21" t="str">
        <f>"item_"&amp;CONTROL[[#This Row],[VEHIDCODE]]</f>
        <v>item_rbd_NOHAB_CP_0100</v>
      </c>
      <c r="O17" s="21" t="str">
        <f>"str_"&amp;CONTROL[[#This Row],[VEHIDCODE]]</f>
        <v>str_rbd_NOHAB_CP_0100</v>
      </c>
      <c r="P17" s="7" t="b">
        <f>_xlfn.XLOOKUP(CONTROL[[#This Row],[VEHIDCODE]],PROPERTIES[VEHIDCODE],PROPERTIES[IS_CONCEPT])="IS_CONCEPT"</f>
        <v>0</v>
      </c>
      <c r="Q17" s="7" t="b">
        <f>_xlfn.XLOOKUP(CONTROL[[#This Row],[VEHIDCODE]],PROPERTIES[VEHIDCODE],PROPERTIES[EXCLUDE])</f>
        <v>0</v>
      </c>
      <c r="R17" t="str" cm="1">
        <f t="array" ref="R17">_xlfn.XLOOKUP(CONTROL[[#This Row],[VEHIDCODE]],GRAPHICS_PROPERTIES[VEHIDCODE],GRAPHICS_PROPERTIES[TEMPLATE_ID]&amp;GRAPHICS_PROPERTIES[TEMPLATE_AMENDMENT_CODE])</f>
        <v>TPL_01B</v>
      </c>
    </row>
    <row r="18" spans="1:18" x14ac:dyDescent="0.35">
      <c r="A18" s="2" t="s">
        <v>2663</v>
      </c>
      <c r="B18" s="21" t="str">
        <f>_xlfn.TEXTAFTER(CONTROL[[#This Row],[VEHIDCODE]],"_")</f>
        <v>Budd_RDC</v>
      </c>
      <c r="C18" t="str" cm="1">
        <f t="array" ref="C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8" t="str" cm="1">
        <f t="array" ref="D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8">
        <v>2006</v>
      </c>
      <c r="F18" s="32" t="s">
        <v>2019</v>
      </c>
      <c r="G18" t="s">
        <v>1054</v>
      </c>
      <c r="H18" s="2" t="b">
        <f>AND(CONTROL[[#This Row],[IS_WAGON_OR_COACH]]=TRUE,OR(RIGHT(CONTROL[[#This Row],[VEHIDCODE]],7)="Powered",RIGHT(CONTROL[[#This Row],[VEHIDCODE]],9)="Unpowered"))</f>
        <v>0</v>
      </c>
      <c r="I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" t="b">
        <f>ISNUMBER(_xlfn.XMATCH(CONTROL[[#This Row],[VEHIDCODE]],TRACK_TYPES[VEHIDCODE],0))</f>
        <v>1</v>
      </c>
      <c r="K18" t="b">
        <f>ISNUMBER(_xlfn.XMATCH(CONTROL[[#This Row],[VEHIDCODE]],PROPERTIES[VEHIDCODE],0))</f>
        <v>1</v>
      </c>
      <c r="L18" t="b">
        <f>ISNUMBER(_xlfn.XLOOKUP(CONTROL[[#This Row],[VEHIDCODE]],roster!A:A,roster!D:D))</f>
        <v>1</v>
      </c>
      <c r="M18" t="b">
        <f>ISNUMBER(_xlfn.XMATCH(CONTROL[[#This Row],[VEHIDCODE]],GRAPHICS_PROPERTIES[VEHIDCODE],0))</f>
        <v>1</v>
      </c>
      <c r="N18" s="21" t="str">
        <f>"item_"&amp;CONTROL[[#This Row],[VEHIDCODE]]</f>
        <v>item_rbd_Budd_RDC</v>
      </c>
      <c r="O18" s="21" t="str">
        <f>"str_"&amp;CONTROL[[#This Row],[VEHIDCODE]]</f>
        <v>str_rbd_Budd_RDC</v>
      </c>
      <c r="P18" s="7" t="b">
        <f>_xlfn.XLOOKUP(CONTROL[[#This Row],[VEHIDCODE]],PROPERTIES[VEHIDCODE],PROPERTIES[IS_CONCEPT])="IS_CONCEPT"</f>
        <v>0</v>
      </c>
      <c r="Q18" s="7" t="b">
        <f>_xlfn.XLOOKUP(CONTROL[[#This Row],[VEHIDCODE]],PROPERTIES[VEHIDCODE],PROPERTIES[EXCLUDE])</f>
        <v>0</v>
      </c>
      <c r="R18" t="str" cm="1">
        <f t="array" ref="R18">_xlfn.XLOOKUP(CONTROL[[#This Row],[VEHIDCODE]],GRAPHICS_PROPERTIES[VEHIDCODE],GRAPHICS_PROPERTIES[TEMPLATE_ID]&amp;GRAPHICS_PROPERTIES[TEMPLATE_AMENDMENT_CODE])</f>
        <v>TPL_01B</v>
      </c>
    </row>
    <row r="19" spans="1:18" x14ac:dyDescent="0.35">
      <c r="A19" s="2" t="s">
        <v>2664</v>
      </c>
      <c r="B19" s="21" t="str">
        <f>_xlfn.TEXTAFTER(CONTROL[[#This Row],[VEHIDCODE]],"_")</f>
        <v>Uerdingen_railbus</v>
      </c>
      <c r="C19" t="str" cm="1">
        <f t="array" ref="C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9" t="str" cm="1">
        <f t="array" ref="D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9">
        <v>2044</v>
      </c>
      <c r="F19" s="32" t="s">
        <v>2060</v>
      </c>
      <c r="G19" t="s">
        <v>1055</v>
      </c>
      <c r="H19" s="2" t="b">
        <f>AND(CONTROL[[#This Row],[IS_WAGON_OR_COACH]]=TRUE,OR(RIGHT(CONTROL[[#This Row],[VEHIDCODE]],7)="Powered",RIGHT(CONTROL[[#This Row],[VEHIDCODE]],9)="Unpowered"))</f>
        <v>0</v>
      </c>
      <c r="I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" t="b">
        <f>ISNUMBER(_xlfn.XMATCH(CONTROL[[#This Row],[VEHIDCODE]],TRACK_TYPES[VEHIDCODE],0))</f>
        <v>1</v>
      </c>
      <c r="K19" t="b">
        <f>ISNUMBER(_xlfn.XMATCH(CONTROL[[#This Row],[VEHIDCODE]],PROPERTIES[VEHIDCODE],0))</f>
        <v>1</v>
      </c>
      <c r="L19" t="b">
        <f>ISNUMBER(_xlfn.XLOOKUP(CONTROL[[#This Row],[VEHIDCODE]],roster!A:A,roster!D:D))</f>
        <v>1</v>
      </c>
      <c r="M19" t="b">
        <f>ISNUMBER(_xlfn.XMATCH(CONTROL[[#This Row],[VEHIDCODE]],GRAPHICS_PROPERTIES[VEHIDCODE],0))</f>
        <v>1</v>
      </c>
      <c r="N19" s="21" t="str">
        <f>"item_"&amp;CONTROL[[#This Row],[VEHIDCODE]]</f>
        <v>item_rbd_Uerdingen_railbus</v>
      </c>
      <c r="O19" s="21" t="str">
        <f>"str_"&amp;CONTROL[[#This Row],[VEHIDCODE]]</f>
        <v>str_rbd_Uerdingen_railbus</v>
      </c>
      <c r="P19" s="7" t="b">
        <f>_xlfn.XLOOKUP(CONTROL[[#This Row],[VEHIDCODE]],PROPERTIES[VEHIDCODE],PROPERTIES[IS_CONCEPT])="IS_CONCEPT"</f>
        <v>0</v>
      </c>
      <c r="Q19" s="7" t="b">
        <f>_xlfn.XLOOKUP(CONTROL[[#This Row],[VEHIDCODE]],PROPERTIES[VEHIDCODE],PROPERTIES[EXCLUDE])</f>
        <v>0</v>
      </c>
      <c r="R19" t="str" cm="1">
        <f t="array" ref="R19">_xlfn.XLOOKUP(CONTROL[[#This Row],[VEHIDCODE]],GRAPHICS_PROPERTIES[VEHIDCODE],GRAPHICS_PROPERTIES[TEMPLATE_ID]&amp;GRAPHICS_PROPERTIES[TEMPLATE_AMENDMENT_CODE])</f>
        <v>TPL_01B</v>
      </c>
    </row>
    <row r="20" spans="1:18" x14ac:dyDescent="0.35">
      <c r="A20" s="2" t="s">
        <v>2665</v>
      </c>
      <c r="B20" s="21" t="str">
        <f>_xlfn.TEXTAFTER(CONTROL[[#This Row],[VEHIDCODE]],"_")</f>
        <v>MaK_GDT</v>
      </c>
      <c r="C20" t="str" cm="1">
        <f t="array" ref="C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0" t="str" cm="1">
        <f t="array" ref="D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0">
        <v>2008</v>
      </c>
      <c r="F20" s="32" t="s">
        <v>2061</v>
      </c>
      <c r="G20" t="s">
        <v>1057</v>
      </c>
      <c r="H20" s="2" t="b">
        <f>AND(CONTROL[[#This Row],[IS_WAGON_OR_COACH]]=TRUE,OR(RIGHT(CONTROL[[#This Row],[VEHIDCODE]],7)="Powered",RIGHT(CONTROL[[#This Row],[VEHIDCODE]],9)="Unpowered"))</f>
        <v>0</v>
      </c>
      <c r="I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" t="b">
        <f>ISNUMBER(_xlfn.XMATCH(CONTROL[[#This Row],[VEHIDCODE]],TRACK_TYPES[VEHIDCODE],0))</f>
        <v>1</v>
      </c>
      <c r="K20" t="b">
        <f>ISNUMBER(_xlfn.XMATCH(CONTROL[[#This Row],[VEHIDCODE]],PROPERTIES[VEHIDCODE],0))</f>
        <v>1</v>
      </c>
      <c r="L20" t="b">
        <f>ISNUMBER(_xlfn.XLOOKUP(CONTROL[[#This Row],[VEHIDCODE]],roster!A:A,roster!D:D))</f>
        <v>1</v>
      </c>
      <c r="M20" t="b">
        <f>ISNUMBER(_xlfn.XMATCH(CONTROL[[#This Row],[VEHIDCODE]],GRAPHICS_PROPERTIES[VEHIDCODE],0))</f>
        <v>1</v>
      </c>
      <c r="N20" s="21" t="str">
        <f>"item_"&amp;CONTROL[[#This Row],[VEHIDCODE]]</f>
        <v>item_rbd_MaK_GDT</v>
      </c>
      <c r="O20" s="21" t="str">
        <f>"str_"&amp;CONTROL[[#This Row],[VEHIDCODE]]</f>
        <v>str_rbd_MaK_GDT</v>
      </c>
      <c r="P20" s="7" t="b">
        <f>_xlfn.XLOOKUP(CONTROL[[#This Row],[VEHIDCODE]],PROPERTIES[VEHIDCODE],PROPERTIES[IS_CONCEPT])="IS_CONCEPT"</f>
        <v>0</v>
      </c>
      <c r="Q20" s="7" t="b">
        <f>_xlfn.XLOOKUP(CONTROL[[#This Row],[VEHIDCODE]],PROPERTIES[VEHIDCODE],PROPERTIES[EXCLUDE])</f>
        <v>0</v>
      </c>
      <c r="R20" t="str" cm="1">
        <f t="array" ref="R20">_xlfn.XLOOKUP(CONTROL[[#This Row],[VEHIDCODE]],GRAPHICS_PROPERTIES[VEHIDCODE],GRAPHICS_PROPERTIES[TEMPLATE_ID]&amp;GRAPHICS_PROPERTIES[TEMPLATE_AMENDMENT_CODE])</f>
        <v>TPL_01B</v>
      </c>
    </row>
    <row r="21" spans="1:18" x14ac:dyDescent="0.35">
      <c r="A21" s="2" t="s">
        <v>2666</v>
      </c>
      <c r="B21" s="21" t="str">
        <f>_xlfn.TEXTAFTER(CONTROL[[#This Row],[VEHIDCODE]],"_")</f>
        <v>Allan_Kameel</v>
      </c>
      <c r="C21" t="str" cm="1">
        <f t="array" ref="C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1" t="str" cm="1">
        <f t="array" ref="D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1">
        <v>2009</v>
      </c>
      <c r="F21" s="32" t="s">
        <v>2062</v>
      </c>
      <c r="G21" t="s">
        <v>1058</v>
      </c>
      <c r="H21" s="2" t="b">
        <f>AND(CONTROL[[#This Row],[IS_WAGON_OR_COACH]]=TRUE,OR(RIGHT(CONTROL[[#This Row],[VEHIDCODE]],7)="Powered",RIGHT(CONTROL[[#This Row],[VEHIDCODE]],9)="Unpowered"))</f>
        <v>0</v>
      </c>
      <c r="I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" t="b">
        <f>ISNUMBER(_xlfn.XMATCH(CONTROL[[#This Row],[VEHIDCODE]],TRACK_TYPES[VEHIDCODE],0))</f>
        <v>1</v>
      </c>
      <c r="K21" t="b">
        <f>ISNUMBER(_xlfn.XMATCH(CONTROL[[#This Row],[VEHIDCODE]],PROPERTIES[VEHIDCODE],0))</f>
        <v>1</v>
      </c>
      <c r="L21" t="b">
        <f>ISNUMBER(_xlfn.XLOOKUP(CONTROL[[#This Row],[VEHIDCODE]],roster!A:A,roster!D:D))</f>
        <v>1</v>
      </c>
      <c r="M21" t="b">
        <f>ISNUMBER(_xlfn.XMATCH(CONTROL[[#This Row],[VEHIDCODE]],GRAPHICS_PROPERTIES[VEHIDCODE],0))</f>
        <v>1</v>
      </c>
      <c r="N21" s="21" t="str">
        <f>"item_"&amp;CONTROL[[#This Row],[VEHIDCODE]]</f>
        <v>item_rbd_Allan_Kameel</v>
      </c>
      <c r="O21" s="21" t="str">
        <f>"str_"&amp;CONTROL[[#This Row],[VEHIDCODE]]</f>
        <v>str_rbd_Allan_Kameel</v>
      </c>
      <c r="P21" s="7" t="b">
        <f>_xlfn.XLOOKUP(CONTROL[[#This Row],[VEHIDCODE]],PROPERTIES[VEHIDCODE],PROPERTIES[IS_CONCEPT])="IS_CONCEPT"</f>
        <v>0</v>
      </c>
      <c r="Q21" s="7" t="b">
        <f>_xlfn.XLOOKUP(CONTROL[[#This Row],[VEHIDCODE]],PROPERTIES[VEHIDCODE],PROPERTIES[EXCLUDE])</f>
        <v>0</v>
      </c>
      <c r="R21" t="str" cm="1">
        <f t="array" ref="R21">_xlfn.XLOOKUP(CONTROL[[#This Row],[VEHIDCODE]],GRAPHICS_PROPERTIES[VEHIDCODE],GRAPHICS_PROPERTIES[TEMPLATE_ID]&amp;GRAPHICS_PROPERTIES[TEMPLATE_AMENDMENT_CODE])</f>
        <v>TPL_01B</v>
      </c>
    </row>
    <row r="22" spans="1:18" x14ac:dyDescent="0.35">
      <c r="A22" s="2" t="s">
        <v>2667</v>
      </c>
      <c r="B22" s="21" t="str">
        <f>_xlfn.TEXTAFTER(CONTROL[[#This Row],[VEHIDCODE]],"_")</f>
        <v>NS_DH1</v>
      </c>
      <c r="C22" t="str" cm="1">
        <f t="array" ref="C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2" t="str" cm="1">
        <f t="array" ref="D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2">
        <v>2012</v>
      </c>
      <c r="F22" s="32" t="s">
        <v>356</v>
      </c>
      <c r="G22" t="s">
        <v>1059</v>
      </c>
      <c r="H22" s="2" t="b">
        <f>AND(CONTROL[[#This Row],[IS_WAGON_OR_COACH]]=TRUE,OR(RIGHT(CONTROL[[#This Row],[VEHIDCODE]],7)="Powered",RIGHT(CONTROL[[#This Row],[VEHIDCODE]],9)="Unpowered"))</f>
        <v>0</v>
      </c>
      <c r="I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" t="b">
        <f>ISNUMBER(_xlfn.XMATCH(CONTROL[[#This Row],[VEHIDCODE]],TRACK_TYPES[VEHIDCODE],0))</f>
        <v>1</v>
      </c>
      <c r="K22" t="b">
        <f>ISNUMBER(_xlfn.XMATCH(CONTROL[[#This Row],[VEHIDCODE]],PROPERTIES[VEHIDCODE],0))</f>
        <v>1</v>
      </c>
      <c r="L22" t="b">
        <f>ISNUMBER(_xlfn.XLOOKUP(CONTROL[[#This Row],[VEHIDCODE]],roster!A:A,roster!D:D))</f>
        <v>1</v>
      </c>
      <c r="M22" t="b">
        <f>ISNUMBER(_xlfn.XMATCH(CONTROL[[#This Row],[VEHIDCODE]],GRAPHICS_PROPERTIES[VEHIDCODE],0))</f>
        <v>1</v>
      </c>
      <c r="N22" s="21" t="str">
        <f>"item_"&amp;CONTROL[[#This Row],[VEHIDCODE]]</f>
        <v>item_rbd_NS_DH1</v>
      </c>
      <c r="O22" s="21" t="str">
        <f>"str_"&amp;CONTROL[[#This Row],[VEHIDCODE]]</f>
        <v>str_rbd_NS_DH1</v>
      </c>
      <c r="P22" s="7" t="b">
        <f>_xlfn.XLOOKUP(CONTROL[[#This Row],[VEHIDCODE]],PROPERTIES[VEHIDCODE],PROPERTIES[IS_CONCEPT])="IS_CONCEPT"</f>
        <v>0</v>
      </c>
      <c r="Q22" s="7" t="b">
        <f>_xlfn.XLOOKUP(CONTROL[[#This Row],[VEHIDCODE]],PROPERTIES[VEHIDCODE],PROPERTIES[EXCLUDE])</f>
        <v>0</v>
      </c>
      <c r="R22" t="str" cm="1">
        <f t="array" ref="R22">_xlfn.XLOOKUP(CONTROL[[#This Row],[VEHIDCODE]],GRAPHICS_PROPERTIES[VEHIDCODE],GRAPHICS_PROPERTIES[TEMPLATE_ID]&amp;GRAPHICS_PROPERTIES[TEMPLATE_AMENDMENT_CODE])</f>
        <v>TPL_01B</v>
      </c>
    </row>
    <row r="23" spans="1:18" x14ac:dyDescent="0.35">
      <c r="A23" s="2" t="s">
        <v>2668</v>
      </c>
      <c r="B23" s="21" t="str">
        <f>_xlfn.TEXTAFTER(CONTROL[[#This Row],[VEHIDCODE]],"_")</f>
        <v>Jenbacher_Werke_5047</v>
      </c>
      <c r="C23" t="str" cm="1">
        <f t="array" ref="C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3" t="str" cm="1">
        <f t="array" ref="D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3">
        <v>2013</v>
      </c>
      <c r="F23" s="32" t="s">
        <v>2063</v>
      </c>
      <c r="G23" t="s">
        <v>1060</v>
      </c>
      <c r="H23" s="2" t="b">
        <f>AND(CONTROL[[#This Row],[IS_WAGON_OR_COACH]]=TRUE,OR(RIGHT(CONTROL[[#This Row],[VEHIDCODE]],7)="Powered",RIGHT(CONTROL[[#This Row],[VEHIDCODE]],9)="Unpowered"))</f>
        <v>0</v>
      </c>
      <c r="I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" t="b">
        <f>ISNUMBER(_xlfn.XMATCH(CONTROL[[#This Row],[VEHIDCODE]],TRACK_TYPES[VEHIDCODE],0))</f>
        <v>1</v>
      </c>
      <c r="K23" t="b">
        <f>ISNUMBER(_xlfn.XMATCH(CONTROL[[#This Row],[VEHIDCODE]],PROPERTIES[VEHIDCODE],0))</f>
        <v>1</v>
      </c>
      <c r="L23" t="b">
        <f>ISNUMBER(_xlfn.XLOOKUP(CONTROL[[#This Row],[VEHIDCODE]],roster!A:A,roster!D:D))</f>
        <v>1</v>
      </c>
      <c r="M23" t="b">
        <f>ISNUMBER(_xlfn.XMATCH(CONTROL[[#This Row],[VEHIDCODE]],GRAPHICS_PROPERTIES[VEHIDCODE],0))</f>
        <v>1</v>
      </c>
      <c r="N23" s="21" t="str">
        <f>"item_"&amp;CONTROL[[#This Row],[VEHIDCODE]]</f>
        <v>item_rbd_Jenbacher_Werke_5047</v>
      </c>
      <c r="O23" s="21" t="str">
        <f>"str_"&amp;CONTROL[[#This Row],[VEHIDCODE]]</f>
        <v>str_rbd_Jenbacher_Werke_5047</v>
      </c>
      <c r="P23" s="7" t="b">
        <f>_xlfn.XLOOKUP(CONTROL[[#This Row],[VEHIDCODE]],PROPERTIES[VEHIDCODE],PROPERTIES[IS_CONCEPT])="IS_CONCEPT"</f>
        <v>0</v>
      </c>
      <c r="Q23" s="7" t="b">
        <f>_xlfn.XLOOKUP(CONTROL[[#This Row],[VEHIDCODE]],PROPERTIES[VEHIDCODE],PROPERTIES[EXCLUDE])</f>
        <v>0</v>
      </c>
      <c r="R23" t="str" cm="1">
        <f t="array" ref="R23">_xlfn.XLOOKUP(CONTROL[[#This Row],[VEHIDCODE]],GRAPHICS_PROPERTIES[VEHIDCODE],GRAPHICS_PROPERTIES[TEMPLATE_ID]&amp;GRAPHICS_PROPERTIES[TEMPLATE_AMENDMENT_CODE])</f>
        <v>TPL_01B</v>
      </c>
    </row>
    <row r="24" spans="1:18" x14ac:dyDescent="0.35">
      <c r="A24" s="2" t="s">
        <v>2669</v>
      </c>
      <c r="B24" s="21" t="str">
        <f>_xlfn.TEXTAFTER(CONTROL[[#This Row],[VEHIDCODE]],"_")</f>
        <v>Hunslet_Barclay_Super_Sprinter</v>
      </c>
      <c r="C24" t="str" cm="1">
        <f t="array" ref="C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4" t="str" cm="1">
        <f t="array" ref="D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4">
        <v>2014</v>
      </c>
      <c r="F24" s="32" t="s">
        <v>2064</v>
      </c>
      <c r="G24" t="s">
        <v>1061</v>
      </c>
      <c r="H24" s="2" t="b">
        <f>AND(CONTROL[[#This Row],[IS_WAGON_OR_COACH]]=TRUE,OR(RIGHT(CONTROL[[#This Row],[VEHIDCODE]],7)="Powered",RIGHT(CONTROL[[#This Row],[VEHIDCODE]],9)="Unpowered"))</f>
        <v>0</v>
      </c>
      <c r="I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" t="b">
        <f>ISNUMBER(_xlfn.XMATCH(CONTROL[[#This Row],[VEHIDCODE]],TRACK_TYPES[VEHIDCODE],0))</f>
        <v>1</v>
      </c>
      <c r="K24" t="b">
        <f>ISNUMBER(_xlfn.XMATCH(CONTROL[[#This Row],[VEHIDCODE]],PROPERTIES[VEHIDCODE],0))</f>
        <v>1</v>
      </c>
      <c r="L24" t="b">
        <f>ISNUMBER(_xlfn.XLOOKUP(CONTROL[[#This Row],[VEHIDCODE]],roster!A:A,roster!D:D))</f>
        <v>1</v>
      </c>
      <c r="M24" t="b">
        <f>ISNUMBER(_xlfn.XMATCH(CONTROL[[#This Row],[VEHIDCODE]],GRAPHICS_PROPERTIES[VEHIDCODE],0))</f>
        <v>1</v>
      </c>
      <c r="N24" s="21" t="str">
        <f>"item_"&amp;CONTROL[[#This Row],[VEHIDCODE]]</f>
        <v>item_rbd_Hunslet_Barclay_Super_Sprinter</v>
      </c>
      <c r="O24" s="21" t="str">
        <f>"str_"&amp;CONTROL[[#This Row],[VEHIDCODE]]</f>
        <v>str_rbd_Hunslet_Barclay_Super_Sprinter</v>
      </c>
      <c r="P24" s="7" t="b">
        <f>_xlfn.XLOOKUP(CONTROL[[#This Row],[VEHIDCODE]],PROPERTIES[VEHIDCODE],PROPERTIES[IS_CONCEPT])="IS_CONCEPT"</f>
        <v>0</v>
      </c>
      <c r="Q24" s="7" t="b">
        <f>_xlfn.XLOOKUP(CONTROL[[#This Row],[VEHIDCODE]],PROPERTIES[VEHIDCODE],PROPERTIES[EXCLUDE])</f>
        <v>0</v>
      </c>
      <c r="R24" t="str" cm="1">
        <f t="array" ref="R24">_xlfn.XLOOKUP(CONTROL[[#This Row],[VEHIDCODE]],GRAPHICS_PROPERTIES[VEHIDCODE],GRAPHICS_PROPERTIES[TEMPLATE_ID]&amp;GRAPHICS_PROPERTIES[TEMPLATE_AMENDMENT_CODE])</f>
        <v>TPL_01B</v>
      </c>
    </row>
    <row r="25" spans="1:18" x14ac:dyDescent="0.35">
      <c r="A25" s="2" t="s">
        <v>2670</v>
      </c>
      <c r="B25" s="21" t="str">
        <f>_xlfn.TEXTAFTER(CONTROL[[#This Row],[VEHIDCODE]],"_")</f>
        <v>Vagonka_Studenka_809</v>
      </c>
      <c r="C25" t="str" cm="1">
        <f t="array" ref="C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5" t="str" cm="1">
        <f t="array" ref="D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5">
        <v>2015</v>
      </c>
      <c r="F25" s="32" t="s">
        <v>2065</v>
      </c>
      <c r="G25" t="s">
        <v>1062</v>
      </c>
      <c r="H25" s="2" t="b">
        <f>AND(CONTROL[[#This Row],[IS_WAGON_OR_COACH]]=TRUE,OR(RIGHT(CONTROL[[#This Row],[VEHIDCODE]],7)="Powered",RIGHT(CONTROL[[#This Row],[VEHIDCODE]],9)="Unpowered"))</f>
        <v>0</v>
      </c>
      <c r="I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" t="b">
        <f>ISNUMBER(_xlfn.XMATCH(CONTROL[[#This Row],[VEHIDCODE]],TRACK_TYPES[VEHIDCODE],0))</f>
        <v>1</v>
      </c>
      <c r="K25" t="b">
        <f>ISNUMBER(_xlfn.XMATCH(CONTROL[[#This Row],[VEHIDCODE]],PROPERTIES[VEHIDCODE],0))</f>
        <v>1</v>
      </c>
      <c r="L25" t="b">
        <f>ISNUMBER(_xlfn.XLOOKUP(CONTROL[[#This Row],[VEHIDCODE]],roster!A:A,roster!D:D))</f>
        <v>1</v>
      </c>
      <c r="M25" t="b">
        <f>ISNUMBER(_xlfn.XMATCH(CONTROL[[#This Row],[VEHIDCODE]],GRAPHICS_PROPERTIES[VEHIDCODE],0))</f>
        <v>1</v>
      </c>
      <c r="N25" s="21" t="str">
        <f>"item_"&amp;CONTROL[[#This Row],[VEHIDCODE]]</f>
        <v>item_rbd_Vagonka_Studenka_809</v>
      </c>
      <c r="O25" s="21" t="str">
        <f>"str_"&amp;CONTROL[[#This Row],[VEHIDCODE]]</f>
        <v>str_rbd_Vagonka_Studenka_809</v>
      </c>
      <c r="P25" s="7" t="b">
        <f>_xlfn.XLOOKUP(CONTROL[[#This Row],[VEHIDCODE]],PROPERTIES[VEHIDCODE],PROPERTIES[IS_CONCEPT])="IS_CONCEPT"</f>
        <v>0</v>
      </c>
      <c r="Q25" s="7" t="b">
        <f>_xlfn.XLOOKUP(CONTROL[[#This Row],[VEHIDCODE]],PROPERTIES[VEHIDCODE],PROPERTIES[EXCLUDE])</f>
        <v>0</v>
      </c>
      <c r="R25" t="str" cm="1">
        <f t="array" ref="R25">_xlfn.XLOOKUP(CONTROL[[#This Row],[VEHIDCODE]],GRAPHICS_PROPERTIES[VEHIDCODE],GRAPHICS_PROPERTIES[TEMPLATE_ID]&amp;GRAPHICS_PROPERTIES[TEMPLATE_AMENDMENT_CODE])</f>
        <v>TPL_01B</v>
      </c>
    </row>
    <row r="26" spans="1:18" x14ac:dyDescent="0.35">
      <c r="A26" s="2" t="s">
        <v>2671</v>
      </c>
      <c r="B26" s="21" t="str">
        <f>_xlfn.TEXTAFTER(CONTROL[[#This Row],[VEHIDCODE]],"_")</f>
        <v>DWA_670</v>
      </c>
      <c r="C26" t="str" cm="1">
        <f t="array" ref="C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6" t="str" cm="1">
        <f t="array" ref="D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6">
        <v>2017</v>
      </c>
      <c r="F26" s="32" t="s">
        <v>2066</v>
      </c>
      <c r="G26" t="s">
        <v>1063</v>
      </c>
      <c r="H26" s="2" t="b">
        <f>AND(CONTROL[[#This Row],[IS_WAGON_OR_COACH]]=TRUE,OR(RIGHT(CONTROL[[#This Row],[VEHIDCODE]],7)="Powered",RIGHT(CONTROL[[#This Row],[VEHIDCODE]],9)="Unpowered"))</f>
        <v>0</v>
      </c>
      <c r="I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" t="b">
        <f>ISNUMBER(_xlfn.XMATCH(CONTROL[[#This Row],[VEHIDCODE]],TRACK_TYPES[VEHIDCODE],0))</f>
        <v>1</v>
      </c>
      <c r="K26" t="b">
        <f>ISNUMBER(_xlfn.XMATCH(CONTROL[[#This Row],[VEHIDCODE]],PROPERTIES[VEHIDCODE],0))</f>
        <v>1</v>
      </c>
      <c r="L26" t="b">
        <f>ISNUMBER(_xlfn.XLOOKUP(CONTROL[[#This Row],[VEHIDCODE]],roster!A:A,roster!D:D))</f>
        <v>1</v>
      </c>
      <c r="M26" t="b">
        <f>ISNUMBER(_xlfn.XMATCH(CONTROL[[#This Row],[VEHIDCODE]],GRAPHICS_PROPERTIES[VEHIDCODE],0))</f>
        <v>1</v>
      </c>
      <c r="N26" s="21" t="str">
        <f>"item_"&amp;CONTROL[[#This Row],[VEHIDCODE]]</f>
        <v>item_rbd_DWA_670</v>
      </c>
      <c r="O26" s="21" t="str">
        <f>"str_"&amp;CONTROL[[#This Row],[VEHIDCODE]]</f>
        <v>str_rbd_DWA_670</v>
      </c>
      <c r="P26" s="7" t="b">
        <f>_xlfn.XLOOKUP(CONTROL[[#This Row],[VEHIDCODE]],PROPERTIES[VEHIDCODE],PROPERTIES[IS_CONCEPT])="IS_CONCEPT"</f>
        <v>0</v>
      </c>
      <c r="Q26" s="7" t="b">
        <f>_xlfn.XLOOKUP(CONTROL[[#This Row],[VEHIDCODE]],PROPERTIES[VEHIDCODE],PROPERTIES[EXCLUDE])</f>
        <v>0</v>
      </c>
      <c r="R26" t="str" cm="1">
        <f t="array" ref="R26">_xlfn.XLOOKUP(CONTROL[[#This Row],[VEHIDCODE]],GRAPHICS_PROPERTIES[VEHIDCODE],GRAPHICS_PROPERTIES[TEMPLATE_ID]&amp;GRAPHICS_PROPERTIES[TEMPLATE_AMENDMENT_CODE])</f>
        <v>TPL_01B</v>
      </c>
    </row>
    <row r="27" spans="1:18" x14ac:dyDescent="0.35">
      <c r="A27" s="2" t="s">
        <v>2672</v>
      </c>
      <c r="B27" s="21" t="str">
        <f>_xlfn.TEXTAFTER(CONTROL[[#This Row],[VEHIDCODE]],"_")</f>
        <v>RVR_AR2</v>
      </c>
      <c r="C27" t="str" cm="1">
        <f t="array" ref="C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7" t="str" cm="1">
        <f t="array" ref="D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7">
        <v>2018</v>
      </c>
      <c r="F27" s="32" t="s">
        <v>2020</v>
      </c>
      <c r="G27" t="s">
        <v>2067</v>
      </c>
      <c r="H27" s="2" t="b">
        <f>AND(CONTROL[[#This Row],[IS_WAGON_OR_COACH]]=TRUE,OR(RIGHT(CONTROL[[#This Row],[VEHIDCODE]],7)="Powered",RIGHT(CONTROL[[#This Row],[VEHIDCODE]],9)="Unpowered"))</f>
        <v>0</v>
      </c>
      <c r="I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" t="b">
        <f>ISNUMBER(_xlfn.XMATCH(CONTROL[[#This Row],[VEHIDCODE]],TRACK_TYPES[VEHIDCODE],0))</f>
        <v>1</v>
      </c>
      <c r="K27" t="b">
        <f>ISNUMBER(_xlfn.XMATCH(CONTROL[[#This Row],[VEHIDCODE]],PROPERTIES[VEHIDCODE],0))</f>
        <v>1</v>
      </c>
      <c r="L27" t="b">
        <f>ISNUMBER(_xlfn.XLOOKUP(CONTROL[[#This Row],[VEHIDCODE]],roster!A:A,roster!D:D))</f>
        <v>1</v>
      </c>
      <c r="M27" t="b">
        <f>ISNUMBER(_xlfn.XMATCH(CONTROL[[#This Row],[VEHIDCODE]],GRAPHICS_PROPERTIES[VEHIDCODE],0))</f>
        <v>1</v>
      </c>
      <c r="N27" s="21" t="str">
        <f>"item_"&amp;CONTROL[[#This Row],[VEHIDCODE]]</f>
        <v>item_rbd_RVR_AR2</v>
      </c>
      <c r="O27" s="21" t="str">
        <f>"str_"&amp;CONTROL[[#This Row],[VEHIDCODE]]</f>
        <v>str_rbd_RVR_AR2</v>
      </c>
      <c r="P27" s="7" t="b">
        <f>_xlfn.XLOOKUP(CONTROL[[#This Row],[VEHIDCODE]],PROPERTIES[VEHIDCODE],PROPERTIES[IS_CONCEPT])="IS_CONCEPT"</f>
        <v>0</v>
      </c>
      <c r="Q27" s="7" t="b">
        <f>_xlfn.XLOOKUP(CONTROL[[#This Row],[VEHIDCODE]],PROPERTIES[VEHIDCODE],PROPERTIES[EXCLUDE])</f>
        <v>0</v>
      </c>
      <c r="R27" t="str" cm="1">
        <f t="array" ref="R27">_xlfn.XLOOKUP(CONTROL[[#This Row],[VEHIDCODE]],GRAPHICS_PROPERTIES[VEHIDCODE],GRAPHICS_PROPERTIES[TEMPLATE_ID]&amp;GRAPHICS_PROPERTIES[TEMPLATE_AMENDMENT_CODE])</f>
        <v>TPL_01B</v>
      </c>
    </row>
    <row r="28" spans="1:18" x14ac:dyDescent="0.35">
      <c r="A28" s="2" t="s">
        <v>2673</v>
      </c>
      <c r="B28" s="21" t="str">
        <f>_xlfn.TEXTAFTER(CONTROL[[#This Row],[VEHIDCODE]],"_")</f>
        <v>Austro_Daimler_Z1</v>
      </c>
      <c r="C28" t="str" cm="1">
        <f t="array" ref="C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8" t="str" cm="1">
        <f t="array" ref="D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8">
        <v>2019</v>
      </c>
      <c r="F28" s="32" t="s">
        <v>2068</v>
      </c>
      <c r="G28" t="s">
        <v>1064</v>
      </c>
      <c r="H28" s="2" t="b">
        <f>AND(CONTROL[[#This Row],[IS_WAGON_OR_COACH]]=TRUE,OR(RIGHT(CONTROL[[#This Row],[VEHIDCODE]],7)="Powered",RIGHT(CONTROL[[#This Row],[VEHIDCODE]],9)="Unpowered"))</f>
        <v>0</v>
      </c>
      <c r="I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" t="b">
        <f>ISNUMBER(_xlfn.XMATCH(CONTROL[[#This Row],[VEHIDCODE]],TRACK_TYPES[VEHIDCODE],0))</f>
        <v>1</v>
      </c>
      <c r="K28" t="b">
        <f>ISNUMBER(_xlfn.XMATCH(CONTROL[[#This Row],[VEHIDCODE]],PROPERTIES[VEHIDCODE],0))</f>
        <v>1</v>
      </c>
      <c r="L28" t="b">
        <f>ISNUMBER(_xlfn.XLOOKUP(CONTROL[[#This Row],[VEHIDCODE]],roster!A:A,roster!D:D))</f>
        <v>1</v>
      </c>
      <c r="M28" t="b">
        <f>ISNUMBER(_xlfn.XMATCH(CONTROL[[#This Row],[VEHIDCODE]],GRAPHICS_PROPERTIES[VEHIDCODE],0))</f>
        <v>1</v>
      </c>
      <c r="N28" s="21" t="str">
        <f>"item_"&amp;CONTROL[[#This Row],[VEHIDCODE]]</f>
        <v>item_rbd_Austro_Daimler_Z1</v>
      </c>
      <c r="O28" s="21" t="str">
        <f>"str_"&amp;CONTROL[[#This Row],[VEHIDCODE]]</f>
        <v>str_rbd_Austro_Daimler_Z1</v>
      </c>
      <c r="P28" s="7" t="b">
        <f>_xlfn.XLOOKUP(CONTROL[[#This Row],[VEHIDCODE]],PROPERTIES[VEHIDCODE],PROPERTIES[IS_CONCEPT])="IS_CONCEPT"</f>
        <v>0</v>
      </c>
      <c r="Q28" s="7" t="b">
        <f>_xlfn.XLOOKUP(CONTROL[[#This Row],[VEHIDCODE]],PROPERTIES[VEHIDCODE],PROPERTIES[EXCLUDE])</f>
        <v>0</v>
      </c>
      <c r="R28" t="str" cm="1">
        <f t="array" ref="R28">_xlfn.XLOOKUP(CONTROL[[#This Row],[VEHIDCODE]],GRAPHICS_PROPERTIES[VEHIDCODE],GRAPHICS_PROPERTIES[TEMPLATE_ID]&amp;GRAPHICS_PROPERTIES[TEMPLATE_AMENDMENT_CODE])</f>
        <v>TPL_01B</v>
      </c>
    </row>
    <row r="29" spans="1:18" x14ac:dyDescent="0.35">
      <c r="A29" s="2" t="s">
        <v>2674</v>
      </c>
      <c r="B29" s="21" t="str">
        <f>_xlfn.TEXTAFTER(CONTROL[[#This Row],[VEHIDCODE]],"_")</f>
        <v>McKeen_Motor_Car_70</v>
      </c>
      <c r="C29" t="str" cm="1">
        <f t="array" ref="C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9" t="str" cm="1">
        <f t="array" ref="D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9">
        <v>2020</v>
      </c>
      <c r="F29" s="32" t="s">
        <v>2069</v>
      </c>
      <c r="G29" t="s">
        <v>1065</v>
      </c>
      <c r="H29" s="2" t="b">
        <f>AND(CONTROL[[#This Row],[IS_WAGON_OR_COACH]]=TRUE,OR(RIGHT(CONTROL[[#This Row],[VEHIDCODE]],7)="Powered",RIGHT(CONTROL[[#This Row],[VEHIDCODE]],9)="Unpowered"))</f>
        <v>0</v>
      </c>
      <c r="I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" t="b">
        <f>ISNUMBER(_xlfn.XMATCH(CONTROL[[#This Row],[VEHIDCODE]],TRACK_TYPES[VEHIDCODE],0))</f>
        <v>1</v>
      </c>
      <c r="K29" t="b">
        <f>ISNUMBER(_xlfn.XMATCH(CONTROL[[#This Row],[VEHIDCODE]],PROPERTIES[VEHIDCODE],0))</f>
        <v>1</v>
      </c>
      <c r="L29" t="b">
        <f>ISNUMBER(_xlfn.XLOOKUP(CONTROL[[#This Row],[VEHIDCODE]],roster!A:A,roster!D:D))</f>
        <v>1</v>
      </c>
      <c r="M29" t="b">
        <f>ISNUMBER(_xlfn.XMATCH(CONTROL[[#This Row],[VEHIDCODE]],GRAPHICS_PROPERTIES[VEHIDCODE],0))</f>
        <v>1</v>
      </c>
      <c r="N29" s="21" t="str">
        <f>"item_"&amp;CONTROL[[#This Row],[VEHIDCODE]]</f>
        <v>item_rbd_McKeen_Motor_Car_70</v>
      </c>
      <c r="O29" s="21" t="str">
        <f>"str_"&amp;CONTROL[[#This Row],[VEHIDCODE]]</f>
        <v>str_rbd_McKeen_Motor_Car_70</v>
      </c>
      <c r="P29" s="7" t="b">
        <f>_xlfn.XLOOKUP(CONTROL[[#This Row],[VEHIDCODE]],PROPERTIES[VEHIDCODE],PROPERTIES[IS_CONCEPT])="IS_CONCEPT"</f>
        <v>0</v>
      </c>
      <c r="Q29" s="7" t="b">
        <f>_xlfn.XLOOKUP(CONTROL[[#This Row],[VEHIDCODE]],PROPERTIES[VEHIDCODE],PROPERTIES[EXCLUDE])</f>
        <v>0</v>
      </c>
      <c r="R29" t="str" cm="1">
        <f t="array" ref="R29">_xlfn.XLOOKUP(CONTROL[[#This Row],[VEHIDCODE]],GRAPHICS_PROPERTIES[VEHIDCODE],GRAPHICS_PROPERTIES[TEMPLATE_ID]&amp;GRAPHICS_PROPERTIES[TEMPLATE_AMENDMENT_CODE])</f>
        <v>TPL_01B</v>
      </c>
    </row>
    <row r="30" spans="1:18" x14ac:dyDescent="0.35">
      <c r="A30" s="2" t="s">
        <v>2675</v>
      </c>
      <c r="B30" s="21" t="str">
        <f>_xlfn.TEXTAFTER(CONTROL[[#This Row],[VEHIDCODE]],"_")</f>
        <v>BBC_DET_1_2_Sachsischer</v>
      </c>
      <c r="C30" t="str" cm="1">
        <f t="array" ref="C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0" t="str" cm="1">
        <f t="array" ref="D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0">
        <v>2021</v>
      </c>
      <c r="F30" s="32" t="s">
        <v>2070</v>
      </c>
      <c r="G30" t="s">
        <v>1066</v>
      </c>
      <c r="H30" s="2" t="b">
        <f>AND(CONTROL[[#This Row],[IS_WAGON_OR_COACH]]=TRUE,OR(RIGHT(CONTROL[[#This Row],[VEHIDCODE]],7)="Powered",RIGHT(CONTROL[[#This Row],[VEHIDCODE]],9)="Unpowered"))</f>
        <v>0</v>
      </c>
      <c r="I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" t="b">
        <f>ISNUMBER(_xlfn.XMATCH(CONTROL[[#This Row],[VEHIDCODE]],TRACK_TYPES[VEHIDCODE],0))</f>
        <v>1</v>
      </c>
      <c r="K30" t="b">
        <f>ISNUMBER(_xlfn.XMATCH(CONTROL[[#This Row],[VEHIDCODE]],PROPERTIES[VEHIDCODE],0))</f>
        <v>1</v>
      </c>
      <c r="L30" t="b">
        <f>ISNUMBER(_xlfn.XLOOKUP(CONTROL[[#This Row],[VEHIDCODE]],roster!A:A,roster!D:D))</f>
        <v>1</v>
      </c>
      <c r="M30" t="b">
        <f>ISNUMBER(_xlfn.XMATCH(CONTROL[[#This Row],[VEHIDCODE]],GRAPHICS_PROPERTIES[VEHIDCODE],0))</f>
        <v>1</v>
      </c>
      <c r="N30" s="21" t="str">
        <f>"item_"&amp;CONTROL[[#This Row],[VEHIDCODE]]</f>
        <v>item_rbd_BBC_DET_1_2_Sachsischer</v>
      </c>
      <c r="O30" s="21" t="str">
        <f>"str_"&amp;CONTROL[[#This Row],[VEHIDCODE]]</f>
        <v>str_rbd_BBC_DET_1_2_Sachsischer</v>
      </c>
      <c r="P30" s="7" t="b">
        <f>_xlfn.XLOOKUP(CONTROL[[#This Row],[VEHIDCODE]],PROPERTIES[VEHIDCODE],PROPERTIES[IS_CONCEPT])="IS_CONCEPT"</f>
        <v>0</v>
      </c>
      <c r="Q30" s="7" t="b">
        <f>_xlfn.XLOOKUP(CONTROL[[#This Row],[VEHIDCODE]],PROPERTIES[VEHIDCODE],PROPERTIES[EXCLUDE])</f>
        <v>0</v>
      </c>
      <c r="R30" t="str" cm="1">
        <f t="array" ref="R30">_xlfn.XLOOKUP(CONTROL[[#This Row],[VEHIDCODE]],GRAPHICS_PROPERTIES[VEHIDCODE],GRAPHICS_PROPERTIES[TEMPLATE_ID]&amp;GRAPHICS_PROPERTIES[TEMPLATE_AMENDMENT_CODE])</f>
        <v>TPL_16A</v>
      </c>
    </row>
    <row r="31" spans="1:18" x14ac:dyDescent="0.35">
      <c r="A31" s="2" t="s">
        <v>2676</v>
      </c>
      <c r="B31" s="21" t="str">
        <f>_xlfn.TEXTAFTER(CONTROL[[#This Row],[VEHIDCODE]],"_")</f>
        <v>WC_PR_Drewry_Railcar</v>
      </c>
      <c r="C31" t="str" cm="1">
        <f t="array" ref="C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1" t="str" cm="1">
        <f t="array" ref="D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1">
        <v>2022</v>
      </c>
      <c r="F31" s="32" t="s">
        <v>357</v>
      </c>
      <c r="G31" t="s">
        <v>1067</v>
      </c>
      <c r="H31" s="2" t="b">
        <f>AND(CONTROL[[#This Row],[IS_WAGON_OR_COACH]]=TRUE,OR(RIGHT(CONTROL[[#This Row],[VEHIDCODE]],7)="Powered",RIGHT(CONTROL[[#This Row],[VEHIDCODE]],9)="Unpowered"))</f>
        <v>0</v>
      </c>
      <c r="I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" t="b">
        <f>ISNUMBER(_xlfn.XMATCH(CONTROL[[#This Row],[VEHIDCODE]],TRACK_TYPES[VEHIDCODE],0))</f>
        <v>1</v>
      </c>
      <c r="K31" t="b">
        <f>ISNUMBER(_xlfn.XMATCH(CONTROL[[#This Row],[VEHIDCODE]],PROPERTIES[VEHIDCODE],0))</f>
        <v>1</v>
      </c>
      <c r="L31" t="b">
        <f>ISNUMBER(_xlfn.XLOOKUP(CONTROL[[#This Row],[VEHIDCODE]],roster!A:A,roster!D:D))</f>
        <v>1</v>
      </c>
      <c r="M31" t="b">
        <f>ISNUMBER(_xlfn.XMATCH(CONTROL[[#This Row],[VEHIDCODE]],GRAPHICS_PROPERTIES[VEHIDCODE],0))</f>
        <v>1</v>
      </c>
      <c r="N31" s="21" t="str">
        <f>"item_"&amp;CONTROL[[#This Row],[VEHIDCODE]]</f>
        <v>item_rbd_WC_PR_Drewry_Railcar</v>
      </c>
      <c r="O31" s="21" t="str">
        <f>"str_"&amp;CONTROL[[#This Row],[VEHIDCODE]]</f>
        <v>str_rbd_WC_PR_Drewry_Railcar</v>
      </c>
      <c r="P31" s="7" t="b">
        <f>_xlfn.XLOOKUP(CONTROL[[#This Row],[VEHIDCODE]],PROPERTIES[VEHIDCODE],PROPERTIES[IS_CONCEPT])="IS_CONCEPT"</f>
        <v>0</v>
      </c>
      <c r="Q31" s="7" t="b">
        <f>_xlfn.XLOOKUP(CONTROL[[#This Row],[VEHIDCODE]],PROPERTIES[VEHIDCODE],PROPERTIES[EXCLUDE])</f>
        <v>0</v>
      </c>
      <c r="R31" t="str" cm="1">
        <f t="array" ref="R31">_xlfn.XLOOKUP(CONTROL[[#This Row],[VEHIDCODE]],GRAPHICS_PROPERTIES[VEHIDCODE],GRAPHICS_PROPERTIES[TEMPLATE_ID]&amp;GRAPHICS_PROPERTIES[TEMPLATE_AMENDMENT_CODE])</f>
        <v>TPL_01B</v>
      </c>
    </row>
    <row r="32" spans="1:18" x14ac:dyDescent="0.35">
      <c r="A32" s="2" t="s">
        <v>2677</v>
      </c>
      <c r="B32" s="21" t="str">
        <f>_xlfn.TEXTAFTER(CONTROL[[#This Row],[VEHIDCODE]],"_")</f>
        <v>LHW_BSt_6001</v>
      </c>
      <c r="C32" t="str" cm="1">
        <f t="array" ref="C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2" t="str" cm="1">
        <f t="array" ref="D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2">
        <v>2023</v>
      </c>
      <c r="F32" s="32" t="s">
        <v>2071</v>
      </c>
      <c r="G32" t="s">
        <v>1068</v>
      </c>
      <c r="H32" s="2" t="b">
        <f>AND(CONTROL[[#This Row],[IS_WAGON_OR_COACH]]=TRUE,OR(RIGHT(CONTROL[[#This Row],[VEHIDCODE]],7)="Powered",RIGHT(CONTROL[[#This Row],[VEHIDCODE]],9)="Unpowered"))</f>
        <v>0</v>
      </c>
      <c r="I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" t="b">
        <f>ISNUMBER(_xlfn.XMATCH(CONTROL[[#This Row],[VEHIDCODE]],TRACK_TYPES[VEHIDCODE],0))</f>
        <v>1</v>
      </c>
      <c r="K32" t="b">
        <f>ISNUMBER(_xlfn.XMATCH(CONTROL[[#This Row],[VEHIDCODE]],PROPERTIES[VEHIDCODE],0))</f>
        <v>1</v>
      </c>
      <c r="L32" t="b">
        <f>ISNUMBER(_xlfn.XLOOKUP(CONTROL[[#This Row],[VEHIDCODE]],roster!A:A,roster!D:D))</f>
        <v>1</v>
      </c>
      <c r="M32" t="b">
        <f>ISNUMBER(_xlfn.XMATCH(CONTROL[[#This Row],[VEHIDCODE]],GRAPHICS_PROPERTIES[VEHIDCODE],0))</f>
        <v>1</v>
      </c>
      <c r="N32" s="21" t="str">
        <f>"item_"&amp;CONTROL[[#This Row],[VEHIDCODE]]</f>
        <v>item_rbd_LHW_BSt_6001</v>
      </c>
      <c r="O32" s="21" t="str">
        <f>"str_"&amp;CONTROL[[#This Row],[VEHIDCODE]]</f>
        <v>str_rbd_LHW_BSt_6001</v>
      </c>
      <c r="P32" s="7" t="b">
        <f>_xlfn.XLOOKUP(CONTROL[[#This Row],[VEHIDCODE]],PROPERTIES[VEHIDCODE],PROPERTIES[IS_CONCEPT])="IS_CONCEPT"</f>
        <v>0</v>
      </c>
      <c r="Q32" s="7" t="b">
        <f>_xlfn.XLOOKUP(CONTROL[[#This Row],[VEHIDCODE]],PROPERTIES[VEHIDCODE],PROPERTIES[EXCLUDE])</f>
        <v>0</v>
      </c>
      <c r="R32" t="str" cm="1">
        <f t="array" ref="R32">_xlfn.XLOOKUP(CONTROL[[#This Row],[VEHIDCODE]],GRAPHICS_PROPERTIES[VEHIDCODE],GRAPHICS_PROPERTIES[TEMPLATE_ID]&amp;GRAPHICS_PROPERTIES[TEMPLATE_AMENDMENT_CODE])</f>
        <v>TPL_01B</v>
      </c>
    </row>
    <row r="33" spans="1:18" x14ac:dyDescent="0.35">
      <c r="A33" s="2" t="s">
        <v>2678</v>
      </c>
      <c r="B33" s="21" t="str">
        <f>_xlfn.TEXTAFTER(CONTROL[[#This Row],[VEHIDCODE]],"_")</f>
        <v>EMC_DERM</v>
      </c>
      <c r="C33" t="str" cm="1">
        <f t="array" ref="C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3" t="str" cm="1">
        <f t="array" ref="D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3">
        <v>2024</v>
      </c>
      <c r="F33" s="32" t="s">
        <v>2072</v>
      </c>
      <c r="G33" t="s">
        <v>1069</v>
      </c>
      <c r="H33" s="2" t="b">
        <f>AND(CONTROL[[#This Row],[IS_WAGON_OR_COACH]]=TRUE,OR(RIGHT(CONTROL[[#This Row],[VEHIDCODE]],7)="Powered",RIGHT(CONTROL[[#This Row],[VEHIDCODE]],9)="Unpowered"))</f>
        <v>0</v>
      </c>
      <c r="I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" t="b">
        <f>ISNUMBER(_xlfn.XMATCH(CONTROL[[#This Row],[VEHIDCODE]],TRACK_TYPES[VEHIDCODE],0))</f>
        <v>1</v>
      </c>
      <c r="K33" t="b">
        <f>ISNUMBER(_xlfn.XMATCH(CONTROL[[#This Row],[VEHIDCODE]],PROPERTIES[VEHIDCODE],0))</f>
        <v>1</v>
      </c>
      <c r="L33" t="b">
        <f>ISNUMBER(_xlfn.XLOOKUP(CONTROL[[#This Row],[VEHIDCODE]],roster!A:A,roster!D:D))</f>
        <v>1</v>
      </c>
      <c r="M33" t="b">
        <f>ISNUMBER(_xlfn.XMATCH(CONTROL[[#This Row],[VEHIDCODE]],GRAPHICS_PROPERTIES[VEHIDCODE],0))</f>
        <v>1</v>
      </c>
      <c r="N33" s="21" t="str">
        <f>"item_"&amp;CONTROL[[#This Row],[VEHIDCODE]]</f>
        <v>item_rbd_EMC_DERM</v>
      </c>
      <c r="O33" s="21" t="str">
        <f>"str_"&amp;CONTROL[[#This Row],[VEHIDCODE]]</f>
        <v>str_rbd_EMC_DERM</v>
      </c>
      <c r="P33" s="7" t="b">
        <f>_xlfn.XLOOKUP(CONTROL[[#This Row],[VEHIDCODE]],PROPERTIES[VEHIDCODE],PROPERTIES[IS_CONCEPT])="IS_CONCEPT"</f>
        <v>0</v>
      </c>
      <c r="Q33" s="7" t="b">
        <f>_xlfn.XLOOKUP(CONTROL[[#This Row],[VEHIDCODE]],PROPERTIES[VEHIDCODE],PROPERTIES[EXCLUDE])</f>
        <v>0</v>
      </c>
      <c r="R33" t="str" cm="1">
        <f t="array" ref="R33">_xlfn.XLOOKUP(CONTROL[[#This Row],[VEHIDCODE]],GRAPHICS_PROPERTIES[VEHIDCODE],GRAPHICS_PROPERTIES[TEMPLATE_ID]&amp;GRAPHICS_PROPERTIES[TEMPLATE_AMENDMENT_CODE])</f>
        <v>TPL_01B</v>
      </c>
    </row>
    <row r="34" spans="1:18" x14ac:dyDescent="0.35">
      <c r="A34" s="2" t="s">
        <v>2679</v>
      </c>
      <c r="B34" s="21" t="str">
        <f>_xlfn.TEXTAFTER(CONTROL[[#This Row],[VEHIDCODE]],"_")</f>
        <v>Tatra_M120_4</v>
      </c>
      <c r="C34" t="str" cm="1">
        <f t="array" ref="C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4" t="str" cm="1">
        <f t="array" ref="D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4">
        <v>2025</v>
      </c>
      <c r="F34" s="32" t="s">
        <v>2076</v>
      </c>
      <c r="G34" t="s">
        <v>1070</v>
      </c>
      <c r="H34" s="2" t="b">
        <f>AND(CONTROL[[#This Row],[IS_WAGON_OR_COACH]]=TRUE,OR(RIGHT(CONTROL[[#This Row],[VEHIDCODE]],7)="Powered",RIGHT(CONTROL[[#This Row],[VEHIDCODE]],9)="Unpowered"))</f>
        <v>0</v>
      </c>
      <c r="I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" t="b">
        <f>ISNUMBER(_xlfn.XMATCH(CONTROL[[#This Row],[VEHIDCODE]],TRACK_TYPES[VEHIDCODE],0))</f>
        <v>1</v>
      </c>
      <c r="K34" t="b">
        <f>ISNUMBER(_xlfn.XMATCH(CONTROL[[#This Row],[VEHIDCODE]],PROPERTIES[VEHIDCODE],0))</f>
        <v>1</v>
      </c>
      <c r="L34" t="b">
        <f>ISNUMBER(_xlfn.XLOOKUP(CONTROL[[#This Row],[VEHIDCODE]],roster!A:A,roster!D:D))</f>
        <v>1</v>
      </c>
      <c r="M34" t="b">
        <f>ISNUMBER(_xlfn.XMATCH(CONTROL[[#This Row],[VEHIDCODE]],GRAPHICS_PROPERTIES[VEHIDCODE],0))</f>
        <v>1</v>
      </c>
      <c r="N34" s="21" t="str">
        <f>"item_"&amp;CONTROL[[#This Row],[VEHIDCODE]]</f>
        <v>item_rbd_Tatra_M120_4</v>
      </c>
      <c r="O34" s="21" t="str">
        <f>"str_"&amp;CONTROL[[#This Row],[VEHIDCODE]]</f>
        <v>str_rbd_Tatra_M120_4</v>
      </c>
      <c r="P34" s="7" t="b">
        <f>_xlfn.XLOOKUP(CONTROL[[#This Row],[VEHIDCODE]],PROPERTIES[VEHIDCODE],PROPERTIES[IS_CONCEPT])="IS_CONCEPT"</f>
        <v>0</v>
      </c>
      <c r="Q34" s="7" t="b">
        <f>_xlfn.XLOOKUP(CONTROL[[#This Row],[VEHIDCODE]],PROPERTIES[VEHIDCODE],PROPERTIES[EXCLUDE])</f>
        <v>0</v>
      </c>
      <c r="R34" t="str" cm="1">
        <f t="array" ref="R34">_xlfn.XLOOKUP(CONTROL[[#This Row],[VEHIDCODE]],GRAPHICS_PROPERTIES[VEHIDCODE],GRAPHICS_PROPERTIES[TEMPLATE_ID]&amp;GRAPHICS_PROPERTIES[TEMPLATE_AMENDMENT_CODE])</f>
        <v>TPL_01B</v>
      </c>
    </row>
    <row r="35" spans="1:18" x14ac:dyDescent="0.35">
      <c r="A35" s="2" t="s">
        <v>2680</v>
      </c>
      <c r="B35" s="21" t="str">
        <f>_xlfn.TEXTAFTER(CONTROL[[#This Row],[VEHIDCODE]],"_")</f>
        <v>Franz_Kruckenberg_Schienenzeppelin</v>
      </c>
      <c r="C35" t="str" cm="1">
        <f t="array" ref="C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5" t="str" cm="1">
        <f t="array" ref="D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5">
        <v>2026</v>
      </c>
      <c r="F35" s="32" t="s">
        <v>2073</v>
      </c>
      <c r="G35" t="s">
        <v>1071</v>
      </c>
      <c r="H35" s="2" t="b">
        <f>AND(CONTROL[[#This Row],[IS_WAGON_OR_COACH]]=TRUE,OR(RIGHT(CONTROL[[#This Row],[VEHIDCODE]],7)="Powered",RIGHT(CONTROL[[#This Row],[VEHIDCODE]],9)="Unpowered"))</f>
        <v>0</v>
      </c>
      <c r="I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" t="b">
        <f>ISNUMBER(_xlfn.XMATCH(CONTROL[[#This Row],[VEHIDCODE]],TRACK_TYPES[VEHIDCODE],0))</f>
        <v>1</v>
      </c>
      <c r="K35" t="b">
        <f>ISNUMBER(_xlfn.XMATCH(CONTROL[[#This Row],[VEHIDCODE]],PROPERTIES[VEHIDCODE],0))</f>
        <v>1</v>
      </c>
      <c r="L35" t="b">
        <f>ISNUMBER(_xlfn.XLOOKUP(CONTROL[[#This Row],[VEHIDCODE]],roster!A:A,roster!D:D))</f>
        <v>1</v>
      </c>
      <c r="M35" t="b">
        <f>ISNUMBER(_xlfn.XMATCH(CONTROL[[#This Row],[VEHIDCODE]],GRAPHICS_PROPERTIES[VEHIDCODE],0))</f>
        <v>1</v>
      </c>
      <c r="N35" s="21" t="str">
        <f>"item_"&amp;CONTROL[[#This Row],[VEHIDCODE]]</f>
        <v>item_rbd_Franz_Kruckenberg_Schienenzeppelin</v>
      </c>
      <c r="O35" s="21" t="str">
        <f>"str_"&amp;CONTROL[[#This Row],[VEHIDCODE]]</f>
        <v>str_rbd_Franz_Kruckenberg_Schienenzeppelin</v>
      </c>
      <c r="P35" s="7" t="b">
        <f>_xlfn.XLOOKUP(CONTROL[[#This Row],[VEHIDCODE]],PROPERTIES[VEHIDCODE],PROPERTIES[IS_CONCEPT])="IS_CONCEPT"</f>
        <v>0</v>
      </c>
      <c r="Q35" s="7" t="b">
        <f>_xlfn.XLOOKUP(CONTROL[[#This Row],[VEHIDCODE]],PROPERTIES[VEHIDCODE],PROPERTIES[EXCLUDE])</f>
        <v>0</v>
      </c>
      <c r="R35" t="str" cm="1">
        <f t="array" ref="R35">_xlfn.XLOOKUP(CONTROL[[#This Row],[VEHIDCODE]],GRAPHICS_PROPERTIES[VEHIDCODE],GRAPHICS_PROPERTIES[TEMPLATE_ID]&amp;GRAPHICS_PROPERTIES[TEMPLATE_AMENDMENT_CODE])</f>
        <v>TPL_03C</v>
      </c>
    </row>
    <row r="36" spans="1:18" x14ac:dyDescent="0.35">
      <c r="A36" s="2" t="s">
        <v>2681</v>
      </c>
      <c r="B36" s="21" t="str">
        <f>_xlfn.TEXTAFTER(CONTROL[[#This Row],[VEHIDCODE]],"_")</f>
        <v>DSB_MO_Serie_1</v>
      </c>
      <c r="C36" t="str" cm="1">
        <f t="array" ref="C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6" t="str" cm="1">
        <f t="array" ref="D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6">
        <v>2027</v>
      </c>
      <c r="F36" s="32" t="s">
        <v>1074</v>
      </c>
      <c r="G36" t="s">
        <v>1073</v>
      </c>
      <c r="H36" s="2" t="b">
        <f>AND(CONTROL[[#This Row],[IS_WAGON_OR_COACH]]=TRUE,OR(RIGHT(CONTROL[[#This Row],[VEHIDCODE]],7)="Powered",RIGHT(CONTROL[[#This Row],[VEHIDCODE]],9)="Unpowered"))</f>
        <v>0</v>
      </c>
      <c r="I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" t="b">
        <f>ISNUMBER(_xlfn.XMATCH(CONTROL[[#This Row],[VEHIDCODE]],TRACK_TYPES[VEHIDCODE],0))</f>
        <v>1</v>
      </c>
      <c r="K36" t="b">
        <f>ISNUMBER(_xlfn.XMATCH(CONTROL[[#This Row],[VEHIDCODE]],PROPERTIES[VEHIDCODE],0))</f>
        <v>1</v>
      </c>
      <c r="L36" t="b">
        <f>ISNUMBER(_xlfn.XLOOKUP(CONTROL[[#This Row],[VEHIDCODE]],roster!A:A,roster!D:D))</f>
        <v>1</v>
      </c>
      <c r="M36" t="b">
        <f>ISNUMBER(_xlfn.XMATCH(CONTROL[[#This Row],[VEHIDCODE]],GRAPHICS_PROPERTIES[VEHIDCODE],0))</f>
        <v>1</v>
      </c>
      <c r="N36" s="21" t="str">
        <f>"item_"&amp;CONTROL[[#This Row],[VEHIDCODE]]</f>
        <v>item_rbd_DSB_MO_Serie_1</v>
      </c>
      <c r="O36" s="21" t="str">
        <f>"str_"&amp;CONTROL[[#This Row],[VEHIDCODE]]</f>
        <v>str_rbd_DSB_MO_Serie_1</v>
      </c>
      <c r="P36" s="7" t="b">
        <f>_xlfn.XLOOKUP(CONTROL[[#This Row],[VEHIDCODE]],PROPERTIES[VEHIDCODE],PROPERTIES[IS_CONCEPT])="IS_CONCEPT"</f>
        <v>0</v>
      </c>
      <c r="Q36" s="7" t="b">
        <f>_xlfn.XLOOKUP(CONTROL[[#This Row],[VEHIDCODE]],PROPERTIES[VEHIDCODE],PROPERTIES[EXCLUDE])</f>
        <v>0</v>
      </c>
      <c r="R36" t="str" cm="1">
        <f t="array" ref="R36">_xlfn.XLOOKUP(CONTROL[[#This Row],[VEHIDCODE]],GRAPHICS_PROPERTIES[VEHIDCODE],GRAPHICS_PROPERTIES[TEMPLATE_ID]&amp;GRAPHICS_PROPERTIES[TEMPLATE_AMENDMENT_CODE])</f>
        <v>TPL_01B</v>
      </c>
    </row>
    <row r="37" spans="1:18" x14ac:dyDescent="0.35">
      <c r="A37" s="2" t="s">
        <v>2682</v>
      </c>
      <c r="B37" s="21" t="str">
        <f>_xlfn.TEXTAFTER(CONTROL[[#This Row],[VEHIDCODE]],"_")</f>
        <v>Strommens_Kristine_Valdresdatter</v>
      </c>
      <c r="C37" t="str" cm="1">
        <f t="array" ref="C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7" t="str" cm="1">
        <f t="array" ref="D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7">
        <v>2028</v>
      </c>
      <c r="F37" s="32" t="s">
        <v>2074</v>
      </c>
      <c r="G37" t="s">
        <v>1072</v>
      </c>
      <c r="H37" s="2" t="b">
        <f>AND(CONTROL[[#This Row],[IS_WAGON_OR_COACH]]=TRUE,OR(RIGHT(CONTROL[[#This Row],[VEHIDCODE]],7)="Powered",RIGHT(CONTROL[[#This Row],[VEHIDCODE]],9)="Unpowered"))</f>
        <v>0</v>
      </c>
      <c r="I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" t="b">
        <f>ISNUMBER(_xlfn.XMATCH(CONTROL[[#This Row],[VEHIDCODE]],TRACK_TYPES[VEHIDCODE],0))</f>
        <v>1</v>
      </c>
      <c r="K37" t="b">
        <f>ISNUMBER(_xlfn.XMATCH(CONTROL[[#This Row],[VEHIDCODE]],PROPERTIES[VEHIDCODE],0))</f>
        <v>1</v>
      </c>
      <c r="L37" t="b">
        <f>ISNUMBER(_xlfn.XLOOKUP(CONTROL[[#This Row],[VEHIDCODE]],roster!A:A,roster!D:D))</f>
        <v>1</v>
      </c>
      <c r="M37" t="b">
        <f>ISNUMBER(_xlfn.XMATCH(CONTROL[[#This Row],[VEHIDCODE]],GRAPHICS_PROPERTIES[VEHIDCODE],0))</f>
        <v>1</v>
      </c>
      <c r="N37" s="21" t="str">
        <f>"item_"&amp;CONTROL[[#This Row],[VEHIDCODE]]</f>
        <v>item_rbd_Strommens_Kristine_Valdresdatter</v>
      </c>
      <c r="O37" s="21" t="str">
        <f>"str_"&amp;CONTROL[[#This Row],[VEHIDCODE]]</f>
        <v>str_rbd_Strommens_Kristine_Valdresdatter</v>
      </c>
      <c r="P37" s="7" t="b">
        <f>_xlfn.XLOOKUP(CONTROL[[#This Row],[VEHIDCODE]],PROPERTIES[VEHIDCODE],PROPERTIES[IS_CONCEPT])="IS_CONCEPT"</f>
        <v>0</v>
      </c>
      <c r="Q37" s="7" t="b">
        <f>_xlfn.XLOOKUP(CONTROL[[#This Row],[VEHIDCODE]],PROPERTIES[VEHIDCODE],PROPERTIES[EXCLUDE])</f>
        <v>0</v>
      </c>
      <c r="R37" t="str" cm="1">
        <f t="array" ref="R37">_xlfn.XLOOKUP(CONTROL[[#This Row],[VEHIDCODE]],GRAPHICS_PROPERTIES[VEHIDCODE],GRAPHICS_PROPERTIES[TEMPLATE_ID]&amp;GRAPHICS_PROPERTIES[TEMPLATE_AMENDMENT_CODE])</f>
        <v>TPL_01B</v>
      </c>
    </row>
    <row r="38" spans="1:18" x14ac:dyDescent="0.35">
      <c r="A38" s="2" t="s">
        <v>2683</v>
      </c>
      <c r="B38" s="21" t="str">
        <f>_xlfn.TEXTAFTER(CONTROL[[#This Row],[VEHIDCODE]],"_")</f>
        <v>Tatra_M290</v>
      </c>
      <c r="C38" t="str" cm="1">
        <f t="array" ref="C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8" t="str" cm="1">
        <f t="array" ref="D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8">
        <v>2029</v>
      </c>
      <c r="F38" s="32" t="s">
        <v>2075</v>
      </c>
      <c r="G38" t="s">
        <v>1075</v>
      </c>
      <c r="H38" s="2" t="b">
        <f>AND(CONTROL[[#This Row],[IS_WAGON_OR_COACH]]=TRUE,OR(RIGHT(CONTROL[[#This Row],[VEHIDCODE]],7)="Powered",RIGHT(CONTROL[[#This Row],[VEHIDCODE]],9)="Unpowered"))</f>
        <v>0</v>
      </c>
      <c r="I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" t="b">
        <f>ISNUMBER(_xlfn.XMATCH(CONTROL[[#This Row],[VEHIDCODE]],TRACK_TYPES[VEHIDCODE],0))</f>
        <v>1</v>
      </c>
      <c r="K38" t="b">
        <f>ISNUMBER(_xlfn.XMATCH(CONTROL[[#This Row],[VEHIDCODE]],PROPERTIES[VEHIDCODE],0))</f>
        <v>1</v>
      </c>
      <c r="L38" t="b">
        <f>ISNUMBER(_xlfn.XLOOKUP(CONTROL[[#This Row],[VEHIDCODE]],roster!A:A,roster!D:D))</f>
        <v>1</v>
      </c>
      <c r="M38" t="b">
        <f>ISNUMBER(_xlfn.XMATCH(CONTROL[[#This Row],[VEHIDCODE]],GRAPHICS_PROPERTIES[VEHIDCODE],0))</f>
        <v>1</v>
      </c>
      <c r="N38" s="21" t="str">
        <f>"item_"&amp;CONTROL[[#This Row],[VEHIDCODE]]</f>
        <v>item_rbd_Tatra_M290</v>
      </c>
      <c r="O38" s="21" t="str">
        <f>"str_"&amp;CONTROL[[#This Row],[VEHIDCODE]]</f>
        <v>str_rbd_Tatra_M290</v>
      </c>
      <c r="P38" s="7" t="b">
        <f>_xlfn.XLOOKUP(CONTROL[[#This Row],[VEHIDCODE]],PROPERTIES[VEHIDCODE],PROPERTIES[IS_CONCEPT])="IS_CONCEPT"</f>
        <v>0</v>
      </c>
      <c r="Q38" s="7" t="b">
        <f>_xlfn.XLOOKUP(CONTROL[[#This Row],[VEHIDCODE]],PROPERTIES[VEHIDCODE],PROPERTIES[EXCLUDE])</f>
        <v>0</v>
      </c>
      <c r="R38" t="str" cm="1">
        <f t="array" ref="R38">_xlfn.XLOOKUP(CONTROL[[#This Row],[VEHIDCODE]],GRAPHICS_PROPERTIES[VEHIDCODE],GRAPHICS_PROPERTIES[TEMPLATE_ID]&amp;GRAPHICS_PROPERTIES[TEMPLATE_AMENDMENT_CODE])</f>
        <v>TPL_01B</v>
      </c>
    </row>
    <row r="39" spans="1:18" x14ac:dyDescent="0.35">
      <c r="A39" s="2" t="s">
        <v>2684</v>
      </c>
      <c r="B39" s="21" t="str">
        <f>_xlfn.TEXTAFTER(CONTROL[[#This Row],[VEHIDCODE]],"_")</f>
        <v>Werkspoor_DM37</v>
      </c>
      <c r="C39" t="str" cm="1">
        <f t="array" ref="C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9" t="str" cm="1">
        <f t="array" ref="D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9">
        <v>2030</v>
      </c>
      <c r="F39" s="32" t="s">
        <v>2077</v>
      </c>
      <c r="G39" t="s">
        <v>1076</v>
      </c>
      <c r="H39" s="2" t="b">
        <f>AND(CONTROL[[#This Row],[IS_WAGON_OR_COACH]]=TRUE,OR(RIGHT(CONTROL[[#This Row],[VEHIDCODE]],7)="Powered",RIGHT(CONTROL[[#This Row],[VEHIDCODE]],9)="Unpowered"))</f>
        <v>0</v>
      </c>
      <c r="I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" t="b">
        <f>ISNUMBER(_xlfn.XMATCH(CONTROL[[#This Row],[VEHIDCODE]],TRACK_TYPES[VEHIDCODE],0))</f>
        <v>1</v>
      </c>
      <c r="K39" t="b">
        <f>ISNUMBER(_xlfn.XMATCH(CONTROL[[#This Row],[VEHIDCODE]],PROPERTIES[VEHIDCODE],0))</f>
        <v>1</v>
      </c>
      <c r="L39" t="b">
        <f>ISNUMBER(_xlfn.XLOOKUP(CONTROL[[#This Row],[VEHIDCODE]],roster!A:A,roster!D:D))</f>
        <v>1</v>
      </c>
      <c r="M39" t="b">
        <f>ISNUMBER(_xlfn.XMATCH(CONTROL[[#This Row],[VEHIDCODE]],GRAPHICS_PROPERTIES[VEHIDCODE],0))</f>
        <v>1</v>
      </c>
      <c r="N39" s="21" t="str">
        <f>"item_"&amp;CONTROL[[#This Row],[VEHIDCODE]]</f>
        <v>item_rbd_Werkspoor_DM37</v>
      </c>
      <c r="O39" s="21" t="str">
        <f>"str_"&amp;CONTROL[[#This Row],[VEHIDCODE]]</f>
        <v>str_rbd_Werkspoor_DM37</v>
      </c>
      <c r="P39" s="7" t="b">
        <f>_xlfn.XLOOKUP(CONTROL[[#This Row],[VEHIDCODE]],PROPERTIES[VEHIDCODE],PROPERTIES[IS_CONCEPT])="IS_CONCEPT"</f>
        <v>0</v>
      </c>
      <c r="Q39" s="7" t="b">
        <f>_xlfn.XLOOKUP(CONTROL[[#This Row],[VEHIDCODE]],PROPERTIES[VEHIDCODE],PROPERTIES[EXCLUDE])</f>
        <v>0</v>
      </c>
      <c r="R39" t="str" cm="1">
        <f t="array" ref="R39">_xlfn.XLOOKUP(CONTROL[[#This Row],[VEHIDCODE]],GRAPHICS_PROPERTIES[VEHIDCODE],GRAPHICS_PROPERTIES[TEMPLATE_ID]&amp;GRAPHICS_PROPERTIES[TEMPLATE_AMENDMENT_CODE])</f>
        <v>TPL_01B</v>
      </c>
    </row>
    <row r="40" spans="1:18" x14ac:dyDescent="0.35">
      <c r="A40" s="2" t="s">
        <v>2685</v>
      </c>
      <c r="B40" s="21" t="str">
        <f>_xlfn.TEXTAFTER(CONTROL[[#This Row],[VEHIDCODE]],"_")</f>
        <v>Eveleigh_400_Class</v>
      </c>
      <c r="C40" t="str" cm="1">
        <f t="array" ref="C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0" t="str" cm="1">
        <f t="array" ref="D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0">
        <v>2031</v>
      </c>
      <c r="F40" s="32" t="s">
        <v>2078</v>
      </c>
      <c r="G40" t="s">
        <v>1077</v>
      </c>
      <c r="H40" s="2" t="b">
        <f>AND(CONTROL[[#This Row],[IS_WAGON_OR_COACH]]=TRUE,OR(RIGHT(CONTROL[[#This Row],[VEHIDCODE]],7)="Powered",RIGHT(CONTROL[[#This Row],[VEHIDCODE]],9)="Unpowered"))</f>
        <v>0</v>
      </c>
      <c r="I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" t="b">
        <f>ISNUMBER(_xlfn.XMATCH(CONTROL[[#This Row],[VEHIDCODE]],TRACK_TYPES[VEHIDCODE],0))</f>
        <v>1</v>
      </c>
      <c r="K40" t="b">
        <f>ISNUMBER(_xlfn.XMATCH(CONTROL[[#This Row],[VEHIDCODE]],PROPERTIES[VEHIDCODE],0))</f>
        <v>1</v>
      </c>
      <c r="L40" t="b">
        <f>ISNUMBER(_xlfn.XLOOKUP(CONTROL[[#This Row],[VEHIDCODE]],roster!A:A,roster!D:D))</f>
        <v>1</v>
      </c>
      <c r="M40" t="b">
        <f>ISNUMBER(_xlfn.XMATCH(CONTROL[[#This Row],[VEHIDCODE]],GRAPHICS_PROPERTIES[VEHIDCODE],0))</f>
        <v>1</v>
      </c>
      <c r="N40" s="21" t="str">
        <f>"item_"&amp;CONTROL[[#This Row],[VEHIDCODE]]</f>
        <v>item_rbd_Eveleigh_400_Class</v>
      </c>
      <c r="O40" s="21" t="str">
        <f>"str_"&amp;CONTROL[[#This Row],[VEHIDCODE]]</f>
        <v>str_rbd_Eveleigh_400_Class</v>
      </c>
      <c r="P40" s="7" t="b">
        <f>_xlfn.XLOOKUP(CONTROL[[#This Row],[VEHIDCODE]],PROPERTIES[VEHIDCODE],PROPERTIES[IS_CONCEPT])="IS_CONCEPT"</f>
        <v>0</v>
      </c>
      <c r="Q40" s="7" t="b">
        <f>_xlfn.XLOOKUP(CONTROL[[#This Row],[VEHIDCODE]],PROPERTIES[VEHIDCODE],PROPERTIES[EXCLUDE])</f>
        <v>0</v>
      </c>
      <c r="R40" t="str" cm="1">
        <f t="array" ref="R40">_xlfn.XLOOKUP(CONTROL[[#This Row],[VEHIDCODE]],GRAPHICS_PROPERTIES[VEHIDCODE],GRAPHICS_PROPERTIES[TEMPLATE_ID]&amp;GRAPHICS_PROPERTIES[TEMPLATE_AMENDMENT_CODE])</f>
        <v>TPL_01B</v>
      </c>
    </row>
    <row r="41" spans="1:18" x14ac:dyDescent="0.35">
      <c r="A41" s="2" t="s">
        <v>2686</v>
      </c>
      <c r="B41" s="21" t="str">
        <f>_xlfn.TEXTAFTER(CONTROL[[#This Row],[VEHIDCODE]],"_")</f>
        <v>Vale_do_Vouga_ME51_55</v>
      </c>
      <c r="C41" t="str" cm="1">
        <f t="array" ref="C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1" t="str" cm="1">
        <f t="array" ref="D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1">
        <v>2032</v>
      </c>
      <c r="F41" s="32" t="s">
        <v>2079</v>
      </c>
      <c r="G41" t="s">
        <v>1078</v>
      </c>
      <c r="H41" s="2" t="b">
        <f>AND(CONTROL[[#This Row],[IS_WAGON_OR_COACH]]=TRUE,OR(RIGHT(CONTROL[[#This Row],[VEHIDCODE]],7)="Powered",RIGHT(CONTROL[[#This Row],[VEHIDCODE]],9)="Unpowered"))</f>
        <v>0</v>
      </c>
      <c r="I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" t="b">
        <f>ISNUMBER(_xlfn.XMATCH(CONTROL[[#This Row],[VEHIDCODE]],TRACK_TYPES[VEHIDCODE],0))</f>
        <v>1</v>
      </c>
      <c r="K41" t="b">
        <f>ISNUMBER(_xlfn.XMATCH(CONTROL[[#This Row],[VEHIDCODE]],PROPERTIES[VEHIDCODE],0))</f>
        <v>1</v>
      </c>
      <c r="L41" t="b">
        <f>ISNUMBER(_xlfn.XLOOKUP(CONTROL[[#This Row],[VEHIDCODE]],roster!A:A,roster!D:D))</f>
        <v>1</v>
      </c>
      <c r="M41" t="b">
        <f>ISNUMBER(_xlfn.XMATCH(CONTROL[[#This Row],[VEHIDCODE]],GRAPHICS_PROPERTIES[VEHIDCODE],0))</f>
        <v>1</v>
      </c>
      <c r="N41" s="21" t="str">
        <f>"item_"&amp;CONTROL[[#This Row],[VEHIDCODE]]</f>
        <v>item_rbd_Vale_do_Vouga_ME51_55</v>
      </c>
      <c r="O41" s="21" t="str">
        <f>"str_"&amp;CONTROL[[#This Row],[VEHIDCODE]]</f>
        <v>str_rbd_Vale_do_Vouga_ME51_55</v>
      </c>
      <c r="P41" s="7" t="b">
        <f>_xlfn.XLOOKUP(CONTROL[[#This Row],[VEHIDCODE]],PROPERTIES[VEHIDCODE],PROPERTIES[IS_CONCEPT])="IS_CONCEPT"</f>
        <v>0</v>
      </c>
      <c r="Q41" s="7" t="b">
        <f>_xlfn.XLOOKUP(CONTROL[[#This Row],[VEHIDCODE]],PROPERTIES[VEHIDCODE],PROPERTIES[EXCLUDE])</f>
        <v>0</v>
      </c>
      <c r="R41" t="str" cm="1">
        <f t="array" ref="R41">_xlfn.XLOOKUP(CONTROL[[#This Row],[VEHIDCODE]],GRAPHICS_PROPERTIES[VEHIDCODE],GRAPHICS_PROPERTIES[TEMPLATE_ID]&amp;GRAPHICS_PROPERTIES[TEMPLATE_AMENDMENT_CODE])</f>
        <v>TPL_01B</v>
      </c>
    </row>
    <row r="42" spans="1:18" x14ac:dyDescent="0.35">
      <c r="A42" s="2" t="s">
        <v>2687</v>
      </c>
      <c r="B42" s="21" t="str">
        <f>_xlfn.TEXTAFTER(CONTROL[[#This Row],[VEHIDCODE]],"_")</f>
        <v>Ateliers_Germain_42_43</v>
      </c>
      <c r="C42" t="str" cm="1">
        <f t="array" ref="C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2" t="str" cm="1">
        <f t="array" ref="D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2">
        <v>2033</v>
      </c>
      <c r="F42" s="32" t="s">
        <v>2080</v>
      </c>
      <c r="G42" t="s">
        <v>1079</v>
      </c>
      <c r="H42" s="2" t="b">
        <f>AND(CONTROL[[#This Row],[IS_WAGON_OR_COACH]]=TRUE,OR(RIGHT(CONTROL[[#This Row],[VEHIDCODE]],7)="Powered",RIGHT(CONTROL[[#This Row],[VEHIDCODE]],9)="Unpowered"))</f>
        <v>0</v>
      </c>
      <c r="I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" t="b">
        <f>ISNUMBER(_xlfn.XMATCH(CONTROL[[#This Row],[VEHIDCODE]],TRACK_TYPES[VEHIDCODE],0))</f>
        <v>1</v>
      </c>
      <c r="K42" t="b">
        <f>ISNUMBER(_xlfn.XMATCH(CONTROL[[#This Row],[VEHIDCODE]],PROPERTIES[VEHIDCODE],0))</f>
        <v>1</v>
      </c>
      <c r="L42" t="b">
        <f>ISNUMBER(_xlfn.XLOOKUP(CONTROL[[#This Row],[VEHIDCODE]],roster!A:A,roster!D:D))</f>
        <v>1</v>
      </c>
      <c r="M42" t="b">
        <f>ISNUMBER(_xlfn.XMATCH(CONTROL[[#This Row],[VEHIDCODE]],GRAPHICS_PROPERTIES[VEHIDCODE],0))</f>
        <v>1</v>
      </c>
      <c r="N42" s="21" t="str">
        <f>"item_"&amp;CONTROL[[#This Row],[VEHIDCODE]]</f>
        <v>item_rbd_Ateliers_Germain_42_43</v>
      </c>
      <c r="O42" s="21" t="str">
        <f>"str_"&amp;CONTROL[[#This Row],[VEHIDCODE]]</f>
        <v>str_rbd_Ateliers_Germain_42_43</v>
      </c>
      <c r="P42" s="7" t="b">
        <f>_xlfn.XLOOKUP(CONTROL[[#This Row],[VEHIDCODE]],PROPERTIES[VEHIDCODE],PROPERTIES[IS_CONCEPT])="IS_CONCEPT"</f>
        <v>0</v>
      </c>
      <c r="Q42" s="7" t="b">
        <f>_xlfn.XLOOKUP(CONTROL[[#This Row],[VEHIDCODE]],PROPERTIES[VEHIDCODE],PROPERTIES[EXCLUDE])</f>
        <v>0</v>
      </c>
      <c r="R42" t="str" cm="1">
        <f t="array" ref="R42">_xlfn.XLOOKUP(CONTROL[[#This Row],[VEHIDCODE]],GRAPHICS_PROPERTIES[VEHIDCODE],GRAPHICS_PROPERTIES[TEMPLATE_ID]&amp;GRAPHICS_PROPERTIES[TEMPLATE_AMENDMENT_CODE])</f>
        <v>TPL_01B</v>
      </c>
    </row>
    <row r="43" spans="1:18" x14ac:dyDescent="0.35">
      <c r="A43" s="2" t="s">
        <v>2688</v>
      </c>
      <c r="B43" s="21" t="str">
        <f>_xlfn.TEXTAFTER(CONTROL[[#This Row],[VEHIDCODE]],"_")</f>
        <v>SGP_77783_1960</v>
      </c>
      <c r="C43" t="str" cm="1">
        <f t="array" ref="C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3" t="str" cm="1">
        <f t="array" ref="D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3">
        <v>2034</v>
      </c>
      <c r="F43" s="32" t="s">
        <v>2081</v>
      </c>
      <c r="G43" t="s">
        <v>1080</v>
      </c>
      <c r="H43" s="2" t="b">
        <f>AND(CONTROL[[#This Row],[IS_WAGON_OR_COACH]]=TRUE,OR(RIGHT(CONTROL[[#This Row],[VEHIDCODE]],7)="Powered",RIGHT(CONTROL[[#This Row],[VEHIDCODE]],9)="Unpowered"))</f>
        <v>0</v>
      </c>
      <c r="I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" t="b">
        <f>ISNUMBER(_xlfn.XMATCH(CONTROL[[#This Row],[VEHIDCODE]],TRACK_TYPES[VEHIDCODE],0))</f>
        <v>1</v>
      </c>
      <c r="K43" t="b">
        <f>ISNUMBER(_xlfn.XMATCH(CONTROL[[#This Row],[VEHIDCODE]],PROPERTIES[VEHIDCODE],0))</f>
        <v>1</v>
      </c>
      <c r="L43" t="b">
        <f>ISNUMBER(_xlfn.XLOOKUP(CONTROL[[#This Row],[VEHIDCODE]],roster!A:A,roster!D:D))</f>
        <v>1</v>
      </c>
      <c r="M43" t="b">
        <f>ISNUMBER(_xlfn.XMATCH(CONTROL[[#This Row],[VEHIDCODE]],GRAPHICS_PROPERTIES[VEHIDCODE],0))</f>
        <v>1</v>
      </c>
      <c r="N43" s="21" t="str">
        <f>"item_"&amp;CONTROL[[#This Row],[VEHIDCODE]]</f>
        <v>item_rbd_SGP_77783_1960</v>
      </c>
      <c r="O43" s="21" t="str">
        <f>"str_"&amp;CONTROL[[#This Row],[VEHIDCODE]]</f>
        <v>str_rbd_SGP_77783_1960</v>
      </c>
      <c r="P43" s="7" t="b">
        <f>_xlfn.XLOOKUP(CONTROL[[#This Row],[VEHIDCODE]],PROPERTIES[VEHIDCODE],PROPERTIES[IS_CONCEPT])="IS_CONCEPT"</f>
        <v>0</v>
      </c>
      <c r="Q43" s="7" t="b">
        <f>_xlfn.XLOOKUP(CONTROL[[#This Row],[VEHIDCODE]],PROPERTIES[VEHIDCODE],PROPERTIES[EXCLUDE])</f>
        <v>0</v>
      </c>
      <c r="R43" t="str" cm="1">
        <f t="array" ref="R43">_xlfn.XLOOKUP(CONTROL[[#This Row],[VEHIDCODE]],GRAPHICS_PROPERTIES[VEHIDCODE],GRAPHICS_PROPERTIES[TEMPLATE_ID]&amp;GRAPHICS_PROPERTIES[TEMPLATE_AMENDMENT_CODE])</f>
        <v>TPL_01B</v>
      </c>
    </row>
    <row r="44" spans="1:18" x14ac:dyDescent="0.35">
      <c r="A44" s="2" t="s">
        <v>2689</v>
      </c>
      <c r="B44" s="21" t="str">
        <f>_xlfn.TEXTAFTER(CONTROL[[#This Row],[VEHIDCODE]],"_")</f>
        <v>Ferrostaal_Esslingen_AA_71</v>
      </c>
      <c r="C44" t="str" cm="1">
        <f t="array" ref="C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4" t="str" cm="1">
        <f t="array" ref="D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4">
        <v>2035</v>
      </c>
      <c r="F44" s="32" t="s">
        <v>2082</v>
      </c>
      <c r="G44" t="s">
        <v>1081</v>
      </c>
      <c r="H44" s="2" t="b">
        <f>AND(CONTROL[[#This Row],[IS_WAGON_OR_COACH]]=TRUE,OR(RIGHT(CONTROL[[#This Row],[VEHIDCODE]],7)="Powered",RIGHT(CONTROL[[#This Row],[VEHIDCODE]],9)="Unpowered"))</f>
        <v>0</v>
      </c>
      <c r="I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" t="b">
        <f>ISNUMBER(_xlfn.XMATCH(CONTROL[[#This Row],[VEHIDCODE]],TRACK_TYPES[VEHIDCODE],0))</f>
        <v>1</v>
      </c>
      <c r="K44" t="b">
        <f>ISNUMBER(_xlfn.XMATCH(CONTROL[[#This Row],[VEHIDCODE]],PROPERTIES[VEHIDCODE],0))</f>
        <v>1</v>
      </c>
      <c r="L44" t="b">
        <f>ISNUMBER(_xlfn.XLOOKUP(CONTROL[[#This Row],[VEHIDCODE]],roster!A:A,roster!D:D))</f>
        <v>1</v>
      </c>
      <c r="M44" t="b">
        <f>ISNUMBER(_xlfn.XMATCH(CONTROL[[#This Row],[VEHIDCODE]],GRAPHICS_PROPERTIES[VEHIDCODE],0))</f>
        <v>1</v>
      </c>
      <c r="N44" s="21" t="str">
        <f>"item_"&amp;CONTROL[[#This Row],[VEHIDCODE]]</f>
        <v>item_rbd_Ferrostaal_Esslingen_AA_71</v>
      </c>
      <c r="O44" s="21" t="str">
        <f>"str_"&amp;CONTROL[[#This Row],[VEHIDCODE]]</f>
        <v>str_rbd_Ferrostaal_Esslingen_AA_71</v>
      </c>
      <c r="P44" s="7" t="b">
        <f>_xlfn.XLOOKUP(CONTROL[[#This Row],[VEHIDCODE]],PROPERTIES[VEHIDCODE],PROPERTIES[IS_CONCEPT])="IS_CONCEPT"</f>
        <v>0</v>
      </c>
      <c r="Q44" s="7" t="b">
        <f>_xlfn.XLOOKUP(CONTROL[[#This Row],[VEHIDCODE]],PROPERTIES[VEHIDCODE],PROPERTIES[EXCLUDE])</f>
        <v>0</v>
      </c>
      <c r="R44" t="str" cm="1">
        <f t="array" ref="R44">_xlfn.XLOOKUP(CONTROL[[#This Row],[VEHIDCODE]],GRAPHICS_PROPERTIES[VEHIDCODE],GRAPHICS_PROPERTIES[TEMPLATE_ID]&amp;GRAPHICS_PROPERTIES[TEMPLATE_AMENDMENT_CODE])</f>
        <v>TPL_01B</v>
      </c>
    </row>
    <row r="45" spans="1:18" x14ac:dyDescent="0.35">
      <c r="A45" s="2" t="s">
        <v>2690</v>
      </c>
      <c r="B45" s="21" t="str">
        <f>_xlfn.TEXTAFTER(CONTROL[[#This Row],[VEHIDCODE]],"_")</f>
        <v>Alsthom_Z_431</v>
      </c>
      <c r="C45" t="str" cm="1">
        <f t="array" ref="C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5" t="str" cm="1">
        <f t="array" ref="D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5">
        <v>2036</v>
      </c>
      <c r="F45" s="32" t="s">
        <v>2545</v>
      </c>
      <c r="G45" t="s">
        <v>1082</v>
      </c>
      <c r="H45" s="2" t="b">
        <f>AND(CONTROL[[#This Row],[IS_WAGON_OR_COACH]]=TRUE,OR(RIGHT(CONTROL[[#This Row],[VEHIDCODE]],7)="Powered",RIGHT(CONTROL[[#This Row],[VEHIDCODE]],9)="Unpowered"))</f>
        <v>0</v>
      </c>
      <c r="I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" t="b">
        <f>ISNUMBER(_xlfn.XMATCH(CONTROL[[#This Row],[VEHIDCODE]],TRACK_TYPES[VEHIDCODE],0))</f>
        <v>1</v>
      </c>
      <c r="K45" t="b">
        <f>ISNUMBER(_xlfn.XMATCH(CONTROL[[#This Row],[VEHIDCODE]],PROPERTIES[VEHIDCODE],0))</f>
        <v>1</v>
      </c>
      <c r="L45" t="b">
        <f>ISNUMBER(_xlfn.XLOOKUP(CONTROL[[#This Row],[VEHIDCODE]],roster!A:A,roster!D:D))</f>
        <v>1</v>
      </c>
      <c r="M45" t="b">
        <f>ISNUMBER(_xlfn.XMATCH(CONTROL[[#This Row],[VEHIDCODE]],GRAPHICS_PROPERTIES[VEHIDCODE],0))</f>
        <v>1</v>
      </c>
      <c r="N45" s="21" t="str">
        <f>"item_"&amp;CONTROL[[#This Row],[VEHIDCODE]]</f>
        <v>item_rbd_Alsthom_Z_431</v>
      </c>
      <c r="O45" s="21" t="str">
        <f>"str_"&amp;CONTROL[[#This Row],[VEHIDCODE]]</f>
        <v>str_rbd_Alsthom_Z_431</v>
      </c>
      <c r="P45" s="7" t="b">
        <f>_xlfn.XLOOKUP(CONTROL[[#This Row],[VEHIDCODE]],PROPERTIES[VEHIDCODE],PROPERTIES[IS_CONCEPT])="IS_CONCEPT"</f>
        <v>0</v>
      </c>
      <c r="Q45" s="7" t="b">
        <f>_xlfn.XLOOKUP(CONTROL[[#This Row],[VEHIDCODE]],PROPERTIES[VEHIDCODE],PROPERTIES[EXCLUDE])</f>
        <v>0</v>
      </c>
      <c r="R45" t="str" cm="1">
        <f t="array" ref="R45">_xlfn.XLOOKUP(CONTROL[[#This Row],[VEHIDCODE]],GRAPHICS_PROPERTIES[VEHIDCODE],GRAPHICS_PROPERTIES[TEMPLATE_ID]&amp;GRAPHICS_PROPERTIES[TEMPLATE_AMENDMENT_CODE])</f>
        <v>TPL_01B</v>
      </c>
    </row>
    <row r="46" spans="1:18" x14ac:dyDescent="0.35">
      <c r="A46" s="2" t="s">
        <v>2691</v>
      </c>
      <c r="B46" s="21" t="str">
        <f>_xlfn.TEXTAFTER(CONTROL[[#This Row],[VEHIDCODE]],"_")</f>
        <v>Budd_SPV_2000</v>
      </c>
      <c r="C46" t="str" cm="1">
        <f t="array" ref="C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6" t="str" cm="1">
        <f t="array" ref="D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6">
        <v>2037</v>
      </c>
      <c r="F46" s="32" t="s">
        <v>2021</v>
      </c>
      <c r="G46" t="s">
        <v>1083</v>
      </c>
      <c r="H46" s="2" t="b">
        <f>AND(CONTROL[[#This Row],[IS_WAGON_OR_COACH]]=TRUE,OR(RIGHT(CONTROL[[#This Row],[VEHIDCODE]],7)="Powered",RIGHT(CONTROL[[#This Row],[VEHIDCODE]],9)="Unpowered"))</f>
        <v>0</v>
      </c>
      <c r="I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" t="b">
        <f>ISNUMBER(_xlfn.XMATCH(CONTROL[[#This Row],[VEHIDCODE]],TRACK_TYPES[VEHIDCODE],0))</f>
        <v>1</v>
      </c>
      <c r="K46" t="b">
        <f>ISNUMBER(_xlfn.XMATCH(CONTROL[[#This Row],[VEHIDCODE]],PROPERTIES[VEHIDCODE],0))</f>
        <v>1</v>
      </c>
      <c r="L46" t="b">
        <f>ISNUMBER(_xlfn.XLOOKUP(CONTROL[[#This Row],[VEHIDCODE]],roster!A:A,roster!D:D))</f>
        <v>1</v>
      </c>
      <c r="M46" t="b">
        <f>ISNUMBER(_xlfn.XMATCH(CONTROL[[#This Row],[VEHIDCODE]],GRAPHICS_PROPERTIES[VEHIDCODE],0))</f>
        <v>1</v>
      </c>
      <c r="N46" s="21" t="str">
        <f>"item_"&amp;CONTROL[[#This Row],[VEHIDCODE]]</f>
        <v>item_rbd_Budd_SPV_2000</v>
      </c>
      <c r="O46" s="21" t="str">
        <f>"str_"&amp;CONTROL[[#This Row],[VEHIDCODE]]</f>
        <v>str_rbd_Budd_SPV_2000</v>
      </c>
      <c r="P46" s="7" t="b">
        <f>_xlfn.XLOOKUP(CONTROL[[#This Row],[VEHIDCODE]],PROPERTIES[VEHIDCODE],PROPERTIES[IS_CONCEPT])="IS_CONCEPT"</f>
        <v>0</v>
      </c>
      <c r="Q46" s="7" t="b">
        <f>_xlfn.XLOOKUP(CONTROL[[#This Row],[VEHIDCODE]],PROPERTIES[VEHIDCODE],PROPERTIES[EXCLUDE])</f>
        <v>0</v>
      </c>
      <c r="R46" t="str" cm="1">
        <f t="array" ref="R46">_xlfn.XLOOKUP(CONTROL[[#This Row],[VEHIDCODE]],GRAPHICS_PROPERTIES[VEHIDCODE],GRAPHICS_PROPERTIES[TEMPLATE_ID]&amp;GRAPHICS_PROPERTIES[TEMPLATE_AMENDMENT_CODE])</f>
        <v>TPL_01B</v>
      </c>
    </row>
    <row r="47" spans="1:18" x14ac:dyDescent="0.35">
      <c r="A47" s="2" t="s">
        <v>2692</v>
      </c>
      <c r="B47" s="21" t="str">
        <f>_xlfn.TEXTAFTER(CONTROL[[#This Row],[VEHIDCODE]],"_")</f>
        <v>CKD_Vagonka_Dm12</v>
      </c>
      <c r="C47" t="str" cm="1">
        <f t="array" ref="C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7" t="str" cm="1">
        <f t="array" ref="D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7">
        <v>2039</v>
      </c>
      <c r="F47" s="32" t="s">
        <v>2083</v>
      </c>
      <c r="G47" t="s">
        <v>1084</v>
      </c>
      <c r="H47" s="2" t="b">
        <f>AND(CONTROL[[#This Row],[IS_WAGON_OR_COACH]]=TRUE,OR(RIGHT(CONTROL[[#This Row],[VEHIDCODE]],7)="Powered",RIGHT(CONTROL[[#This Row],[VEHIDCODE]],9)="Unpowered"))</f>
        <v>0</v>
      </c>
      <c r="I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" t="b">
        <f>ISNUMBER(_xlfn.XMATCH(CONTROL[[#This Row],[VEHIDCODE]],TRACK_TYPES[VEHIDCODE],0))</f>
        <v>1</v>
      </c>
      <c r="K47" t="b">
        <f>ISNUMBER(_xlfn.XMATCH(CONTROL[[#This Row],[VEHIDCODE]],PROPERTIES[VEHIDCODE],0))</f>
        <v>1</v>
      </c>
      <c r="L47" t="b">
        <f>ISNUMBER(_xlfn.XLOOKUP(CONTROL[[#This Row],[VEHIDCODE]],roster!A:A,roster!D:D))</f>
        <v>1</v>
      </c>
      <c r="M47" t="b">
        <f>ISNUMBER(_xlfn.XMATCH(CONTROL[[#This Row],[VEHIDCODE]],GRAPHICS_PROPERTIES[VEHIDCODE],0))</f>
        <v>1</v>
      </c>
      <c r="N47" s="21" t="str">
        <f>"item_"&amp;CONTROL[[#This Row],[VEHIDCODE]]</f>
        <v>item_rbd_CKD_Vagonka_Dm12</v>
      </c>
      <c r="O47" s="21" t="str">
        <f>"str_"&amp;CONTROL[[#This Row],[VEHIDCODE]]</f>
        <v>str_rbd_CKD_Vagonka_Dm12</v>
      </c>
      <c r="P47" s="7" t="b">
        <f>_xlfn.XLOOKUP(CONTROL[[#This Row],[VEHIDCODE]],PROPERTIES[VEHIDCODE],PROPERTIES[IS_CONCEPT])="IS_CONCEPT"</f>
        <v>0</v>
      </c>
      <c r="Q47" s="7" t="b">
        <f>_xlfn.XLOOKUP(CONTROL[[#This Row],[VEHIDCODE]],PROPERTIES[VEHIDCODE],PROPERTIES[EXCLUDE])</f>
        <v>0</v>
      </c>
      <c r="R47" t="str" cm="1">
        <f t="array" ref="R47">_xlfn.XLOOKUP(CONTROL[[#This Row],[VEHIDCODE]],GRAPHICS_PROPERTIES[VEHIDCODE],GRAPHICS_PROPERTIES[TEMPLATE_ID]&amp;GRAPHICS_PROPERTIES[TEMPLATE_AMENDMENT_CODE])</f>
        <v>TPL_01B</v>
      </c>
    </row>
    <row r="48" spans="1:18" x14ac:dyDescent="0.35">
      <c r="A48" s="2" t="s">
        <v>3454</v>
      </c>
      <c r="B48" s="21" t="str">
        <f>_xlfn.TEXTAFTER(CONTROL[[#This Row],[VEHIDCODE]],"_")</f>
        <v>Stadler_Regio_Shuttle_RS1</v>
      </c>
      <c r="C48" t="str" cm="1">
        <f t="array" ref="C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8" t="str" cm="1">
        <f t="array" ref="D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8">
        <v>2041</v>
      </c>
      <c r="F48" s="32" t="s">
        <v>3461</v>
      </c>
      <c r="G48" t="s">
        <v>1085</v>
      </c>
      <c r="H48" s="2" t="b">
        <f>AND(CONTROL[[#This Row],[IS_WAGON_OR_COACH]]=TRUE,OR(RIGHT(CONTROL[[#This Row],[VEHIDCODE]],7)="Powered",RIGHT(CONTROL[[#This Row],[VEHIDCODE]],9)="Unpowered"))</f>
        <v>0</v>
      </c>
      <c r="I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" t="b">
        <f>ISNUMBER(_xlfn.XMATCH(CONTROL[[#This Row],[VEHIDCODE]],TRACK_TYPES[VEHIDCODE],0))</f>
        <v>1</v>
      </c>
      <c r="K48" t="b">
        <f>ISNUMBER(_xlfn.XMATCH(CONTROL[[#This Row],[VEHIDCODE]],PROPERTIES[VEHIDCODE],0))</f>
        <v>1</v>
      </c>
      <c r="L48" t="b">
        <f>ISNUMBER(_xlfn.XLOOKUP(CONTROL[[#This Row],[VEHIDCODE]],roster!A:A,roster!D:D))</f>
        <v>1</v>
      </c>
      <c r="M48" t="b">
        <f>ISNUMBER(_xlfn.XMATCH(CONTROL[[#This Row],[VEHIDCODE]],GRAPHICS_PROPERTIES[VEHIDCODE],0))</f>
        <v>1</v>
      </c>
      <c r="N48" s="21" t="str">
        <f>"item_"&amp;CONTROL[[#This Row],[VEHIDCODE]]</f>
        <v>item_rbd_Stadler_Regio_Shuttle_RS1</v>
      </c>
      <c r="O48" s="21" t="str">
        <f>"str_"&amp;CONTROL[[#This Row],[VEHIDCODE]]</f>
        <v>str_rbd_Stadler_Regio_Shuttle_RS1</v>
      </c>
      <c r="P48" s="7" t="b">
        <f>_xlfn.XLOOKUP(CONTROL[[#This Row],[VEHIDCODE]],PROPERTIES[VEHIDCODE],PROPERTIES[IS_CONCEPT])="IS_CONCEPT"</f>
        <v>0</v>
      </c>
      <c r="Q48" s="7" t="b">
        <f>_xlfn.XLOOKUP(CONTROL[[#This Row],[VEHIDCODE]],PROPERTIES[VEHIDCODE],PROPERTIES[EXCLUDE])</f>
        <v>0</v>
      </c>
      <c r="R48" t="str" cm="1">
        <f t="array" ref="R48">_xlfn.XLOOKUP(CONTROL[[#This Row],[VEHIDCODE]],GRAPHICS_PROPERTIES[VEHIDCODE],GRAPHICS_PROPERTIES[TEMPLATE_ID]&amp;GRAPHICS_PROPERTIES[TEMPLATE_AMENDMENT_CODE])</f>
        <v>TPL_01B</v>
      </c>
    </row>
    <row r="49" spans="1:18" x14ac:dyDescent="0.35">
      <c r="A49" s="2" t="s">
        <v>2693</v>
      </c>
      <c r="B49" s="21" t="str">
        <f>_xlfn.TEXTAFTER(CONTROL[[#This Row],[VEHIDCODE]],"_")</f>
        <v>Fiat_Ferroviaria_ALn_668_1400</v>
      </c>
      <c r="C49" t="str" cm="1">
        <f t="array" ref="C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9" t="str" cm="1">
        <f t="array" ref="D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9">
        <v>2046</v>
      </c>
      <c r="F49" s="32" t="s">
        <v>2084</v>
      </c>
      <c r="G49" t="s">
        <v>1086</v>
      </c>
      <c r="H49" s="2" t="b">
        <f>AND(CONTROL[[#This Row],[IS_WAGON_OR_COACH]]=TRUE,OR(RIGHT(CONTROL[[#This Row],[VEHIDCODE]],7)="Powered",RIGHT(CONTROL[[#This Row],[VEHIDCODE]],9)="Unpowered"))</f>
        <v>0</v>
      </c>
      <c r="I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" t="b">
        <f>ISNUMBER(_xlfn.XMATCH(CONTROL[[#This Row],[VEHIDCODE]],TRACK_TYPES[VEHIDCODE],0))</f>
        <v>1</v>
      </c>
      <c r="K49" t="b">
        <f>ISNUMBER(_xlfn.XMATCH(CONTROL[[#This Row],[VEHIDCODE]],PROPERTIES[VEHIDCODE],0))</f>
        <v>1</v>
      </c>
      <c r="L49" t="b">
        <f>ISNUMBER(_xlfn.XLOOKUP(CONTROL[[#This Row],[VEHIDCODE]],roster!A:A,roster!D:D))</f>
        <v>1</v>
      </c>
      <c r="M49" t="b">
        <f>ISNUMBER(_xlfn.XMATCH(CONTROL[[#This Row],[VEHIDCODE]],GRAPHICS_PROPERTIES[VEHIDCODE],0))</f>
        <v>1</v>
      </c>
      <c r="N49" s="21" t="str">
        <f>"item_"&amp;CONTROL[[#This Row],[VEHIDCODE]]</f>
        <v>item_rbd_Fiat_Ferroviaria_ALn_668_1400</v>
      </c>
      <c r="O49" s="21" t="str">
        <f>"str_"&amp;CONTROL[[#This Row],[VEHIDCODE]]</f>
        <v>str_rbd_Fiat_Ferroviaria_ALn_668_1400</v>
      </c>
      <c r="P49" s="7" t="b">
        <f>_xlfn.XLOOKUP(CONTROL[[#This Row],[VEHIDCODE]],PROPERTIES[VEHIDCODE],PROPERTIES[IS_CONCEPT])="IS_CONCEPT"</f>
        <v>0</v>
      </c>
      <c r="Q49" s="7" t="b">
        <f>_xlfn.XLOOKUP(CONTROL[[#This Row],[VEHIDCODE]],PROPERTIES[VEHIDCODE],PROPERTIES[EXCLUDE])</f>
        <v>0</v>
      </c>
      <c r="R49" t="str" cm="1">
        <f t="array" ref="R49">_xlfn.XLOOKUP(CONTROL[[#This Row],[VEHIDCODE]],GRAPHICS_PROPERTIES[VEHIDCODE],GRAPHICS_PROPERTIES[TEMPLATE_ID]&amp;GRAPHICS_PROPERTIES[TEMPLATE_AMENDMENT_CODE])</f>
        <v>TPL_01B</v>
      </c>
    </row>
    <row r="50" spans="1:18" x14ac:dyDescent="0.35">
      <c r="A50" s="2" t="s">
        <v>2694</v>
      </c>
      <c r="B50" s="21" t="str">
        <f>_xlfn.TEXTAFTER(CONTROL[[#This Row],[VEHIDCODE]],"_")</f>
        <v>Ringhoffer_40_001</v>
      </c>
      <c r="C50" t="str" cm="1">
        <f t="array" ref="C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0" t="str" cm="1">
        <f t="array" ref="D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0">
        <v>3005</v>
      </c>
      <c r="F50" s="32" t="s">
        <v>2085</v>
      </c>
      <c r="G50" t="s">
        <v>1087</v>
      </c>
      <c r="H50" s="2" t="b">
        <f>AND(CONTROL[[#This Row],[IS_WAGON_OR_COACH]]=TRUE,OR(RIGHT(CONTROL[[#This Row],[VEHIDCODE]],7)="Powered",RIGHT(CONTROL[[#This Row],[VEHIDCODE]],9)="Unpowered"))</f>
        <v>0</v>
      </c>
      <c r="I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" t="b">
        <f>ISNUMBER(_xlfn.XMATCH(CONTROL[[#This Row],[VEHIDCODE]],TRACK_TYPES[VEHIDCODE],0))</f>
        <v>1</v>
      </c>
      <c r="K50" t="b">
        <f>ISNUMBER(_xlfn.XMATCH(CONTROL[[#This Row],[VEHIDCODE]],PROPERTIES[VEHIDCODE],0))</f>
        <v>1</v>
      </c>
      <c r="L50" t="b">
        <f>ISNUMBER(_xlfn.XLOOKUP(CONTROL[[#This Row],[VEHIDCODE]],roster!A:A,roster!D:D))</f>
        <v>1</v>
      </c>
      <c r="M50" t="b">
        <f>ISNUMBER(_xlfn.XMATCH(CONTROL[[#This Row],[VEHIDCODE]],GRAPHICS_PROPERTIES[VEHIDCODE],0))</f>
        <v>1</v>
      </c>
      <c r="N50" s="21" t="str">
        <f>"item_"&amp;CONTROL[[#This Row],[VEHIDCODE]]</f>
        <v>item_rbe_Ringhoffer_40_001</v>
      </c>
      <c r="O50" s="21" t="str">
        <f>"str_"&amp;CONTROL[[#This Row],[VEHIDCODE]]</f>
        <v>str_rbe_Ringhoffer_40_001</v>
      </c>
      <c r="P50" s="7" t="b">
        <f>_xlfn.XLOOKUP(CONTROL[[#This Row],[VEHIDCODE]],PROPERTIES[VEHIDCODE],PROPERTIES[IS_CONCEPT])="IS_CONCEPT"</f>
        <v>0</v>
      </c>
      <c r="Q50" s="7" t="b">
        <f>_xlfn.XLOOKUP(CONTROL[[#This Row],[VEHIDCODE]],PROPERTIES[VEHIDCODE],PROPERTIES[EXCLUDE])</f>
        <v>0</v>
      </c>
      <c r="R50" t="str" cm="1">
        <f t="array" ref="R50">_xlfn.XLOOKUP(CONTROL[[#This Row],[VEHIDCODE]],GRAPHICS_PROPERTIES[VEHIDCODE],GRAPHICS_PROPERTIES[TEMPLATE_ID]&amp;GRAPHICS_PROPERTIES[TEMPLATE_AMENDMENT_CODE])</f>
        <v>TPL_01B</v>
      </c>
    </row>
    <row r="51" spans="1:18" x14ac:dyDescent="0.35">
      <c r="A51" s="2" t="s">
        <v>2695</v>
      </c>
      <c r="B51" s="21" t="str">
        <f>_xlfn.TEXTAFTER(CONTROL[[#This Row],[VEHIDCODE]],"_")</f>
        <v>Decauville_Z_7100</v>
      </c>
      <c r="C51" t="str" cm="1">
        <f t="array" ref="C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1" t="str" cm="1">
        <f t="array" ref="D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1">
        <v>3012</v>
      </c>
      <c r="F51" s="32" t="s">
        <v>2086</v>
      </c>
      <c r="G51" t="s">
        <v>1088</v>
      </c>
      <c r="H51" s="2" t="b">
        <f>AND(CONTROL[[#This Row],[IS_WAGON_OR_COACH]]=TRUE,OR(RIGHT(CONTROL[[#This Row],[VEHIDCODE]],7)="Powered",RIGHT(CONTROL[[#This Row],[VEHIDCODE]],9)="Unpowered"))</f>
        <v>0</v>
      </c>
      <c r="I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" t="b">
        <f>ISNUMBER(_xlfn.XMATCH(CONTROL[[#This Row],[VEHIDCODE]],TRACK_TYPES[VEHIDCODE],0))</f>
        <v>1</v>
      </c>
      <c r="K51" t="b">
        <f>ISNUMBER(_xlfn.XMATCH(CONTROL[[#This Row],[VEHIDCODE]],PROPERTIES[VEHIDCODE],0))</f>
        <v>1</v>
      </c>
      <c r="L51" t="b">
        <f>ISNUMBER(_xlfn.XLOOKUP(CONTROL[[#This Row],[VEHIDCODE]],roster!A:A,roster!D:D))</f>
        <v>1</v>
      </c>
      <c r="M51" t="b">
        <f>ISNUMBER(_xlfn.XMATCH(CONTROL[[#This Row],[VEHIDCODE]],GRAPHICS_PROPERTIES[VEHIDCODE],0))</f>
        <v>1</v>
      </c>
      <c r="N51" s="21" t="str">
        <f>"item_"&amp;CONTROL[[#This Row],[VEHIDCODE]]</f>
        <v>item_rbe_Decauville_Z_7100</v>
      </c>
      <c r="O51" s="21" t="str">
        <f>"str_"&amp;CONTROL[[#This Row],[VEHIDCODE]]</f>
        <v>str_rbe_Decauville_Z_7100</v>
      </c>
      <c r="P51" s="7" t="b">
        <f>_xlfn.XLOOKUP(CONTROL[[#This Row],[VEHIDCODE]],PROPERTIES[VEHIDCODE],PROPERTIES[IS_CONCEPT])="IS_CONCEPT"</f>
        <v>0</v>
      </c>
      <c r="Q51" s="7" t="b">
        <f>_xlfn.XLOOKUP(CONTROL[[#This Row],[VEHIDCODE]],PROPERTIES[VEHIDCODE],PROPERTIES[EXCLUDE])</f>
        <v>0</v>
      </c>
      <c r="R51" t="str" cm="1">
        <f t="array" ref="R51">_xlfn.XLOOKUP(CONTROL[[#This Row],[VEHIDCODE]],GRAPHICS_PROPERTIES[VEHIDCODE],GRAPHICS_PROPERTIES[TEMPLATE_ID]&amp;GRAPHICS_PROPERTIES[TEMPLATE_AMENDMENT_CODE])</f>
        <v>TPL_01B</v>
      </c>
    </row>
    <row r="52" spans="1:18" x14ac:dyDescent="0.35">
      <c r="A52" s="2" t="s">
        <v>2696</v>
      </c>
      <c r="B52" s="21" t="str">
        <f>_xlfn.TEXTAFTER(CONTROL[[#This Row],[VEHIDCODE]],"_")</f>
        <v>HAWA_AEG_Kleinbahn_Nr__1_3</v>
      </c>
      <c r="C52" t="str" cm="1">
        <f t="array" ref="C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2" t="str" cm="1">
        <f t="array" ref="D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2">
        <v>3021</v>
      </c>
      <c r="F52" s="32" t="s">
        <v>2087</v>
      </c>
      <c r="G52" t="s">
        <v>1089</v>
      </c>
      <c r="H52" s="2" t="b">
        <f>AND(CONTROL[[#This Row],[IS_WAGON_OR_COACH]]=TRUE,OR(RIGHT(CONTROL[[#This Row],[VEHIDCODE]],7)="Powered",RIGHT(CONTROL[[#This Row],[VEHIDCODE]],9)="Unpowered"))</f>
        <v>0</v>
      </c>
      <c r="I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" t="b">
        <f>ISNUMBER(_xlfn.XMATCH(CONTROL[[#This Row],[VEHIDCODE]],TRACK_TYPES[VEHIDCODE],0))</f>
        <v>1</v>
      </c>
      <c r="K52" t="b">
        <f>ISNUMBER(_xlfn.XMATCH(CONTROL[[#This Row],[VEHIDCODE]],PROPERTIES[VEHIDCODE],0))</f>
        <v>1</v>
      </c>
      <c r="L52" t="b">
        <f>ISNUMBER(_xlfn.XLOOKUP(CONTROL[[#This Row],[VEHIDCODE]],roster!A:A,roster!D:D))</f>
        <v>1</v>
      </c>
      <c r="M52" t="b">
        <f>ISNUMBER(_xlfn.XMATCH(CONTROL[[#This Row],[VEHIDCODE]],GRAPHICS_PROPERTIES[VEHIDCODE],0))</f>
        <v>1</v>
      </c>
      <c r="N52" s="21" t="str">
        <f>"item_"&amp;CONTROL[[#This Row],[VEHIDCODE]]</f>
        <v>item_rbe_HAWA_AEG_Kleinbahn_Nr__1_3</v>
      </c>
      <c r="O52" s="21" t="str">
        <f>"str_"&amp;CONTROL[[#This Row],[VEHIDCODE]]</f>
        <v>str_rbe_HAWA_AEG_Kleinbahn_Nr__1_3</v>
      </c>
      <c r="P52" s="7" t="b">
        <f>_xlfn.XLOOKUP(CONTROL[[#This Row],[VEHIDCODE]],PROPERTIES[VEHIDCODE],PROPERTIES[IS_CONCEPT])="IS_CONCEPT"</f>
        <v>0</v>
      </c>
      <c r="Q52" s="7" t="b">
        <f>_xlfn.XLOOKUP(CONTROL[[#This Row],[VEHIDCODE]],PROPERTIES[VEHIDCODE],PROPERTIES[EXCLUDE])</f>
        <v>0</v>
      </c>
      <c r="R52" t="str" cm="1">
        <f t="array" ref="R52">_xlfn.XLOOKUP(CONTROL[[#This Row],[VEHIDCODE]],GRAPHICS_PROPERTIES[VEHIDCODE],GRAPHICS_PROPERTIES[TEMPLATE_ID]&amp;GRAPHICS_PROPERTIES[TEMPLATE_AMENDMENT_CODE])</f>
        <v>TPL_01B</v>
      </c>
    </row>
    <row r="53" spans="1:18" x14ac:dyDescent="0.35">
      <c r="A53" s="2" t="s">
        <v>3471</v>
      </c>
      <c r="B53" s="21" t="str">
        <f>_xlfn.TEXTAFTER(CONTROL[[#This Row],[VEHIDCODE]],"_")</f>
        <v>Raw_Schoneweide_479_201</v>
      </c>
      <c r="C53" t="str" cm="1">
        <f t="array" ref="C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3" t="str" cm="1">
        <f t="array" ref="D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3">
        <v>3020</v>
      </c>
      <c r="F53" s="32" t="s">
        <v>3697</v>
      </c>
      <c r="G53" t="s">
        <v>1091</v>
      </c>
      <c r="H53" s="2" t="b">
        <f>AND(CONTROL[[#This Row],[IS_WAGON_OR_COACH]]=TRUE,OR(RIGHT(CONTROL[[#This Row],[VEHIDCODE]],7)="Powered",RIGHT(CONTROL[[#This Row],[VEHIDCODE]],9)="Unpowered"))</f>
        <v>0</v>
      </c>
      <c r="I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" t="b">
        <f>ISNUMBER(_xlfn.XMATCH(CONTROL[[#This Row],[VEHIDCODE]],TRACK_TYPES[VEHIDCODE],0))</f>
        <v>1</v>
      </c>
      <c r="K53" t="b">
        <f>ISNUMBER(_xlfn.XMATCH(CONTROL[[#This Row],[VEHIDCODE]],PROPERTIES[VEHIDCODE],0))</f>
        <v>1</v>
      </c>
      <c r="L53" t="b">
        <f>ISNUMBER(_xlfn.XLOOKUP(CONTROL[[#This Row],[VEHIDCODE]],roster!A:A,roster!D:D))</f>
        <v>1</v>
      </c>
      <c r="M53" t="b">
        <f>ISNUMBER(_xlfn.XMATCH(CONTROL[[#This Row],[VEHIDCODE]],GRAPHICS_PROPERTIES[VEHIDCODE],0))</f>
        <v>1</v>
      </c>
      <c r="N53" s="21" t="str">
        <f>"item_"&amp;CONTROL[[#This Row],[VEHIDCODE]]</f>
        <v>item_rbe_Raw_Schoneweide_479_201</v>
      </c>
      <c r="O53" s="21" t="str">
        <f>"str_"&amp;CONTROL[[#This Row],[VEHIDCODE]]</f>
        <v>str_rbe_Raw_Schoneweide_479_201</v>
      </c>
      <c r="P53" s="7" t="b">
        <f>_xlfn.XLOOKUP(CONTROL[[#This Row],[VEHIDCODE]],PROPERTIES[VEHIDCODE],PROPERTIES[IS_CONCEPT])="IS_CONCEPT"</f>
        <v>0</v>
      </c>
      <c r="Q53" s="7" t="b">
        <f>_xlfn.XLOOKUP(CONTROL[[#This Row],[VEHIDCODE]],PROPERTIES[VEHIDCODE],PROPERTIES[EXCLUDE])</f>
        <v>0</v>
      </c>
      <c r="R53" t="str" cm="1">
        <f t="array" ref="R53">_xlfn.XLOOKUP(CONTROL[[#This Row],[VEHIDCODE]],GRAPHICS_PROPERTIES[VEHIDCODE],GRAPHICS_PROPERTIES[TEMPLATE_ID]&amp;GRAPHICS_PROPERTIES[TEMPLATE_AMENDMENT_CODE])</f>
        <v>TPL_01B</v>
      </c>
    </row>
    <row r="54" spans="1:18" x14ac:dyDescent="0.35">
      <c r="A54" s="2" t="s">
        <v>2697</v>
      </c>
      <c r="B54" s="21" t="str">
        <f>_xlfn.TEXTAFTER(CONTROL[[#This Row],[VEHIDCODE]],"_")</f>
        <v>Studenka_425_95</v>
      </c>
      <c r="C54" t="str" cm="1">
        <f t="array" ref="C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4" t="str" cm="1">
        <f t="array" ref="D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4">
        <v>3008</v>
      </c>
      <c r="F54" s="32" t="s">
        <v>2088</v>
      </c>
      <c r="G54" t="s">
        <v>1090</v>
      </c>
      <c r="H54" s="2" t="b">
        <f>AND(CONTROL[[#This Row],[IS_WAGON_OR_COACH]]=TRUE,OR(RIGHT(CONTROL[[#This Row],[VEHIDCODE]],7)="Powered",RIGHT(CONTROL[[#This Row],[VEHIDCODE]],9)="Unpowered"))</f>
        <v>0</v>
      </c>
      <c r="I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" t="b">
        <f>ISNUMBER(_xlfn.XMATCH(CONTROL[[#This Row],[VEHIDCODE]],TRACK_TYPES[VEHIDCODE],0))</f>
        <v>1</v>
      </c>
      <c r="K54" t="b">
        <f>ISNUMBER(_xlfn.XMATCH(CONTROL[[#This Row],[VEHIDCODE]],PROPERTIES[VEHIDCODE],0))</f>
        <v>1</v>
      </c>
      <c r="L54" t="b">
        <f>ISNUMBER(_xlfn.XLOOKUP(CONTROL[[#This Row],[VEHIDCODE]],roster!A:A,roster!D:D))</f>
        <v>1</v>
      </c>
      <c r="M54" t="b">
        <f>ISNUMBER(_xlfn.XMATCH(CONTROL[[#This Row],[VEHIDCODE]],GRAPHICS_PROPERTIES[VEHIDCODE],0))</f>
        <v>1</v>
      </c>
      <c r="N54" s="21" t="str">
        <f>"item_"&amp;CONTROL[[#This Row],[VEHIDCODE]]</f>
        <v>item_rbe_Studenka_425_95</v>
      </c>
      <c r="O54" s="21" t="str">
        <f>"str_"&amp;CONTROL[[#This Row],[VEHIDCODE]]</f>
        <v>str_rbe_Studenka_425_95</v>
      </c>
      <c r="P54" s="7" t="b">
        <f>_xlfn.XLOOKUP(CONTROL[[#This Row],[VEHIDCODE]],PROPERTIES[VEHIDCODE],PROPERTIES[IS_CONCEPT])="IS_CONCEPT"</f>
        <v>0</v>
      </c>
      <c r="Q54" s="7" t="b">
        <f>_xlfn.XLOOKUP(CONTROL[[#This Row],[VEHIDCODE]],PROPERTIES[VEHIDCODE],PROPERTIES[EXCLUDE])</f>
        <v>0</v>
      </c>
      <c r="R54" t="str" cm="1">
        <f t="array" ref="R54">_xlfn.XLOOKUP(CONTROL[[#This Row],[VEHIDCODE]],GRAPHICS_PROPERTIES[VEHIDCODE],GRAPHICS_PROPERTIES[TEMPLATE_ID]&amp;GRAPHICS_PROPERTIES[TEMPLATE_AMENDMENT_CODE])</f>
        <v>TPL_01B</v>
      </c>
    </row>
    <row r="55" spans="1:18" x14ac:dyDescent="0.35">
      <c r="A55" s="2" t="s">
        <v>2698</v>
      </c>
      <c r="B55" s="21" t="str">
        <f>_xlfn.TEXTAFTER(CONTROL[[#This Row],[VEHIDCODE]],"_")</f>
        <v>Pozzuoli___OCREN_OM_ALe_840</v>
      </c>
      <c r="C55" t="str" cm="1">
        <f t="array" ref="C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5" t="str" cm="1">
        <f t="array" ref="D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5">
        <v>3004</v>
      </c>
      <c r="F55" s="32" t="s">
        <v>2089</v>
      </c>
      <c r="G55" t="s">
        <v>1092</v>
      </c>
      <c r="H55" s="2" t="b">
        <f>AND(CONTROL[[#This Row],[IS_WAGON_OR_COACH]]=TRUE,OR(RIGHT(CONTROL[[#This Row],[VEHIDCODE]],7)="Powered",RIGHT(CONTROL[[#This Row],[VEHIDCODE]],9)="Unpowered"))</f>
        <v>0</v>
      </c>
      <c r="I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" t="b">
        <f>ISNUMBER(_xlfn.XMATCH(CONTROL[[#This Row],[VEHIDCODE]],TRACK_TYPES[VEHIDCODE],0))</f>
        <v>1</v>
      </c>
      <c r="K55" t="b">
        <f>ISNUMBER(_xlfn.XMATCH(CONTROL[[#This Row],[VEHIDCODE]],PROPERTIES[VEHIDCODE],0))</f>
        <v>1</v>
      </c>
      <c r="L55" t="b">
        <f>ISNUMBER(_xlfn.XLOOKUP(CONTROL[[#This Row],[VEHIDCODE]],roster!A:A,roster!D:D))</f>
        <v>1</v>
      </c>
      <c r="M55" t="b">
        <f>ISNUMBER(_xlfn.XMATCH(CONTROL[[#This Row],[VEHIDCODE]],GRAPHICS_PROPERTIES[VEHIDCODE],0))</f>
        <v>1</v>
      </c>
      <c r="N55" s="21" t="str">
        <f>"item_"&amp;CONTROL[[#This Row],[VEHIDCODE]]</f>
        <v>item_rbe_Pozzuoli___OCREN_OM_ALe_840</v>
      </c>
      <c r="O55" s="21" t="str">
        <f>"str_"&amp;CONTROL[[#This Row],[VEHIDCODE]]</f>
        <v>str_rbe_Pozzuoli___OCREN_OM_ALe_840</v>
      </c>
      <c r="P55" s="7" t="b">
        <f>_xlfn.XLOOKUP(CONTROL[[#This Row],[VEHIDCODE]],PROPERTIES[VEHIDCODE],PROPERTIES[IS_CONCEPT])="IS_CONCEPT"</f>
        <v>0</v>
      </c>
      <c r="Q55" s="7" t="b">
        <f>_xlfn.XLOOKUP(CONTROL[[#This Row],[VEHIDCODE]],PROPERTIES[VEHIDCODE],PROPERTIES[EXCLUDE])</f>
        <v>0</v>
      </c>
      <c r="R55" t="str" cm="1">
        <f t="array" ref="R55">_xlfn.XLOOKUP(CONTROL[[#This Row],[VEHIDCODE]],GRAPHICS_PROPERTIES[VEHIDCODE],GRAPHICS_PROPERTIES[TEMPLATE_ID]&amp;GRAPHICS_PROPERTIES[TEMPLATE_AMENDMENT_CODE])</f>
        <v>TPL_01B</v>
      </c>
    </row>
    <row r="56" spans="1:18" x14ac:dyDescent="0.35">
      <c r="A56" s="2" t="s">
        <v>2699</v>
      </c>
      <c r="B56" s="21" t="str">
        <f>_xlfn.TEXTAFTER(CONTROL[[#This Row],[VEHIDCODE]],"_")</f>
        <v>Stanga_ALe_80</v>
      </c>
      <c r="C56" t="str" cm="1">
        <f t="array" ref="C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6" t="str" cm="1">
        <f t="array" ref="D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6">
        <v>3014</v>
      </c>
      <c r="F56" s="32" t="s">
        <v>2090</v>
      </c>
      <c r="G56" t="s">
        <v>1093</v>
      </c>
      <c r="H56" s="2" t="b">
        <f>AND(CONTROL[[#This Row],[IS_WAGON_OR_COACH]]=TRUE,OR(RIGHT(CONTROL[[#This Row],[VEHIDCODE]],7)="Powered",RIGHT(CONTROL[[#This Row],[VEHIDCODE]],9)="Unpowered"))</f>
        <v>0</v>
      </c>
      <c r="I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" t="b">
        <f>ISNUMBER(_xlfn.XMATCH(CONTROL[[#This Row],[VEHIDCODE]],TRACK_TYPES[VEHIDCODE],0))</f>
        <v>1</v>
      </c>
      <c r="K56" t="b">
        <f>ISNUMBER(_xlfn.XMATCH(CONTROL[[#This Row],[VEHIDCODE]],PROPERTIES[VEHIDCODE],0))</f>
        <v>1</v>
      </c>
      <c r="L56" t="b">
        <f>ISNUMBER(_xlfn.XLOOKUP(CONTROL[[#This Row],[VEHIDCODE]],roster!A:A,roster!D:D))</f>
        <v>1</v>
      </c>
      <c r="M56" t="b">
        <f>ISNUMBER(_xlfn.XMATCH(CONTROL[[#This Row],[VEHIDCODE]],GRAPHICS_PROPERTIES[VEHIDCODE],0))</f>
        <v>1</v>
      </c>
      <c r="N56" s="21" t="str">
        <f>"item_"&amp;CONTROL[[#This Row],[VEHIDCODE]]</f>
        <v>item_rbe_Stanga_ALe_80</v>
      </c>
      <c r="O56" s="21" t="str">
        <f>"str_"&amp;CONTROL[[#This Row],[VEHIDCODE]]</f>
        <v>str_rbe_Stanga_ALe_80</v>
      </c>
      <c r="P56" s="7" t="b">
        <f>_xlfn.XLOOKUP(CONTROL[[#This Row],[VEHIDCODE]],PROPERTIES[VEHIDCODE],PROPERTIES[IS_CONCEPT])="IS_CONCEPT"</f>
        <v>0</v>
      </c>
      <c r="Q56" s="7" t="b">
        <f>_xlfn.XLOOKUP(CONTROL[[#This Row],[VEHIDCODE]],PROPERTIES[VEHIDCODE],PROPERTIES[EXCLUDE])</f>
        <v>0</v>
      </c>
      <c r="R56" t="str" cm="1">
        <f t="array" ref="R56">_xlfn.XLOOKUP(CONTROL[[#This Row],[VEHIDCODE]],GRAPHICS_PROPERTIES[VEHIDCODE],GRAPHICS_PROPERTIES[TEMPLATE_ID]&amp;GRAPHICS_PROPERTIES[TEMPLATE_AMENDMENT_CODE])</f>
        <v>TPL_01B</v>
      </c>
    </row>
    <row r="57" spans="1:18" x14ac:dyDescent="0.35">
      <c r="A57" s="2" t="s">
        <v>2700</v>
      </c>
      <c r="B57" s="21" t="str">
        <f>_xlfn.TEXTAFTER(CONTROL[[#This Row],[VEHIDCODE]],"_")</f>
        <v>FS_E_623</v>
      </c>
      <c r="C57" t="str" cm="1">
        <f t="array" ref="C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7" t="str" cm="1">
        <f t="array" ref="D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7">
        <v>3009</v>
      </c>
      <c r="F57" s="32" t="s">
        <v>358</v>
      </c>
      <c r="G57" t="s">
        <v>1094</v>
      </c>
      <c r="H57" s="2" t="b">
        <f>AND(CONTROL[[#This Row],[IS_WAGON_OR_COACH]]=TRUE,OR(RIGHT(CONTROL[[#This Row],[VEHIDCODE]],7)="Powered",RIGHT(CONTROL[[#This Row],[VEHIDCODE]],9)="Unpowered"))</f>
        <v>0</v>
      </c>
      <c r="I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7" t="b">
        <f>ISNUMBER(_xlfn.XMATCH(CONTROL[[#This Row],[VEHIDCODE]],TRACK_TYPES[VEHIDCODE],0))</f>
        <v>1</v>
      </c>
      <c r="K57" t="b">
        <f>ISNUMBER(_xlfn.XMATCH(CONTROL[[#This Row],[VEHIDCODE]],PROPERTIES[VEHIDCODE],0))</f>
        <v>1</v>
      </c>
      <c r="L57" t="b">
        <f>ISNUMBER(_xlfn.XLOOKUP(CONTROL[[#This Row],[VEHIDCODE]],roster!A:A,roster!D:D))</f>
        <v>1</v>
      </c>
      <c r="M57" t="b">
        <f>ISNUMBER(_xlfn.XMATCH(CONTROL[[#This Row],[VEHIDCODE]],GRAPHICS_PROPERTIES[VEHIDCODE],0))</f>
        <v>1</v>
      </c>
      <c r="N57" s="21" t="str">
        <f>"item_"&amp;CONTROL[[#This Row],[VEHIDCODE]]</f>
        <v>item_rbe_FS_E_623</v>
      </c>
      <c r="O57" s="21" t="str">
        <f>"str_"&amp;CONTROL[[#This Row],[VEHIDCODE]]</f>
        <v>str_rbe_FS_E_623</v>
      </c>
      <c r="P57" s="7" t="b">
        <f>_xlfn.XLOOKUP(CONTROL[[#This Row],[VEHIDCODE]],PROPERTIES[VEHIDCODE],PROPERTIES[IS_CONCEPT])="IS_CONCEPT"</f>
        <v>0</v>
      </c>
      <c r="Q57" s="7" t="b">
        <f>_xlfn.XLOOKUP(CONTROL[[#This Row],[VEHIDCODE]],PROPERTIES[VEHIDCODE],PROPERTIES[EXCLUDE])</f>
        <v>0</v>
      </c>
      <c r="R57" t="str" cm="1">
        <f t="array" ref="R57">_xlfn.XLOOKUP(CONTROL[[#This Row],[VEHIDCODE]],GRAPHICS_PROPERTIES[VEHIDCODE],GRAPHICS_PROPERTIES[TEMPLATE_ID]&amp;GRAPHICS_PROPERTIES[TEMPLATE_AMENDMENT_CODE])</f>
        <v>TPL_01B</v>
      </c>
    </row>
    <row r="58" spans="1:18" x14ac:dyDescent="0.35">
      <c r="A58" s="2" t="s">
        <v>2701</v>
      </c>
      <c r="B58" s="21" t="str">
        <f>_xlfn.TEXTAFTER(CONTROL[[#This Row],[VEHIDCODE]],"_")</f>
        <v>ONCF_ZAB1000</v>
      </c>
      <c r="C58" t="str" cm="1">
        <f t="array" ref="C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8" t="str" cm="1">
        <f t="array" ref="D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8">
        <v>3001</v>
      </c>
      <c r="F58" s="32" t="s">
        <v>527</v>
      </c>
      <c r="G58" t="s">
        <v>1095</v>
      </c>
      <c r="H58" s="2" t="b">
        <f>AND(CONTROL[[#This Row],[IS_WAGON_OR_COACH]]=TRUE,OR(RIGHT(CONTROL[[#This Row],[VEHIDCODE]],7)="Powered",RIGHT(CONTROL[[#This Row],[VEHIDCODE]],9)="Unpowered"))</f>
        <v>0</v>
      </c>
      <c r="I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8" t="b">
        <f>ISNUMBER(_xlfn.XMATCH(CONTROL[[#This Row],[VEHIDCODE]],TRACK_TYPES[VEHIDCODE],0))</f>
        <v>1</v>
      </c>
      <c r="K58" t="b">
        <f>ISNUMBER(_xlfn.XMATCH(CONTROL[[#This Row],[VEHIDCODE]],PROPERTIES[VEHIDCODE],0))</f>
        <v>1</v>
      </c>
      <c r="L58" t="b">
        <f>ISNUMBER(_xlfn.XLOOKUP(CONTROL[[#This Row],[VEHIDCODE]],roster!A:A,roster!D:D))</f>
        <v>1</v>
      </c>
      <c r="M58" t="b">
        <f>ISNUMBER(_xlfn.XMATCH(CONTROL[[#This Row],[VEHIDCODE]],GRAPHICS_PROPERTIES[VEHIDCODE],0))</f>
        <v>1</v>
      </c>
      <c r="N58" s="21" t="str">
        <f>"item_"&amp;CONTROL[[#This Row],[VEHIDCODE]]</f>
        <v>item_rbe_ONCF_ZAB1000</v>
      </c>
      <c r="O58" s="21" t="str">
        <f>"str_"&amp;CONTROL[[#This Row],[VEHIDCODE]]</f>
        <v>str_rbe_ONCF_ZAB1000</v>
      </c>
      <c r="P58" s="7" t="b">
        <f>_xlfn.XLOOKUP(CONTROL[[#This Row],[VEHIDCODE]],PROPERTIES[VEHIDCODE],PROPERTIES[IS_CONCEPT])="IS_CONCEPT"</f>
        <v>0</v>
      </c>
      <c r="Q58" s="7" t="b">
        <f>_xlfn.XLOOKUP(CONTROL[[#This Row],[VEHIDCODE]],PROPERTIES[VEHIDCODE],PROPERTIES[EXCLUDE])</f>
        <v>0</v>
      </c>
      <c r="R58" t="str" cm="1">
        <f t="array" ref="R58">_xlfn.XLOOKUP(CONTROL[[#This Row],[VEHIDCODE]],GRAPHICS_PROPERTIES[VEHIDCODE],GRAPHICS_PROPERTIES[TEMPLATE_ID]&amp;GRAPHICS_PROPERTIES[TEMPLATE_AMENDMENT_CODE])</f>
        <v>TPL_01B</v>
      </c>
    </row>
    <row r="59" spans="1:18" x14ac:dyDescent="0.35">
      <c r="A59" s="2" t="s">
        <v>2702</v>
      </c>
      <c r="B59" s="21" t="str">
        <f>_xlfn.TEXTAFTER(CONTROL[[#This Row],[VEHIDCODE]],"_")</f>
        <v>Pesa_308B</v>
      </c>
      <c r="C59" t="str" cm="1">
        <f t="array" ref="C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" t="str" cm="1">
        <f t="array" ref="D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">
        <v>3018</v>
      </c>
      <c r="F59" s="32" t="s">
        <v>1965</v>
      </c>
      <c r="G59" t="s">
        <v>1096</v>
      </c>
      <c r="H59" s="2" t="b">
        <f>AND(CONTROL[[#This Row],[IS_WAGON_OR_COACH]]=TRUE,OR(RIGHT(CONTROL[[#This Row],[VEHIDCODE]],7)="Powered",RIGHT(CONTROL[[#This Row],[VEHIDCODE]],9)="Unpowered"))</f>
        <v>0</v>
      </c>
      <c r="I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" t="b">
        <f>ISNUMBER(_xlfn.XMATCH(CONTROL[[#This Row],[VEHIDCODE]],TRACK_TYPES[VEHIDCODE],0))</f>
        <v>1</v>
      </c>
      <c r="K59" t="b">
        <f>ISNUMBER(_xlfn.XMATCH(CONTROL[[#This Row],[VEHIDCODE]],PROPERTIES[VEHIDCODE],0))</f>
        <v>1</v>
      </c>
      <c r="L59" t="b">
        <f>ISNUMBER(_xlfn.XLOOKUP(CONTROL[[#This Row],[VEHIDCODE]],roster!A:A,roster!D:D))</f>
        <v>1</v>
      </c>
      <c r="M59" t="b">
        <f>ISNUMBER(_xlfn.XMATCH(CONTROL[[#This Row],[VEHIDCODE]],GRAPHICS_PROPERTIES[VEHIDCODE],0))</f>
        <v>1</v>
      </c>
      <c r="N59" s="21" t="str">
        <f>"item_"&amp;CONTROL[[#This Row],[VEHIDCODE]]</f>
        <v>item_rbe_Pesa_308B</v>
      </c>
      <c r="O59" s="21" t="str">
        <f>"str_"&amp;CONTROL[[#This Row],[VEHIDCODE]]</f>
        <v>str_rbe_Pesa_308B</v>
      </c>
      <c r="P59" s="7" t="b">
        <f>_xlfn.XLOOKUP(CONTROL[[#This Row],[VEHIDCODE]],PROPERTIES[VEHIDCODE],PROPERTIES[IS_CONCEPT])="IS_CONCEPT"</f>
        <v>0</v>
      </c>
      <c r="Q59" s="7" t="b">
        <f>_xlfn.XLOOKUP(CONTROL[[#This Row],[VEHIDCODE]],PROPERTIES[VEHIDCODE],PROPERTIES[EXCLUDE])</f>
        <v>0</v>
      </c>
      <c r="R59" t="str" cm="1">
        <f t="array" ref="R59">_xlfn.XLOOKUP(CONTROL[[#This Row],[VEHIDCODE]],GRAPHICS_PROPERTIES[VEHIDCODE],GRAPHICS_PROPERTIES[TEMPLATE_ID]&amp;GRAPHICS_PROPERTIES[TEMPLATE_AMENDMENT_CODE])</f>
        <v>TPL_01B</v>
      </c>
    </row>
    <row r="60" spans="1:18" x14ac:dyDescent="0.35">
      <c r="A60" s="2" t="s">
        <v>2703</v>
      </c>
      <c r="B60" s="21" t="str">
        <f>_xlfn.TEXTAFTER(CONTROL[[#This Row],[VEHIDCODE]],"_")</f>
        <v>Franz_Knotz_4855</v>
      </c>
      <c r="C60" t="str" cm="1">
        <f t="array" ref="C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0" t="str" cm="1">
        <f t="array" ref="D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0">
        <v>3015</v>
      </c>
      <c r="F60" s="32" t="s">
        <v>2091</v>
      </c>
      <c r="G60" t="s">
        <v>1097</v>
      </c>
      <c r="H60" s="2" t="b">
        <f>AND(CONTROL[[#This Row],[IS_WAGON_OR_COACH]]=TRUE,OR(RIGHT(CONTROL[[#This Row],[VEHIDCODE]],7)="Powered",RIGHT(CONTROL[[#This Row],[VEHIDCODE]],9)="Unpowered"))</f>
        <v>0</v>
      </c>
      <c r="I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" t="b">
        <f>ISNUMBER(_xlfn.XMATCH(CONTROL[[#This Row],[VEHIDCODE]],TRACK_TYPES[VEHIDCODE],0))</f>
        <v>1</v>
      </c>
      <c r="K60" t="b">
        <f>ISNUMBER(_xlfn.XMATCH(CONTROL[[#This Row],[VEHIDCODE]],PROPERTIES[VEHIDCODE],0))</f>
        <v>1</v>
      </c>
      <c r="L60" t="b">
        <f>ISNUMBER(_xlfn.XLOOKUP(CONTROL[[#This Row],[VEHIDCODE]],roster!A:A,roster!D:D))</f>
        <v>1</v>
      </c>
      <c r="M60" t="b">
        <f>ISNUMBER(_xlfn.XMATCH(CONTROL[[#This Row],[VEHIDCODE]],GRAPHICS_PROPERTIES[VEHIDCODE],0))</f>
        <v>1</v>
      </c>
      <c r="N60" s="21" t="str">
        <f>"item_"&amp;CONTROL[[#This Row],[VEHIDCODE]]</f>
        <v>item_rbe_Franz_Knotz_4855</v>
      </c>
      <c r="O60" s="21" t="str">
        <f>"str_"&amp;CONTROL[[#This Row],[VEHIDCODE]]</f>
        <v>str_rbe_Franz_Knotz_4855</v>
      </c>
      <c r="P60" s="7" t="b">
        <f>_xlfn.XLOOKUP(CONTROL[[#This Row],[VEHIDCODE]],PROPERTIES[VEHIDCODE],PROPERTIES[IS_CONCEPT])="IS_CONCEPT"</f>
        <v>0</v>
      </c>
      <c r="Q60" s="7" t="b">
        <f>_xlfn.XLOOKUP(CONTROL[[#This Row],[VEHIDCODE]],PROPERTIES[VEHIDCODE],PROPERTIES[EXCLUDE])</f>
        <v>0</v>
      </c>
      <c r="R60" t="str" cm="1">
        <f t="array" ref="R60">_xlfn.XLOOKUP(CONTROL[[#This Row],[VEHIDCODE]],GRAPHICS_PROPERTIES[VEHIDCODE],GRAPHICS_PROPERTIES[TEMPLATE_ID]&amp;GRAPHICS_PROPERTIES[TEMPLATE_AMENDMENT_CODE])</f>
        <v>TPL_01B</v>
      </c>
    </row>
    <row r="61" spans="1:18" x14ac:dyDescent="0.35">
      <c r="A61" s="2" t="s">
        <v>2704</v>
      </c>
      <c r="B61" s="21" t="str">
        <f>_xlfn.TEXTAFTER(CONTROL[[#This Row],[VEHIDCODE]],"_")</f>
        <v>Lindner_Talbot_ET_10_109</v>
      </c>
      <c r="C61" t="str" cm="1">
        <f t="array" ref="C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1" t="str" cm="1">
        <f t="array" ref="D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1">
        <v>3017</v>
      </c>
      <c r="F61" s="32" t="s">
        <v>2092</v>
      </c>
      <c r="G61" t="s">
        <v>1098</v>
      </c>
      <c r="H61" s="2" t="b">
        <f>AND(CONTROL[[#This Row],[IS_WAGON_OR_COACH]]=TRUE,OR(RIGHT(CONTROL[[#This Row],[VEHIDCODE]],7)="Powered",RIGHT(CONTROL[[#This Row],[VEHIDCODE]],9)="Unpowered"))</f>
        <v>0</v>
      </c>
      <c r="I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" t="b">
        <f>ISNUMBER(_xlfn.XMATCH(CONTROL[[#This Row],[VEHIDCODE]],TRACK_TYPES[VEHIDCODE],0))</f>
        <v>1</v>
      </c>
      <c r="K61" t="b">
        <f>ISNUMBER(_xlfn.XMATCH(CONTROL[[#This Row],[VEHIDCODE]],PROPERTIES[VEHIDCODE],0))</f>
        <v>1</v>
      </c>
      <c r="L61" t="b">
        <f>ISNUMBER(_xlfn.XLOOKUP(CONTROL[[#This Row],[VEHIDCODE]],roster!A:A,roster!D:D))</f>
        <v>1</v>
      </c>
      <c r="M61" t="b">
        <f>ISNUMBER(_xlfn.XMATCH(CONTROL[[#This Row],[VEHIDCODE]],GRAPHICS_PROPERTIES[VEHIDCODE],0))</f>
        <v>1</v>
      </c>
      <c r="N61" s="21" t="str">
        <f>"item_"&amp;CONTROL[[#This Row],[VEHIDCODE]]</f>
        <v>item_rbe_Lindner_Talbot_ET_10_109</v>
      </c>
      <c r="O61" s="21" t="str">
        <f>"str_"&amp;CONTROL[[#This Row],[VEHIDCODE]]</f>
        <v>str_rbe_Lindner_Talbot_ET_10_109</v>
      </c>
      <c r="P61" s="7" t="b">
        <f>_xlfn.XLOOKUP(CONTROL[[#This Row],[VEHIDCODE]],PROPERTIES[VEHIDCODE],PROPERTIES[IS_CONCEPT])="IS_CONCEPT"</f>
        <v>0</v>
      </c>
      <c r="Q61" s="7" t="b">
        <f>_xlfn.XLOOKUP(CONTROL[[#This Row],[VEHIDCODE]],PROPERTIES[VEHIDCODE],PROPERTIES[EXCLUDE])</f>
        <v>0</v>
      </c>
      <c r="R61" t="str" cm="1">
        <f t="array" ref="R61">_xlfn.XLOOKUP(CONTROL[[#This Row],[VEHIDCODE]],GRAPHICS_PROPERTIES[VEHIDCODE],GRAPHICS_PROPERTIES[TEMPLATE_ID]&amp;GRAPHICS_PROPERTIES[TEMPLATE_AMENDMENT_CODE])</f>
        <v>TPL_01B</v>
      </c>
    </row>
    <row r="62" spans="1:18" x14ac:dyDescent="0.35">
      <c r="A62" s="2" t="s">
        <v>2705</v>
      </c>
      <c r="B62" s="21" t="str">
        <f>_xlfn.TEXTAFTER(CONTROL[[#This Row],[VEHIDCODE]],"_")</f>
        <v>Waggonfabrik_Fuchs_ET_85</v>
      </c>
      <c r="C62" t="str" cm="1">
        <f t="array" ref="C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2" t="str" cm="1">
        <f t="array" ref="D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2">
        <v>3002</v>
      </c>
      <c r="F62" s="32" t="s">
        <v>2093</v>
      </c>
      <c r="G62" t="s">
        <v>1099</v>
      </c>
      <c r="H62" s="2" t="b">
        <f>AND(CONTROL[[#This Row],[IS_WAGON_OR_COACH]]=TRUE,OR(RIGHT(CONTROL[[#This Row],[VEHIDCODE]],7)="Powered",RIGHT(CONTROL[[#This Row],[VEHIDCODE]],9)="Unpowered"))</f>
        <v>0</v>
      </c>
      <c r="I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" t="b">
        <f>ISNUMBER(_xlfn.XMATCH(CONTROL[[#This Row],[VEHIDCODE]],TRACK_TYPES[VEHIDCODE],0))</f>
        <v>1</v>
      </c>
      <c r="K62" t="b">
        <f>ISNUMBER(_xlfn.XMATCH(CONTROL[[#This Row],[VEHIDCODE]],PROPERTIES[VEHIDCODE],0))</f>
        <v>1</v>
      </c>
      <c r="L62" t="b">
        <f>ISNUMBER(_xlfn.XLOOKUP(CONTROL[[#This Row],[VEHIDCODE]],roster!A:A,roster!D:D))</f>
        <v>1</v>
      </c>
      <c r="M62" t="b">
        <f>ISNUMBER(_xlfn.XMATCH(CONTROL[[#This Row],[VEHIDCODE]],GRAPHICS_PROPERTIES[VEHIDCODE],0))</f>
        <v>1</v>
      </c>
      <c r="N62" s="21" t="str">
        <f>"item_"&amp;CONTROL[[#This Row],[VEHIDCODE]]</f>
        <v>item_rbe_Waggonfabrik_Fuchs_ET_85</v>
      </c>
      <c r="O62" s="21" t="str">
        <f>"str_"&amp;CONTROL[[#This Row],[VEHIDCODE]]</f>
        <v>str_rbe_Waggonfabrik_Fuchs_ET_85</v>
      </c>
      <c r="P62" s="7" t="b">
        <f>_xlfn.XLOOKUP(CONTROL[[#This Row],[VEHIDCODE]],PROPERTIES[VEHIDCODE],PROPERTIES[IS_CONCEPT])="IS_CONCEPT"</f>
        <v>0</v>
      </c>
      <c r="Q62" s="7" t="b">
        <f>_xlfn.XLOOKUP(CONTROL[[#This Row],[VEHIDCODE]],PROPERTIES[VEHIDCODE],PROPERTIES[EXCLUDE])</f>
        <v>0</v>
      </c>
      <c r="R62" t="str" cm="1">
        <f t="array" ref="R62">_xlfn.XLOOKUP(CONTROL[[#This Row],[VEHIDCODE]],GRAPHICS_PROPERTIES[VEHIDCODE],GRAPHICS_PROPERTIES[TEMPLATE_ID]&amp;GRAPHICS_PROPERTIES[TEMPLATE_AMENDMENT_CODE])</f>
        <v>TPL_01B</v>
      </c>
    </row>
    <row r="63" spans="1:18" x14ac:dyDescent="0.35">
      <c r="A63" s="2" t="s">
        <v>2706</v>
      </c>
      <c r="B63" s="21" t="str">
        <f>_xlfn.TEXTAFTER(CONTROL[[#This Row],[VEHIDCODE]],"_")</f>
        <v>ASJ_Y6</v>
      </c>
      <c r="C63" t="str" cm="1">
        <f t="array" ref="C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3" t="str" cm="1">
        <f t="array" ref="D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3">
        <v>3010</v>
      </c>
      <c r="F63" s="32" t="s">
        <v>2094</v>
      </c>
      <c r="G63" t="s">
        <v>1100</v>
      </c>
      <c r="H63" s="2" t="b">
        <f>AND(CONTROL[[#This Row],[IS_WAGON_OR_COACH]]=TRUE,OR(RIGHT(CONTROL[[#This Row],[VEHIDCODE]],7)="Powered",RIGHT(CONTROL[[#This Row],[VEHIDCODE]],9)="Unpowered"))</f>
        <v>0</v>
      </c>
      <c r="I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" t="b">
        <f>ISNUMBER(_xlfn.XMATCH(CONTROL[[#This Row],[VEHIDCODE]],TRACK_TYPES[VEHIDCODE],0))</f>
        <v>1</v>
      </c>
      <c r="K63" t="b">
        <f>ISNUMBER(_xlfn.XMATCH(CONTROL[[#This Row],[VEHIDCODE]],PROPERTIES[VEHIDCODE],0))</f>
        <v>1</v>
      </c>
      <c r="L63" t="b">
        <f>ISNUMBER(_xlfn.XLOOKUP(CONTROL[[#This Row],[VEHIDCODE]],roster!A:A,roster!D:D))</f>
        <v>1</v>
      </c>
      <c r="M63" t="b">
        <f>ISNUMBER(_xlfn.XMATCH(CONTROL[[#This Row],[VEHIDCODE]],GRAPHICS_PROPERTIES[VEHIDCODE],0))</f>
        <v>1</v>
      </c>
      <c r="N63" s="21" t="str">
        <f>"item_"&amp;CONTROL[[#This Row],[VEHIDCODE]]</f>
        <v>item_rbe_ASJ_Y6</v>
      </c>
      <c r="O63" s="21" t="str">
        <f>"str_"&amp;CONTROL[[#This Row],[VEHIDCODE]]</f>
        <v>str_rbe_ASJ_Y6</v>
      </c>
      <c r="P63" s="7" t="b">
        <f>_xlfn.XLOOKUP(CONTROL[[#This Row],[VEHIDCODE]],PROPERTIES[VEHIDCODE],PROPERTIES[IS_CONCEPT])="IS_CONCEPT"</f>
        <v>0</v>
      </c>
      <c r="Q63" s="7" t="b">
        <f>_xlfn.XLOOKUP(CONTROL[[#This Row],[VEHIDCODE]],PROPERTIES[VEHIDCODE],PROPERTIES[EXCLUDE])</f>
        <v>0</v>
      </c>
      <c r="R63" t="str" cm="1">
        <f t="array" ref="R63">_xlfn.XLOOKUP(CONTROL[[#This Row],[VEHIDCODE]],GRAPHICS_PROPERTIES[VEHIDCODE],GRAPHICS_PROPERTIES[TEMPLATE_ID]&amp;GRAPHICS_PROPERTIES[TEMPLATE_AMENDMENT_CODE])</f>
        <v>TPL_01B</v>
      </c>
    </row>
    <row r="64" spans="1:18" x14ac:dyDescent="0.35">
      <c r="A64" s="2" t="s">
        <v>2707</v>
      </c>
      <c r="B64" s="21" t="str">
        <f>_xlfn.TEXTAFTER(CONTROL[[#This Row],[VEHIDCODE]],"_")</f>
        <v>Budd_Silverliner_II</v>
      </c>
      <c r="C64" t="str" cm="1">
        <f t="array" ref="C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4" t="str" cm="1">
        <f t="array" ref="D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4">
        <v>3013</v>
      </c>
      <c r="F64" s="32" t="s">
        <v>2095</v>
      </c>
      <c r="G64" t="s">
        <v>1101</v>
      </c>
      <c r="H64" s="2" t="b">
        <f>AND(CONTROL[[#This Row],[IS_WAGON_OR_COACH]]=TRUE,OR(RIGHT(CONTROL[[#This Row],[VEHIDCODE]],7)="Powered",RIGHT(CONTROL[[#This Row],[VEHIDCODE]],9)="Unpowered"))</f>
        <v>0</v>
      </c>
      <c r="I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" t="b">
        <f>ISNUMBER(_xlfn.XMATCH(CONTROL[[#This Row],[VEHIDCODE]],TRACK_TYPES[VEHIDCODE],0))</f>
        <v>1</v>
      </c>
      <c r="K64" t="b">
        <f>ISNUMBER(_xlfn.XMATCH(CONTROL[[#This Row],[VEHIDCODE]],PROPERTIES[VEHIDCODE],0))</f>
        <v>1</v>
      </c>
      <c r="L64" t="b">
        <f>ISNUMBER(_xlfn.XLOOKUP(CONTROL[[#This Row],[VEHIDCODE]],roster!A:A,roster!D:D))</f>
        <v>1</v>
      </c>
      <c r="M64" t="b">
        <f>ISNUMBER(_xlfn.XMATCH(CONTROL[[#This Row],[VEHIDCODE]],GRAPHICS_PROPERTIES[VEHIDCODE],0))</f>
        <v>1</v>
      </c>
      <c r="N64" s="21" t="str">
        <f>"item_"&amp;CONTROL[[#This Row],[VEHIDCODE]]</f>
        <v>item_rbe_Budd_Silverliner_II</v>
      </c>
      <c r="O64" s="21" t="str">
        <f>"str_"&amp;CONTROL[[#This Row],[VEHIDCODE]]</f>
        <v>str_rbe_Budd_Silverliner_II</v>
      </c>
      <c r="P64" s="7" t="b">
        <f>_xlfn.XLOOKUP(CONTROL[[#This Row],[VEHIDCODE]],PROPERTIES[VEHIDCODE],PROPERTIES[IS_CONCEPT])="IS_CONCEPT"</f>
        <v>0</v>
      </c>
      <c r="Q64" s="7" t="b">
        <f>_xlfn.XLOOKUP(CONTROL[[#This Row],[VEHIDCODE]],PROPERTIES[VEHIDCODE],PROPERTIES[EXCLUDE])</f>
        <v>0</v>
      </c>
      <c r="R64" t="str" cm="1">
        <f t="array" ref="R64">_xlfn.XLOOKUP(CONTROL[[#This Row],[VEHIDCODE]],GRAPHICS_PROPERTIES[VEHIDCODE],GRAPHICS_PROPERTIES[TEMPLATE_ID]&amp;GRAPHICS_PROPERTIES[TEMPLATE_AMENDMENT_CODE])</f>
        <v>TPL_01B</v>
      </c>
    </row>
    <row r="65" spans="1:18" x14ac:dyDescent="0.35">
      <c r="A65" s="2" t="s">
        <v>2708</v>
      </c>
      <c r="B65" s="21" t="str">
        <f>_xlfn.TEXTAFTER(CONTROL[[#This Row],[VEHIDCODE]],"_")</f>
        <v>Hyundai_Rotem_Silverliner_V</v>
      </c>
      <c r="C65" t="str" cm="1">
        <f t="array" ref="C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5" t="str" cm="1">
        <f t="array" ref="D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5">
        <v>3019</v>
      </c>
      <c r="F65" s="32" t="s">
        <v>2096</v>
      </c>
      <c r="G65" t="s">
        <v>1102</v>
      </c>
      <c r="H65" s="2" t="b">
        <f>AND(CONTROL[[#This Row],[IS_WAGON_OR_COACH]]=TRUE,OR(RIGHT(CONTROL[[#This Row],[VEHIDCODE]],7)="Powered",RIGHT(CONTROL[[#This Row],[VEHIDCODE]],9)="Unpowered"))</f>
        <v>0</v>
      </c>
      <c r="I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5" t="b">
        <f>ISNUMBER(_xlfn.XMATCH(CONTROL[[#This Row],[VEHIDCODE]],TRACK_TYPES[VEHIDCODE],0))</f>
        <v>1</v>
      </c>
      <c r="K65" t="b">
        <f>ISNUMBER(_xlfn.XMATCH(CONTROL[[#This Row],[VEHIDCODE]],PROPERTIES[VEHIDCODE],0))</f>
        <v>1</v>
      </c>
      <c r="L65" t="b">
        <f>ISNUMBER(_xlfn.XLOOKUP(CONTROL[[#This Row],[VEHIDCODE]],roster!A:A,roster!D:D))</f>
        <v>1</v>
      </c>
      <c r="M65" t="b">
        <f>ISNUMBER(_xlfn.XMATCH(CONTROL[[#This Row],[VEHIDCODE]],GRAPHICS_PROPERTIES[VEHIDCODE],0))</f>
        <v>1</v>
      </c>
      <c r="N65" s="21" t="str">
        <f>"item_"&amp;CONTROL[[#This Row],[VEHIDCODE]]</f>
        <v>item_rbe_Hyundai_Rotem_Silverliner_V</v>
      </c>
      <c r="O65" s="21" t="str">
        <f>"str_"&amp;CONTROL[[#This Row],[VEHIDCODE]]</f>
        <v>str_rbe_Hyundai_Rotem_Silverliner_V</v>
      </c>
      <c r="P65" s="7" t="b">
        <f>_xlfn.XLOOKUP(CONTROL[[#This Row],[VEHIDCODE]],PROPERTIES[VEHIDCODE],PROPERTIES[IS_CONCEPT])="IS_CONCEPT"</f>
        <v>0</v>
      </c>
      <c r="Q65" s="7" t="b">
        <f>_xlfn.XLOOKUP(CONTROL[[#This Row],[VEHIDCODE]],PROPERTIES[VEHIDCODE],PROPERTIES[EXCLUDE])</f>
        <v>0</v>
      </c>
      <c r="R65" t="str" cm="1">
        <f t="array" ref="R65">_xlfn.XLOOKUP(CONTROL[[#This Row],[VEHIDCODE]],GRAPHICS_PROPERTIES[VEHIDCODE],GRAPHICS_PROPERTIES[TEMPLATE_ID]&amp;GRAPHICS_PROPERTIES[TEMPLATE_AMENDMENT_CODE])</f>
        <v>TPL_01B</v>
      </c>
    </row>
    <row r="66" spans="1:18" x14ac:dyDescent="0.35">
      <c r="A66" s="2" t="s">
        <v>2709</v>
      </c>
      <c r="B66" s="21" t="str">
        <f>_xlfn.TEXTAFTER(CONTROL[[#This Row],[VEHIDCODE]],"_")</f>
        <v>John_Cockerill___Cie__Le_Belge</v>
      </c>
      <c r="C66" t="str" cm="1">
        <f t="array" ref="C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6" t="str" cm="1">
        <f t="array" ref="D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6">
        <v>4000</v>
      </c>
      <c r="F66" s="32" t="s">
        <v>2097</v>
      </c>
      <c r="G66" t="s">
        <v>1103</v>
      </c>
      <c r="H66" s="2" t="b">
        <f>AND(CONTROL[[#This Row],[IS_WAGON_OR_COACH]]=TRUE,OR(RIGHT(CONTROL[[#This Row],[VEHIDCODE]],7)="Powered",RIGHT(CONTROL[[#This Row],[VEHIDCODE]],9)="Unpowered"))</f>
        <v>0</v>
      </c>
      <c r="I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6" t="b">
        <f>ISNUMBER(_xlfn.XMATCH(CONTROL[[#This Row],[VEHIDCODE]],TRACK_TYPES[VEHIDCODE],0))</f>
        <v>1</v>
      </c>
      <c r="K66" t="b">
        <f>ISNUMBER(_xlfn.XMATCH(CONTROL[[#This Row],[VEHIDCODE]],PROPERTIES[VEHIDCODE],0))</f>
        <v>1</v>
      </c>
      <c r="L66" t="b">
        <f>ISNUMBER(_xlfn.XLOOKUP(CONTROL[[#This Row],[VEHIDCODE]],roster!A:A,roster!D:D))</f>
        <v>1</v>
      </c>
      <c r="M66" t="b">
        <f>ISNUMBER(_xlfn.XMATCH(CONTROL[[#This Row],[VEHIDCODE]],GRAPHICS_PROPERTIES[VEHIDCODE],0))</f>
        <v>1</v>
      </c>
      <c r="N66" s="21" t="str">
        <f>"item_"&amp;CONTROL[[#This Row],[VEHIDCODE]]</f>
        <v>item_steam_John_Cockerill___Cie__Le_Belge</v>
      </c>
      <c r="O66" s="21" t="str">
        <f>"str_"&amp;CONTROL[[#This Row],[VEHIDCODE]]</f>
        <v>str_steam_John_Cockerill___Cie__Le_Belge</v>
      </c>
      <c r="P66" s="7" t="b">
        <f>_xlfn.XLOOKUP(CONTROL[[#This Row],[VEHIDCODE]],PROPERTIES[VEHIDCODE],PROPERTIES[IS_CONCEPT])="IS_CONCEPT"</f>
        <v>0</v>
      </c>
      <c r="Q66" s="7" t="b">
        <f>_xlfn.XLOOKUP(CONTROL[[#This Row],[VEHIDCODE]],PROPERTIES[VEHIDCODE],PROPERTIES[EXCLUDE])</f>
        <v>0</v>
      </c>
      <c r="R66" t="str" cm="1">
        <f t="array" ref="R66">_xlfn.XLOOKUP(CONTROL[[#This Row],[VEHIDCODE]],GRAPHICS_PROPERTIES[VEHIDCODE],GRAPHICS_PROPERTIES[TEMPLATE_ID]&amp;GRAPHICS_PROPERTIES[TEMPLATE_AMENDMENT_CODE])</f>
        <v>TPL_03C</v>
      </c>
    </row>
    <row r="67" spans="1:18" x14ac:dyDescent="0.35">
      <c r="A67" s="2" t="s">
        <v>2710</v>
      </c>
      <c r="B67" s="21" t="str">
        <f>_xlfn.TEXTAFTER(CONTROL[[#This Row],[VEHIDCODE]],"_")</f>
        <v>GWR_4_4_0_American</v>
      </c>
      <c r="C67" t="str" cm="1">
        <f t="array" ref="C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7" t="str" cm="1">
        <f t="array" ref="D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7">
        <v>4036</v>
      </c>
      <c r="F67" s="32" t="s">
        <v>3680</v>
      </c>
      <c r="G67" t="s">
        <v>3509</v>
      </c>
      <c r="H67" s="2" t="b">
        <f>AND(CONTROL[[#This Row],[IS_WAGON_OR_COACH]]=TRUE,OR(RIGHT(CONTROL[[#This Row],[VEHIDCODE]],7)="Powered",RIGHT(CONTROL[[#This Row],[VEHIDCODE]],9)="Unpowered"))</f>
        <v>0</v>
      </c>
      <c r="I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7" t="b">
        <f>ISNUMBER(_xlfn.XMATCH(CONTROL[[#This Row],[VEHIDCODE]],TRACK_TYPES[VEHIDCODE],0))</f>
        <v>1</v>
      </c>
      <c r="K67" t="b">
        <f>ISNUMBER(_xlfn.XMATCH(CONTROL[[#This Row],[VEHIDCODE]],PROPERTIES[VEHIDCODE],0))</f>
        <v>1</v>
      </c>
      <c r="L67" t="b">
        <f>ISNUMBER(_xlfn.XLOOKUP(CONTROL[[#This Row],[VEHIDCODE]],roster!A:A,roster!D:D))</f>
        <v>1</v>
      </c>
      <c r="M67" t="b">
        <f>ISNUMBER(_xlfn.XMATCH(CONTROL[[#This Row],[VEHIDCODE]],GRAPHICS_PROPERTIES[VEHIDCODE],0))</f>
        <v>1</v>
      </c>
      <c r="N67" s="21" t="str">
        <f>"item_"&amp;CONTROL[[#This Row],[VEHIDCODE]]</f>
        <v>item_steam_GWR_4_4_0_American</v>
      </c>
      <c r="O67" s="21" t="str">
        <f>"str_"&amp;CONTROL[[#This Row],[VEHIDCODE]]</f>
        <v>str_steam_GWR_4_4_0_American</v>
      </c>
      <c r="P67" s="7" t="b">
        <f>_xlfn.XLOOKUP(CONTROL[[#This Row],[VEHIDCODE]],PROPERTIES[VEHIDCODE],PROPERTIES[IS_CONCEPT])="IS_CONCEPT"</f>
        <v>0</v>
      </c>
      <c r="Q67" s="7" t="b">
        <f>_xlfn.XLOOKUP(CONTROL[[#This Row],[VEHIDCODE]],PROPERTIES[VEHIDCODE],PROPERTIES[EXCLUDE])</f>
        <v>0</v>
      </c>
      <c r="R67" t="str" cm="1">
        <f t="array" ref="R67">_xlfn.XLOOKUP(CONTROL[[#This Row],[VEHIDCODE]],GRAPHICS_PROPERTIES[VEHIDCODE],GRAPHICS_PROPERTIES[TEMPLATE_ID]&amp;GRAPHICS_PROPERTIES[TEMPLATE_AMENDMENT_CODE])</f>
        <v>TPL_03A</v>
      </c>
    </row>
    <row r="68" spans="1:18" x14ac:dyDescent="0.35">
      <c r="A68" s="2" t="s">
        <v>2711</v>
      </c>
      <c r="B68" s="21" t="str">
        <f>_xlfn.TEXTAFTER(CONTROL[[#This Row],[VEHIDCODE]],"_")</f>
        <v>Esslingen_Ec_2_5</v>
      </c>
      <c r="C68" t="str" cm="1">
        <f t="array" ref="C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8" t="str" cm="1">
        <f t="array" ref="D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8">
        <v>4002</v>
      </c>
      <c r="F68" s="32" t="s">
        <v>2098</v>
      </c>
      <c r="G68" t="s">
        <v>1104</v>
      </c>
      <c r="H68" s="2" t="b">
        <f>AND(CONTROL[[#This Row],[IS_WAGON_OR_COACH]]=TRUE,OR(RIGHT(CONTROL[[#This Row],[VEHIDCODE]],7)="Powered",RIGHT(CONTROL[[#This Row],[VEHIDCODE]],9)="Unpowered"))</f>
        <v>0</v>
      </c>
      <c r="I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8" t="b">
        <f>ISNUMBER(_xlfn.XMATCH(CONTROL[[#This Row],[VEHIDCODE]],TRACK_TYPES[VEHIDCODE],0))</f>
        <v>1</v>
      </c>
      <c r="K68" t="b">
        <f>ISNUMBER(_xlfn.XMATCH(CONTROL[[#This Row],[VEHIDCODE]],PROPERTIES[VEHIDCODE],0))</f>
        <v>1</v>
      </c>
      <c r="L68" t="b">
        <f>ISNUMBER(_xlfn.XLOOKUP(CONTROL[[#This Row],[VEHIDCODE]],roster!A:A,roster!D:D))</f>
        <v>1</v>
      </c>
      <c r="M68" t="b">
        <f>ISNUMBER(_xlfn.XMATCH(CONTROL[[#This Row],[VEHIDCODE]],GRAPHICS_PROPERTIES[VEHIDCODE],0))</f>
        <v>1</v>
      </c>
      <c r="N68" s="21" t="str">
        <f>"item_"&amp;CONTROL[[#This Row],[VEHIDCODE]]</f>
        <v>item_steam_Esslingen_Ec_2_5</v>
      </c>
      <c r="O68" s="21" t="str">
        <f>"str_"&amp;CONTROL[[#This Row],[VEHIDCODE]]</f>
        <v>str_steam_Esslingen_Ec_2_5</v>
      </c>
      <c r="P68" s="7" t="b">
        <f>_xlfn.XLOOKUP(CONTROL[[#This Row],[VEHIDCODE]],PROPERTIES[VEHIDCODE],PROPERTIES[IS_CONCEPT])="IS_CONCEPT"</f>
        <v>0</v>
      </c>
      <c r="Q68" s="7" t="b">
        <f>_xlfn.XLOOKUP(CONTROL[[#This Row],[VEHIDCODE]],PROPERTIES[VEHIDCODE],PROPERTIES[EXCLUDE])</f>
        <v>0</v>
      </c>
      <c r="R68" t="str" cm="1">
        <f t="array" ref="R68">_xlfn.XLOOKUP(CONTROL[[#This Row],[VEHIDCODE]],GRAPHICS_PROPERTIES[VEHIDCODE],GRAPHICS_PROPERTIES[TEMPLATE_ID]&amp;GRAPHICS_PROPERTIES[TEMPLATE_AMENDMENT_CODE])</f>
        <v>TPL_03C</v>
      </c>
    </row>
    <row r="69" spans="1:18" x14ac:dyDescent="0.35">
      <c r="A69" s="2" t="s">
        <v>2712</v>
      </c>
      <c r="B69" s="21" t="str">
        <f>_xlfn.TEXTAFTER(CONTROL[[#This Row],[VEHIDCODE]],"_")</f>
        <v>Norris_4_6_0_Ten_wheeler</v>
      </c>
      <c r="C69" t="str" cm="1">
        <f t="array" ref="C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9" t="str" cm="1">
        <f t="array" ref="D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9">
        <v>4037</v>
      </c>
      <c r="F69" s="32" t="s">
        <v>3510</v>
      </c>
      <c r="G69" t="s">
        <v>3511</v>
      </c>
      <c r="H69" s="2" t="b">
        <f>AND(CONTROL[[#This Row],[IS_WAGON_OR_COACH]]=TRUE,OR(RIGHT(CONTROL[[#This Row],[VEHIDCODE]],7)="Powered",RIGHT(CONTROL[[#This Row],[VEHIDCODE]],9)="Unpowered"))</f>
        <v>0</v>
      </c>
      <c r="I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9" t="b">
        <f>ISNUMBER(_xlfn.XMATCH(CONTROL[[#This Row],[VEHIDCODE]],TRACK_TYPES[VEHIDCODE],0))</f>
        <v>1</v>
      </c>
      <c r="K69" t="b">
        <f>ISNUMBER(_xlfn.XMATCH(CONTROL[[#This Row],[VEHIDCODE]],PROPERTIES[VEHIDCODE],0))</f>
        <v>1</v>
      </c>
      <c r="L69" t="b">
        <f>ISNUMBER(_xlfn.XLOOKUP(CONTROL[[#This Row],[VEHIDCODE]],roster!A:A,roster!D:D))</f>
        <v>1</v>
      </c>
      <c r="M69" t="b">
        <f>ISNUMBER(_xlfn.XMATCH(CONTROL[[#This Row],[VEHIDCODE]],GRAPHICS_PROPERTIES[VEHIDCODE],0))</f>
        <v>1</v>
      </c>
      <c r="N69" s="21" t="str">
        <f>"item_"&amp;CONTROL[[#This Row],[VEHIDCODE]]</f>
        <v>item_steam_Norris_4_6_0_Ten_wheeler</v>
      </c>
      <c r="O69" s="21" t="str">
        <f>"str_"&amp;CONTROL[[#This Row],[VEHIDCODE]]</f>
        <v>str_steam_Norris_4_6_0_Ten_wheeler</v>
      </c>
      <c r="P69" s="7" t="b">
        <f>_xlfn.XLOOKUP(CONTROL[[#This Row],[VEHIDCODE]],PROPERTIES[VEHIDCODE],PROPERTIES[IS_CONCEPT])="IS_CONCEPT"</f>
        <v>0</v>
      </c>
      <c r="Q69" s="7" t="b">
        <f>_xlfn.XLOOKUP(CONTROL[[#This Row],[VEHIDCODE]],PROPERTIES[VEHIDCODE],PROPERTIES[EXCLUDE])</f>
        <v>0</v>
      </c>
      <c r="R69" t="str" cm="1">
        <f t="array" ref="R69">_xlfn.XLOOKUP(CONTROL[[#This Row],[VEHIDCODE]],GRAPHICS_PROPERTIES[VEHIDCODE],GRAPHICS_PROPERTIES[TEMPLATE_ID]&amp;GRAPHICS_PROPERTIES[TEMPLATE_AMENDMENT_CODE])</f>
        <v>TPL_03A</v>
      </c>
    </row>
    <row r="70" spans="1:18" x14ac:dyDescent="0.35">
      <c r="A70" s="2" t="s">
        <v>2713</v>
      </c>
      <c r="B70" s="21" t="str">
        <f>_xlfn.TEXTAFTER(CONTROL[[#This Row],[VEHIDCODE]],"_")</f>
        <v>Baldwin_2_8_0_Consolidation</v>
      </c>
      <c r="C70" t="str" cm="1">
        <f t="array" ref="C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0" t="str" cm="1">
        <f t="array" ref="D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0">
        <v>4004</v>
      </c>
      <c r="F70" s="32" t="s">
        <v>2099</v>
      </c>
      <c r="G70" t="s">
        <v>3512</v>
      </c>
      <c r="H70" s="2" t="b">
        <f>AND(CONTROL[[#This Row],[IS_WAGON_OR_COACH]]=TRUE,OR(RIGHT(CONTROL[[#This Row],[VEHIDCODE]],7)="Powered",RIGHT(CONTROL[[#This Row],[VEHIDCODE]],9)="Unpowered"))</f>
        <v>0</v>
      </c>
      <c r="I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0" t="b">
        <f>ISNUMBER(_xlfn.XMATCH(CONTROL[[#This Row],[VEHIDCODE]],TRACK_TYPES[VEHIDCODE],0))</f>
        <v>1</v>
      </c>
      <c r="K70" t="b">
        <f>ISNUMBER(_xlfn.XMATCH(CONTROL[[#This Row],[VEHIDCODE]],PROPERTIES[VEHIDCODE],0))</f>
        <v>1</v>
      </c>
      <c r="L70" t="b">
        <f>ISNUMBER(_xlfn.XLOOKUP(CONTROL[[#This Row],[VEHIDCODE]],roster!A:A,roster!D:D))</f>
        <v>1</v>
      </c>
      <c r="M70" t="b">
        <f>ISNUMBER(_xlfn.XMATCH(CONTROL[[#This Row],[VEHIDCODE]],GRAPHICS_PROPERTIES[VEHIDCODE],0))</f>
        <v>1</v>
      </c>
      <c r="N70" s="21" t="str">
        <f>"item_"&amp;CONTROL[[#This Row],[VEHIDCODE]]</f>
        <v>item_steam_Baldwin_2_8_0_Consolidation</v>
      </c>
      <c r="O70" s="21" t="str">
        <f>"str_"&amp;CONTROL[[#This Row],[VEHIDCODE]]</f>
        <v>str_steam_Baldwin_2_8_0_Consolidation</v>
      </c>
      <c r="P70" s="7" t="b">
        <f>_xlfn.XLOOKUP(CONTROL[[#This Row],[VEHIDCODE]],PROPERTIES[VEHIDCODE],PROPERTIES[IS_CONCEPT])="IS_CONCEPT"</f>
        <v>0</v>
      </c>
      <c r="Q70" s="7" t="b">
        <f>_xlfn.XLOOKUP(CONTROL[[#This Row],[VEHIDCODE]],PROPERTIES[VEHIDCODE],PROPERTIES[EXCLUDE])</f>
        <v>0</v>
      </c>
      <c r="R70" t="str" cm="1">
        <f t="array" ref="R70">_xlfn.XLOOKUP(CONTROL[[#This Row],[VEHIDCODE]],GRAPHICS_PROPERTIES[VEHIDCODE],GRAPHICS_PROPERTIES[TEMPLATE_ID]&amp;GRAPHICS_PROPERTIES[TEMPLATE_AMENDMENT_CODE])</f>
        <v>TPL_03A</v>
      </c>
    </row>
    <row r="71" spans="1:18" x14ac:dyDescent="0.35">
      <c r="A71" s="2" t="s">
        <v>2714</v>
      </c>
      <c r="B71" s="21" t="str">
        <f>_xlfn.TEXTAFTER(CONTROL[[#This Row],[VEHIDCODE]],"_")</f>
        <v>MAV_377</v>
      </c>
      <c r="C71" t="str" cm="1">
        <f t="array" ref="C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1" t="str" cm="1">
        <f t="array" ref="D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1">
        <v>4005</v>
      </c>
      <c r="F71" s="32" t="s">
        <v>1702</v>
      </c>
      <c r="G71" t="s">
        <v>1105</v>
      </c>
      <c r="H71" s="2" t="b">
        <f>AND(CONTROL[[#This Row],[IS_WAGON_OR_COACH]]=TRUE,OR(RIGHT(CONTROL[[#This Row],[VEHIDCODE]],7)="Powered",RIGHT(CONTROL[[#This Row],[VEHIDCODE]],9)="Unpowered"))</f>
        <v>0</v>
      </c>
      <c r="I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1" t="b">
        <f>ISNUMBER(_xlfn.XMATCH(CONTROL[[#This Row],[VEHIDCODE]],TRACK_TYPES[VEHIDCODE],0))</f>
        <v>1</v>
      </c>
      <c r="K71" t="b">
        <f>ISNUMBER(_xlfn.XMATCH(CONTROL[[#This Row],[VEHIDCODE]],PROPERTIES[VEHIDCODE],0))</f>
        <v>1</v>
      </c>
      <c r="L71" t="b">
        <f>ISNUMBER(_xlfn.XLOOKUP(CONTROL[[#This Row],[VEHIDCODE]],roster!A:A,roster!D:D))</f>
        <v>1</v>
      </c>
      <c r="M71" t="b">
        <f>ISNUMBER(_xlfn.XMATCH(CONTROL[[#This Row],[VEHIDCODE]],GRAPHICS_PROPERTIES[VEHIDCODE],0))</f>
        <v>1</v>
      </c>
      <c r="N71" s="21" t="str">
        <f>"item_"&amp;CONTROL[[#This Row],[VEHIDCODE]]</f>
        <v>item_steam_MAV_377</v>
      </c>
      <c r="O71" s="21" t="str">
        <f>"str_"&amp;CONTROL[[#This Row],[VEHIDCODE]]</f>
        <v>str_steam_MAV_377</v>
      </c>
      <c r="P71" s="7" t="b">
        <f>_xlfn.XLOOKUP(CONTROL[[#This Row],[VEHIDCODE]],PROPERTIES[VEHIDCODE],PROPERTIES[IS_CONCEPT])="IS_CONCEPT"</f>
        <v>0</v>
      </c>
      <c r="Q71" s="7" t="b">
        <f>_xlfn.XLOOKUP(CONTROL[[#This Row],[VEHIDCODE]],PROPERTIES[VEHIDCODE],PROPERTIES[EXCLUDE])</f>
        <v>0</v>
      </c>
      <c r="R71" t="str" cm="1">
        <f t="array" ref="R71">_xlfn.XLOOKUP(CONTROL[[#This Row],[VEHIDCODE]],GRAPHICS_PROPERTIES[VEHIDCODE],GRAPHICS_PROPERTIES[TEMPLATE_ID]&amp;GRAPHICS_PROPERTIES[TEMPLATE_AMENDMENT_CODE])</f>
        <v>TPL_03C</v>
      </c>
    </row>
    <row r="72" spans="1:18" x14ac:dyDescent="0.35">
      <c r="A72" s="2" t="s">
        <v>2715</v>
      </c>
      <c r="B72" s="21" t="str">
        <f>_xlfn.TEXTAFTER(CONTROL[[#This Row],[VEHIDCODE]],"_")</f>
        <v>Krauss_KkStB_99</v>
      </c>
      <c r="C72" t="str" cm="1">
        <f t="array" ref="C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2" t="str" cm="1">
        <f t="array" ref="D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2">
        <v>4006</v>
      </c>
      <c r="F72" s="32" t="s">
        <v>2100</v>
      </c>
      <c r="G72" t="s">
        <v>1106</v>
      </c>
      <c r="H72" s="2" t="b">
        <f>AND(CONTROL[[#This Row],[IS_WAGON_OR_COACH]]=TRUE,OR(RIGHT(CONTROL[[#This Row],[VEHIDCODE]],7)="Powered",RIGHT(CONTROL[[#This Row],[VEHIDCODE]],9)="Unpowered"))</f>
        <v>0</v>
      </c>
      <c r="I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2" t="b">
        <f>ISNUMBER(_xlfn.XMATCH(CONTROL[[#This Row],[VEHIDCODE]],TRACK_TYPES[VEHIDCODE],0))</f>
        <v>1</v>
      </c>
      <c r="K72" t="b">
        <f>ISNUMBER(_xlfn.XMATCH(CONTROL[[#This Row],[VEHIDCODE]],PROPERTIES[VEHIDCODE],0))</f>
        <v>1</v>
      </c>
      <c r="L72" t="b">
        <f>ISNUMBER(_xlfn.XLOOKUP(CONTROL[[#This Row],[VEHIDCODE]],roster!A:A,roster!D:D))</f>
        <v>1</v>
      </c>
      <c r="M72" t="b">
        <f>ISNUMBER(_xlfn.XMATCH(CONTROL[[#This Row],[VEHIDCODE]],GRAPHICS_PROPERTIES[VEHIDCODE],0))</f>
        <v>1</v>
      </c>
      <c r="N72" s="21" t="str">
        <f>"item_"&amp;CONTROL[[#This Row],[VEHIDCODE]]</f>
        <v>item_steam_Krauss_KkStB_99</v>
      </c>
      <c r="O72" s="21" t="str">
        <f>"str_"&amp;CONTROL[[#This Row],[VEHIDCODE]]</f>
        <v>str_steam_Krauss_KkStB_99</v>
      </c>
      <c r="P72" s="7" t="b">
        <f>_xlfn.XLOOKUP(CONTROL[[#This Row],[VEHIDCODE]],PROPERTIES[VEHIDCODE],PROPERTIES[IS_CONCEPT])="IS_CONCEPT"</f>
        <v>0</v>
      </c>
      <c r="Q72" s="7" t="b">
        <f>_xlfn.XLOOKUP(CONTROL[[#This Row],[VEHIDCODE]],PROPERTIES[VEHIDCODE],PROPERTIES[EXCLUDE])</f>
        <v>0</v>
      </c>
      <c r="R72" t="str" cm="1">
        <f t="array" ref="R72">_xlfn.XLOOKUP(CONTROL[[#This Row],[VEHIDCODE]],GRAPHICS_PROPERTIES[VEHIDCODE],GRAPHICS_PROPERTIES[TEMPLATE_ID]&amp;GRAPHICS_PROPERTIES[TEMPLATE_AMENDMENT_CODE])</f>
        <v>TPL_03C</v>
      </c>
    </row>
    <row r="73" spans="1:18" x14ac:dyDescent="0.35">
      <c r="A73" s="2" t="s">
        <v>2716</v>
      </c>
      <c r="B73" s="21" t="str">
        <f>_xlfn.TEXTAFTER(CONTROL[[#This Row],[VEHIDCODE]],"_")</f>
        <v>McIntosh__Caledonian_Railway__439</v>
      </c>
      <c r="C73" t="str" cm="1">
        <f t="array" ref="C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3" t="str" cm="1">
        <f t="array" ref="D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3">
        <v>4007</v>
      </c>
      <c r="F73" s="32" t="s">
        <v>2101</v>
      </c>
      <c r="G73" t="s">
        <v>1107</v>
      </c>
      <c r="H73" s="2" t="b">
        <f>AND(CONTROL[[#This Row],[IS_WAGON_OR_COACH]]=TRUE,OR(RIGHT(CONTROL[[#This Row],[VEHIDCODE]],7)="Powered",RIGHT(CONTROL[[#This Row],[VEHIDCODE]],9)="Unpowered"))</f>
        <v>0</v>
      </c>
      <c r="I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3" t="b">
        <f>ISNUMBER(_xlfn.XMATCH(CONTROL[[#This Row],[VEHIDCODE]],TRACK_TYPES[VEHIDCODE],0))</f>
        <v>1</v>
      </c>
      <c r="K73" t="b">
        <f>ISNUMBER(_xlfn.XMATCH(CONTROL[[#This Row],[VEHIDCODE]],PROPERTIES[VEHIDCODE],0))</f>
        <v>1</v>
      </c>
      <c r="L73" t="b">
        <f>ISNUMBER(_xlfn.XLOOKUP(CONTROL[[#This Row],[VEHIDCODE]],roster!A:A,roster!D:D))</f>
        <v>1</v>
      </c>
      <c r="M73" t="b">
        <f>ISNUMBER(_xlfn.XMATCH(CONTROL[[#This Row],[VEHIDCODE]],GRAPHICS_PROPERTIES[VEHIDCODE],0))</f>
        <v>1</v>
      </c>
      <c r="N73" s="21" t="str">
        <f>"item_"&amp;CONTROL[[#This Row],[VEHIDCODE]]</f>
        <v>item_steam_McIntosh__Caledonian_Railway__439</v>
      </c>
      <c r="O73" s="21" t="str">
        <f>"str_"&amp;CONTROL[[#This Row],[VEHIDCODE]]</f>
        <v>str_steam_McIntosh__Caledonian_Railway__439</v>
      </c>
      <c r="P73" s="7" t="b">
        <f>_xlfn.XLOOKUP(CONTROL[[#This Row],[VEHIDCODE]],PROPERTIES[VEHIDCODE],PROPERTIES[IS_CONCEPT])="IS_CONCEPT"</f>
        <v>0</v>
      </c>
      <c r="Q73" s="7" t="b">
        <f>_xlfn.XLOOKUP(CONTROL[[#This Row],[VEHIDCODE]],PROPERTIES[VEHIDCODE],PROPERTIES[EXCLUDE])</f>
        <v>0</v>
      </c>
      <c r="R73" t="str" cm="1">
        <f t="array" ref="R73">_xlfn.XLOOKUP(CONTROL[[#This Row],[VEHIDCODE]],GRAPHICS_PROPERTIES[VEHIDCODE],GRAPHICS_PROPERTIES[TEMPLATE_ID]&amp;GRAPHICS_PROPERTIES[TEMPLATE_AMENDMENT_CODE])</f>
        <v>TPL_03C</v>
      </c>
    </row>
    <row r="74" spans="1:18" x14ac:dyDescent="0.35">
      <c r="A74" s="2" t="s">
        <v>2717</v>
      </c>
      <c r="B74" s="21" t="str">
        <f>_xlfn.TEXTAFTER(CONTROL[[#This Row],[VEHIDCODE]],"_")</f>
        <v>SLM_Winterthur_A_3_5</v>
      </c>
      <c r="C74" t="str" cm="1">
        <f t="array" ref="C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4" t="str" cm="1">
        <f t="array" ref="D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4">
        <v>4008</v>
      </c>
      <c r="F74" s="32" t="s">
        <v>2102</v>
      </c>
      <c r="G74" t="s">
        <v>1108</v>
      </c>
      <c r="H74" s="2" t="b">
        <f>AND(CONTROL[[#This Row],[IS_WAGON_OR_COACH]]=TRUE,OR(RIGHT(CONTROL[[#This Row],[VEHIDCODE]],7)="Powered",RIGHT(CONTROL[[#This Row],[VEHIDCODE]],9)="Unpowered"))</f>
        <v>0</v>
      </c>
      <c r="I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4" t="b">
        <f>ISNUMBER(_xlfn.XMATCH(CONTROL[[#This Row],[VEHIDCODE]],TRACK_TYPES[VEHIDCODE],0))</f>
        <v>1</v>
      </c>
      <c r="K74" t="b">
        <f>ISNUMBER(_xlfn.XMATCH(CONTROL[[#This Row],[VEHIDCODE]],PROPERTIES[VEHIDCODE],0))</f>
        <v>1</v>
      </c>
      <c r="L74" t="b">
        <f>ISNUMBER(_xlfn.XLOOKUP(CONTROL[[#This Row],[VEHIDCODE]],roster!A:A,roster!D:D))</f>
        <v>1</v>
      </c>
      <c r="M74" t="b">
        <f>ISNUMBER(_xlfn.XMATCH(CONTROL[[#This Row],[VEHIDCODE]],GRAPHICS_PROPERTIES[VEHIDCODE],0))</f>
        <v>1</v>
      </c>
      <c r="N74" s="21" t="str">
        <f>"item_"&amp;CONTROL[[#This Row],[VEHIDCODE]]</f>
        <v>item_steam_SLM_Winterthur_A_3_5</v>
      </c>
      <c r="O74" s="21" t="str">
        <f>"str_"&amp;CONTROL[[#This Row],[VEHIDCODE]]</f>
        <v>str_steam_SLM_Winterthur_A_3_5</v>
      </c>
      <c r="P74" s="7" t="b">
        <f>_xlfn.XLOOKUP(CONTROL[[#This Row],[VEHIDCODE]],PROPERTIES[VEHIDCODE],PROPERTIES[IS_CONCEPT])="IS_CONCEPT"</f>
        <v>0</v>
      </c>
      <c r="Q74" s="7" t="b">
        <f>_xlfn.XLOOKUP(CONTROL[[#This Row],[VEHIDCODE]],PROPERTIES[VEHIDCODE],PROPERTIES[EXCLUDE])</f>
        <v>0</v>
      </c>
      <c r="R74" t="str" cm="1">
        <f t="array" ref="R74">_xlfn.XLOOKUP(CONTROL[[#This Row],[VEHIDCODE]],GRAPHICS_PROPERTIES[VEHIDCODE],GRAPHICS_PROPERTIES[TEMPLATE_ID]&amp;GRAPHICS_PROPERTIES[TEMPLATE_AMENDMENT_CODE])</f>
        <v>TPL_03A</v>
      </c>
    </row>
    <row r="75" spans="1:18" x14ac:dyDescent="0.35">
      <c r="A75" s="2" t="s">
        <v>2718</v>
      </c>
      <c r="B75" s="21" t="str">
        <f>_xlfn.TEXTAFTER(CONTROL[[#This Row],[VEHIDCODE]],"_")</f>
        <v>SLM_Winterthur_E_3_3</v>
      </c>
      <c r="C75" t="str" cm="1">
        <f t="array" ref="C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5" t="str" cm="1">
        <f t="array" ref="D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5">
        <v>4009</v>
      </c>
      <c r="F75" s="32" t="s">
        <v>2103</v>
      </c>
      <c r="G75" t="s">
        <v>1109</v>
      </c>
      <c r="H75" s="2" t="b">
        <f>AND(CONTROL[[#This Row],[IS_WAGON_OR_COACH]]=TRUE,OR(RIGHT(CONTROL[[#This Row],[VEHIDCODE]],7)="Powered",RIGHT(CONTROL[[#This Row],[VEHIDCODE]],9)="Unpowered"))</f>
        <v>0</v>
      </c>
      <c r="I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5" t="b">
        <f>ISNUMBER(_xlfn.XMATCH(CONTROL[[#This Row],[VEHIDCODE]],TRACK_TYPES[VEHIDCODE],0))</f>
        <v>1</v>
      </c>
      <c r="K75" t="b">
        <f>ISNUMBER(_xlfn.XMATCH(CONTROL[[#This Row],[VEHIDCODE]],PROPERTIES[VEHIDCODE],0))</f>
        <v>1</v>
      </c>
      <c r="L75" t="b">
        <f>ISNUMBER(_xlfn.XLOOKUP(CONTROL[[#This Row],[VEHIDCODE]],roster!A:A,roster!D:D))</f>
        <v>1</v>
      </c>
      <c r="M75" t="b">
        <f>ISNUMBER(_xlfn.XMATCH(CONTROL[[#This Row],[VEHIDCODE]],GRAPHICS_PROPERTIES[VEHIDCODE],0))</f>
        <v>1</v>
      </c>
      <c r="N75" s="21" t="str">
        <f>"item_"&amp;CONTROL[[#This Row],[VEHIDCODE]]</f>
        <v>item_steam_SLM_Winterthur_E_3_3</v>
      </c>
      <c r="O75" s="21" t="str">
        <f>"str_"&amp;CONTROL[[#This Row],[VEHIDCODE]]</f>
        <v>str_steam_SLM_Winterthur_E_3_3</v>
      </c>
      <c r="P75" s="7" t="b">
        <f>_xlfn.XLOOKUP(CONTROL[[#This Row],[VEHIDCODE]],PROPERTIES[VEHIDCODE],PROPERTIES[IS_CONCEPT])="IS_CONCEPT"</f>
        <v>0</v>
      </c>
      <c r="Q75" s="7" t="b">
        <f>_xlfn.XLOOKUP(CONTROL[[#This Row],[VEHIDCODE]],PROPERTIES[VEHIDCODE],PROPERTIES[EXCLUDE])</f>
        <v>0</v>
      </c>
      <c r="R75" t="str" cm="1">
        <f t="array" ref="R75">_xlfn.XLOOKUP(CONTROL[[#This Row],[VEHIDCODE]],GRAPHICS_PROPERTIES[VEHIDCODE],GRAPHICS_PROPERTIES[TEMPLATE_ID]&amp;GRAPHICS_PROPERTIES[TEMPLATE_AMENDMENT_CODE])</f>
        <v>TPL_03C</v>
      </c>
    </row>
    <row r="76" spans="1:18" x14ac:dyDescent="0.35">
      <c r="A76" s="2" t="s">
        <v>2719</v>
      </c>
      <c r="B76" s="21" t="str">
        <f>_xlfn.TEXTAFTER(CONTROL[[#This Row],[VEHIDCODE]],"_")</f>
        <v>Krauss_299</v>
      </c>
      <c r="C76" t="str" cm="1">
        <f t="array" ref="C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6" t="str" cm="1">
        <f t="array" ref="D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6">
        <v>4010</v>
      </c>
      <c r="F76" s="32" t="s">
        <v>2104</v>
      </c>
      <c r="G76" t="s">
        <v>1110</v>
      </c>
      <c r="H76" s="2" t="b">
        <f>AND(CONTROL[[#This Row],[IS_WAGON_OR_COACH]]=TRUE,OR(RIGHT(CONTROL[[#This Row],[VEHIDCODE]],7)="Powered",RIGHT(CONTROL[[#This Row],[VEHIDCODE]],9)="Unpowered"))</f>
        <v>0</v>
      </c>
      <c r="I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6" t="b">
        <f>ISNUMBER(_xlfn.XMATCH(CONTROL[[#This Row],[VEHIDCODE]],TRACK_TYPES[VEHIDCODE],0))</f>
        <v>1</v>
      </c>
      <c r="K76" t="b">
        <f>ISNUMBER(_xlfn.XMATCH(CONTROL[[#This Row],[VEHIDCODE]],PROPERTIES[VEHIDCODE],0))</f>
        <v>1</v>
      </c>
      <c r="L76" t="b">
        <f>ISNUMBER(_xlfn.XLOOKUP(CONTROL[[#This Row],[VEHIDCODE]],roster!A:A,roster!D:D))</f>
        <v>1</v>
      </c>
      <c r="M76" t="b">
        <f>ISNUMBER(_xlfn.XMATCH(CONTROL[[#This Row],[VEHIDCODE]],GRAPHICS_PROPERTIES[VEHIDCODE],0))</f>
        <v>1</v>
      </c>
      <c r="N76" s="21" t="str">
        <f>"item_"&amp;CONTROL[[#This Row],[VEHIDCODE]]</f>
        <v>item_steam_Krauss_299</v>
      </c>
      <c r="O76" s="21" t="str">
        <f>"str_"&amp;CONTROL[[#This Row],[VEHIDCODE]]</f>
        <v>str_steam_Krauss_299</v>
      </c>
      <c r="P76" s="7" t="b">
        <f>_xlfn.XLOOKUP(CONTROL[[#This Row],[VEHIDCODE]],PROPERTIES[VEHIDCODE],PROPERTIES[IS_CONCEPT])="IS_CONCEPT"</f>
        <v>0</v>
      </c>
      <c r="Q76" s="7" t="b">
        <f>_xlfn.XLOOKUP(CONTROL[[#This Row],[VEHIDCODE]],PROPERTIES[VEHIDCODE],PROPERTIES[EXCLUDE])</f>
        <v>0</v>
      </c>
      <c r="R76" t="str" cm="1">
        <f t="array" ref="R76">_xlfn.XLOOKUP(CONTROL[[#This Row],[VEHIDCODE]],GRAPHICS_PROPERTIES[VEHIDCODE],GRAPHICS_PROPERTIES[TEMPLATE_ID]&amp;GRAPHICS_PROPERTIES[TEMPLATE_AMENDMENT_CODE])</f>
        <v>TPL_03C</v>
      </c>
    </row>
    <row r="77" spans="1:18" x14ac:dyDescent="0.35">
      <c r="A77" s="2" t="s">
        <v>2720</v>
      </c>
      <c r="B77" s="21" t="str">
        <f>_xlfn.TEXTAFTER(CONTROL[[#This Row],[VEHIDCODE]],"_")</f>
        <v>NZR_X</v>
      </c>
      <c r="C77" t="str" cm="1">
        <f t="array" ref="C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7" t="str" cm="1">
        <f t="array" ref="D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7">
        <v>4011</v>
      </c>
      <c r="F77" s="32" t="s">
        <v>359</v>
      </c>
      <c r="G77" t="s">
        <v>1111</v>
      </c>
      <c r="H77" s="2" t="b">
        <f>AND(CONTROL[[#This Row],[IS_WAGON_OR_COACH]]=TRUE,OR(RIGHT(CONTROL[[#This Row],[VEHIDCODE]],7)="Powered",RIGHT(CONTROL[[#This Row],[VEHIDCODE]],9)="Unpowered"))</f>
        <v>0</v>
      </c>
      <c r="I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7" t="b">
        <f>ISNUMBER(_xlfn.XMATCH(CONTROL[[#This Row],[VEHIDCODE]],TRACK_TYPES[VEHIDCODE],0))</f>
        <v>1</v>
      </c>
      <c r="K77" t="b">
        <f>ISNUMBER(_xlfn.XMATCH(CONTROL[[#This Row],[VEHIDCODE]],PROPERTIES[VEHIDCODE],0))</f>
        <v>1</v>
      </c>
      <c r="L77" t="b">
        <f>ISNUMBER(_xlfn.XLOOKUP(CONTROL[[#This Row],[VEHIDCODE]],roster!A:A,roster!D:D))</f>
        <v>1</v>
      </c>
      <c r="M77" t="b">
        <f>ISNUMBER(_xlfn.XMATCH(CONTROL[[#This Row],[VEHIDCODE]],GRAPHICS_PROPERTIES[VEHIDCODE],0))</f>
        <v>1</v>
      </c>
      <c r="N77" s="21" t="str">
        <f>"item_"&amp;CONTROL[[#This Row],[VEHIDCODE]]</f>
        <v>item_steam_NZR_X</v>
      </c>
      <c r="O77" s="21" t="str">
        <f>"str_"&amp;CONTROL[[#This Row],[VEHIDCODE]]</f>
        <v>str_steam_NZR_X</v>
      </c>
      <c r="P77" s="7" t="b">
        <f>_xlfn.XLOOKUP(CONTROL[[#This Row],[VEHIDCODE]],PROPERTIES[VEHIDCODE],PROPERTIES[IS_CONCEPT])="IS_CONCEPT"</f>
        <v>0</v>
      </c>
      <c r="Q77" s="7" t="b">
        <f>_xlfn.XLOOKUP(CONTROL[[#This Row],[VEHIDCODE]],PROPERTIES[VEHIDCODE],PROPERTIES[EXCLUDE])</f>
        <v>0</v>
      </c>
      <c r="R77" t="str" cm="1">
        <f t="array" ref="R77">_xlfn.XLOOKUP(CONTROL[[#This Row],[VEHIDCODE]],GRAPHICS_PROPERTIES[VEHIDCODE],GRAPHICS_PROPERTIES[TEMPLATE_ID]&amp;GRAPHICS_PROPERTIES[TEMPLATE_AMENDMENT_CODE])</f>
        <v>TPL_03A</v>
      </c>
    </row>
    <row r="78" spans="1:18" x14ac:dyDescent="0.35">
      <c r="A78" s="2" t="s">
        <v>3450</v>
      </c>
      <c r="B78" s="21" t="str">
        <f>_xlfn.TEXTAFTER(CONTROL[[#This Row],[VEHIDCODE]],"_")</f>
        <v>MaVAG_375</v>
      </c>
      <c r="C78" t="str" cm="1">
        <f t="array" ref="C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8" t="str" cm="1">
        <f t="array" ref="D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8">
        <v>4014</v>
      </c>
      <c r="F78" s="32" t="s">
        <v>3543</v>
      </c>
      <c r="G78" t="s">
        <v>1112</v>
      </c>
      <c r="H78" s="2" t="b">
        <f>AND(CONTROL[[#This Row],[IS_WAGON_OR_COACH]]=TRUE,OR(RIGHT(CONTROL[[#This Row],[VEHIDCODE]],7)="Powered",RIGHT(CONTROL[[#This Row],[VEHIDCODE]],9)="Unpowered"))</f>
        <v>0</v>
      </c>
      <c r="I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8" t="b">
        <f>ISNUMBER(_xlfn.XMATCH(CONTROL[[#This Row],[VEHIDCODE]],TRACK_TYPES[VEHIDCODE],0))</f>
        <v>1</v>
      </c>
      <c r="K78" t="b">
        <f>ISNUMBER(_xlfn.XMATCH(CONTROL[[#This Row],[VEHIDCODE]],PROPERTIES[VEHIDCODE],0))</f>
        <v>1</v>
      </c>
      <c r="L78" t="b">
        <f>ISNUMBER(_xlfn.XLOOKUP(CONTROL[[#This Row],[VEHIDCODE]],roster!A:A,roster!D:D))</f>
        <v>1</v>
      </c>
      <c r="M78" t="b">
        <f>ISNUMBER(_xlfn.XMATCH(CONTROL[[#This Row],[VEHIDCODE]],GRAPHICS_PROPERTIES[VEHIDCODE],0))</f>
        <v>1</v>
      </c>
      <c r="N78" s="21" t="str">
        <f>"item_"&amp;CONTROL[[#This Row],[VEHIDCODE]]</f>
        <v>item_steam_MaVAG_375</v>
      </c>
      <c r="O78" s="21" t="str">
        <f>"str_"&amp;CONTROL[[#This Row],[VEHIDCODE]]</f>
        <v>str_steam_MaVAG_375</v>
      </c>
      <c r="P78" s="7" t="b">
        <f>_xlfn.XLOOKUP(CONTROL[[#This Row],[VEHIDCODE]],PROPERTIES[VEHIDCODE],PROPERTIES[IS_CONCEPT])="IS_CONCEPT"</f>
        <v>0</v>
      </c>
      <c r="Q78" s="7" t="b">
        <f>_xlfn.XLOOKUP(CONTROL[[#This Row],[VEHIDCODE]],PROPERTIES[VEHIDCODE],PROPERTIES[EXCLUDE])</f>
        <v>0</v>
      </c>
      <c r="R78" t="str" cm="1">
        <f t="array" ref="R78">_xlfn.XLOOKUP(CONTROL[[#This Row],[VEHIDCODE]],GRAPHICS_PROPERTIES[VEHIDCODE],GRAPHICS_PROPERTIES[TEMPLATE_ID]&amp;GRAPHICS_PROPERTIES[TEMPLATE_AMENDMENT_CODE])</f>
        <v>TPL_03C</v>
      </c>
    </row>
    <row r="79" spans="1:18" x14ac:dyDescent="0.35">
      <c r="A79" s="2" t="s">
        <v>2721</v>
      </c>
      <c r="B79" s="21" t="str">
        <f>_xlfn.TEXTAFTER(CONTROL[[#This Row],[VEHIDCODE]],"_")</f>
        <v>FS_880</v>
      </c>
      <c r="C79" t="str" cm="1">
        <f t="array" ref="C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9" t="str" cm="1">
        <f t="array" ref="D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9">
        <v>4015</v>
      </c>
      <c r="F79" s="32" t="s">
        <v>360</v>
      </c>
      <c r="G79" t="s">
        <v>1113</v>
      </c>
      <c r="H79" s="2" t="b">
        <f>AND(CONTROL[[#This Row],[IS_WAGON_OR_COACH]]=TRUE,OR(RIGHT(CONTROL[[#This Row],[VEHIDCODE]],7)="Powered",RIGHT(CONTROL[[#This Row],[VEHIDCODE]],9)="Unpowered"))</f>
        <v>0</v>
      </c>
      <c r="I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" t="b">
        <f>ISNUMBER(_xlfn.XMATCH(CONTROL[[#This Row],[VEHIDCODE]],TRACK_TYPES[VEHIDCODE],0))</f>
        <v>1</v>
      </c>
      <c r="K79" t="b">
        <f>ISNUMBER(_xlfn.XMATCH(CONTROL[[#This Row],[VEHIDCODE]],PROPERTIES[VEHIDCODE],0))</f>
        <v>1</v>
      </c>
      <c r="L79" t="b">
        <f>ISNUMBER(_xlfn.XLOOKUP(CONTROL[[#This Row],[VEHIDCODE]],roster!A:A,roster!D:D))</f>
        <v>1</v>
      </c>
      <c r="M79" t="b">
        <f>ISNUMBER(_xlfn.XMATCH(CONTROL[[#This Row],[VEHIDCODE]],GRAPHICS_PROPERTIES[VEHIDCODE],0))</f>
        <v>1</v>
      </c>
      <c r="N79" s="21" t="str">
        <f>"item_"&amp;CONTROL[[#This Row],[VEHIDCODE]]</f>
        <v>item_steam_FS_880</v>
      </c>
      <c r="O79" s="21" t="str">
        <f>"str_"&amp;CONTROL[[#This Row],[VEHIDCODE]]</f>
        <v>str_steam_FS_880</v>
      </c>
      <c r="P79" s="7" t="b">
        <f>_xlfn.XLOOKUP(CONTROL[[#This Row],[VEHIDCODE]],PROPERTIES[VEHIDCODE],PROPERTIES[IS_CONCEPT])="IS_CONCEPT"</f>
        <v>0</v>
      </c>
      <c r="Q79" s="7" t="b">
        <f>_xlfn.XLOOKUP(CONTROL[[#This Row],[VEHIDCODE]],PROPERTIES[VEHIDCODE],PROPERTIES[EXCLUDE])</f>
        <v>0</v>
      </c>
      <c r="R79" t="str" cm="1">
        <f t="array" ref="R79">_xlfn.XLOOKUP(CONTROL[[#This Row],[VEHIDCODE]],GRAPHICS_PROPERTIES[VEHIDCODE],GRAPHICS_PROPERTIES[TEMPLATE_ID]&amp;GRAPHICS_PROPERTIES[TEMPLATE_AMENDMENT_CODE])</f>
        <v>TPL_03C</v>
      </c>
    </row>
    <row r="80" spans="1:18" x14ac:dyDescent="0.35">
      <c r="A80" s="2" t="s">
        <v>2722</v>
      </c>
      <c r="B80" s="21" t="str">
        <f>_xlfn.TEXTAFTER(CONTROL[[#This Row],[VEHIDCODE]],"_")</f>
        <v>FCNEA_11B_2_8_0</v>
      </c>
      <c r="C80" t="str" cm="1">
        <f t="array" ref="C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0" t="str" cm="1">
        <f t="array" ref="D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0">
        <v>4016</v>
      </c>
      <c r="F80" s="32" t="s">
        <v>361</v>
      </c>
      <c r="G80" t="s">
        <v>1114</v>
      </c>
      <c r="H80" s="2" t="b">
        <f>AND(CONTROL[[#This Row],[IS_WAGON_OR_COACH]]=TRUE,OR(RIGHT(CONTROL[[#This Row],[VEHIDCODE]],7)="Powered",RIGHT(CONTROL[[#This Row],[VEHIDCODE]],9)="Unpowered"))</f>
        <v>0</v>
      </c>
      <c r="I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" t="b">
        <f>ISNUMBER(_xlfn.XMATCH(CONTROL[[#This Row],[VEHIDCODE]],TRACK_TYPES[VEHIDCODE],0))</f>
        <v>1</v>
      </c>
      <c r="K80" t="b">
        <f>ISNUMBER(_xlfn.XMATCH(CONTROL[[#This Row],[VEHIDCODE]],PROPERTIES[VEHIDCODE],0))</f>
        <v>1</v>
      </c>
      <c r="L80" t="b">
        <f>ISNUMBER(_xlfn.XLOOKUP(CONTROL[[#This Row],[VEHIDCODE]],roster!A:A,roster!D:D))</f>
        <v>1</v>
      </c>
      <c r="M80" t="b">
        <f>ISNUMBER(_xlfn.XMATCH(CONTROL[[#This Row],[VEHIDCODE]],GRAPHICS_PROPERTIES[VEHIDCODE],0))</f>
        <v>1</v>
      </c>
      <c r="N80" s="21" t="str">
        <f>"item_"&amp;CONTROL[[#This Row],[VEHIDCODE]]</f>
        <v>item_steam_FCNEA_11B_2_8_0</v>
      </c>
      <c r="O80" s="21" t="str">
        <f>"str_"&amp;CONTROL[[#This Row],[VEHIDCODE]]</f>
        <v>str_steam_FCNEA_11B_2_8_0</v>
      </c>
      <c r="P80" s="7" t="b">
        <f>_xlfn.XLOOKUP(CONTROL[[#This Row],[VEHIDCODE]],PROPERTIES[VEHIDCODE],PROPERTIES[IS_CONCEPT])="IS_CONCEPT"</f>
        <v>0</v>
      </c>
      <c r="Q80" s="7" t="b">
        <f>_xlfn.XLOOKUP(CONTROL[[#This Row],[VEHIDCODE]],PROPERTIES[VEHIDCODE],PROPERTIES[EXCLUDE])</f>
        <v>0</v>
      </c>
      <c r="R80" t="str" cm="1">
        <f t="array" ref="R80">_xlfn.XLOOKUP(CONTROL[[#This Row],[VEHIDCODE]],GRAPHICS_PROPERTIES[VEHIDCODE],GRAPHICS_PROPERTIES[TEMPLATE_ID]&amp;GRAPHICS_PROPERTIES[TEMPLATE_AMENDMENT_CODE])</f>
        <v>TPL_03A</v>
      </c>
    </row>
    <row r="81" spans="1:18" x14ac:dyDescent="0.35">
      <c r="A81" s="2" t="s">
        <v>2723</v>
      </c>
      <c r="B81" s="21" t="str">
        <f>_xlfn.TEXTAFTER(CONTROL[[#This Row],[VEHIDCODE]],"_")</f>
        <v>Schneider_et_Cie_140C</v>
      </c>
      <c r="C81" t="str" cm="1">
        <f t="array" ref="C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1" t="str" cm="1">
        <f t="array" ref="D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1">
        <v>4017</v>
      </c>
      <c r="F81" s="32" t="s">
        <v>2105</v>
      </c>
      <c r="G81" t="s">
        <v>1657</v>
      </c>
      <c r="H81" s="2" t="b">
        <f>AND(CONTROL[[#This Row],[IS_WAGON_OR_COACH]]=TRUE,OR(RIGHT(CONTROL[[#This Row],[VEHIDCODE]],7)="Powered",RIGHT(CONTROL[[#This Row],[VEHIDCODE]],9)="Unpowered"))</f>
        <v>0</v>
      </c>
      <c r="I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" t="b">
        <f>ISNUMBER(_xlfn.XMATCH(CONTROL[[#This Row],[VEHIDCODE]],TRACK_TYPES[VEHIDCODE],0))</f>
        <v>1</v>
      </c>
      <c r="K81" t="b">
        <f>ISNUMBER(_xlfn.XMATCH(CONTROL[[#This Row],[VEHIDCODE]],PROPERTIES[VEHIDCODE],0))</f>
        <v>1</v>
      </c>
      <c r="L81" t="b">
        <f>ISNUMBER(_xlfn.XLOOKUP(CONTROL[[#This Row],[VEHIDCODE]],roster!A:A,roster!D:D))</f>
        <v>1</v>
      </c>
      <c r="M81" t="b">
        <f>ISNUMBER(_xlfn.XMATCH(CONTROL[[#This Row],[VEHIDCODE]],GRAPHICS_PROPERTIES[VEHIDCODE],0))</f>
        <v>1</v>
      </c>
      <c r="N81" s="21" t="str">
        <f>"item_"&amp;CONTROL[[#This Row],[VEHIDCODE]]</f>
        <v>item_steam_Schneider_et_Cie_140C</v>
      </c>
      <c r="O81" s="21" t="str">
        <f>"str_"&amp;CONTROL[[#This Row],[VEHIDCODE]]</f>
        <v>str_steam_Schneider_et_Cie_140C</v>
      </c>
      <c r="P81" s="7" t="b">
        <f>_xlfn.XLOOKUP(CONTROL[[#This Row],[VEHIDCODE]],PROPERTIES[VEHIDCODE],PROPERTIES[IS_CONCEPT])="IS_CONCEPT"</f>
        <v>0</v>
      </c>
      <c r="Q81" s="7" t="b">
        <f>_xlfn.XLOOKUP(CONTROL[[#This Row],[VEHIDCODE]],PROPERTIES[VEHIDCODE],PROPERTIES[EXCLUDE])</f>
        <v>0</v>
      </c>
      <c r="R81" t="str" cm="1">
        <f t="array" ref="R81">_xlfn.XLOOKUP(CONTROL[[#This Row],[VEHIDCODE]],GRAPHICS_PROPERTIES[VEHIDCODE],GRAPHICS_PROPERTIES[TEMPLATE_ID]&amp;GRAPHICS_PROPERTIES[TEMPLATE_AMENDMENT_CODE])</f>
        <v>TPL_03A</v>
      </c>
    </row>
    <row r="82" spans="1:18" x14ac:dyDescent="0.35">
      <c r="A82" s="2" t="s">
        <v>3472</v>
      </c>
      <c r="B82" s="21" t="str">
        <f>_xlfn.TEXTAFTER(CONTROL[[#This Row],[VEHIDCODE]],"_")</f>
        <v>Union_Giesserei_2_8_2T</v>
      </c>
      <c r="C82" t="str" cm="1">
        <f t="array" ref="C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2" t="str" cm="1">
        <f t="array" ref="D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2">
        <v>4018</v>
      </c>
      <c r="F82" s="32" t="s">
        <v>3473</v>
      </c>
      <c r="G82" t="s">
        <v>1656</v>
      </c>
      <c r="H82" s="2" t="b">
        <f>AND(CONTROL[[#This Row],[IS_WAGON_OR_COACH]]=TRUE,OR(RIGHT(CONTROL[[#This Row],[VEHIDCODE]],7)="Powered",RIGHT(CONTROL[[#This Row],[VEHIDCODE]],9)="Unpowered"))</f>
        <v>0</v>
      </c>
      <c r="I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" t="b">
        <f>ISNUMBER(_xlfn.XMATCH(CONTROL[[#This Row],[VEHIDCODE]],TRACK_TYPES[VEHIDCODE],0))</f>
        <v>1</v>
      </c>
      <c r="K82" t="b">
        <f>ISNUMBER(_xlfn.XMATCH(CONTROL[[#This Row],[VEHIDCODE]],PROPERTIES[VEHIDCODE],0))</f>
        <v>1</v>
      </c>
      <c r="L82" t="b">
        <f>ISNUMBER(_xlfn.XLOOKUP(CONTROL[[#This Row],[VEHIDCODE]],roster!A:A,roster!D:D))</f>
        <v>1</v>
      </c>
      <c r="M82" t="b">
        <f>ISNUMBER(_xlfn.XMATCH(CONTROL[[#This Row],[VEHIDCODE]],GRAPHICS_PROPERTIES[VEHIDCODE],0))</f>
        <v>1</v>
      </c>
      <c r="N82" s="21" t="str">
        <f>"item_"&amp;CONTROL[[#This Row],[VEHIDCODE]]</f>
        <v>item_steam_Union_Giesserei_2_8_2T</v>
      </c>
      <c r="O82" s="21" t="str">
        <f>"str_"&amp;CONTROL[[#This Row],[VEHIDCODE]]</f>
        <v>str_steam_Union_Giesserei_2_8_2T</v>
      </c>
      <c r="P82" s="7" t="b">
        <f>_xlfn.XLOOKUP(CONTROL[[#This Row],[VEHIDCODE]],PROPERTIES[VEHIDCODE],PROPERTIES[IS_CONCEPT])="IS_CONCEPT"</f>
        <v>0</v>
      </c>
      <c r="Q82" s="7" t="b">
        <f>_xlfn.XLOOKUP(CONTROL[[#This Row],[VEHIDCODE]],PROPERTIES[VEHIDCODE],PROPERTIES[EXCLUDE])</f>
        <v>0</v>
      </c>
      <c r="R82" t="str" cm="1">
        <f t="array" ref="R82">_xlfn.XLOOKUP(CONTROL[[#This Row],[VEHIDCODE]],GRAPHICS_PROPERTIES[VEHIDCODE],GRAPHICS_PROPERTIES[TEMPLATE_ID]&amp;GRAPHICS_PROPERTIES[TEMPLATE_AMENDMENT_CODE])</f>
        <v>TPL_03C</v>
      </c>
    </row>
    <row r="83" spans="1:18" x14ac:dyDescent="0.35">
      <c r="A83" s="2" t="s">
        <v>2724</v>
      </c>
      <c r="B83" s="21" t="str">
        <f>_xlfn.TEXTAFTER(CONTROL[[#This Row],[VEHIDCODE]],"_")</f>
        <v>GWR_4900_Hall</v>
      </c>
      <c r="C83" t="str" cm="1">
        <f t="array" ref="C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" t="str" cm="1">
        <f t="array" ref="D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">
        <v>4019</v>
      </c>
      <c r="F83" s="32" t="s">
        <v>1116</v>
      </c>
      <c r="G83" t="s">
        <v>1115</v>
      </c>
      <c r="H83" s="2" t="b">
        <f>AND(CONTROL[[#This Row],[IS_WAGON_OR_COACH]]=TRUE,OR(RIGHT(CONTROL[[#This Row],[VEHIDCODE]],7)="Powered",RIGHT(CONTROL[[#This Row],[VEHIDCODE]],9)="Unpowered"))</f>
        <v>0</v>
      </c>
      <c r="I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" t="b">
        <f>ISNUMBER(_xlfn.XMATCH(CONTROL[[#This Row],[VEHIDCODE]],TRACK_TYPES[VEHIDCODE],0))</f>
        <v>1</v>
      </c>
      <c r="K83" t="b">
        <f>ISNUMBER(_xlfn.XMATCH(CONTROL[[#This Row],[VEHIDCODE]],PROPERTIES[VEHIDCODE],0))</f>
        <v>1</v>
      </c>
      <c r="L83" t="b">
        <f>ISNUMBER(_xlfn.XLOOKUP(CONTROL[[#This Row],[VEHIDCODE]],roster!A:A,roster!D:D))</f>
        <v>1</v>
      </c>
      <c r="M83" t="b">
        <f>ISNUMBER(_xlfn.XMATCH(CONTROL[[#This Row],[VEHIDCODE]],GRAPHICS_PROPERTIES[VEHIDCODE],0))</f>
        <v>1</v>
      </c>
      <c r="N83" s="21" t="str">
        <f>"item_"&amp;CONTROL[[#This Row],[VEHIDCODE]]</f>
        <v>item_steam_GWR_4900_Hall</v>
      </c>
      <c r="O83" s="21" t="str">
        <f>"str_"&amp;CONTROL[[#This Row],[VEHIDCODE]]</f>
        <v>str_steam_GWR_4900_Hall</v>
      </c>
      <c r="P83" s="7" t="b">
        <f>_xlfn.XLOOKUP(CONTROL[[#This Row],[VEHIDCODE]],PROPERTIES[VEHIDCODE],PROPERTIES[IS_CONCEPT])="IS_CONCEPT"</f>
        <v>0</v>
      </c>
      <c r="Q83" s="7" t="b">
        <f>_xlfn.XLOOKUP(CONTROL[[#This Row],[VEHIDCODE]],PROPERTIES[VEHIDCODE],PROPERTIES[EXCLUDE])</f>
        <v>0</v>
      </c>
      <c r="R83" t="str" cm="1">
        <f t="array" ref="R83">_xlfn.XLOOKUP(CONTROL[[#This Row],[VEHIDCODE]],GRAPHICS_PROPERTIES[VEHIDCODE],GRAPHICS_PROPERTIES[TEMPLATE_ID]&amp;GRAPHICS_PROPERTIES[TEMPLATE_AMENDMENT_CODE])</f>
        <v>TPL_03A</v>
      </c>
    </row>
    <row r="84" spans="1:18" x14ac:dyDescent="0.35">
      <c r="A84" s="2" t="s">
        <v>2725</v>
      </c>
      <c r="B84" s="21" t="str">
        <f>_xlfn.TEXTAFTER(CONTROL[[#This Row],[VEHIDCODE]],"_")</f>
        <v>GWR_5700_Pannier</v>
      </c>
      <c r="C84" t="str" cm="1">
        <f t="array" ref="C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" t="str" cm="1">
        <f t="array" ref="D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">
        <v>4020</v>
      </c>
      <c r="F84" s="32" t="s">
        <v>1117</v>
      </c>
      <c r="G84" t="s">
        <v>1118</v>
      </c>
      <c r="H84" s="2" t="b">
        <f>AND(CONTROL[[#This Row],[IS_WAGON_OR_COACH]]=TRUE,OR(RIGHT(CONTROL[[#This Row],[VEHIDCODE]],7)="Powered",RIGHT(CONTROL[[#This Row],[VEHIDCODE]],9)="Unpowered"))</f>
        <v>0</v>
      </c>
      <c r="I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" t="b">
        <f>ISNUMBER(_xlfn.XMATCH(CONTROL[[#This Row],[VEHIDCODE]],TRACK_TYPES[VEHIDCODE],0))</f>
        <v>1</v>
      </c>
      <c r="K84" t="b">
        <f>ISNUMBER(_xlfn.XMATCH(CONTROL[[#This Row],[VEHIDCODE]],PROPERTIES[VEHIDCODE],0))</f>
        <v>1</v>
      </c>
      <c r="L84" t="b">
        <f>ISNUMBER(_xlfn.XLOOKUP(CONTROL[[#This Row],[VEHIDCODE]],roster!A:A,roster!D:D))</f>
        <v>1</v>
      </c>
      <c r="M84" t="b">
        <f>ISNUMBER(_xlfn.XMATCH(CONTROL[[#This Row],[VEHIDCODE]],GRAPHICS_PROPERTIES[VEHIDCODE],0))</f>
        <v>1</v>
      </c>
      <c r="N84" s="21" t="str">
        <f>"item_"&amp;CONTROL[[#This Row],[VEHIDCODE]]</f>
        <v>item_steam_GWR_5700_Pannier</v>
      </c>
      <c r="O84" s="21" t="str">
        <f>"str_"&amp;CONTROL[[#This Row],[VEHIDCODE]]</f>
        <v>str_steam_GWR_5700_Pannier</v>
      </c>
      <c r="P84" s="7" t="b">
        <f>_xlfn.XLOOKUP(CONTROL[[#This Row],[VEHIDCODE]],PROPERTIES[VEHIDCODE],PROPERTIES[IS_CONCEPT])="IS_CONCEPT"</f>
        <v>0</v>
      </c>
      <c r="Q84" s="7" t="b">
        <f>_xlfn.XLOOKUP(CONTROL[[#This Row],[VEHIDCODE]],PROPERTIES[VEHIDCODE],PROPERTIES[EXCLUDE])</f>
        <v>0</v>
      </c>
      <c r="R84" t="str" cm="1">
        <f t="array" ref="R84">_xlfn.XLOOKUP(CONTROL[[#This Row],[VEHIDCODE]],GRAPHICS_PROPERTIES[VEHIDCODE],GRAPHICS_PROPERTIES[TEMPLATE_ID]&amp;GRAPHICS_PROPERTIES[TEMPLATE_AMENDMENT_CODE])</f>
        <v>TPL_03C</v>
      </c>
    </row>
    <row r="85" spans="1:18" x14ac:dyDescent="0.35">
      <c r="A85" s="2" t="s">
        <v>2726</v>
      </c>
      <c r="B85" s="21" t="str">
        <f>_xlfn.TEXTAFTER(CONTROL[[#This Row],[VEHIDCODE]],"_")</f>
        <v>Henschel___Sohn_series_6300</v>
      </c>
      <c r="C85" t="str" cm="1">
        <f t="array" ref="C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5" t="str" cm="1">
        <f t="array" ref="D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5">
        <v>4021</v>
      </c>
      <c r="F85" s="32" t="s">
        <v>2604</v>
      </c>
      <c r="G85" t="s">
        <v>1119</v>
      </c>
      <c r="H85" s="2" t="b">
        <f>AND(CONTROL[[#This Row],[IS_WAGON_OR_COACH]]=TRUE,OR(RIGHT(CONTROL[[#This Row],[VEHIDCODE]],7)="Powered",RIGHT(CONTROL[[#This Row],[VEHIDCODE]],9)="Unpowered"))</f>
        <v>0</v>
      </c>
      <c r="I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" t="b">
        <f>ISNUMBER(_xlfn.XMATCH(CONTROL[[#This Row],[VEHIDCODE]],TRACK_TYPES[VEHIDCODE],0))</f>
        <v>1</v>
      </c>
      <c r="K85" t="b">
        <f>ISNUMBER(_xlfn.XMATCH(CONTROL[[#This Row],[VEHIDCODE]],PROPERTIES[VEHIDCODE],0))</f>
        <v>1</v>
      </c>
      <c r="L85" t="b">
        <f>ISNUMBER(_xlfn.XLOOKUP(CONTROL[[#This Row],[VEHIDCODE]],roster!A:A,roster!D:D))</f>
        <v>1</v>
      </c>
      <c r="M85" t="b">
        <f>ISNUMBER(_xlfn.XMATCH(CONTROL[[#This Row],[VEHIDCODE]],GRAPHICS_PROPERTIES[VEHIDCODE],0))</f>
        <v>1</v>
      </c>
      <c r="N85" s="21" t="str">
        <f>"item_"&amp;CONTROL[[#This Row],[VEHIDCODE]]</f>
        <v>item_steam_Henschel___Sohn_series_6300</v>
      </c>
      <c r="O85" s="21" t="str">
        <f>"str_"&amp;CONTROL[[#This Row],[VEHIDCODE]]</f>
        <v>str_steam_Henschel___Sohn_series_6300</v>
      </c>
      <c r="P85" s="7" t="b">
        <f>_xlfn.XLOOKUP(CONTROL[[#This Row],[VEHIDCODE]],PROPERTIES[VEHIDCODE],PROPERTIES[IS_CONCEPT])="IS_CONCEPT"</f>
        <v>0</v>
      </c>
      <c r="Q85" s="7" t="b">
        <f>_xlfn.XLOOKUP(CONTROL[[#This Row],[VEHIDCODE]],PROPERTIES[VEHIDCODE],PROPERTIES[EXCLUDE])</f>
        <v>0</v>
      </c>
      <c r="R85" t="str" cm="1">
        <f t="array" ref="R85">_xlfn.XLOOKUP(CONTROL[[#This Row],[VEHIDCODE]],GRAPHICS_PROPERTIES[VEHIDCODE],GRAPHICS_PROPERTIES[TEMPLATE_ID]&amp;GRAPHICS_PROPERTIES[TEMPLATE_AMENDMENT_CODE])</f>
        <v>TPL_03C</v>
      </c>
    </row>
    <row r="86" spans="1:18" x14ac:dyDescent="0.35">
      <c r="A86" s="2" t="s">
        <v>2727</v>
      </c>
      <c r="B86" s="21" t="str">
        <f>_xlfn.TEXTAFTER(CONTROL[[#This Row],[VEHIDCODE]],"_")</f>
        <v>Baldwin_5000_Madame_Queen</v>
      </c>
      <c r="C86" t="str" cm="1">
        <f t="array" ref="C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6" t="str" cm="1">
        <f t="array" ref="D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6">
        <v>4022</v>
      </c>
      <c r="F86" s="32" t="s">
        <v>2106</v>
      </c>
      <c r="G86" t="s">
        <v>1120</v>
      </c>
      <c r="H86" s="2" t="b">
        <f>AND(CONTROL[[#This Row],[IS_WAGON_OR_COACH]]=TRUE,OR(RIGHT(CONTROL[[#This Row],[VEHIDCODE]],7)="Powered",RIGHT(CONTROL[[#This Row],[VEHIDCODE]],9)="Unpowered"))</f>
        <v>0</v>
      </c>
      <c r="I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" t="b">
        <f>ISNUMBER(_xlfn.XMATCH(CONTROL[[#This Row],[VEHIDCODE]],TRACK_TYPES[VEHIDCODE],0))</f>
        <v>1</v>
      </c>
      <c r="K86" t="b">
        <f>ISNUMBER(_xlfn.XMATCH(CONTROL[[#This Row],[VEHIDCODE]],PROPERTIES[VEHIDCODE],0))</f>
        <v>1</v>
      </c>
      <c r="L86" t="b">
        <f>ISNUMBER(_xlfn.XLOOKUP(CONTROL[[#This Row],[VEHIDCODE]],roster!A:A,roster!D:D))</f>
        <v>1</v>
      </c>
      <c r="M86" t="b">
        <f>ISNUMBER(_xlfn.XMATCH(CONTROL[[#This Row],[VEHIDCODE]],GRAPHICS_PROPERTIES[VEHIDCODE],0))</f>
        <v>1</v>
      </c>
      <c r="N86" s="21" t="str">
        <f>"item_"&amp;CONTROL[[#This Row],[VEHIDCODE]]</f>
        <v>item_steam_Baldwin_5000_Madame_Queen</v>
      </c>
      <c r="O86" s="21" t="str">
        <f>"str_"&amp;CONTROL[[#This Row],[VEHIDCODE]]</f>
        <v>str_steam_Baldwin_5000_Madame_Queen</v>
      </c>
      <c r="P86" s="7" t="b">
        <f>_xlfn.XLOOKUP(CONTROL[[#This Row],[VEHIDCODE]],PROPERTIES[VEHIDCODE],PROPERTIES[IS_CONCEPT])="IS_CONCEPT"</f>
        <v>0</v>
      </c>
      <c r="Q86" s="7" t="b">
        <f>_xlfn.XLOOKUP(CONTROL[[#This Row],[VEHIDCODE]],PROPERTIES[VEHIDCODE],PROPERTIES[EXCLUDE])</f>
        <v>0</v>
      </c>
      <c r="R86" t="str" cm="1">
        <f t="array" ref="R86">_xlfn.XLOOKUP(CONTROL[[#This Row],[VEHIDCODE]],GRAPHICS_PROPERTIES[VEHIDCODE],GRAPHICS_PROPERTIES[TEMPLATE_ID]&amp;GRAPHICS_PROPERTIES[TEMPLATE_AMENDMENT_CODE])</f>
        <v>TPL_03A</v>
      </c>
    </row>
    <row r="87" spans="1:18" x14ac:dyDescent="0.35">
      <c r="A87" s="2" t="s">
        <v>2728</v>
      </c>
      <c r="B87" s="21" t="str">
        <f>_xlfn.TEXTAFTER(CONTROL[[#This Row],[VEHIDCODE]],"_")</f>
        <v>Schwartzkopff_S_10_Prussian</v>
      </c>
      <c r="C87" t="str" cm="1">
        <f t="array" ref="C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7" t="str" cm="1">
        <f t="array" ref="D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7">
        <v>4024</v>
      </c>
      <c r="F87" s="32" t="s">
        <v>2107</v>
      </c>
      <c r="G87" t="s">
        <v>1121</v>
      </c>
      <c r="H87" s="2" t="b">
        <f>AND(CONTROL[[#This Row],[IS_WAGON_OR_COACH]]=TRUE,OR(RIGHT(CONTROL[[#This Row],[VEHIDCODE]],7)="Powered",RIGHT(CONTROL[[#This Row],[VEHIDCODE]],9)="Unpowered"))</f>
        <v>0</v>
      </c>
      <c r="I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" t="b">
        <f>ISNUMBER(_xlfn.XMATCH(CONTROL[[#This Row],[VEHIDCODE]],TRACK_TYPES[VEHIDCODE],0))</f>
        <v>1</v>
      </c>
      <c r="K87" t="b">
        <f>ISNUMBER(_xlfn.XMATCH(CONTROL[[#This Row],[VEHIDCODE]],PROPERTIES[VEHIDCODE],0))</f>
        <v>1</v>
      </c>
      <c r="L87" t="b">
        <f>ISNUMBER(_xlfn.XLOOKUP(CONTROL[[#This Row],[VEHIDCODE]],roster!A:A,roster!D:D))</f>
        <v>1</v>
      </c>
      <c r="M87" t="b">
        <f>ISNUMBER(_xlfn.XMATCH(CONTROL[[#This Row],[VEHIDCODE]],GRAPHICS_PROPERTIES[VEHIDCODE],0))</f>
        <v>1</v>
      </c>
      <c r="N87" s="21" t="str">
        <f>"item_"&amp;CONTROL[[#This Row],[VEHIDCODE]]</f>
        <v>item_steam_Schwartzkopff_S_10_Prussian</v>
      </c>
      <c r="O87" s="21" t="str">
        <f>"str_"&amp;CONTROL[[#This Row],[VEHIDCODE]]</f>
        <v>str_steam_Schwartzkopff_S_10_Prussian</v>
      </c>
      <c r="P87" s="7" t="b">
        <f>_xlfn.XLOOKUP(CONTROL[[#This Row],[VEHIDCODE]],PROPERTIES[VEHIDCODE],PROPERTIES[IS_CONCEPT])="IS_CONCEPT"</f>
        <v>0</v>
      </c>
      <c r="Q87" s="7" t="b">
        <f>_xlfn.XLOOKUP(CONTROL[[#This Row],[VEHIDCODE]],PROPERTIES[VEHIDCODE],PROPERTIES[EXCLUDE])</f>
        <v>0</v>
      </c>
      <c r="R87" t="str" cm="1">
        <f t="array" ref="R87">_xlfn.XLOOKUP(CONTROL[[#This Row],[VEHIDCODE]],GRAPHICS_PROPERTIES[VEHIDCODE],GRAPHICS_PROPERTIES[TEMPLATE_ID]&amp;GRAPHICS_PROPERTIES[TEMPLATE_AMENDMENT_CODE])</f>
        <v>TPL_03A</v>
      </c>
    </row>
    <row r="88" spans="1:18" x14ac:dyDescent="0.35">
      <c r="A88" s="2" t="s">
        <v>2729</v>
      </c>
      <c r="B88" s="21" t="str">
        <f>_xlfn.TEXTAFTER(CONTROL[[#This Row],[VEHIDCODE]],"_")</f>
        <v>LMS_5MT_Black_Five</v>
      </c>
      <c r="C88" t="str" cm="1">
        <f t="array" ref="C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" t="str" cm="1">
        <f t="array" ref="D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">
        <v>4025</v>
      </c>
      <c r="F88" s="32" t="s">
        <v>362</v>
      </c>
      <c r="G88" t="s">
        <v>1122</v>
      </c>
      <c r="H88" s="2" t="b">
        <f>AND(CONTROL[[#This Row],[IS_WAGON_OR_COACH]]=TRUE,OR(RIGHT(CONTROL[[#This Row],[VEHIDCODE]],7)="Powered",RIGHT(CONTROL[[#This Row],[VEHIDCODE]],9)="Unpowered"))</f>
        <v>0</v>
      </c>
      <c r="I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" t="b">
        <f>ISNUMBER(_xlfn.XMATCH(CONTROL[[#This Row],[VEHIDCODE]],TRACK_TYPES[VEHIDCODE],0))</f>
        <v>1</v>
      </c>
      <c r="K88" t="b">
        <f>ISNUMBER(_xlfn.XMATCH(CONTROL[[#This Row],[VEHIDCODE]],PROPERTIES[VEHIDCODE],0))</f>
        <v>1</v>
      </c>
      <c r="L88" t="b">
        <f>ISNUMBER(_xlfn.XLOOKUP(CONTROL[[#This Row],[VEHIDCODE]],roster!A:A,roster!D:D))</f>
        <v>1</v>
      </c>
      <c r="M88" t="b">
        <f>ISNUMBER(_xlfn.XMATCH(CONTROL[[#This Row],[VEHIDCODE]],GRAPHICS_PROPERTIES[VEHIDCODE],0))</f>
        <v>1</v>
      </c>
      <c r="N88" s="21" t="str">
        <f>"item_"&amp;CONTROL[[#This Row],[VEHIDCODE]]</f>
        <v>item_steam_LMS_5MT_Black_Five</v>
      </c>
      <c r="O88" s="21" t="str">
        <f>"str_"&amp;CONTROL[[#This Row],[VEHIDCODE]]</f>
        <v>str_steam_LMS_5MT_Black_Five</v>
      </c>
      <c r="P88" s="7" t="b">
        <f>_xlfn.XLOOKUP(CONTROL[[#This Row],[VEHIDCODE]],PROPERTIES[VEHIDCODE],PROPERTIES[IS_CONCEPT])="IS_CONCEPT"</f>
        <v>0</v>
      </c>
      <c r="Q88" s="7" t="b">
        <f>_xlfn.XLOOKUP(CONTROL[[#This Row],[VEHIDCODE]],PROPERTIES[VEHIDCODE],PROPERTIES[EXCLUDE])</f>
        <v>0</v>
      </c>
      <c r="R88" t="str" cm="1">
        <f t="array" ref="R88">_xlfn.XLOOKUP(CONTROL[[#This Row],[VEHIDCODE]],GRAPHICS_PROPERTIES[VEHIDCODE],GRAPHICS_PROPERTIES[TEMPLATE_ID]&amp;GRAPHICS_PROPERTIES[TEMPLATE_AMENDMENT_CODE])</f>
        <v>TPL_03A</v>
      </c>
    </row>
    <row r="89" spans="1:18" x14ac:dyDescent="0.35">
      <c r="A89" s="2" t="s">
        <v>2730</v>
      </c>
      <c r="B89" s="21" t="str">
        <f>_xlfn.TEXTAFTER(CONTROL[[#This Row],[VEHIDCODE]],"_")</f>
        <v>Kolomena_9P</v>
      </c>
      <c r="C89" t="str" cm="1">
        <f t="array" ref="C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9" t="str" cm="1">
        <f t="array" ref="D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9">
        <v>4026</v>
      </c>
      <c r="F89" s="32" t="s">
        <v>3505</v>
      </c>
      <c r="G89" t="s">
        <v>1123</v>
      </c>
      <c r="H89" s="2" t="b">
        <f>AND(CONTROL[[#This Row],[IS_WAGON_OR_COACH]]=TRUE,OR(RIGHT(CONTROL[[#This Row],[VEHIDCODE]],7)="Powered",RIGHT(CONTROL[[#This Row],[VEHIDCODE]],9)="Unpowered"))</f>
        <v>0</v>
      </c>
      <c r="I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" t="b">
        <f>ISNUMBER(_xlfn.XMATCH(CONTROL[[#This Row],[VEHIDCODE]],TRACK_TYPES[VEHIDCODE],0))</f>
        <v>1</v>
      </c>
      <c r="K89" t="b">
        <f>ISNUMBER(_xlfn.XMATCH(CONTROL[[#This Row],[VEHIDCODE]],PROPERTIES[VEHIDCODE],0))</f>
        <v>1</v>
      </c>
      <c r="L89" t="b">
        <f>ISNUMBER(_xlfn.XLOOKUP(CONTROL[[#This Row],[VEHIDCODE]],roster!A:A,roster!D:D))</f>
        <v>1</v>
      </c>
      <c r="M89" t="b">
        <f>ISNUMBER(_xlfn.XMATCH(CONTROL[[#This Row],[VEHIDCODE]],GRAPHICS_PROPERTIES[VEHIDCODE],0))</f>
        <v>1</v>
      </c>
      <c r="N89" s="21" t="str">
        <f>"item_"&amp;CONTROL[[#This Row],[VEHIDCODE]]</f>
        <v>item_steam_Kolomena_9P</v>
      </c>
      <c r="O89" s="21" t="str">
        <f>"str_"&amp;CONTROL[[#This Row],[VEHIDCODE]]</f>
        <v>str_steam_Kolomena_9P</v>
      </c>
      <c r="P89" s="7" t="b">
        <f>_xlfn.XLOOKUP(CONTROL[[#This Row],[VEHIDCODE]],PROPERTIES[VEHIDCODE],PROPERTIES[IS_CONCEPT])="IS_CONCEPT"</f>
        <v>0</v>
      </c>
      <c r="Q89" s="7" t="b">
        <f>_xlfn.XLOOKUP(CONTROL[[#This Row],[VEHIDCODE]],PROPERTIES[VEHIDCODE],PROPERTIES[EXCLUDE])</f>
        <v>0</v>
      </c>
      <c r="R89" t="str" cm="1">
        <f t="array" ref="R89">_xlfn.XLOOKUP(CONTROL[[#This Row],[VEHIDCODE]],GRAPHICS_PROPERTIES[VEHIDCODE],GRAPHICS_PROPERTIES[TEMPLATE_ID]&amp;GRAPHICS_PROPERTIES[TEMPLATE_AMENDMENT_CODE])</f>
        <v>TPL_03C</v>
      </c>
    </row>
    <row r="90" spans="1:18" x14ac:dyDescent="0.35">
      <c r="A90" s="2" t="s">
        <v>2731</v>
      </c>
      <c r="B90" s="21" t="str">
        <f>_xlfn.TEXTAFTER(CONTROL[[#This Row],[VEHIDCODE]],"_")</f>
        <v>LNER_A4_Gresley</v>
      </c>
      <c r="C90" t="str" cm="1">
        <f t="array" ref="C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0" t="str" cm="1">
        <f t="array" ref="D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0">
        <v>4028</v>
      </c>
      <c r="F90" s="32" t="s">
        <v>363</v>
      </c>
      <c r="G90" t="s">
        <v>1124</v>
      </c>
      <c r="H90" s="2" t="b">
        <f>AND(CONTROL[[#This Row],[IS_WAGON_OR_COACH]]=TRUE,OR(RIGHT(CONTROL[[#This Row],[VEHIDCODE]],7)="Powered",RIGHT(CONTROL[[#This Row],[VEHIDCODE]],9)="Unpowered"))</f>
        <v>0</v>
      </c>
      <c r="I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" t="b">
        <f>ISNUMBER(_xlfn.XMATCH(CONTROL[[#This Row],[VEHIDCODE]],TRACK_TYPES[VEHIDCODE],0))</f>
        <v>1</v>
      </c>
      <c r="K90" t="b">
        <f>ISNUMBER(_xlfn.XMATCH(CONTROL[[#This Row],[VEHIDCODE]],PROPERTIES[VEHIDCODE],0))</f>
        <v>1</v>
      </c>
      <c r="L90" t="b">
        <f>ISNUMBER(_xlfn.XLOOKUP(CONTROL[[#This Row],[VEHIDCODE]],roster!A:A,roster!D:D))</f>
        <v>1</v>
      </c>
      <c r="M90" t="b">
        <f>ISNUMBER(_xlfn.XMATCH(CONTROL[[#This Row],[VEHIDCODE]],GRAPHICS_PROPERTIES[VEHIDCODE],0))</f>
        <v>1</v>
      </c>
      <c r="N90" s="21" t="str">
        <f>"item_"&amp;CONTROL[[#This Row],[VEHIDCODE]]</f>
        <v>item_steam_LNER_A4_Gresley</v>
      </c>
      <c r="O90" s="21" t="str">
        <f>"str_"&amp;CONTROL[[#This Row],[VEHIDCODE]]</f>
        <v>str_steam_LNER_A4_Gresley</v>
      </c>
      <c r="P90" s="7" t="b">
        <f>_xlfn.XLOOKUP(CONTROL[[#This Row],[VEHIDCODE]],PROPERTIES[VEHIDCODE],PROPERTIES[IS_CONCEPT])="IS_CONCEPT"</f>
        <v>0</v>
      </c>
      <c r="Q90" s="7" t="b">
        <f>_xlfn.XLOOKUP(CONTROL[[#This Row],[VEHIDCODE]],PROPERTIES[VEHIDCODE],PROPERTIES[EXCLUDE])</f>
        <v>0</v>
      </c>
      <c r="R90" t="str" cm="1">
        <f t="array" ref="R90">_xlfn.XLOOKUP(CONTROL[[#This Row],[VEHIDCODE]],GRAPHICS_PROPERTIES[VEHIDCODE],GRAPHICS_PROPERTIES[TEMPLATE_ID]&amp;GRAPHICS_PROPERTIES[TEMPLATE_AMENDMENT_CODE])</f>
        <v>TPL_03A</v>
      </c>
    </row>
    <row r="91" spans="1:18" x14ac:dyDescent="0.35">
      <c r="A91" s="2" t="s">
        <v>2732</v>
      </c>
      <c r="B91" s="21" t="str">
        <f>_xlfn.TEXTAFTER(CONTROL[[#This Row],[VEHIDCODE]],"_")</f>
        <v>MLW_Royal_Hudson</v>
      </c>
      <c r="C91" t="str" cm="1">
        <f t="array" ref="C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1" t="str" cm="1">
        <f t="array" ref="D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1">
        <v>4029</v>
      </c>
      <c r="F91" s="32" t="s">
        <v>2108</v>
      </c>
      <c r="G91" t="s">
        <v>1125</v>
      </c>
      <c r="H91" s="2" t="b">
        <f>AND(CONTROL[[#This Row],[IS_WAGON_OR_COACH]]=TRUE,OR(RIGHT(CONTROL[[#This Row],[VEHIDCODE]],7)="Powered",RIGHT(CONTROL[[#This Row],[VEHIDCODE]],9)="Unpowered"))</f>
        <v>0</v>
      </c>
      <c r="I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1" t="b">
        <f>ISNUMBER(_xlfn.XMATCH(CONTROL[[#This Row],[VEHIDCODE]],TRACK_TYPES[VEHIDCODE],0))</f>
        <v>1</v>
      </c>
      <c r="K91" t="b">
        <f>ISNUMBER(_xlfn.XMATCH(CONTROL[[#This Row],[VEHIDCODE]],PROPERTIES[VEHIDCODE],0))</f>
        <v>1</v>
      </c>
      <c r="L91" t="b">
        <f>ISNUMBER(_xlfn.XLOOKUP(CONTROL[[#This Row],[VEHIDCODE]],roster!A:A,roster!D:D))</f>
        <v>1</v>
      </c>
      <c r="M91" t="b">
        <f>ISNUMBER(_xlfn.XMATCH(CONTROL[[#This Row],[VEHIDCODE]],GRAPHICS_PROPERTIES[VEHIDCODE],0))</f>
        <v>1</v>
      </c>
      <c r="N91" s="21" t="str">
        <f>"item_"&amp;CONTROL[[#This Row],[VEHIDCODE]]</f>
        <v>item_steam_MLW_Royal_Hudson</v>
      </c>
      <c r="O91" s="21" t="str">
        <f>"str_"&amp;CONTROL[[#This Row],[VEHIDCODE]]</f>
        <v>str_steam_MLW_Royal_Hudson</v>
      </c>
      <c r="P91" s="7" t="b">
        <f>_xlfn.XLOOKUP(CONTROL[[#This Row],[VEHIDCODE]],PROPERTIES[VEHIDCODE],PROPERTIES[IS_CONCEPT])="IS_CONCEPT"</f>
        <v>0</v>
      </c>
      <c r="Q91" s="7" t="b">
        <f>_xlfn.XLOOKUP(CONTROL[[#This Row],[VEHIDCODE]],PROPERTIES[VEHIDCODE],PROPERTIES[EXCLUDE])</f>
        <v>0</v>
      </c>
      <c r="R91" t="str" cm="1">
        <f t="array" ref="R91">_xlfn.XLOOKUP(CONTROL[[#This Row],[VEHIDCODE]],GRAPHICS_PROPERTIES[VEHIDCODE],GRAPHICS_PROPERTIES[TEMPLATE_ID]&amp;GRAPHICS_PROPERTIES[TEMPLATE_AMENDMENT_CODE])</f>
        <v>TPL_03A</v>
      </c>
    </row>
    <row r="92" spans="1:18" x14ac:dyDescent="0.35">
      <c r="A92" s="2" t="s">
        <v>2733</v>
      </c>
      <c r="B92" s="21" t="str">
        <f>_xlfn.TEXTAFTER(CONTROL[[#This Row],[VEHIDCODE]],"_")</f>
        <v>NOHAB_4_6_2_F</v>
      </c>
      <c r="C92" t="str" cm="1">
        <f t="array" ref="C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2" t="str" cm="1">
        <f t="array" ref="D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2">
        <v>4038</v>
      </c>
      <c r="F92" s="32" t="s">
        <v>2109</v>
      </c>
      <c r="G92" t="s">
        <v>1658</v>
      </c>
      <c r="H92" s="2" t="b">
        <f>AND(CONTROL[[#This Row],[IS_WAGON_OR_COACH]]=TRUE,OR(RIGHT(CONTROL[[#This Row],[VEHIDCODE]],7)="Powered",RIGHT(CONTROL[[#This Row],[VEHIDCODE]],9)="Unpowered"))</f>
        <v>0</v>
      </c>
      <c r="I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2" t="b">
        <f>ISNUMBER(_xlfn.XMATCH(CONTROL[[#This Row],[VEHIDCODE]],TRACK_TYPES[VEHIDCODE],0))</f>
        <v>1</v>
      </c>
      <c r="K92" t="b">
        <f>ISNUMBER(_xlfn.XMATCH(CONTROL[[#This Row],[VEHIDCODE]],PROPERTIES[VEHIDCODE],0))</f>
        <v>1</v>
      </c>
      <c r="L92" t="b">
        <f>ISNUMBER(_xlfn.XLOOKUP(CONTROL[[#This Row],[VEHIDCODE]],roster!A:A,roster!D:D))</f>
        <v>1</v>
      </c>
      <c r="M92" t="b">
        <f>ISNUMBER(_xlfn.XMATCH(CONTROL[[#This Row],[VEHIDCODE]],GRAPHICS_PROPERTIES[VEHIDCODE],0))</f>
        <v>1</v>
      </c>
      <c r="N92" s="21" t="str">
        <f>"item_"&amp;CONTROL[[#This Row],[VEHIDCODE]]</f>
        <v>item_steam_NOHAB_4_6_2_F</v>
      </c>
      <c r="O92" s="21" t="str">
        <f>"str_"&amp;CONTROL[[#This Row],[VEHIDCODE]]</f>
        <v>str_steam_NOHAB_4_6_2_F</v>
      </c>
      <c r="P92" s="7" t="b">
        <f>_xlfn.XLOOKUP(CONTROL[[#This Row],[VEHIDCODE]],PROPERTIES[VEHIDCODE],PROPERTIES[IS_CONCEPT])="IS_CONCEPT"</f>
        <v>0</v>
      </c>
      <c r="Q92" s="7" t="b">
        <f>_xlfn.XLOOKUP(CONTROL[[#This Row],[VEHIDCODE]],PROPERTIES[VEHIDCODE],PROPERTIES[EXCLUDE])</f>
        <v>0</v>
      </c>
      <c r="R92" t="str" cm="1">
        <f t="array" ref="R92">_xlfn.XLOOKUP(CONTROL[[#This Row],[VEHIDCODE]],GRAPHICS_PROPERTIES[VEHIDCODE],GRAPHICS_PROPERTIES[TEMPLATE_ID]&amp;GRAPHICS_PROPERTIES[TEMPLATE_AMENDMENT_CODE])</f>
        <v>TPL_03A</v>
      </c>
    </row>
    <row r="93" spans="1:18" x14ac:dyDescent="0.35">
      <c r="A93" s="2" t="s">
        <v>2734</v>
      </c>
      <c r="B93" s="21" t="str">
        <f>_xlfn.TEXTAFTER(CONTROL[[#This Row],[VEHIDCODE]],"_")</f>
        <v>GGL_HAS_52</v>
      </c>
      <c r="C93" t="str" cm="1">
        <f t="array" ref="C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3" t="str" cm="1">
        <f t="array" ref="D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3">
        <v>4031</v>
      </c>
      <c r="F93" s="32" t="s">
        <v>2110</v>
      </c>
      <c r="G93" t="s">
        <v>1654</v>
      </c>
      <c r="H93" s="2" t="b">
        <f>AND(CONTROL[[#This Row],[IS_WAGON_OR_COACH]]=TRUE,OR(RIGHT(CONTROL[[#This Row],[VEHIDCODE]],7)="Powered",RIGHT(CONTROL[[#This Row],[VEHIDCODE]],9)="Unpowered"))</f>
        <v>0</v>
      </c>
      <c r="I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" t="b">
        <f>ISNUMBER(_xlfn.XMATCH(CONTROL[[#This Row],[VEHIDCODE]],TRACK_TYPES[VEHIDCODE],0))</f>
        <v>1</v>
      </c>
      <c r="K93" t="b">
        <f>ISNUMBER(_xlfn.XMATCH(CONTROL[[#This Row],[VEHIDCODE]],PROPERTIES[VEHIDCODE],0))</f>
        <v>1</v>
      </c>
      <c r="L93" t="b">
        <f>ISNUMBER(_xlfn.XLOOKUP(CONTROL[[#This Row],[VEHIDCODE]],roster!A:A,roster!D:D))</f>
        <v>1</v>
      </c>
      <c r="M93" t="b">
        <f>ISNUMBER(_xlfn.XMATCH(CONTROL[[#This Row],[VEHIDCODE]],GRAPHICS_PROPERTIES[VEHIDCODE],0))</f>
        <v>1</v>
      </c>
      <c r="N93" s="21" t="str">
        <f>"item_"&amp;CONTROL[[#This Row],[VEHIDCODE]]</f>
        <v>item_steam_GGL_HAS_52</v>
      </c>
      <c r="O93" s="21" t="str">
        <f>"str_"&amp;CONTROL[[#This Row],[VEHIDCODE]]</f>
        <v>str_steam_GGL_HAS_52</v>
      </c>
      <c r="P93" s="7" t="b">
        <f>_xlfn.XLOOKUP(CONTROL[[#This Row],[VEHIDCODE]],PROPERTIES[VEHIDCODE],PROPERTIES[IS_CONCEPT])="IS_CONCEPT"</f>
        <v>0</v>
      </c>
      <c r="Q93" s="7" t="b">
        <f>_xlfn.XLOOKUP(CONTROL[[#This Row],[VEHIDCODE]],PROPERTIES[VEHIDCODE],PROPERTIES[EXCLUDE])</f>
        <v>0</v>
      </c>
      <c r="R93" t="str" cm="1">
        <f t="array" ref="R93">_xlfn.XLOOKUP(CONTROL[[#This Row],[VEHIDCODE]],GRAPHICS_PROPERTIES[VEHIDCODE],GRAPHICS_PROPERTIES[TEMPLATE_ID]&amp;GRAPHICS_PROPERTIES[TEMPLATE_AMENDMENT_CODE])</f>
        <v>TPL_03A</v>
      </c>
    </row>
    <row r="94" spans="1:18" x14ac:dyDescent="0.35">
      <c r="A94" s="2" t="s">
        <v>2735</v>
      </c>
      <c r="B94" s="21" t="str">
        <f>_xlfn.TEXTAFTER(CONTROL[[#This Row],[VEHIDCODE]],"_")</f>
        <v>Doncaster_Darlington_Peppercorn</v>
      </c>
      <c r="C94" t="str" cm="1">
        <f t="array" ref="C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4" t="str" cm="1">
        <f t="array" ref="D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4">
        <v>4033</v>
      </c>
      <c r="F94" s="32" t="s">
        <v>2111</v>
      </c>
      <c r="G94" t="s">
        <v>1126</v>
      </c>
      <c r="H94" s="2" t="b">
        <f>AND(CONTROL[[#This Row],[IS_WAGON_OR_COACH]]=TRUE,OR(RIGHT(CONTROL[[#This Row],[VEHIDCODE]],7)="Powered",RIGHT(CONTROL[[#This Row],[VEHIDCODE]],9)="Unpowered"))</f>
        <v>0</v>
      </c>
      <c r="I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" t="b">
        <f>ISNUMBER(_xlfn.XMATCH(CONTROL[[#This Row],[VEHIDCODE]],TRACK_TYPES[VEHIDCODE],0))</f>
        <v>1</v>
      </c>
      <c r="K94" t="b">
        <f>ISNUMBER(_xlfn.XMATCH(CONTROL[[#This Row],[VEHIDCODE]],PROPERTIES[VEHIDCODE],0))</f>
        <v>1</v>
      </c>
      <c r="L94" t="b">
        <f>ISNUMBER(_xlfn.XLOOKUP(CONTROL[[#This Row],[VEHIDCODE]],roster!A:A,roster!D:D))</f>
        <v>1</v>
      </c>
      <c r="M94" t="b">
        <f>ISNUMBER(_xlfn.XMATCH(CONTROL[[#This Row],[VEHIDCODE]],GRAPHICS_PROPERTIES[VEHIDCODE],0))</f>
        <v>1</v>
      </c>
      <c r="N94" s="21" t="str">
        <f>"item_"&amp;CONTROL[[#This Row],[VEHIDCODE]]</f>
        <v>item_steam_Doncaster_Darlington_Peppercorn</v>
      </c>
      <c r="O94" s="21" t="str">
        <f>"str_"&amp;CONTROL[[#This Row],[VEHIDCODE]]</f>
        <v>str_steam_Doncaster_Darlington_Peppercorn</v>
      </c>
      <c r="P94" s="7" t="b">
        <f>_xlfn.XLOOKUP(CONTROL[[#This Row],[VEHIDCODE]],PROPERTIES[VEHIDCODE],PROPERTIES[IS_CONCEPT])="IS_CONCEPT"</f>
        <v>0</v>
      </c>
      <c r="Q94" s="7" t="b">
        <f>_xlfn.XLOOKUP(CONTROL[[#This Row],[VEHIDCODE]],PROPERTIES[VEHIDCODE],PROPERTIES[EXCLUDE])</f>
        <v>0</v>
      </c>
      <c r="R94" t="str" cm="1">
        <f t="array" ref="R94">_xlfn.XLOOKUP(CONTROL[[#This Row],[VEHIDCODE]],GRAPHICS_PROPERTIES[VEHIDCODE],GRAPHICS_PROPERTIES[TEMPLATE_ID]&amp;GRAPHICS_PROPERTIES[TEMPLATE_AMENDMENT_CODE])</f>
        <v>TPL_03A</v>
      </c>
    </row>
    <row r="95" spans="1:18" x14ac:dyDescent="0.35">
      <c r="A95" s="2" t="s">
        <v>2736</v>
      </c>
      <c r="B95" s="21" t="str">
        <f>_xlfn.TEXTAFTER(CONTROL[[#This Row],[VEHIDCODE]],"_")</f>
        <v>Henschel___Son_Condenser</v>
      </c>
      <c r="C95" t="str" cm="1">
        <f t="array" ref="C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5" t="str" cm="1">
        <f t="array" ref="D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5">
        <v>4034</v>
      </c>
      <c r="F95" s="32" t="s">
        <v>3694</v>
      </c>
      <c r="G95" t="s">
        <v>1127</v>
      </c>
      <c r="H95" s="2" t="b">
        <f>AND(CONTROL[[#This Row],[IS_WAGON_OR_COACH]]=TRUE,OR(RIGHT(CONTROL[[#This Row],[VEHIDCODE]],7)="Powered",RIGHT(CONTROL[[#This Row],[VEHIDCODE]],9)="Unpowered"))</f>
        <v>0</v>
      </c>
      <c r="I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" t="b">
        <f>ISNUMBER(_xlfn.XMATCH(CONTROL[[#This Row],[VEHIDCODE]],TRACK_TYPES[VEHIDCODE],0))</f>
        <v>1</v>
      </c>
      <c r="K95" t="b">
        <f>ISNUMBER(_xlfn.XMATCH(CONTROL[[#This Row],[VEHIDCODE]],PROPERTIES[VEHIDCODE],0))</f>
        <v>1</v>
      </c>
      <c r="L95" t="b">
        <f>ISNUMBER(_xlfn.XLOOKUP(CONTROL[[#This Row],[VEHIDCODE]],roster!A:A,roster!D:D))</f>
        <v>1</v>
      </c>
      <c r="M95" t="b">
        <f>ISNUMBER(_xlfn.XMATCH(CONTROL[[#This Row],[VEHIDCODE]],GRAPHICS_PROPERTIES[VEHIDCODE],0))</f>
        <v>1</v>
      </c>
      <c r="N95" s="21" t="str">
        <f>"item_"&amp;CONTROL[[#This Row],[VEHIDCODE]]</f>
        <v>item_steam_Henschel___Son_Condenser</v>
      </c>
      <c r="O95" s="21" t="str">
        <f>"str_"&amp;CONTROL[[#This Row],[VEHIDCODE]]</f>
        <v>str_steam_Henschel___Son_Condenser</v>
      </c>
      <c r="P95" s="7" t="b">
        <f>_xlfn.XLOOKUP(CONTROL[[#This Row],[VEHIDCODE]],PROPERTIES[VEHIDCODE],PROPERTIES[IS_CONCEPT])="IS_CONCEPT"</f>
        <v>0</v>
      </c>
      <c r="Q95" s="7" t="b">
        <f>_xlfn.XLOOKUP(CONTROL[[#This Row],[VEHIDCODE]],PROPERTIES[VEHIDCODE],PROPERTIES[EXCLUDE])</f>
        <v>0</v>
      </c>
      <c r="R95" t="str" cm="1">
        <f t="array" ref="R95">_xlfn.XLOOKUP(CONTROL[[#This Row],[VEHIDCODE]],GRAPHICS_PROPERTIES[VEHIDCODE],GRAPHICS_PROPERTIES[TEMPLATE_ID]&amp;GRAPHICS_PROPERTIES[TEMPLATE_AMENDMENT_CODE])</f>
        <v>TPL_03A</v>
      </c>
    </row>
    <row r="96" spans="1:18" x14ac:dyDescent="0.35">
      <c r="A96" s="2" t="s">
        <v>2737</v>
      </c>
      <c r="B96" s="21" t="str">
        <f>_xlfn.TEXTAFTER(CONTROL[[#This Row],[VEHIDCODE]],"_")</f>
        <v>Kolomena_P36</v>
      </c>
      <c r="C96" t="str" cm="1">
        <f t="array" ref="C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6" t="str" cm="1">
        <f t="array" ref="D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6">
        <v>4035</v>
      </c>
      <c r="F96" s="32" t="s">
        <v>3506</v>
      </c>
      <c r="G96" t="s">
        <v>1128</v>
      </c>
      <c r="H96" s="2" t="b">
        <f>AND(CONTROL[[#This Row],[IS_WAGON_OR_COACH]]=TRUE,OR(RIGHT(CONTROL[[#This Row],[VEHIDCODE]],7)="Powered",RIGHT(CONTROL[[#This Row],[VEHIDCODE]],9)="Unpowered"))</f>
        <v>0</v>
      </c>
      <c r="I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" t="b">
        <f>ISNUMBER(_xlfn.XMATCH(CONTROL[[#This Row],[VEHIDCODE]],TRACK_TYPES[VEHIDCODE],0))</f>
        <v>1</v>
      </c>
      <c r="K96" t="b">
        <f>ISNUMBER(_xlfn.XMATCH(CONTROL[[#This Row],[VEHIDCODE]],PROPERTIES[VEHIDCODE],0))</f>
        <v>1</v>
      </c>
      <c r="L96" t="b">
        <f>ISNUMBER(_xlfn.XLOOKUP(CONTROL[[#This Row],[VEHIDCODE]],roster!A:A,roster!D:D))</f>
        <v>1</v>
      </c>
      <c r="M96" t="b">
        <f>ISNUMBER(_xlfn.XMATCH(CONTROL[[#This Row],[VEHIDCODE]],GRAPHICS_PROPERTIES[VEHIDCODE],0))</f>
        <v>1</v>
      </c>
      <c r="N96" s="21" t="str">
        <f>"item_"&amp;CONTROL[[#This Row],[VEHIDCODE]]</f>
        <v>item_steam_Kolomena_P36</v>
      </c>
      <c r="O96" s="21" t="str">
        <f>"str_"&amp;CONTROL[[#This Row],[VEHIDCODE]]</f>
        <v>str_steam_Kolomena_P36</v>
      </c>
      <c r="P96" s="7" t="b">
        <f>_xlfn.XLOOKUP(CONTROL[[#This Row],[VEHIDCODE]],PROPERTIES[VEHIDCODE],PROPERTIES[IS_CONCEPT])="IS_CONCEPT"</f>
        <v>0</v>
      </c>
      <c r="Q96" s="7" t="b">
        <f>_xlfn.XLOOKUP(CONTROL[[#This Row],[VEHIDCODE]],PROPERTIES[VEHIDCODE],PROPERTIES[EXCLUDE])</f>
        <v>0</v>
      </c>
      <c r="R96" t="str" cm="1">
        <f t="array" ref="R96">_xlfn.XLOOKUP(CONTROL[[#This Row],[VEHIDCODE]],GRAPHICS_PROPERTIES[VEHIDCODE],GRAPHICS_PROPERTIES[TEMPLATE_ID]&amp;GRAPHICS_PROPERTIES[TEMPLATE_AMENDMENT_CODE])</f>
        <v>TPL_03A</v>
      </c>
    </row>
    <row r="97" spans="1:18" x14ac:dyDescent="0.35">
      <c r="A97" s="2" t="s">
        <v>2738</v>
      </c>
      <c r="B97" s="21" t="str">
        <f>_xlfn.TEXTAFTER(CONTROL[[#This Row],[VEHIDCODE]],"_")</f>
        <v>ANF_DEL_150B</v>
      </c>
      <c r="C97" t="str" cm="1">
        <f t="array" ref="C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7" t="str" cm="1">
        <f t="array" ref="D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7">
        <v>4023</v>
      </c>
      <c r="F97" s="32" t="s">
        <v>2112</v>
      </c>
      <c r="G97" t="s">
        <v>1129</v>
      </c>
      <c r="H97" s="2" t="b">
        <f>AND(CONTROL[[#This Row],[IS_WAGON_OR_COACH]]=TRUE,OR(RIGHT(CONTROL[[#This Row],[VEHIDCODE]],7)="Powered",RIGHT(CONTROL[[#This Row],[VEHIDCODE]],9)="Unpowered"))</f>
        <v>0</v>
      </c>
      <c r="I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" t="b">
        <f>ISNUMBER(_xlfn.XMATCH(CONTROL[[#This Row],[VEHIDCODE]],TRACK_TYPES[VEHIDCODE],0))</f>
        <v>1</v>
      </c>
      <c r="K97" t="b">
        <f>ISNUMBER(_xlfn.XMATCH(CONTROL[[#This Row],[VEHIDCODE]],PROPERTIES[VEHIDCODE],0))</f>
        <v>1</v>
      </c>
      <c r="L97" t="b">
        <f>ISNUMBER(_xlfn.XLOOKUP(CONTROL[[#This Row],[VEHIDCODE]],roster!A:A,roster!D:D))</f>
        <v>1</v>
      </c>
      <c r="M97" t="b">
        <f>ISNUMBER(_xlfn.XMATCH(CONTROL[[#This Row],[VEHIDCODE]],GRAPHICS_PROPERTIES[VEHIDCODE],0))</f>
        <v>1</v>
      </c>
      <c r="N97" s="21" t="str">
        <f>"item_"&amp;CONTROL[[#This Row],[VEHIDCODE]]</f>
        <v>item_steam_ANF_DEL_150B</v>
      </c>
      <c r="O97" s="21" t="str">
        <f>"str_"&amp;CONTROL[[#This Row],[VEHIDCODE]]</f>
        <v>str_steam_ANF_DEL_150B</v>
      </c>
      <c r="P97" s="7" t="b">
        <f>_xlfn.XLOOKUP(CONTROL[[#This Row],[VEHIDCODE]],PROPERTIES[VEHIDCODE],PROPERTIES[IS_CONCEPT])="IS_CONCEPT"</f>
        <v>0</v>
      </c>
      <c r="Q97" s="7" t="b">
        <f>_xlfn.XLOOKUP(CONTROL[[#This Row],[VEHIDCODE]],PROPERTIES[VEHIDCODE],PROPERTIES[EXCLUDE])</f>
        <v>0</v>
      </c>
      <c r="R97" t="str" cm="1">
        <f t="array" ref="R97">_xlfn.XLOOKUP(CONTROL[[#This Row],[VEHIDCODE]],GRAPHICS_PROPERTIES[VEHIDCODE],GRAPHICS_PROPERTIES[TEMPLATE_ID]&amp;GRAPHICS_PROPERTIES[TEMPLATE_AMENDMENT_CODE])</f>
        <v>TPL_03A</v>
      </c>
    </row>
    <row r="98" spans="1:18" x14ac:dyDescent="0.35">
      <c r="A98" s="2" t="s">
        <v>2739</v>
      </c>
      <c r="B98" s="21" t="str">
        <f>_xlfn.TEXTAFTER(CONTROL[[#This Row],[VEHIDCODE]],"_")</f>
        <v>Henschel_895</v>
      </c>
      <c r="C98" t="str" cm="1">
        <f t="array" ref="C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8" t="str" cm="1">
        <f t="array" ref="D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8">
        <v>4012</v>
      </c>
      <c r="F98" s="32" t="s">
        <v>2603</v>
      </c>
      <c r="G98" t="s">
        <v>1130</v>
      </c>
      <c r="H98" s="2" t="b">
        <f>AND(CONTROL[[#This Row],[IS_WAGON_OR_COACH]]=TRUE,OR(RIGHT(CONTROL[[#This Row],[VEHIDCODE]],7)="Powered",RIGHT(CONTROL[[#This Row],[VEHIDCODE]],9)="Unpowered"))</f>
        <v>0</v>
      </c>
      <c r="I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" t="b">
        <f>ISNUMBER(_xlfn.XMATCH(CONTROL[[#This Row],[VEHIDCODE]],TRACK_TYPES[VEHIDCODE],0))</f>
        <v>1</v>
      </c>
      <c r="K98" t="b">
        <f>ISNUMBER(_xlfn.XMATCH(CONTROL[[#This Row],[VEHIDCODE]],PROPERTIES[VEHIDCODE],0))</f>
        <v>1</v>
      </c>
      <c r="L98" t="b">
        <f>ISNUMBER(_xlfn.XLOOKUP(CONTROL[[#This Row],[VEHIDCODE]],roster!A:A,roster!D:D))</f>
        <v>1</v>
      </c>
      <c r="M98" t="b">
        <f>ISNUMBER(_xlfn.XMATCH(CONTROL[[#This Row],[VEHIDCODE]],GRAPHICS_PROPERTIES[VEHIDCODE],0))</f>
        <v>1</v>
      </c>
      <c r="N98" s="21" t="str">
        <f>"item_"&amp;CONTROL[[#This Row],[VEHIDCODE]]</f>
        <v>item_steam_Henschel_895</v>
      </c>
      <c r="O98" s="21" t="str">
        <f>"str_"&amp;CONTROL[[#This Row],[VEHIDCODE]]</f>
        <v>str_steam_Henschel_895</v>
      </c>
      <c r="P98" s="7" t="b">
        <f>_xlfn.XLOOKUP(CONTROL[[#This Row],[VEHIDCODE]],PROPERTIES[VEHIDCODE],PROPERTIES[IS_CONCEPT])="IS_CONCEPT"</f>
        <v>0</v>
      </c>
      <c r="Q98" s="7" t="b">
        <f>_xlfn.XLOOKUP(CONTROL[[#This Row],[VEHIDCODE]],PROPERTIES[VEHIDCODE],PROPERTIES[EXCLUDE])</f>
        <v>0</v>
      </c>
      <c r="R98" t="str" cm="1">
        <f t="array" ref="R98">_xlfn.XLOOKUP(CONTROL[[#This Row],[VEHIDCODE]],GRAPHICS_PROPERTIES[VEHIDCODE],GRAPHICS_PROPERTIES[TEMPLATE_ID]&amp;GRAPHICS_PROPERTIES[TEMPLATE_AMENDMENT_CODE])</f>
        <v>TPL_03C</v>
      </c>
    </row>
    <row r="99" spans="1:18" x14ac:dyDescent="0.35">
      <c r="A99" s="2" t="s">
        <v>2740</v>
      </c>
      <c r="B99" s="21" t="str">
        <f>_xlfn.TEXTAFTER(CONTROL[[#This Row],[VEHIDCODE]],"_")</f>
        <v>H__Cegielski_OKz32</v>
      </c>
      <c r="C99" t="str" cm="1">
        <f t="array" ref="C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9" t="str" cm="1">
        <f t="array" ref="D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9">
        <v>4027</v>
      </c>
      <c r="F99" s="32" t="s">
        <v>2113</v>
      </c>
      <c r="G99" t="s">
        <v>1131</v>
      </c>
      <c r="H99" s="2" t="b">
        <f>AND(CONTROL[[#This Row],[IS_WAGON_OR_COACH]]=TRUE,OR(RIGHT(CONTROL[[#This Row],[VEHIDCODE]],7)="Powered",RIGHT(CONTROL[[#This Row],[VEHIDCODE]],9)="Unpowered"))</f>
        <v>0</v>
      </c>
      <c r="I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" t="b">
        <f>ISNUMBER(_xlfn.XMATCH(CONTROL[[#This Row],[VEHIDCODE]],TRACK_TYPES[VEHIDCODE],0))</f>
        <v>1</v>
      </c>
      <c r="K99" t="b">
        <f>ISNUMBER(_xlfn.XMATCH(CONTROL[[#This Row],[VEHIDCODE]],PROPERTIES[VEHIDCODE],0))</f>
        <v>1</v>
      </c>
      <c r="L99" t="b">
        <f>ISNUMBER(_xlfn.XLOOKUP(CONTROL[[#This Row],[VEHIDCODE]],roster!A:A,roster!D:D))</f>
        <v>1</v>
      </c>
      <c r="M99" t="b">
        <f>ISNUMBER(_xlfn.XMATCH(CONTROL[[#This Row],[VEHIDCODE]],GRAPHICS_PROPERTIES[VEHIDCODE],0))</f>
        <v>1</v>
      </c>
      <c r="N99" s="21" t="str">
        <f>"item_"&amp;CONTROL[[#This Row],[VEHIDCODE]]</f>
        <v>item_steam_H__Cegielski_OKz32</v>
      </c>
      <c r="O99" s="21" t="str">
        <f>"str_"&amp;CONTROL[[#This Row],[VEHIDCODE]]</f>
        <v>str_steam_H__Cegielski_OKz32</v>
      </c>
      <c r="P99" s="7" t="b">
        <f>_xlfn.XLOOKUP(CONTROL[[#This Row],[VEHIDCODE]],PROPERTIES[VEHIDCODE],PROPERTIES[IS_CONCEPT])="IS_CONCEPT"</f>
        <v>0</v>
      </c>
      <c r="Q99" s="7" t="b">
        <f>_xlfn.XLOOKUP(CONTROL[[#This Row],[VEHIDCODE]],PROPERTIES[VEHIDCODE],PROPERTIES[EXCLUDE])</f>
        <v>0</v>
      </c>
      <c r="R99" t="str" cm="1">
        <f t="array" ref="R99">_xlfn.XLOOKUP(CONTROL[[#This Row],[VEHIDCODE]],GRAPHICS_PROPERTIES[VEHIDCODE],GRAPHICS_PROPERTIES[TEMPLATE_ID]&amp;GRAPHICS_PROPERTIES[TEMPLATE_AMENDMENT_CODE])</f>
        <v>TPL_03C</v>
      </c>
    </row>
    <row r="100" spans="1:18" x14ac:dyDescent="0.35">
      <c r="A100" s="2" t="s">
        <v>2741</v>
      </c>
      <c r="B100" s="21" t="str">
        <f>_xlfn.TEXTAFTER(CONTROL[[#This Row],[VEHIDCODE]],"_")</f>
        <v>SLM_C_5_6_Elephant</v>
      </c>
      <c r="C100" t="str" cm="1">
        <f t="array" ref="C1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0" t="str" cm="1">
        <f t="array" ref="D1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0">
        <v>4013</v>
      </c>
      <c r="F100" s="32" t="s">
        <v>2114</v>
      </c>
      <c r="G100" t="s">
        <v>1132</v>
      </c>
      <c r="H100" s="2" t="b">
        <f>AND(CONTROL[[#This Row],[IS_WAGON_OR_COACH]]=TRUE,OR(RIGHT(CONTROL[[#This Row],[VEHIDCODE]],7)="Powered",RIGHT(CONTROL[[#This Row],[VEHIDCODE]],9)="Unpowered"))</f>
        <v>0</v>
      </c>
      <c r="I1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" t="b">
        <f>ISNUMBER(_xlfn.XMATCH(CONTROL[[#This Row],[VEHIDCODE]],TRACK_TYPES[VEHIDCODE],0))</f>
        <v>1</v>
      </c>
      <c r="K100" t="b">
        <f>ISNUMBER(_xlfn.XMATCH(CONTROL[[#This Row],[VEHIDCODE]],PROPERTIES[VEHIDCODE],0))</f>
        <v>1</v>
      </c>
      <c r="L100" t="b">
        <f>ISNUMBER(_xlfn.XLOOKUP(CONTROL[[#This Row],[VEHIDCODE]],roster!A:A,roster!D:D))</f>
        <v>1</v>
      </c>
      <c r="M100" t="b">
        <f>ISNUMBER(_xlfn.XMATCH(CONTROL[[#This Row],[VEHIDCODE]],GRAPHICS_PROPERTIES[VEHIDCODE],0))</f>
        <v>1</v>
      </c>
      <c r="N100" s="21" t="str">
        <f>"item_"&amp;CONTROL[[#This Row],[VEHIDCODE]]</f>
        <v>item_steam_SLM_C_5_6_Elephant</v>
      </c>
      <c r="O100" s="21" t="str">
        <f>"str_"&amp;CONTROL[[#This Row],[VEHIDCODE]]</f>
        <v>str_steam_SLM_C_5_6_Elephant</v>
      </c>
      <c r="P100" s="7" t="b">
        <f>_xlfn.XLOOKUP(CONTROL[[#This Row],[VEHIDCODE]],PROPERTIES[VEHIDCODE],PROPERTIES[IS_CONCEPT])="IS_CONCEPT"</f>
        <v>0</v>
      </c>
      <c r="Q100" s="7" t="b">
        <f>_xlfn.XLOOKUP(CONTROL[[#This Row],[VEHIDCODE]],PROPERTIES[VEHIDCODE],PROPERTIES[EXCLUDE])</f>
        <v>0</v>
      </c>
      <c r="R100" t="str" cm="1">
        <f t="array" ref="R100">_xlfn.XLOOKUP(CONTROL[[#This Row],[VEHIDCODE]],GRAPHICS_PROPERTIES[VEHIDCODE],GRAPHICS_PROPERTIES[TEMPLATE_ID]&amp;GRAPHICS_PROPERTIES[TEMPLATE_AMENDMENT_CODE])</f>
        <v>TPL_03A</v>
      </c>
    </row>
    <row r="101" spans="1:18" x14ac:dyDescent="0.35">
      <c r="A101" s="2" t="s">
        <v>2742</v>
      </c>
      <c r="B101" s="21" t="str">
        <f>_xlfn.TEXTAFTER(CONTROL[[#This Row],[VEHIDCODE]],"_")</f>
        <v>ALCO_series_4000_4_8_8_4_Big_Boy</v>
      </c>
      <c r="C101" t="str" cm="1">
        <f t="array" ref="C1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1" t="str" cm="1">
        <f t="array" ref="D1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1">
        <v>4039</v>
      </c>
      <c r="F101" s="32" t="s">
        <v>2602</v>
      </c>
      <c r="G101" t="s">
        <v>1133</v>
      </c>
      <c r="H101" s="2" t="b">
        <f>AND(CONTROL[[#This Row],[IS_WAGON_OR_COACH]]=TRUE,OR(RIGHT(CONTROL[[#This Row],[VEHIDCODE]],7)="Powered",RIGHT(CONTROL[[#This Row],[VEHIDCODE]],9)="Unpowered"))</f>
        <v>0</v>
      </c>
      <c r="I1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" t="b">
        <f>ISNUMBER(_xlfn.XMATCH(CONTROL[[#This Row],[VEHIDCODE]],TRACK_TYPES[VEHIDCODE],0))</f>
        <v>1</v>
      </c>
      <c r="K101" t="b">
        <f>ISNUMBER(_xlfn.XMATCH(CONTROL[[#This Row],[VEHIDCODE]],PROPERTIES[VEHIDCODE],0))</f>
        <v>1</v>
      </c>
      <c r="L101" t="b">
        <f>ISNUMBER(_xlfn.XLOOKUP(CONTROL[[#This Row],[VEHIDCODE]],roster!A:A,roster!D:D))</f>
        <v>1</v>
      </c>
      <c r="M101" t="b">
        <f>ISNUMBER(_xlfn.XMATCH(CONTROL[[#This Row],[VEHIDCODE]],GRAPHICS_PROPERTIES[VEHIDCODE],0))</f>
        <v>1</v>
      </c>
      <c r="N101" s="21" t="str">
        <f>"item_"&amp;CONTROL[[#This Row],[VEHIDCODE]]</f>
        <v>item_steam_ALCO_series_4000_4_8_8_4_Big_Boy</v>
      </c>
      <c r="O101" s="21" t="str">
        <f>"str_"&amp;CONTROL[[#This Row],[VEHIDCODE]]</f>
        <v>str_steam_ALCO_series_4000_4_8_8_4_Big_Boy</v>
      </c>
      <c r="P101" s="7" t="b">
        <f>_xlfn.XLOOKUP(CONTROL[[#This Row],[VEHIDCODE]],PROPERTIES[VEHIDCODE],PROPERTIES[IS_CONCEPT])="IS_CONCEPT"</f>
        <v>0</v>
      </c>
      <c r="Q101" s="7" t="b">
        <f>_xlfn.XLOOKUP(CONTROL[[#This Row],[VEHIDCODE]],PROPERTIES[VEHIDCODE],PROPERTIES[EXCLUDE])</f>
        <v>0</v>
      </c>
      <c r="R101" t="str" cm="1">
        <f t="array" ref="R101">_xlfn.XLOOKUP(CONTROL[[#This Row],[VEHIDCODE]],GRAPHICS_PROPERTIES[VEHIDCODE],GRAPHICS_PROPERTIES[TEMPLATE_ID]&amp;GRAPHICS_PROPERTIES[TEMPLATE_AMENDMENT_CODE])</f>
        <v>TPL_03G</v>
      </c>
    </row>
    <row r="102" spans="1:18" x14ac:dyDescent="0.35">
      <c r="A102" s="2" t="s">
        <v>2743</v>
      </c>
      <c r="B102" s="21" t="str">
        <f>_xlfn.TEXTAFTER(CONTROL[[#This Row],[VEHIDCODE]],"_")</f>
        <v>Sharp_Stewart_3557_3565</v>
      </c>
      <c r="C102" t="str" cm="1">
        <f t="array" ref="C1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2" t="str" cm="1">
        <f t="array" ref="D1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2">
        <v>4040</v>
      </c>
      <c r="F102" s="32" t="s">
        <v>3681</v>
      </c>
      <c r="G102" t="s">
        <v>1134</v>
      </c>
      <c r="H102" s="2" t="b">
        <f>AND(CONTROL[[#This Row],[IS_WAGON_OR_COACH]]=TRUE,OR(RIGHT(CONTROL[[#This Row],[VEHIDCODE]],7)="Powered",RIGHT(CONTROL[[#This Row],[VEHIDCODE]],9)="Unpowered"))</f>
        <v>0</v>
      </c>
      <c r="I1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" t="b">
        <f>ISNUMBER(_xlfn.XMATCH(CONTROL[[#This Row],[VEHIDCODE]],TRACK_TYPES[VEHIDCODE],0))</f>
        <v>1</v>
      </c>
      <c r="K102" t="b">
        <f>ISNUMBER(_xlfn.XMATCH(CONTROL[[#This Row],[VEHIDCODE]],PROPERTIES[VEHIDCODE],0))</f>
        <v>1</v>
      </c>
      <c r="L102" t="b">
        <f>ISNUMBER(_xlfn.XLOOKUP(CONTROL[[#This Row],[VEHIDCODE]],roster!A:A,roster!D:D))</f>
        <v>1</v>
      </c>
      <c r="M102" t="b">
        <f>ISNUMBER(_xlfn.XMATCH(CONTROL[[#This Row],[VEHIDCODE]],GRAPHICS_PROPERTIES[VEHIDCODE],0))</f>
        <v>1</v>
      </c>
      <c r="N102" s="21" t="str">
        <f>"item_"&amp;CONTROL[[#This Row],[VEHIDCODE]]</f>
        <v>item_steam_Sharp_Stewart_3557_3565</v>
      </c>
      <c r="O102" s="21" t="str">
        <f>"str_"&amp;CONTROL[[#This Row],[VEHIDCODE]]</f>
        <v>str_steam_Sharp_Stewart_3557_3565</v>
      </c>
      <c r="P102" s="7" t="b">
        <f>_xlfn.XLOOKUP(CONTROL[[#This Row],[VEHIDCODE]],PROPERTIES[VEHIDCODE],PROPERTIES[IS_CONCEPT])="IS_CONCEPT"</f>
        <v>0</v>
      </c>
      <c r="Q102" s="7" t="b">
        <f>_xlfn.XLOOKUP(CONTROL[[#This Row],[VEHIDCODE]],PROPERTIES[VEHIDCODE],PROPERTIES[EXCLUDE])</f>
        <v>0</v>
      </c>
      <c r="R102" t="str" cm="1">
        <f t="array" ref="R102">_xlfn.XLOOKUP(CONTROL[[#This Row],[VEHIDCODE]],GRAPHICS_PROPERTIES[VEHIDCODE],GRAPHICS_PROPERTIES[TEMPLATE_ID]&amp;GRAPHICS_PROPERTIES[TEMPLATE_AMENDMENT_CODE])</f>
        <v>TPL_03A</v>
      </c>
    </row>
    <row r="103" spans="1:18" x14ac:dyDescent="0.35">
      <c r="A103" s="2" t="s">
        <v>2744</v>
      </c>
      <c r="B103" s="21" t="str">
        <f>_xlfn.TEXTAFTER(CONTROL[[#This Row],[VEHIDCODE]],"_")</f>
        <v>GWR_Iron_Duke</v>
      </c>
      <c r="C103" t="str" cm="1">
        <f t="array" ref="C1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3" t="str" cm="1">
        <f t="array" ref="D1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3">
        <v>4041</v>
      </c>
      <c r="F103" s="32" t="s">
        <v>364</v>
      </c>
      <c r="G103" t="s">
        <v>1135</v>
      </c>
      <c r="H103" s="2" t="b">
        <f>AND(CONTROL[[#This Row],[IS_WAGON_OR_COACH]]=TRUE,OR(RIGHT(CONTROL[[#This Row],[VEHIDCODE]],7)="Powered",RIGHT(CONTROL[[#This Row],[VEHIDCODE]],9)="Unpowered"))</f>
        <v>0</v>
      </c>
      <c r="I1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" t="b">
        <f>ISNUMBER(_xlfn.XMATCH(CONTROL[[#This Row],[VEHIDCODE]],TRACK_TYPES[VEHIDCODE],0))</f>
        <v>1</v>
      </c>
      <c r="K103" t="b">
        <f>ISNUMBER(_xlfn.XMATCH(CONTROL[[#This Row],[VEHIDCODE]],PROPERTIES[VEHIDCODE],0))</f>
        <v>1</v>
      </c>
      <c r="L103" t="b">
        <f>ISNUMBER(_xlfn.XLOOKUP(CONTROL[[#This Row],[VEHIDCODE]],roster!A:A,roster!D:D))</f>
        <v>1</v>
      </c>
      <c r="M103" t="b">
        <f>ISNUMBER(_xlfn.XMATCH(CONTROL[[#This Row],[VEHIDCODE]],GRAPHICS_PROPERTIES[VEHIDCODE],0))</f>
        <v>1</v>
      </c>
      <c r="N103" s="21" t="str">
        <f>"item_"&amp;CONTROL[[#This Row],[VEHIDCODE]]</f>
        <v>item_steam_GWR_Iron_Duke</v>
      </c>
      <c r="O103" s="21" t="str">
        <f>"str_"&amp;CONTROL[[#This Row],[VEHIDCODE]]</f>
        <v>str_steam_GWR_Iron_Duke</v>
      </c>
      <c r="P103" s="7" t="b">
        <f>_xlfn.XLOOKUP(CONTROL[[#This Row],[VEHIDCODE]],PROPERTIES[VEHIDCODE],PROPERTIES[IS_CONCEPT])="IS_CONCEPT"</f>
        <v>0</v>
      </c>
      <c r="Q103" s="7" t="b">
        <f>_xlfn.XLOOKUP(CONTROL[[#This Row],[VEHIDCODE]],PROPERTIES[VEHIDCODE],PROPERTIES[EXCLUDE])</f>
        <v>0</v>
      </c>
      <c r="R103" t="str" cm="1">
        <f t="array" ref="R103">_xlfn.XLOOKUP(CONTROL[[#This Row],[VEHIDCODE]],GRAPHICS_PROPERTIES[VEHIDCODE],GRAPHICS_PROPERTIES[TEMPLATE_ID]&amp;GRAPHICS_PROPERTIES[TEMPLATE_AMENDMENT_CODE])</f>
        <v>TPL_03A</v>
      </c>
    </row>
    <row r="104" spans="1:18" x14ac:dyDescent="0.35">
      <c r="A104" s="2" t="s">
        <v>2745</v>
      </c>
      <c r="B104" s="21" t="str">
        <f>_xlfn.TEXTAFTER(CONTROL[[#This Row],[VEHIDCODE]],"_")</f>
        <v>Stephenson_0_4_2_Locomotive_No_1</v>
      </c>
      <c r="C104" t="str" cm="1">
        <f t="array" ref="C1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4" t="str" cm="1">
        <f t="array" ref="D1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4">
        <v>4042</v>
      </c>
      <c r="F104" s="32" t="s">
        <v>2115</v>
      </c>
      <c r="G104" t="s">
        <v>1136</v>
      </c>
      <c r="H104" s="2" t="b">
        <f>AND(CONTROL[[#This Row],[IS_WAGON_OR_COACH]]=TRUE,OR(RIGHT(CONTROL[[#This Row],[VEHIDCODE]],7)="Powered",RIGHT(CONTROL[[#This Row],[VEHIDCODE]],9)="Unpowered"))</f>
        <v>0</v>
      </c>
      <c r="I1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" t="b">
        <f>ISNUMBER(_xlfn.XMATCH(CONTROL[[#This Row],[VEHIDCODE]],TRACK_TYPES[VEHIDCODE],0))</f>
        <v>1</v>
      </c>
      <c r="K104" t="b">
        <f>ISNUMBER(_xlfn.XMATCH(CONTROL[[#This Row],[VEHIDCODE]],PROPERTIES[VEHIDCODE],0))</f>
        <v>1</v>
      </c>
      <c r="L104" t="b">
        <f>ISNUMBER(_xlfn.XLOOKUP(CONTROL[[#This Row],[VEHIDCODE]],roster!A:A,roster!D:D))</f>
        <v>1</v>
      </c>
      <c r="M104" t="b">
        <f>ISNUMBER(_xlfn.XMATCH(CONTROL[[#This Row],[VEHIDCODE]],GRAPHICS_PROPERTIES[VEHIDCODE],0))</f>
        <v>1</v>
      </c>
      <c r="N104" s="21" t="str">
        <f>"item_"&amp;CONTROL[[#This Row],[VEHIDCODE]]</f>
        <v>item_steam_Stephenson_0_4_2_Locomotive_No_1</v>
      </c>
      <c r="O104" s="21" t="str">
        <f>"str_"&amp;CONTROL[[#This Row],[VEHIDCODE]]</f>
        <v>str_steam_Stephenson_0_4_2_Locomotive_No_1</v>
      </c>
      <c r="P104" s="7" t="b">
        <f>_xlfn.XLOOKUP(CONTROL[[#This Row],[VEHIDCODE]],PROPERTIES[VEHIDCODE],PROPERTIES[IS_CONCEPT])="IS_CONCEPT"</f>
        <v>0</v>
      </c>
      <c r="Q104" s="7" t="b">
        <f>_xlfn.XLOOKUP(CONTROL[[#This Row],[VEHIDCODE]],PROPERTIES[VEHIDCODE],PROPERTIES[EXCLUDE])</f>
        <v>0</v>
      </c>
      <c r="R104" t="str" cm="1">
        <f t="array" ref="R104">_xlfn.XLOOKUP(CONTROL[[#This Row],[VEHIDCODE]],GRAPHICS_PROPERTIES[VEHIDCODE],GRAPHICS_PROPERTIES[TEMPLATE_ID]&amp;GRAPHICS_PROPERTIES[TEMPLATE_AMENDMENT_CODE])</f>
        <v>TPL_03A</v>
      </c>
    </row>
    <row r="105" spans="1:18" x14ac:dyDescent="0.35">
      <c r="A105" s="2" t="s">
        <v>2746</v>
      </c>
      <c r="B105" s="21" t="str">
        <f>_xlfn.TEXTAFTER(CONTROL[[#This Row],[VEHIDCODE]],"_")</f>
        <v>Cooke_4_2_2_T__D__Judah</v>
      </c>
      <c r="C105" t="str" cm="1">
        <f t="array" ref="C1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5" t="str" cm="1">
        <f t="array" ref="D1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5">
        <v>4043</v>
      </c>
      <c r="F105" s="32" t="s">
        <v>2116</v>
      </c>
      <c r="G105" t="s">
        <v>1137</v>
      </c>
      <c r="H105" s="2" t="b">
        <f>AND(CONTROL[[#This Row],[IS_WAGON_OR_COACH]]=TRUE,OR(RIGHT(CONTROL[[#This Row],[VEHIDCODE]],7)="Powered",RIGHT(CONTROL[[#This Row],[VEHIDCODE]],9)="Unpowered"))</f>
        <v>0</v>
      </c>
      <c r="I1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5" t="b">
        <f>ISNUMBER(_xlfn.XMATCH(CONTROL[[#This Row],[VEHIDCODE]],TRACK_TYPES[VEHIDCODE],0))</f>
        <v>1</v>
      </c>
      <c r="K105" t="b">
        <f>ISNUMBER(_xlfn.XMATCH(CONTROL[[#This Row],[VEHIDCODE]],PROPERTIES[VEHIDCODE],0))</f>
        <v>1</v>
      </c>
      <c r="L105" t="b">
        <f>ISNUMBER(_xlfn.XLOOKUP(CONTROL[[#This Row],[VEHIDCODE]],roster!A:A,roster!D:D))</f>
        <v>1</v>
      </c>
      <c r="M105" t="b">
        <f>ISNUMBER(_xlfn.XMATCH(CONTROL[[#This Row],[VEHIDCODE]],GRAPHICS_PROPERTIES[VEHIDCODE],0))</f>
        <v>1</v>
      </c>
      <c r="N105" s="21" t="str">
        <f>"item_"&amp;CONTROL[[#This Row],[VEHIDCODE]]</f>
        <v>item_steam_Cooke_4_2_2_T__D__Judah</v>
      </c>
      <c r="O105" s="21" t="str">
        <f>"str_"&amp;CONTROL[[#This Row],[VEHIDCODE]]</f>
        <v>str_steam_Cooke_4_2_2_T__D__Judah</v>
      </c>
      <c r="P105" s="7" t="b">
        <f>_xlfn.XLOOKUP(CONTROL[[#This Row],[VEHIDCODE]],PROPERTIES[VEHIDCODE],PROPERTIES[IS_CONCEPT])="IS_CONCEPT"</f>
        <v>0</v>
      </c>
      <c r="Q105" s="7" t="b">
        <f>_xlfn.XLOOKUP(CONTROL[[#This Row],[VEHIDCODE]],PROPERTIES[VEHIDCODE],PROPERTIES[EXCLUDE])</f>
        <v>0</v>
      </c>
      <c r="R105" t="str" cm="1">
        <f t="array" ref="R105">_xlfn.XLOOKUP(CONTROL[[#This Row],[VEHIDCODE]],GRAPHICS_PROPERTIES[VEHIDCODE],GRAPHICS_PROPERTIES[TEMPLATE_ID]&amp;GRAPHICS_PROPERTIES[TEMPLATE_AMENDMENT_CODE])</f>
        <v>TPL_03A</v>
      </c>
    </row>
    <row r="106" spans="1:18" x14ac:dyDescent="0.35">
      <c r="A106" s="2" t="s">
        <v>2747</v>
      </c>
      <c r="B106" s="21" t="str">
        <f>_xlfn.TEXTAFTER(CONTROL[[#This Row],[VEHIDCODE]],"_")</f>
        <v>Beyer__P___Co_2_4_0_SS_9_16__21_78</v>
      </c>
      <c r="C106" t="str" cm="1">
        <f t="array" ref="C1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6" t="str" cm="1">
        <f t="array" ref="D1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6">
        <v>4044</v>
      </c>
      <c r="F106" s="32" t="s">
        <v>3682</v>
      </c>
      <c r="G106" t="s">
        <v>1138</v>
      </c>
      <c r="H106" s="2" t="b">
        <f>AND(CONTROL[[#This Row],[IS_WAGON_OR_COACH]]=TRUE,OR(RIGHT(CONTROL[[#This Row],[VEHIDCODE]],7)="Powered",RIGHT(CONTROL[[#This Row],[VEHIDCODE]],9)="Unpowered"))</f>
        <v>0</v>
      </c>
      <c r="I1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6" t="b">
        <f>ISNUMBER(_xlfn.XMATCH(CONTROL[[#This Row],[VEHIDCODE]],TRACK_TYPES[VEHIDCODE],0))</f>
        <v>1</v>
      </c>
      <c r="K106" t="b">
        <f>ISNUMBER(_xlfn.XMATCH(CONTROL[[#This Row],[VEHIDCODE]],PROPERTIES[VEHIDCODE],0))</f>
        <v>1</v>
      </c>
      <c r="L106" t="b">
        <f>ISNUMBER(_xlfn.XLOOKUP(CONTROL[[#This Row],[VEHIDCODE]],roster!A:A,roster!D:D))</f>
        <v>1</v>
      </c>
      <c r="M106" t="b">
        <f>ISNUMBER(_xlfn.XMATCH(CONTROL[[#This Row],[VEHIDCODE]],GRAPHICS_PROPERTIES[VEHIDCODE],0))</f>
        <v>1</v>
      </c>
      <c r="N106" s="21" t="str">
        <f>"item_"&amp;CONTROL[[#This Row],[VEHIDCODE]]</f>
        <v>item_steam_Beyer__P___Co_2_4_0_SS_9_16__21_78</v>
      </c>
      <c r="O106" s="21" t="str">
        <f>"str_"&amp;CONTROL[[#This Row],[VEHIDCODE]]</f>
        <v>str_steam_Beyer__P___Co_2_4_0_SS_9_16__21_78</v>
      </c>
      <c r="P106" s="7" t="b">
        <f>_xlfn.XLOOKUP(CONTROL[[#This Row],[VEHIDCODE]],PROPERTIES[VEHIDCODE],PROPERTIES[IS_CONCEPT])="IS_CONCEPT"</f>
        <v>0</v>
      </c>
      <c r="Q106" s="7" t="b">
        <f>_xlfn.XLOOKUP(CONTROL[[#This Row],[VEHIDCODE]],PROPERTIES[VEHIDCODE],PROPERTIES[EXCLUDE])</f>
        <v>0</v>
      </c>
      <c r="R106" t="str" cm="1">
        <f t="array" ref="R106">_xlfn.XLOOKUP(CONTROL[[#This Row],[VEHIDCODE]],GRAPHICS_PROPERTIES[VEHIDCODE],GRAPHICS_PROPERTIES[TEMPLATE_ID]&amp;GRAPHICS_PROPERTIES[TEMPLATE_AMENDMENT_CODE])</f>
        <v>TPL_03A</v>
      </c>
    </row>
    <row r="107" spans="1:18" x14ac:dyDescent="0.35">
      <c r="A107" s="2" t="s">
        <v>2748</v>
      </c>
      <c r="B107" s="21" t="str">
        <f>_xlfn.TEXTAFTER(CONTROL[[#This Row],[VEHIDCODE]],"_")</f>
        <v>Beyer__P___Co_2_6_0T_1702_1706</v>
      </c>
      <c r="C107" t="str" cm="1">
        <f t="array" ref="C1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7" t="str" cm="1">
        <f t="array" ref="D1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7">
        <v>4045</v>
      </c>
      <c r="F107" s="32" t="s">
        <v>3683</v>
      </c>
      <c r="G107" t="s">
        <v>1139</v>
      </c>
      <c r="H107" s="2" t="b">
        <f>AND(CONTROL[[#This Row],[IS_WAGON_OR_COACH]]=TRUE,OR(RIGHT(CONTROL[[#This Row],[VEHIDCODE]],7)="Powered",RIGHT(CONTROL[[#This Row],[VEHIDCODE]],9)="Unpowered"))</f>
        <v>0</v>
      </c>
      <c r="I1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7" t="b">
        <f>ISNUMBER(_xlfn.XMATCH(CONTROL[[#This Row],[VEHIDCODE]],TRACK_TYPES[VEHIDCODE],0))</f>
        <v>1</v>
      </c>
      <c r="K107" t="b">
        <f>ISNUMBER(_xlfn.XMATCH(CONTROL[[#This Row],[VEHIDCODE]],PROPERTIES[VEHIDCODE],0))</f>
        <v>1</v>
      </c>
      <c r="L107" t="b">
        <f>ISNUMBER(_xlfn.XLOOKUP(CONTROL[[#This Row],[VEHIDCODE]],roster!A:A,roster!D:D))</f>
        <v>1</v>
      </c>
      <c r="M107" t="b">
        <f>ISNUMBER(_xlfn.XMATCH(CONTROL[[#This Row],[VEHIDCODE]],GRAPHICS_PROPERTIES[VEHIDCODE],0))</f>
        <v>1</v>
      </c>
      <c r="N107" s="21" t="str">
        <f>"item_"&amp;CONTROL[[#This Row],[VEHIDCODE]]</f>
        <v>item_steam_Beyer__P___Co_2_6_0T_1702_1706</v>
      </c>
      <c r="O107" s="21" t="str">
        <f>"str_"&amp;CONTROL[[#This Row],[VEHIDCODE]]</f>
        <v>str_steam_Beyer__P___Co_2_6_0T_1702_1706</v>
      </c>
      <c r="P107" s="7" t="b">
        <f>_xlfn.XLOOKUP(CONTROL[[#This Row],[VEHIDCODE]],PROPERTIES[VEHIDCODE],PROPERTIES[IS_CONCEPT])="IS_CONCEPT"</f>
        <v>0</v>
      </c>
      <c r="Q107" s="7" t="b">
        <f>_xlfn.XLOOKUP(CONTROL[[#This Row],[VEHIDCODE]],PROPERTIES[VEHIDCODE],PROPERTIES[EXCLUDE])</f>
        <v>0</v>
      </c>
      <c r="R107" t="str" cm="1">
        <f t="array" ref="R107">_xlfn.XLOOKUP(CONTROL[[#This Row],[VEHIDCODE]],GRAPHICS_PROPERTIES[VEHIDCODE],GRAPHICS_PROPERTIES[TEMPLATE_ID]&amp;GRAPHICS_PROPERTIES[TEMPLATE_AMENDMENT_CODE])</f>
        <v>TPL_03C</v>
      </c>
    </row>
    <row r="108" spans="1:18" x14ac:dyDescent="0.35">
      <c r="A108" s="2" t="s">
        <v>2749</v>
      </c>
      <c r="B108" s="21" t="str">
        <f>_xlfn.TEXTAFTER(CONTROL[[#This Row],[VEHIDCODE]],"_")</f>
        <v>Beyer__P___Co_2_6_0_2073_2092</v>
      </c>
      <c r="C108" t="str" cm="1">
        <f t="array" ref="C1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8" t="str" cm="1">
        <f t="array" ref="D1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8">
        <v>4046</v>
      </c>
      <c r="F108" s="32" t="s">
        <v>3684</v>
      </c>
      <c r="G108" t="s">
        <v>1140</v>
      </c>
      <c r="H108" s="2" t="b">
        <f>AND(CONTROL[[#This Row],[IS_WAGON_OR_COACH]]=TRUE,OR(RIGHT(CONTROL[[#This Row],[VEHIDCODE]],7)="Powered",RIGHT(CONTROL[[#This Row],[VEHIDCODE]],9)="Unpowered"))</f>
        <v>0</v>
      </c>
      <c r="I1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8" t="b">
        <f>ISNUMBER(_xlfn.XMATCH(CONTROL[[#This Row],[VEHIDCODE]],TRACK_TYPES[VEHIDCODE],0))</f>
        <v>1</v>
      </c>
      <c r="K108" t="b">
        <f>ISNUMBER(_xlfn.XMATCH(CONTROL[[#This Row],[VEHIDCODE]],PROPERTIES[VEHIDCODE],0))</f>
        <v>1</v>
      </c>
      <c r="L108" t="b">
        <f>ISNUMBER(_xlfn.XLOOKUP(CONTROL[[#This Row],[VEHIDCODE]],roster!A:A,roster!D:D))</f>
        <v>1</v>
      </c>
      <c r="M108" t="b">
        <f>ISNUMBER(_xlfn.XMATCH(CONTROL[[#This Row],[VEHIDCODE]],GRAPHICS_PROPERTIES[VEHIDCODE],0))</f>
        <v>1</v>
      </c>
      <c r="N108" s="21" t="str">
        <f>"item_"&amp;CONTROL[[#This Row],[VEHIDCODE]]</f>
        <v>item_steam_Beyer__P___Co_2_6_0_2073_2092</v>
      </c>
      <c r="O108" s="21" t="str">
        <f>"str_"&amp;CONTROL[[#This Row],[VEHIDCODE]]</f>
        <v>str_steam_Beyer__P___Co_2_6_0_2073_2092</v>
      </c>
      <c r="P108" s="7" t="b">
        <f>_xlfn.XLOOKUP(CONTROL[[#This Row],[VEHIDCODE]],PROPERTIES[VEHIDCODE],PROPERTIES[IS_CONCEPT])="IS_CONCEPT"</f>
        <v>0</v>
      </c>
      <c r="Q108" s="7" t="b">
        <f>_xlfn.XLOOKUP(CONTROL[[#This Row],[VEHIDCODE]],PROPERTIES[VEHIDCODE],PROPERTIES[EXCLUDE])</f>
        <v>0</v>
      </c>
      <c r="R108" t="str" cm="1">
        <f t="array" ref="R108">_xlfn.XLOOKUP(CONTROL[[#This Row],[VEHIDCODE]],GRAPHICS_PROPERTIES[VEHIDCODE],GRAPHICS_PROPERTIES[TEMPLATE_ID]&amp;GRAPHICS_PROPERTIES[TEMPLATE_AMENDMENT_CODE])</f>
        <v>TPL_03A</v>
      </c>
    </row>
    <row r="109" spans="1:18" x14ac:dyDescent="0.35">
      <c r="A109" s="2" t="s">
        <v>2750</v>
      </c>
      <c r="B109" s="21" t="str">
        <f>_xlfn.TEXTAFTER(CONTROL[[#This Row],[VEHIDCODE]],"_")</f>
        <v>Canadian_Pacific_374</v>
      </c>
      <c r="C109" t="str" cm="1">
        <f t="array" ref="C1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9" t="str" cm="1">
        <f t="array" ref="D1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9">
        <v>4047</v>
      </c>
      <c r="F109" s="32" t="s">
        <v>365</v>
      </c>
      <c r="G109" t="s">
        <v>1142</v>
      </c>
      <c r="H109" s="2" t="b">
        <f>AND(CONTROL[[#This Row],[IS_WAGON_OR_COACH]]=TRUE,OR(RIGHT(CONTROL[[#This Row],[VEHIDCODE]],7)="Powered",RIGHT(CONTROL[[#This Row],[VEHIDCODE]],9)="Unpowered"))</f>
        <v>0</v>
      </c>
      <c r="I1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9" t="b">
        <f>ISNUMBER(_xlfn.XMATCH(CONTROL[[#This Row],[VEHIDCODE]],TRACK_TYPES[VEHIDCODE],0))</f>
        <v>1</v>
      </c>
      <c r="K109" t="b">
        <f>ISNUMBER(_xlfn.XMATCH(CONTROL[[#This Row],[VEHIDCODE]],PROPERTIES[VEHIDCODE],0))</f>
        <v>1</v>
      </c>
      <c r="L109" t="b">
        <f>ISNUMBER(_xlfn.XLOOKUP(CONTROL[[#This Row],[VEHIDCODE]],roster!A:A,roster!D:D))</f>
        <v>1</v>
      </c>
      <c r="M109" t="b">
        <f>ISNUMBER(_xlfn.XMATCH(CONTROL[[#This Row],[VEHIDCODE]],GRAPHICS_PROPERTIES[VEHIDCODE],0))</f>
        <v>1</v>
      </c>
      <c r="N109" s="21" t="str">
        <f>"item_"&amp;CONTROL[[#This Row],[VEHIDCODE]]</f>
        <v>item_steam_Canadian_Pacific_374</v>
      </c>
      <c r="O109" s="21" t="str">
        <f>"str_"&amp;CONTROL[[#This Row],[VEHIDCODE]]</f>
        <v>str_steam_Canadian_Pacific_374</v>
      </c>
      <c r="P109" s="7" t="b">
        <f>_xlfn.XLOOKUP(CONTROL[[#This Row],[VEHIDCODE]],PROPERTIES[VEHIDCODE],PROPERTIES[IS_CONCEPT])="IS_CONCEPT"</f>
        <v>0</v>
      </c>
      <c r="Q109" s="7" t="b">
        <f>_xlfn.XLOOKUP(CONTROL[[#This Row],[VEHIDCODE]],PROPERTIES[VEHIDCODE],PROPERTIES[EXCLUDE])</f>
        <v>0</v>
      </c>
      <c r="R109" t="str" cm="1">
        <f t="array" ref="R109">_xlfn.XLOOKUP(CONTROL[[#This Row],[VEHIDCODE]],GRAPHICS_PROPERTIES[VEHIDCODE],GRAPHICS_PROPERTIES[TEMPLATE_ID]&amp;GRAPHICS_PROPERTIES[TEMPLATE_AMENDMENT_CODE])</f>
        <v>TPL_03A</v>
      </c>
    </row>
    <row r="110" spans="1:18" x14ac:dyDescent="0.35">
      <c r="A110" s="2" t="s">
        <v>2751</v>
      </c>
      <c r="B110" s="21" t="str">
        <f>_xlfn.TEXTAFTER(CONTROL[[#This Row],[VEHIDCODE]],"_")</f>
        <v>Nasmyth__Wilson___Co_35_tonner_4_6_0T</v>
      </c>
      <c r="C110" t="str" cm="1">
        <f t="array" ref="C1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0" t="str" cm="1">
        <f t="array" ref="D1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0">
        <v>4072</v>
      </c>
      <c r="F110" s="32" t="s">
        <v>3685</v>
      </c>
      <c r="G110" t="s">
        <v>1141</v>
      </c>
      <c r="H110" s="2" t="b">
        <f>AND(CONTROL[[#This Row],[IS_WAGON_OR_COACH]]=TRUE,OR(RIGHT(CONTROL[[#This Row],[VEHIDCODE]],7)="Powered",RIGHT(CONTROL[[#This Row],[VEHIDCODE]],9)="Unpowered"))</f>
        <v>0</v>
      </c>
      <c r="I1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0" t="b">
        <f>ISNUMBER(_xlfn.XMATCH(CONTROL[[#This Row],[VEHIDCODE]],TRACK_TYPES[VEHIDCODE],0))</f>
        <v>1</v>
      </c>
      <c r="K110" t="b">
        <f>ISNUMBER(_xlfn.XMATCH(CONTROL[[#This Row],[VEHIDCODE]],PROPERTIES[VEHIDCODE],0))</f>
        <v>1</v>
      </c>
      <c r="L110" t="b">
        <f>ISNUMBER(_xlfn.XLOOKUP(CONTROL[[#This Row],[VEHIDCODE]],roster!A:A,roster!D:D))</f>
        <v>1</v>
      </c>
      <c r="M110" t="b">
        <f>ISNUMBER(_xlfn.XMATCH(CONTROL[[#This Row],[VEHIDCODE]],GRAPHICS_PROPERTIES[VEHIDCODE],0))</f>
        <v>1</v>
      </c>
      <c r="N110" s="21" t="str">
        <f>"item_"&amp;CONTROL[[#This Row],[VEHIDCODE]]</f>
        <v>item_steam_Nasmyth__Wilson___Co_35_tonner_4_6_0T</v>
      </c>
      <c r="O110" s="21" t="str">
        <f>"str_"&amp;CONTROL[[#This Row],[VEHIDCODE]]</f>
        <v>str_steam_Nasmyth__Wilson___Co_35_tonner_4_6_0T</v>
      </c>
      <c r="P110" s="7" t="b">
        <f>_xlfn.XLOOKUP(CONTROL[[#This Row],[VEHIDCODE]],PROPERTIES[VEHIDCODE],PROPERTIES[IS_CONCEPT])="IS_CONCEPT"</f>
        <v>0</v>
      </c>
      <c r="Q110" s="7" t="b">
        <f>_xlfn.XLOOKUP(CONTROL[[#This Row],[VEHIDCODE]],PROPERTIES[VEHIDCODE],PROPERTIES[EXCLUDE])</f>
        <v>0</v>
      </c>
      <c r="R110" t="str" cm="1">
        <f t="array" ref="R110">_xlfn.XLOOKUP(CONTROL[[#This Row],[VEHIDCODE]],GRAPHICS_PROPERTIES[VEHIDCODE],GRAPHICS_PROPERTIES[TEMPLATE_ID]&amp;GRAPHICS_PROPERTIES[TEMPLATE_AMENDMENT_CODE])</f>
        <v>TPL_03C</v>
      </c>
    </row>
    <row r="111" spans="1:18" x14ac:dyDescent="0.35">
      <c r="A111" s="2" t="s">
        <v>2752</v>
      </c>
      <c r="B111" s="21" t="str">
        <f>_xlfn.TEXTAFTER(CONTROL[[#This Row],[VEHIDCODE]],"_")</f>
        <v>Schneider_RENFE_040</v>
      </c>
      <c r="C111" t="str" cm="1">
        <f t="array" ref="C1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1" t="str" cm="1">
        <f t="array" ref="D1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1">
        <v>4050</v>
      </c>
      <c r="F111" s="32" t="s">
        <v>2117</v>
      </c>
      <c r="G111" t="s">
        <v>1143</v>
      </c>
      <c r="H111" s="2" t="b">
        <f>AND(CONTROL[[#This Row],[IS_WAGON_OR_COACH]]=TRUE,OR(RIGHT(CONTROL[[#This Row],[VEHIDCODE]],7)="Powered",RIGHT(CONTROL[[#This Row],[VEHIDCODE]],9)="Unpowered"))</f>
        <v>0</v>
      </c>
      <c r="I1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1" t="b">
        <f>ISNUMBER(_xlfn.XMATCH(CONTROL[[#This Row],[VEHIDCODE]],TRACK_TYPES[VEHIDCODE],0))</f>
        <v>1</v>
      </c>
      <c r="K111" t="b">
        <f>ISNUMBER(_xlfn.XMATCH(CONTROL[[#This Row],[VEHIDCODE]],PROPERTIES[VEHIDCODE],0))</f>
        <v>1</v>
      </c>
      <c r="L111" t="b">
        <f>ISNUMBER(_xlfn.XLOOKUP(CONTROL[[#This Row],[VEHIDCODE]],roster!A:A,roster!D:D))</f>
        <v>1</v>
      </c>
      <c r="M111" t="b">
        <f>ISNUMBER(_xlfn.XMATCH(CONTROL[[#This Row],[VEHIDCODE]],GRAPHICS_PROPERTIES[VEHIDCODE],0))</f>
        <v>1</v>
      </c>
      <c r="N111" s="21" t="str">
        <f>"item_"&amp;CONTROL[[#This Row],[VEHIDCODE]]</f>
        <v>item_steam_Schneider_RENFE_040</v>
      </c>
      <c r="O111" s="21" t="str">
        <f>"str_"&amp;CONTROL[[#This Row],[VEHIDCODE]]</f>
        <v>str_steam_Schneider_RENFE_040</v>
      </c>
      <c r="P111" s="7" t="b">
        <f>_xlfn.XLOOKUP(CONTROL[[#This Row],[VEHIDCODE]],PROPERTIES[VEHIDCODE],PROPERTIES[IS_CONCEPT])="IS_CONCEPT"</f>
        <v>0</v>
      </c>
      <c r="Q111" s="7" t="b">
        <f>_xlfn.XLOOKUP(CONTROL[[#This Row],[VEHIDCODE]],PROPERTIES[VEHIDCODE],PROPERTIES[EXCLUDE])</f>
        <v>0</v>
      </c>
      <c r="R111" t="str" cm="1">
        <f t="array" ref="R111">_xlfn.XLOOKUP(CONTROL[[#This Row],[VEHIDCODE]],GRAPHICS_PROPERTIES[VEHIDCODE],GRAPHICS_PROPERTIES[TEMPLATE_ID]&amp;GRAPHICS_PROPERTIES[TEMPLATE_AMENDMENT_CODE])</f>
        <v>TPL_03A</v>
      </c>
    </row>
    <row r="112" spans="1:18" x14ac:dyDescent="0.35">
      <c r="A112" s="2" t="s">
        <v>2753</v>
      </c>
      <c r="B112" s="21" t="str">
        <f>_xlfn.TEXTAFTER(CONTROL[[#This Row],[VEHIDCODE]],"_")</f>
        <v>Sachsische_Maschinenfabrik_IV_K</v>
      </c>
      <c r="C112" t="str" cm="1">
        <f t="array" ref="C1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2" t="str" cm="1">
        <f t="array" ref="D1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2">
        <v>4051</v>
      </c>
      <c r="F112" s="32" t="s">
        <v>2118</v>
      </c>
      <c r="G112" t="s">
        <v>1144</v>
      </c>
      <c r="H112" s="2" t="b">
        <f>AND(CONTROL[[#This Row],[IS_WAGON_OR_COACH]]=TRUE,OR(RIGHT(CONTROL[[#This Row],[VEHIDCODE]],7)="Powered",RIGHT(CONTROL[[#This Row],[VEHIDCODE]],9)="Unpowered"))</f>
        <v>0</v>
      </c>
      <c r="I1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2" t="b">
        <f>ISNUMBER(_xlfn.XMATCH(CONTROL[[#This Row],[VEHIDCODE]],TRACK_TYPES[VEHIDCODE],0))</f>
        <v>1</v>
      </c>
      <c r="K112" t="b">
        <f>ISNUMBER(_xlfn.XMATCH(CONTROL[[#This Row],[VEHIDCODE]],PROPERTIES[VEHIDCODE],0))</f>
        <v>1</v>
      </c>
      <c r="L112" t="b">
        <f>ISNUMBER(_xlfn.XLOOKUP(CONTROL[[#This Row],[VEHIDCODE]],roster!A:A,roster!D:D))</f>
        <v>1</v>
      </c>
      <c r="M112" t="b">
        <f>ISNUMBER(_xlfn.XMATCH(CONTROL[[#This Row],[VEHIDCODE]],GRAPHICS_PROPERTIES[VEHIDCODE],0))</f>
        <v>1</v>
      </c>
      <c r="N112" s="21" t="str">
        <f>"item_"&amp;CONTROL[[#This Row],[VEHIDCODE]]</f>
        <v>item_steam_Sachsische_Maschinenfabrik_IV_K</v>
      </c>
      <c r="O112" s="21" t="str">
        <f>"str_"&amp;CONTROL[[#This Row],[VEHIDCODE]]</f>
        <v>str_steam_Sachsische_Maschinenfabrik_IV_K</v>
      </c>
      <c r="P112" s="7" t="b">
        <f>_xlfn.XLOOKUP(CONTROL[[#This Row],[VEHIDCODE]],PROPERTIES[VEHIDCODE],PROPERTIES[IS_CONCEPT])="IS_CONCEPT"</f>
        <v>0</v>
      </c>
      <c r="Q112" s="7" t="b">
        <f>_xlfn.XLOOKUP(CONTROL[[#This Row],[VEHIDCODE]],PROPERTIES[VEHIDCODE],PROPERTIES[EXCLUDE])</f>
        <v>0</v>
      </c>
      <c r="R112" t="str" cm="1">
        <f t="array" ref="R112">_xlfn.XLOOKUP(CONTROL[[#This Row],[VEHIDCODE]],GRAPHICS_PROPERTIES[VEHIDCODE],GRAPHICS_PROPERTIES[TEMPLATE_ID]&amp;GRAPHICS_PROPERTIES[TEMPLATE_AMENDMENT_CODE])</f>
        <v>TPL_03C</v>
      </c>
    </row>
    <row r="113" spans="1:18" x14ac:dyDescent="0.35">
      <c r="A113" s="2" t="s">
        <v>2754</v>
      </c>
      <c r="B113" s="21" t="str">
        <f>_xlfn.TEXTAFTER(CONTROL[[#This Row],[VEHIDCODE]],"_")</f>
        <v>Hanomag_S_3</v>
      </c>
      <c r="C113" t="str" cm="1">
        <f t="array" ref="C1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3" t="str" cm="1">
        <f t="array" ref="D1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3">
        <v>4052</v>
      </c>
      <c r="F113" s="32" t="s">
        <v>2119</v>
      </c>
      <c r="G113" t="s">
        <v>1145</v>
      </c>
      <c r="H113" s="2" t="b">
        <f>AND(CONTROL[[#This Row],[IS_WAGON_OR_COACH]]=TRUE,OR(RIGHT(CONTROL[[#This Row],[VEHIDCODE]],7)="Powered",RIGHT(CONTROL[[#This Row],[VEHIDCODE]],9)="Unpowered"))</f>
        <v>0</v>
      </c>
      <c r="I1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3" t="b">
        <f>ISNUMBER(_xlfn.XMATCH(CONTROL[[#This Row],[VEHIDCODE]],TRACK_TYPES[VEHIDCODE],0))</f>
        <v>1</v>
      </c>
      <c r="K113" t="b">
        <f>ISNUMBER(_xlfn.XMATCH(CONTROL[[#This Row],[VEHIDCODE]],PROPERTIES[VEHIDCODE],0))</f>
        <v>1</v>
      </c>
      <c r="L113" t="b">
        <f>ISNUMBER(_xlfn.XLOOKUP(CONTROL[[#This Row],[VEHIDCODE]],roster!A:A,roster!D:D))</f>
        <v>1</v>
      </c>
      <c r="M113" t="b">
        <f>ISNUMBER(_xlfn.XMATCH(CONTROL[[#This Row],[VEHIDCODE]],GRAPHICS_PROPERTIES[VEHIDCODE],0))</f>
        <v>1</v>
      </c>
      <c r="N113" s="21" t="str">
        <f>"item_"&amp;CONTROL[[#This Row],[VEHIDCODE]]</f>
        <v>item_steam_Hanomag_S_3</v>
      </c>
      <c r="O113" s="21" t="str">
        <f>"str_"&amp;CONTROL[[#This Row],[VEHIDCODE]]</f>
        <v>str_steam_Hanomag_S_3</v>
      </c>
      <c r="P113" s="7" t="b">
        <f>_xlfn.XLOOKUP(CONTROL[[#This Row],[VEHIDCODE]],PROPERTIES[VEHIDCODE],PROPERTIES[IS_CONCEPT])="IS_CONCEPT"</f>
        <v>0</v>
      </c>
      <c r="Q113" s="7" t="b">
        <f>_xlfn.XLOOKUP(CONTROL[[#This Row],[VEHIDCODE]],PROPERTIES[VEHIDCODE],PROPERTIES[EXCLUDE])</f>
        <v>0</v>
      </c>
      <c r="R113" t="str" cm="1">
        <f t="array" ref="R113">_xlfn.XLOOKUP(CONTROL[[#This Row],[VEHIDCODE]],GRAPHICS_PROPERTIES[VEHIDCODE],GRAPHICS_PROPERTIES[TEMPLATE_ID]&amp;GRAPHICS_PROPERTIES[TEMPLATE_AMENDMENT_CODE])</f>
        <v>TPL_03A</v>
      </c>
    </row>
    <row r="114" spans="1:18" x14ac:dyDescent="0.35">
      <c r="A114" s="2" t="s">
        <v>2755</v>
      </c>
      <c r="B114" s="21" t="str">
        <f>_xlfn.TEXTAFTER(CONTROL[[#This Row],[VEHIDCODE]],"_")</f>
        <v>Thune_XXIa</v>
      </c>
      <c r="C114" t="str" cm="1">
        <f t="array" ref="C1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4" t="str" cm="1">
        <f t="array" ref="D1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4">
        <v>4053</v>
      </c>
      <c r="F114" s="32" t="s">
        <v>2120</v>
      </c>
      <c r="G114" t="s">
        <v>1146</v>
      </c>
      <c r="H114" s="2" t="b">
        <f>AND(CONTROL[[#This Row],[IS_WAGON_OR_COACH]]=TRUE,OR(RIGHT(CONTROL[[#This Row],[VEHIDCODE]],7)="Powered",RIGHT(CONTROL[[#This Row],[VEHIDCODE]],9)="Unpowered"))</f>
        <v>0</v>
      </c>
      <c r="I1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4" t="b">
        <f>ISNUMBER(_xlfn.XMATCH(CONTROL[[#This Row],[VEHIDCODE]],TRACK_TYPES[VEHIDCODE],0))</f>
        <v>1</v>
      </c>
      <c r="K114" t="b">
        <f>ISNUMBER(_xlfn.XMATCH(CONTROL[[#This Row],[VEHIDCODE]],PROPERTIES[VEHIDCODE],0))</f>
        <v>1</v>
      </c>
      <c r="L114" t="b">
        <f>ISNUMBER(_xlfn.XLOOKUP(CONTROL[[#This Row],[VEHIDCODE]],roster!A:A,roster!D:D))</f>
        <v>1</v>
      </c>
      <c r="M114" t="b">
        <f>ISNUMBER(_xlfn.XMATCH(CONTROL[[#This Row],[VEHIDCODE]],GRAPHICS_PROPERTIES[VEHIDCODE],0))</f>
        <v>1</v>
      </c>
      <c r="N114" s="21" t="str">
        <f>"item_"&amp;CONTROL[[#This Row],[VEHIDCODE]]</f>
        <v>item_steam_Thune_XXIa</v>
      </c>
      <c r="O114" s="21" t="str">
        <f>"str_"&amp;CONTROL[[#This Row],[VEHIDCODE]]</f>
        <v>str_steam_Thune_XXIa</v>
      </c>
      <c r="P114" s="7" t="b">
        <f>_xlfn.XLOOKUP(CONTROL[[#This Row],[VEHIDCODE]],PROPERTIES[VEHIDCODE],PROPERTIES[IS_CONCEPT])="IS_CONCEPT"</f>
        <v>0</v>
      </c>
      <c r="Q114" s="7" t="b">
        <f>_xlfn.XLOOKUP(CONTROL[[#This Row],[VEHIDCODE]],PROPERTIES[VEHIDCODE],PROPERTIES[EXCLUDE])</f>
        <v>0</v>
      </c>
      <c r="R114" t="str" cm="1">
        <f t="array" ref="R114">_xlfn.XLOOKUP(CONTROL[[#This Row],[VEHIDCODE]],GRAPHICS_PROPERTIES[VEHIDCODE],GRAPHICS_PROPERTIES[TEMPLATE_ID]&amp;GRAPHICS_PROPERTIES[TEMPLATE_AMENDMENT_CODE])</f>
        <v>TPL_03C</v>
      </c>
    </row>
    <row r="115" spans="1:18" x14ac:dyDescent="0.35">
      <c r="A115" s="2" t="s">
        <v>2756</v>
      </c>
      <c r="B115" s="21" t="str">
        <f>_xlfn.TEXTAFTER(CONTROL[[#This Row],[VEHIDCODE]],"_")</f>
        <v>PRR_D16</v>
      </c>
      <c r="C115" t="str" cm="1">
        <f t="array" ref="C1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5" t="str" cm="1">
        <f t="array" ref="D1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5">
        <v>4054</v>
      </c>
      <c r="F115" s="32" t="s">
        <v>366</v>
      </c>
      <c r="G115" t="s">
        <v>1147</v>
      </c>
      <c r="H115" s="2" t="b">
        <f>AND(CONTROL[[#This Row],[IS_WAGON_OR_COACH]]=TRUE,OR(RIGHT(CONTROL[[#This Row],[VEHIDCODE]],7)="Powered",RIGHT(CONTROL[[#This Row],[VEHIDCODE]],9)="Unpowered"))</f>
        <v>0</v>
      </c>
      <c r="I1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5" t="b">
        <f>ISNUMBER(_xlfn.XMATCH(CONTROL[[#This Row],[VEHIDCODE]],TRACK_TYPES[VEHIDCODE],0))</f>
        <v>1</v>
      </c>
      <c r="K115" t="b">
        <f>ISNUMBER(_xlfn.XMATCH(CONTROL[[#This Row],[VEHIDCODE]],PROPERTIES[VEHIDCODE],0))</f>
        <v>1</v>
      </c>
      <c r="L115" t="b">
        <f>ISNUMBER(_xlfn.XLOOKUP(CONTROL[[#This Row],[VEHIDCODE]],roster!A:A,roster!D:D))</f>
        <v>1</v>
      </c>
      <c r="M115" t="b">
        <f>ISNUMBER(_xlfn.XMATCH(CONTROL[[#This Row],[VEHIDCODE]],GRAPHICS_PROPERTIES[VEHIDCODE],0))</f>
        <v>1</v>
      </c>
      <c r="N115" s="21" t="str">
        <f>"item_"&amp;CONTROL[[#This Row],[VEHIDCODE]]</f>
        <v>item_steam_PRR_D16</v>
      </c>
      <c r="O115" s="21" t="str">
        <f>"str_"&amp;CONTROL[[#This Row],[VEHIDCODE]]</f>
        <v>str_steam_PRR_D16</v>
      </c>
      <c r="P115" s="7" t="b">
        <f>_xlfn.XLOOKUP(CONTROL[[#This Row],[VEHIDCODE]],PROPERTIES[VEHIDCODE],PROPERTIES[IS_CONCEPT])="IS_CONCEPT"</f>
        <v>0</v>
      </c>
      <c r="Q115" s="7" t="b">
        <f>_xlfn.XLOOKUP(CONTROL[[#This Row],[VEHIDCODE]],PROPERTIES[VEHIDCODE],PROPERTIES[EXCLUDE])</f>
        <v>0</v>
      </c>
      <c r="R115" t="str" cm="1">
        <f t="array" ref="R115">_xlfn.XLOOKUP(CONTROL[[#This Row],[VEHIDCODE]],GRAPHICS_PROPERTIES[VEHIDCODE],GRAPHICS_PROPERTIES[TEMPLATE_ID]&amp;GRAPHICS_PROPERTIES[TEMPLATE_AMENDMENT_CODE])</f>
        <v>TPL_03A</v>
      </c>
    </row>
    <row r="116" spans="1:18" x14ac:dyDescent="0.35">
      <c r="A116" s="2" t="s">
        <v>2757</v>
      </c>
      <c r="B116" s="21" t="str">
        <f>_xlfn.TEXTAFTER(CONTROL[[#This Row],[VEHIDCODE]],"_")</f>
        <v>Machinefabriek_Breda_661_667</v>
      </c>
      <c r="C116" t="str" cm="1">
        <f t="array" ref="C1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6" t="str" cm="1">
        <f t="array" ref="D1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6">
        <v>4055</v>
      </c>
      <c r="F116" s="32" t="s">
        <v>2121</v>
      </c>
      <c r="G116" t="s">
        <v>1148</v>
      </c>
      <c r="H116" s="2" t="b">
        <f>AND(CONTROL[[#This Row],[IS_WAGON_OR_COACH]]=TRUE,OR(RIGHT(CONTROL[[#This Row],[VEHIDCODE]],7)="Powered",RIGHT(CONTROL[[#This Row],[VEHIDCODE]],9)="Unpowered"))</f>
        <v>0</v>
      </c>
      <c r="I1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6" t="b">
        <f>ISNUMBER(_xlfn.XMATCH(CONTROL[[#This Row],[VEHIDCODE]],TRACK_TYPES[VEHIDCODE],0))</f>
        <v>1</v>
      </c>
      <c r="K116" t="b">
        <f>ISNUMBER(_xlfn.XMATCH(CONTROL[[#This Row],[VEHIDCODE]],PROPERTIES[VEHIDCODE],0))</f>
        <v>1</v>
      </c>
      <c r="L116" t="b">
        <f>ISNUMBER(_xlfn.XLOOKUP(CONTROL[[#This Row],[VEHIDCODE]],roster!A:A,roster!D:D))</f>
        <v>1</v>
      </c>
      <c r="M116" t="b">
        <f>ISNUMBER(_xlfn.XMATCH(CONTROL[[#This Row],[VEHIDCODE]],GRAPHICS_PROPERTIES[VEHIDCODE],0))</f>
        <v>1</v>
      </c>
      <c r="N116" s="21" t="str">
        <f>"item_"&amp;CONTROL[[#This Row],[VEHIDCODE]]</f>
        <v>item_steam_Machinefabriek_Breda_661_667</v>
      </c>
      <c r="O116" s="21" t="str">
        <f>"str_"&amp;CONTROL[[#This Row],[VEHIDCODE]]</f>
        <v>str_steam_Machinefabriek_Breda_661_667</v>
      </c>
      <c r="P116" s="7" t="b">
        <f>_xlfn.XLOOKUP(CONTROL[[#This Row],[VEHIDCODE]],PROPERTIES[VEHIDCODE],PROPERTIES[IS_CONCEPT])="IS_CONCEPT"</f>
        <v>0</v>
      </c>
      <c r="Q116" s="7" t="b">
        <f>_xlfn.XLOOKUP(CONTROL[[#This Row],[VEHIDCODE]],PROPERTIES[VEHIDCODE],PROPERTIES[EXCLUDE])</f>
        <v>0</v>
      </c>
      <c r="R116" t="str" cm="1">
        <f t="array" ref="R116">_xlfn.XLOOKUP(CONTROL[[#This Row],[VEHIDCODE]],GRAPHICS_PROPERTIES[VEHIDCODE],GRAPHICS_PROPERTIES[TEMPLATE_ID]&amp;GRAPHICS_PROPERTIES[TEMPLATE_AMENDMENT_CODE])</f>
        <v>TPL_03C</v>
      </c>
    </row>
    <row r="117" spans="1:18" x14ac:dyDescent="0.35">
      <c r="A117" s="2" t="s">
        <v>2758</v>
      </c>
      <c r="B117" s="21" t="str">
        <f>_xlfn.TEXTAFTER(CONTROL[[#This Row],[VEHIDCODE]],"_")</f>
        <v>ALCO_46581_2_6_6_2_Mallet</v>
      </c>
      <c r="C117" t="str" cm="1">
        <f t="array" ref="C1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7" t="str" cm="1">
        <f t="array" ref="D1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7">
        <v>4056</v>
      </c>
      <c r="F117" s="32" t="s">
        <v>2123</v>
      </c>
      <c r="G117" t="s">
        <v>1149</v>
      </c>
      <c r="H117" s="2" t="b">
        <f>AND(CONTROL[[#This Row],[IS_WAGON_OR_COACH]]=TRUE,OR(RIGHT(CONTROL[[#This Row],[VEHIDCODE]],7)="Powered",RIGHT(CONTROL[[#This Row],[VEHIDCODE]],9)="Unpowered"))</f>
        <v>0</v>
      </c>
      <c r="I1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7" t="b">
        <f>ISNUMBER(_xlfn.XMATCH(CONTROL[[#This Row],[VEHIDCODE]],TRACK_TYPES[VEHIDCODE],0))</f>
        <v>1</v>
      </c>
      <c r="K117" t="b">
        <f>ISNUMBER(_xlfn.XMATCH(CONTROL[[#This Row],[VEHIDCODE]],PROPERTIES[VEHIDCODE],0))</f>
        <v>1</v>
      </c>
      <c r="L117" t="b">
        <f>ISNUMBER(_xlfn.XLOOKUP(CONTROL[[#This Row],[VEHIDCODE]],roster!A:A,roster!D:D))</f>
        <v>1</v>
      </c>
      <c r="M117" t="b">
        <f>ISNUMBER(_xlfn.XMATCH(CONTROL[[#This Row],[VEHIDCODE]],GRAPHICS_PROPERTIES[VEHIDCODE],0))</f>
        <v>1</v>
      </c>
      <c r="N117" s="21" t="str">
        <f>"item_"&amp;CONTROL[[#This Row],[VEHIDCODE]]</f>
        <v>item_steam_ALCO_46581_2_6_6_2_Mallet</v>
      </c>
      <c r="O117" s="21" t="str">
        <f>"str_"&amp;CONTROL[[#This Row],[VEHIDCODE]]</f>
        <v>str_steam_ALCO_46581_2_6_6_2_Mallet</v>
      </c>
      <c r="P117" s="7" t="b">
        <f>_xlfn.XLOOKUP(CONTROL[[#This Row],[VEHIDCODE]],PROPERTIES[VEHIDCODE],PROPERTIES[IS_CONCEPT])="IS_CONCEPT"</f>
        <v>0</v>
      </c>
      <c r="Q117" s="7" t="b">
        <f>_xlfn.XLOOKUP(CONTROL[[#This Row],[VEHIDCODE]],PROPERTIES[VEHIDCODE],PROPERTIES[EXCLUDE])</f>
        <v>0</v>
      </c>
      <c r="R117" t="str" cm="1">
        <f t="array" ref="R117">_xlfn.XLOOKUP(CONTROL[[#This Row],[VEHIDCODE]],GRAPHICS_PROPERTIES[VEHIDCODE],GRAPHICS_PROPERTIES[TEMPLATE_ID]&amp;GRAPHICS_PROPERTIES[TEMPLATE_AMENDMENT_CODE])</f>
        <v>TPL_03A</v>
      </c>
    </row>
    <row r="118" spans="1:18" x14ac:dyDescent="0.35">
      <c r="A118" s="2" t="s">
        <v>2759</v>
      </c>
      <c r="B118" s="21" t="str">
        <f>_xlfn.TEXTAFTER(CONTROL[[#This Row],[VEHIDCODE]],"_")</f>
        <v>Orenstein___Koppel_2_8_0_8_Tender</v>
      </c>
      <c r="C118" t="str" cm="1">
        <f t="array" ref="C1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8" t="str" cm="1">
        <f t="array" ref="D1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8">
        <v>4057</v>
      </c>
      <c r="F118" s="32" t="s">
        <v>2122</v>
      </c>
      <c r="G118" t="s">
        <v>1150</v>
      </c>
      <c r="H118" s="2" t="b">
        <f>AND(CONTROL[[#This Row],[IS_WAGON_OR_COACH]]=TRUE,OR(RIGHT(CONTROL[[#This Row],[VEHIDCODE]],7)="Powered",RIGHT(CONTROL[[#This Row],[VEHIDCODE]],9)="Unpowered"))</f>
        <v>0</v>
      </c>
      <c r="I1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8" t="b">
        <f>ISNUMBER(_xlfn.XMATCH(CONTROL[[#This Row],[VEHIDCODE]],TRACK_TYPES[VEHIDCODE],0))</f>
        <v>1</v>
      </c>
      <c r="K118" t="b">
        <f>ISNUMBER(_xlfn.XMATCH(CONTROL[[#This Row],[VEHIDCODE]],PROPERTIES[VEHIDCODE],0))</f>
        <v>1</v>
      </c>
      <c r="L118" t="b">
        <f>ISNUMBER(_xlfn.XLOOKUP(CONTROL[[#This Row],[VEHIDCODE]],roster!A:A,roster!D:D))</f>
        <v>1</v>
      </c>
      <c r="M118" t="b">
        <f>ISNUMBER(_xlfn.XMATCH(CONTROL[[#This Row],[VEHIDCODE]],GRAPHICS_PROPERTIES[VEHIDCODE],0))</f>
        <v>1</v>
      </c>
      <c r="N118" s="21" t="str">
        <f>"item_"&amp;CONTROL[[#This Row],[VEHIDCODE]]</f>
        <v>item_steam_Orenstein___Koppel_2_8_0_8_Tender</v>
      </c>
      <c r="O118" s="21" t="str">
        <f>"str_"&amp;CONTROL[[#This Row],[VEHIDCODE]]</f>
        <v>str_steam_Orenstein___Koppel_2_8_0_8_Tender</v>
      </c>
      <c r="P118" s="7" t="b">
        <f>_xlfn.XLOOKUP(CONTROL[[#This Row],[VEHIDCODE]],PROPERTIES[VEHIDCODE],PROPERTIES[IS_CONCEPT])="IS_CONCEPT"</f>
        <v>0</v>
      </c>
      <c r="Q118" s="7" t="b">
        <f>_xlfn.XLOOKUP(CONTROL[[#This Row],[VEHIDCODE]],PROPERTIES[VEHIDCODE],PROPERTIES[EXCLUDE])</f>
        <v>0</v>
      </c>
      <c r="R118" t="str" cm="1">
        <f t="array" ref="R118">_xlfn.XLOOKUP(CONTROL[[#This Row],[VEHIDCODE]],GRAPHICS_PROPERTIES[VEHIDCODE],GRAPHICS_PROPERTIES[TEMPLATE_ID]&amp;GRAPHICS_PROPERTIES[TEMPLATE_AMENDMENT_CODE])</f>
        <v>TPL_03A</v>
      </c>
    </row>
    <row r="119" spans="1:18" x14ac:dyDescent="0.35">
      <c r="A119" s="2" t="s">
        <v>2760</v>
      </c>
      <c r="B119" s="21" t="str">
        <f>_xlfn.TEXTAFTER(CONTROL[[#This Row],[VEHIDCODE]],"_")</f>
        <v>Stratford_Works_L77_LNER_N7</v>
      </c>
      <c r="C119" t="str" cm="1">
        <f t="array" ref="C1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9" t="str" cm="1">
        <f t="array" ref="D1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9">
        <v>4058</v>
      </c>
      <c r="F119" s="32" t="s">
        <v>2124</v>
      </c>
      <c r="G119" t="s">
        <v>1151</v>
      </c>
      <c r="H119" s="2" t="b">
        <f>AND(CONTROL[[#This Row],[IS_WAGON_OR_COACH]]=TRUE,OR(RIGHT(CONTROL[[#This Row],[VEHIDCODE]],7)="Powered",RIGHT(CONTROL[[#This Row],[VEHIDCODE]],9)="Unpowered"))</f>
        <v>0</v>
      </c>
      <c r="I1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9" t="b">
        <f>ISNUMBER(_xlfn.XMATCH(CONTROL[[#This Row],[VEHIDCODE]],TRACK_TYPES[VEHIDCODE],0))</f>
        <v>1</v>
      </c>
      <c r="K119" t="b">
        <f>ISNUMBER(_xlfn.XMATCH(CONTROL[[#This Row],[VEHIDCODE]],PROPERTIES[VEHIDCODE],0))</f>
        <v>1</v>
      </c>
      <c r="L119" t="b">
        <f>ISNUMBER(_xlfn.XLOOKUP(CONTROL[[#This Row],[VEHIDCODE]],roster!A:A,roster!D:D))</f>
        <v>1</v>
      </c>
      <c r="M119" t="b">
        <f>ISNUMBER(_xlfn.XMATCH(CONTROL[[#This Row],[VEHIDCODE]],GRAPHICS_PROPERTIES[VEHIDCODE],0))</f>
        <v>1</v>
      </c>
      <c r="N119" s="21" t="str">
        <f>"item_"&amp;CONTROL[[#This Row],[VEHIDCODE]]</f>
        <v>item_steam_Stratford_Works_L77_LNER_N7</v>
      </c>
      <c r="O119" s="21" t="str">
        <f>"str_"&amp;CONTROL[[#This Row],[VEHIDCODE]]</f>
        <v>str_steam_Stratford_Works_L77_LNER_N7</v>
      </c>
      <c r="P119" s="7" t="b">
        <f>_xlfn.XLOOKUP(CONTROL[[#This Row],[VEHIDCODE]],PROPERTIES[VEHIDCODE],PROPERTIES[IS_CONCEPT])="IS_CONCEPT"</f>
        <v>0</v>
      </c>
      <c r="Q119" s="7" t="b">
        <f>_xlfn.XLOOKUP(CONTROL[[#This Row],[VEHIDCODE]],PROPERTIES[VEHIDCODE],PROPERTIES[EXCLUDE])</f>
        <v>0</v>
      </c>
      <c r="R119" t="str" cm="1">
        <f t="array" ref="R119">_xlfn.XLOOKUP(CONTROL[[#This Row],[VEHIDCODE]],GRAPHICS_PROPERTIES[VEHIDCODE],GRAPHICS_PROPERTIES[TEMPLATE_ID]&amp;GRAPHICS_PROPERTIES[TEMPLATE_AMENDMENT_CODE])</f>
        <v>TPL_03C</v>
      </c>
    </row>
    <row r="120" spans="1:18" x14ac:dyDescent="0.35">
      <c r="A120" s="2" t="s">
        <v>2761</v>
      </c>
      <c r="B120" s="21" t="str">
        <f>_xlfn.TEXTAFTER(CONTROL[[#This Row],[VEHIDCODE]],"_")</f>
        <v>Sachsische_Maschinenfabrik_XX_HV</v>
      </c>
      <c r="C120" t="str" cm="1">
        <f t="array" ref="C1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0" t="str" cm="1">
        <f t="array" ref="D1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0">
        <v>4059</v>
      </c>
      <c r="F120" s="32" t="s">
        <v>2137</v>
      </c>
      <c r="G120" t="s">
        <v>1152</v>
      </c>
      <c r="H120" s="2" t="b">
        <f>AND(CONTROL[[#This Row],[IS_WAGON_OR_COACH]]=TRUE,OR(RIGHT(CONTROL[[#This Row],[VEHIDCODE]],7)="Powered",RIGHT(CONTROL[[#This Row],[VEHIDCODE]],9)="Unpowered"))</f>
        <v>0</v>
      </c>
      <c r="I1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0" t="b">
        <f>ISNUMBER(_xlfn.XMATCH(CONTROL[[#This Row],[VEHIDCODE]],TRACK_TYPES[VEHIDCODE],0))</f>
        <v>1</v>
      </c>
      <c r="K120" t="b">
        <f>ISNUMBER(_xlfn.XMATCH(CONTROL[[#This Row],[VEHIDCODE]],PROPERTIES[VEHIDCODE],0))</f>
        <v>1</v>
      </c>
      <c r="L120" t="b">
        <f>ISNUMBER(_xlfn.XLOOKUP(CONTROL[[#This Row],[VEHIDCODE]],roster!A:A,roster!D:D))</f>
        <v>1</v>
      </c>
      <c r="M120" t="b">
        <f>ISNUMBER(_xlfn.XMATCH(CONTROL[[#This Row],[VEHIDCODE]],GRAPHICS_PROPERTIES[VEHIDCODE],0))</f>
        <v>1</v>
      </c>
      <c r="N120" s="21" t="str">
        <f>"item_"&amp;CONTROL[[#This Row],[VEHIDCODE]]</f>
        <v>item_steam_Sachsische_Maschinenfabrik_XX_HV</v>
      </c>
      <c r="O120" s="21" t="str">
        <f>"str_"&amp;CONTROL[[#This Row],[VEHIDCODE]]</f>
        <v>str_steam_Sachsische_Maschinenfabrik_XX_HV</v>
      </c>
      <c r="P120" s="7" t="b">
        <f>_xlfn.XLOOKUP(CONTROL[[#This Row],[VEHIDCODE]],PROPERTIES[VEHIDCODE],PROPERTIES[IS_CONCEPT])="IS_CONCEPT"</f>
        <v>0</v>
      </c>
      <c r="Q120" s="7" t="b">
        <f>_xlfn.XLOOKUP(CONTROL[[#This Row],[VEHIDCODE]],PROPERTIES[VEHIDCODE],PROPERTIES[EXCLUDE])</f>
        <v>0</v>
      </c>
      <c r="R120" t="str" cm="1">
        <f t="array" ref="R120">_xlfn.XLOOKUP(CONTROL[[#This Row],[VEHIDCODE]],GRAPHICS_PROPERTIES[VEHIDCODE],GRAPHICS_PROPERTIES[TEMPLATE_ID]&amp;GRAPHICS_PROPERTIES[TEMPLATE_AMENDMENT_CODE])</f>
        <v>TPL_03A</v>
      </c>
    </row>
    <row r="121" spans="1:18" x14ac:dyDescent="0.35">
      <c r="A121" s="2" t="s">
        <v>2762</v>
      </c>
      <c r="B121" s="21" t="str">
        <f>_xlfn.TEXTAFTER(CONTROL[[#This Row],[VEHIDCODE]],"_")</f>
        <v>Beyer__P___Co_2_4_0_SS_9_16</v>
      </c>
      <c r="C121" t="str" cm="1">
        <f t="array" ref="C1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1" t="str" cm="1">
        <f t="array" ref="D1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1">
        <v>4060</v>
      </c>
      <c r="F121" s="32" t="s">
        <v>3686</v>
      </c>
      <c r="G121" t="s">
        <v>1153</v>
      </c>
      <c r="H121" s="2" t="b">
        <f>AND(CONTROL[[#This Row],[IS_WAGON_OR_COACH]]=TRUE,OR(RIGHT(CONTROL[[#This Row],[VEHIDCODE]],7)="Powered",RIGHT(CONTROL[[#This Row],[VEHIDCODE]],9)="Unpowered"))</f>
        <v>0</v>
      </c>
      <c r="I1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1" t="b">
        <f>ISNUMBER(_xlfn.XMATCH(CONTROL[[#This Row],[VEHIDCODE]],TRACK_TYPES[VEHIDCODE],0))</f>
        <v>1</v>
      </c>
      <c r="K121" t="b">
        <f>ISNUMBER(_xlfn.XMATCH(CONTROL[[#This Row],[VEHIDCODE]],PROPERTIES[VEHIDCODE],0))</f>
        <v>1</v>
      </c>
      <c r="L121" t="b">
        <f>ISNUMBER(_xlfn.XLOOKUP(CONTROL[[#This Row],[VEHIDCODE]],roster!A:A,roster!D:D))</f>
        <v>1</v>
      </c>
      <c r="M121" t="b">
        <f>ISNUMBER(_xlfn.XMATCH(CONTROL[[#This Row],[VEHIDCODE]],GRAPHICS_PROPERTIES[VEHIDCODE],0))</f>
        <v>1</v>
      </c>
      <c r="N121" s="21" t="str">
        <f>"item_"&amp;CONTROL[[#This Row],[VEHIDCODE]]</f>
        <v>item_steam_Beyer__P___Co_2_4_0_SS_9_16</v>
      </c>
      <c r="O121" s="21" t="str">
        <f>"str_"&amp;CONTROL[[#This Row],[VEHIDCODE]]</f>
        <v>str_steam_Beyer__P___Co_2_4_0_SS_9_16</v>
      </c>
      <c r="P121" s="7" t="b">
        <f>_xlfn.XLOOKUP(CONTROL[[#This Row],[VEHIDCODE]],PROPERTIES[VEHIDCODE],PROPERTIES[IS_CONCEPT])="IS_CONCEPT"</f>
        <v>0</v>
      </c>
      <c r="Q121" s="7" t="b">
        <f>_xlfn.XLOOKUP(CONTROL[[#This Row],[VEHIDCODE]],PROPERTIES[VEHIDCODE],PROPERTIES[EXCLUDE])</f>
        <v>0</v>
      </c>
      <c r="R121" t="str" cm="1">
        <f t="array" ref="R121">_xlfn.XLOOKUP(CONTROL[[#This Row],[VEHIDCODE]],GRAPHICS_PROPERTIES[VEHIDCODE],GRAPHICS_PROPERTIES[TEMPLATE_ID]&amp;GRAPHICS_PROPERTIES[TEMPLATE_AMENDMENT_CODE])</f>
        <v>TPL_03A</v>
      </c>
    </row>
    <row r="122" spans="1:18" x14ac:dyDescent="0.35">
      <c r="A122" s="2" t="s">
        <v>2763</v>
      </c>
      <c r="B122" s="21" t="str">
        <f>_xlfn.TEXTAFTER(CONTROL[[#This Row],[VEHIDCODE]],"_")</f>
        <v>Beyer__P___Co_2_6_0_6112_6113</v>
      </c>
      <c r="C122" t="str" cm="1">
        <f t="array" ref="C1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2" t="str" cm="1">
        <f t="array" ref="D1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2">
        <v>4061</v>
      </c>
      <c r="F122" s="32" t="s">
        <v>3687</v>
      </c>
      <c r="G122" t="s">
        <v>1154</v>
      </c>
      <c r="H122" s="2" t="b">
        <f>AND(CONTROL[[#This Row],[IS_WAGON_OR_COACH]]=TRUE,OR(RIGHT(CONTROL[[#This Row],[VEHIDCODE]],7)="Powered",RIGHT(CONTROL[[#This Row],[VEHIDCODE]],9)="Unpowered"))</f>
        <v>0</v>
      </c>
      <c r="I1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2" t="b">
        <f>ISNUMBER(_xlfn.XMATCH(CONTROL[[#This Row],[VEHIDCODE]],TRACK_TYPES[VEHIDCODE],0))</f>
        <v>1</v>
      </c>
      <c r="K122" t="b">
        <f>ISNUMBER(_xlfn.XMATCH(CONTROL[[#This Row],[VEHIDCODE]],PROPERTIES[VEHIDCODE],0))</f>
        <v>1</v>
      </c>
      <c r="L122" t="b">
        <f>ISNUMBER(_xlfn.XLOOKUP(CONTROL[[#This Row],[VEHIDCODE]],roster!A:A,roster!D:D))</f>
        <v>1</v>
      </c>
      <c r="M122" t="b">
        <f>ISNUMBER(_xlfn.XMATCH(CONTROL[[#This Row],[VEHIDCODE]],GRAPHICS_PROPERTIES[VEHIDCODE],0))</f>
        <v>1</v>
      </c>
      <c r="N122" s="21" t="str">
        <f>"item_"&amp;CONTROL[[#This Row],[VEHIDCODE]]</f>
        <v>item_steam_Beyer__P___Co_2_6_0_6112_6113</v>
      </c>
      <c r="O122" s="21" t="str">
        <f>"str_"&amp;CONTROL[[#This Row],[VEHIDCODE]]</f>
        <v>str_steam_Beyer__P___Co_2_6_0_6112_6113</v>
      </c>
      <c r="P122" s="7" t="b">
        <f>_xlfn.XLOOKUP(CONTROL[[#This Row],[VEHIDCODE]],PROPERTIES[VEHIDCODE],PROPERTIES[IS_CONCEPT])="IS_CONCEPT"</f>
        <v>0</v>
      </c>
      <c r="Q122" s="7" t="b">
        <f>_xlfn.XLOOKUP(CONTROL[[#This Row],[VEHIDCODE]],PROPERTIES[VEHIDCODE],PROPERTIES[EXCLUDE])</f>
        <v>0</v>
      </c>
      <c r="R122" t="str" cm="1">
        <f t="array" ref="R122">_xlfn.XLOOKUP(CONTROL[[#This Row],[VEHIDCODE]],GRAPHICS_PROPERTIES[VEHIDCODE],GRAPHICS_PROPERTIES[TEMPLATE_ID]&amp;GRAPHICS_PROPERTIES[TEMPLATE_AMENDMENT_CODE])</f>
        <v>TPL_03A</v>
      </c>
    </row>
    <row r="123" spans="1:18" x14ac:dyDescent="0.35">
      <c r="A123" s="2" t="s">
        <v>2764</v>
      </c>
      <c r="B123" s="21" t="str">
        <f>_xlfn.TEXTAFTER(CONTROL[[#This Row],[VEHIDCODE]],"_")</f>
        <v>Baldwin_10_32_E_55246</v>
      </c>
      <c r="C123" t="str" cm="1">
        <f t="array" ref="C1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3" t="str" cm="1">
        <f t="array" ref="D1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3">
        <v>4062</v>
      </c>
      <c r="F123" s="32" t="s">
        <v>2125</v>
      </c>
      <c r="G123" t="s">
        <v>1155</v>
      </c>
      <c r="H123" s="2" t="b">
        <f>AND(CONTROL[[#This Row],[IS_WAGON_OR_COACH]]=TRUE,OR(RIGHT(CONTROL[[#This Row],[VEHIDCODE]],7)="Powered",RIGHT(CONTROL[[#This Row],[VEHIDCODE]],9)="Unpowered"))</f>
        <v>0</v>
      </c>
      <c r="I1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3" t="b">
        <f>ISNUMBER(_xlfn.XMATCH(CONTROL[[#This Row],[VEHIDCODE]],TRACK_TYPES[VEHIDCODE],0))</f>
        <v>1</v>
      </c>
      <c r="K123" t="b">
        <f>ISNUMBER(_xlfn.XMATCH(CONTROL[[#This Row],[VEHIDCODE]],PROPERTIES[VEHIDCODE],0))</f>
        <v>1</v>
      </c>
      <c r="L123" t="b">
        <f>ISNUMBER(_xlfn.XLOOKUP(CONTROL[[#This Row],[VEHIDCODE]],roster!A:A,roster!D:D))</f>
        <v>1</v>
      </c>
      <c r="M123" t="b">
        <f>ISNUMBER(_xlfn.XMATCH(CONTROL[[#This Row],[VEHIDCODE]],GRAPHICS_PROPERTIES[VEHIDCODE],0))</f>
        <v>1</v>
      </c>
      <c r="N123" s="21" t="str">
        <f>"item_"&amp;CONTROL[[#This Row],[VEHIDCODE]]</f>
        <v>item_steam_Baldwin_10_32_E_55246</v>
      </c>
      <c r="O123" s="21" t="str">
        <f>"str_"&amp;CONTROL[[#This Row],[VEHIDCODE]]</f>
        <v>str_steam_Baldwin_10_32_E_55246</v>
      </c>
      <c r="P123" s="7" t="b">
        <f>_xlfn.XLOOKUP(CONTROL[[#This Row],[VEHIDCODE]],PROPERTIES[VEHIDCODE],PROPERTIES[IS_CONCEPT])="IS_CONCEPT"</f>
        <v>0</v>
      </c>
      <c r="Q123" s="7" t="b">
        <f>_xlfn.XLOOKUP(CONTROL[[#This Row],[VEHIDCODE]],PROPERTIES[VEHIDCODE],PROPERTIES[EXCLUDE])</f>
        <v>0</v>
      </c>
      <c r="R123" t="str" cm="1">
        <f t="array" ref="R123">_xlfn.XLOOKUP(CONTROL[[#This Row],[VEHIDCODE]],GRAPHICS_PROPERTIES[VEHIDCODE],GRAPHICS_PROPERTIES[TEMPLATE_ID]&amp;GRAPHICS_PROPERTIES[TEMPLATE_AMENDMENT_CODE])</f>
        <v>TPL_03A</v>
      </c>
    </row>
    <row r="124" spans="1:18" x14ac:dyDescent="0.35">
      <c r="A124" s="2" t="s">
        <v>3455</v>
      </c>
      <c r="B124" s="21" t="str">
        <f>_xlfn.TEXTAFTER(CONTROL[[#This Row],[VEHIDCODE]],"_")</f>
        <v>Canadian_National_U_1_a_</v>
      </c>
      <c r="C124" t="str" cm="1">
        <f t="array" ref="C1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4" t="str" cm="1">
        <f t="array" ref="D1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4">
        <v>4063</v>
      </c>
      <c r="F124" s="32" t="s">
        <v>3462</v>
      </c>
      <c r="G124" t="s">
        <v>1156</v>
      </c>
      <c r="H124" s="2" t="b">
        <f>AND(CONTROL[[#This Row],[IS_WAGON_OR_COACH]]=TRUE,OR(RIGHT(CONTROL[[#This Row],[VEHIDCODE]],7)="Powered",RIGHT(CONTROL[[#This Row],[VEHIDCODE]],9)="Unpowered"))</f>
        <v>0</v>
      </c>
      <c r="I1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4" t="b">
        <f>ISNUMBER(_xlfn.XMATCH(CONTROL[[#This Row],[VEHIDCODE]],TRACK_TYPES[VEHIDCODE],0))</f>
        <v>1</v>
      </c>
      <c r="K124" t="b">
        <f>ISNUMBER(_xlfn.XMATCH(CONTROL[[#This Row],[VEHIDCODE]],PROPERTIES[VEHIDCODE],0))</f>
        <v>1</v>
      </c>
      <c r="L124" t="b">
        <f>ISNUMBER(_xlfn.XLOOKUP(CONTROL[[#This Row],[VEHIDCODE]],roster!A:A,roster!D:D))</f>
        <v>1</v>
      </c>
      <c r="M124" t="b">
        <f>ISNUMBER(_xlfn.XMATCH(CONTROL[[#This Row],[VEHIDCODE]],GRAPHICS_PROPERTIES[VEHIDCODE],0))</f>
        <v>1</v>
      </c>
      <c r="N124" s="21" t="str">
        <f>"item_"&amp;CONTROL[[#This Row],[VEHIDCODE]]</f>
        <v>item_steam_Canadian_National_U_1_a_</v>
      </c>
      <c r="O124" s="21" t="str">
        <f>"str_"&amp;CONTROL[[#This Row],[VEHIDCODE]]</f>
        <v>str_steam_Canadian_National_U_1_a_</v>
      </c>
      <c r="P124" s="7" t="b">
        <f>_xlfn.XLOOKUP(CONTROL[[#This Row],[VEHIDCODE]],PROPERTIES[VEHIDCODE],PROPERTIES[IS_CONCEPT])="IS_CONCEPT"</f>
        <v>0</v>
      </c>
      <c r="Q124" s="7" t="b">
        <f>_xlfn.XLOOKUP(CONTROL[[#This Row],[VEHIDCODE]],PROPERTIES[VEHIDCODE],PROPERTIES[EXCLUDE])</f>
        <v>0</v>
      </c>
      <c r="R124" t="str" cm="1">
        <f t="array" ref="R124">_xlfn.XLOOKUP(CONTROL[[#This Row],[VEHIDCODE]],GRAPHICS_PROPERTIES[VEHIDCODE],GRAPHICS_PROPERTIES[TEMPLATE_ID]&amp;GRAPHICS_PROPERTIES[TEMPLATE_AMENDMENT_CODE])</f>
        <v>TPL_03A</v>
      </c>
    </row>
    <row r="125" spans="1:18" x14ac:dyDescent="0.35">
      <c r="A125" s="2" t="s">
        <v>2765</v>
      </c>
      <c r="B125" s="21" t="str">
        <f>_xlfn.TEXTAFTER(CONTROL[[#This Row],[VEHIDCODE]],"_")</f>
        <v>Vulcan_Foundry_2_6_4_Class_XB</v>
      </c>
      <c r="C125" t="str" cm="1">
        <f t="array" ref="C1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5" t="str" cm="1">
        <f t="array" ref="D1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5">
        <v>4064</v>
      </c>
      <c r="F125" s="32" t="s">
        <v>3637</v>
      </c>
      <c r="G125" t="s">
        <v>1157</v>
      </c>
      <c r="H125" s="2" t="b">
        <f>AND(CONTROL[[#This Row],[IS_WAGON_OR_COACH]]=TRUE,OR(RIGHT(CONTROL[[#This Row],[VEHIDCODE]],7)="Powered",RIGHT(CONTROL[[#This Row],[VEHIDCODE]],9)="Unpowered"))</f>
        <v>0</v>
      </c>
      <c r="I1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5" t="b">
        <f>ISNUMBER(_xlfn.XMATCH(CONTROL[[#This Row],[VEHIDCODE]],TRACK_TYPES[VEHIDCODE],0))</f>
        <v>1</v>
      </c>
      <c r="K125" t="b">
        <f>ISNUMBER(_xlfn.XMATCH(CONTROL[[#This Row],[VEHIDCODE]],PROPERTIES[VEHIDCODE],0))</f>
        <v>1</v>
      </c>
      <c r="L125" t="b">
        <f>ISNUMBER(_xlfn.XLOOKUP(CONTROL[[#This Row],[VEHIDCODE]],roster!A:A,roster!D:D))</f>
        <v>1</v>
      </c>
      <c r="M125" t="b">
        <f>ISNUMBER(_xlfn.XMATCH(CONTROL[[#This Row],[VEHIDCODE]],GRAPHICS_PROPERTIES[VEHIDCODE],0))</f>
        <v>1</v>
      </c>
      <c r="N125" s="21" t="str">
        <f>"item_"&amp;CONTROL[[#This Row],[VEHIDCODE]]</f>
        <v>item_steam_Vulcan_Foundry_2_6_4_Class_XB</v>
      </c>
      <c r="O125" s="21" t="str">
        <f>"str_"&amp;CONTROL[[#This Row],[VEHIDCODE]]</f>
        <v>str_steam_Vulcan_Foundry_2_6_4_Class_XB</v>
      </c>
      <c r="P125" s="7" t="b">
        <f>_xlfn.XLOOKUP(CONTROL[[#This Row],[VEHIDCODE]],PROPERTIES[VEHIDCODE],PROPERTIES[IS_CONCEPT])="IS_CONCEPT"</f>
        <v>0</v>
      </c>
      <c r="Q125" s="7" t="b">
        <f>_xlfn.XLOOKUP(CONTROL[[#This Row],[VEHIDCODE]],PROPERTIES[VEHIDCODE],PROPERTIES[EXCLUDE])</f>
        <v>0</v>
      </c>
      <c r="R125" t="str" cm="1">
        <f t="array" ref="R125">_xlfn.XLOOKUP(CONTROL[[#This Row],[VEHIDCODE]],GRAPHICS_PROPERTIES[VEHIDCODE],GRAPHICS_PROPERTIES[TEMPLATE_ID]&amp;GRAPHICS_PROPERTIES[TEMPLATE_AMENDMENT_CODE])</f>
        <v>TPL_03A</v>
      </c>
    </row>
    <row r="126" spans="1:18" x14ac:dyDescent="0.35">
      <c r="A126" s="2" t="s">
        <v>2766</v>
      </c>
      <c r="B126" s="21" t="str">
        <f>_xlfn.TEXTAFTER(CONTROL[[#This Row],[VEHIDCODE]],"_")</f>
        <v>Robert_Stephenson_4_6_2_6982_6985</v>
      </c>
      <c r="C126" t="str" cm="1">
        <f t="array" ref="C1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6" t="str" cm="1">
        <f t="array" ref="D1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6">
        <v>4065</v>
      </c>
      <c r="F126" s="32" t="s">
        <v>2276</v>
      </c>
      <c r="G126" t="s">
        <v>1158</v>
      </c>
      <c r="H126" s="2" t="b">
        <f>AND(CONTROL[[#This Row],[IS_WAGON_OR_COACH]]=TRUE,OR(RIGHT(CONTROL[[#This Row],[VEHIDCODE]],7)="Powered",RIGHT(CONTROL[[#This Row],[VEHIDCODE]],9)="Unpowered"))</f>
        <v>0</v>
      </c>
      <c r="I1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6" t="b">
        <f>ISNUMBER(_xlfn.XMATCH(CONTROL[[#This Row],[VEHIDCODE]],TRACK_TYPES[VEHIDCODE],0))</f>
        <v>1</v>
      </c>
      <c r="K126" t="b">
        <f>ISNUMBER(_xlfn.XMATCH(CONTROL[[#This Row],[VEHIDCODE]],PROPERTIES[VEHIDCODE],0))</f>
        <v>1</v>
      </c>
      <c r="L126" t="b">
        <f>ISNUMBER(_xlfn.XLOOKUP(CONTROL[[#This Row],[VEHIDCODE]],roster!A:A,roster!D:D))</f>
        <v>1</v>
      </c>
      <c r="M126" t="b">
        <f>ISNUMBER(_xlfn.XMATCH(CONTROL[[#This Row],[VEHIDCODE]],GRAPHICS_PROPERTIES[VEHIDCODE],0))</f>
        <v>1</v>
      </c>
      <c r="N126" s="21" t="str">
        <f>"item_"&amp;CONTROL[[#This Row],[VEHIDCODE]]</f>
        <v>item_steam_Robert_Stephenson_4_6_2_6982_6985</v>
      </c>
      <c r="O126" s="21" t="str">
        <f>"str_"&amp;CONTROL[[#This Row],[VEHIDCODE]]</f>
        <v>str_steam_Robert_Stephenson_4_6_2_6982_6985</v>
      </c>
      <c r="P126" s="7" t="b">
        <f>_xlfn.XLOOKUP(CONTROL[[#This Row],[VEHIDCODE]],PROPERTIES[VEHIDCODE],PROPERTIES[IS_CONCEPT])="IS_CONCEPT"</f>
        <v>0</v>
      </c>
      <c r="Q126" s="7" t="b">
        <f>_xlfn.XLOOKUP(CONTROL[[#This Row],[VEHIDCODE]],PROPERTIES[VEHIDCODE],PROPERTIES[EXCLUDE])</f>
        <v>0</v>
      </c>
      <c r="R126" t="str" cm="1">
        <f t="array" ref="R126">_xlfn.XLOOKUP(CONTROL[[#This Row],[VEHIDCODE]],GRAPHICS_PROPERTIES[VEHIDCODE],GRAPHICS_PROPERTIES[TEMPLATE_ID]&amp;GRAPHICS_PROPERTIES[TEMPLATE_AMENDMENT_CODE])</f>
        <v>TPL_03A</v>
      </c>
    </row>
    <row r="127" spans="1:18" x14ac:dyDescent="0.35">
      <c r="A127" s="2" t="s">
        <v>2767</v>
      </c>
      <c r="B127" s="21" t="str">
        <f>_xlfn.TEXTAFTER(CONTROL[[#This Row],[VEHIDCODE]],"_")</f>
        <v>ENR_1100__LMS_Fowler_3F___WD_0_6_0T_</v>
      </c>
      <c r="C127" t="str" cm="1">
        <f t="array" ref="C1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7" t="str" cm="1">
        <f t="array" ref="D1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7">
        <v>4066</v>
      </c>
      <c r="F127" s="32" t="s">
        <v>3528</v>
      </c>
      <c r="G127" t="s">
        <v>3527</v>
      </c>
      <c r="H127" s="2" t="b">
        <f>AND(CONTROL[[#This Row],[IS_WAGON_OR_COACH]]=TRUE,OR(RIGHT(CONTROL[[#This Row],[VEHIDCODE]],7)="Powered",RIGHT(CONTROL[[#This Row],[VEHIDCODE]],9)="Unpowered"))</f>
        <v>0</v>
      </c>
      <c r="I1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7" t="b">
        <f>ISNUMBER(_xlfn.XMATCH(CONTROL[[#This Row],[VEHIDCODE]],TRACK_TYPES[VEHIDCODE],0))</f>
        <v>1</v>
      </c>
      <c r="K127" t="b">
        <f>ISNUMBER(_xlfn.XMATCH(CONTROL[[#This Row],[VEHIDCODE]],PROPERTIES[VEHIDCODE],0))</f>
        <v>1</v>
      </c>
      <c r="L127" t="b">
        <f>ISNUMBER(_xlfn.XLOOKUP(CONTROL[[#This Row],[VEHIDCODE]],roster!A:A,roster!D:D))</f>
        <v>1</v>
      </c>
      <c r="M127" t="b">
        <f>ISNUMBER(_xlfn.XMATCH(CONTROL[[#This Row],[VEHIDCODE]],GRAPHICS_PROPERTIES[VEHIDCODE],0))</f>
        <v>1</v>
      </c>
      <c r="N127" s="21" t="str">
        <f>"item_"&amp;CONTROL[[#This Row],[VEHIDCODE]]</f>
        <v>item_steam_ENR_1100__LMS_Fowler_3F___WD_0_6_0T_</v>
      </c>
      <c r="O127" s="21" t="str">
        <f>"str_"&amp;CONTROL[[#This Row],[VEHIDCODE]]</f>
        <v>str_steam_ENR_1100__LMS_Fowler_3F___WD_0_6_0T_</v>
      </c>
      <c r="P127" s="7" t="b">
        <f>_xlfn.XLOOKUP(CONTROL[[#This Row],[VEHIDCODE]],PROPERTIES[VEHIDCODE],PROPERTIES[IS_CONCEPT])="IS_CONCEPT"</f>
        <v>0</v>
      </c>
      <c r="Q127" s="7" t="b">
        <f>_xlfn.XLOOKUP(CONTROL[[#This Row],[VEHIDCODE]],PROPERTIES[VEHIDCODE],PROPERTIES[EXCLUDE])</f>
        <v>0</v>
      </c>
      <c r="R127" t="str" cm="1">
        <f t="array" ref="R127">_xlfn.XLOOKUP(CONTROL[[#This Row],[VEHIDCODE]],GRAPHICS_PROPERTIES[VEHIDCODE],GRAPHICS_PROPERTIES[TEMPLATE_ID]&amp;GRAPHICS_PROPERTIES[TEMPLATE_AMENDMENT_CODE])</f>
        <v>TPL_03C</v>
      </c>
    </row>
    <row r="128" spans="1:18" x14ac:dyDescent="0.35">
      <c r="A128" s="2" t="s">
        <v>2768</v>
      </c>
      <c r="B128" s="21" t="str">
        <f>_xlfn.TEXTAFTER(CONTROL[[#This Row],[VEHIDCODE]],"_")</f>
        <v>Swindon_Works_381</v>
      </c>
      <c r="C128" t="str" cm="1">
        <f t="array" ref="C1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8" t="str" cm="1">
        <f t="array" ref="D1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8">
        <v>4068</v>
      </c>
      <c r="F128" s="32" t="s">
        <v>2126</v>
      </c>
      <c r="G128" t="s">
        <v>1159</v>
      </c>
      <c r="H128" s="2" t="b">
        <f>AND(CONTROL[[#This Row],[IS_WAGON_OR_COACH]]=TRUE,OR(RIGHT(CONTROL[[#This Row],[VEHIDCODE]],7)="Powered",RIGHT(CONTROL[[#This Row],[VEHIDCODE]],9)="Unpowered"))</f>
        <v>0</v>
      </c>
      <c r="I1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8" t="b">
        <f>ISNUMBER(_xlfn.XMATCH(CONTROL[[#This Row],[VEHIDCODE]],TRACK_TYPES[VEHIDCODE],0))</f>
        <v>1</v>
      </c>
      <c r="K128" t="b">
        <f>ISNUMBER(_xlfn.XMATCH(CONTROL[[#This Row],[VEHIDCODE]],PROPERTIES[VEHIDCODE],0))</f>
        <v>1</v>
      </c>
      <c r="L128" t="b">
        <f>ISNUMBER(_xlfn.XLOOKUP(CONTROL[[#This Row],[VEHIDCODE]],roster!A:A,roster!D:D))</f>
        <v>1</v>
      </c>
      <c r="M128" t="b">
        <f>ISNUMBER(_xlfn.XMATCH(CONTROL[[#This Row],[VEHIDCODE]],GRAPHICS_PROPERTIES[VEHIDCODE],0))</f>
        <v>1</v>
      </c>
      <c r="N128" s="21" t="str">
        <f>"item_"&amp;CONTROL[[#This Row],[VEHIDCODE]]</f>
        <v>item_steam_Swindon_Works_381</v>
      </c>
      <c r="O128" s="21" t="str">
        <f>"str_"&amp;CONTROL[[#This Row],[VEHIDCODE]]</f>
        <v>str_steam_Swindon_Works_381</v>
      </c>
      <c r="P128" s="7" t="b">
        <f>_xlfn.XLOOKUP(CONTROL[[#This Row],[VEHIDCODE]],PROPERTIES[VEHIDCODE],PROPERTIES[IS_CONCEPT])="IS_CONCEPT"</f>
        <v>0</v>
      </c>
      <c r="Q128" s="7" t="b">
        <f>_xlfn.XLOOKUP(CONTROL[[#This Row],[VEHIDCODE]],PROPERTIES[VEHIDCODE],PROPERTIES[EXCLUDE])</f>
        <v>0</v>
      </c>
      <c r="R128" t="str" cm="1">
        <f t="array" ref="R128">_xlfn.XLOOKUP(CONTROL[[#This Row],[VEHIDCODE]],GRAPHICS_PROPERTIES[VEHIDCODE],GRAPHICS_PROPERTIES[TEMPLATE_ID]&amp;GRAPHICS_PROPERTIES[TEMPLATE_AMENDMENT_CODE])</f>
        <v>TPL_03C</v>
      </c>
    </row>
    <row r="129" spans="1:18" x14ac:dyDescent="0.35">
      <c r="A129" s="2" t="s">
        <v>2769</v>
      </c>
      <c r="B129" s="21" t="str">
        <f>_xlfn.TEXTAFTER(CONTROL[[#This Row],[VEHIDCODE]],"_")</f>
        <v>North_British_LC_R_4_6_4_Hudson</v>
      </c>
      <c r="C129" t="str" cm="1">
        <f t="array" ref="C1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9" t="str" cm="1">
        <f t="array" ref="D1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9">
        <v>4069</v>
      </c>
      <c r="F129" s="32" t="s">
        <v>2127</v>
      </c>
      <c r="G129" t="s">
        <v>1160</v>
      </c>
      <c r="H129" s="2" t="b">
        <f>AND(CONTROL[[#This Row],[IS_WAGON_OR_COACH]]=TRUE,OR(RIGHT(CONTROL[[#This Row],[VEHIDCODE]],7)="Powered",RIGHT(CONTROL[[#This Row],[VEHIDCODE]],9)="Unpowered"))</f>
        <v>0</v>
      </c>
      <c r="I1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9" t="b">
        <f>ISNUMBER(_xlfn.XMATCH(CONTROL[[#This Row],[VEHIDCODE]],TRACK_TYPES[VEHIDCODE],0))</f>
        <v>1</v>
      </c>
      <c r="K129" t="b">
        <f>ISNUMBER(_xlfn.XMATCH(CONTROL[[#This Row],[VEHIDCODE]],PROPERTIES[VEHIDCODE],0))</f>
        <v>1</v>
      </c>
      <c r="L129" t="b">
        <f>ISNUMBER(_xlfn.XLOOKUP(CONTROL[[#This Row],[VEHIDCODE]],roster!A:A,roster!D:D))</f>
        <v>1</v>
      </c>
      <c r="M129" t="b">
        <f>ISNUMBER(_xlfn.XMATCH(CONTROL[[#This Row],[VEHIDCODE]],GRAPHICS_PROPERTIES[VEHIDCODE],0))</f>
        <v>1</v>
      </c>
      <c r="N129" s="21" t="str">
        <f>"item_"&amp;CONTROL[[#This Row],[VEHIDCODE]]</f>
        <v>item_steam_North_British_LC_R_4_6_4_Hudson</v>
      </c>
      <c r="O129" s="21" t="str">
        <f>"str_"&amp;CONTROL[[#This Row],[VEHIDCODE]]</f>
        <v>str_steam_North_British_LC_R_4_6_4_Hudson</v>
      </c>
      <c r="P129" s="7" t="b">
        <f>_xlfn.XLOOKUP(CONTROL[[#This Row],[VEHIDCODE]],PROPERTIES[VEHIDCODE],PROPERTIES[IS_CONCEPT])="IS_CONCEPT"</f>
        <v>0</v>
      </c>
      <c r="Q129" s="7" t="b">
        <f>_xlfn.XLOOKUP(CONTROL[[#This Row],[VEHIDCODE]],PROPERTIES[VEHIDCODE],PROPERTIES[EXCLUDE])</f>
        <v>0</v>
      </c>
      <c r="R129" t="str" cm="1">
        <f t="array" ref="R129">_xlfn.XLOOKUP(CONTROL[[#This Row],[VEHIDCODE]],GRAPHICS_PROPERTIES[VEHIDCODE],GRAPHICS_PROPERTIES[TEMPLATE_ID]&amp;GRAPHICS_PROPERTIES[TEMPLATE_AMENDMENT_CODE])</f>
        <v>TPL_03A</v>
      </c>
    </row>
    <row r="130" spans="1:18" x14ac:dyDescent="0.35">
      <c r="A130" s="2" t="s">
        <v>2770</v>
      </c>
      <c r="B130" s="21" t="str">
        <f>_xlfn.TEXTAFTER(CONTROL[[#This Row],[VEHIDCODE]],"_")</f>
        <v>VEB_2_10_2T_99_77_79</v>
      </c>
      <c r="C130" t="str" cm="1">
        <f t="array" ref="C1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0" t="str" cm="1">
        <f t="array" ref="D1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0">
        <v>4070</v>
      </c>
      <c r="F130" s="32" t="s">
        <v>2128</v>
      </c>
      <c r="G130" t="s">
        <v>1161</v>
      </c>
      <c r="H130" s="2" t="b">
        <f>AND(CONTROL[[#This Row],[IS_WAGON_OR_COACH]]=TRUE,OR(RIGHT(CONTROL[[#This Row],[VEHIDCODE]],7)="Powered",RIGHT(CONTROL[[#This Row],[VEHIDCODE]],9)="Unpowered"))</f>
        <v>0</v>
      </c>
      <c r="I1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0" t="b">
        <f>ISNUMBER(_xlfn.XMATCH(CONTROL[[#This Row],[VEHIDCODE]],TRACK_TYPES[VEHIDCODE],0))</f>
        <v>1</v>
      </c>
      <c r="K130" t="b">
        <f>ISNUMBER(_xlfn.XMATCH(CONTROL[[#This Row],[VEHIDCODE]],PROPERTIES[VEHIDCODE],0))</f>
        <v>1</v>
      </c>
      <c r="L130" t="b">
        <f>ISNUMBER(_xlfn.XLOOKUP(CONTROL[[#This Row],[VEHIDCODE]],roster!A:A,roster!D:D))</f>
        <v>1</v>
      </c>
      <c r="M130" t="b">
        <f>ISNUMBER(_xlfn.XMATCH(CONTROL[[#This Row],[VEHIDCODE]],GRAPHICS_PROPERTIES[VEHIDCODE],0))</f>
        <v>1</v>
      </c>
      <c r="N130" s="21" t="str">
        <f>"item_"&amp;CONTROL[[#This Row],[VEHIDCODE]]</f>
        <v>item_steam_VEB_2_10_2T_99_77_79</v>
      </c>
      <c r="O130" s="21" t="str">
        <f>"str_"&amp;CONTROL[[#This Row],[VEHIDCODE]]</f>
        <v>str_steam_VEB_2_10_2T_99_77_79</v>
      </c>
      <c r="P130" s="7" t="b">
        <f>_xlfn.XLOOKUP(CONTROL[[#This Row],[VEHIDCODE]],PROPERTIES[VEHIDCODE],PROPERTIES[IS_CONCEPT])="IS_CONCEPT"</f>
        <v>0</v>
      </c>
      <c r="Q130" s="7" t="b">
        <f>_xlfn.XLOOKUP(CONTROL[[#This Row],[VEHIDCODE]],PROPERTIES[VEHIDCODE],PROPERTIES[EXCLUDE])</f>
        <v>0</v>
      </c>
      <c r="R130" t="str" cm="1">
        <f t="array" ref="R130">_xlfn.XLOOKUP(CONTROL[[#This Row],[VEHIDCODE]],GRAPHICS_PROPERTIES[VEHIDCODE],GRAPHICS_PROPERTIES[TEMPLATE_ID]&amp;GRAPHICS_PROPERTIES[TEMPLATE_AMENDMENT_CODE])</f>
        <v>TPL_03C</v>
      </c>
    </row>
    <row r="131" spans="1:18" x14ac:dyDescent="0.35">
      <c r="A131" s="2" t="s">
        <v>2771</v>
      </c>
      <c r="B131" s="21" t="str">
        <f>_xlfn.TEXTAFTER(CONTROL[[#This Row],[VEHIDCODE]],"_")</f>
        <v>RAW_Meiningen_4_6_2_89_</v>
      </c>
      <c r="C131" t="str" cm="1">
        <f t="array" ref="C1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1" t="str" cm="1">
        <f t="array" ref="D1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1">
        <v>4071</v>
      </c>
      <c r="F131" s="32" t="s">
        <v>2129</v>
      </c>
      <c r="G131" t="s">
        <v>1655</v>
      </c>
      <c r="H131" s="2" t="b">
        <f>AND(CONTROL[[#This Row],[IS_WAGON_OR_COACH]]=TRUE,OR(RIGHT(CONTROL[[#This Row],[VEHIDCODE]],7)="Powered",RIGHT(CONTROL[[#This Row],[VEHIDCODE]],9)="Unpowered"))</f>
        <v>0</v>
      </c>
      <c r="I1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1" t="b">
        <f>ISNUMBER(_xlfn.XMATCH(CONTROL[[#This Row],[VEHIDCODE]],TRACK_TYPES[VEHIDCODE],0))</f>
        <v>1</v>
      </c>
      <c r="K131" t="b">
        <f>ISNUMBER(_xlfn.XMATCH(CONTROL[[#This Row],[VEHIDCODE]],PROPERTIES[VEHIDCODE],0))</f>
        <v>1</v>
      </c>
      <c r="L131" t="b">
        <f>ISNUMBER(_xlfn.XLOOKUP(CONTROL[[#This Row],[VEHIDCODE]],roster!A:A,roster!D:D))</f>
        <v>1</v>
      </c>
      <c r="M131" t="b">
        <f>ISNUMBER(_xlfn.XMATCH(CONTROL[[#This Row],[VEHIDCODE]],GRAPHICS_PROPERTIES[VEHIDCODE],0))</f>
        <v>1</v>
      </c>
      <c r="N131" s="21" t="str">
        <f>"item_"&amp;CONTROL[[#This Row],[VEHIDCODE]]</f>
        <v>item_steam_RAW_Meiningen_4_6_2_89_</v>
      </c>
      <c r="O131" s="21" t="str">
        <f>"str_"&amp;CONTROL[[#This Row],[VEHIDCODE]]</f>
        <v>str_steam_RAW_Meiningen_4_6_2_89_</v>
      </c>
      <c r="P131" s="7" t="b">
        <f>_xlfn.XLOOKUP(CONTROL[[#This Row],[VEHIDCODE]],PROPERTIES[VEHIDCODE],PROPERTIES[IS_CONCEPT])="IS_CONCEPT"</f>
        <v>0</v>
      </c>
      <c r="Q131" s="7" t="b">
        <f>_xlfn.XLOOKUP(CONTROL[[#This Row],[VEHIDCODE]],PROPERTIES[VEHIDCODE],PROPERTIES[EXCLUDE])</f>
        <v>0</v>
      </c>
      <c r="R131" t="str" cm="1">
        <f t="array" ref="R131">_xlfn.XLOOKUP(CONTROL[[#This Row],[VEHIDCODE]],GRAPHICS_PROPERTIES[VEHIDCODE],GRAPHICS_PROPERTIES[TEMPLATE_ID]&amp;GRAPHICS_PROPERTIES[TEMPLATE_AMENDMENT_CODE])</f>
        <v>TPL_03A</v>
      </c>
    </row>
    <row r="132" spans="1:18" x14ac:dyDescent="0.35">
      <c r="A132" s="2" t="s">
        <v>2772</v>
      </c>
      <c r="B132" s="21" t="str">
        <f>_xlfn.TEXTAFTER(CONTROL[[#This Row],[VEHIDCODE]],"_")</f>
        <v>NZR_4_6_4T_WAB</v>
      </c>
      <c r="C132" t="str" cm="1">
        <f t="array" ref="C1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2" t="str" cm="1">
        <f t="array" ref="D1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2">
        <v>4090</v>
      </c>
      <c r="F132" s="32" t="s">
        <v>2130</v>
      </c>
      <c r="G132" t="s">
        <v>1162</v>
      </c>
      <c r="H132" s="2" t="b">
        <f>AND(CONTROL[[#This Row],[IS_WAGON_OR_COACH]]=TRUE,OR(RIGHT(CONTROL[[#This Row],[VEHIDCODE]],7)="Powered",RIGHT(CONTROL[[#This Row],[VEHIDCODE]],9)="Unpowered"))</f>
        <v>0</v>
      </c>
      <c r="I1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2" t="b">
        <f>ISNUMBER(_xlfn.XMATCH(CONTROL[[#This Row],[VEHIDCODE]],TRACK_TYPES[VEHIDCODE],0))</f>
        <v>1</v>
      </c>
      <c r="K132" t="b">
        <f>ISNUMBER(_xlfn.XMATCH(CONTROL[[#This Row],[VEHIDCODE]],PROPERTIES[VEHIDCODE],0))</f>
        <v>1</v>
      </c>
      <c r="L132" t="b">
        <f>ISNUMBER(_xlfn.XLOOKUP(CONTROL[[#This Row],[VEHIDCODE]],roster!A:A,roster!D:D))</f>
        <v>1</v>
      </c>
      <c r="M132" t="b">
        <f>ISNUMBER(_xlfn.XMATCH(CONTROL[[#This Row],[VEHIDCODE]],GRAPHICS_PROPERTIES[VEHIDCODE],0))</f>
        <v>1</v>
      </c>
      <c r="N132" s="21" t="str">
        <f>"item_"&amp;CONTROL[[#This Row],[VEHIDCODE]]</f>
        <v>item_steam_NZR_4_6_4T_WAB</v>
      </c>
      <c r="O132" s="21" t="str">
        <f>"str_"&amp;CONTROL[[#This Row],[VEHIDCODE]]</f>
        <v>str_steam_NZR_4_6_4T_WAB</v>
      </c>
      <c r="P132" s="7" t="b">
        <f>_xlfn.XLOOKUP(CONTROL[[#This Row],[VEHIDCODE]],PROPERTIES[VEHIDCODE],PROPERTIES[IS_CONCEPT])="IS_CONCEPT"</f>
        <v>0</v>
      </c>
      <c r="Q132" s="7" t="b">
        <f>_xlfn.XLOOKUP(CONTROL[[#This Row],[VEHIDCODE]],PROPERTIES[VEHIDCODE],PROPERTIES[EXCLUDE])</f>
        <v>0</v>
      </c>
      <c r="R132" t="str" cm="1">
        <f t="array" ref="R132">_xlfn.XLOOKUP(CONTROL[[#This Row],[VEHIDCODE]],GRAPHICS_PROPERTIES[VEHIDCODE],GRAPHICS_PROPERTIES[TEMPLATE_ID]&amp;GRAPHICS_PROPERTIES[TEMPLATE_AMENDMENT_CODE])</f>
        <v>TPL_03C</v>
      </c>
    </row>
    <row r="133" spans="1:18" x14ac:dyDescent="0.35">
      <c r="A133" s="2" t="s">
        <v>2773</v>
      </c>
      <c r="B133" s="21" t="str">
        <f>_xlfn.TEXTAFTER(CONTROL[[#This Row],[VEHIDCODE]],"_")</f>
        <v>Clyde_4_8_2_D57</v>
      </c>
      <c r="C133" t="str" cm="1">
        <f t="array" ref="C1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3" t="str" cm="1">
        <f t="array" ref="D1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3">
        <v>4095</v>
      </c>
      <c r="F133" s="32" t="s">
        <v>2131</v>
      </c>
      <c r="G133" t="s">
        <v>1163</v>
      </c>
      <c r="H133" s="2" t="b">
        <f>AND(CONTROL[[#This Row],[IS_WAGON_OR_COACH]]=TRUE,OR(RIGHT(CONTROL[[#This Row],[VEHIDCODE]],7)="Powered",RIGHT(CONTROL[[#This Row],[VEHIDCODE]],9)="Unpowered"))</f>
        <v>0</v>
      </c>
      <c r="I1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3" t="b">
        <f>ISNUMBER(_xlfn.XMATCH(CONTROL[[#This Row],[VEHIDCODE]],TRACK_TYPES[VEHIDCODE],0))</f>
        <v>1</v>
      </c>
      <c r="K133" t="b">
        <f>ISNUMBER(_xlfn.XMATCH(CONTROL[[#This Row],[VEHIDCODE]],PROPERTIES[VEHIDCODE],0))</f>
        <v>1</v>
      </c>
      <c r="L133" t="b">
        <f>ISNUMBER(_xlfn.XLOOKUP(CONTROL[[#This Row],[VEHIDCODE]],roster!A:A,roster!D:D))</f>
        <v>1</v>
      </c>
      <c r="M133" t="b">
        <f>ISNUMBER(_xlfn.XMATCH(CONTROL[[#This Row],[VEHIDCODE]],GRAPHICS_PROPERTIES[VEHIDCODE],0))</f>
        <v>1</v>
      </c>
      <c r="N133" s="21" t="str">
        <f>"item_"&amp;CONTROL[[#This Row],[VEHIDCODE]]</f>
        <v>item_steam_Clyde_4_8_2_D57</v>
      </c>
      <c r="O133" s="21" t="str">
        <f>"str_"&amp;CONTROL[[#This Row],[VEHIDCODE]]</f>
        <v>str_steam_Clyde_4_8_2_D57</v>
      </c>
      <c r="P133" s="7" t="b">
        <f>_xlfn.XLOOKUP(CONTROL[[#This Row],[VEHIDCODE]],PROPERTIES[VEHIDCODE],PROPERTIES[IS_CONCEPT])="IS_CONCEPT"</f>
        <v>0</v>
      </c>
      <c r="Q133" s="7" t="b">
        <f>_xlfn.XLOOKUP(CONTROL[[#This Row],[VEHIDCODE]],PROPERTIES[VEHIDCODE],PROPERTIES[EXCLUDE])</f>
        <v>0</v>
      </c>
      <c r="R133" t="str" cm="1">
        <f t="array" ref="R133">_xlfn.XLOOKUP(CONTROL[[#This Row],[VEHIDCODE]],GRAPHICS_PROPERTIES[VEHIDCODE],GRAPHICS_PROPERTIES[TEMPLATE_ID]&amp;GRAPHICS_PROPERTIES[TEMPLATE_AMENDMENT_CODE])</f>
        <v>TPL_03A</v>
      </c>
    </row>
    <row r="134" spans="1:18" x14ac:dyDescent="0.35">
      <c r="A134" s="2" t="s">
        <v>2774</v>
      </c>
      <c r="B134" s="21" t="str">
        <f>_xlfn.TEXTAFTER(CONTROL[[#This Row],[VEHIDCODE]],"_")</f>
        <v>Islington_Railway_Workshops_81_92_520</v>
      </c>
      <c r="C134" t="str" cm="1">
        <f t="array" ref="C1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4" t="str" cm="1">
        <f t="array" ref="D1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4">
        <v>4101</v>
      </c>
      <c r="F134" s="32" t="s">
        <v>2132</v>
      </c>
      <c r="G134" t="s">
        <v>1164</v>
      </c>
      <c r="H134" s="2" t="b">
        <f>AND(CONTROL[[#This Row],[IS_WAGON_OR_COACH]]=TRUE,OR(RIGHT(CONTROL[[#This Row],[VEHIDCODE]],7)="Powered",RIGHT(CONTROL[[#This Row],[VEHIDCODE]],9)="Unpowered"))</f>
        <v>0</v>
      </c>
      <c r="I1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4" t="b">
        <f>ISNUMBER(_xlfn.XMATCH(CONTROL[[#This Row],[VEHIDCODE]],TRACK_TYPES[VEHIDCODE],0))</f>
        <v>1</v>
      </c>
      <c r="K134" t="b">
        <f>ISNUMBER(_xlfn.XMATCH(CONTROL[[#This Row],[VEHIDCODE]],PROPERTIES[VEHIDCODE],0))</f>
        <v>1</v>
      </c>
      <c r="L134" t="b">
        <f>ISNUMBER(_xlfn.XLOOKUP(CONTROL[[#This Row],[VEHIDCODE]],roster!A:A,roster!D:D))</f>
        <v>1</v>
      </c>
      <c r="M134" t="b">
        <f>ISNUMBER(_xlfn.XMATCH(CONTROL[[#This Row],[VEHIDCODE]],GRAPHICS_PROPERTIES[VEHIDCODE],0))</f>
        <v>1</v>
      </c>
      <c r="N134" s="21" t="str">
        <f>"item_"&amp;CONTROL[[#This Row],[VEHIDCODE]]</f>
        <v>item_steam_Islington_Railway_Workshops_81_92_520</v>
      </c>
      <c r="O134" s="21" t="str">
        <f>"str_"&amp;CONTROL[[#This Row],[VEHIDCODE]]</f>
        <v>str_steam_Islington_Railway_Workshops_81_92_520</v>
      </c>
      <c r="P134" s="7" t="b">
        <f>_xlfn.XLOOKUP(CONTROL[[#This Row],[VEHIDCODE]],PROPERTIES[VEHIDCODE],PROPERTIES[IS_CONCEPT])="IS_CONCEPT"</f>
        <v>0</v>
      </c>
      <c r="Q134" s="7" t="b">
        <f>_xlfn.XLOOKUP(CONTROL[[#This Row],[VEHIDCODE]],PROPERTIES[VEHIDCODE],PROPERTIES[EXCLUDE])</f>
        <v>0</v>
      </c>
      <c r="R134" t="str" cm="1">
        <f t="array" ref="R134">_xlfn.XLOOKUP(CONTROL[[#This Row],[VEHIDCODE]],GRAPHICS_PROPERTIES[VEHIDCODE],GRAPHICS_PROPERTIES[TEMPLATE_ID]&amp;GRAPHICS_PROPERTIES[TEMPLATE_AMENDMENT_CODE])</f>
        <v>TPL_03A</v>
      </c>
    </row>
    <row r="135" spans="1:18" x14ac:dyDescent="0.35">
      <c r="A135" s="2" t="s">
        <v>2775</v>
      </c>
      <c r="B135" s="21" t="str">
        <f>_xlfn.TEXTAFTER(CONTROL[[#This Row],[VEHIDCODE]],"_")</f>
        <v>Beyer__P___Co_4_8_4_4_8_4_7473_7497</v>
      </c>
      <c r="C135" t="str" cm="1">
        <f t="array" ref="C1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5" t="str" cm="1">
        <f t="array" ref="D1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5">
        <v>4105</v>
      </c>
      <c r="F135" s="32" t="s">
        <v>3688</v>
      </c>
      <c r="G135" t="s">
        <v>1165</v>
      </c>
      <c r="H135" s="2" t="b">
        <f>AND(CONTROL[[#This Row],[IS_WAGON_OR_COACH]]=TRUE,OR(RIGHT(CONTROL[[#This Row],[VEHIDCODE]],7)="Powered",RIGHT(CONTROL[[#This Row],[VEHIDCODE]],9)="Unpowered"))</f>
        <v>0</v>
      </c>
      <c r="I1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5" t="b">
        <f>ISNUMBER(_xlfn.XMATCH(CONTROL[[#This Row],[VEHIDCODE]],TRACK_TYPES[VEHIDCODE],0))</f>
        <v>1</v>
      </c>
      <c r="K135" t="b">
        <f>ISNUMBER(_xlfn.XMATCH(CONTROL[[#This Row],[VEHIDCODE]],PROPERTIES[VEHIDCODE],0))</f>
        <v>1</v>
      </c>
      <c r="L135" t="b">
        <f>ISNUMBER(_xlfn.XLOOKUP(CONTROL[[#This Row],[VEHIDCODE]],roster!A:A,roster!D:D))</f>
        <v>1</v>
      </c>
      <c r="M135" t="b">
        <f>ISNUMBER(_xlfn.XMATCH(CONTROL[[#This Row],[VEHIDCODE]],GRAPHICS_PROPERTIES[VEHIDCODE],0))</f>
        <v>1</v>
      </c>
      <c r="N135" s="21" t="str">
        <f>"item_"&amp;CONTROL[[#This Row],[VEHIDCODE]]</f>
        <v>item_steam_Beyer__P___Co_4_8_4_4_8_4_7473_7497</v>
      </c>
      <c r="O135" s="21" t="str">
        <f>"str_"&amp;CONTROL[[#This Row],[VEHIDCODE]]</f>
        <v>str_steam_Beyer__P___Co_4_8_4_4_8_4_7473_7497</v>
      </c>
      <c r="P135" s="7" t="b">
        <f>_xlfn.XLOOKUP(CONTROL[[#This Row],[VEHIDCODE]],PROPERTIES[VEHIDCODE],PROPERTIES[IS_CONCEPT])="IS_CONCEPT"</f>
        <v>0</v>
      </c>
      <c r="Q135" s="7" t="b">
        <f>_xlfn.XLOOKUP(CONTROL[[#This Row],[VEHIDCODE]],PROPERTIES[VEHIDCODE],PROPERTIES[EXCLUDE])</f>
        <v>0</v>
      </c>
      <c r="R135" t="str" cm="1">
        <f t="array" ref="R135">_xlfn.XLOOKUP(CONTROL[[#This Row],[VEHIDCODE]],GRAPHICS_PROPERTIES[VEHIDCODE],GRAPHICS_PROPERTIES[TEMPLATE_ID]&amp;GRAPHICS_PROPERTIES[TEMPLATE_AMENDMENT_CODE])</f>
        <v>TPL_17C</v>
      </c>
    </row>
    <row r="136" spans="1:18" x14ac:dyDescent="0.35">
      <c r="A136" s="2" t="s">
        <v>2776</v>
      </c>
      <c r="B136" s="21" t="str">
        <f>_xlfn.TEXTAFTER(CONTROL[[#This Row],[VEHIDCODE]],"_")</f>
        <v>AFE_N1_2_6_0</v>
      </c>
      <c r="C136" t="str" cm="1">
        <f t="array" ref="C1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6" t="str" cm="1">
        <f t="array" ref="D1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6">
        <v>4081</v>
      </c>
      <c r="F136" s="32" t="s">
        <v>367</v>
      </c>
      <c r="G136" t="s">
        <v>1166</v>
      </c>
      <c r="H136" s="2" t="b">
        <f>AND(CONTROL[[#This Row],[IS_WAGON_OR_COACH]]=TRUE,OR(RIGHT(CONTROL[[#This Row],[VEHIDCODE]],7)="Powered",RIGHT(CONTROL[[#This Row],[VEHIDCODE]],9)="Unpowered"))</f>
        <v>0</v>
      </c>
      <c r="I1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6" t="b">
        <f>ISNUMBER(_xlfn.XMATCH(CONTROL[[#This Row],[VEHIDCODE]],TRACK_TYPES[VEHIDCODE],0))</f>
        <v>1</v>
      </c>
      <c r="K136" t="b">
        <f>ISNUMBER(_xlfn.XMATCH(CONTROL[[#This Row],[VEHIDCODE]],PROPERTIES[VEHIDCODE],0))</f>
        <v>1</v>
      </c>
      <c r="L136" t="b">
        <f>ISNUMBER(_xlfn.XLOOKUP(CONTROL[[#This Row],[VEHIDCODE]],roster!A:A,roster!D:D))</f>
        <v>1</v>
      </c>
      <c r="M136" t="b">
        <f>ISNUMBER(_xlfn.XMATCH(CONTROL[[#This Row],[VEHIDCODE]],GRAPHICS_PROPERTIES[VEHIDCODE],0))</f>
        <v>1</v>
      </c>
      <c r="N136" s="21" t="str">
        <f>"item_"&amp;CONTROL[[#This Row],[VEHIDCODE]]</f>
        <v>item_steam_AFE_N1_2_6_0</v>
      </c>
      <c r="O136" s="21" t="str">
        <f>"str_"&amp;CONTROL[[#This Row],[VEHIDCODE]]</f>
        <v>str_steam_AFE_N1_2_6_0</v>
      </c>
      <c r="P136" s="7" t="b">
        <f>_xlfn.XLOOKUP(CONTROL[[#This Row],[VEHIDCODE]],PROPERTIES[VEHIDCODE],PROPERTIES[IS_CONCEPT])="IS_CONCEPT"</f>
        <v>0</v>
      </c>
      <c r="Q136" s="7" t="b">
        <f>_xlfn.XLOOKUP(CONTROL[[#This Row],[VEHIDCODE]],PROPERTIES[VEHIDCODE],PROPERTIES[EXCLUDE])</f>
        <v>0</v>
      </c>
      <c r="R136" t="str" cm="1">
        <f t="array" ref="R136">_xlfn.XLOOKUP(CONTROL[[#This Row],[VEHIDCODE]],GRAPHICS_PROPERTIES[VEHIDCODE],GRAPHICS_PROPERTIES[TEMPLATE_ID]&amp;GRAPHICS_PROPERTIES[TEMPLATE_AMENDMENT_CODE])</f>
        <v>TPL_03A</v>
      </c>
    </row>
    <row r="137" spans="1:18" x14ac:dyDescent="0.35">
      <c r="A137" s="2" t="s">
        <v>2777</v>
      </c>
      <c r="B137" s="21" t="str">
        <f>_xlfn.TEXTAFTER(CONTROL[[#This Row],[VEHIDCODE]],"_")</f>
        <v>Sir_Armstrong_Whithworth___Co__PS11</v>
      </c>
      <c r="C137" t="str" cm="1">
        <f t="array" ref="C1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7" t="str" cm="1">
        <f t="array" ref="D1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7">
        <v>4096</v>
      </c>
      <c r="F137" s="32" t="s">
        <v>2133</v>
      </c>
      <c r="G137" t="s">
        <v>1168</v>
      </c>
      <c r="H137" s="2" t="b">
        <f>AND(CONTROL[[#This Row],[IS_WAGON_OR_COACH]]=TRUE,OR(RIGHT(CONTROL[[#This Row],[VEHIDCODE]],7)="Powered",RIGHT(CONTROL[[#This Row],[VEHIDCODE]],9)="Unpowered"))</f>
        <v>0</v>
      </c>
      <c r="I1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7" t="b">
        <f>ISNUMBER(_xlfn.XMATCH(CONTROL[[#This Row],[VEHIDCODE]],TRACK_TYPES[VEHIDCODE],0))</f>
        <v>1</v>
      </c>
      <c r="K137" t="b">
        <f>ISNUMBER(_xlfn.XMATCH(CONTROL[[#This Row],[VEHIDCODE]],PROPERTIES[VEHIDCODE],0))</f>
        <v>1</v>
      </c>
      <c r="L137" t="b">
        <f>ISNUMBER(_xlfn.XLOOKUP(CONTROL[[#This Row],[VEHIDCODE]],roster!A:A,roster!D:D))</f>
        <v>1</v>
      </c>
      <c r="M137" t="b">
        <f>ISNUMBER(_xlfn.XMATCH(CONTROL[[#This Row],[VEHIDCODE]],GRAPHICS_PROPERTIES[VEHIDCODE],0))</f>
        <v>1</v>
      </c>
      <c r="N137" s="21" t="str">
        <f>"item_"&amp;CONTROL[[#This Row],[VEHIDCODE]]</f>
        <v>item_steam_Sir_Armstrong_Whithworth___Co__PS11</v>
      </c>
      <c r="O137" s="21" t="str">
        <f>"str_"&amp;CONTROL[[#This Row],[VEHIDCODE]]</f>
        <v>str_steam_Sir_Armstrong_Whithworth___Co__PS11</v>
      </c>
      <c r="P137" s="7" t="b">
        <f>_xlfn.XLOOKUP(CONTROL[[#This Row],[VEHIDCODE]],PROPERTIES[VEHIDCODE],PROPERTIES[IS_CONCEPT])="IS_CONCEPT"</f>
        <v>0</v>
      </c>
      <c r="Q137" s="7" t="b">
        <f>_xlfn.XLOOKUP(CONTROL[[#This Row],[VEHIDCODE]],PROPERTIES[VEHIDCODE],PROPERTIES[EXCLUDE])</f>
        <v>0</v>
      </c>
      <c r="R137" t="str" cm="1">
        <f t="array" ref="R137">_xlfn.XLOOKUP(CONTROL[[#This Row],[VEHIDCODE]],GRAPHICS_PROPERTIES[VEHIDCODE],GRAPHICS_PROPERTIES[TEMPLATE_ID]&amp;GRAPHICS_PROPERTIES[TEMPLATE_AMENDMENT_CODE])</f>
        <v>TPL_03A</v>
      </c>
    </row>
    <row r="138" spans="1:18" x14ac:dyDescent="0.35">
      <c r="A138" s="2" t="s">
        <v>2778</v>
      </c>
      <c r="B138" s="21" t="str">
        <f>_xlfn.TEXTAFTER(CONTROL[[#This Row],[VEHIDCODE]],"_")</f>
        <v>Alexander_Chaplin___Co__1584_0_4_0VB</v>
      </c>
      <c r="C138" t="str" cm="1">
        <f t="array" ref="C1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8" t="str" cm="1">
        <f t="array" ref="D1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8">
        <v>4074</v>
      </c>
      <c r="F138" s="32" t="s">
        <v>2134</v>
      </c>
      <c r="G138" t="s">
        <v>1803</v>
      </c>
      <c r="H138" s="2" t="b">
        <f>AND(CONTROL[[#This Row],[IS_WAGON_OR_COACH]]=TRUE,OR(RIGHT(CONTROL[[#This Row],[VEHIDCODE]],7)="Powered",RIGHT(CONTROL[[#This Row],[VEHIDCODE]],9)="Unpowered"))</f>
        <v>0</v>
      </c>
      <c r="I1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8" t="b">
        <f>ISNUMBER(_xlfn.XMATCH(CONTROL[[#This Row],[VEHIDCODE]],TRACK_TYPES[VEHIDCODE],0))</f>
        <v>1</v>
      </c>
      <c r="K138" t="b">
        <f>ISNUMBER(_xlfn.XMATCH(CONTROL[[#This Row],[VEHIDCODE]],PROPERTIES[VEHIDCODE],0))</f>
        <v>1</v>
      </c>
      <c r="L138" t="b">
        <f>ISNUMBER(_xlfn.XLOOKUP(CONTROL[[#This Row],[VEHIDCODE]],roster!A:A,roster!D:D))</f>
        <v>1</v>
      </c>
      <c r="M138" t="b">
        <f>ISNUMBER(_xlfn.XMATCH(CONTROL[[#This Row],[VEHIDCODE]],GRAPHICS_PROPERTIES[VEHIDCODE],0))</f>
        <v>1</v>
      </c>
      <c r="N138" s="21" t="str">
        <f>"item_"&amp;CONTROL[[#This Row],[VEHIDCODE]]</f>
        <v>item_steam_Alexander_Chaplin___Co__1584_0_4_0VB</v>
      </c>
      <c r="O138" s="21" t="str">
        <f>"str_"&amp;CONTROL[[#This Row],[VEHIDCODE]]</f>
        <v>str_steam_Alexander_Chaplin___Co__1584_0_4_0VB</v>
      </c>
      <c r="P138" s="7" t="b">
        <f>_xlfn.XLOOKUP(CONTROL[[#This Row],[VEHIDCODE]],PROPERTIES[VEHIDCODE],PROPERTIES[IS_CONCEPT])="IS_CONCEPT"</f>
        <v>0</v>
      </c>
      <c r="Q138" s="7" t="b">
        <f>_xlfn.XLOOKUP(CONTROL[[#This Row],[VEHIDCODE]],PROPERTIES[VEHIDCODE],PROPERTIES[EXCLUDE])</f>
        <v>0</v>
      </c>
      <c r="R138" t="str" cm="1">
        <f t="array" ref="R138">_xlfn.XLOOKUP(CONTROL[[#This Row],[VEHIDCODE]],GRAPHICS_PROPERTIES[VEHIDCODE],GRAPHICS_PROPERTIES[TEMPLATE_ID]&amp;GRAPHICS_PROPERTIES[TEMPLATE_AMENDMENT_CODE])</f>
        <v>TPL_03C</v>
      </c>
    </row>
    <row r="139" spans="1:18" x14ac:dyDescent="0.35">
      <c r="A139" s="2" t="s">
        <v>2779</v>
      </c>
      <c r="B139" s="21" t="str">
        <f>_xlfn.TEXTAFTER(CONTROL[[#This Row],[VEHIDCODE]],"_")</f>
        <v>Falcon_Engine_and_Car_Works_F2</v>
      </c>
      <c r="C139" t="str" cm="1">
        <f t="array" ref="C1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9" t="str" cm="1">
        <f t="array" ref="D1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9">
        <v>4078</v>
      </c>
      <c r="F139" s="32" t="s">
        <v>2135</v>
      </c>
      <c r="G139" t="s">
        <v>1169</v>
      </c>
      <c r="H139" s="2" t="b">
        <f>AND(CONTROL[[#This Row],[IS_WAGON_OR_COACH]]=TRUE,OR(RIGHT(CONTROL[[#This Row],[VEHIDCODE]],7)="Powered",RIGHT(CONTROL[[#This Row],[VEHIDCODE]],9)="Unpowered"))</f>
        <v>0</v>
      </c>
      <c r="I1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9" t="b">
        <f>ISNUMBER(_xlfn.XMATCH(CONTROL[[#This Row],[VEHIDCODE]],TRACK_TYPES[VEHIDCODE],0))</f>
        <v>1</v>
      </c>
      <c r="K139" t="b">
        <f>ISNUMBER(_xlfn.XMATCH(CONTROL[[#This Row],[VEHIDCODE]],PROPERTIES[VEHIDCODE],0))</f>
        <v>1</v>
      </c>
      <c r="L139" t="b">
        <f>ISNUMBER(_xlfn.XLOOKUP(CONTROL[[#This Row],[VEHIDCODE]],roster!A:A,roster!D:D))</f>
        <v>1</v>
      </c>
      <c r="M139" t="b">
        <f>ISNUMBER(_xlfn.XMATCH(CONTROL[[#This Row],[VEHIDCODE]],GRAPHICS_PROPERTIES[VEHIDCODE],0))</f>
        <v>1</v>
      </c>
      <c r="N139" s="21" t="str">
        <f>"item_"&amp;CONTROL[[#This Row],[VEHIDCODE]]</f>
        <v>item_steam_Falcon_Engine_and_Car_Works_F2</v>
      </c>
      <c r="O139" s="21" t="str">
        <f>"str_"&amp;CONTROL[[#This Row],[VEHIDCODE]]</f>
        <v>str_steam_Falcon_Engine_and_Car_Works_F2</v>
      </c>
      <c r="P139" s="7" t="b">
        <f>_xlfn.XLOOKUP(CONTROL[[#This Row],[VEHIDCODE]],PROPERTIES[VEHIDCODE],PROPERTIES[IS_CONCEPT])="IS_CONCEPT"</f>
        <v>0</v>
      </c>
      <c r="Q139" s="7" t="b">
        <f>_xlfn.XLOOKUP(CONTROL[[#This Row],[VEHIDCODE]],PROPERTIES[VEHIDCODE],PROPERTIES[EXCLUDE])</f>
        <v>0</v>
      </c>
      <c r="R139" t="str" cm="1">
        <f t="array" ref="R139">_xlfn.XLOOKUP(CONTROL[[#This Row],[VEHIDCODE]],GRAPHICS_PROPERTIES[VEHIDCODE],GRAPHICS_PROPERTIES[TEMPLATE_ID]&amp;GRAPHICS_PROPERTIES[TEMPLATE_AMENDMENT_CODE])</f>
        <v>TPL_03A</v>
      </c>
    </row>
    <row r="140" spans="1:18" x14ac:dyDescent="0.35">
      <c r="A140" s="2" t="s">
        <v>2780</v>
      </c>
      <c r="B140" s="21" t="str">
        <f>_xlfn.TEXTAFTER(CONTROL[[#This Row],[VEHIDCODE]],"_")</f>
        <v>Ansaldo_R_440_Mallet</v>
      </c>
      <c r="C140" t="str" cm="1">
        <f t="array" ref="C1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0" t="str" cm="1">
        <f t="array" ref="D1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0">
        <v>4083</v>
      </c>
      <c r="F140" s="32" t="s">
        <v>2136</v>
      </c>
      <c r="G140" t="s">
        <v>1170</v>
      </c>
      <c r="H140" s="2" t="b">
        <f>AND(CONTROL[[#This Row],[IS_WAGON_OR_COACH]]=TRUE,OR(RIGHT(CONTROL[[#This Row],[VEHIDCODE]],7)="Powered",RIGHT(CONTROL[[#This Row],[VEHIDCODE]],9)="Unpowered"))</f>
        <v>0</v>
      </c>
      <c r="I1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0" t="b">
        <f>ISNUMBER(_xlfn.XMATCH(CONTROL[[#This Row],[VEHIDCODE]],TRACK_TYPES[VEHIDCODE],0))</f>
        <v>1</v>
      </c>
      <c r="K140" t="b">
        <f>ISNUMBER(_xlfn.XMATCH(CONTROL[[#This Row],[VEHIDCODE]],PROPERTIES[VEHIDCODE],0))</f>
        <v>1</v>
      </c>
      <c r="L140" t="b">
        <f>ISNUMBER(_xlfn.XLOOKUP(CONTROL[[#This Row],[VEHIDCODE]],roster!A:A,roster!D:D))</f>
        <v>1</v>
      </c>
      <c r="M140" t="b">
        <f>ISNUMBER(_xlfn.XMATCH(CONTROL[[#This Row],[VEHIDCODE]],GRAPHICS_PROPERTIES[VEHIDCODE],0))</f>
        <v>1</v>
      </c>
      <c r="N140" s="21" t="str">
        <f>"item_"&amp;CONTROL[[#This Row],[VEHIDCODE]]</f>
        <v>item_steam_Ansaldo_R_440_Mallet</v>
      </c>
      <c r="O140" s="21" t="str">
        <f>"str_"&amp;CONTROL[[#This Row],[VEHIDCODE]]</f>
        <v>str_steam_Ansaldo_R_440_Mallet</v>
      </c>
      <c r="P140" s="7" t="b">
        <f>_xlfn.XLOOKUP(CONTROL[[#This Row],[VEHIDCODE]],PROPERTIES[VEHIDCODE],PROPERTIES[IS_CONCEPT])="IS_CONCEPT"</f>
        <v>0</v>
      </c>
      <c r="Q140" s="7" t="b">
        <f>_xlfn.XLOOKUP(CONTROL[[#This Row],[VEHIDCODE]],PROPERTIES[VEHIDCODE],PROPERTIES[EXCLUDE])</f>
        <v>0</v>
      </c>
      <c r="R140" t="str" cm="1">
        <f t="array" ref="R140">_xlfn.XLOOKUP(CONTROL[[#This Row],[VEHIDCODE]],GRAPHICS_PROPERTIES[VEHIDCODE],GRAPHICS_PROPERTIES[TEMPLATE_ID]&amp;GRAPHICS_PROPERTIES[TEMPLATE_AMENDMENT_CODE])</f>
        <v>TPL_03C</v>
      </c>
    </row>
    <row r="141" spans="1:18" x14ac:dyDescent="0.35">
      <c r="A141" s="2" t="s">
        <v>2781</v>
      </c>
      <c r="B141" s="21" t="str">
        <f>_xlfn.TEXTAFTER(CONTROL[[#This Row],[VEHIDCODE]],"_")</f>
        <v>Beyer__P___Co__4_8_0_6128_6133</v>
      </c>
      <c r="C141" t="str" cm="1">
        <f t="array" ref="C1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1" t="str" cm="1">
        <f t="array" ref="D1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1">
        <v>4088</v>
      </c>
      <c r="F141" s="32" t="s">
        <v>2277</v>
      </c>
      <c r="G141" t="s">
        <v>1171</v>
      </c>
      <c r="H141" s="2" t="b">
        <f>AND(CONTROL[[#This Row],[IS_WAGON_OR_COACH]]=TRUE,OR(RIGHT(CONTROL[[#This Row],[VEHIDCODE]],7)="Powered",RIGHT(CONTROL[[#This Row],[VEHIDCODE]],9)="Unpowered"))</f>
        <v>0</v>
      </c>
      <c r="I1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1" t="b">
        <f>ISNUMBER(_xlfn.XMATCH(CONTROL[[#This Row],[VEHIDCODE]],TRACK_TYPES[VEHIDCODE],0))</f>
        <v>1</v>
      </c>
      <c r="K141" t="b">
        <f>ISNUMBER(_xlfn.XMATCH(CONTROL[[#This Row],[VEHIDCODE]],PROPERTIES[VEHIDCODE],0))</f>
        <v>1</v>
      </c>
      <c r="L141" t="b">
        <f>ISNUMBER(_xlfn.XLOOKUP(CONTROL[[#This Row],[VEHIDCODE]],roster!A:A,roster!D:D))</f>
        <v>1</v>
      </c>
      <c r="M141" t="b">
        <f>ISNUMBER(_xlfn.XMATCH(CONTROL[[#This Row],[VEHIDCODE]],GRAPHICS_PROPERTIES[VEHIDCODE],0))</f>
        <v>1</v>
      </c>
      <c r="N141" s="21" t="str">
        <f>"item_"&amp;CONTROL[[#This Row],[VEHIDCODE]]</f>
        <v>item_steam_Beyer__P___Co__4_8_0_6128_6133</v>
      </c>
      <c r="O141" s="21" t="str">
        <f>"str_"&amp;CONTROL[[#This Row],[VEHIDCODE]]</f>
        <v>str_steam_Beyer__P___Co__4_8_0_6128_6133</v>
      </c>
      <c r="P141" s="7" t="b">
        <f>_xlfn.XLOOKUP(CONTROL[[#This Row],[VEHIDCODE]],PROPERTIES[VEHIDCODE],PROPERTIES[IS_CONCEPT])="IS_CONCEPT"</f>
        <v>0</v>
      </c>
      <c r="Q141" s="7" t="b">
        <f>_xlfn.XLOOKUP(CONTROL[[#This Row],[VEHIDCODE]],PROPERTIES[VEHIDCODE],PROPERTIES[EXCLUDE])</f>
        <v>0</v>
      </c>
      <c r="R141" t="str" cm="1">
        <f t="array" ref="R141">_xlfn.XLOOKUP(CONTROL[[#This Row],[VEHIDCODE]],GRAPHICS_PROPERTIES[VEHIDCODE],GRAPHICS_PROPERTIES[TEMPLATE_ID]&amp;GRAPHICS_PROPERTIES[TEMPLATE_AMENDMENT_CODE])</f>
        <v>TPL_03A</v>
      </c>
    </row>
    <row r="142" spans="1:18" x14ac:dyDescent="0.35">
      <c r="A142" s="2" t="s">
        <v>2782</v>
      </c>
      <c r="B142" s="21" t="str">
        <f>_xlfn.TEXTAFTER(CONTROL[[#This Row],[VEHIDCODE]],"_")</f>
        <v>Vulcan_Foundry_4_8_2_4318_4320</v>
      </c>
      <c r="C142" t="str" cm="1">
        <f t="array" ref="C1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2" t="str" cm="1">
        <f t="array" ref="D1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2">
        <v>4093</v>
      </c>
      <c r="F142" s="32" t="s">
        <v>2278</v>
      </c>
      <c r="G142" t="s">
        <v>1172</v>
      </c>
      <c r="H142" s="2" t="b">
        <f>AND(CONTROL[[#This Row],[IS_WAGON_OR_COACH]]=TRUE,OR(RIGHT(CONTROL[[#This Row],[VEHIDCODE]],7)="Powered",RIGHT(CONTROL[[#This Row],[VEHIDCODE]],9)="Unpowered"))</f>
        <v>0</v>
      </c>
      <c r="I1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2" t="b">
        <f>ISNUMBER(_xlfn.XMATCH(CONTROL[[#This Row],[VEHIDCODE]],TRACK_TYPES[VEHIDCODE],0))</f>
        <v>1</v>
      </c>
      <c r="K142" t="b">
        <f>ISNUMBER(_xlfn.XMATCH(CONTROL[[#This Row],[VEHIDCODE]],PROPERTIES[VEHIDCODE],0))</f>
        <v>1</v>
      </c>
      <c r="L142" t="b">
        <f>ISNUMBER(_xlfn.XLOOKUP(CONTROL[[#This Row],[VEHIDCODE]],roster!A:A,roster!D:D))</f>
        <v>1</v>
      </c>
      <c r="M142" t="b">
        <f>ISNUMBER(_xlfn.XMATCH(CONTROL[[#This Row],[VEHIDCODE]],GRAPHICS_PROPERTIES[VEHIDCODE],0))</f>
        <v>1</v>
      </c>
      <c r="N142" s="21" t="str">
        <f>"item_"&amp;CONTROL[[#This Row],[VEHIDCODE]]</f>
        <v>item_steam_Vulcan_Foundry_4_8_2_4318_4320</v>
      </c>
      <c r="O142" s="21" t="str">
        <f>"str_"&amp;CONTROL[[#This Row],[VEHIDCODE]]</f>
        <v>str_steam_Vulcan_Foundry_4_8_2_4318_4320</v>
      </c>
      <c r="P142" s="7" t="b">
        <f>_xlfn.XLOOKUP(CONTROL[[#This Row],[VEHIDCODE]],PROPERTIES[VEHIDCODE],PROPERTIES[IS_CONCEPT])="IS_CONCEPT"</f>
        <v>0</v>
      </c>
      <c r="Q142" s="7" t="b">
        <f>_xlfn.XLOOKUP(CONTROL[[#This Row],[VEHIDCODE]],PROPERTIES[VEHIDCODE],PROPERTIES[EXCLUDE])</f>
        <v>0</v>
      </c>
      <c r="R142" t="str" cm="1">
        <f t="array" ref="R142">_xlfn.XLOOKUP(CONTROL[[#This Row],[VEHIDCODE]],GRAPHICS_PROPERTIES[VEHIDCODE],GRAPHICS_PROPERTIES[TEMPLATE_ID]&amp;GRAPHICS_PROPERTIES[TEMPLATE_AMENDMENT_CODE])</f>
        <v>TPL_03A</v>
      </c>
    </row>
    <row r="143" spans="1:18" x14ac:dyDescent="0.35">
      <c r="A143" s="2" t="s">
        <v>2783</v>
      </c>
      <c r="B143" s="21" t="str">
        <f>_xlfn.TEXTAFTER(CONTROL[[#This Row],[VEHIDCODE]],"_")</f>
        <v>Beyer__P___Co__4_6_4_4_6_4_15th</v>
      </c>
      <c r="C143" t="str" cm="1">
        <f t="array" ref="C1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3" t="str" cm="1">
        <f t="array" ref="D1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3">
        <v>4098</v>
      </c>
      <c r="F143" s="32" t="s">
        <v>2138</v>
      </c>
      <c r="G143" t="s">
        <v>1173</v>
      </c>
      <c r="H143" s="2" t="b">
        <f>AND(CONTROL[[#This Row],[IS_WAGON_OR_COACH]]=TRUE,OR(RIGHT(CONTROL[[#This Row],[VEHIDCODE]],7)="Powered",RIGHT(CONTROL[[#This Row],[VEHIDCODE]],9)="Unpowered"))</f>
        <v>0</v>
      </c>
      <c r="I1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3" t="b">
        <f>ISNUMBER(_xlfn.XMATCH(CONTROL[[#This Row],[VEHIDCODE]],TRACK_TYPES[VEHIDCODE],0))</f>
        <v>1</v>
      </c>
      <c r="K143" t="b">
        <f>ISNUMBER(_xlfn.XMATCH(CONTROL[[#This Row],[VEHIDCODE]],PROPERTIES[VEHIDCODE],0))</f>
        <v>1</v>
      </c>
      <c r="L143" t="b">
        <f>ISNUMBER(_xlfn.XLOOKUP(CONTROL[[#This Row],[VEHIDCODE]],roster!A:A,roster!D:D))</f>
        <v>1</v>
      </c>
      <c r="M143" t="b">
        <f>ISNUMBER(_xlfn.XMATCH(CONTROL[[#This Row],[VEHIDCODE]],GRAPHICS_PROPERTIES[VEHIDCODE],0))</f>
        <v>1</v>
      </c>
      <c r="N143" s="21" t="str">
        <f>"item_"&amp;CONTROL[[#This Row],[VEHIDCODE]]</f>
        <v>item_steam_Beyer__P___Co__4_6_4_4_6_4_15th</v>
      </c>
      <c r="O143" s="21" t="str">
        <f>"str_"&amp;CONTROL[[#This Row],[VEHIDCODE]]</f>
        <v>str_steam_Beyer__P___Co__4_6_4_4_6_4_15th</v>
      </c>
      <c r="P143" s="7" t="b">
        <f>_xlfn.XLOOKUP(CONTROL[[#This Row],[VEHIDCODE]],PROPERTIES[VEHIDCODE],PROPERTIES[IS_CONCEPT])="IS_CONCEPT"</f>
        <v>0</v>
      </c>
      <c r="Q143" s="7" t="b">
        <f>_xlfn.XLOOKUP(CONTROL[[#This Row],[VEHIDCODE]],PROPERTIES[VEHIDCODE],PROPERTIES[EXCLUDE])</f>
        <v>0</v>
      </c>
      <c r="R143" t="str" cm="1">
        <f t="array" ref="R143">_xlfn.XLOOKUP(CONTROL[[#This Row],[VEHIDCODE]],GRAPHICS_PROPERTIES[VEHIDCODE],GRAPHICS_PROPERTIES[TEMPLATE_ID]&amp;GRAPHICS_PROPERTIES[TEMPLATE_AMENDMENT_CODE])</f>
        <v>TPL_17C</v>
      </c>
    </row>
    <row r="144" spans="1:18" x14ac:dyDescent="0.35">
      <c r="A144" s="2" t="s">
        <v>2784</v>
      </c>
      <c r="B144" s="21" t="str">
        <f>_xlfn.TEXTAFTER(CONTROL[[#This Row],[VEHIDCODE]],"_")</f>
        <v>Beyer__P___Co__4_8_2_2_8_4_7550_7552</v>
      </c>
      <c r="C144" t="str" cm="1">
        <f t="array" ref="C1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4" t="str" cm="1">
        <f t="array" ref="D1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4">
        <v>4106</v>
      </c>
      <c r="F144" s="32" t="s">
        <v>2139</v>
      </c>
      <c r="G144" t="s">
        <v>1174</v>
      </c>
      <c r="H144" s="2" t="b">
        <f>AND(CONTROL[[#This Row],[IS_WAGON_OR_COACH]]=TRUE,OR(RIGHT(CONTROL[[#This Row],[VEHIDCODE]],7)="Powered",RIGHT(CONTROL[[#This Row],[VEHIDCODE]],9)="Unpowered"))</f>
        <v>0</v>
      </c>
      <c r="I1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4" t="b">
        <f>ISNUMBER(_xlfn.XMATCH(CONTROL[[#This Row],[VEHIDCODE]],TRACK_TYPES[VEHIDCODE],0))</f>
        <v>1</v>
      </c>
      <c r="K144" t="b">
        <f>ISNUMBER(_xlfn.XMATCH(CONTROL[[#This Row],[VEHIDCODE]],PROPERTIES[VEHIDCODE],0))</f>
        <v>1</v>
      </c>
      <c r="L144" t="b">
        <f>ISNUMBER(_xlfn.XLOOKUP(CONTROL[[#This Row],[VEHIDCODE]],roster!A:A,roster!D:D))</f>
        <v>1</v>
      </c>
      <c r="M144" t="b">
        <f>ISNUMBER(_xlfn.XMATCH(CONTROL[[#This Row],[VEHIDCODE]],GRAPHICS_PROPERTIES[VEHIDCODE],0))</f>
        <v>1</v>
      </c>
      <c r="N144" s="21" t="str">
        <f>"item_"&amp;CONTROL[[#This Row],[VEHIDCODE]]</f>
        <v>item_steam_Beyer__P___Co__4_8_2_2_8_4_7550_7552</v>
      </c>
      <c r="O144" s="21" t="str">
        <f>"str_"&amp;CONTROL[[#This Row],[VEHIDCODE]]</f>
        <v>str_steam_Beyer__P___Co__4_8_2_2_8_4_7550_7552</v>
      </c>
      <c r="P144" s="7" t="b">
        <f>_xlfn.XLOOKUP(CONTROL[[#This Row],[VEHIDCODE]],PROPERTIES[VEHIDCODE],PROPERTIES[IS_CONCEPT])="IS_CONCEPT"</f>
        <v>0</v>
      </c>
      <c r="Q144" s="7" t="b">
        <f>_xlfn.XLOOKUP(CONTROL[[#This Row],[VEHIDCODE]],PROPERTIES[VEHIDCODE],PROPERTIES[EXCLUDE])</f>
        <v>0</v>
      </c>
      <c r="R144" t="str" cm="1">
        <f t="array" ref="R144">_xlfn.XLOOKUP(CONTROL[[#This Row],[VEHIDCODE]],GRAPHICS_PROPERTIES[VEHIDCODE],GRAPHICS_PROPERTIES[TEMPLATE_ID]&amp;GRAPHICS_PROPERTIES[TEMPLATE_AMENDMENT_CODE])</f>
        <v>TPL_17C</v>
      </c>
    </row>
    <row r="145" spans="1:18" x14ac:dyDescent="0.35">
      <c r="A145" s="2" t="s">
        <v>2785</v>
      </c>
      <c r="B145" s="21" t="str">
        <f>_xlfn.TEXTAFTER(CONTROL[[#This Row],[VEHIDCODE]],"_")</f>
        <v>Vulcan_Foundry_2_8_4_6228</v>
      </c>
      <c r="C145" t="str" cm="1">
        <f t="array" ref="C1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5" t="str" cm="1">
        <f t="array" ref="D1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5">
        <v>4107</v>
      </c>
      <c r="F145" s="32" t="s">
        <v>2140</v>
      </c>
      <c r="G145" t="s">
        <v>1175</v>
      </c>
      <c r="H145" s="2" t="b">
        <f>AND(CONTROL[[#This Row],[IS_WAGON_OR_COACH]]=TRUE,OR(RIGHT(CONTROL[[#This Row],[VEHIDCODE]],7)="Powered",RIGHT(CONTROL[[#This Row],[VEHIDCODE]],9)="Unpowered"))</f>
        <v>0</v>
      </c>
      <c r="I1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5" t="b">
        <f>ISNUMBER(_xlfn.XMATCH(CONTROL[[#This Row],[VEHIDCODE]],TRACK_TYPES[VEHIDCODE],0))</f>
        <v>1</v>
      </c>
      <c r="K145" t="b">
        <f>ISNUMBER(_xlfn.XMATCH(CONTROL[[#This Row],[VEHIDCODE]],PROPERTIES[VEHIDCODE],0))</f>
        <v>1</v>
      </c>
      <c r="L145" t="b">
        <f>ISNUMBER(_xlfn.XLOOKUP(CONTROL[[#This Row],[VEHIDCODE]],roster!A:A,roster!D:D))</f>
        <v>1</v>
      </c>
      <c r="M145" t="b">
        <f>ISNUMBER(_xlfn.XMATCH(CONTROL[[#This Row],[VEHIDCODE]],GRAPHICS_PROPERTIES[VEHIDCODE],0))</f>
        <v>1</v>
      </c>
      <c r="N145" s="21" t="str">
        <f>"item_"&amp;CONTROL[[#This Row],[VEHIDCODE]]</f>
        <v>item_steam_Vulcan_Foundry_2_8_4_6228</v>
      </c>
      <c r="O145" s="21" t="str">
        <f>"str_"&amp;CONTROL[[#This Row],[VEHIDCODE]]</f>
        <v>str_steam_Vulcan_Foundry_2_8_4_6228</v>
      </c>
      <c r="P145" s="7" t="b">
        <f>_xlfn.XLOOKUP(CONTROL[[#This Row],[VEHIDCODE]],PROPERTIES[VEHIDCODE],PROPERTIES[IS_CONCEPT])="IS_CONCEPT"</f>
        <v>0</v>
      </c>
      <c r="Q145" s="7" t="b">
        <f>_xlfn.XLOOKUP(CONTROL[[#This Row],[VEHIDCODE]],PROPERTIES[VEHIDCODE],PROPERTIES[EXCLUDE])</f>
        <v>0</v>
      </c>
      <c r="R145" t="str" cm="1">
        <f t="array" ref="R145">_xlfn.XLOOKUP(CONTROL[[#This Row],[VEHIDCODE]],GRAPHICS_PROPERTIES[VEHIDCODE],GRAPHICS_PROPERTIES[TEMPLATE_ID]&amp;GRAPHICS_PROPERTIES[TEMPLATE_AMENDMENT_CODE])</f>
        <v>TPL_03A</v>
      </c>
    </row>
    <row r="146" spans="1:18" x14ac:dyDescent="0.35">
      <c r="A146" s="2" t="s">
        <v>2786</v>
      </c>
      <c r="B146" s="21" t="str">
        <f>_xlfn.TEXTAFTER(CONTROL[[#This Row],[VEHIDCODE]],"_")</f>
        <v>Kitson_2_2_2WT_481_Fairy_Queen</v>
      </c>
      <c r="C146" t="str" cm="1">
        <f t="array" ref="C1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6" t="str" cm="1">
        <f t="array" ref="D1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6">
        <v>4073</v>
      </c>
      <c r="F146" s="32" t="s">
        <v>2141</v>
      </c>
      <c r="G146" t="s">
        <v>1176</v>
      </c>
      <c r="H146" s="2" t="b">
        <f>AND(CONTROL[[#This Row],[IS_WAGON_OR_COACH]]=TRUE,OR(RIGHT(CONTROL[[#This Row],[VEHIDCODE]],7)="Powered",RIGHT(CONTROL[[#This Row],[VEHIDCODE]],9)="Unpowered"))</f>
        <v>0</v>
      </c>
      <c r="I1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6" t="b">
        <f>ISNUMBER(_xlfn.XMATCH(CONTROL[[#This Row],[VEHIDCODE]],TRACK_TYPES[VEHIDCODE],0))</f>
        <v>1</v>
      </c>
      <c r="K146" t="b">
        <f>ISNUMBER(_xlfn.XMATCH(CONTROL[[#This Row],[VEHIDCODE]],PROPERTIES[VEHIDCODE],0))</f>
        <v>1</v>
      </c>
      <c r="L146" t="b">
        <f>ISNUMBER(_xlfn.XLOOKUP(CONTROL[[#This Row],[VEHIDCODE]],roster!A:A,roster!D:D))</f>
        <v>1</v>
      </c>
      <c r="M146" t="b">
        <f>ISNUMBER(_xlfn.XMATCH(CONTROL[[#This Row],[VEHIDCODE]],GRAPHICS_PROPERTIES[VEHIDCODE],0))</f>
        <v>1</v>
      </c>
      <c r="N146" s="21" t="str">
        <f>"item_"&amp;CONTROL[[#This Row],[VEHIDCODE]]</f>
        <v>item_steam_Kitson_2_2_2WT_481_Fairy_Queen</v>
      </c>
      <c r="O146" s="21" t="str">
        <f>"str_"&amp;CONTROL[[#This Row],[VEHIDCODE]]</f>
        <v>str_steam_Kitson_2_2_2WT_481_Fairy_Queen</v>
      </c>
      <c r="P146" s="7" t="b">
        <f>_xlfn.XLOOKUP(CONTROL[[#This Row],[VEHIDCODE]],PROPERTIES[VEHIDCODE],PROPERTIES[IS_CONCEPT])="IS_CONCEPT"</f>
        <v>0</v>
      </c>
      <c r="Q146" s="7" t="b">
        <f>_xlfn.XLOOKUP(CONTROL[[#This Row],[VEHIDCODE]],PROPERTIES[VEHIDCODE],PROPERTIES[EXCLUDE])</f>
        <v>0</v>
      </c>
      <c r="R146" t="str" cm="1">
        <f t="array" ref="R146">_xlfn.XLOOKUP(CONTROL[[#This Row],[VEHIDCODE]],GRAPHICS_PROPERTIES[VEHIDCODE],GRAPHICS_PROPERTIES[TEMPLATE_ID]&amp;GRAPHICS_PROPERTIES[TEMPLATE_AMENDMENT_CODE])</f>
        <v>TPL_03C</v>
      </c>
    </row>
    <row r="147" spans="1:18" x14ac:dyDescent="0.35">
      <c r="A147" s="2" t="s">
        <v>2787</v>
      </c>
      <c r="B147" s="21" t="str">
        <f>_xlfn.TEXTAFTER(CONTROL[[#This Row],[VEHIDCODE]],"_")</f>
        <v>Sharp__Stewart___Co_0_4_0ST_DHR_B</v>
      </c>
      <c r="C147" t="str" cm="1">
        <f t="array" ref="C1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7" t="str" cm="1">
        <f t="array" ref="D1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7">
        <v>4076</v>
      </c>
      <c r="F147" s="32" t="s">
        <v>3689</v>
      </c>
      <c r="G147" t="s">
        <v>1177</v>
      </c>
      <c r="H147" s="2" t="b">
        <f>AND(CONTROL[[#This Row],[IS_WAGON_OR_COACH]]=TRUE,OR(RIGHT(CONTROL[[#This Row],[VEHIDCODE]],7)="Powered",RIGHT(CONTROL[[#This Row],[VEHIDCODE]],9)="Unpowered"))</f>
        <v>0</v>
      </c>
      <c r="I1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7" t="b">
        <f>ISNUMBER(_xlfn.XMATCH(CONTROL[[#This Row],[VEHIDCODE]],TRACK_TYPES[VEHIDCODE],0))</f>
        <v>1</v>
      </c>
      <c r="K147" t="b">
        <f>ISNUMBER(_xlfn.XMATCH(CONTROL[[#This Row],[VEHIDCODE]],PROPERTIES[VEHIDCODE],0))</f>
        <v>1</v>
      </c>
      <c r="L147" t="b">
        <f>ISNUMBER(_xlfn.XLOOKUP(CONTROL[[#This Row],[VEHIDCODE]],roster!A:A,roster!D:D))</f>
        <v>1</v>
      </c>
      <c r="M147" t="b">
        <f>ISNUMBER(_xlfn.XMATCH(CONTROL[[#This Row],[VEHIDCODE]],GRAPHICS_PROPERTIES[VEHIDCODE],0))</f>
        <v>1</v>
      </c>
      <c r="N147" s="21" t="str">
        <f>"item_"&amp;CONTROL[[#This Row],[VEHIDCODE]]</f>
        <v>item_steam_Sharp__Stewart___Co_0_4_0ST_DHR_B</v>
      </c>
      <c r="O147" s="21" t="str">
        <f>"str_"&amp;CONTROL[[#This Row],[VEHIDCODE]]</f>
        <v>str_steam_Sharp__Stewart___Co_0_4_0ST_DHR_B</v>
      </c>
      <c r="P147" s="7" t="b">
        <f>_xlfn.XLOOKUP(CONTROL[[#This Row],[VEHIDCODE]],PROPERTIES[VEHIDCODE],PROPERTIES[IS_CONCEPT])="IS_CONCEPT"</f>
        <v>0</v>
      </c>
      <c r="Q147" s="7" t="b">
        <f>_xlfn.XLOOKUP(CONTROL[[#This Row],[VEHIDCODE]],PROPERTIES[VEHIDCODE],PROPERTIES[EXCLUDE])</f>
        <v>0</v>
      </c>
      <c r="R147" t="str" cm="1">
        <f t="array" ref="R147">_xlfn.XLOOKUP(CONTROL[[#This Row],[VEHIDCODE]],GRAPHICS_PROPERTIES[VEHIDCODE],GRAPHICS_PROPERTIES[TEMPLATE_ID]&amp;GRAPHICS_PROPERTIES[TEMPLATE_AMENDMENT_CODE])</f>
        <v>TPL_03A</v>
      </c>
    </row>
    <row r="148" spans="1:18" x14ac:dyDescent="0.35">
      <c r="A148" s="2" t="s">
        <v>2788</v>
      </c>
      <c r="B148" s="21" t="str">
        <f>_xlfn.TEXTAFTER(CONTROL[[#This Row],[VEHIDCODE]],"_")</f>
        <v>Baldwin_2_8_0_Sentetsu_Sorii</v>
      </c>
      <c r="C148" t="str" cm="1">
        <f t="array" ref="C1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8" t="str" cm="1">
        <f t="array" ref="D1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8">
        <v>4079</v>
      </c>
      <c r="F148" s="32" t="s">
        <v>2142</v>
      </c>
      <c r="G148" t="s">
        <v>1178</v>
      </c>
      <c r="H148" s="2" t="b">
        <f>AND(CONTROL[[#This Row],[IS_WAGON_OR_COACH]]=TRUE,OR(RIGHT(CONTROL[[#This Row],[VEHIDCODE]],7)="Powered",RIGHT(CONTROL[[#This Row],[VEHIDCODE]],9)="Unpowered"))</f>
        <v>0</v>
      </c>
      <c r="I1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8" t="b">
        <f>ISNUMBER(_xlfn.XMATCH(CONTROL[[#This Row],[VEHIDCODE]],TRACK_TYPES[VEHIDCODE],0))</f>
        <v>1</v>
      </c>
      <c r="K148" t="b">
        <f>ISNUMBER(_xlfn.XMATCH(CONTROL[[#This Row],[VEHIDCODE]],PROPERTIES[VEHIDCODE],0))</f>
        <v>1</v>
      </c>
      <c r="L148" t="b">
        <f>ISNUMBER(_xlfn.XLOOKUP(CONTROL[[#This Row],[VEHIDCODE]],roster!A:A,roster!D:D))</f>
        <v>1</v>
      </c>
      <c r="M148" t="b">
        <f>ISNUMBER(_xlfn.XMATCH(CONTROL[[#This Row],[VEHIDCODE]],GRAPHICS_PROPERTIES[VEHIDCODE],0))</f>
        <v>1</v>
      </c>
      <c r="N148" s="21" t="str">
        <f>"item_"&amp;CONTROL[[#This Row],[VEHIDCODE]]</f>
        <v>item_steam_Baldwin_2_8_0_Sentetsu_Sorii</v>
      </c>
      <c r="O148" s="21" t="str">
        <f>"str_"&amp;CONTROL[[#This Row],[VEHIDCODE]]</f>
        <v>str_steam_Baldwin_2_8_0_Sentetsu_Sorii</v>
      </c>
      <c r="P148" s="7" t="b">
        <f>_xlfn.XLOOKUP(CONTROL[[#This Row],[VEHIDCODE]],PROPERTIES[VEHIDCODE],PROPERTIES[IS_CONCEPT])="IS_CONCEPT"</f>
        <v>0</v>
      </c>
      <c r="Q148" s="7" t="b">
        <f>_xlfn.XLOOKUP(CONTROL[[#This Row],[VEHIDCODE]],PROPERTIES[VEHIDCODE],PROPERTIES[EXCLUDE])</f>
        <v>0</v>
      </c>
      <c r="R148" t="str" cm="1">
        <f t="array" ref="R148">_xlfn.XLOOKUP(CONTROL[[#This Row],[VEHIDCODE]],GRAPHICS_PROPERTIES[VEHIDCODE],GRAPHICS_PROPERTIES[TEMPLATE_ID]&amp;GRAPHICS_PROPERTIES[TEMPLATE_AMENDMENT_CODE])</f>
        <v>TPL_03A</v>
      </c>
    </row>
    <row r="149" spans="1:18" x14ac:dyDescent="0.35">
      <c r="A149" s="2" t="s">
        <v>2789</v>
      </c>
      <c r="B149" s="21" t="str">
        <f>_xlfn.TEXTAFTER(CONTROL[[#This Row],[VEHIDCODE]],"_")</f>
        <v>Putilov_4_6_0_U</v>
      </c>
      <c r="C149" t="str" cm="1">
        <f t="array" ref="C1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9" t="str" cm="1">
        <f t="array" ref="D1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9">
        <v>4080</v>
      </c>
      <c r="F149" s="32" t="s">
        <v>2143</v>
      </c>
      <c r="G149" t="s">
        <v>1180</v>
      </c>
      <c r="H149" s="2" t="b">
        <f>AND(CONTROL[[#This Row],[IS_WAGON_OR_COACH]]=TRUE,OR(RIGHT(CONTROL[[#This Row],[VEHIDCODE]],7)="Powered",RIGHT(CONTROL[[#This Row],[VEHIDCODE]],9)="Unpowered"))</f>
        <v>0</v>
      </c>
      <c r="I1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9" t="b">
        <f>ISNUMBER(_xlfn.XMATCH(CONTROL[[#This Row],[VEHIDCODE]],TRACK_TYPES[VEHIDCODE],0))</f>
        <v>1</v>
      </c>
      <c r="K149" t="b">
        <f>ISNUMBER(_xlfn.XMATCH(CONTROL[[#This Row],[VEHIDCODE]],PROPERTIES[VEHIDCODE],0))</f>
        <v>1</v>
      </c>
      <c r="L149" t="b">
        <f>ISNUMBER(_xlfn.XLOOKUP(CONTROL[[#This Row],[VEHIDCODE]],roster!A:A,roster!D:D))</f>
        <v>1</v>
      </c>
      <c r="M149" t="b">
        <f>ISNUMBER(_xlfn.XMATCH(CONTROL[[#This Row],[VEHIDCODE]],GRAPHICS_PROPERTIES[VEHIDCODE],0))</f>
        <v>1</v>
      </c>
      <c r="N149" s="21" t="str">
        <f>"item_"&amp;CONTROL[[#This Row],[VEHIDCODE]]</f>
        <v>item_steam_Putilov_4_6_0_U</v>
      </c>
      <c r="O149" s="21" t="str">
        <f>"str_"&amp;CONTROL[[#This Row],[VEHIDCODE]]</f>
        <v>str_steam_Putilov_4_6_0_U</v>
      </c>
      <c r="P149" s="7" t="b">
        <f>_xlfn.XLOOKUP(CONTROL[[#This Row],[VEHIDCODE]],PROPERTIES[VEHIDCODE],PROPERTIES[IS_CONCEPT])="IS_CONCEPT"</f>
        <v>0</v>
      </c>
      <c r="Q149" s="7" t="b">
        <f>_xlfn.XLOOKUP(CONTROL[[#This Row],[VEHIDCODE]],PROPERTIES[VEHIDCODE],PROPERTIES[EXCLUDE])</f>
        <v>0</v>
      </c>
      <c r="R149" t="str" cm="1">
        <f t="array" ref="R149">_xlfn.XLOOKUP(CONTROL[[#This Row],[VEHIDCODE]],GRAPHICS_PROPERTIES[VEHIDCODE],GRAPHICS_PROPERTIES[TEMPLATE_ID]&amp;GRAPHICS_PROPERTIES[TEMPLATE_AMENDMENT_CODE])</f>
        <v>TPL_03A</v>
      </c>
    </row>
    <row r="150" spans="1:18" x14ac:dyDescent="0.35">
      <c r="A150" s="2" t="s">
        <v>2790</v>
      </c>
      <c r="B150" s="21" t="str">
        <f>_xlfn.TEXTAFTER(CONTROL[[#This Row],[VEHIDCODE]],"_")</f>
        <v>Baldwin_12_44_F_2_10_0_Ye</v>
      </c>
      <c r="C150" t="str" cm="1">
        <f t="array" ref="C1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0" t="str" cm="1">
        <f t="array" ref="D1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0">
        <v>4085</v>
      </c>
      <c r="F150" s="32" t="s">
        <v>2144</v>
      </c>
      <c r="G150" t="s">
        <v>1179</v>
      </c>
      <c r="H150" s="2" t="b">
        <f>AND(CONTROL[[#This Row],[IS_WAGON_OR_COACH]]=TRUE,OR(RIGHT(CONTROL[[#This Row],[VEHIDCODE]],7)="Powered",RIGHT(CONTROL[[#This Row],[VEHIDCODE]],9)="Unpowered"))</f>
        <v>0</v>
      </c>
      <c r="I1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0" t="b">
        <f>ISNUMBER(_xlfn.XMATCH(CONTROL[[#This Row],[VEHIDCODE]],TRACK_TYPES[VEHIDCODE],0))</f>
        <v>1</v>
      </c>
      <c r="K150" t="b">
        <f>ISNUMBER(_xlfn.XMATCH(CONTROL[[#This Row],[VEHIDCODE]],PROPERTIES[VEHIDCODE],0))</f>
        <v>1</v>
      </c>
      <c r="L150" t="b">
        <f>ISNUMBER(_xlfn.XLOOKUP(CONTROL[[#This Row],[VEHIDCODE]],roster!A:A,roster!D:D))</f>
        <v>1</v>
      </c>
      <c r="M150" t="b">
        <f>ISNUMBER(_xlfn.XMATCH(CONTROL[[#This Row],[VEHIDCODE]],GRAPHICS_PROPERTIES[VEHIDCODE],0))</f>
        <v>1</v>
      </c>
      <c r="N150" s="21" t="str">
        <f>"item_"&amp;CONTROL[[#This Row],[VEHIDCODE]]</f>
        <v>item_steam_Baldwin_12_44_F_2_10_0_Ye</v>
      </c>
      <c r="O150" s="21" t="str">
        <f>"str_"&amp;CONTROL[[#This Row],[VEHIDCODE]]</f>
        <v>str_steam_Baldwin_12_44_F_2_10_0_Ye</v>
      </c>
      <c r="P150" s="7" t="b">
        <f>_xlfn.XLOOKUP(CONTROL[[#This Row],[VEHIDCODE]],PROPERTIES[VEHIDCODE],PROPERTIES[IS_CONCEPT])="IS_CONCEPT"</f>
        <v>0</v>
      </c>
      <c r="Q150" s="7" t="b">
        <f>_xlfn.XLOOKUP(CONTROL[[#This Row],[VEHIDCODE]],PROPERTIES[VEHIDCODE],PROPERTIES[EXCLUDE])</f>
        <v>0</v>
      </c>
      <c r="R150" t="str" cm="1">
        <f t="array" ref="R150">_xlfn.XLOOKUP(CONTROL[[#This Row],[VEHIDCODE]],GRAPHICS_PROPERTIES[VEHIDCODE],GRAPHICS_PROPERTIES[TEMPLATE_ID]&amp;GRAPHICS_PROPERTIES[TEMPLATE_AMENDMENT_CODE])</f>
        <v>TPL_03A</v>
      </c>
    </row>
    <row r="151" spans="1:18" x14ac:dyDescent="0.35">
      <c r="A151" s="2" t="s">
        <v>2791</v>
      </c>
      <c r="B151" s="21" t="str">
        <f>_xlfn.TEXTAFTER(CONTROL[[#This Row],[VEHIDCODE]],"_")</f>
        <v>Baldwin_4_6_0_50201</v>
      </c>
      <c r="C151" t="str" cm="1">
        <f t="array" ref="C1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1" t="str" cm="1">
        <f t="array" ref="D1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1">
        <v>4087</v>
      </c>
      <c r="F151" s="32" t="s">
        <v>2145</v>
      </c>
      <c r="G151" t="s">
        <v>1181</v>
      </c>
      <c r="H151" s="2" t="b">
        <f>AND(CONTROL[[#This Row],[IS_WAGON_OR_COACH]]=TRUE,OR(RIGHT(CONTROL[[#This Row],[VEHIDCODE]],7)="Powered",RIGHT(CONTROL[[#This Row],[VEHIDCODE]],9)="Unpowered"))</f>
        <v>0</v>
      </c>
      <c r="I1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1" t="b">
        <f>ISNUMBER(_xlfn.XMATCH(CONTROL[[#This Row],[VEHIDCODE]],TRACK_TYPES[VEHIDCODE],0))</f>
        <v>1</v>
      </c>
      <c r="K151" t="b">
        <f>ISNUMBER(_xlfn.XMATCH(CONTROL[[#This Row],[VEHIDCODE]],PROPERTIES[VEHIDCODE],0))</f>
        <v>1</v>
      </c>
      <c r="L151" t="b">
        <f>ISNUMBER(_xlfn.XLOOKUP(CONTROL[[#This Row],[VEHIDCODE]],roster!A:A,roster!D:D))</f>
        <v>1</v>
      </c>
      <c r="M151" t="b">
        <f>ISNUMBER(_xlfn.XMATCH(CONTROL[[#This Row],[VEHIDCODE]],GRAPHICS_PROPERTIES[VEHIDCODE],0))</f>
        <v>1</v>
      </c>
      <c r="N151" s="21" t="str">
        <f>"item_"&amp;CONTROL[[#This Row],[VEHIDCODE]]</f>
        <v>item_steam_Baldwin_4_6_0_50201</v>
      </c>
      <c r="O151" s="21" t="str">
        <f>"str_"&amp;CONTROL[[#This Row],[VEHIDCODE]]</f>
        <v>str_steam_Baldwin_4_6_0_50201</v>
      </c>
      <c r="P151" s="7" t="b">
        <f>_xlfn.XLOOKUP(CONTROL[[#This Row],[VEHIDCODE]],PROPERTIES[VEHIDCODE],PROPERTIES[IS_CONCEPT])="IS_CONCEPT"</f>
        <v>0</v>
      </c>
      <c r="Q151" s="7" t="b">
        <f>_xlfn.XLOOKUP(CONTROL[[#This Row],[VEHIDCODE]],PROPERTIES[VEHIDCODE],PROPERTIES[EXCLUDE])</f>
        <v>0</v>
      </c>
      <c r="R151" t="str" cm="1">
        <f t="array" ref="R151">_xlfn.XLOOKUP(CONTROL[[#This Row],[VEHIDCODE]],GRAPHICS_PROPERTIES[VEHIDCODE],GRAPHICS_PROPERTIES[TEMPLATE_ID]&amp;GRAPHICS_PROPERTIES[TEMPLATE_AMENDMENT_CODE])</f>
        <v>TPL_03A</v>
      </c>
    </row>
    <row r="152" spans="1:18" x14ac:dyDescent="0.35">
      <c r="A152" s="2" t="s">
        <v>2792</v>
      </c>
      <c r="B152" s="21" t="str">
        <f>_xlfn.TEXTAFTER(CONTROL[[#This Row],[VEHIDCODE]],"_")</f>
        <v>FS_480</v>
      </c>
      <c r="C152" t="str" cm="1">
        <f t="array" ref="C1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2" t="str" cm="1">
        <f t="array" ref="D1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2">
        <v>4089</v>
      </c>
      <c r="F152" s="32" t="s">
        <v>368</v>
      </c>
      <c r="G152" t="s">
        <v>1182</v>
      </c>
      <c r="H152" s="2" t="b">
        <f>AND(CONTROL[[#This Row],[IS_WAGON_OR_COACH]]=TRUE,OR(RIGHT(CONTROL[[#This Row],[VEHIDCODE]],7)="Powered",RIGHT(CONTROL[[#This Row],[VEHIDCODE]],9)="Unpowered"))</f>
        <v>0</v>
      </c>
      <c r="I1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2" t="b">
        <f>ISNUMBER(_xlfn.XMATCH(CONTROL[[#This Row],[VEHIDCODE]],TRACK_TYPES[VEHIDCODE],0))</f>
        <v>1</v>
      </c>
      <c r="K152" t="b">
        <f>ISNUMBER(_xlfn.XMATCH(CONTROL[[#This Row],[VEHIDCODE]],PROPERTIES[VEHIDCODE],0))</f>
        <v>1</v>
      </c>
      <c r="L152" t="b">
        <f>ISNUMBER(_xlfn.XLOOKUP(CONTROL[[#This Row],[VEHIDCODE]],roster!A:A,roster!D:D))</f>
        <v>1</v>
      </c>
      <c r="M152" t="b">
        <f>ISNUMBER(_xlfn.XMATCH(CONTROL[[#This Row],[VEHIDCODE]],GRAPHICS_PROPERTIES[VEHIDCODE],0))</f>
        <v>1</v>
      </c>
      <c r="N152" s="21" t="str">
        <f>"item_"&amp;CONTROL[[#This Row],[VEHIDCODE]]</f>
        <v>item_steam_FS_480</v>
      </c>
      <c r="O152" s="21" t="str">
        <f>"str_"&amp;CONTROL[[#This Row],[VEHIDCODE]]</f>
        <v>str_steam_FS_480</v>
      </c>
      <c r="P152" s="7" t="b">
        <f>_xlfn.XLOOKUP(CONTROL[[#This Row],[VEHIDCODE]],PROPERTIES[VEHIDCODE],PROPERTIES[IS_CONCEPT])="IS_CONCEPT"</f>
        <v>0</v>
      </c>
      <c r="Q152" s="7" t="b">
        <f>_xlfn.XLOOKUP(CONTROL[[#This Row],[VEHIDCODE]],PROPERTIES[VEHIDCODE],PROPERTIES[EXCLUDE])</f>
        <v>0</v>
      </c>
      <c r="R152" t="str" cm="1">
        <f t="array" ref="R152">_xlfn.XLOOKUP(CONTROL[[#This Row],[VEHIDCODE]],GRAPHICS_PROPERTIES[VEHIDCODE],GRAPHICS_PROPERTIES[TEMPLATE_ID]&amp;GRAPHICS_PROPERTIES[TEMPLATE_AMENDMENT_CODE])</f>
        <v>TPL_03A</v>
      </c>
    </row>
    <row r="153" spans="1:18" x14ac:dyDescent="0.35">
      <c r="A153" s="2" t="s">
        <v>2793</v>
      </c>
      <c r="B153" s="21" t="str">
        <f>_xlfn.TEXTAFTER(CONTROL[[#This Row],[VEHIDCODE]],"_")</f>
        <v>FS_691</v>
      </c>
      <c r="C153" t="str" cm="1">
        <f t="array" ref="C1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3" t="str" cm="1">
        <f t="array" ref="D1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3">
        <v>4094</v>
      </c>
      <c r="F153" s="32" t="s">
        <v>369</v>
      </c>
      <c r="G153" t="s">
        <v>1183</v>
      </c>
      <c r="H153" s="2" t="b">
        <f>AND(CONTROL[[#This Row],[IS_WAGON_OR_COACH]]=TRUE,OR(RIGHT(CONTROL[[#This Row],[VEHIDCODE]],7)="Powered",RIGHT(CONTROL[[#This Row],[VEHIDCODE]],9)="Unpowered"))</f>
        <v>0</v>
      </c>
      <c r="I1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3" t="b">
        <f>ISNUMBER(_xlfn.XMATCH(CONTROL[[#This Row],[VEHIDCODE]],TRACK_TYPES[VEHIDCODE],0))</f>
        <v>1</v>
      </c>
      <c r="K153" t="b">
        <f>ISNUMBER(_xlfn.XMATCH(CONTROL[[#This Row],[VEHIDCODE]],PROPERTIES[VEHIDCODE],0))</f>
        <v>1</v>
      </c>
      <c r="L153" t="b">
        <f>ISNUMBER(_xlfn.XLOOKUP(CONTROL[[#This Row],[VEHIDCODE]],roster!A:A,roster!D:D))</f>
        <v>1</v>
      </c>
      <c r="M153" t="b">
        <f>ISNUMBER(_xlfn.XMATCH(CONTROL[[#This Row],[VEHIDCODE]],GRAPHICS_PROPERTIES[VEHIDCODE],0))</f>
        <v>1</v>
      </c>
      <c r="N153" s="21" t="str">
        <f>"item_"&amp;CONTROL[[#This Row],[VEHIDCODE]]</f>
        <v>item_steam_FS_691</v>
      </c>
      <c r="O153" s="21" t="str">
        <f>"str_"&amp;CONTROL[[#This Row],[VEHIDCODE]]</f>
        <v>str_steam_FS_691</v>
      </c>
      <c r="P153" s="7" t="b">
        <f>_xlfn.XLOOKUP(CONTROL[[#This Row],[VEHIDCODE]],PROPERTIES[VEHIDCODE],PROPERTIES[IS_CONCEPT])="IS_CONCEPT"</f>
        <v>0</v>
      </c>
      <c r="Q153" s="7" t="b">
        <f>_xlfn.XLOOKUP(CONTROL[[#This Row],[VEHIDCODE]],PROPERTIES[VEHIDCODE],PROPERTIES[EXCLUDE])</f>
        <v>0</v>
      </c>
      <c r="R153" t="str" cm="1">
        <f t="array" ref="R153">_xlfn.XLOOKUP(CONTROL[[#This Row],[VEHIDCODE]],GRAPHICS_PROPERTIES[VEHIDCODE],GRAPHICS_PROPERTIES[TEMPLATE_ID]&amp;GRAPHICS_PROPERTIES[TEMPLATE_AMENDMENT_CODE])</f>
        <v>TPL_03A</v>
      </c>
    </row>
    <row r="154" spans="1:18" x14ac:dyDescent="0.35">
      <c r="A154" s="2" t="s">
        <v>2794</v>
      </c>
      <c r="B154" s="21" t="str">
        <f>_xlfn.TEXTAFTER(CONTROL[[#This Row],[VEHIDCODE]],"_")</f>
        <v>North_British_Lb_2_10_0</v>
      </c>
      <c r="C154" t="str" cm="1">
        <f t="array" ref="C1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4" t="str" cm="1">
        <f t="array" ref="D1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4">
        <v>4100</v>
      </c>
      <c r="F154" s="32" t="s">
        <v>2146</v>
      </c>
      <c r="G154" t="s">
        <v>1184</v>
      </c>
      <c r="H154" s="2" t="b">
        <f>AND(CONTROL[[#This Row],[IS_WAGON_OR_COACH]]=TRUE,OR(RIGHT(CONTROL[[#This Row],[VEHIDCODE]],7)="Powered",RIGHT(CONTROL[[#This Row],[VEHIDCODE]],9)="Unpowered"))</f>
        <v>0</v>
      </c>
      <c r="I1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4" t="b">
        <f>ISNUMBER(_xlfn.XMATCH(CONTROL[[#This Row],[VEHIDCODE]],TRACK_TYPES[VEHIDCODE],0))</f>
        <v>1</v>
      </c>
      <c r="K154" t="b">
        <f>ISNUMBER(_xlfn.XMATCH(CONTROL[[#This Row],[VEHIDCODE]],PROPERTIES[VEHIDCODE],0))</f>
        <v>1</v>
      </c>
      <c r="L154" t="b">
        <f>ISNUMBER(_xlfn.XLOOKUP(CONTROL[[#This Row],[VEHIDCODE]],roster!A:A,roster!D:D))</f>
        <v>1</v>
      </c>
      <c r="M154" t="b">
        <f>ISNUMBER(_xlfn.XMATCH(CONTROL[[#This Row],[VEHIDCODE]],GRAPHICS_PROPERTIES[VEHIDCODE],0))</f>
        <v>1</v>
      </c>
      <c r="N154" s="21" t="str">
        <f>"item_"&amp;CONTROL[[#This Row],[VEHIDCODE]]</f>
        <v>item_steam_North_British_Lb_2_10_0</v>
      </c>
      <c r="O154" s="21" t="str">
        <f>"str_"&amp;CONTROL[[#This Row],[VEHIDCODE]]</f>
        <v>str_steam_North_British_Lb_2_10_0</v>
      </c>
      <c r="P154" s="7" t="b">
        <f>_xlfn.XLOOKUP(CONTROL[[#This Row],[VEHIDCODE]],PROPERTIES[VEHIDCODE],PROPERTIES[IS_CONCEPT])="IS_CONCEPT"</f>
        <v>0</v>
      </c>
      <c r="Q154" s="7" t="b">
        <f>_xlfn.XLOOKUP(CONTROL[[#This Row],[VEHIDCODE]],PROPERTIES[VEHIDCODE],PROPERTIES[EXCLUDE])</f>
        <v>0</v>
      </c>
      <c r="R154" t="str" cm="1">
        <f t="array" ref="R154">_xlfn.XLOOKUP(CONTROL[[#This Row],[VEHIDCODE]],GRAPHICS_PROPERTIES[VEHIDCODE],GRAPHICS_PROPERTIES[TEMPLATE_ID]&amp;GRAPHICS_PROPERTIES[TEMPLATE_AMENDMENT_CODE])</f>
        <v>TPL_03A</v>
      </c>
    </row>
    <row r="155" spans="1:18" x14ac:dyDescent="0.35">
      <c r="A155" s="2" t="s">
        <v>2795</v>
      </c>
      <c r="B155" s="21" t="str">
        <f>_xlfn.TEXTAFTER(CONTROL[[#This Row],[VEHIDCODE]],"_")</f>
        <v>ALCO_Baldwin_2_8_0_USATC_S160</v>
      </c>
      <c r="C155" t="str" cm="1">
        <f t="array" ref="C1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5" t="str" cm="1">
        <f t="array" ref="D1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5">
        <v>4103</v>
      </c>
      <c r="F155" s="32" t="s">
        <v>2147</v>
      </c>
      <c r="G155" t="s">
        <v>1185</v>
      </c>
      <c r="H155" s="2" t="b">
        <f>AND(CONTROL[[#This Row],[IS_WAGON_OR_COACH]]=TRUE,OR(RIGHT(CONTROL[[#This Row],[VEHIDCODE]],7)="Powered",RIGHT(CONTROL[[#This Row],[VEHIDCODE]],9)="Unpowered"))</f>
        <v>0</v>
      </c>
      <c r="I1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5" t="b">
        <f>ISNUMBER(_xlfn.XMATCH(CONTROL[[#This Row],[VEHIDCODE]],TRACK_TYPES[VEHIDCODE],0))</f>
        <v>1</v>
      </c>
      <c r="K155" t="b">
        <f>ISNUMBER(_xlfn.XMATCH(CONTROL[[#This Row],[VEHIDCODE]],PROPERTIES[VEHIDCODE],0))</f>
        <v>1</v>
      </c>
      <c r="L155" t="b">
        <f>ISNUMBER(_xlfn.XLOOKUP(CONTROL[[#This Row],[VEHIDCODE]],roster!A:A,roster!D:D))</f>
        <v>1</v>
      </c>
      <c r="M155" t="b">
        <f>ISNUMBER(_xlfn.XMATCH(CONTROL[[#This Row],[VEHIDCODE]],GRAPHICS_PROPERTIES[VEHIDCODE],0))</f>
        <v>1</v>
      </c>
      <c r="N155" s="21" t="str">
        <f>"item_"&amp;CONTROL[[#This Row],[VEHIDCODE]]</f>
        <v>item_steam_ALCO_Baldwin_2_8_0_USATC_S160</v>
      </c>
      <c r="O155" s="21" t="str">
        <f>"str_"&amp;CONTROL[[#This Row],[VEHIDCODE]]</f>
        <v>str_steam_ALCO_Baldwin_2_8_0_USATC_S160</v>
      </c>
      <c r="P155" s="7" t="b">
        <f>_xlfn.XLOOKUP(CONTROL[[#This Row],[VEHIDCODE]],PROPERTIES[VEHIDCODE],PROPERTIES[IS_CONCEPT])="IS_CONCEPT"</f>
        <v>0</v>
      </c>
      <c r="Q155" s="7" t="b">
        <f>_xlfn.XLOOKUP(CONTROL[[#This Row],[VEHIDCODE]],PROPERTIES[VEHIDCODE],PROPERTIES[EXCLUDE])</f>
        <v>0</v>
      </c>
      <c r="R155" t="str" cm="1">
        <f t="array" ref="R155">_xlfn.XLOOKUP(CONTROL[[#This Row],[VEHIDCODE]],GRAPHICS_PROPERTIES[VEHIDCODE],GRAPHICS_PROPERTIES[TEMPLATE_ID]&amp;GRAPHICS_PROPERTIES[TEMPLATE_AMENDMENT_CODE])</f>
        <v>TPL_03C</v>
      </c>
    </row>
    <row r="156" spans="1:18" x14ac:dyDescent="0.35">
      <c r="A156" s="2" t="s">
        <v>3474</v>
      </c>
      <c r="B156" s="21" t="str">
        <f>_xlfn.TEXTAFTER(CONTROL[[#This Row],[VEHIDCODE]],"_")</f>
        <v>RENFE_4_8_4_242F_Confederacion</v>
      </c>
      <c r="C156" t="str" cm="1">
        <f t="array" ref="C1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6" t="str" cm="1">
        <f t="array" ref="D1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6">
        <v>4108</v>
      </c>
      <c r="F156" s="32" t="s">
        <v>3475</v>
      </c>
      <c r="G156" t="s">
        <v>1186</v>
      </c>
      <c r="H156" s="2" t="b">
        <f>AND(CONTROL[[#This Row],[IS_WAGON_OR_COACH]]=TRUE,OR(RIGHT(CONTROL[[#This Row],[VEHIDCODE]],7)="Powered",RIGHT(CONTROL[[#This Row],[VEHIDCODE]],9)="Unpowered"))</f>
        <v>0</v>
      </c>
      <c r="I1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6" t="b">
        <f>ISNUMBER(_xlfn.XMATCH(CONTROL[[#This Row],[VEHIDCODE]],TRACK_TYPES[VEHIDCODE],0))</f>
        <v>1</v>
      </c>
      <c r="K156" t="b">
        <f>ISNUMBER(_xlfn.XMATCH(CONTROL[[#This Row],[VEHIDCODE]],PROPERTIES[VEHIDCODE],0))</f>
        <v>1</v>
      </c>
      <c r="L156" t="b">
        <f>ISNUMBER(_xlfn.XLOOKUP(CONTROL[[#This Row],[VEHIDCODE]],roster!A:A,roster!D:D))</f>
        <v>1</v>
      </c>
      <c r="M156" t="b">
        <f>ISNUMBER(_xlfn.XMATCH(CONTROL[[#This Row],[VEHIDCODE]],GRAPHICS_PROPERTIES[VEHIDCODE],0))</f>
        <v>1</v>
      </c>
      <c r="N156" s="21" t="str">
        <f>"item_"&amp;CONTROL[[#This Row],[VEHIDCODE]]</f>
        <v>item_steam_RENFE_4_8_4_242F_Confederacion</v>
      </c>
      <c r="O156" s="21" t="str">
        <f>"str_"&amp;CONTROL[[#This Row],[VEHIDCODE]]</f>
        <v>str_steam_RENFE_4_8_4_242F_Confederacion</v>
      </c>
      <c r="P156" s="7" t="b">
        <f>_xlfn.XLOOKUP(CONTROL[[#This Row],[VEHIDCODE]],PROPERTIES[VEHIDCODE],PROPERTIES[IS_CONCEPT])="IS_CONCEPT"</f>
        <v>0</v>
      </c>
      <c r="Q156" s="7" t="b">
        <f>_xlfn.XLOOKUP(CONTROL[[#This Row],[VEHIDCODE]],PROPERTIES[VEHIDCODE],PROPERTIES[EXCLUDE])</f>
        <v>0</v>
      </c>
      <c r="R156" t="str" cm="1">
        <f t="array" ref="R156">_xlfn.XLOOKUP(CONTROL[[#This Row],[VEHIDCODE]],GRAPHICS_PROPERTIES[VEHIDCODE],GRAPHICS_PROPERTIES[TEMPLATE_ID]&amp;GRAPHICS_PROPERTIES[TEMPLATE_AMENDMENT_CODE])</f>
        <v>TPL_03A</v>
      </c>
    </row>
    <row r="157" spans="1:18" x14ac:dyDescent="0.35">
      <c r="A157" s="2" t="s">
        <v>2796</v>
      </c>
      <c r="B157" s="21" t="str">
        <f>_xlfn.TEXTAFTER(CONTROL[[#This Row],[VEHIDCODE]],"_")</f>
        <v>Skoda_6Lo</v>
      </c>
      <c r="C157" t="str" cm="1">
        <f t="array" ref="C1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7" t="str" cm="1">
        <f t="array" ref="D1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7">
        <v>4082</v>
      </c>
      <c r="F157" s="32" t="s">
        <v>2575</v>
      </c>
      <c r="G157" t="s">
        <v>1187</v>
      </c>
      <c r="H157" s="2" t="b">
        <f>AND(CONTROL[[#This Row],[IS_WAGON_OR_COACH]]=TRUE,OR(RIGHT(CONTROL[[#This Row],[VEHIDCODE]],7)="Powered",RIGHT(CONTROL[[#This Row],[VEHIDCODE]],9)="Unpowered"))</f>
        <v>0</v>
      </c>
      <c r="I1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7" t="b">
        <f>ISNUMBER(_xlfn.XMATCH(CONTROL[[#This Row],[VEHIDCODE]],TRACK_TYPES[VEHIDCODE],0))</f>
        <v>1</v>
      </c>
      <c r="K157" t="b">
        <f>ISNUMBER(_xlfn.XMATCH(CONTROL[[#This Row],[VEHIDCODE]],PROPERTIES[VEHIDCODE],0))</f>
        <v>1</v>
      </c>
      <c r="L157" t="b">
        <f>ISNUMBER(_xlfn.XLOOKUP(CONTROL[[#This Row],[VEHIDCODE]],roster!A:A,roster!D:D))</f>
        <v>1</v>
      </c>
      <c r="M157" t="b">
        <f>ISNUMBER(_xlfn.XMATCH(CONTROL[[#This Row],[VEHIDCODE]],GRAPHICS_PROPERTIES[VEHIDCODE],0))</f>
        <v>1</v>
      </c>
      <c r="N157" s="21" t="str">
        <f>"item_"&amp;CONTROL[[#This Row],[VEHIDCODE]]</f>
        <v>item_steam_Skoda_6Lo</v>
      </c>
      <c r="O157" s="21" t="str">
        <f>"str_"&amp;CONTROL[[#This Row],[VEHIDCODE]]</f>
        <v>str_steam_Skoda_6Lo</v>
      </c>
      <c r="P157" s="7" t="b">
        <f>_xlfn.XLOOKUP(CONTROL[[#This Row],[VEHIDCODE]],PROPERTIES[VEHIDCODE],PROPERTIES[IS_CONCEPT])="IS_CONCEPT"</f>
        <v>0</v>
      </c>
      <c r="Q157" s="7" t="b">
        <f>_xlfn.XLOOKUP(CONTROL[[#This Row],[VEHIDCODE]],PROPERTIES[VEHIDCODE],PROPERTIES[EXCLUDE])</f>
        <v>0</v>
      </c>
      <c r="R157" t="str" cm="1">
        <f t="array" ref="R157">_xlfn.XLOOKUP(CONTROL[[#This Row],[VEHIDCODE]],GRAPHICS_PROPERTIES[VEHIDCODE],GRAPHICS_PROPERTIES[TEMPLATE_ID]&amp;GRAPHICS_PROPERTIES[TEMPLATE_AMENDMENT_CODE])</f>
        <v>TPL_03A</v>
      </c>
    </row>
    <row r="158" spans="1:18" x14ac:dyDescent="0.35">
      <c r="A158" s="2" t="s">
        <v>2797</v>
      </c>
      <c r="B158" s="21" t="str">
        <f>_xlfn.TEXTAFTER(CONTROL[[#This Row],[VEHIDCODE]],"_")</f>
        <v>Hanomag_Fablok_4_6_0_Ok22</v>
      </c>
      <c r="C158" t="str" cm="1">
        <f t="array" ref="C1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8" t="str" cm="1">
        <f t="array" ref="D1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8">
        <v>4091</v>
      </c>
      <c r="F158" s="32" t="s">
        <v>2148</v>
      </c>
      <c r="G158" t="s">
        <v>1188</v>
      </c>
      <c r="H158" s="2" t="b">
        <f>AND(CONTROL[[#This Row],[IS_WAGON_OR_COACH]]=TRUE,OR(RIGHT(CONTROL[[#This Row],[VEHIDCODE]],7)="Powered",RIGHT(CONTROL[[#This Row],[VEHIDCODE]],9)="Unpowered"))</f>
        <v>0</v>
      </c>
      <c r="I1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8" t="b">
        <f>ISNUMBER(_xlfn.XMATCH(CONTROL[[#This Row],[VEHIDCODE]],TRACK_TYPES[VEHIDCODE],0))</f>
        <v>1</v>
      </c>
      <c r="K158" t="b">
        <f>ISNUMBER(_xlfn.XMATCH(CONTROL[[#This Row],[VEHIDCODE]],PROPERTIES[VEHIDCODE],0))</f>
        <v>1</v>
      </c>
      <c r="L158" t="b">
        <f>ISNUMBER(_xlfn.XLOOKUP(CONTROL[[#This Row],[VEHIDCODE]],roster!A:A,roster!D:D))</f>
        <v>1</v>
      </c>
      <c r="M158" t="b">
        <f>ISNUMBER(_xlfn.XMATCH(CONTROL[[#This Row],[VEHIDCODE]],GRAPHICS_PROPERTIES[VEHIDCODE],0))</f>
        <v>1</v>
      </c>
      <c r="N158" s="21" t="str">
        <f>"item_"&amp;CONTROL[[#This Row],[VEHIDCODE]]</f>
        <v>item_steam_Hanomag_Fablok_4_6_0_Ok22</v>
      </c>
      <c r="O158" s="21" t="str">
        <f>"str_"&amp;CONTROL[[#This Row],[VEHIDCODE]]</f>
        <v>str_steam_Hanomag_Fablok_4_6_0_Ok22</v>
      </c>
      <c r="P158" s="7" t="b">
        <f>_xlfn.XLOOKUP(CONTROL[[#This Row],[VEHIDCODE]],PROPERTIES[VEHIDCODE],PROPERTIES[IS_CONCEPT])="IS_CONCEPT"</f>
        <v>0</v>
      </c>
      <c r="Q158" s="7" t="b">
        <f>_xlfn.XLOOKUP(CONTROL[[#This Row],[VEHIDCODE]],PROPERTIES[VEHIDCODE],PROPERTIES[EXCLUDE])</f>
        <v>0</v>
      </c>
      <c r="R158" t="str" cm="1">
        <f t="array" ref="R158">_xlfn.XLOOKUP(CONTROL[[#This Row],[VEHIDCODE]],GRAPHICS_PROPERTIES[VEHIDCODE],GRAPHICS_PROPERTIES[TEMPLATE_ID]&amp;GRAPHICS_PROPERTIES[TEMPLATE_AMENDMENT_CODE])</f>
        <v>TPL_03A</v>
      </c>
    </row>
    <row r="159" spans="1:18" x14ac:dyDescent="0.35">
      <c r="A159" s="2" t="s">
        <v>2798</v>
      </c>
      <c r="B159" s="21" t="str">
        <f>_xlfn.TEXTAFTER(CONTROL[[#This Row],[VEHIDCODE]],"_")</f>
        <v>MAVAG_4_8_0_424</v>
      </c>
      <c r="C159" t="str" cm="1">
        <f t="array" ref="C1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9" t="str" cm="1">
        <f t="array" ref="D1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9">
        <v>4092</v>
      </c>
      <c r="F159" s="32" t="s">
        <v>2149</v>
      </c>
      <c r="G159" t="s">
        <v>1189</v>
      </c>
      <c r="H159" s="2" t="b">
        <f>AND(CONTROL[[#This Row],[IS_WAGON_OR_COACH]]=TRUE,OR(RIGHT(CONTROL[[#This Row],[VEHIDCODE]],7)="Powered",RIGHT(CONTROL[[#This Row],[VEHIDCODE]],9)="Unpowered"))</f>
        <v>0</v>
      </c>
      <c r="I1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9" t="b">
        <f>ISNUMBER(_xlfn.XMATCH(CONTROL[[#This Row],[VEHIDCODE]],TRACK_TYPES[VEHIDCODE],0))</f>
        <v>1</v>
      </c>
      <c r="K159" t="b">
        <f>ISNUMBER(_xlfn.XMATCH(CONTROL[[#This Row],[VEHIDCODE]],PROPERTIES[VEHIDCODE],0))</f>
        <v>1</v>
      </c>
      <c r="L159" t="b">
        <f>ISNUMBER(_xlfn.XLOOKUP(CONTROL[[#This Row],[VEHIDCODE]],roster!A:A,roster!D:D))</f>
        <v>1</v>
      </c>
      <c r="M159" t="b">
        <f>ISNUMBER(_xlfn.XMATCH(CONTROL[[#This Row],[VEHIDCODE]],GRAPHICS_PROPERTIES[VEHIDCODE],0))</f>
        <v>1</v>
      </c>
      <c r="N159" s="21" t="str">
        <f>"item_"&amp;CONTROL[[#This Row],[VEHIDCODE]]</f>
        <v>item_steam_MAVAG_4_8_0_424</v>
      </c>
      <c r="O159" s="21" t="str">
        <f>"str_"&amp;CONTROL[[#This Row],[VEHIDCODE]]</f>
        <v>str_steam_MAVAG_4_8_0_424</v>
      </c>
      <c r="P159" s="7" t="b">
        <f>_xlfn.XLOOKUP(CONTROL[[#This Row],[VEHIDCODE]],PROPERTIES[VEHIDCODE],PROPERTIES[IS_CONCEPT])="IS_CONCEPT"</f>
        <v>0</v>
      </c>
      <c r="Q159" s="7" t="b">
        <f>_xlfn.XLOOKUP(CONTROL[[#This Row],[VEHIDCODE]],PROPERTIES[VEHIDCODE],PROPERTIES[EXCLUDE])</f>
        <v>0</v>
      </c>
      <c r="R159" t="str" cm="1">
        <f t="array" ref="R159">_xlfn.XLOOKUP(CONTROL[[#This Row],[VEHIDCODE]],GRAPHICS_PROPERTIES[VEHIDCODE],GRAPHICS_PROPERTIES[TEMPLATE_ID]&amp;GRAPHICS_PROPERTIES[TEMPLATE_AMENDMENT_CODE])</f>
        <v>TPL_03A</v>
      </c>
    </row>
    <row r="160" spans="1:18" x14ac:dyDescent="0.35">
      <c r="A160" s="2" t="s">
        <v>2799</v>
      </c>
      <c r="B160" s="21" t="str">
        <f>_xlfn.TEXTAFTER(CONTROL[[#This Row],[VEHIDCODE]],"_")</f>
        <v>MAVAG_4_4_4T_242</v>
      </c>
      <c r="C160" t="str" cm="1">
        <f t="array" ref="C1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0" t="str" cm="1">
        <f t="array" ref="D1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0">
        <v>4097</v>
      </c>
      <c r="F160" s="32" t="s">
        <v>2150</v>
      </c>
      <c r="G160" t="s">
        <v>1190</v>
      </c>
      <c r="H160" s="2" t="b">
        <f>AND(CONTROL[[#This Row],[IS_WAGON_OR_COACH]]=TRUE,OR(RIGHT(CONTROL[[#This Row],[VEHIDCODE]],7)="Powered",RIGHT(CONTROL[[#This Row],[VEHIDCODE]],9)="Unpowered"))</f>
        <v>0</v>
      </c>
      <c r="I1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0" t="b">
        <f>ISNUMBER(_xlfn.XMATCH(CONTROL[[#This Row],[VEHIDCODE]],TRACK_TYPES[VEHIDCODE],0))</f>
        <v>1</v>
      </c>
      <c r="K160" t="b">
        <f>ISNUMBER(_xlfn.XMATCH(CONTROL[[#This Row],[VEHIDCODE]],PROPERTIES[VEHIDCODE],0))</f>
        <v>1</v>
      </c>
      <c r="L160" t="b">
        <f>ISNUMBER(_xlfn.XLOOKUP(CONTROL[[#This Row],[VEHIDCODE]],roster!A:A,roster!D:D))</f>
        <v>1</v>
      </c>
      <c r="M160" t="b">
        <f>ISNUMBER(_xlfn.XMATCH(CONTROL[[#This Row],[VEHIDCODE]],GRAPHICS_PROPERTIES[VEHIDCODE],0))</f>
        <v>1</v>
      </c>
      <c r="N160" s="21" t="str">
        <f>"item_"&amp;CONTROL[[#This Row],[VEHIDCODE]]</f>
        <v>item_steam_MAVAG_4_4_4T_242</v>
      </c>
      <c r="O160" s="21" t="str">
        <f>"str_"&amp;CONTROL[[#This Row],[VEHIDCODE]]</f>
        <v>str_steam_MAVAG_4_4_4T_242</v>
      </c>
      <c r="P160" s="7" t="b">
        <f>_xlfn.XLOOKUP(CONTROL[[#This Row],[VEHIDCODE]],PROPERTIES[VEHIDCODE],PROPERTIES[IS_CONCEPT])="IS_CONCEPT"</f>
        <v>0</v>
      </c>
      <c r="Q160" s="7" t="b">
        <f>_xlfn.XLOOKUP(CONTROL[[#This Row],[VEHIDCODE]],PROPERTIES[VEHIDCODE],PROPERTIES[EXCLUDE])</f>
        <v>0</v>
      </c>
      <c r="R160" t="str" cm="1">
        <f t="array" ref="R160">_xlfn.XLOOKUP(CONTROL[[#This Row],[VEHIDCODE]],GRAPHICS_PROPERTIES[VEHIDCODE],GRAPHICS_PROPERTIES[TEMPLATE_ID]&amp;GRAPHICS_PROPERTIES[TEMPLATE_AMENDMENT_CODE])</f>
        <v>TPL_03C</v>
      </c>
    </row>
    <row r="161" spans="1:18" x14ac:dyDescent="0.35">
      <c r="A161" s="2" t="s">
        <v>2800</v>
      </c>
      <c r="B161" s="21" t="str">
        <f>_xlfn.TEXTAFTER(CONTROL[[#This Row],[VEHIDCODE]],"_")</f>
        <v>Vulcan_Foundry_2_8_0_Liberation</v>
      </c>
      <c r="C161" t="str" cm="1">
        <f t="array" ref="C1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1" t="str" cm="1">
        <f t="array" ref="D1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1">
        <v>4102</v>
      </c>
      <c r="F161" s="32" t="s">
        <v>2151</v>
      </c>
      <c r="G161" t="s">
        <v>1659</v>
      </c>
      <c r="H161" s="2" t="b">
        <f>AND(CONTROL[[#This Row],[IS_WAGON_OR_COACH]]=TRUE,OR(RIGHT(CONTROL[[#This Row],[VEHIDCODE]],7)="Powered",RIGHT(CONTROL[[#This Row],[VEHIDCODE]],9)="Unpowered"))</f>
        <v>0</v>
      </c>
      <c r="I1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1" t="b">
        <f>ISNUMBER(_xlfn.XMATCH(CONTROL[[#This Row],[VEHIDCODE]],TRACK_TYPES[VEHIDCODE],0))</f>
        <v>1</v>
      </c>
      <c r="K161" t="b">
        <f>ISNUMBER(_xlfn.XMATCH(CONTROL[[#This Row],[VEHIDCODE]],PROPERTIES[VEHIDCODE],0))</f>
        <v>1</v>
      </c>
      <c r="L161" t="b">
        <f>ISNUMBER(_xlfn.XLOOKUP(CONTROL[[#This Row],[VEHIDCODE]],roster!A:A,roster!D:D))</f>
        <v>1</v>
      </c>
      <c r="M161" t="b">
        <f>ISNUMBER(_xlfn.XMATCH(CONTROL[[#This Row],[VEHIDCODE]],GRAPHICS_PROPERTIES[VEHIDCODE],0))</f>
        <v>1</v>
      </c>
      <c r="N161" s="21" t="str">
        <f>"item_"&amp;CONTROL[[#This Row],[VEHIDCODE]]</f>
        <v>item_steam_Vulcan_Foundry_2_8_0_Liberation</v>
      </c>
      <c r="O161" s="21" t="str">
        <f>"str_"&amp;CONTROL[[#This Row],[VEHIDCODE]]</f>
        <v>str_steam_Vulcan_Foundry_2_8_0_Liberation</v>
      </c>
      <c r="P161" s="7" t="b">
        <f>_xlfn.XLOOKUP(CONTROL[[#This Row],[VEHIDCODE]],PROPERTIES[VEHIDCODE],PROPERTIES[IS_CONCEPT])="IS_CONCEPT"</f>
        <v>0</v>
      </c>
      <c r="Q161" s="7" t="b">
        <f>_xlfn.XLOOKUP(CONTROL[[#This Row],[VEHIDCODE]],PROPERTIES[VEHIDCODE],PROPERTIES[EXCLUDE])</f>
        <v>0</v>
      </c>
      <c r="R161" t="str" cm="1">
        <f t="array" ref="R161">_xlfn.XLOOKUP(CONTROL[[#This Row],[VEHIDCODE]],GRAPHICS_PROPERTIES[VEHIDCODE],GRAPHICS_PROPERTIES[TEMPLATE_ID]&amp;GRAPHICS_PROPERTIES[TEMPLATE_AMENDMENT_CODE])</f>
        <v>TPL_03A</v>
      </c>
    </row>
    <row r="162" spans="1:18" x14ac:dyDescent="0.35">
      <c r="A162" s="2" t="s">
        <v>2801</v>
      </c>
      <c r="B162" s="21" t="str">
        <f>_xlfn.TEXTAFTER(CONTROL[[#This Row],[VEHIDCODE]],"_")</f>
        <v>Fablok_2_6_2_OI49</v>
      </c>
      <c r="C162" t="str" cm="1">
        <f t="array" ref="C1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2" t="str" cm="1">
        <f t="array" ref="D1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2">
        <v>4104</v>
      </c>
      <c r="F162" s="32" t="s">
        <v>2152</v>
      </c>
      <c r="G162" t="s">
        <v>1191</v>
      </c>
      <c r="H162" s="2" t="b">
        <f>AND(CONTROL[[#This Row],[IS_WAGON_OR_COACH]]=TRUE,OR(RIGHT(CONTROL[[#This Row],[VEHIDCODE]],7)="Powered",RIGHT(CONTROL[[#This Row],[VEHIDCODE]],9)="Unpowered"))</f>
        <v>0</v>
      </c>
      <c r="I1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2" t="b">
        <f>ISNUMBER(_xlfn.XMATCH(CONTROL[[#This Row],[VEHIDCODE]],TRACK_TYPES[VEHIDCODE],0))</f>
        <v>1</v>
      </c>
      <c r="K162" t="b">
        <f>ISNUMBER(_xlfn.XMATCH(CONTROL[[#This Row],[VEHIDCODE]],PROPERTIES[VEHIDCODE],0))</f>
        <v>1</v>
      </c>
      <c r="L162" t="b">
        <f>ISNUMBER(_xlfn.XLOOKUP(CONTROL[[#This Row],[VEHIDCODE]],roster!A:A,roster!D:D))</f>
        <v>1</v>
      </c>
      <c r="M162" t="b">
        <f>ISNUMBER(_xlfn.XMATCH(CONTROL[[#This Row],[VEHIDCODE]],GRAPHICS_PROPERTIES[VEHIDCODE],0))</f>
        <v>1</v>
      </c>
      <c r="N162" s="21" t="str">
        <f>"item_"&amp;CONTROL[[#This Row],[VEHIDCODE]]</f>
        <v>item_steam_Fablok_2_6_2_OI49</v>
      </c>
      <c r="O162" s="21" t="str">
        <f>"str_"&amp;CONTROL[[#This Row],[VEHIDCODE]]</f>
        <v>str_steam_Fablok_2_6_2_OI49</v>
      </c>
      <c r="P162" s="7" t="b">
        <f>_xlfn.XLOOKUP(CONTROL[[#This Row],[VEHIDCODE]],PROPERTIES[VEHIDCODE],PROPERTIES[IS_CONCEPT])="IS_CONCEPT"</f>
        <v>0</v>
      </c>
      <c r="Q162" s="7" t="b">
        <f>_xlfn.XLOOKUP(CONTROL[[#This Row],[VEHIDCODE]],PROPERTIES[VEHIDCODE],PROPERTIES[EXCLUDE])</f>
        <v>0</v>
      </c>
      <c r="R162" t="str" cm="1">
        <f t="array" ref="R162">_xlfn.XLOOKUP(CONTROL[[#This Row],[VEHIDCODE]],GRAPHICS_PROPERTIES[VEHIDCODE],GRAPHICS_PROPERTIES[TEMPLATE_ID]&amp;GRAPHICS_PROPERTIES[TEMPLATE_AMENDMENT_CODE])</f>
        <v>TPL_03A</v>
      </c>
    </row>
    <row r="163" spans="1:18" x14ac:dyDescent="0.35">
      <c r="A163" s="2" t="s">
        <v>2802</v>
      </c>
      <c r="B163" s="21" t="str">
        <f>_xlfn.TEXTAFTER(CONTROL[[#This Row],[VEHIDCODE]],"_")</f>
        <v>Floridsdorf_2_6_2_KkStB_310</v>
      </c>
      <c r="C163" t="str" cm="1">
        <f t="array" ref="C1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3" t="str" cm="1">
        <f t="array" ref="D1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3">
        <v>4084</v>
      </c>
      <c r="F163" s="32" t="s">
        <v>2153</v>
      </c>
      <c r="G163" t="s">
        <v>1192</v>
      </c>
      <c r="H163" s="2" t="b">
        <f>AND(CONTROL[[#This Row],[IS_WAGON_OR_COACH]]=TRUE,OR(RIGHT(CONTROL[[#This Row],[VEHIDCODE]],7)="Powered",RIGHT(CONTROL[[#This Row],[VEHIDCODE]],9)="Unpowered"))</f>
        <v>0</v>
      </c>
      <c r="I1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3" t="b">
        <f>ISNUMBER(_xlfn.XMATCH(CONTROL[[#This Row],[VEHIDCODE]],TRACK_TYPES[VEHIDCODE],0))</f>
        <v>1</v>
      </c>
      <c r="K163" t="b">
        <f>ISNUMBER(_xlfn.XMATCH(CONTROL[[#This Row],[VEHIDCODE]],PROPERTIES[VEHIDCODE],0))</f>
        <v>1</v>
      </c>
      <c r="L163" t="b">
        <f>ISNUMBER(_xlfn.XLOOKUP(CONTROL[[#This Row],[VEHIDCODE]],roster!A:A,roster!D:D))</f>
        <v>1</v>
      </c>
      <c r="M163" t="b">
        <f>ISNUMBER(_xlfn.XMATCH(CONTROL[[#This Row],[VEHIDCODE]],GRAPHICS_PROPERTIES[VEHIDCODE],0))</f>
        <v>1</v>
      </c>
      <c r="N163" s="21" t="str">
        <f>"item_"&amp;CONTROL[[#This Row],[VEHIDCODE]]</f>
        <v>item_steam_Floridsdorf_2_6_2_KkStB_310</v>
      </c>
      <c r="O163" s="21" t="str">
        <f>"str_"&amp;CONTROL[[#This Row],[VEHIDCODE]]</f>
        <v>str_steam_Floridsdorf_2_6_2_KkStB_310</v>
      </c>
      <c r="P163" s="7" t="b">
        <f>_xlfn.XLOOKUP(CONTROL[[#This Row],[VEHIDCODE]],PROPERTIES[VEHIDCODE],PROPERTIES[IS_CONCEPT])="IS_CONCEPT"</f>
        <v>0</v>
      </c>
      <c r="Q163" s="7" t="b">
        <f>_xlfn.XLOOKUP(CONTROL[[#This Row],[VEHIDCODE]],PROPERTIES[VEHIDCODE],PROPERTIES[EXCLUDE])</f>
        <v>0</v>
      </c>
      <c r="R163" t="str" cm="1">
        <f t="array" ref="R163">_xlfn.XLOOKUP(CONTROL[[#This Row],[VEHIDCODE]],GRAPHICS_PROPERTIES[VEHIDCODE],GRAPHICS_PROPERTIES[TEMPLATE_ID]&amp;GRAPHICS_PROPERTIES[TEMPLATE_AMENDMENT_CODE])</f>
        <v>TPL_03A</v>
      </c>
    </row>
    <row r="164" spans="1:18" x14ac:dyDescent="0.35">
      <c r="A164" s="2" t="s">
        <v>2803</v>
      </c>
      <c r="B164" s="21" t="str">
        <f>_xlfn.TEXTAFTER(CONTROL[[#This Row],[VEHIDCODE]],"_")</f>
        <v>Lima__4_8_4_7798_7817_Daylight</v>
      </c>
      <c r="C164" t="str" cm="1">
        <f t="array" ref="C1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4" t="str" cm="1">
        <f t="array" ref="D1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4">
        <v>4099</v>
      </c>
      <c r="F164" s="32" t="s">
        <v>2279</v>
      </c>
      <c r="G164" t="s">
        <v>1193</v>
      </c>
      <c r="H164" s="2" t="b">
        <f>AND(CONTROL[[#This Row],[IS_WAGON_OR_COACH]]=TRUE,OR(RIGHT(CONTROL[[#This Row],[VEHIDCODE]],7)="Powered",RIGHT(CONTROL[[#This Row],[VEHIDCODE]],9)="Unpowered"))</f>
        <v>0</v>
      </c>
      <c r="I1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4" t="b">
        <f>ISNUMBER(_xlfn.XMATCH(CONTROL[[#This Row],[VEHIDCODE]],TRACK_TYPES[VEHIDCODE],0))</f>
        <v>1</v>
      </c>
      <c r="K164" t="b">
        <f>ISNUMBER(_xlfn.XMATCH(CONTROL[[#This Row],[VEHIDCODE]],PROPERTIES[VEHIDCODE],0))</f>
        <v>1</v>
      </c>
      <c r="L164" t="b">
        <f>ISNUMBER(_xlfn.XLOOKUP(CONTROL[[#This Row],[VEHIDCODE]],roster!A:A,roster!D:D))</f>
        <v>1</v>
      </c>
      <c r="M164" t="b">
        <f>ISNUMBER(_xlfn.XMATCH(CONTROL[[#This Row],[VEHIDCODE]],GRAPHICS_PROPERTIES[VEHIDCODE],0))</f>
        <v>1</v>
      </c>
      <c r="N164" s="21" t="str">
        <f>"item_"&amp;CONTROL[[#This Row],[VEHIDCODE]]</f>
        <v>item_steam_Lima__4_8_4_7798_7817_Daylight</v>
      </c>
      <c r="O164" s="21" t="str">
        <f>"str_"&amp;CONTROL[[#This Row],[VEHIDCODE]]</f>
        <v>str_steam_Lima__4_8_4_7798_7817_Daylight</v>
      </c>
      <c r="P164" s="7" t="b">
        <f>_xlfn.XLOOKUP(CONTROL[[#This Row],[VEHIDCODE]],PROPERTIES[VEHIDCODE],PROPERTIES[IS_CONCEPT])="IS_CONCEPT"</f>
        <v>0</v>
      </c>
      <c r="Q164" s="7" t="b">
        <f>_xlfn.XLOOKUP(CONTROL[[#This Row],[VEHIDCODE]],PROPERTIES[VEHIDCODE],PROPERTIES[EXCLUDE])</f>
        <v>0</v>
      </c>
      <c r="R164" t="str" cm="1">
        <f t="array" ref="R164">_xlfn.XLOOKUP(CONTROL[[#This Row],[VEHIDCODE]],GRAPHICS_PROPERTIES[VEHIDCODE],GRAPHICS_PROPERTIES[TEMPLATE_ID]&amp;GRAPHICS_PROPERTIES[TEMPLATE_AMENDMENT_CODE])</f>
        <v>TPL_03A</v>
      </c>
    </row>
    <row r="165" spans="1:18" x14ac:dyDescent="0.35">
      <c r="A165" s="2" t="s">
        <v>2804</v>
      </c>
      <c r="B165" s="21" t="str">
        <f>_xlfn.TEXTAFTER(CONTROL[[#This Row],[VEHIDCODE]],"_")</f>
        <v>GS_WR_0_6_0_101</v>
      </c>
      <c r="C165" t="str" cm="1">
        <f t="array" ref="C1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5" t="str" cm="1">
        <f t="array" ref="D1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5">
        <v>4109</v>
      </c>
      <c r="F165" s="32" t="s">
        <v>2154</v>
      </c>
      <c r="G165" t="s">
        <v>1194</v>
      </c>
      <c r="H165" s="2" t="b">
        <f>AND(CONTROL[[#This Row],[IS_WAGON_OR_COACH]]=TRUE,OR(RIGHT(CONTROL[[#This Row],[VEHIDCODE]],7)="Powered",RIGHT(CONTROL[[#This Row],[VEHIDCODE]],9)="Unpowered"))</f>
        <v>0</v>
      </c>
      <c r="I1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5" t="b">
        <f>ISNUMBER(_xlfn.XMATCH(CONTROL[[#This Row],[VEHIDCODE]],TRACK_TYPES[VEHIDCODE],0))</f>
        <v>1</v>
      </c>
      <c r="K165" t="b">
        <f>ISNUMBER(_xlfn.XMATCH(CONTROL[[#This Row],[VEHIDCODE]],PROPERTIES[VEHIDCODE],0))</f>
        <v>1</v>
      </c>
      <c r="L165" t="b">
        <f>ISNUMBER(_xlfn.XLOOKUP(CONTROL[[#This Row],[VEHIDCODE]],roster!A:A,roster!D:D))</f>
        <v>1</v>
      </c>
      <c r="M165" t="b">
        <f>ISNUMBER(_xlfn.XMATCH(CONTROL[[#This Row],[VEHIDCODE]],GRAPHICS_PROPERTIES[VEHIDCODE],0))</f>
        <v>1</v>
      </c>
      <c r="N165" s="21" t="str">
        <f>"item_"&amp;CONTROL[[#This Row],[VEHIDCODE]]</f>
        <v>item_steam_GS_WR_0_6_0_101</v>
      </c>
      <c r="O165" s="21" t="str">
        <f>"str_"&amp;CONTROL[[#This Row],[VEHIDCODE]]</f>
        <v>str_steam_GS_WR_0_6_0_101</v>
      </c>
      <c r="P165" s="7" t="b">
        <f>_xlfn.XLOOKUP(CONTROL[[#This Row],[VEHIDCODE]],PROPERTIES[VEHIDCODE],PROPERTIES[IS_CONCEPT])="IS_CONCEPT"</f>
        <v>0</v>
      </c>
      <c r="Q165" s="7" t="b">
        <f>_xlfn.XLOOKUP(CONTROL[[#This Row],[VEHIDCODE]],PROPERTIES[VEHIDCODE],PROPERTIES[EXCLUDE])</f>
        <v>0</v>
      </c>
      <c r="R165" t="str" cm="1">
        <f t="array" ref="R165">_xlfn.XLOOKUP(CONTROL[[#This Row],[VEHIDCODE]],GRAPHICS_PROPERTIES[VEHIDCODE],GRAPHICS_PROPERTIES[TEMPLATE_ID]&amp;GRAPHICS_PROPERTIES[TEMPLATE_AMENDMENT_CODE])</f>
        <v>TPL_03A</v>
      </c>
    </row>
    <row r="166" spans="1:18" x14ac:dyDescent="0.35">
      <c r="A166" s="2" t="s">
        <v>2805</v>
      </c>
      <c r="B166" s="21" t="str">
        <f>_xlfn.TEXTAFTER(CONTROL[[#This Row],[VEHIDCODE]],"_")</f>
        <v>ALCO_2_8_2_5100_5194_Light_Mikado</v>
      </c>
      <c r="C166" t="str" cm="1">
        <f t="array" ref="C1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6" t="str" cm="1">
        <f t="array" ref="D1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6">
        <v>4110</v>
      </c>
      <c r="F166" s="32" t="s">
        <v>2280</v>
      </c>
      <c r="G166" t="s">
        <v>1195</v>
      </c>
      <c r="H166" s="2" t="b">
        <f>AND(CONTROL[[#This Row],[IS_WAGON_OR_COACH]]=TRUE,OR(RIGHT(CONTROL[[#This Row],[VEHIDCODE]],7)="Powered",RIGHT(CONTROL[[#This Row],[VEHIDCODE]],9)="Unpowered"))</f>
        <v>0</v>
      </c>
      <c r="I1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6" t="b">
        <f>ISNUMBER(_xlfn.XMATCH(CONTROL[[#This Row],[VEHIDCODE]],TRACK_TYPES[VEHIDCODE],0))</f>
        <v>1</v>
      </c>
      <c r="K166" t="b">
        <f>ISNUMBER(_xlfn.XMATCH(CONTROL[[#This Row],[VEHIDCODE]],PROPERTIES[VEHIDCODE],0))</f>
        <v>1</v>
      </c>
      <c r="L166" t="b">
        <f>ISNUMBER(_xlfn.XLOOKUP(CONTROL[[#This Row],[VEHIDCODE]],roster!A:A,roster!D:D))</f>
        <v>1</v>
      </c>
      <c r="M166" t="b">
        <f>ISNUMBER(_xlfn.XMATCH(CONTROL[[#This Row],[VEHIDCODE]],GRAPHICS_PROPERTIES[VEHIDCODE],0))</f>
        <v>1</v>
      </c>
      <c r="N166" s="21" t="str">
        <f>"item_"&amp;CONTROL[[#This Row],[VEHIDCODE]]</f>
        <v>item_steam_ALCO_2_8_2_5100_5194_Light_Mikado</v>
      </c>
      <c r="O166" s="21" t="str">
        <f>"str_"&amp;CONTROL[[#This Row],[VEHIDCODE]]</f>
        <v>str_steam_ALCO_2_8_2_5100_5194_Light_Mikado</v>
      </c>
      <c r="P166" s="7" t="b">
        <f>_xlfn.XLOOKUP(CONTROL[[#This Row],[VEHIDCODE]],PROPERTIES[VEHIDCODE],PROPERTIES[IS_CONCEPT])="IS_CONCEPT"</f>
        <v>0</v>
      </c>
      <c r="Q166" s="7" t="b">
        <f>_xlfn.XLOOKUP(CONTROL[[#This Row],[VEHIDCODE]],PROPERTIES[VEHIDCODE],PROPERTIES[EXCLUDE])</f>
        <v>0</v>
      </c>
      <c r="R166" t="str" cm="1">
        <f t="array" ref="R166">_xlfn.XLOOKUP(CONTROL[[#This Row],[VEHIDCODE]],GRAPHICS_PROPERTIES[VEHIDCODE],GRAPHICS_PROPERTIES[TEMPLATE_ID]&amp;GRAPHICS_PROPERTIES[TEMPLATE_AMENDMENT_CODE])</f>
        <v>TPL_03A</v>
      </c>
    </row>
    <row r="167" spans="1:18" x14ac:dyDescent="0.35">
      <c r="A167" s="2" t="s">
        <v>2806</v>
      </c>
      <c r="B167" s="21" t="str">
        <f>_xlfn.TEXTAFTER(CONTROL[[#This Row],[VEHIDCODE]],"_")</f>
        <v>FCGR__BAGS__No__315_2_4_0T</v>
      </c>
      <c r="C167" t="str" cm="1">
        <f t="array" ref="C1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7" t="str" cm="1">
        <f t="array" ref="D1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7">
        <v>4112</v>
      </c>
      <c r="F167" s="32" t="s">
        <v>1700</v>
      </c>
      <c r="G167" t="s">
        <v>1196</v>
      </c>
      <c r="H167" s="2" t="b">
        <f>AND(CONTROL[[#This Row],[IS_WAGON_OR_COACH]]=TRUE,OR(RIGHT(CONTROL[[#This Row],[VEHIDCODE]],7)="Powered",RIGHT(CONTROL[[#This Row],[VEHIDCODE]],9)="Unpowered"))</f>
        <v>0</v>
      </c>
      <c r="I1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7" t="b">
        <f>ISNUMBER(_xlfn.XMATCH(CONTROL[[#This Row],[VEHIDCODE]],TRACK_TYPES[VEHIDCODE],0))</f>
        <v>1</v>
      </c>
      <c r="K167" t="b">
        <f>ISNUMBER(_xlfn.XMATCH(CONTROL[[#This Row],[VEHIDCODE]],PROPERTIES[VEHIDCODE],0))</f>
        <v>1</v>
      </c>
      <c r="L167" t="b">
        <f>ISNUMBER(_xlfn.XLOOKUP(CONTROL[[#This Row],[VEHIDCODE]],roster!A:A,roster!D:D))</f>
        <v>1</v>
      </c>
      <c r="M167" t="b">
        <f>ISNUMBER(_xlfn.XMATCH(CONTROL[[#This Row],[VEHIDCODE]],GRAPHICS_PROPERTIES[VEHIDCODE],0))</f>
        <v>1</v>
      </c>
      <c r="N167" s="21" t="str">
        <f>"item_"&amp;CONTROL[[#This Row],[VEHIDCODE]]</f>
        <v>item_steam_FCGR__BAGS__No__315_2_4_0T</v>
      </c>
      <c r="O167" s="21" t="str">
        <f>"str_"&amp;CONTROL[[#This Row],[VEHIDCODE]]</f>
        <v>str_steam_FCGR__BAGS__No__315_2_4_0T</v>
      </c>
      <c r="P167" s="7" t="b">
        <f>_xlfn.XLOOKUP(CONTROL[[#This Row],[VEHIDCODE]],PROPERTIES[VEHIDCODE],PROPERTIES[IS_CONCEPT])="IS_CONCEPT"</f>
        <v>0</v>
      </c>
      <c r="Q167" s="7" t="b">
        <f>_xlfn.XLOOKUP(CONTROL[[#This Row],[VEHIDCODE]],PROPERTIES[VEHIDCODE],PROPERTIES[EXCLUDE])</f>
        <v>0</v>
      </c>
      <c r="R167" t="str" cm="1">
        <f t="array" ref="R167">_xlfn.XLOOKUP(CONTROL[[#This Row],[VEHIDCODE]],GRAPHICS_PROPERTIES[VEHIDCODE],GRAPHICS_PROPERTIES[TEMPLATE_ID]&amp;GRAPHICS_PROPERTIES[TEMPLATE_AMENDMENT_CODE])</f>
        <v>TPL_03C</v>
      </c>
    </row>
    <row r="168" spans="1:18" x14ac:dyDescent="0.35">
      <c r="A168" s="2" t="s">
        <v>2807</v>
      </c>
      <c r="B168" s="21" t="str">
        <f>_xlfn.TEXTAFTER(CONTROL[[#This Row],[VEHIDCODE]],"_")</f>
        <v>Eveleigh_4_6_0_C35</v>
      </c>
      <c r="C168" t="str" cm="1">
        <f t="array" ref="C1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8" t="str" cm="1">
        <f t="array" ref="D1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8">
        <v>4113</v>
      </c>
      <c r="F168" s="32" t="s">
        <v>2155</v>
      </c>
      <c r="G168" t="s">
        <v>1197</v>
      </c>
      <c r="H168" s="2" t="b">
        <f>AND(CONTROL[[#This Row],[IS_WAGON_OR_COACH]]=TRUE,OR(RIGHT(CONTROL[[#This Row],[VEHIDCODE]],7)="Powered",RIGHT(CONTROL[[#This Row],[VEHIDCODE]],9)="Unpowered"))</f>
        <v>0</v>
      </c>
      <c r="I1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8" t="b">
        <f>ISNUMBER(_xlfn.XMATCH(CONTROL[[#This Row],[VEHIDCODE]],TRACK_TYPES[VEHIDCODE],0))</f>
        <v>1</v>
      </c>
      <c r="K168" t="b">
        <f>ISNUMBER(_xlfn.XMATCH(CONTROL[[#This Row],[VEHIDCODE]],PROPERTIES[VEHIDCODE],0))</f>
        <v>1</v>
      </c>
      <c r="L168" t="b">
        <f>ISNUMBER(_xlfn.XLOOKUP(CONTROL[[#This Row],[VEHIDCODE]],roster!A:A,roster!D:D))</f>
        <v>1</v>
      </c>
      <c r="M168" t="b">
        <f>ISNUMBER(_xlfn.XMATCH(CONTROL[[#This Row],[VEHIDCODE]],GRAPHICS_PROPERTIES[VEHIDCODE],0))</f>
        <v>1</v>
      </c>
      <c r="N168" s="21" t="str">
        <f>"item_"&amp;CONTROL[[#This Row],[VEHIDCODE]]</f>
        <v>item_steam_Eveleigh_4_6_0_C35</v>
      </c>
      <c r="O168" s="21" t="str">
        <f>"str_"&amp;CONTROL[[#This Row],[VEHIDCODE]]</f>
        <v>str_steam_Eveleigh_4_6_0_C35</v>
      </c>
      <c r="P168" s="7" t="b">
        <f>_xlfn.XLOOKUP(CONTROL[[#This Row],[VEHIDCODE]],PROPERTIES[VEHIDCODE],PROPERTIES[IS_CONCEPT])="IS_CONCEPT"</f>
        <v>0</v>
      </c>
      <c r="Q168" s="7" t="b">
        <f>_xlfn.XLOOKUP(CONTROL[[#This Row],[VEHIDCODE]],PROPERTIES[VEHIDCODE],PROPERTIES[EXCLUDE])</f>
        <v>0</v>
      </c>
      <c r="R168" t="str" cm="1">
        <f t="array" ref="R168">_xlfn.XLOOKUP(CONTROL[[#This Row],[VEHIDCODE]],GRAPHICS_PROPERTIES[VEHIDCODE],GRAPHICS_PROPERTIES[TEMPLATE_ID]&amp;GRAPHICS_PROPERTIES[TEMPLATE_AMENDMENT_CODE])</f>
        <v>TPL_03A</v>
      </c>
    </row>
    <row r="169" spans="1:18" x14ac:dyDescent="0.35">
      <c r="A169" s="2" t="s">
        <v>2808</v>
      </c>
      <c r="B169" s="21" t="str">
        <f>_xlfn.TEXTAFTER(CONTROL[[#This Row],[VEHIDCODE]],"_")</f>
        <v>ALCO_2_8_0_74707_74785_Type_29</v>
      </c>
      <c r="C169" t="str" cm="1">
        <f t="array" ref="C1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9" t="str" cm="1">
        <f t="array" ref="D1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9">
        <v>4114</v>
      </c>
      <c r="F169" s="32" t="s">
        <v>2281</v>
      </c>
      <c r="G169" t="s">
        <v>1198</v>
      </c>
      <c r="H169" s="2" t="b">
        <f>AND(CONTROL[[#This Row],[IS_WAGON_OR_COACH]]=TRUE,OR(RIGHT(CONTROL[[#This Row],[VEHIDCODE]],7)="Powered",RIGHT(CONTROL[[#This Row],[VEHIDCODE]],9)="Unpowered"))</f>
        <v>0</v>
      </c>
      <c r="I1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9" t="b">
        <f>ISNUMBER(_xlfn.XMATCH(CONTROL[[#This Row],[VEHIDCODE]],TRACK_TYPES[VEHIDCODE],0))</f>
        <v>1</v>
      </c>
      <c r="K169" t="b">
        <f>ISNUMBER(_xlfn.XMATCH(CONTROL[[#This Row],[VEHIDCODE]],PROPERTIES[VEHIDCODE],0))</f>
        <v>1</v>
      </c>
      <c r="L169" t="b">
        <f>ISNUMBER(_xlfn.XLOOKUP(CONTROL[[#This Row],[VEHIDCODE]],roster!A:A,roster!D:D))</f>
        <v>1</v>
      </c>
      <c r="M169" t="b">
        <f>ISNUMBER(_xlfn.XMATCH(CONTROL[[#This Row],[VEHIDCODE]],GRAPHICS_PROPERTIES[VEHIDCODE],0))</f>
        <v>1</v>
      </c>
      <c r="N169" s="21" t="str">
        <f>"item_"&amp;CONTROL[[#This Row],[VEHIDCODE]]</f>
        <v>item_steam_ALCO_2_8_0_74707_74785_Type_29</v>
      </c>
      <c r="O169" s="21" t="str">
        <f>"str_"&amp;CONTROL[[#This Row],[VEHIDCODE]]</f>
        <v>str_steam_ALCO_2_8_0_74707_74785_Type_29</v>
      </c>
      <c r="P169" s="7" t="b">
        <f>_xlfn.XLOOKUP(CONTROL[[#This Row],[VEHIDCODE]],PROPERTIES[VEHIDCODE],PROPERTIES[IS_CONCEPT])="IS_CONCEPT"</f>
        <v>0</v>
      </c>
      <c r="Q169" s="7" t="b">
        <f>_xlfn.XLOOKUP(CONTROL[[#This Row],[VEHIDCODE]],PROPERTIES[VEHIDCODE],PROPERTIES[EXCLUDE])</f>
        <v>0</v>
      </c>
      <c r="R169" t="str" cm="1">
        <f t="array" ref="R169">_xlfn.XLOOKUP(CONTROL[[#This Row],[VEHIDCODE]],GRAPHICS_PROPERTIES[VEHIDCODE],GRAPHICS_PROPERTIES[TEMPLATE_ID]&amp;GRAPHICS_PROPERTIES[TEMPLATE_AMENDMENT_CODE])</f>
        <v>TPL_03A</v>
      </c>
    </row>
    <row r="170" spans="1:18" x14ac:dyDescent="0.35">
      <c r="A170" s="2" t="s">
        <v>2809</v>
      </c>
      <c r="B170" s="21" t="str">
        <f>_xlfn.TEXTAFTER(CONTROL[[#This Row],[VEHIDCODE]],"_")</f>
        <v>FCAB_4_8_2_Vulcan_Mountain</v>
      </c>
      <c r="C170" t="str" cm="1">
        <f t="array" ref="C1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70" t="str" cm="1">
        <f t="array" ref="D1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70">
        <v>4115</v>
      </c>
      <c r="F170" s="32" t="s">
        <v>1199</v>
      </c>
      <c r="G170" t="s">
        <v>1200</v>
      </c>
      <c r="H170" s="2" t="b">
        <f>AND(CONTROL[[#This Row],[IS_WAGON_OR_COACH]]=TRUE,OR(RIGHT(CONTROL[[#This Row],[VEHIDCODE]],7)="Powered",RIGHT(CONTROL[[#This Row],[VEHIDCODE]],9)="Unpowered"))</f>
        <v>0</v>
      </c>
      <c r="I1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0" t="b">
        <f>ISNUMBER(_xlfn.XMATCH(CONTROL[[#This Row],[VEHIDCODE]],TRACK_TYPES[VEHIDCODE],0))</f>
        <v>1</v>
      </c>
      <c r="K170" t="b">
        <f>ISNUMBER(_xlfn.XMATCH(CONTROL[[#This Row],[VEHIDCODE]],PROPERTIES[VEHIDCODE],0))</f>
        <v>1</v>
      </c>
      <c r="L170" t="b">
        <f>ISNUMBER(_xlfn.XLOOKUP(CONTROL[[#This Row],[VEHIDCODE]],roster!A:A,roster!D:D))</f>
        <v>1</v>
      </c>
      <c r="M170" t="b">
        <f>ISNUMBER(_xlfn.XMATCH(CONTROL[[#This Row],[VEHIDCODE]],GRAPHICS_PROPERTIES[VEHIDCODE],0))</f>
        <v>1</v>
      </c>
      <c r="N170" s="21" t="str">
        <f>"item_"&amp;CONTROL[[#This Row],[VEHIDCODE]]</f>
        <v>item_steam_FCAB_4_8_2_Vulcan_Mountain</v>
      </c>
      <c r="O170" s="21" t="str">
        <f>"str_"&amp;CONTROL[[#This Row],[VEHIDCODE]]</f>
        <v>str_steam_FCAB_4_8_2_Vulcan_Mountain</v>
      </c>
      <c r="P170" s="7" t="b">
        <f>_xlfn.XLOOKUP(CONTROL[[#This Row],[VEHIDCODE]],PROPERTIES[VEHIDCODE],PROPERTIES[IS_CONCEPT])="IS_CONCEPT"</f>
        <v>0</v>
      </c>
      <c r="Q170" s="7" t="b">
        <f>_xlfn.XLOOKUP(CONTROL[[#This Row],[VEHIDCODE]],PROPERTIES[VEHIDCODE],PROPERTIES[EXCLUDE])</f>
        <v>1</v>
      </c>
      <c r="R170" t="str" cm="1">
        <f t="array" ref="R170">_xlfn.XLOOKUP(CONTROL[[#This Row],[VEHIDCODE]],GRAPHICS_PROPERTIES[VEHIDCODE],GRAPHICS_PROPERTIES[TEMPLATE_ID]&amp;GRAPHICS_PROPERTIES[TEMPLATE_AMENDMENT_CODE])</f>
        <v>TPL_03A</v>
      </c>
    </row>
    <row r="171" spans="1:18" x14ac:dyDescent="0.35">
      <c r="A171" s="2" t="s">
        <v>2810</v>
      </c>
      <c r="B171" s="21" t="str">
        <f>_xlfn.TEXTAFTER(CONTROL[[#This Row],[VEHIDCODE]],"_")</f>
        <v>Datong_QJ_2_10_2_101_3602</v>
      </c>
      <c r="C171" t="str" cm="1">
        <f t="array" ref="C1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71" t="str" cm="1">
        <f t="array" ref="D1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71">
        <v>4116</v>
      </c>
      <c r="F171" s="32" t="s">
        <v>2282</v>
      </c>
      <c r="G171" t="s">
        <v>1201</v>
      </c>
      <c r="H171" s="2" t="b">
        <f>AND(CONTROL[[#This Row],[IS_WAGON_OR_COACH]]=TRUE,OR(RIGHT(CONTROL[[#This Row],[VEHIDCODE]],7)="Powered",RIGHT(CONTROL[[#This Row],[VEHIDCODE]],9)="Unpowered"))</f>
        <v>0</v>
      </c>
      <c r="I1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1" t="b">
        <f>ISNUMBER(_xlfn.XMATCH(CONTROL[[#This Row],[VEHIDCODE]],TRACK_TYPES[VEHIDCODE],0))</f>
        <v>1</v>
      </c>
      <c r="K171" t="b">
        <f>ISNUMBER(_xlfn.XMATCH(CONTROL[[#This Row],[VEHIDCODE]],PROPERTIES[VEHIDCODE],0))</f>
        <v>1</v>
      </c>
      <c r="L171" t="b">
        <f>ISNUMBER(_xlfn.XLOOKUP(CONTROL[[#This Row],[VEHIDCODE]],roster!A:A,roster!D:D))</f>
        <v>1</v>
      </c>
      <c r="M171" t="b">
        <f>ISNUMBER(_xlfn.XMATCH(CONTROL[[#This Row],[VEHIDCODE]],GRAPHICS_PROPERTIES[VEHIDCODE],0))</f>
        <v>1</v>
      </c>
      <c r="N171" s="21" t="str">
        <f>"item_"&amp;CONTROL[[#This Row],[VEHIDCODE]]</f>
        <v>item_steam_Datong_QJ_2_10_2_101_3602</v>
      </c>
      <c r="O171" s="21" t="str">
        <f>"str_"&amp;CONTROL[[#This Row],[VEHIDCODE]]</f>
        <v>str_steam_Datong_QJ_2_10_2_101_3602</v>
      </c>
      <c r="P171" s="7" t="b">
        <f>_xlfn.XLOOKUP(CONTROL[[#This Row],[VEHIDCODE]],PROPERTIES[VEHIDCODE],PROPERTIES[IS_CONCEPT])="IS_CONCEPT"</f>
        <v>0</v>
      </c>
      <c r="Q171" s="7" t="b">
        <f>_xlfn.XLOOKUP(CONTROL[[#This Row],[VEHIDCODE]],PROPERTIES[VEHIDCODE],PROPERTIES[EXCLUDE])</f>
        <v>0</v>
      </c>
      <c r="R171" t="str" cm="1">
        <f t="array" ref="R171">_xlfn.XLOOKUP(CONTROL[[#This Row],[VEHIDCODE]],GRAPHICS_PROPERTIES[VEHIDCODE],GRAPHICS_PROPERTIES[TEMPLATE_ID]&amp;GRAPHICS_PROPERTIES[TEMPLATE_AMENDMENT_CODE])</f>
        <v>TPL_03A</v>
      </c>
    </row>
    <row r="172" spans="1:18" x14ac:dyDescent="0.35">
      <c r="A172" s="2" t="s">
        <v>2811</v>
      </c>
      <c r="B172" s="21" t="str">
        <f>_xlfn.TEXTAFTER(CONTROL[[#This Row],[VEHIDCODE]],"_")</f>
        <v>DB_Kof_II___DB_322</v>
      </c>
      <c r="C172" t="str" cm="1">
        <f t="array" ref="C1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2" t="str" cm="1">
        <f t="array" ref="D1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2">
        <v>5000</v>
      </c>
      <c r="F172" s="32" t="s">
        <v>3530</v>
      </c>
      <c r="G172" t="s">
        <v>1202</v>
      </c>
      <c r="H172" s="2" t="b">
        <f>AND(CONTROL[[#This Row],[IS_WAGON_OR_COACH]]=TRUE,OR(RIGHT(CONTROL[[#This Row],[VEHIDCODE]],7)="Powered",RIGHT(CONTROL[[#This Row],[VEHIDCODE]],9)="Unpowered"))</f>
        <v>0</v>
      </c>
      <c r="I1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2" t="b">
        <f>ISNUMBER(_xlfn.XMATCH(CONTROL[[#This Row],[VEHIDCODE]],TRACK_TYPES[VEHIDCODE],0))</f>
        <v>1</v>
      </c>
      <c r="K172" t="b">
        <f>ISNUMBER(_xlfn.XMATCH(CONTROL[[#This Row],[VEHIDCODE]],PROPERTIES[VEHIDCODE],0))</f>
        <v>1</v>
      </c>
      <c r="L172" t="b">
        <f>ISNUMBER(_xlfn.XLOOKUP(CONTROL[[#This Row],[VEHIDCODE]],roster!A:A,roster!D:D))</f>
        <v>1</v>
      </c>
      <c r="M172" t="b">
        <f>ISNUMBER(_xlfn.XMATCH(CONTROL[[#This Row],[VEHIDCODE]],GRAPHICS_PROPERTIES[VEHIDCODE],0))</f>
        <v>1</v>
      </c>
      <c r="N172" s="21" t="str">
        <f>"item_"&amp;CONTROL[[#This Row],[VEHIDCODE]]</f>
        <v>item_diesel_DB_Kof_II___DB_322</v>
      </c>
      <c r="O172" s="21" t="str">
        <f>"str_"&amp;CONTROL[[#This Row],[VEHIDCODE]]</f>
        <v>str_diesel_DB_Kof_II___DB_322</v>
      </c>
      <c r="P172" s="7" t="b">
        <f>_xlfn.XLOOKUP(CONTROL[[#This Row],[VEHIDCODE]],PROPERTIES[VEHIDCODE],PROPERTIES[IS_CONCEPT])="IS_CONCEPT"</f>
        <v>0</v>
      </c>
      <c r="Q172" s="7" t="b">
        <f>_xlfn.XLOOKUP(CONTROL[[#This Row],[VEHIDCODE]],PROPERTIES[VEHIDCODE],PROPERTIES[EXCLUDE])</f>
        <v>0</v>
      </c>
      <c r="R172" t="str" cm="1">
        <f t="array" ref="R172">_xlfn.XLOOKUP(CONTROL[[#This Row],[VEHIDCODE]],GRAPHICS_PROPERTIES[VEHIDCODE],GRAPHICS_PROPERTIES[TEMPLATE_ID]&amp;GRAPHICS_PROPERTIES[TEMPLATE_AMENDMENT_CODE])</f>
        <v>TPL_01A</v>
      </c>
    </row>
    <row r="173" spans="1:18" x14ac:dyDescent="0.35">
      <c r="A173" s="2" t="s">
        <v>2812</v>
      </c>
      <c r="B173" s="21" t="str">
        <f>_xlfn.TEXTAFTER(CONTROL[[#This Row],[VEHIDCODE]],"_")</f>
        <v>CNJ_ALCo_GE_IR_Boxcab_100T</v>
      </c>
      <c r="C173" t="str" cm="1">
        <f t="array" ref="C1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3" t="str" cm="1">
        <f t="array" ref="D1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3">
        <v>5001</v>
      </c>
      <c r="F173" s="32" t="s">
        <v>1203</v>
      </c>
      <c r="G173" t="s">
        <v>1205</v>
      </c>
      <c r="H173" s="2" t="b">
        <f>AND(CONTROL[[#This Row],[IS_WAGON_OR_COACH]]=TRUE,OR(RIGHT(CONTROL[[#This Row],[VEHIDCODE]],7)="Powered",RIGHT(CONTROL[[#This Row],[VEHIDCODE]],9)="Unpowered"))</f>
        <v>0</v>
      </c>
      <c r="I1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3" t="b">
        <f>ISNUMBER(_xlfn.XMATCH(CONTROL[[#This Row],[VEHIDCODE]],TRACK_TYPES[VEHIDCODE],0))</f>
        <v>1</v>
      </c>
      <c r="K173" t="b">
        <f>ISNUMBER(_xlfn.XMATCH(CONTROL[[#This Row],[VEHIDCODE]],PROPERTIES[VEHIDCODE],0))</f>
        <v>1</v>
      </c>
      <c r="L173" t="b">
        <f>ISNUMBER(_xlfn.XLOOKUP(CONTROL[[#This Row],[VEHIDCODE]],roster!A:A,roster!D:D))</f>
        <v>1</v>
      </c>
      <c r="M173" t="b">
        <f>ISNUMBER(_xlfn.XMATCH(CONTROL[[#This Row],[VEHIDCODE]],GRAPHICS_PROPERTIES[VEHIDCODE],0))</f>
        <v>1</v>
      </c>
      <c r="N173" s="21" t="str">
        <f>"item_"&amp;CONTROL[[#This Row],[VEHIDCODE]]</f>
        <v>item_diesel_CNJ_ALCo_GE_IR_Boxcab_100T</v>
      </c>
      <c r="O173" s="21" t="str">
        <f>"str_"&amp;CONTROL[[#This Row],[VEHIDCODE]]</f>
        <v>str_diesel_CNJ_ALCo_GE_IR_Boxcab_100T</v>
      </c>
      <c r="P173" s="7" t="b">
        <f>_xlfn.XLOOKUP(CONTROL[[#This Row],[VEHIDCODE]],PROPERTIES[VEHIDCODE],PROPERTIES[IS_CONCEPT])="IS_CONCEPT"</f>
        <v>0</v>
      </c>
      <c r="Q173" s="7" t="b">
        <f>_xlfn.XLOOKUP(CONTROL[[#This Row],[VEHIDCODE]],PROPERTIES[VEHIDCODE],PROPERTIES[EXCLUDE])</f>
        <v>0</v>
      </c>
      <c r="R173" t="str" cm="1">
        <f t="array" ref="R173">_xlfn.XLOOKUP(CONTROL[[#This Row],[VEHIDCODE]],GRAPHICS_PROPERTIES[VEHIDCODE],GRAPHICS_PROPERTIES[TEMPLATE_ID]&amp;GRAPHICS_PROPERTIES[TEMPLATE_AMENDMENT_CODE])</f>
        <v>TPL_01A</v>
      </c>
    </row>
    <row r="174" spans="1:18" x14ac:dyDescent="0.35">
      <c r="A174" s="2" t="s">
        <v>2813</v>
      </c>
      <c r="B174" s="21" t="str">
        <f>_xlfn.TEXTAFTER(CONTROL[[#This Row],[VEHIDCODE]],"_")</f>
        <v>Werkspoor_200_Sik</v>
      </c>
      <c r="C174" t="str" cm="1">
        <f t="array" ref="C1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4" t="str" cm="1">
        <f t="array" ref="D1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4">
        <v>5002</v>
      </c>
      <c r="F174" s="32" t="s">
        <v>2156</v>
      </c>
      <c r="G174" t="s">
        <v>1204</v>
      </c>
      <c r="H174" s="2" t="b">
        <f>AND(CONTROL[[#This Row],[IS_WAGON_OR_COACH]]=TRUE,OR(RIGHT(CONTROL[[#This Row],[VEHIDCODE]],7)="Powered",RIGHT(CONTROL[[#This Row],[VEHIDCODE]],9)="Unpowered"))</f>
        <v>0</v>
      </c>
      <c r="I1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4" t="b">
        <f>ISNUMBER(_xlfn.XMATCH(CONTROL[[#This Row],[VEHIDCODE]],TRACK_TYPES[VEHIDCODE],0))</f>
        <v>1</v>
      </c>
      <c r="K174" t="b">
        <f>ISNUMBER(_xlfn.XMATCH(CONTROL[[#This Row],[VEHIDCODE]],PROPERTIES[VEHIDCODE],0))</f>
        <v>1</v>
      </c>
      <c r="L174" t="b">
        <f>ISNUMBER(_xlfn.XLOOKUP(CONTROL[[#This Row],[VEHIDCODE]],roster!A:A,roster!D:D))</f>
        <v>1</v>
      </c>
      <c r="M174" t="b">
        <f>ISNUMBER(_xlfn.XMATCH(CONTROL[[#This Row],[VEHIDCODE]],GRAPHICS_PROPERTIES[VEHIDCODE],0))</f>
        <v>1</v>
      </c>
      <c r="N174" s="21" t="str">
        <f>"item_"&amp;CONTROL[[#This Row],[VEHIDCODE]]</f>
        <v>item_diesel_Werkspoor_200_Sik</v>
      </c>
      <c r="O174" s="21" t="str">
        <f>"str_"&amp;CONTROL[[#This Row],[VEHIDCODE]]</f>
        <v>str_diesel_Werkspoor_200_Sik</v>
      </c>
      <c r="P174" s="7" t="b">
        <f>_xlfn.XLOOKUP(CONTROL[[#This Row],[VEHIDCODE]],PROPERTIES[VEHIDCODE],PROPERTIES[IS_CONCEPT])="IS_CONCEPT"</f>
        <v>0</v>
      </c>
      <c r="Q174" s="7" t="b">
        <f>_xlfn.XLOOKUP(CONTROL[[#This Row],[VEHIDCODE]],PROPERTIES[VEHIDCODE],PROPERTIES[EXCLUDE])</f>
        <v>0</v>
      </c>
      <c r="R174" t="str" cm="1">
        <f t="array" ref="R174">_xlfn.XLOOKUP(CONTROL[[#This Row],[VEHIDCODE]],GRAPHICS_PROPERTIES[VEHIDCODE],GRAPHICS_PROPERTIES[TEMPLATE_ID]&amp;GRAPHICS_PROPERTIES[TEMPLATE_AMENDMENT_CODE])</f>
        <v>TPL_01A</v>
      </c>
    </row>
    <row r="175" spans="1:18" x14ac:dyDescent="0.35">
      <c r="A175" s="2" t="s">
        <v>2814</v>
      </c>
      <c r="B175" s="21" t="str">
        <f>_xlfn.TEXTAFTER(CONTROL[[#This Row],[VEHIDCODE]],"_")</f>
        <v>BMAG_WR_200_B_14</v>
      </c>
      <c r="C175" t="str" cm="1">
        <f t="array" ref="C1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5" t="str" cm="1">
        <f t="array" ref="D1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5">
        <v>5003</v>
      </c>
      <c r="F175" s="32" t="s">
        <v>2157</v>
      </c>
      <c r="G175" t="s">
        <v>1206</v>
      </c>
      <c r="H175" s="2" t="b">
        <f>AND(CONTROL[[#This Row],[IS_WAGON_OR_COACH]]=TRUE,OR(RIGHT(CONTROL[[#This Row],[VEHIDCODE]],7)="Powered",RIGHT(CONTROL[[#This Row],[VEHIDCODE]],9)="Unpowered"))</f>
        <v>0</v>
      </c>
      <c r="I1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5" t="b">
        <f>ISNUMBER(_xlfn.XMATCH(CONTROL[[#This Row],[VEHIDCODE]],TRACK_TYPES[VEHIDCODE],0))</f>
        <v>1</v>
      </c>
      <c r="K175" t="b">
        <f>ISNUMBER(_xlfn.XMATCH(CONTROL[[#This Row],[VEHIDCODE]],PROPERTIES[VEHIDCODE],0))</f>
        <v>1</v>
      </c>
      <c r="L175" t="b">
        <f>ISNUMBER(_xlfn.XLOOKUP(CONTROL[[#This Row],[VEHIDCODE]],roster!A:A,roster!D:D))</f>
        <v>1</v>
      </c>
      <c r="M175" t="b">
        <f>ISNUMBER(_xlfn.XMATCH(CONTROL[[#This Row],[VEHIDCODE]],GRAPHICS_PROPERTIES[VEHIDCODE],0))</f>
        <v>1</v>
      </c>
      <c r="N175" s="21" t="str">
        <f>"item_"&amp;CONTROL[[#This Row],[VEHIDCODE]]</f>
        <v>item_diesel_BMAG_WR_200_B_14</v>
      </c>
      <c r="O175" s="21" t="str">
        <f>"str_"&amp;CONTROL[[#This Row],[VEHIDCODE]]</f>
        <v>str_diesel_BMAG_WR_200_B_14</v>
      </c>
      <c r="P175" s="7" t="b">
        <f>_xlfn.XLOOKUP(CONTROL[[#This Row],[VEHIDCODE]],PROPERTIES[VEHIDCODE],PROPERTIES[IS_CONCEPT])="IS_CONCEPT"</f>
        <v>0</v>
      </c>
      <c r="Q175" s="7" t="b">
        <f>_xlfn.XLOOKUP(CONTROL[[#This Row],[VEHIDCODE]],PROPERTIES[VEHIDCODE],PROPERTIES[EXCLUDE])</f>
        <v>0</v>
      </c>
      <c r="R175" t="str" cm="1">
        <f t="array" ref="R175">_xlfn.XLOOKUP(CONTROL[[#This Row],[VEHIDCODE]],GRAPHICS_PROPERTIES[VEHIDCODE],GRAPHICS_PROPERTIES[TEMPLATE_ID]&amp;GRAPHICS_PROPERTIES[TEMPLATE_AMENDMENT_CODE])</f>
        <v>TPL_03C</v>
      </c>
    </row>
    <row r="176" spans="1:18" x14ac:dyDescent="0.35">
      <c r="A176" s="2" t="s">
        <v>2815</v>
      </c>
      <c r="B176" s="21" t="str">
        <f>_xlfn.TEXTAFTER(CONTROL[[#This Row],[VEHIDCODE]],"_")</f>
        <v>BBC_SLM_Am_4_6</v>
      </c>
      <c r="C176" t="str" cm="1">
        <f t="array" ref="C1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6" t="str" cm="1">
        <f t="array" ref="D1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6">
        <v>5004</v>
      </c>
      <c r="F176" s="32" t="s">
        <v>1979</v>
      </c>
      <c r="G176" t="s">
        <v>1207</v>
      </c>
      <c r="H176" s="2" t="b">
        <f>AND(CONTROL[[#This Row],[IS_WAGON_OR_COACH]]=TRUE,OR(RIGHT(CONTROL[[#This Row],[VEHIDCODE]],7)="Powered",RIGHT(CONTROL[[#This Row],[VEHIDCODE]],9)="Unpowered"))</f>
        <v>0</v>
      </c>
      <c r="I1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6" t="b">
        <f>ISNUMBER(_xlfn.XMATCH(CONTROL[[#This Row],[VEHIDCODE]],TRACK_TYPES[VEHIDCODE],0))</f>
        <v>1</v>
      </c>
      <c r="K176" t="b">
        <f>ISNUMBER(_xlfn.XMATCH(CONTROL[[#This Row],[VEHIDCODE]],PROPERTIES[VEHIDCODE],0))</f>
        <v>1</v>
      </c>
      <c r="L176" t="b">
        <f>ISNUMBER(_xlfn.XLOOKUP(CONTROL[[#This Row],[VEHIDCODE]],roster!A:A,roster!D:D))</f>
        <v>1</v>
      </c>
      <c r="M176" t="b">
        <f>ISNUMBER(_xlfn.XMATCH(CONTROL[[#This Row],[VEHIDCODE]],GRAPHICS_PROPERTIES[VEHIDCODE],0))</f>
        <v>1</v>
      </c>
      <c r="N176" s="21" t="str">
        <f>"item_"&amp;CONTROL[[#This Row],[VEHIDCODE]]</f>
        <v>item_diesel_BBC_SLM_Am_4_6</v>
      </c>
      <c r="O176" s="21" t="str">
        <f>"str_"&amp;CONTROL[[#This Row],[VEHIDCODE]]</f>
        <v>str_diesel_BBC_SLM_Am_4_6</v>
      </c>
      <c r="P176" s="7" t="b">
        <f>_xlfn.XLOOKUP(CONTROL[[#This Row],[VEHIDCODE]],PROPERTIES[VEHIDCODE],PROPERTIES[IS_CONCEPT])="IS_CONCEPT"</f>
        <v>0</v>
      </c>
      <c r="Q176" s="7" t="b">
        <f>_xlfn.XLOOKUP(CONTROL[[#This Row],[VEHIDCODE]],PROPERTIES[VEHIDCODE],PROPERTIES[EXCLUDE])</f>
        <v>0</v>
      </c>
      <c r="R176" t="str" cm="1">
        <f t="array" ref="R176">_xlfn.XLOOKUP(CONTROL[[#This Row],[VEHIDCODE]],GRAPHICS_PROPERTIES[VEHIDCODE],GRAPHICS_PROPERTIES[TEMPLATE_ID]&amp;GRAPHICS_PROPERTIES[TEMPLATE_AMENDMENT_CODE])</f>
        <v>TPL_01A</v>
      </c>
    </row>
    <row r="177" spans="1:18" x14ac:dyDescent="0.35">
      <c r="A177" s="2" t="s">
        <v>2816</v>
      </c>
      <c r="B177" s="21" t="str">
        <f>_xlfn.TEXTAFTER(CONTROL[[#This Row],[VEHIDCODE]],"_")</f>
        <v>GE_44_ton_switcher</v>
      </c>
      <c r="C177" t="str" cm="1">
        <f t="array" ref="C1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7" t="str" cm="1">
        <f t="array" ref="D1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7">
        <v>5005</v>
      </c>
      <c r="F177" s="32" t="s">
        <v>2600</v>
      </c>
      <c r="G177" t="s">
        <v>1208</v>
      </c>
      <c r="H177" s="2" t="b">
        <f>AND(CONTROL[[#This Row],[IS_WAGON_OR_COACH]]=TRUE,OR(RIGHT(CONTROL[[#This Row],[VEHIDCODE]],7)="Powered",RIGHT(CONTROL[[#This Row],[VEHIDCODE]],9)="Unpowered"))</f>
        <v>0</v>
      </c>
      <c r="I1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7" t="b">
        <f>ISNUMBER(_xlfn.XMATCH(CONTROL[[#This Row],[VEHIDCODE]],TRACK_TYPES[VEHIDCODE],0))</f>
        <v>1</v>
      </c>
      <c r="K177" t="b">
        <f>ISNUMBER(_xlfn.XMATCH(CONTROL[[#This Row],[VEHIDCODE]],PROPERTIES[VEHIDCODE],0))</f>
        <v>1</v>
      </c>
      <c r="L177" t="b">
        <f>ISNUMBER(_xlfn.XLOOKUP(CONTROL[[#This Row],[VEHIDCODE]],roster!A:A,roster!D:D))</f>
        <v>1</v>
      </c>
      <c r="M177" t="b">
        <f>ISNUMBER(_xlfn.XMATCH(CONTROL[[#This Row],[VEHIDCODE]],GRAPHICS_PROPERTIES[VEHIDCODE],0))</f>
        <v>1</v>
      </c>
      <c r="N177" s="21" t="str">
        <f>"item_"&amp;CONTROL[[#This Row],[VEHIDCODE]]</f>
        <v>item_diesel_GE_44_ton_switcher</v>
      </c>
      <c r="O177" s="21" t="str">
        <f>"str_"&amp;CONTROL[[#This Row],[VEHIDCODE]]</f>
        <v>str_diesel_GE_44_ton_switcher</v>
      </c>
      <c r="P177" s="7" t="b">
        <f>_xlfn.XLOOKUP(CONTROL[[#This Row],[VEHIDCODE]],PROPERTIES[VEHIDCODE],PROPERTIES[IS_CONCEPT])="IS_CONCEPT"</f>
        <v>0</v>
      </c>
      <c r="Q177" s="7" t="b">
        <f>_xlfn.XLOOKUP(CONTROL[[#This Row],[VEHIDCODE]],PROPERTIES[VEHIDCODE],PROPERTIES[EXCLUDE])</f>
        <v>0</v>
      </c>
      <c r="R177" t="str" cm="1">
        <f t="array" ref="R177">_xlfn.XLOOKUP(CONTROL[[#This Row],[VEHIDCODE]],GRAPHICS_PROPERTIES[VEHIDCODE],GRAPHICS_PROPERTIES[TEMPLATE_ID]&amp;GRAPHICS_PROPERTIES[TEMPLATE_AMENDMENT_CODE])</f>
        <v>TPL_01A</v>
      </c>
    </row>
    <row r="178" spans="1:18" x14ac:dyDescent="0.35">
      <c r="A178" s="2" t="s">
        <v>2817</v>
      </c>
      <c r="B178" s="21" t="str">
        <f>_xlfn.TEXTAFTER(CONTROL[[#This Row],[VEHIDCODE]],"_")</f>
        <v>ALCO_S_2</v>
      </c>
      <c r="C178" t="str" cm="1">
        <f t="array" ref="C1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8" t="str" cm="1">
        <f t="array" ref="D1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8">
        <v>5006</v>
      </c>
      <c r="F178" s="32" t="s">
        <v>1980</v>
      </c>
      <c r="G178" t="s">
        <v>1210</v>
      </c>
      <c r="H178" s="2" t="b">
        <f>AND(CONTROL[[#This Row],[IS_WAGON_OR_COACH]]=TRUE,OR(RIGHT(CONTROL[[#This Row],[VEHIDCODE]],7)="Powered",RIGHT(CONTROL[[#This Row],[VEHIDCODE]],9)="Unpowered"))</f>
        <v>0</v>
      </c>
      <c r="I1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8" t="b">
        <f>ISNUMBER(_xlfn.XMATCH(CONTROL[[#This Row],[VEHIDCODE]],TRACK_TYPES[VEHIDCODE],0))</f>
        <v>1</v>
      </c>
      <c r="K178" t="b">
        <f>ISNUMBER(_xlfn.XMATCH(CONTROL[[#This Row],[VEHIDCODE]],PROPERTIES[VEHIDCODE],0))</f>
        <v>1</v>
      </c>
      <c r="L178" t="b">
        <f>ISNUMBER(_xlfn.XLOOKUP(CONTROL[[#This Row],[VEHIDCODE]],roster!A:A,roster!D:D))</f>
        <v>1</v>
      </c>
      <c r="M178" t="b">
        <f>ISNUMBER(_xlfn.XMATCH(CONTROL[[#This Row],[VEHIDCODE]],GRAPHICS_PROPERTIES[VEHIDCODE],0))</f>
        <v>1</v>
      </c>
      <c r="N178" s="21" t="str">
        <f>"item_"&amp;CONTROL[[#This Row],[VEHIDCODE]]</f>
        <v>item_diesel_ALCO_S_2</v>
      </c>
      <c r="O178" s="21" t="str">
        <f>"str_"&amp;CONTROL[[#This Row],[VEHIDCODE]]</f>
        <v>str_diesel_ALCO_S_2</v>
      </c>
      <c r="P178" s="7" t="b">
        <f>_xlfn.XLOOKUP(CONTROL[[#This Row],[VEHIDCODE]],PROPERTIES[VEHIDCODE],PROPERTIES[IS_CONCEPT])="IS_CONCEPT"</f>
        <v>0</v>
      </c>
      <c r="Q178" s="7" t="b">
        <f>_xlfn.XLOOKUP(CONTROL[[#This Row],[VEHIDCODE]],PROPERTIES[VEHIDCODE],PROPERTIES[EXCLUDE])</f>
        <v>0</v>
      </c>
      <c r="R178" t="str" cm="1">
        <f t="array" ref="R178">_xlfn.XLOOKUP(CONTROL[[#This Row],[VEHIDCODE]],GRAPHICS_PROPERTIES[VEHIDCODE],GRAPHICS_PROPERTIES[TEMPLATE_ID]&amp;GRAPHICS_PROPERTIES[TEMPLATE_AMENDMENT_CODE])</f>
        <v>TPL_01A</v>
      </c>
    </row>
    <row r="179" spans="1:18" x14ac:dyDescent="0.35">
      <c r="A179" s="2" t="s">
        <v>2818</v>
      </c>
      <c r="B179" s="21" t="str">
        <f>_xlfn.TEXTAFTER(CONTROL[[#This Row],[VEHIDCODE]],"_")</f>
        <v>EMD_F3</v>
      </c>
      <c r="C179" t="str" cm="1">
        <f t="array" ref="C1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9" t="str" cm="1">
        <f t="array" ref="D1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9">
        <v>5007</v>
      </c>
      <c r="F179" s="32" t="s">
        <v>1981</v>
      </c>
      <c r="G179" t="s">
        <v>1209</v>
      </c>
      <c r="H179" s="2" t="b">
        <f>AND(CONTROL[[#This Row],[IS_WAGON_OR_COACH]]=TRUE,OR(RIGHT(CONTROL[[#This Row],[VEHIDCODE]],7)="Powered",RIGHT(CONTROL[[#This Row],[VEHIDCODE]],9)="Unpowered"))</f>
        <v>0</v>
      </c>
      <c r="I1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9" t="b">
        <f>ISNUMBER(_xlfn.XMATCH(CONTROL[[#This Row],[VEHIDCODE]],TRACK_TYPES[VEHIDCODE],0))</f>
        <v>1</v>
      </c>
      <c r="K179" t="b">
        <f>ISNUMBER(_xlfn.XMATCH(CONTROL[[#This Row],[VEHIDCODE]],PROPERTIES[VEHIDCODE],0))</f>
        <v>1</v>
      </c>
      <c r="L179" t="b">
        <f>ISNUMBER(_xlfn.XLOOKUP(CONTROL[[#This Row],[VEHIDCODE]],roster!A:A,roster!D:D))</f>
        <v>1</v>
      </c>
      <c r="M179" t="b">
        <f>ISNUMBER(_xlfn.XMATCH(CONTROL[[#This Row],[VEHIDCODE]],GRAPHICS_PROPERTIES[VEHIDCODE],0))</f>
        <v>1</v>
      </c>
      <c r="N179" s="21" t="str">
        <f>"item_"&amp;CONTROL[[#This Row],[VEHIDCODE]]</f>
        <v>item_diesel_EMD_F3</v>
      </c>
      <c r="O179" s="21" t="str">
        <f>"str_"&amp;CONTROL[[#This Row],[VEHIDCODE]]</f>
        <v>str_diesel_EMD_F3</v>
      </c>
      <c r="P179" s="7" t="b">
        <f>_xlfn.XLOOKUP(CONTROL[[#This Row],[VEHIDCODE]],PROPERTIES[VEHIDCODE],PROPERTIES[IS_CONCEPT])="IS_CONCEPT"</f>
        <v>0</v>
      </c>
      <c r="Q179" s="7" t="b">
        <f>_xlfn.XLOOKUP(CONTROL[[#This Row],[VEHIDCODE]],PROPERTIES[VEHIDCODE],PROPERTIES[EXCLUDE])</f>
        <v>0</v>
      </c>
      <c r="R179" t="str" cm="1">
        <f t="array" ref="R179">_xlfn.XLOOKUP(CONTROL[[#This Row],[VEHIDCODE]],GRAPHICS_PROPERTIES[VEHIDCODE],GRAPHICS_PROPERTIES[TEMPLATE_ID]&amp;GRAPHICS_PROPERTIES[TEMPLATE_AMENDMENT_CODE])</f>
        <v>TPL_17B</v>
      </c>
    </row>
    <row r="180" spans="1:18" x14ac:dyDescent="0.35">
      <c r="A180" s="2" t="s">
        <v>2819</v>
      </c>
      <c r="B180" s="21" t="str">
        <f>_xlfn.TEXTAFTER(CONTROL[[#This Row],[VEHIDCODE]],"_")</f>
        <v>EMD_E8</v>
      </c>
      <c r="C180" t="str" cm="1">
        <f t="array" ref="C1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0" t="str" cm="1">
        <f t="array" ref="D1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0">
        <v>5008</v>
      </c>
      <c r="F180" s="32" t="s">
        <v>1982</v>
      </c>
      <c r="G180" t="s">
        <v>1212</v>
      </c>
      <c r="H180" s="2" t="b">
        <f>AND(CONTROL[[#This Row],[IS_WAGON_OR_COACH]]=TRUE,OR(RIGHT(CONTROL[[#This Row],[VEHIDCODE]],7)="Powered",RIGHT(CONTROL[[#This Row],[VEHIDCODE]],9)="Unpowered"))</f>
        <v>0</v>
      </c>
      <c r="I1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0" t="b">
        <f>ISNUMBER(_xlfn.XMATCH(CONTROL[[#This Row],[VEHIDCODE]],TRACK_TYPES[VEHIDCODE],0))</f>
        <v>1</v>
      </c>
      <c r="K180" t="b">
        <f>ISNUMBER(_xlfn.XMATCH(CONTROL[[#This Row],[VEHIDCODE]],PROPERTIES[VEHIDCODE],0))</f>
        <v>1</v>
      </c>
      <c r="L180" t="b">
        <f>ISNUMBER(_xlfn.XLOOKUP(CONTROL[[#This Row],[VEHIDCODE]],roster!A:A,roster!D:D))</f>
        <v>1</v>
      </c>
      <c r="M180" t="b">
        <f>ISNUMBER(_xlfn.XMATCH(CONTROL[[#This Row],[VEHIDCODE]],GRAPHICS_PROPERTIES[VEHIDCODE],0))</f>
        <v>1</v>
      </c>
      <c r="N180" s="21" t="str">
        <f>"item_"&amp;CONTROL[[#This Row],[VEHIDCODE]]</f>
        <v>item_diesel_EMD_E8</v>
      </c>
      <c r="O180" s="21" t="str">
        <f>"str_"&amp;CONTROL[[#This Row],[VEHIDCODE]]</f>
        <v>str_diesel_EMD_E8</v>
      </c>
      <c r="P180" s="7" t="b">
        <f>_xlfn.XLOOKUP(CONTROL[[#This Row],[VEHIDCODE]],PROPERTIES[VEHIDCODE],PROPERTIES[IS_CONCEPT])="IS_CONCEPT"</f>
        <v>0</v>
      </c>
      <c r="Q180" s="7" t="b">
        <f>_xlfn.XLOOKUP(CONTROL[[#This Row],[VEHIDCODE]],PROPERTIES[VEHIDCODE],PROPERTIES[EXCLUDE])</f>
        <v>0</v>
      </c>
      <c r="R180" t="str" cm="1">
        <f t="array" ref="R180">_xlfn.XLOOKUP(CONTROL[[#This Row],[VEHIDCODE]],GRAPHICS_PROPERTIES[VEHIDCODE],GRAPHICS_PROPERTIES[TEMPLATE_ID]&amp;GRAPHICS_PROPERTIES[TEMPLATE_AMENDMENT_CODE])</f>
        <v>TPL_17B</v>
      </c>
    </row>
    <row r="181" spans="1:18" x14ac:dyDescent="0.35">
      <c r="A181" s="2" t="s">
        <v>2820</v>
      </c>
      <c r="B181" s="21" t="str">
        <f>_xlfn.TEXTAFTER(CONTROL[[#This Row],[VEHIDCODE]],"_")</f>
        <v>EFCB_ALCO_RS_3</v>
      </c>
      <c r="C181" t="str" cm="1">
        <f t="array" ref="C1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1" t="str" cm="1">
        <f t="array" ref="D1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1">
        <v>5009</v>
      </c>
      <c r="F181" s="32" t="s">
        <v>3513</v>
      </c>
      <c r="G181" t="s">
        <v>1214</v>
      </c>
      <c r="H181" s="2" t="b">
        <f>AND(CONTROL[[#This Row],[IS_WAGON_OR_COACH]]=TRUE,OR(RIGHT(CONTROL[[#This Row],[VEHIDCODE]],7)="Powered",RIGHT(CONTROL[[#This Row],[VEHIDCODE]],9)="Unpowered"))</f>
        <v>0</v>
      </c>
      <c r="I1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1" t="b">
        <f>ISNUMBER(_xlfn.XMATCH(CONTROL[[#This Row],[VEHIDCODE]],TRACK_TYPES[VEHIDCODE],0))</f>
        <v>1</v>
      </c>
      <c r="K181" t="b">
        <f>ISNUMBER(_xlfn.XMATCH(CONTROL[[#This Row],[VEHIDCODE]],PROPERTIES[VEHIDCODE],0))</f>
        <v>1</v>
      </c>
      <c r="L181" t="b">
        <f>ISNUMBER(_xlfn.XLOOKUP(CONTROL[[#This Row],[VEHIDCODE]],roster!A:A,roster!D:D))</f>
        <v>1</v>
      </c>
      <c r="M181" t="b">
        <f>ISNUMBER(_xlfn.XMATCH(CONTROL[[#This Row],[VEHIDCODE]],GRAPHICS_PROPERTIES[VEHIDCODE],0))</f>
        <v>1</v>
      </c>
      <c r="N181" s="21" t="str">
        <f>"item_"&amp;CONTROL[[#This Row],[VEHIDCODE]]</f>
        <v>item_diesel_EFCB_ALCO_RS_3</v>
      </c>
      <c r="O181" s="21" t="str">
        <f>"str_"&amp;CONTROL[[#This Row],[VEHIDCODE]]</f>
        <v>str_diesel_EFCB_ALCO_RS_3</v>
      </c>
      <c r="P181" s="7" t="b">
        <f>_xlfn.XLOOKUP(CONTROL[[#This Row],[VEHIDCODE]],PROPERTIES[VEHIDCODE],PROPERTIES[IS_CONCEPT])="IS_CONCEPT"</f>
        <v>0</v>
      </c>
      <c r="Q181" s="7" t="b">
        <f>_xlfn.XLOOKUP(CONTROL[[#This Row],[VEHIDCODE]],PROPERTIES[VEHIDCODE],PROPERTIES[EXCLUDE])</f>
        <v>0</v>
      </c>
      <c r="R181" t="str" cm="1">
        <f t="array" ref="R181">_xlfn.XLOOKUP(CONTROL[[#This Row],[VEHIDCODE]],GRAPHICS_PROPERTIES[VEHIDCODE],GRAPHICS_PROPERTIES[TEMPLATE_ID]&amp;GRAPHICS_PROPERTIES[TEMPLATE_AMENDMENT_CODE])</f>
        <v>TPL_01A</v>
      </c>
    </row>
    <row r="182" spans="1:18" x14ac:dyDescent="0.35">
      <c r="A182" s="2" t="s">
        <v>2821</v>
      </c>
      <c r="B182" s="21" t="str">
        <f>_xlfn.TEXTAFTER(CONTROL[[#This Row],[VEHIDCODE]],"_")</f>
        <v>English_Electric_Bakkie</v>
      </c>
      <c r="C182" t="str" cm="1">
        <f t="array" ref="C1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2" t="str" cm="1">
        <f t="array" ref="D1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2">
        <v>5010</v>
      </c>
      <c r="F182" s="32" t="s">
        <v>2158</v>
      </c>
      <c r="G182" t="s">
        <v>1215</v>
      </c>
      <c r="H182" s="2" t="b">
        <f>AND(CONTROL[[#This Row],[IS_WAGON_OR_COACH]]=TRUE,OR(RIGHT(CONTROL[[#This Row],[VEHIDCODE]],7)="Powered",RIGHT(CONTROL[[#This Row],[VEHIDCODE]],9)="Unpowered"))</f>
        <v>0</v>
      </c>
      <c r="I1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2" t="b">
        <f>ISNUMBER(_xlfn.XMATCH(CONTROL[[#This Row],[VEHIDCODE]],TRACK_TYPES[VEHIDCODE],0))</f>
        <v>1</v>
      </c>
      <c r="K182" t="b">
        <f>ISNUMBER(_xlfn.XMATCH(CONTROL[[#This Row],[VEHIDCODE]],PROPERTIES[VEHIDCODE],0))</f>
        <v>1</v>
      </c>
      <c r="L182" t="b">
        <f>ISNUMBER(_xlfn.XLOOKUP(CONTROL[[#This Row],[VEHIDCODE]],roster!A:A,roster!D:D))</f>
        <v>1</v>
      </c>
      <c r="M182" t="b">
        <f>ISNUMBER(_xlfn.XMATCH(CONTROL[[#This Row],[VEHIDCODE]],GRAPHICS_PROPERTIES[VEHIDCODE],0))</f>
        <v>1</v>
      </c>
      <c r="N182" s="21" t="str">
        <f>"item_"&amp;CONTROL[[#This Row],[VEHIDCODE]]</f>
        <v>item_diesel_English_Electric_Bakkie</v>
      </c>
      <c r="O182" s="21" t="str">
        <f>"str_"&amp;CONTROL[[#This Row],[VEHIDCODE]]</f>
        <v>str_diesel_English_Electric_Bakkie</v>
      </c>
      <c r="P182" s="7" t="b">
        <f>_xlfn.XLOOKUP(CONTROL[[#This Row],[VEHIDCODE]],PROPERTIES[VEHIDCODE],PROPERTIES[IS_CONCEPT])="IS_CONCEPT"</f>
        <v>0</v>
      </c>
      <c r="Q182" s="7" t="b">
        <f>_xlfn.XLOOKUP(CONTROL[[#This Row],[VEHIDCODE]],PROPERTIES[VEHIDCODE],PROPERTIES[EXCLUDE])</f>
        <v>0</v>
      </c>
      <c r="R182" t="str" cm="1">
        <f t="array" ref="R182">_xlfn.XLOOKUP(CONTROL[[#This Row],[VEHIDCODE]],GRAPHICS_PROPERTIES[VEHIDCODE],GRAPHICS_PROPERTIES[TEMPLATE_ID]&amp;GRAPHICS_PROPERTIES[TEMPLATE_AMENDMENT_CODE])</f>
        <v>TPL_03C</v>
      </c>
    </row>
    <row r="183" spans="1:18" x14ac:dyDescent="0.35">
      <c r="A183" s="2" t="s">
        <v>2822</v>
      </c>
      <c r="B183" s="21" t="str">
        <f>_xlfn.TEXTAFTER(CONTROL[[#This Row],[VEHIDCODE]],"_")</f>
        <v>Baldwin_RF_16_Sharknose</v>
      </c>
      <c r="C183" t="str" cm="1">
        <f t="array" ref="C1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3" t="str" cm="1">
        <f t="array" ref="D1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3">
        <v>5100</v>
      </c>
      <c r="F183" s="32" t="s">
        <v>1983</v>
      </c>
      <c r="G183" t="s">
        <v>1216</v>
      </c>
      <c r="H183" s="2" t="b">
        <f>AND(CONTROL[[#This Row],[IS_WAGON_OR_COACH]]=TRUE,OR(RIGHT(CONTROL[[#This Row],[VEHIDCODE]],7)="Powered",RIGHT(CONTROL[[#This Row],[VEHIDCODE]],9)="Unpowered"))</f>
        <v>0</v>
      </c>
      <c r="I1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3" t="b">
        <f>ISNUMBER(_xlfn.XMATCH(CONTROL[[#This Row],[VEHIDCODE]],TRACK_TYPES[VEHIDCODE],0))</f>
        <v>1</v>
      </c>
      <c r="K183" t="b">
        <f>ISNUMBER(_xlfn.XMATCH(CONTROL[[#This Row],[VEHIDCODE]],PROPERTIES[VEHIDCODE],0))</f>
        <v>1</v>
      </c>
      <c r="L183" t="b">
        <f>ISNUMBER(_xlfn.XLOOKUP(CONTROL[[#This Row],[VEHIDCODE]],roster!A:A,roster!D:D))</f>
        <v>1</v>
      </c>
      <c r="M183" t="b">
        <f>ISNUMBER(_xlfn.XMATCH(CONTROL[[#This Row],[VEHIDCODE]],GRAPHICS_PROPERTIES[VEHIDCODE],0))</f>
        <v>1</v>
      </c>
      <c r="N183" s="21" t="str">
        <f>"item_"&amp;CONTROL[[#This Row],[VEHIDCODE]]</f>
        <v>item_diesel_Baldwin_RF_16_Sharknose</v>
      </c>
      <c r="O183" s="21" t="str">
        <f>"str_"&amp;CONTROL[[#This Row],[VEHIDCODE]]</f>
        <v>str_diesel_Baldwin_RF_16_Sharknose</v>
      </c>
      <c r="P183" s="7" t="b">
        <f>_xlfn.XLOOKUP(CONTROL[[#This Row],[VEHIDCODE]],PROPERTIES[VEHIDCODE],PROPERTIES[IS_CONCEPT])="IS_CONCEPT"</f>
        <v>0</v>
      </c>
      <c r="Q183" s="7" t="b">
        <f>_xlfn.XLOOKUP(CONTROL[[#This Row],[VEHIDCODE]],PROPERTIES[VEHIDCODE],PROPERTIES[EXCLUDE])</f>
        <v>0</v>
      </c>
      <c r="R183" t="str" cm="1">
        <f t="array" ref="R183">_xlfn.XLOOKUP(CONTROL[[#This Row],[VEHIDCODE]],GRAPHICS_PROPERTIES[VEHIDCODE],GRAPHICS_PROPERTIES[TEMPLATE_ID]&amp;GRAPHICS_PROPERTIES[TEMPLATE_AMENDMENT_CODE])</f>
        <v>TPL_17B</v>
      </c>
    </row>
    <row r="184" spans="1:18" x14ac:dyDescent="0.35">
      <c r="A184" s="2" t="s">
        <v>2823</v>
      </c>
      <c r="B184" s="21" t="str">
        <f>_xlfn.TEXTAFTER(CONTROL[[#This Row],[VEHIDCODE]],"_")</f>
        <v>AFE_1500</v>
      </c>
      <c r="C184" t="str" cm="1">
        <f t="array" ref="C1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4" t="str" cm="1">
        <f t="array" ref="D1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4">
        <v>5012</v>
      </c>
      <c r="F184" s="32" t="s">
        <v>370</v>
      </c>
      <c r="G184" t="s">
        <v>1166</v>
      </c>
      <c r="H184" s="2" t="b">
        <f>AND(CONTROL[[#This Row],[IS_WAGON_OR_COACH]]=TRUE,OR(RIGHT(CONTROL[[#This Row],[VEHIDCODE]],7)="Powered",RIGHT(CONTROL[[#This Row],[VEHIDCODE]],9)="Unpowered"))</f>
        <v>0</v>
      </c>
      <c r="I1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4" t="b">
        <f>ISNUMBER(_xlfn.XMATCH(CONTROL[[#This Row],[VEHIDCODE]],TRACK_TYPES[VEHIDCODE],0))</f>
        <v>1</v>
      </c>
      <c r="K184" t="b">
        <f>ISNUMBER(_xlfn.XMATCH(CONTROL[[#This Row],[VEHIDCODE]],PROPERTIES[VEHIDCODE],0))</f>
        <v>1</v>
      </c>
      <c r="L184" t="b">
        <f>ISNUMBER(_xlfn.XLOOKUP(CONTROL[[#This Row],[VEHIDCODE]],roster!A:A,roster!D:D))</f>
        <v>1</v>
      </c>
      <c r="M184" t="b">
        <f>ISNUMBER(_xlfn.XMATCH(CONTROL[[#This Row],[VEHIDCODE]],GRAPHICS_PROPERTIES[VEHIDCODE],0))</f>
        <v>1</v>
      </c>
      <c r="N184" s="21" t="str">
        <f>"item_"&amp;CONTROL[[#This Row],[VEHIDCODE]]</f>
        <v>item_diesel_AFE_1500</v>
      </c>
      <c r="O184" s="21" t="str">
        <f>"str_"&amp;CONTROL[[#This Row],[VEHIDCODE]]</f>
        <v>str_diesel_AFE_1500</v>
      </c>
      <c r="P184" s="7" t="b">
        <f>_xlfn.XLOOKUP(CONTROL[[#This Row],[VEHIDCODE]],PROPERTIES[VEHIDCODE],PROPERTIES[IS_CONCEPT])="IS_CONCEPT"</f>
        <v>0</v>
      </c>
      <c r="Q184" s="7" t="b">
        <f>_xlfn.XLOOKUP(CONTROL[[#This Row],[VEHIDCODE]],PROPERTIES[VEHIDCODE],PROPERTIES[EXCLUDE])</f>
        <v>0</v>
      </c>
      <c r="R184" t="str" cm="1">
        <f t="array" ref="R184">_xlfn.XLOOKUP(CONTROL[[#This Row],[VEHIDCODE]],GRAPHICS_PROPERTIES[VEHIDCODE],GRAPHICS_PROPERTIES[TEMPLATE_ID]&amp;GRAPHICS_PROPERTIES[TEMPLATE_AMENDMENT_CODE])</f>
        <v>TPL_01A</v>
      </c>
    </row>
    <row r="185" spans="1:18" x14ac:dyDescent="0.35">
      <c r="A185" s="2" t="s">
        <v>2824</v>
      </c>
      <c r="B185" s="21" t="str">
        <f>_xlfn.TEXTAFTER(CONTROL[[#This Row],[VEHIDCODE]],"_")</f>
        <v>FM_H_24_66_Trainmaster</v>
      </c>
      <c r="C185" t="str" cm="1">
        <f t="array" ref="C1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5" t="str" cm="1">
        <f t="array" ref="D1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5">
        <v>5013</v>
      </c>
      <c r="F185" s="32" t="s">
        <v>1984</v>
      </c>
      <c r="G185" t="s">
        <v>1217</v>
      </c>
      <c r="H185" s="2" t="b">
        <f>AND(CONTROL[[#This Row],[IS_WAGON_OR_COACH]]=TRUE,OR(RIGHT(CONTROL[[#This Row],[VEHIDCODE]],7)="Powered",RIGHT(CONTROL[[#This Row],[VEHIDCODE]],9)="Unpowered"))</f>
        <v>0</v>
      </c>
      <c r="I1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5" t="b">
        <f>ISNUMBER(_xlfn.XMATCH(CONTROL[[#This Row],[VEHIDCODE]],TRACK_TYPES[VEHIDCODE],0))</f>
        <v>1</v>
      </c>
      <c r="K185" t="b">
        <f>ISNUMBER(_xlfn.XMATCH(CONTROL[[#This Row],[VEHIDCODE]],PROPERTIES[VEHIDCODE],0))</f>
        <v>1</v>
      </c>
      <c r="L185" t="b">
        <f>ISNUMBER(_xlfn.XLOOKUP(CONTROL[[#This Row],[VEHIDCODE]],roster!A:A,roster!D:D))</f>
        <v>1</v>
      </c>
      <c r="M185" t="b">
        <f>ISNUMBER(_xlfn.XMATCH(CONTROL[[#This Row],[VEHIDCODE]],GRAPHICS_PROPERTIES[VEHIDCODE],0))</f>
        <v>1</v>
      </c>
      <c r="N185" s="21" t="str">
        <f>"item_"&amp;CONTROL[[#This Row],[VEHIDCODE]]</f>
        <v>item_diesel_FM_H_24_66_Trainmaster</v>
      </c>
      <c r="O185" s="21" t="str">
        <f>"str_"&amp;CONTROL[[#This Row],[VEHIDCODE]]</f>
        <v>str_diesel_FM_H_24_66_Trainmaster</v>
      </c>
      <c r="P185" s="7" t="b">
        <f>_xlfn.XLOOKUP(CONTROL[[#This Row],[VEHIDCODE]],PROPERTIES[VEHIDCODE],PROPERTIES[IS_CONCEPT])="IS_CONCEPT"</f>
        <v>0</v>
      </c>
      <c r="Q185" s="7" t="b">
        <f>_xlfn.XLOOKUP(CONTROL[[#This Row],[VEHIDCODE]],PROPERTIES[VEHIDCODE],PROPERTIES[EXCLUDE])</f>
        <v>0</v>
      </c>
      <c r="R185" t="str" cm="1">
        <f t="array" ref="R185">_xlfn.XLOOKUP(CONTROL[[#This Row],[VEHIDCODE]],GRAPHICS_PROPERTIES[VEHIDCODE],GRAPHICS_PROPERTIES[TEMPLATE_ID]&amp;GRAPHICS_PROPERTIES[TEMPLATE_AMENDMENT_CODE])</f>
        <v>TPL_01A</v>
      </c>
    </row>
    <row r="186" spans="1:18" x14ac:dyDescent="0.35">
      <c r="A186" s="2" t="s">
        <v>2825</v>
      </c>
      <c r="B186" s="21" t="str">
        <f>_xlfn.TEXTAFTER(CONTROL[[#This Row],[VEHIDCODE]],"_")</f>
        <v>BR_Class_08_0_6_0DE</v>
      </c>
      <c r="C186" t="str" cm="1">
        <f t="array" ref="C1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6" t="str" cm="1">
        <f t="array" ref="D1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6">
        <v>5014</v>
      </c>
      <c r="F186" s="32" t="s">
        <v>2159</v>
      </c>
      <c r="G186" t="s">
        <v>1218</v>
      </c>
      <c r="H186" s="2" t="b">
        <f>AND(CONTROL[[#This Row],[IS_WAGON_OR_COACH]]=TRUE,OR(RIGHT(CONTROL[[#This Row],[VEHIDCODE]],7)="Powered",RIGHT(CONTROL[[#This Row],[VEHIDCODE]],9)="Unpowered"))</f>
        <v>0</v>
      </c>
      <c r="I1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6" t="b">
        <f>ISNUMBER(_xlfn.XMATCH(CONTROL[[#This Row],[VEHIDCODE]],TRACK_TYPES[VEHIDCODE],0))</f>
        <v>1</v>
      </c>
      <c r="K186" t="b">
        <f>ISNUMBER(_xlfn.XMATCH(CONTROL[[#This Row],[VEHIDCODE]],PROPERTIES[VEHIDCODE],0))</f>
        <v>1</v>
      </c>
      <c r="L186" t="b">
        <f>ISNUMBER(_xlfn.XLOOKUP(CONTROL[[#This Row],[VEHIDCODE]],roster!A:A,roster!D:D))</f>
        <v>1</v>
      </c>
      <c r="M186" t="b">
        <f>ISNUMBER(_xlfn.XMATCH(CONTROL[[#This Row],[VEHIDCODE]],GRAPHICS_PROPERTIES[VEHIDCODE],0))</f>
        <v>1</v>
      </c>
      <c r="N186" s="21" t="str">
        <f>"item_"&amp;CONTROL[[#This Row],[VEHIDCODE]]</f>
        <v>item_diesel_BR_Class_08_0_6_0DE</v>
      </c>
      <c r="O186" s="21" t="str">
        <f>"str_"&amp;CONTROL[[#This Row],[VEHIDCODE]]</f>
        <v>str_diesel_BR_Class_08_0_6_0DE</v>
      </c>
      <c r="P186" s="7" t="b">
        <f>_xlfn.XLOOKUP(CONTROL[[#This Row],[VEHIDCODE]],PROPERTIES[VEHIDCODE],PROPERTIES[IS_CONCEPT])="IS_CONCEPT"</f>
        <v>0</v>
      </c>
      <c r="Q186" s="7" t="b">
        <f>_xlfn.XLOOKUP(CONTROL[[#This Row],[VEHIDCODE]],PROPERTIES[VEHIDCODE],PROPERTIES[EXCLUDE])</f>
        <v>0</v>
      </c>
      <c r="R186" t="str" cm="1">
        <f t="array" ref="R186">_xlfn.XLOOKUP(CONTROL[[#This Row],[VEHIDCODE]],GRAPHICS_PROPERTIES[VEHIDCODE],GRAPHICS_PROPERTIES[TEMPLATE_ID]&amp;GRAPHICS_PROPERTIES[TEMPLATE_AMENDMENT_CODE])</f>
        <v>TPL_03C</v>
      </c>
    </row>
    <row r="187" spans="1:18" x14ac:dyDescent="0.35">
      <c r="A187" s="2" t="s">
        <v>2826</v>
      </c>
      <c r="B187" s="21" t="str">
        <f>_xlfn.TEXTAFTER(CONTROL[[#This Row],[VEHIDCODE]],"_")</f>
        <v>Jenbacher_Werke_2060</v>
      </c>
      <c r="C187" t="str" cm="1">
        <f t="array" ref="C1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7" t="str" cm="1">
        <f t="array" ref="D1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7">
        <v>5015</v>
      </c>
      <c r="F187" s="32" t="s">
        <v>2160</v>
      </c>
      <c r="G187" t="s">
        <v>1219</v>
      </c>
      <c r="H187" s="2" t="b">
        <f>AND(CONTROL[[#This Row],[IS_WAGON_OR_COACH]]=TRUE,OR(RIGHT(CONTROL[[#This Row],[VEHIDCODE]],7)="Powered",RIGHT(CONTROL[[#This Row],[VEHIDCODE]],9)="Unpowered"))</f>
        <v>0</v>
      </c>
      <c r="I1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7" t="b">
        <f>ISNUMBER(_xlfn.XMATCH(CONTROL[[#This Row],[VEHIDCODE]],TRACK_TYPES[VEHIDCODE],0))</f>
        <v>1</v>
      </c>
      <c r="K187" t="b">
        <f>ISNUMBER(_xlfn.XMATCH(CONTROL[[#This Row],[VEHIDCODE]],PROPERTIES[VEHIDCODE],0))</f>
        <v>1</v>
      </c>
      <c r="L187" t="b">
        <f>ISNUMBER(_xlfn.XLOOKUP(CONTROL[[#This Row],[VEHIDCODE]],roster!A:A,roster!D:D))</f>
        <v>1</v>
      </c>
      <c r="M187" t="b">
        <f>ISNUMBER(_xlfn.XMATCH(CONTROL[[#This Row],[VEHIDCODE]],GRAPHICS_PROPERTIES[VEHIDCODE],0))</f>
        <v>1</v>
      </c>
      <c r="N187" s="21" t="str">
        <f>"item_"&amp;CONTROL[[#This Row],[VEHIDCODE]]</f>
        <v>item_diesel_Jenbacher_Werke_2060</v>
      </c>
      <c r="O187" s="21" t="str">
        <f>"str_"&amp;CONTROL[[#This Row],[VEHIDCODE]]</f>
        <v>str_diesel_Jenbacher_Werke_2060</v>
      </c>
      <c r="P187" s="7" t="b">
        <f>_xlfn.XLOOKUP(CONTROL[[#This Row],[VEHIDCODE]],PROPERTIES[VEHIDCODE],PROPERTIES[IS_CONCEPT])="IS_CONCEPT"</f>
        <v>0</v>
      </c>
      <c r="Q187" s="7" t="b">
        <f>_xlfn.XLOOKUP(CONTROL[[#This Row],[VEHIDCODE]],PROPERTIES[VEHIDCODE],PROPERTIES[EXCLUDE])</f>
        <v>0</v>
      </c>
      <c r="R187" t="str" cm="1">
        <f t="array" ref="R187">_xlfn.XLOOKUP(CONTROL[[#This Row],[VEHIDCODE]],GRAPHICS_PROPERTIES[VEHIDCODE],GRAPHICS_PROPERTIES[TEMPLATE_ID]&amp;GRAPHICS_PROPERTIES[TEMPLATE_AMENDMENT_CODE])</f>
        <v>TPL_01A</v>
      </c>
    </row>
    <row r="188" spans="1:18" x14ac:dyDescent="0.35">
      <c r="A188" s="2" t="s">
        <v>2827</v>
      </c>
      <c r="B188" s="21" t="str">
        <f>_xlfn.TEXTAFTER(CONTROL[[#This Row],[VEHIDCODE]],"_")</f>
        <v>EMD_SW1200</v>
      </c>
      <c r="C188" t="str" cm="1">
        <f t="array" ref="C1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8" t="str" cm="1">
        <f t="array" ref="D1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8">
        <v>5016</v>
      </c>
      <c r="F188" s="32" t="s">
        <v>1985</v>
      </c>
      <c r="G188" t="s">
        <v>1220</v>
      </c>
      <c r="H188" s="2" t="b">
        <f>AND(CONTROL[[#This Row],[IS_WAGON_OR_COACH]]=TRUE,OR(RIGHT(CONTROL[[#This Row],[VEHIDCODE]],7)="Powered",RIGHT(CONTROL[[#This Row],[VEHIDCODE]],9)="Unpowered"))</f>
        <v>0</v>
      </c>
      <c r="I1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8" t="b">
        <f>ISNUMBER(_xlfn.XMATCH(CONTROL[[#This Row],[VEHIDCODE]],TRACK_TYPES[VEHIDCODE],0))</f>
        <v>1</v>
      </c>
      <c r="K188" t="b">
        <f>ISNUMBER(_xlfn.XMATCH(CONTROL[[#This Row],[VEHIDCODE]],PROPERTIES[VEHIDCODE],0))</f>
        <v>1</v>
      </c>
      <c r="L188" t="b">
        <f>ISNUMBER(_xlfn.XLOOKUP(CONTROL[[#This Row],[VEHIDCODE]],roster!A:A,roster!D:D))</f>
        <v>1</v>
      </c>
      <c r="M188" t="b">
        <f>ISNUMBER(_xlfn.XMATCH(CONTROL[[#This Row],[VEHIDCODE]],GRAPHICS_PROPERTIES[VEHIDCODE],0))</f>
        <v>1</v>
      </c>
      <c r="N188" s="21" t="str">
        <f>"item_"&amp;CONTROL[[#This Row],[VEHIDCODE]]</f>
        <v>item_diesel_EMD_SW1200</v>
      </c>
      <c r="O188" s="21" t="str">
        <f>"str_"&amp;CONTROL[[#This Row],[VEHIDCODE]]</f>
        <v>str_diesel_EMD_SW1200</v>
      </c>
      <c r="P188" s="7" t="b">
        <f>_xlfn.XLOOKUP(CONTROL[[#This Row],[VEHIDCODE]],PROPERTIES[VEHIDCODE],PROPERTIES[IS_CONCEPT])="IS_CONCEPT"</f>
        <v>0</v>
      </c>
      <c r="Q188" s="7" t="b">
        <f>_xlfn.XLOOKUP(CONTROL[[#This Row],[VEHIDCODE]],PROPERTIES[VEHIDCODE],PROPERTIES[EXCLUDE])</f>
        <v>0</v>
      </c>
      <c r="R188" t="str" cm="1">
        <f t="array" ref="R188">_xlfn.XLOOKUP(CONTROL[[#This Row],[VEHIDCODE]],GRAPHICS_PROPERTIES[VEHIDCODE],GRAPHICS_PROPERTIES[TEMPLATE_ID]&amp;GRAPHICS_PROPERTIES[TEMPLATE_AMENDMENT_CODE])</f>
        <v>TPL_01A</v>
      </c>
    </row>
    <row r="189" spans="1:18" x14ac:dyDescent="0.35">
      <c r="A189" s="2" t="s">
        <v>2828</v>
      </c>
      <c r="B189" s="21" t="str">
        <f>_xlfn.TEXTAFTER(CONTROL[[#This Row],[VEHIDCODE]],"_")</f>
        <v>EMD_FP9</v>
      </c>
      <c r="C189" t="str" cm="1">
        <f t="array" ref="C1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9" t="str" cm="1">
        <f t="array" ref="D1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9">
        <v>5017</v>
      </c>
      <c r="F189" s="32" t="s">
        <v>1986</v>
      </c>
      <c r="G189" t="s">
        <v>1221</v>
      </c>
      <c r="H189" s="2" t="b">
        <f>AND(CONTROL[[#This Row],[IS_WAGON_OR_COACH]]=TRUE,OR(RIGHT(CONTROL[[#This Row],[VEHIDCODE]],7)="Powered",RIGHT(CONTROL[[#This Row],[VEHIDCODE]],9)="Unpowered"))</f>
        <v>0</v>
      </c>
      <c r="I1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9" t="b">
        <f>ISNUMBER(_xlfn.XMATCH(CONTROL[[#This Row],[VEHIDCODE]],TRACK_TYPES[VEHIDCODE],0))</f>
        <v>1</v>
      </c>
      <c r="K189" t="b">
        <f>ISNUMBER(_xlfn.XMATCH(CONTROL[[#This Row],[VEHIDCODE]],PROPERTIES[VEHIDCODE],0))</f>
        <v>1</v>
      </c>
      <c r="L189" t="b">
        <f>ISNUMBER(_xlfn.XLOOKUP(CONTROL[[#This Row],[VEHIDCODE]],roster!A:A,roster!D:D))</f>
        <v>1</v>
      </c>
      <c r="M189" t="b">
        <f>ISNUMBER(_xlfn.XMATCH(CONTROL[[#This Row],[VEHIDCODE]],GRAPHICS_PROPERTIES[VEHIDCODE],0))</f>
        <v>1</v>
      </c>
      <c r="N189" s="21" t="str">
        <f>"item_"&amp;CONTROL[[#This Row],[VEHIDCODE]]</f>
        <v>item_diesel_EMD_FP9</v>
      </c>
      <c r="O189" s="21" t="str">
        <f>"str_"&amp;CONTROL[[#This Row],[VEHIDCODE]]</f>
        <v>str_diesel_EMD_FP9</v>
      </c>
      <c r="P189" s="7" t="b">
        <f>_xlfn.XLOOKUP(CONTROL[[#This Row],[VEHIDCODE]],PROPERTIES[VEHIDCODE],PROPERTIES[IS_CONCEPT])="IS_CONCEPT"</f>
        <v>0</v>
      </c>
      <c r="Q189" s="7" t="b">
        <f>_xlfn.XLOOKUP(CONTROL[[#This Row],[VEHIDCODE]],PROPERTIES[VEHIDCODE],PROPERTIES[EXCLUDE])</f>
        <v>0</v>
      </c>
      <c r="R189" t="str" cm="1">
        <f t="array" ref="R189">_xlfn.XLOOKUP(CONTROL[[#This Row],[VEHIDCODE]],GRAPHICS_PROPERTIES[VEHIDCODE],GRAPHICS_PROPERTIES[TEMPLATE_ID]&amp;GRAPHICS_PROPERTIES[TEMPLATE_AMENDMENT_CODE])</f>
        <v>TPL_17B</v>
      </c>
    </row>
    <row r="190" spans="1:18" x14ac:dyDescent="0.35">
      <c r="A190" s="2" t="s">
        <v>2829</v>
      </c>
      <c r="B190" s="21" t="str">
        <f>_xlfn.TEXTAFTER(CONTROL[[#This Row],[VEHIDCODE]],"_")</f>
        <v>Ganz_MAVAG_DVM2_M44</v>
      </c>
      <c r="C190" t="str" cm="1">
        <f t="array" ref="C1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0" t="str" cm="1">
        <f t="array" ref="D1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0">
        <v>5018</v>
      </c>
      <c r="F190" s="32" t="s">
        <v>2586</v>
      </c>
      <c r="G190" t="s">
        <v>1211</v>
      </c>
      <c r="H190" s="2" t="b">
        <f>AND(CONTROL[[#This Row],[IS_WAGON_OR_COACH]]=TRUE,OR(RIGHT(CONTROL[[#This Row],[VEHIDCODE]],7)="Powered",RIGHT(CONTROL[[#This Row],[VEHIDCODE]],9)="Unpowered"))</f>
        <v>0</v>
      </c>
      <c r="I1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0" t="b">
        <f>ISNUMBER(_xlfn.XMATCH(CONTROL[[#This Row],[VEHIDCODE]],TRACK_TYPES[VEHIDCODE],0))</f>
        <v>1</v>
      </c>
      <c r="K190" t="b">
        <f>ISNUMBER(_xlfn.XMATCH(CONTROL[[#This Row],[VEHIDCODE]],PROPERTIES[VEHIDCODE],0))</f>
        <v>1</v>
      </c>
      <c r="L190" t="b">
        <f>ISNUMBER(_xlfn.XLOOKUP(CONTROL[[#This Row],[VEHIDCODE]],roster!A:A,roster!D:D))</f>
        <v>1</v>
      </c>
      <c r="M190" t="b">
        <f>ISNUMBER(_xlfn.XMATCH(CONTROL[[#This Row],[VEHIDCODE]],GRAPHICS_PROPERTIES[VEHIDCODE],0))</f>
        <v>1</v>
      </c>
      <c r="N190" s="21" t="str">
        <f>"item_"&amp;CONTROL[[#This Row],[VEHIDCODE]]</f>
        <v>item_diesel_Ganz_MAVAG_DVM2_M44</v>
      </c>
      <c r="O190" s="21" t="str">
        <f>"str_"&amp;CONTROL[[#This Row],[VEHIDCODE]]</f>
        <v>str_diesel_Ganz_MAVAG_DVM2_M44</v>
      </c>
      <c r="P190" s="7" t="b">
        <f>_xlfn.XLOOKUP(CONTROL[[#This Row],[VEHIDCODE]],PROPERTIES[VEHIDCODE],PROPERTIES[IS_CONCEPT])="IS_CONCEPT"</f>
        <v>0</v>
      </c>
      <c r="Q190" s="7" t="b">
        <f>_xlfn.XLOOKUP(CONTROL[[#This Row],[VEHIDCODE]],PROPERTIES[VEHIDCODE],PROPERTIES[EXCLUDE])</f>
        <v>0</v>
      </c>
      <c r="R190" t="str" cm="1">
        <f t="array" ref="R190">_xlfn.XLOOKUP(CONTROL[[#This Row],[VEHIDCODE]],GRAPHICS_PROPERTIES[VEHIDCODE],GRAPHICS_PROPERTIES[TEMPLATE_ID]&amp;GRAPHICS_PROPERTIES[TEMPLATE_AMENDMENT_CODE])</f>
        <v>TPL_01A</v>
      </c>
    </row>
    <row r="191" spans="1:18" x14ac:dyDescent="0.35">
      <c r="A191" s="2" t="s">
        <v>3439</v>
      </c>
      <c r="B191" s="21" t="str">
        <f>_xlfn.TEXTAFTER(CONTROL[[#This Row],[VEHIDCODE]],"_")</f>
        <v>Raba_M_030_M28</v>
      </c>
      <c r="C191" t="str" cm="1">
        <f t="array" ref="C1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1" t="str" cm="1">
        <f t="array" ref="D1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1">
        <v>5019</v>
      </c>
      <c r="F191" s="32" t="s">
        <v>2619</v>
      </c>
      <c r="G191" t="s">
        <v>1222</v>
      </c>
      <c r="H191" s="2" t="b">
        <f>AND(CONTROL[[#This Row],[IS_WAGON_OR_COACH]]=TRUE,OR(RIGHT(CONTROL[[#This Row],[VEHIDCODE]],7)="Powered",RIGHT(CONTROL[[#This Row],[VEHIDCODE]],9)="Unpowered"))</f>
        <v>0</v>
      </c>
      <c r="I1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1" t="b">
        <f>ISNUMBER(_xlfn.XMATCH(CONTROL[[#This Row],[VEHIDCODE]],TRACK_TYPES[VEHIDCODE],0))</f>
        <v>1</v>
      </c>
      <c r="K191" t="b">
        <f>ISNUMBER(_xlfn.XMATCH(CONTROL[[#This Row],[VEHIDCODE]],PROPERTIES[VEHIDCODE],0))</f>
        <v>1</v>
      </c>
      <c r="L191" t="b">
        <f>ISNUMBER(_xlfn.XLOOKUP(CONTROL[[#This Row],[VEHIDCODE]],roster!A:A,roster!D:D))</f>
        <v>1</v>
      </c>
      <c r="M191" t="b">
        <f>ISNUMBER(_xlfn.XMATCH(CONTROL[[#This Row],[VEHIDCODE]],GRAPHICS_PROPERTIES[VEHIDCODE],0))</f>
        <v>1</v>
      </c>
      <c r="N191" s="21" t="str">
        <f>"item_"&amp;CONTROL[[#This Row],[VEHIDCODE]]</f>
        <v>item_diesel_Raba_M_030_M28</v>
      </c>
      <c r="O191" s="21" t="str">
        <f>"str_"&amp;CONTROL[[#This Row],[VEHIDCODE]]</f>
        <v>str_diesel_Raba_M_030_M28</v>
      </c>
      <c r="P191" s="7" t="b">
        <f>_xlfn.XLOOKUP(CONTROL[[#This Row],[VEHIDCODE]],PROPERTIES[VEHIDCODE],PROPERTIES[IS_CONCEPT])="IS_CONCEPT"</f>
        <v>0</v>
      </c>
      <c r="Q191" s="7" t="b">
        <f>_xlfn.XLOOKUP(CONTROL[[#This Row],[VEHIDCODE]],PROPERTIES[VEHIDCODE],PROPERTIES[EXCLUDE])</f>
        <v>0</v>
      </c>
      <c r="R191" t="str" cm="1">
        <f t="array" ref="R191">_xlfn.XLOOKUP(CONTROL[[#This Row],[VEHIDCODE]],GRAPHICS_PROPERTIES[VEHIDCODE],GRAPHICS_PROPERTIES[TEMPLATE_ID]&amp;GRAPHICS_PROPERTIES[TEMPLATE_AMENDMENT_CODE])</f>
        <v>TPL_01A</v>
      </c>
    </row>
    <row r="192" spans="1:18" x14ac:dyDescent="0.35">
      <c r="A192" s="2" t="s">
        <v>3440</v>
      </c>
      <c r="B192" s="21" t="str">
        <f>_xlfn.TEXTAFTER(CONTROL[[#This Row],[VEHIDCODE]],"_")</f>
        <v>Cockerill_Sambre_HLD_serie_83</v>
      </c>
      <c r="C192" t="str" cm="1">
        <f t="array" ref="C1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2" t="str" cm="1">
        <f t="array" ref="D1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2">
        <v>5020</v>
      </c>
      <c r="F192" s="32" t="s">
        <v>3441</v>
      </c>
      <c r="G192" t="s">
        <v>1223</v>
      </c>
      <c r="H192" s="2" t="b">
        <f>AND(CONTROL[[#This Row],[IS_WAGON_OR_COACH]]=TRUE,OR(RIGHT(CONTROL[[#This Row],[VEHIDCODE]],7)="Powered",RIGHT(CONTROL[[#This Row],[VEHIDCODE]],9)="Unpowered"))</f>
        <v>0</v>
      </c>
      <c r="I1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2" t="b">
        <f>ISNUMBER(_xlfn.XMATCH(CONTROL[[#This Row],[VEHIDCODE]],TRACK_TYPES[VEHIDCODE],0))</f>
        <v>1</v>
      </c>
      <c r="K192" t="b">
        <f>ISNUMBER(_xlfn.XMATCH(CONTROL[[#This Row],[VEHIDCODE]],PROPERTIES[VEHIDCODE],0))</f>
        <v>1</v>
      </c>
      <c r="L192" t="b">
        <f>ISNUMBER(_xlfn.XLOOKUP(CONTROL[[#This Row],[VEHIDCODE]],roster!A:A,roster!D:D))</f>
        <v>1</v>
      </c>
      <c r="M192" t="b">
        <f>ISNUMBER(_xlfn.XMATCH(CONTROL[[#This Row],[VEHIDCODE]],GRAPHICS_PROPERTIES[VEHIDCODE],0))</f>
        <v>1</v>
      </c>
      <c r="N192" s="21" t="str">
        <f>"item_"&amp;CONTROL[[#This Row],[VEHIDCODE]]</f>
        <v>item_diesel_Cockerill_Sambre_HLD_serie_83</v>
      </c>
      <c r="O192" s="21" t="str">
        <f>"str_"&amp;CONTROL[[#This Row],[VEHIDCODE]]</f>
        <v>str_diesel_Cockerill_Sambre_HLD_serie_83</v>
      </c>
      <c r="P192" s="7" t="b">
        <f>_xlfn.XLOOKUP(CONTROL[[#This Row],[VEHIDCODE]],PROPERTIES[VEHIDCODE],PROPERTIES[IS_CONCEPT])="IS_CONCEPT"</f>
        <v>0</v>
      </c>
      <c r="Q192" s="7" t="b">
        <f>_xlfn.XLOOKUP(CONTROL[[#This Row],[VEHIDCODE]],PROPERTIES[VEHIDCODE],PROPERTIES[EXCLUDE])</f>
        <v>0</v>
      </c>
      <c r="R192" t="str" cm="1">
        <f t="array" ref="R192">_xlfn.XLOOKUP(CONTROL[[#This Row],[VEHIDCODE]],GRAPHICS_PROPERTIES[VEHIDCODE],GRAPHICS_PROPERTIES[TEMPLATE_ID]&amp;GRAPHICS_PROPERTIES[TEMPLATE_AMENDMENT_CODE])</f>
        <v>TPL_03C</v>
      </c>
    </row>
    <row r="193" spans="1:18" x14ac:dyDescent="0.35">
      <c r="A193" s="2" t="s">
        <v>2830</v>
      </c>
      <c r="B193" s="21" t="str">
        <f>_xlfn.TEXTAFTER(CONTROL[[#This Row],[VEHIDCODE]],"_")</f>
        <v>Krauss_Maffei_V200</v>
      </c>
      <c r="C193" t="str" cm="1">
        <f t="array" ref="C1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3" t="str" cm="1">
        <f t="array" ref="D1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3">
        <v>5021</v>
      </c>
      <c r="F193" s="32" t="s">
        <v>2161</v>
      </c>
      <c r="G193" t="s">
        <v>1224</v>
      </c>
      <c r="H193" s="2" t="b">
        <f>AND(CONTROL[[#This Row],[IS_WAGON_OR_COACH]]=TRUE,OR(RIGHT(CONTROL[[#This Row],[VEHIDCODE]],7)="Powered",RIGHT(CONTROL[[#This Row],[VEHIDCODE]],9)="Unpowered"))</f>
        <v>0</v>
      </c>
      <c r="I1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3" t="b">
        <f>ISNUMBER(_xlfn.XMATCH(CONTROL[[#This Row],[VEHIDCODE]],TRACK_TYPES[VEHIDCODE],0))</f>
        <v>1</v>
      </c>
      <c r="K193" t="b">
        <f>ISNUMBER(_xlfn.XMATCH(CONTROL[[#This Row],[VEHIDCODE]],PROPERTIES[VEHIDCODE],0))</f>
        <v>1</v>
      </c>
      <c r="L193" t="b">
        <f>ISNUMBER(_xlfn.XLOOKUP(CONTROL[[#This Row],[VEHIDCODE]],roster!A:A,roster!D:D))</f>
        <v>1</v>
      </c>
      <c r="M193" t="b">
        <f>ISNUMBER(_xlfn.XMATCH(CONTROL[[#This Row],[VEHIDCODE]],GRAPHICS_PROPERTIES[VEHIDCODE],0))</f>
        <v>1</v>
      </c>
      <c r="N193" s="21" t="str">
        <f>"item_"&amp;CONTROL[[#This Row],[VEHIDCODE]]</f>
        <v>item_diesel_Krauss_Maffei_V200</v>
      </c>
      <c r="O193" s="21" t="str">
        <f>"str_"&amp;CONTROL[[#This Row],[VEHIDCODE]]</f>
        <v>str_diesel_Krauss_Maffei_V200</v>
      </c>
      <c r="P193" s="7" t="b">
        <f>_xlfn.XLOOKUP(CONTROL[[#This Row],[VEHIDCODE]],PROPERTIES[VEHIDCODE],PROPERTIES[IS_CONCEPT])="IS_CONCEPT"</f>
        <v>0</v>
      </c>
      <c r="Q193" s="7" t="b">
        <f>_xlfn.XLOOKUP(CONTROL[[#This Row],[VEHIDCODE]],PROPERTIES[VEHIDCODE],PROPERTIES[EXCLUDE])</f>
        <v>0</v>
      </c>
      <c r="R193" t="str" cm="1">
        <f t="array" ref="R193">_xlfn.XLOOKUP(CONTROL[[#This Row],[VEHIDCODE]],GRAPHICS_PROPERTIES[VEHIDCODE],GRAPHICS_PROPERTIES[TEMPLATE_ID]&amp;GRAPHICS_PROPERTIES[TEMPLATE_AMENDMENT_CODE])</f>
        <v>TPL_01A</v>
      </c>
    </row>
    <row r="194" spans="1:18" x14ac:dyDescent="0.35">
      <c r="A194" s="2" t="s">
        <v>2831</v>
      </c>
      <c r="B194" s="21" t="str">
        <f>_xlfn.TEXTAFTER(CONTROL[[#This Row],[VEHIDCODE]],"_")</f>
        <v>EMD_FL9</v>
      </c>
      <c r="C194" t="str" cm="1">
        <f t="array" ref="C1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4" t="str" cm="1">
        <f t="array" ref="D1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4">
        <v>5022</v>
      </c>
      <c r="F194" s="32" t="s">
        <v>1987</v>
      </c>
      <c r="G194" t="s">
        <v>1225</v>
      </c>
      <c r="H194" s="2" t="b">
        <f>AND(CONTROL[[#This Row],[IS_WAGON_OR_COACH]]=TRUE,OR(RIGHT(CONTROL[[#This Row],[VEHIDCODE]],7)="Powered",RIGHT(CONTROL[[#This Row],[VEHIDCODE]],9)="Unpowered"))</f>
        <v>0</v>
      </c>
      <c r="I1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4" t="b">
        <f>ISNUMBER(_xlfn.XMATCH(CONTROL[[#This Row],[VEHIDCODE]],TRACK_TYPES[VEHIDCODE],0))</f>
        <v>1</v>
      </c>
      <c r="K194" t="b">
        <f>ISNUMBER(_xlfn.XMATCH(CONTROL[[#This Row],[VEHIDCODE]],PROPERTIES[VEHIDCODE],0))</f>
        <v>1</v>
      </c>
      <c r="L194" t="b">
        <f>ISNUMBER(_xlfn.XLOOKUP(CONTROL[[#This Row],[VEHIDCODE]],roster!A:A,roster!D:D))</f>
        <v>1</v>
      </c>
      <c r="M194" t="b">
        <f>ISNUMBER(_xlfn.XMATCH(CONTROL[[#This Row],[VEHIDCODE]],GRAPHICS_PROPERTIES[VEHIDCODE],0))</f>
        <v>1</v>
      </c>
      <c r="N194" s="21" t="str">
        <f>"item_"&amp;CONTROL[[#This Row],[VEHIDCODE]]</f>
        <v>item_diesel_EMD_FL9</v>
      </c>
      <c r="O194" s="21" t="str">
        <f>"str_"&amp;CONTROL[[#This Row],[VEHIDCODE]]</f>
        <v>str_diesel_EMD_FL9</v>
      </c>
      <c r="P194" s="7" t="b">
        <f>_xlfn.XLOOKUP(CONTROL[[#This Row],[VEHIDCODE]],PROPERTIES[VEHIDCODE],PROPERTIES[IS_CONCEPT])="IS_CONCEPT"</f>
        <v>0</v>
      </c>
      <c r="Q194" s="7" t="b">
        <f>_xlfn.XLOOKUP(CONTROL[[#This Row],[VEHIDCODE]],PROPERTIES[VEHIDCODE],PROPERTIES[EXCLUDE])</f>
        <v>0</v>
      </c>
      <c r="R194" t="str" cm="1">
        <f t="array" ref="R194">_xlfn.XLOOKUP(CONTROL[[#This Row],[VEHIDCODE]],GRAPHICS_PROPERTIES[VEHIDCODE],GRAPHICS_PROPERTIES[TEMPLATE_ID]&amp;GRAPHICS_PROPERTIES[TEMPLATE_AMENDMENT_CODE])</f>
        <v>TPL_01A</v>
      </c>
    </row>
    <row r="195" spans="1:18" x14ac:dyDescent="0.35">
      <c r="A195" s="2" t="s">
        <v>2832</v>
      </c>
      <c r="B195" s="21" t="str">
        <f>_xlfn.TEXTAFTER(CONTROL[[#This Row],[VEHIDCODE]],"_")</f>
        <v>CKD_T_435_0</v>
      </c>
      <c r="C195" t="str" cm="1">
        <f t="array" ref="C1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5" t="str" cm="1">
        <f t="array" ref="D1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5">
        <v>5023</v>
      </c>
      <c r="F195" s="32" t="s">
        <v>1966</v>
      </c>
      <c r="G195" t="s">
        <v>1226</v>
      </c>
      <c r="H195" s="2" t="b">
        <f>AND(CONTROL[[#This Row],[IS_WAGON_OR_COACH]]=TRUE,OR(RIGHT(CONTROL[[#This Row],[VEHIDCODE]],7)="Powered",RIGHT(CONTROL[[#This Row],[VEHIDCODE]],9)="Unpowered"))</f>
        <v>0</v>
      </c>
      <c r="I1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5" t="b">
        <f>ISNUMBER(_xlfn.XMATCH(CONTROL[[#This Row],[VEHIDCODE]],TRACK_TYPES[VEHIDCODE],0))</f>
        <v>1</v>
      </c>
      <c r="K195" t="b">
        <f>ISNUMBER(_xlfn.XMATCH(CONTROL[[#This Row],[VEHIDCODE]],PROPERTIES[VEHIDCODE],0))</f>
        <v>1</v>
      </c>
      <c r="L195" t="b">
        <f>ISNUMBER(_xlfn.XLOOKUP(CONTROL[[#This Row],[VEHIDCODE]],roster!A:A,roster!D:D))</f>
        <v>1</v>
      </c>
      <c r="M195" t="b">
        <f>ISNUMBER(_xlfn.XMATCH(CONTROL[[#This Row],[VEHIDCODE]],GRAPHICS_PROPERTIES[VEHIDCODE],0))</f>
        <v>1</v>
      </c>
      <c r="N195" s="21" t="str">
        <f>"item_"&amp;CONTROL[[#This Row],[VEHIDCODE]]</f>
        <v>item_diesel_CKD_T_435_0</v>
      </c>
      <c r="O195" s="21" t="str">
        <f>"str_"&amp;CONTROL[[#This Row],[VEHIDCODE]]</f>
        <v>str_diesel_CKD_T_435_0</v>
      </c>
      <c r="P195" s="7" t="b">
        <f>_xlfn.XLOOKUP(CONTROL[[#This Row],[VEHIDCODE]],PROPERTIES[VEHIDCODE],PROPERTIES[IS_CONCEPT])="IS_CONCEPT"</f>
        <v>0</v>
      </c>
      <c r="Q195" s="7" t="b">
        <f>_xlfn.XLOOKUP(CONTROL[[#This Row],[VEHIDCODE]],PROPERTIES[VEHIDCODE],PROPERTIES[EXCLUDE])</f>
        <v>0</v>
      </c>
      <c r="R195" t="str" cm="1">
        <f t="array" ref="R195">_xlfn.XLOOKUP(CONTROL[[#This Row],[VEHIDCODE]],GRAPHICS_PROPERTIES[VEHIDCODE],GRAPHICS_PROPERTIES[TEMPLATE_ID]&amp;GRAPHICS_PROPERTIES[TEMPLATE_AMENDMENT_CODE])</f>
        <v>TPL_01A</v>
      </c>
    </row>
    <row r="196" spans="1:18" x14ac:dyDescent="0.35">
      <c r="A196" s="2" t="s">
        <v>2833</v>
      </c>
      <c r="B196" s="21" t="str">
        <f>_xlfn.TEXTAFTER(CONTROL[[#This Row],[VEHIDCODE]],"_")</f>
        <v>Valmet_Lokomo_Dr12</v>
      </c>
      <c r="C196" t="str" cm="1">
        <f t="array" ref="C1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6" t="str" cm="1">
        <f t="array" ref="D1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6">
        <v>5024</v>
      </c>
      <c r="F196" s="32" t="s">
        <v>2601</v>
      </c>
      <c r="G196" t="s">
        <v>1227</v>
      </c>
      <c r="H196" s="2" t="b">
        <f>AND(CONTROL[[#This Row],[IS_WAGON_OR_COACH]]=TRUE,OR(RIGHT(CONTROL[[#This Row],[VEHIDCODE]],7)="Powered",RIGHT(CONTROL[[#This Row],[VEHIDCODE]],9)="Unpowered"))</f>
        <v>0</v>
      </c>
      <c r="I1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6" t="b">
        <f>ISNUMBER(_xlfn.XMATCH(CONTROL[[#This Row],[VEHIDCODE]],TRACK_TYPES[VEHIDCODE],0))</f>
        <v>1</v>
      </c>
      <c r="K196" t="b">
        <f>ISNUMBER(_xlfn.XMATCH(CONTROL[[#This Row],[VEHIDCODE]],PROPERTIES[VEHIDCODE],0))</f>
        <v>1</v>
      </c>
      <c r="L196" t="b">
        <f>ISNUMBER(_xlfn.XLOOKUP(CONTROL[[#This Row],[VEHIDCODE]],roster!A:A,roster!D:D))</f>
        <v>1</v>
      </c>
      <c r="M196" t="b">
        <f>ISNUMBER(_xlfn.XMATCH(CONTROL[[#This Row],[VEHIDCODE]],GRAPHICS_PROPERTIES[VEHIDCODE],0))</f>
        <v>1</v>
      </c>
      <c r="N196" s="21" t="str">
        <f>"item_"&amp;CONTROL[[#This Row],[VEHIDCODE]]</f>
        <v>item_diesel_Valmet_Lokomo_Dr12</v>
      </c>
      <c r="O196" s="21" t="str">
        <f>"str_"&amp;CONTROL[[#This Row],[VEHIDCODE]]</f>
        <v>str_diesel_Valmet_Lokomo_Dr12</v>
      </c>
      <c r="P196" s="7" t="b">
        <f>_xlfn.XLOOKUP(CONTROL[[#This Row],[VEHIDCODE]],PROPERTIES[VEHIDCODE],PROPERTIES[IS_CONCEPT])="IS_CONCEPT"</f>
        <v>0</v>
      </c>
      <c r="Q196" s="7" t="b">
        <f>_xlfn.XLOOKUP(CONTROL[[#This Row],[VEHIDCODE]],PROPERTIES[VEHIDCODE],PROPERTIES[EXCLUDE])</f>
        <v>0</v>
      </c>
      <c r="R196" t="str" cm="1">
        <f t="array" ref="R196">_xlfn.XLOOKUP(CONTROL[[#This Row],[VEHIDCODE]],GRAPHICS_PROPERTIES[VEHIDCODE],GRAPHICS_PROPERTIES[TEMPLATE_ID]&amp;GRAPHICS_PROPERTIES[TEMPLATE_AMENDMENT_CODE])</f>
        <v>TPL_01A</v>
      </c>
    </row>
    <row r="197" spans="1:18" x14ac:dyDescent="0.35">
      <c r="A197" s="2" t="s">
        <v>2834</v>
      </c>
      <c r="B197" s="21" t="str">
        <f>_xlfn.TEXTAFTER(CONTROL[[#This Row],[VEHIDCODE]],"_")</f>
        <v>Electroputre_060_DA</v>
      </c>
      <c r="C197" t="str" cm="1">
        <f t="array" ref="C1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7" t="str" cm="1">
        <f t="array" ref="D1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7">
        <v>5025</v>
      </c>
      <c r="F197" s="32" t="s">
        <v>1988</v>
      </c>
      <c r="G197" t="s">
        <v>1228</v>
      </c>
      <c r="H197" s="2" t="b">
        <f>AND(CONTROL[[#This Row],[IS_WAGON_OR_COACH]]=TRUE,OR(RIGHT(CONTROL[[#This Row],[VEHIDCODE]],7)="Powered",RIGHT(CONTROL[[#This Row],[VEHIDCODE]],9)="Unpowered"))</f>
        <v>0</v>
      </c>
      <c r="I1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7" t="b">
        <f>ISNUMBER(_xlfn.XMATCH(CONTROL[[#This Row],[VEHIDCODE]],TRACK_TYPES[VEHIDCODE],0))</f>
        <v>1</v>
      </c>
      <c r="K197" t="b">
        <f>ISNUMBER(_xlfn.XMATCH(CONTROL[[#This Row],[VEHIDCODE]],PROPERTIES[VEHIDCODE],0))</f>
        <v>1</v>
      </c>
      <c r="L197" t="b">
        <f>ISNUMBER(_xlfn.XLOOKUP(CONTROL[[#This Row],[VEHIDCODE]],roster!A:A,roster!D:D))</f>
        <v>1</v>
      </c>
      <c r="M197" t="b">
        <f>ISNUMBER(_xlfn.XMATCH(CONTROL[[#This Row],[VEHIDCODE]],GRAPHICS_PROPERTIES[VEHIDCODE],0))</f>
        <v>1</v>
      </c>
      <c r="N197" s="21" t="str">
        <f>"item_"&amp;CONTROL[[#This Row],[VEHIDCODE]]</f>
        <v>item_diesel_Electroputre_060_DA</v>
      </c>
      <c r="O197" s="21" t="str">
        <f>"str_"&amp;CONTROL[[#This Row],[VEHIDCODE]]</f>
        <v>str_diesel_Electroputre_060_DA</v>
      </c>
      <c r="P197" s="7" t="b">
        <f>_xlfn.XLOOKUP(CONTROL[[#This Row],[VEHIDCODE]],PROPERTIES[VEHIDCODE],PROPERTIES[IS_CONCEPT])="IS_CONCEPT"</f>
        <v>0</v>
      </c>
      <c r="Q197" s="7" t="b">
        <f>_xlfn.XLOOKUP(CONTROL[[#This Row],[VEHIDCODE]],PROPERTIES[VEHIDCODE],PROPERTIES[EXCLUDE])</f>
        <v>0</v>
      </c>
      <c r="R197" t="str" cm="1">
        <f t="array" ref="R197">_xlfn.XLOOKUP(CONTROL[[#This Row],[VEHIDCODE]],GRAPHICS_PROPERTIES[VEHIDCODE],GRAPHICS_PROPERTIES[TEMPLATE_ID]&amp;GRAPHICS_PROPERTIES[TEMPLATE_AMENDMENT_CODE])</f>
        <v>TPL_01A</v>
      </c>
    </row>
    <row r="198" spans="1:18" x14ac:dyDescent="0.35">
      <c r="A198" s="2" t="s">
        <v>2835</v>
      </c>
      <c r="B198" s="21" t="str">
        <f>_xlfn.TEXTAFTER(CONTROL[[#This Row],[VEHIDCODE]],"_")</f>
        <v>EMD_GL8</v>
      </c>
      <c r="C198" t="str" cm="1">
        <f t="array" ref="C1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8" t="str" cm="1">
        <f t="array" ref="D1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8">
        <v>5026</v>
      </c>
      <c r="F198" s="32" t="s">
        <v>1989</v>
      </c>
      <c r="G198" t="s">
        <v>1229</v>
      </c>
      <c r="H198" s="2" t="b">
        <f>AND(CONTROL[[#This Row],[IS_WAGON_OR_COACH]]=TRUE,OR(RIGHT(CONTROL[[#This Row],[VEHIDCODE]],7)="Powered",RIGHT(CONTROL[[#This Row],[VEHIDCODE]],9)="Unpowered"))</f>
        <v>0</v>
      </c>
      <c r="I1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8" t="b">
        <f>ISNUMBER(_xlfn.XMATCH(CONTROL[[#This Row],[VEHIDCODE]],TRACK_TYPES[VEHIDCODE],0))</f>
        <v>1</v>
      </c>
      <c r="K198" t="b">
        <f>ISNUMBER(_xlfn.XMATCH(CONTROL[[#This Row],[VEHIDCODE]],PROPERTIES[VEHIDCODE],0))</f>
        <v>1</v>
      </c>
      <c r="L198" t="b">
        <f>ISNUMBER(_xlfn.XLOOKUP(CONTROL[[#This Row],[VEHIDCODE]],roster!A:A,roster!D:D))</f>
        <v>1</v>
      </c>
      <c r="M198" t="b">
        <f>ISNUMBER(_xlfn.XMATCH(CONTROL[[#This Row],[VEHIDCODE]],GRAPHICS_PROPERTIES[VEHIDCODE],0))</f>
        <v>1</v>
      </c>
      <c r="N198" s="21" t="str">
        <f>"item_"&amp;CONTROL[[#This Row],[VEHIDCODE]]</f>
        <v>item_diesel_EMD_GL8</v>
      </c>
      <c r="O198" s="21" t="str">
        <f>"str_"&amp;CONTROL[[#This Row],[VEHIDCODE]]</f>
        <v>str_diesel_EMD_GL8</v>
      </c>
      <c r="P198" s="7" t="b">
        <f>_xlfn.XLOOKUP(CONTROL[[#This Row],[VEHIDCODE]],PROPERTIES[VEHIDCODE],PROPERTIES[IS_CONCEPT])="IS_CONCEPT"</f>
        <v>0</v>
      </c>
      <c r="Q198" s="7" t="b">
        <f>_xlfn.XLOOKUP(CONTROL[[#This Row],[VEHIDCODE]],PROPERTIES[VEHIDCODE],PROPERTIES[EXCLUDE])</f>
        <v>0</v>
      </c>
      <c r="R198" t="str" cm="1">
        <f t="array" ref="R198">_xlfn.XLOOKUP(CONTROL[[#This Row],[VEHIDCODE]],GRAPHICS_PROPERTIES[VEHIDCODE],GRAPHICS_PROPERTIES[TEMPLATE_ID]&amp;GRAPHICS_PROPERTIES[TEMPLATE_AMENDMENT_CODE])</f>
        <v>TPL_03F</v>
      </c>
    </row>
    <row r="199" spans="1:18" x14ac:dyDescent="0.35">
      <c r="A199" s="2" t="s">
        <v>2836</v>
      </c>
      <c r="B199" s="21" t="str">
        <f>_xlfn.TEXTAFTER(CONTROL[[#This Row],[VEHIDCODE]],"_")</f>
        <v>Krauss_Maffei_ML_4000</v>
      </c>
      <c r="C199" t="str" cm="1">
        <f t="array" ref="C1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9" t="str" cm="1">
        <f t="array" ref="D1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9">
        <v>5027</v>
      </c>
      <c r="F199" s="32" t="s">
        <v>2014</v>
      </c>
      <c r="G199" t="s">
        <v>1230</v>
      </c>
      <c r="H199" s="2" t="b">
        <f>AND(CONTROL[[#This Row],[IS_WAGON_OR_COACH]]=TRUE,OR(RIGHT(CONTROL[[#This Row],[VEHIDCODE]],7)="Powered",RIGHT(CONTROL[[#This Row],[VEHIDCODE]],9)="Unpowered"))</f>
        <v>0</v>
      </c>
      <c r="I1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9" t="b">
        <f>ISNUMBER(_xlfn.XMATCH(CONTROL[[#This Row],[VEHIDCODE]],TRACK_TYPES[VEHIDCODE],0))</f>
        <v>1</v>
      </c>
      <c r="K199" t="b">
        <f>ISNUMBER(_xlfn.XMATCH(CONTROL[[#This Row],[VEHIDCODE]],PROPERTIES[VEHIDCODE],0))</f>
        <v>1</v>
      </c>
      <c r="L199" t="b">
        <f>ISNUMBER(_xlfn.XLOOKUP(CONTROL[[#This Row],[VEHIDCODE]],roster!A:A,roster!D:D))</f>
        <v>1</v>
      </c>
      <c r="M199" t="b">
        <f>ISNUMBER(_xlfn.XMATCH(CONTROL[[#This Row],[VEHIDCODE]],GRAPHICS_PROPERTIES[VEHIDCODE],0))</f>
        <v>1</v>
      </c>
      <c r="N199" s="21" t="str">
        <f>"item_"&amp;CONTROL[[#This Row],[VEHIDCODE]]</f>
        <v>item_diesel_Krauss_Maffei_ML_4000</v>
      </c>
      <c r="O199" s="21" t="str">
        <f>"str_"&amp;CONTROL[[#This Row],[VEHIDCODE]]</f>
        <v>str_diesel_Krauss_Maffei_ML_4000</v>
      </c>
      <c r="P199" s="7" t="b">
        <f>_xlfn.XLOOKUP(CONTROL[[#This Row],[VEHIDCODE]],PROPERTIES[VEHIDCODE],PROPERTIES[IS_CONCEPT])="IS_CONCEPT"</f>
        <v>0</v>
      </c>
      <c r="Q199" s="7" t="b">
        <f>_xlfn.XLOOKUP(CONTROL[[#This Row],[VEHIDCODE]],PROPERTIES[VEHIDCODE],PROPERTIES[EXCLUDE])</f>
        <v>0</v>
      </c>
      <c r="R199" t="str" cm="1">
        <f t="array" ref="R199">_xlfn.XLOOKUP(CONTROL[[#This Row],[VEHIDCODE]],GRAPHICS_PROPERTIES[VEHIDCODE],GRAPHICS_PROPERTIES[TEMPLATE_ID]&amp;GRAPHICS_PROPERTIES[TEMPLATE_AMENDMENT_CODE])</f>
        <v>TPL_01A</v>
      </c>
    </row>
    <row r="200" spans="1:18" x14ac:dyDescent="0.35">
      <c r="A200" s="2" t="s">
        <v>2837</v>
      </c>
      <c r="B200" s="21" t="str">
        <f>_xlfn.TEXTAFTER(CONTROL[[#This Row],[VEHIDCODE]],"_")</f>
        <v>Kolomna_TEP60</v>
      </c>
      <c r="C200" t="str" cm="1">
        <f t="array" ref="C2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0" t="str" cm="1">
        <f t="array" ref="D2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0">
        <v>5028</v>
      </c>
      <c r="F200" s="32" t="s">
        <v>1990</v>
      </c>
      <c r="G200" t="s">
        <v>1231</v>
      </c>
      <c r="H200" s="2" t="b">
        <f>AND(CONTROL[[#This Row],[IS_WAGON_OR_COACH]]=TRUE,OR(RIGHT(CONTROL[[#This Row],[VEHIDCODE]],7)="Powered",RIGHT(CONTROL[[#This Row],[VEHIDCODE]],9)="Unpowered"))</f>
        <v>0</v>
      </c>
      <c r="I2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0" t="b">
        <f>ISNUMBER(_xlfn.XMATCH(CONTROL[[#This Row],[VEHIDCODE]],TRACK_TYPES[VEHIDCODE],0))</f>
        <v>1</v>
      </c>
      <c r="K200" t="b">
        <f>ISNUMBER(_xlfn.XMATCH(CONTROL[[#This Row],[VEHIDCODE]],PROPERTIES[VEHIDCODE],0))</f>
        <v>1</v>
      </c>
      <c r="L200" t="b">
        <f>ISNUMBER(_xlfn.XLOOKUP(CONTROL[[#This Row],[VEHIDCODE]],roster!A:A,roster!D:D))</f>
        <v>1</v>
      </c>
      <c r="M200" t="b">
        <f>ISNUMBER(_xlfn.XMATCH(CONTROL[[#This Row],[VEHIDCODE]],GRAPHICS_PROPERTIES[VEHIDCODE],0))</f>
        <v>1</v>
      </c>
      <c r="N200" s="21" t="str">
        <f>"item_"&amp;CONTROL[[#This Row],[VEHIDCODE]]</f>
        <v>item_diesel_Kolomna_TEP60</v>
      </c>
      <c r="O200" s="21" t="str">
        <f>"str_"&amp;CONTROL[[#This Row],[VEHIDCODE]]</f>
        <v>str_diesel_Kolomna_TEP60</v>
      </c>
      <c r="P200" s="7" t="b">
        <f>_xlfn.XLOOKUP(CONTROL[[#This Row],[VEHIDCODE]],PROPERTIES[VEHIDCODE],PROPERTIES[IS_CONCEPT])="IS_CONCEPT"</f>
        <v>0</v>
      </c>
      <c r="Q200" s="7" t="b">
        <f>_xlfn.XLOOKUP(CONTROL[[#This Row],[VEHIDCODE]],PROPERTIES[VEHIDCODE],PROPERTIES[EXCLUDE])</f>
        <v>0</v>
      </c>
      <c r="R200" t="str" cm="1">
        <f t="array" ref="R200">_xlfn.XLOOKUP(CONTROL[[#This Row],[VEHIDCODE]],GRAPHICS_PROPERTIES[VEHIDCODE],GRAPHICS_PROPERTIES[TEMPLATE_ID]&amp;GRAPHICS_PROPERTIES[TEMPLATE_AMENDMENT_CODE])</f>
        <v>TPL_01A</v>
      </c>
    </row>
    <row r="201" spans="1:18" x14ac:dyDescent="0.35">
      <c r="A201" s="2" t="s">
        <v>2838</v>
      </c>
      <c r="B201" s="21" t="str">
        <f>_xlfn.TEXTAFTER(CONTROL[[#This Row],[VEHIDCODE]],"_")</f>
        <v>BN_ACEC_62</v>
      </c>
      <c r="C201" t="str" cm="1">
        <f t="array" ref="C2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1" t="str" cm="1">
        <f t="array" ref="D2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1">
        <v>5029</v>
      </c>
      <c r="F201" s="32" t="s">
        <v>2162</v>
      </c>
      <c r="G201" t="s">
        <v>1232</v>
      </c>
      <c r="H201" s="2" t="b">
        <f>AND(CONTROL[[#This Row],[IS_WAGON_OR_COACH]]=TRUE,OR(RIGHT(CONTROL[[#This Row],[VEHIDCODE]],7)="Powered",RIGHT(CONTROL[[#This Row],[VEHIDCODE]],9)="Unpowered"))</f>
        <v>0</v>
      </c>
      <c r="I2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1" t="b">
        <f>ISNUMBER(_xlfn.XMATCH(CONTROL[[#This Row],[VEHIDCODE]],TRACK_TYPES[VEHIDCODE],0))</f>
        <v>1</v>
      </c>
      <c r="K201" t="b">
        <f>ISNUMBER(_xlfn.XMATCH(CONTROL[[#This Row],[VEHIDCODE]],PROPERTIES[VEHIDCODE],0))</f>
        <v>1</v>
      </c>
      <c r="L201" t="b">
        <f>ISNUMBER(_xlfn.XLOOKUP(CONTROL[[#This Row],[VEHIDCODE]],roster!A:A,roster!D:D))</f>
        <v>1</v>
      </c>
      <c r="M201" t="b">
        <f>ISNUMBER(_xlfn.XMATCH(CONTROL[[#This Row],[VEHIDCODE]],GRAPHICS_PROPERTIES[VEHIDCODE],0))</f>
        <v>1</v>
      </c>
      <c r="N201" s="21" t="str">
        <f>"item_"&amp;CONTROL[[#This Row],[VEHIDCODE]]</f>
        <v>item_diesel_BN_ACEC_62</v>
      </c>
      <c r="O201" s="21" t="str">
        <f>"str_"&amp;CONTROL[[#This Row],[VEHIDCODE]]</f>
        <v>str_diesel_BN_ACEC_62</v>
      </c>
      <c r="P201" s="7" t="b">
        <f>_xlfn.XLOOKUP(CONTROL[[#This Row],[VEHIDCODE]],PROPERTIES[VEHIDCODE],PROPERTIES[IS_CONCEPT])="IS_CONCEPT"</f>
        <v>0</v>
      </c>
      <c r="Q201" s="7" t="b">
        <f>_xlfn.XLOOKUP(CONTROL[[#This Row],[VEHIDCODE]],PROPERTIES[VEHIDCODE],PROPERTIES[EXCLUDE])</f>
        <v>0</v>
      </c>
      <c r="R201" t="str" cm="1">
        <f t="array" ref="R201">_xlfn.XLOOKUP(CONTROL[[#This Row],[VEHIDCODE]],GRAPHICS_PROPERTIES[VEHIDCODE],GRAPHICS_PROPERTIES[TEMPLATE_ID]&amp;GRAPHICS_PROPERTIES[TEMPLATE_AMENDMENT_CODE])</f>
        <v>TPL_01A</v>
      </c>
    </row>
    <row r="202" spans="1:18" x14ac:dyDescent="0.35">
      <c r="A202" s="2" t="s">
        <v>2839</v>
      </c>
      <c r="B202" s="21" t="str">
        <f>_xlfn.TEXTAFTER(CONTROL[[#This Row],[VEHIDCODE]],"_")</f>
        <v>MaK_100</v>
      </c>
      <c r="C202" t="str" cm="1">
        <f t="array" ref="C2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2" t="str" cm="1">
        <f t="array" ref="D2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2">
        <v>5030</v>
      </c>
      <c r="F202" s="32" t="s">
        <v>1991</v>
      </c>
      <c r="G202" t="s">
        <v>1233</v>
      </c>
      <c r="H202" s="2" t="b">
        <f>AND(CONTROL[[#This Row],[IS_WAGON_OR_COACH]]=TRUE,OR(RIGHT(CONTROL[[#This Row],[VEHIDCODE]],7)="Powered",RIGHT(CONTROL[[#This Row],[VEHIDCODE]],9)="Unpowered"))</f>
        <v>0</v>
      </c>
      <c r="I2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2" t="b">
        <f>ISNUMBER(_xlfn.XMATCH(CONTROL[[#This Row],[VEHIDCODE]],TRACK_TYPES[VEHIDCODE],0))</f>
        <v>1</v>
      </c>
      <c r="K202" t="b">
        <f>ISNUMBER(_xlfn.XMATCH(CONTROL[[#This Row],[VEHIDCODE]],PROPERTIES[VEHIDCODE],0))</f>
        <v>1</v>
      </c>
      <c r="L202" t="b">
        <f>ISNUMBER(_xlfn.XLOOKUP(CONTROL[[#This Row],[VEHIDCODE]],roster!A:A,roster!D:D))</f>
        <v>1</v>
      </c>
      <c r="M202" t="b">
        <f>ISNUMBER(_xlfn.XMATCH(CONTROL[[#This Row],[VEHIDCODE]],GRAPHICS_PROPERTIES[VEHIDCODE],0))</f>
        <v>1</v>
      </c>
      <c r="N202" s="21" t="str">
        <f>"item_"&amp;CONTROL[[#This Row],[VEHIDCODE]]</f>
        <v>item_diesel_MaK_100</v>
      </c>
      <c r="O202" s="21" t="str">
        <f>"str_"&amp;CONTROL[[#This Row],[VEHIDCODE]]</f>
        <v>str_diesel_MaK_100</v>
      </c>
      <c r="P202" s="7" t="b">
        <f>_xlfn.XLOOKUP(CONTROL[[#This Row],[VEHIDCODE]],PROPERTIES[VEHIDCODE],PROPERTIES[IS_CONCEPT])="IS_CONCEPT"</f>
        <v>0</v>
      </c>
      <c r="Q202" s="7" t="b">
        <f>_xlfn.XLOOKUP(CONTROL[[#This Row],[VEHIDCODE]],PROPERTIES[VEHIDCODE],PROPERTIES[EXCLUDE])</f>
        <v>0</v>
      </c>
      <c r="R202" t="str" cm="1">
        <f t="array" ref="R202">_xlfn.XLOOKUP(CONTROL[[#This Row],[VEHIDCODE]],GRAPHICS_PROPERTIES[VEHIDCODE],GRAPHICS_PROPERTIES[TEMPLATE_ID]&amp;GRAPHICS_PROPERTIES[TEMPLATE_AMENDMENT_CODE])</f>
        <v>TPL_01A</v>
      </c>
    </row>
    <row r="203" spans="1:18" x14ac:dyDescent="0.35">
      <c r="A203" s="2" t="s">
        <v>2840</v>
      </c>
      <c r="B203" s="21" t="str">
        <f>_xlfn.TEXTAFTER(CONTROL[[#This Row],[VEHIDCODE]],"_")</f>
        <v>ALCO_DL560C_WDM_2</v>
      </c>
      <c r="C203" t="str" cm="1">
        <f t="array" ref="C2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3" t="str" cm="1">
        <f t="array" ref="D2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3">
        <v>5031</v>
      </c>
      <c r="F203" s="32" t="s">
        <v>2163</v>
      </c>
      <c r="G203" t="s">
        <v>1234</v>
      </c>
      <c r="H203" s="2" t="b">
        <f>AND(CONTROL[[#This Row],[IS_WAGON_OR_COACH]]=TRUE,OR(RIGHT(CONTROL[[#This Row],[VEHIDCODE]],7)="Powered",RIGHT(CONTROL[[#This Row],[VEHIDCODE]],9)="Unpowered"))</f>
        <v>0</v>
      </c>
      <c r="I2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3" t="b">
        <f>ISNUMBER(_xlfn.XMATCH(CONTROL[[#This Row],[VEHIDCODE]],TRACK_TYPES[VEHIDCODE],0))</f>
        <v>1</v>
      </c>
      <c r="K203" t="b">
        <f>ISNUMBER(_xlfn.XMATCH(CONTROL[[#This Row],[VEHIDCODE]],PROPERTIES[VEHIDCODE],0))</f>
        <v>1</v>
      </c>
      <c r="L203" t="b">
        <f>ISNUMBER(_xlfn.XLOOKUP(CONTROL[[#This Row],[VEHIDCODE]],roster!A:A,roster!D:D))</f>
        <v>1</v>
      </c>
      <c r="M203" t="b">
        <f>ISNUMBER(_xlfn.XMATCH(CONTROL[[#This Row],[VEHIDCODE]],GRAPHICS_PROPERTIES[VEHIDCODE],0))</f>
        <v>1</v>
      </c>
      <c r="N203" s="21" t="str">
        <f>"item_"&amp;CONTROL[[#This Row],[VEHIDCODE]]</f>
        <v>item_diesel_ALCO_DL560C_WDM_2</v>
      </c>
      <c r="O203" s="21" t="str">
        <f>"str_"&amp;CONTROL[[#This Row],[VEHIDCODE]]</f>
        <v>str_diesel_ALCO_DL560C_WDM_2</v>
      </c>
      <c r="P203" s="7" t="b">
        <f>_xlfn.XLOOKUP(CONTROL[[#This Row],[VEHIDCODE]],PROPERTIES[VEHIDCODE],PROPERTIES[IS_CONCEPT])="IS_CONCEPT"</f>
        <v>0</v>
      </c>
      <c r="Q203" s="7" t="b">
        <f>_xlfn.XLOOKUP(CONTROL[[#This Row],[VEHIDCODE]],PROPERTIES[VEHIDCODE],PROPERTIES[EXCLUDE])</f>
        <v>0</v>
      </c>
      <c r="R203" t="str" cm="1">
        <f t="array" ref="R203">_xlfn.XLOOKUP(CONTROL[[#This Row],[VEHIDCODE]],GRAPHICS_PROPERTIES[VEHIDCODE],GRAPHICS_PROPERTIES[TEMPLATE_ID]&amp;GRAPHICS_PROPERTIES[TEMPLATE_AMENDMENT_CODE])</f>
        <v>TPL_01A</v>
      </c>
    </row>
    <row r="204" spans="1:18" x14ac:dyDescent="0.35">
      <c r="A204" s="2" t="s">
        <v>2841</v>
      </c>
      <c r="B204" s="21" t="str">
        <f>_xlfn.TEXTAFTER(CONTROL[[#This Row],[VEHIDCODE]],"_")</f>
        <v>BR_14_0_6_0DH</v>
      </c>
      <c r="C204" t="str" cm="1">
        <f t="array" ref="C2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4" t="str" cm="1">
        <f t="array" ref="D2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4">
        <v>5032</v>
      </c>
      <c r="F204" s="32" t="s">
        <v>2164</v>
      </c>
      <c r="G204" t="s">
        <v>1235</v>
      </c>
      <c r="H204" s="2" t="b">
        <f>AND(CONTROL[[#This Row],[IS_WAGON_OR_COACH]]=TRUE,OR(RIGHT(CONTROL[[#This Row],[VEHIDCODE]],7)="Powered",RIGHT(CONTROL[[#This Row],[VEHIDCODE]],9)="Unpowered"))</f>
        <v>0</v>
      </c>
      <c r="I2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4" t="b">
        <f>ISNUMBER(_xlfn.XMATCH(CONTROL[[#This Row],[VEHIDCODE]],TRACK_TYPES[VEHIDCODE],0))</f>
        <v>1</v>
      </c>
      <c r="K204" t="b">
        <f>ISNUMBER(_xlfn.XMATCH(CONTROL[[#This Row],[VEHIDCODE]],PROPERTIES[VEHIDCODE],0))</f>
        <v>1</v>
      </c>
      <c r="L204" t="b">
        <f>ISNUMBER(_xlfn.XLOOKUP(CONTROL[[#This Row],[VEHIDCODE]],roster!A:A,roster!D:D))</f>
        <v>1</v>
      </c>
      <c r="M204" t="b">
        <f>ISNUMBER(_xlfn.XMATCH(CONTROL[[#This Row],[VEHIDCODE]],GRAPHICS_PROPERTIES[VEHIDCODE],0))</f>
        <v>1</v>
      </c>
      <c r="N204" s="21" t="str">
        <f>"item_"&amp;CONTROL[[#This Row],[VEHIDCODE]]</f>
        <v>item_diesel_BR_14_0_6_0DH</v>
      </c>
      <c r="O204" s="21" t="str">
        <f>"str_"&amp;CONTROL[[#This Row],[VEHIDCODE]]</f>
        <v>str_diesel_BR_14_0_6_0DH</v>
      </c>
      <c r="P204" s="7" t="b">
        <f>_xlfn.XLOOKUP(CONTROL[[#This Row],[VEHIDCODE]],PROPERTIES[VEHIDCODE],PROPERTIES[IS_CONCEPT])="IS_CONCEPT"</f>
        <v>0</v>
      </c>
      <c r="Q204" s="7" t="b">
        <f>_xlfn.XLOOKUP(CONTROL[[#This Row],[VEHIDCODE]],PROPERTIES[VEHIDCODE],PROPERTIES[EXCLUDE])</f>
        <v>0</v>
      </c>
      <c r="R204" t="str" cm="1">
        <f t="array" ref="R204">_xlfn.XLOOKUP(CONTROL[[#This Row],[VEHIDCODE]],GRAPHICS_PROPERTIES[VEHIDCODE],GRAPHICS_PROPERTIES[TEMPLATE_ID]&amp;GRAPHICS_PROPERTIES[TEMPLATE_AMENDMENT_CODE])</f>
        <v>TPL_03C</v>
      </c>
    </row>
    <row r="205" spans="1:18" x14ac:dyDescent="0.35">
      <c r="A205" s="2" t="s">
        <v>2842</v>
      </c>
      <c r="B205" s="21" t="str">
        <f>_xlfn.TEXTAFTER(CONTROL[[#This Row],[VEHIDCODE]],"_")</f>
        <v>CKD_T_669</v>
      </c>
      <c r="C205" t="str" cm="1">
        <f t="array" ref="C2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5" t="str" cm="1">
        <f t="array" ref="D2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5">
        <v>5033</v>
      </c>
      <c r="F205" s="32" t="s">
        <v>2170</v>
      </c>
      <c r="G205" t="s">
        <v>1236</v>
      </c>
      <c r="H205" s="2" t="b">
        <f>AND(CONTROL[[#This Row],[IS_WAGON_OR_COACH]]=TRUE,OR(RIGHT(CONTROL[[#This Row],[VEHIDCODE]],7)="Powered",RIGHT(CONTROL[[#This Row],[VEHIDCODE]],9)="Unpowered"))</f>
        <v>0</v>
      </c>
      <c r="I2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5" t="b">
        <f>ISNUMBER(_xlfn.XMATCH(CONTROL[[#This Row],[VEHIDCODE]],TRACK_TYPES[VEHIDCODE],0))</f>
        <v>1</v>
      </c>
      <c r="K205" t="b">
        <f>ISNUMBER(_xlfn.XMATCH(CONTROL[[#This Row],[VEHIDCODE]],PROPERTIES[VEHIDCODE],0))</f>
        <v>1</v>
      </c>
      <c r="L205" t="b">
        <f>ISNUMBER(_xlfn.XLOOKUP(CONTROL[[#This Row],[VEHIDCODE]],roster!A:A,roster!D:D))</f>
        <v>1</v>
      </c>
      <c r="M205" t="b">
        <f>ISNUMBER(_xlfn.XMATCH(CONTROL[[#This Row],[VEHIDCODE]],GRAPHICS_PROPERTIES[VEHIDCODE],0))</f>
        <v>1</v>
      </c>
      <c r="N205" s="21" t="str">
        <f>"item_"&amp;CONTROL[[#This Row],[VEHIDCODE]]</f>
        <v>item_diesel_CKD_T_669</v>
      </c>
      <c r="O205" s="21" t="str">
        <f>"str_"&amp;CONTROL[[#This Row],[VEHIDCODE]]</f>
        <v>str_diesel_CKD_T_669</v>
      </c>
      <c r="P205" s="7" t="b">
        <f>_xlfn.XLOOKUP(CONTROL[[#This Row],[VEHIDCODE]],PROPERTIES[VEHIDCODE],PROPERTIES[IS_CONCEPT])="IS_CONCEPT"</f>
        <v>0</v>
      </c>
      <c r="Q205" s="7" t="b">
        <f>_xlfn.XLOOKUP(CONTROL[[#This Row],[VEHIDCODE]],PROPERTIES[VEHIDCODE],PROPERTIES[EXCLUDE])</f>
        <v>0</v>
      </c>
      <c r="R205" t="str" cm="1">
        <f t="array" ref="R205">_xlfn.XLOOKUP(CONTROL[[#This Row],[VEHIDCODE]],GRAPHICS_PROPERTIES[VEHIDCODE],GRAPHICS_PROPERTIES[TEMPLATE_ID]&amp;GRAPHICS_PROPERTIES[TEMPLATE_AMENDMENT_CODE])</f>
        <v>TPL_01A</v>
      </c>
    </row>
    <row r="206" spans="1:18" x14ac:dyDescent="0.35">
      <c r="A206" s="2" t="s">
        <v>2843</v>
      </c>
      <c r="B206" s="21" t="str">
        <f>_xlfn.TEXTAFTER(CONTROL[[#This Row],[VEHIDCODE]],"_")</f>
        <v>UGOFE_GM_EMD_J16CW_AC</v>
      </c>
      <c r="C206" t="str" cm="1">
        <f t="array" ref="C2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6" t="str" cm="1">
        <f t="array" ref="D2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6">
        <v>5034</v>
      </c>
      <c r="F206" s="32" t="s">
        <v>1726</v>
      </c>
      <c r="G206" t="s">
        <v>1237</v>
      </c>
      <c r="H206" s="2" t="b">
        <f>AND(CONTROL[[#This Row],[IS_WAGON_OR_COACH]]=TRUE,OR(RIGHT(CONTROL[[#This Row],[VEHIDCODE]],7)="Powered",RIGHT(CONTROL[[#This Row],[VEHIDCODE]],9)="Unpowered"))</f>
        <v>0</v>
      </c>
      <c r="I2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6" t="b">
        <f>ISNUMBER(_xlfn.XMATCH(CONTROL[[#This Row],[VEHIDCODE]],TRACK_TYPES[VEHIDCODE],0))</f>
        <v>1</v>
      </c>
      <c r="K206" t="b">
        <f>ISNUMBER(_xlfn.XMATCH(CONTROL[[#This Row],[VEHIDCODE]],PROPERTIES[VEHIDCODE],0))</f>
        <v>1</v>
      </c>
      <c r="L206" t="b">
        <f>ISNUMBER(_xlfn.XLOOKUP(CONTROL[[#This Row],[VEHIDCODE]],roster!A:A,roster!D:D))</f>
        <v>1</v>
      </c>
      <c r="M206" t="b">
        <f>ISNUMBER(_xlfn.XMATCH(CONTROL[[#This Row],[VEHIDCODE]],GRAPHICS_PROPERTIES[VEHIDCODE],0))</f>
        <v>1</v>
      </c>
      <c r="N206" s="21" t="str">
        <f>"item_"&amp;CONTROL[[#This Row],[VEHIDCODE]]</f>
        <v>item_diesel_UGOFE_GM_EMD_J16CW_AC</v>
      </c>
      <c r="O206" s="21" t="str">
        <f>"str_"&amp;CONTROL[[#This Row],[VEHIDCODE]]</f>
        <v>str_diesel_UGOFE_GM_EMD_J16CW_AC</v>
      </c>
      <c r="P206" s="7" t="b">
        <f>_xlfn.XLOOKUP(CONTROL[[#This Row],[VEHIDCODE]],PROPERTIES[VEHIDCODE],PROPERTIES[IS_CONCEPT])="IS_CONCEPT"</f>
        <v>0</v>
      </c>
      <c r="Q206" s="7" t="b">
        <f>_xlfn.XLOOKUP(CONTROL[[#This Row],[VEHIDCODE]],PROPERTIES[VEHIDCODE],PROPERTIES[EXCLUDE])</f>
        <v>0</v>
      </c>
      <c r="R206" t="str" cm="1">
        <f t="array" ref="R206">_xlfn.XLOOKUP(CONTROL[[#This Row],[VEHIDCODE]],GRAPHICS_PROPERTIES[VEHIDCODE],GRAPHICS_PROPERTIES[TEMPLATE_ID]&amp;GRAPHICS_PROPERTIES[TEMPLATE_AMENDMENT_CODE])</f>
        <v>TPL_01A</v>
      </c>
    </row>
    <row r="207" spans="1:18" x14ac:dyDescent="0.35">
      <c r="A207" s="2" t="s">
        <v>2844</v>
      </c>
      <c r="B207" s="21" t="str">
        <f>_xlfn.TEXTAFTER(CONTROL[[#This Row],[VEHIDCODE]],"_")</f>
        <v>LTZ_M62</v>
      </c>
      <c r="C207" t="str" cm="1">
        <f t="array" ref="C2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7" t="str" cm="1">
        <f t="array" ref="D2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7">
        <v>5035</v>
      </c>
      <c r="F207" s="32" t="s">
        <v>1992</v>
      </c>
      <c r="G207" t="s">
        <v>1238</v>
      </c>
      <c r="H207" s="2" t="b">
        <f>AND(CONTROL[[#This Row],[IS_WAGON_OR_COACH]]=TRUE,OR(RIGHT(CONTROL[[#This Row],[VEHIDCODE]],7)="Powered",RIGHT(CONTROL[[#This Row],[VEHIDCODE]],9)="Unpowered"))</f>
        <v>0</v>
      </c>
      <c r="I2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7" t="b">
        <f>ISNUMBER(_xlfn.XMATCH(CONTROL[[#This Row],[VEHIDCODE]],TRACK_TYPES[VEHIDCODE],0))</f>
        <v>1</v>
      </c>
      <c r="K207" t="b">
        <f>ISNUMBER(_xlfn.XMATCH(CONTROL[[#This Row],[VEHIDCODE]],PROPERTIES[VEHIDCODE],0))</f>
        <v>1</v>
      </c>
      <c r="L207" t="b">
        <f>ISNUMBER(_xlfn.XLOOKUP(CONTROL[[#This Row],[VEHIDCODE]],roster!A:A,roster!D:D))</f>
        <v>1</v>
      </c>
      <c r="M207" t="b">
        <f>ISNUMBER(_xlfn.XMATCH(CONTROL[[#This Row],[VEHIDCODE]],GRAPHICS_PROPERTIES[VEHIDCODE],0))</f>
        <v>1</v>
      </c>
      <c r="N207" s="21" t="str">
        <f>"item_"&amp;CONTROL[[#This Row],[VEHIDCODE]]</f>
        <v>item_diesel_LTZ_M62</v>
      </c>
      <c r="O207" s="21" t="str">
        <f>"str_"&amp;CONTROL[[#This Row],[VEHIDCODE]]</f>
        <v>str_diesel_LTZ_M62</v>
      </c>
      <c r="P207" s="7" t="b">
        <f>_xlfn.XLOOKUP(CONTROL[[#This Row],[VEHIDCODE]],PROPERTIES[VEHIDCODE],PROPERTIES[IS_CONCEPT])="IS_CONCEPT"</f>
        <v>0</v>
      </c>
      <c r="Q207" s="7" t="b">
        <f>_xlfn.XLOOKUP(CONTROL[[#This Row],[VEHIDCODE]],PROPERTIES[VEHIDCODE],PROPERTIES[EXCLUDE])</f>
        <v>0</v>
      </c>
      <c r="R207" t="str" cm="1">
        <f t="array" ref="R207">_xlfn.XLOOKUP(CONTROL[[#This Row],[VEHIDCODE]],GRAPHICS_PROPERTIES[VEHIDCODE],GRAPHICS_PROPERTIES[TEMPLATE_ID]&amp;GRAPHICS_PROPERTIES[TEMPLATE_AMENDMENT_CODE])</f>
        <v>TPL_01A</v>
      </c>
    </row>
    <row r="208" spans="1:18" x14ac:dyDescent="0.35">
      <c r="A208" s="2" t="s">
        <v>2845</v>
      </c>
      <c r="B208" s="21" t="str">
        <f>_xlfn.TEXTAFTER(CONTROL[[#This Row],[VEHIDCODE]],"_")</f>
        <v>EMD_Clyde_J26C</v>
      </c>
      <c r="C208" t="str" cm="1">
        <f t="array" ref="C2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8" t="str" cm="1">
        <f t="array" ref="D2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8">
        <v>5036</v>
      </c>
      <c r="F208" s="32" t="s">
        <v>2606</v>
      </c>
      <c r="G208" t="s">
        <v>1239</v>
      </c>
      <c r="H208" s="2" t="b">
        <f>AND(CONTROL[[#This Row],[IS_WAGON_OR_COACH]]=TRUE,OR(RIGHT(CONTROL[[#This Row],[VEHIDCODE]],7)="Powered",RIGHT(CONTROL[[#This Row],[VEHIDCODE]],9)="Unpowered"))</f>
        <v>0</v>
      </c>
      <c r="I2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8" t="b">
        <f>ISNUMBER(_xlfn.XMATCH(CONTROL[[#This Row],[VEHIDCODE]],TRACK_TYPES[VEHIDCODE],0))</f>
        <v>1</v>
      </c>
      <c r="K208" t="b">
        <f>ISNUMBER(_xlfn.XMATCH(CONTROL[[#This Row],[VEHIDCODE]],PROPERTIES[VEHIDCODE],0))</f>
        <v>1</v>
      </c>
      <c r="L208" t="b">
        <f>ISNUMBER(_xlfn.XLOOKUP(CONTROL[[#This Row],[VEHIDCODE]],roster!A:A,roster!D:D))</f>
        <v>1</v>
      </c>
      <c r="M208" t="b">
        <f>ISNUMBER(_xlfn.XMATCH(CONTROL[[#This Row],[VEHIDCODE]],GRAPHICS_PROPERTIES[VEHIDCODE],0))</f>
        <v>1</v>
      </c>
      <c r="N208" s="21" t="str">
        <f>"item_"&amp;CONTROL[[#This Row],[VEHIDCODE]]</f>
        <v>item_diesel_EMD_Clyde_J26C</v>
      </c>
      <c r="O208" s="21" t="str">
        <f>"str_"&amp;CONTROL[[#This Row],[VEHIDCODE]]</f>
        <v>str_diesel_EMD_Clyde_J26C</v>
      </c>
      <c r="P208" s="7" t="b">
        <f>_xlfn.XLOOKUP(CONTROL[[#This Row],[VEHIDCODE]],PROPERTIES[VEHIDCODE],PROPERTIES[IS_CONCEPT])="IS_CONCEPT"</f>
        <v>0</v>
      </c>
      <c r="Q208" s="7" t="b">
        <f>_xlfn.XLOOKUP(CONTROL[[#This Row],[VEHIDCODE]],PROPERTIES[VEHIDCODE],PROPERTIES[EXCLUDE])</f>
        <v>0</v>
      </c>
      <c r="R208" t="str" cm="1">
        <f t="array" ref="R208">_xlfn.XLOOKUP(CONTROL[[#This Row],[VEHIDCODE]],GRAPHICS_PROPERTIES[VEHIDCODE],GRAPHICS_PROPERTIES[TEMPLATE_ID]&amp;GRAPHICS_PROPERTIES[TEMPLATE_AMENDMENT_CODE])</f>
        <v>TPL_01A</v>
      </c>
    </row>
    <row r="209" spans="1:18" x14ac:dyDescent="0.35">
      <c r="A209" s="2" t="s">
        <v>2846</v>
      </c>
      <c r="B209" s="21" t="str">
        <f>_xlfn.TEXTAFTER(CONTROL[[#This Row],[VEHIDCODE]],"_")</f>
        <v>GE_G22W</v>
      </c>
      <c r="C209" t="str" cm="1">
        <f t="array" ref="C2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9" t="str" cm="1">
        <f t="array" ref="D2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9">
        <v>5037</v>
      </c>
      <c r="F209" s="32" t="s">
        <v>3518</v>
      </c>
      <c r="G209" t="s">
        <v>1240</v>
      </c>
      <c r="H209" s="2" t="b">
        <f>AND(CONTROL[[#This Row],[IS_WAGON_OR_COACH]]=TRUE,OR(RIGHT(CONTROL[[#This Row],[VEHIDCODE]],7)="Powered",RIGHT(CONTROL[[#This Row],[VEHIDCODE]],9)="Unpowered"))</f>
        <v>0</v>
      </c>
      <c r="I2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9" t="b">
        <f>ISNUMBER(_xlfn.XMATCH(CONTROL[[#This Row],[VEHIDCODE]],TRACK_TYPES[VEHIDCODE],0))</f>
        <v>1</v>
      </c>
      <c r="K209" t="b">
        <f>ISNUMBER(_xlfn.XMATCH(CONTROL[[#This Row],[VEHIDCODE]],PROPERTIES[VEHIDCODE],0))</f>
        <v>1</v>
      </c>
      <c r="L209" t="b">
        <f>ISNUMBER(_xlfn.XLOOKUP(CONTROL[[#This Row],[VEHIDCODE]],roster!A:A,roster!D:D))</f>
        <v>1</v>
      </c>
      <c r="M209" t="b">
        <f>ISNUMBER(_xlfn.XMATCH(CONTROL[[#This Row],[VEHIDCODE]],GRAPHICS_PROPERTIES[VEHIDCODE],0))</f>
        <v>1</v>
      </c>
      <c r="N209" s="21" t="str">
        <f>"item_"&amp;CONTROL[[#This Row],[VEHIDCODE]]</f>
        <v>item_diesel_GE_G22W</v>
      </c>
      <c r="O209" s="21" t="str">
        <f>"str_"&amp;CONTROL[[#This Row],[VEHIDCODE]]</f>
        <v>str_diesel_GE_G22W</v>
      </c>
      <c r="P209" s="7" t="b">
        <f>_xlfn.XLOOKUP(CONTROL[[#This Row],[VEHIDCODE]],PROPERTIES[VEHIDCODE],PROPERTIES[IS_CONCEPT])="IS_CONCEPT"</f>
        <v>0</v>
      </c>
      <c r="Q209" s="7" t="b">
        <f>_xlfn.XLOOKUP(CONTROL[[#This Row],[VEHIDCODE]],PROPERTIES[VEHIDCODE],PROPERTIES[EXCLUDE])</f>
        <v>0</v>
      </c>
      <c r="R209" t="str" cm="1">
        <f t="array" ref="R209">_xlfn.XLOOKUP(CONTROL[[#This Row],[VEHIDCODE]],GRAPHICS_PROPERTIES[VEHIDCODE],GRAPHICS_PROPERTIES[TEMPLATE_ID]&amp;GRAPHICS_PROPERTIES[TEMPLATE_AMENDMENT_CODE])</f>
        <v>TPL_01A</v>
      </c>
    </row>
    <row r="210" spans="1:18" x14ac:dyDescent="0.35">
      <c r="A210" s="2" t="s">
        <v>2847</v>
      </c>
      <c r="B210" s="21" t="str">
        <f>_xlfn.TEXTAFTER(CONTROL[[#This Row],[VEHIDCODE]],"_")</f>
        <v>EMD_DDA40X</v>
      </c>
      <c r="C210" t="str" cm="1">
        <f t="array" ref="C2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0" t="str" cm="1">
        <f t="array" ref="D2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0">
        <v>5065</v>
      </c>
      <c r="F210" s="32" t="s">
        <v>1993</v>
      </c>
      <c r="G210" t="s">
        <v>1241</v>
      </c>
      <c r="H210" s="2" t="b">
        <f>AND(CONTROL[[#This Row],[IS_WAGON_OR_COACH]]=TRUE,OR(RIGHT(CONTROL[[#This Row],[VEHIDCODE]],7)="Powered",RIGHT(CONTROL[[#This Row],[VEHIDCODE]],9)="Unpowered"))</f>
        <v>0</v>
      </c>
      <c r="I2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0" t="b">
        <f>ISNUMBER(_xlfn.XMATCH(CONTROL[[#This Row],[VEHIDCODE]],TRACK_TYPES[VEHIDCODE],0))</f>
        <v>1</v>
      </c>
      <c r="K210" t="b">
        <f>ISNUMBER(_xlfn.XMATCH(CONTROL[[#This Row],[VEHIDCODE]],PROPERTIES[VEHIDCODE],0))</f>
        <v>1</v>
      </c>
      <c r="L210" t="b">
        <f>ISNUMBER(_xlfn.XLOOKUP(CONTROL[[#This Row],[VEHIDCODE]],roster!A:A,roster!D:D))</f>
        <v>1</v>
      </c>
      <c r="M210" t="b">
        <f>ISNUMBER(_xlfn.XMATCH(CONTROL[[#This Row],[VEHIDCODE]],GRAPHICS_PROPERTIES[VEHIDCODE],0))</f>
        <v>1</v>
      </c>
      <c r="N210" s="21" t="str">
        <f>"item_"&amp;CONTROL[[#This Row],[VEHIDCODE]]</f>
        <v>item_diesel_EMD_DDA40X</v>
      </c>
      <c r="O210" s="21" t="str">
        <f>"str_"&amp;CONTROL[[#This Row],[VEHIDCODE]]</f>
        <v>str_diesel_EMD_DDA40X</v>
      </c>
      <c r="P210" s="7" t="b">
        <f>_xlfn.XLOOKUP(CONTROL[[#This Row],[VEHIDCODE]],PROPERTIES[VEHIDCODE],PROPERTIES[IS_CONCEPT])="IS_CONCEPT"</f>
        <v>0</v>
      </c>
      <c r="Q210" s="7" t="b">
        <f>_xlfn.XLOOKUP(CONTROL[[#This Row],[VEHIDCODE]],PROPERTIES[VEHIDCODE],PROPERTIES[EXCLUDE])</f>
        <v>0</v>
      </c>
      <c r="R210" t="str" cm="1">
        <f t="array" ref="R210">_xlfn.XLOOKUP(CONTROL[[#This Row],[VEHIDCODE]],GRAPHICS_PROPERTIES[VEHIDCODE],GRAPHICS_PROPERTIES[TEMPLATE_ID]&amp;GRAPHICS_PROPERTIES[TEMPLATE_AMENDMENT_CODE])</f>
        <v>TPL_16A</v>
      </c>
    </row>
    <row r="211" spans="1:18" x14ac:dyDescent="0.35">
      <c r="A211" s="2" t="s">
        <v>2848</v>
      </c>
      <c r="B211" s="21" t="str">
        <f>_xlfn.TEXTAFTER(CONTROL[[#This Row],[VEHIDCODE]],"_")</f>
        <v>EMD_Clyde_GL26C</v>
      </c>
      <c r="C211" t="str" cm="1">
        <f t="array" ref="C2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1" t="str" cm="1">
        <f t="array" ref="D2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1">
        <v>5039</v>
      </c>
      <c r="F211" s="32" t="s">
        <v>2605</v>
      </c>
      <c r="G211" t="s">
        <v>1242</v>
      </c>
      <c r="H211" s="2" t="b">
        <f>AND(CONTROL[[#This Row],[IS_WAGON_OR_COACH]]=TRUE,OR(RIGHT(CONTROL[[#This Row],[VEHIDCODE]],7)="Powered",RIGHT(CONTROL[[#This Row],[VEHIDCODE]],9)="Unpowered"))</f>
        <v>0</v>
      </c>
      <c r="I2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1" t="b">
        <f>ISNUMBER(_xlfn.XMATCH(CONTROL[[#This Row],[VEHIDCODE]],TRACK_TYPES[VEHIDCODE],0))</f>
        <v>1</v>
      </c>
      <c r="K211" t="b">
        <f>ISNUMBER(_xlfn.XMATCH(CONTROL[[#This Row],[VEHIDCODE]],PROPERTIES[VEHIDCODE],0))</f>
        <v>1</v>
      </c>
      <c r="L211" t="b">
        <f>ISNUMBER(_xlfn.XLOOKUP(CONTROL[[#This Row],[VEHIDCODE]],roster!A:A,roster!D:D))</f>
        <v>1</v>
      </c>
      <c r="M211" t="b">
        <f>ISNUMBER(_xlfn.XMATCH(CONTROL[[#This Row],[VEHIDCODE]],GRAPHICS_PROPERTIES[VEHIDCODE],0))</f>
        <v>1</v>
      </c>
      <c r="N211" s="21" t="str">
        <f>"item_"&amp;CONTROL[[#This Row],[VEHIDCODE]]</f>
        <v>item_diesel_EMD_Clyde_GL26C</v>
      </c>
      <c r="O211" s="21" t="str">
        <f>"str_"&amp;CONTROL[[#This Row],[VEHIDCODE]]</f>
        <v>str_diesel_EMD_Clyde_GL26C</v>
      </c>
      <c r="P211" s="7" t="b">
        <f>_xlfn.XLOOKUP(CONTROL[[#This Row],[VEHIDCODE]],PROPERTIES[VEHIDCODE],PROPERTIES[IS_CONCEPT])="IS_CONCEPT"</f>
        <v>0</v>
      </c>
      <c r="Q211" s="7" t="b">
        <f>_xlfn.XLOOKUP(CONTROL[[#This Row],[VEHIDCODE]],PROPERTIES[VEHIDCODE],PROPERTIES[EXCLUDE])</f>
        <v>0</v>
      </c>
      <c r="R211" t="str" cm="1">
        <f t="array" ref="R211">_xlfn.XLOOKUP(CONTROL[[#This Row],[VEHIDCODE]],GRAPHICS_PROPERTIES[VEHIDCODE],GRAPHICS_PROPERTIES[TEMPLATE_ID]&amp;GRAPHICS_PROPERTIES[TEMPLATE_AMENDMENT_CODE])</f>
        <v>TPL_01A</v>
      </c>
    </row>
    <row r="212" spans="1:18" x14ac:dyDescent="0.35">
      <c r="A212" s="2" t="s">
        <v>2849</v>
      </c>
      <c r="B212" s="21" t="str">
        <f>_xlfn.TEXTAFTER(CONTROL[[#This Row],[VEHIDCODE]],"_")</f>
        <v>EMD_G26</v>
      </c>
      <c r="C212" t="str" cm="1">
        <f t="array" ref="C2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2" t="str" cm="1">
        <f t="array" ref="D2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2">
        <v>5040</v>
      </c>
      <c r="F212" s="32" t="s">
        <v>1994</v>
      </c>
      <c r="G212" t="s">
        <v>1243</v>
      </c>
      <c r="H212" s="2" t="b">
        <f>AND(CONTROL[[#This Row],[IS_WAGON_OR_COACH]]=TRUE,OR(RIGHT(CONTROL[[#This Row],[VEHIDCODE]],7)="Powered",RIGHT(CONTROL[[#This Row],[VEHIDCODE]],9)="Unpowered"))</f>
        <v>0</v>
      </c>
      <c r="I2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2" t="b">
        <f>ISNUMBER(_xlfn.XMATCH(CONTROL[[#This Row],[VEHIDCODE]],TRACK_TYPES[VEHIDCODE],0))</f>
        <v>1</v>
      </c>
      <c r="K212" t="b">
        <f>ISNUMBER(_xlfn.XMATCH(CONTROL[[#This Row],[VEHIDCODE]],PROPERTIES[VEHIDCODE],0))</f>
        <v>1</v>
      </c>
      <c r="L212" t="b">
        <f>ISNUMBER(_xlfn.XLOOKUP(CONTROL[[#This Row],[VEHIDCODE]],roster!A:A,roster!D:D))</f>
        <v>1</v>
      </c>
      <c r="M212" t="b">
        <f>ISNUMBER(_xlfn.XMATCH(CONTROL[[#This Row],[VEHIDCODE]],GRAPHICS_PROPERTIES[VEHIDCODE],0))</f>
        <v>1</v>
      </c>
      <c r="N212" s="21" t="str">
        <f>"item_"&amp;CONTROL[[#This Row],[VEHIDCODE]]</f>
        <v>item_diesel_EMD_G26</v>
      </c>
      <c r="O212" s="21" t="str">
        <f>"str_"&amp;CONTROL[[#This Row],[VEHIDCODE]]</f>
        <v>str_diesel_EMD_G26</v>
      </c>
      <c r="P212" s="7" t="b">
        <f>_xlfn.XLOOKUP(CONTROL[[#This Row],[VEHIDCODE]],PROPERTIES[VEHIDCODE],PROPERTIES[IS_CONCEPT])="IS_CONCEPT"</f>
        <v>0</v>
      </c>
      <c r="Q212" s="7" t="b">
        <f>_xlfn.XLOOKUP(CONTROL[[#This Row],[VEHIDCODE]],PROPERTIES[VEHIDCODE],PROPERTIES[EXCLUDE])</f>
        <v>0</v>
      </c>
      <c r="R212" t="str" cm="1">
        <f t="array" ref="R212">_xlfn.XLOOKUP(CONTROL[[#This Row],[VEHIDCODE]],GRAPHICS_PROPERTIES[VEHIDCODE],GRAPHICS_PROPERTIES[TEMPLATE_ID]&amp;GRAPHICS_PROPERTIES[TEMPLATE_AMENDMENT_CODE])</f>
        <v>TPL_01A</v>
      </c>
    </row>
    <row r="213" spans="1:18" x14ac:dyDescent="0.35">
      <c r="A213" s="2" t="s">
        <v>2850</v>
      </c>
      <c r="B213" s="21" t="str">
        <f>_xlfn.TEXTAFTER(CONTROL[[#This Row],[VEHIDCODE]],"_")</f>
        <v>Henschel_TGOJ_V4</v>
      </c>
      <c r="C213" t="str" cm="1">
        <f t="array" ref="C2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3" t="str" cm="1">
        <f t="array" ref="D2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3">
        <v>5041</v>
      </c>
      <c r="F213" s="32" t="s">
        <v>2165</v>
      </c>
      <c r="G213" t="s">
        <v>1244</v>
      </c>
      <c r="H213" s="2" t="b">
        <f>AND(CONTROL[[#This Row],[IS_WAGON_OR_COACH]]=TRUE,OR(RIGHT(CONTROL[[#This Row],[VEHIDCODE]],7)="Powered",RIGHT(CONTROL[[#This Row],[VEHIDCODE]],9)="Unpowered"))</f>
        <v>0</v>
      </c>
      <c r="I2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3" t="b">
        <f>ISNUMBER(_xlfn.XMATCH(CONTROL[[#This Row],[VEHIDCODE]],TRACK_TYPES[VEHIDCODE],0))</f>
        <v>1</v>
      </c>
      <c r="K213" t="b">
        <f>ISNUMBER(_xlfn.XMATCH(CONTROL[[#This Row],[VEHIDCODE]],PROPERTIES[VEHIDCODE],0))</f>
        <v>1</v>
      </c>
      <c r="L213" t="b">
        <f>ISNUMBER(_xlfn.XLOOKUP(CONTROL[[#This Row],[VEHIDCODE]],roster!A:A,roster!D:D))</f>
        <v>1</v>
      </c>
      <c r="M213" t="b">
        <f>ISNUMBER(_xlfn.XMATCH(CONTROL[[#This Row],[VEHIDCODE]],GRAPHICS_PROPERTIES[VEHIDCODE],0))</f>
        <v>1</v>
      </c>
      <c r="N213" s="21" t="str">
        <f>"item_"&amp;CONTROL[[#This Row],[VEHIDCODE]]</f>
        <v>item_diesel_Henschel_TGOJ_V4</v>
      </c>
      <c r="O213" s="21" t="str">
        <f>"str_"&amp;CONTROL[[#This Row],[VEHIDCODE]]</f>
        <v>str_diesel_Henschel_TGOJ_V4</v>
      </c>
      <c r="P213" s="7" t="b">
        <f>_xlfn.XLOOKUP(CONTROL[[#This Row],[VEHIDCODE]],PROPERTIES[VEHIDCODE],PROPERTIES[IS_CONCEPT])="IS_CONCEPT"</f>
        <v>0</v>
      </c>
      <c r="Q213" s="7" t="b">
        <f>_xlfn.XLOOKUP(CONTROL[[#This Row],[VEHIDCODE]],PROPERTIES[VEHIDCODE],PROPERTIES[EXCLUDE])</f>
        <v>0</v>
      </c>
      <c r="R213" t="str" cm="1">
        <f t="array" ref="R213">_xlfn.XLOOKUP(CONTROL[[#This Row],[VEHIDCODE]],GRAPHICS_PROPERTIES[VEHIDCODE],GRAPHICS_PROPERTIES[TEMPLATE_ID]&amp;GRAPHICS_PROPERTIES[TEMPLATE_AMENDMENT_CODE])</f>
        <v>TPL_01A</v>
      </c>
    </row>
    <row r="214" spans="1:18" x14ac:dyDescent="0.35">
      <c r="A214" s="2" t="s">
        <v>2851</v>
      </c>
      <c r="B214" s="21" t="str">
        <f>_xlfn.TEXTAFTER(CONTROL[[#This Row],[VEHIDCODE]],"_")</f>
        <v>MLW_M420W</v>
      </c>
      <c r="C214" t="str" cm="1">
        <f t="array" ref="C2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4" t="str" cm="1">
        <f t="array" ref="D2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4">
        <v>5042</v>
      </c>
      <c r="F214" s="32" t="s">
        <v>1995</v>
      </c>
      <c r="G214" t="s">
        <v>1245</v>
      </c>
      <c r="H214" s="2" t="b">
        <f>AND(CONTROL[[#This Row],[IS_WAGON_OR_COACH]]=TRUE,OR(RIGHT(CONTROL[[#This Row],[VEHIDCODE]],7)="Powered",RIGHT(CONTROL[[#This Row],[VEHIDCODE]],9)="Unpowered"))</f>
        <v>0</v>
      </c>
      <c r="I2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4" t="b">
        <f>ISNUMBER(_xlfn.XMATCH(CONTROL[[#This Row],[VEHIDCODE]],TRACK_TYPES[VEHIDCODE],0))</f>
        <v>1</v>
      </c>
      <c r="K214" t="b">
        <f>ISNUMBER(_xlfn.XMATCH(CONTROL[[#This Row],[VEHIDCODE]],PROPERTIES[VEHIDCODE],0))</f>
        <v>1</v>
      </c>
      <c r="L214" t="b">
        <f>ISNUMBER(_xlfn.XLOOKUP(CONTROL[[#This Row],[VEHIDCODE]],roster!A:A,roster!D:D))</f>
        <v>1</v>
      </c>
      <c r="M214" t="b">
        <f>ISNUMBER(_xlfn.XMATCH(CONTROL[[#This Row],[VEHIDCODE]],GRAPHICS_PROPERTIES[VEHIDCODE],0))</f>
        <v>1</v>
      </c>
      <c r="N214" s="21" t="str">
        <f>"item_"&amp;CONTROL[[#This Row],[VEHIDCODE]]</f>
        <v>item_diesel_MLW_M420W</v>
      </c>
      <c r="O214" s="21" t="str">
        <f>"str_"&amp;CONTROL[[#This Row],[VEHIDCODE]]</f>
        <v>str_diesel_MLW_M420W</v>
      </c>
      <c r="P214" s="7" t="b">
        <f>_xlfn.XLOOKUP(CONTROL[[#This Row],[VEHIDCODE]],PROPERTIES[VEHIDCODE],PROPERTIES[IS_CONCEPT])="IS_CONCEPT"</f>
        <v>0</v>
      </c>
      <c r="Q214" s="7" t="b">
        <f>_xlfn.XLOOKUP(CONTROL[[#This Row],[VEHIDCODE]],PROPERTIES[VEHIDCODE],PROPERTIES[EXCLUDE])</f>
        <v>0</v>
      </c>
      <c r="R214" t="str" cm="1">
        <f t="array" ref="R214">_xlfn.XLOOKUP(CONTROL[[#This Row],[VEHIDCODE]],GRAPHICS_PROPERTIES[VEHIDCODE],GRAPHICS_PROPERTIES[TEMPLATE_ID]&amp;GRAPHICS_PROPERTIES[TEMPLATE_AMENDMENT_CODE])</f>
        <v>TPL_01A</v>
      </c>
    </row>
    <row r="215" spans="1:18" x14ac:dyDescent="0.35">
      <c r="A215" s="2" t="s">
        <v>2852</v>
      </c>
      <c r="B215" s="21" t="str">
        <f>_xlfn.TEXTAFTER(CONTROL[[#This Row],[VEHIDCODE]],"_")</f>
        <v>EMD_SDP_40F</v>
      </c>
      <c r="C215" t="str" cm="1">
        <f t="array" ref="C2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5" t="str" cm="1">
        <f t="array" ref="D2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5">
        <v>5043</v>
      </c>
      <c r="F215" s="32" t="s">
        <v>1996</v>
      </c>
      <c r="G215" t="s">
        <v>1246</v>
      </c>
      <c r="H215" s="2" t="b">
        <f>AND(CONTROL[[#This Row],[IS_WAGON_OR_COACH]]=TRUE,OR(RIGHT(CONTROL[[#This Row],[VEHIDCODE]],7)="Powered",RIGHT(CONTROL[[#This Row],[VEHIDCODE]],9)="Unpowered"))</f>
        <v>0</v>
      </c>
      <c r="I2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5" t="b">
        <f>ISNUMBER(_xlfn.XMATCH(CONTROL[[#This Row],[VEHIDCODE]],TRACK_TYPES[VEHIDCODE],0))</f>
        <v>1</v>
      </c>
      <c r="K215" t="b">
        <f>ISNUMBER(_xlfn.XMATCH(CONTROL[[#This Row],[VEHIDCODE]],PROPERTIES[VEHIDCODE],0))</f>
        <v>1</v>
      </c>
      <c r="L215" t="b">
        <f>ISNUMBER(_xlfn.XLOOKUP(CONTROL[[#This Row],[VEHIDCODE]],roster!A:A,roster!D:D))</f>
        <v>1</v>
      </c>
      <c r="M215" t="b">
        <f>ISNUMBER(_xlfn.XMATCH(CONTROL[[#This Row],[VEHIDCODE]],GRAPHICS_PROPERTIES[VEHIDCODE],0))</f>
        <v>1</v>
      </c>
      <c r="N215" s="21" t="str">
        <f>"item_"&amp;CONTROL[[#This Row],[VEHIDCODE]]</f>
        <v>item_diesel_EMD_SDP_40F</v>
      </c>
      <c r="O215" s="21" t="str">
        <f>"str_"&amp;CONTROL[[#This Row],[VEHIDCODE]]</f>
        <v>str_diesel_EMD_SDP_40F</v>
      </c>
      <c r="P215" s="7" t="b">
        <f>_xlfn.XLOOKUP(CONTROL[[#This Row],[VEHIDCODE]],PROPERTIES[VEHIDCODE],PROPERTIES[IS_CONCEPT])="IS_CONCEPT"</f>
        <v>0</v>
      </c>
      <c r="Q215" s="7" t="b">
        <f>_xlfn.XLOOKUP(CONTROL[[#This Row],[VEHIDCODE]],PROPERTIES[VEHIDCODE],PROPERTIES[EXCLUDE])</f>
        <v>0</v>
      </c>
      <c r="R215" t="str" cm="1">
        <f t="array" ref="R215">_xlfn.XLOOKUP(CONTROL[[#This Row],[VEHIDCODE]],GRAPHICS_PROPERTIES[VEHIDCODE],GRAPHICS_PROPERTIES[TEMPLATE_ID]&amp;GRAPHICS_PROPERTIES[TEMPLATE_AMENDMENT_CODE])</f>
        <v>TPL_03F</v>
      </c>
    </row>
    <row r="216" spans="1:18" x14ac:dyDescent="0.35">
      <c r="A216" s="2" t="s">
        <v>2853</v>
      </c>
      <c r="B216" s="21" t="str">
        <f>_xlfn.TEXTAFTER(CONTROL[[#This Row],[VEHIDCODE]],"_")</f>
        <v>Sifang_DFH3</v>
      </c>
      <c r="C216" t="str" cm="1">
        <f t="array" ref="C2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6" t="str" cm="1">
        <f t="array" ref="D2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6">
        <v>5044</v>
      </c>
      <c r="F216" s="32" t="s">
        <v>2166</v>
      </c>
      <c r="G216" t="s">
        <v>1247</v>
      </c>
      <c r="H216" s="2" t="b">
        <f>AND(CONTROL[[#This Row],[IS_WAGON_OR_COACH]]=TRUE,OR(RIGHT(CONTROL[[#This Row],[VEHIDCODE]],7)="Powered",RIGHT(CONTROL[[#This Row],[VEHIDCODE]],9)="Unpowered"))</f>
        <v>0</v>
      </c>
      <c r="I2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6" t="b">
        <f>ISNUMBER(_xlfn.XMATCH(CONTROL[[#This Row],[VEHIDCODE]],TRACK_TYPES[VEHIDCODE],0))</f>
        <v>1</v>
      </c>
      <c r="K216" t="b">
        <f>ISNUMBER(_xlfn.XMATCH(CONTROL[[#This Row],[VEHIDCODE]],PROPERTIES[VEHIDCODE],0))</f>
        <v>1</v>
      </c>
      <c r="L216" t="b">
        <f>ISNUMBER(_xlfn.XLOOKUP(CONTROL[[#This Row],[VEHIDCODE]],roster!A:A,roster!D:D))</f>
        <v>1</v>
      </c>
      <c r="M216" t="b">
        <f>ISNUMBER(_xlfn.XMATCH(CONTROL[[#This Row],[VEHIDCODE]],GRAPHICS_PROPERTIES[VEHIDCODE],0))</f>
        <v>1</v>
      </c>
      <c r="N216" s="21" t="str">
        <f>"item_"&amp;CONTROL[[#This Row],[VEHIDCODE]]</f>
        <v>item_diesel_Sifang_DFH3</v>
      </c>
      <c r="O216" s="21" t="str">
        <f>"str_"&amp;CONTROL[[#This Row],[VEHIDCODE]]</f>
        <v>str_diesel_Sifang_DFH3</v>
      </c>
      <c r="P216" s="7" t="b">
        <f>_xlfn.XLOOKUP(CONTROL[[#This Row],[VEHIDCODE]],PROPERTIES[VEHIDCODE],PROPERTIES[IS_CONCEPT])="IS_CONCEPT"</f>
        <v>0</v>
      </c>
      <c r="Q216" s="7" t="b">
        <f>_xlfn.XLOOKUP(CONTROL[[#This Row],[VEHIDCODE]],PROPERTIES[VEHIDCODE],PROPERTIES[EXCLUDE])</f>
        <v>0</v>
      </c>
      <c r="R216" t="str" cm="1">
        <f t="array" ref="R216">_xlfn.XLOOKUP(CONTROL[[#This Row],[VEHIDCODE]],GRAPHICS_PROPERTIES[VEHIDCODE],GRAPHICS_PROPERTIES[TEMPLATE_ID]&amp;GRAPHICS_PROPERTIES[TEMPLATE_AMENDMENT_CODE])</f>
        <v>TPL_01A</v>
      </c>
    </row>
    <row r="217" spans="1:18" x14ac:dyDescent="0.35">
      <c r="A217" s="2" t="s">
        <v>2854</v>
      </c>
      <c r="B217" s="21" t="str">
        <f>_xlfn.TEXTAFTER(CONTROL[[#This Row],[VEHIDCODE]],"_")</f>
        <v>EMD_F40PH</v>
      </c>
      <c r="C217" t="str" cm="1">
        <f t="array" ref="C2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7" t="str" cm="1">
        <f t="array" ref="D2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7">
        <v>5045</v>
      </c>
      <c r="F217" s="32" t="s">
        <v>2022</v>
      </c>
      <c r="G217" t="s">
        <v>1248</v>
      </c>
      <c r="H217" s="2" t="b">
        <f>AND(CONTROL[[#This Row],[IS_WAGON_OR_COACH]]=TRUE,OR(RIGHT(CONTROL[[#This Row],[VEHIDCODE]],7)="Powered",RIGHT(CONTROL[[#This Row],[VEHIDCODE]],9)="Unpowered"))</f>
        <v>0</v>
      </c>
      <c r="I2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7" t="b">
        <f>ISNUMBER(_xlfn.XMATCH(CONTROL[[#This Row],[VEHIDCODE]],TRACK_TYPES[VEHIDCODE],0))</f>
        <v>1</v>
      </c>
      <c r="K217" t="b">
        <f>ISNUMBER(_xlfn.XMATCH(CONTROL[[#This Row],[VEHIDCODE]],PROPERTIES[VEHIDCODE],0))</f>
        <v>1</v>
      </c>
      <c r="L217" t="b">
        <f>ISNUMBER(_xlfn.XLOOKUP(CONTROL[[#This Row],[VEHIDCODE]],roster!A:A,roster!D:D))</f>
        <v>1</v>
      </c>
      <c r="M217" t="b">
        <f>ISNUMBER(_xlfn.XMATCH(CONTROL[[#This Row],[VEHIDCODE]],GRAPHICS_PROPERTIES[VEHIDCODE],0))</f>
        <v>1</v>
      </c>
      <c r="N217" s="21" t="str">
        <f>"item_"&amp;CONTROL[[#This Row],[VEHIDCODE]]</f>
        <v>item_diesel_EMD_F40PH</v>
      </c>
      <c r="O217" s="21" t="str">
        <f>"str_"&amp;CONTROL[[#This Row],[VEHIDCODE]]</f>
        <v>str_diesel_EMD_F40PH</v>
      </c>
      <c r="P217" s="7" t="b">
        <f>_xlfn.XLOOKUP(CONTROL[[#This Row],[VEHIDCODE]],PROPERTIES[VEHIDCODE],PROPERTIES[IS_CONCEPT])="IS_CONCEPT"</f>
        <v>0</v>
      </c>
      <c r="Q217" s="7" t="b">
        <f>_xlfn.XLOOKUP(CONTROL[[#This Row],[VEHIDCODE]],PROPERTIES[VEHIDCODE],PROPERTIES[EXCLUDE])</f>
        <v>0</v>
      </c>
      <c r="R217" t="str" cm="1">
        <f t="array" ref="R217">_xlfn.XLOOKUP(CONTROL[[#This Row],[VEHIDCODE]],GRAPHICS_PROPERTIES[VEHIDCODE],GRAPHICS_PROPERTIES[TEMPLATE_ID]&amp;GRAPHICS_PROPERTIES[TEMPLATE_AMENDMENT_CODE])</f>
        <v>TPL_03F</v>
      </c>
    </row>
    <row r="218" spans="1:18" x14ac:dyDescent="0.35">
      <c r="A218" s="2" t="s">
        <v>2855</v>
      </c>
      <c r="B218" s="21" t="str">
        <f>_xlfn.TEXTAFTER(CONTROL[[#This Row],[VEHIDCODE]],"_")</f>
        <v>Sorefame_Alsthom_1900</v>
      </c>
      <c r="C218" t="str" cm="1">
        <f t="array" ref="C2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8" t="str" cm="1">
        <f t="array" ref="D2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8">
        <v>5046</v>
      </c>
      <c r="F218" s="32" t="s">
        <v>2167</v>
      </c>
      <c r="G218" t="s">
        <v>1249</v>
      </c>
      <c r="H218" s="2" t="b">
        <f>AND(CONTROL[[#This Row],[IS_WAGON_OR_COACH]]=TRUE,OR(RIGHT(CONTROL[[#This Row],[VEHIDCODE]],7)="Powered",RIGHT(CONTROL[[#This Row],[VEHIDCODE]],9)="Unpowered"))</f>
        <v>0</v>
      </c>
      <c r="I2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8" t="b">
        <f>ISNUMBER(_xlfn.XMATCH(CONTROL[[#This Row],[VEHIDCODE]],TRACK_TYPES[VEHIDCODE],0))</f>
        <v>1</v>
      </c>
      <c r="K218" t="b">
        <f>ISNUMBER(_xlfn.XMATCH(CONTROL[[#This Row],[VEHIDCODE]],PROPERTIES[VEHIDCODE],0))</f>
        <v>1</v>
      </c>
      <c r="L218" t="b">
        <f>ISNUMBER(_xlfn.XLOOKUP(CONTROL[[#This Row],[VEHIDCODE]],roster!A:A,roster!D:D))</f>
        <v>1</v>
      </c>
      <c r="M218" t="b">
        <f>ISNUMBER(_xlfn.XMATCH(CONTROL[[#This Row],[VEHIDCODE]],GRAPHICS_PROPERTIES[VEHIDCODE],0))</f>
        <v>1</v>
      </c>
      <c r="N218" s="21" t="str">
        <f>"item_"&amp;CONTROL[[#This Row],[VEHIDCODE]]</f>
        <v>item_diesel_Sorefame_Alsthom_1900</v>
      </c>
      <c r="O218" s="21" t="str">
        <f>"str_"&amp;CONTROL[[#This Row],[VEHIDCODE]]</f>
        <v>str_diesel_Sorefame_Alsthom_1900</v>
      </c>
      <c r="P218" s="7" t="b">
        <f>_xlfn.XLOOKUP(CONTROL[[#This Row],[VEHIDCODE]],PROPERTIES[VEHIDCODE],PROPERTIES[IS_CONCEPT])="IS_CONCEPT"</f>
        <v>0</v>
      </c>
      <c r="Q218" s="7" t="b">
        <f>_xlfn.XLOOKUP(CONTROL[[#This Row],[VEHIDCODE]],PROPERTIES[VEHIDCODE],PROPERTIES[EXCLUDE])</f>
        <v>0</v>
      </c>
      <c r="R218" t="str" cm="1">
        <f t="array" ref="R218">_xlfn.XLOOKUP(CONTROL[[#This Row],[VEHIDCODE]],GRAPHICS_PROPERTIES[VEHIDCODE],GRAPHICS_PROPERTIES[TEMPLATE_ID]&amp;GRAPHICS_PROPERTIES[TEMPLATE_AMENDMENT_CODE])</f>
        <v>TPL_01A</v>
      </c>
    </row>
    <row r="219" spans="1:18" x14ac:dyDescent="0.35">
      <c r="A219" s="2" t="s">
        <v>2856</v>
      </c>
      <c r="B219" s="21" t="str">
        <f>_xlfn.TEXTAFTER(CONTROL[[#This Row],[VEHIDCODE]],"_")</f>
        <v>Valmet_Oy_Dr16</v>
      </c>
      <c r="C219" t="str" cm="1">
        <f t="array" ref="C2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9" t="str" cm="1">
        <f t="array" ref="D2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9">
        <v>5047</v>
      </c>
      <c r="F219" s="32" t="s">
        <v>2168</v>
      </c>
      <c r="G219" t="s">
        <v>1250</v>
      </c>
      <c r="H219" s="2" t="b">
        <f>AND(CONTROL[[#This Row],[IS_WAGON_OR_COACH]]=TRUE,OR(RIGHT(CONTROL[[#This Row],[VEHIDCODE]],7)="Powered",RIGHT(CONTROL[[#This Row],[VEHIDCODE]],9)="Unpowered"))</f>
        <v>0</v>
      </c>
      <c r="I2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9" t="b">
        <f>ISNUMBER(_xlfn.XMATCH(CONTROL[[#This Row],[VEHIDCODE]],TRACK_TYPES[VEHIDCODE],0))</f>
        <v>1</v>
      </c>
      <c r="K219" t="b">
        <f>ISNUMBER(_xlfn.XMATCH(CONTROL[[#This Row],[VEHIDCODE]],PROPERTIES[VEHIDCODE],0))</f>
        <v>1</v>
      </c>
      <c r="L219" t="b">
        <f>ISNUMBER(_xlfn.XLOOKUP(CONTROL[[#This Row],[VEHIDCODE]],roster!A:A,roster!D:D))</f>
        <v>1</v>
      </c>
      <c r="M219" t="b">
        <f>ISNUMBER(_xlfn.XMATCH(CONTROL[[#This Row],[VEHIDCODE]],GRAPHICS_PROPERTIES[VEHIDCODE],0))</f>
        <v>1</v>
      </c>
      <c r="N219" s="21" t="str">
        <f>"item_"&amp;CONTROL[[#This Row],[VEHIDCODE]]</f>
        <v>item_diesel_Valmet_Oy_Dr16</v>
      </c>
      <c r="O219" s="21" t="str">
        <f>"str_"&amp;CONTROL[[#This Row],[VEHIDCODE]]</f>
        <v>str_diesel_Valmet_Oy_Dr16</v>
      </c>
      <c r="P219" s="7" t="b">
        <f>_xlfn.XLOOKUP(CONTROL[[#This Row],[VEHIDCODE]],PROPERTIES[VEHIDCODE],PROPERTIES[IS_CONCEPT])="IS_CONCEPT"</f>
        <v>0</v>
      </c>
      <c r="Q219" s="7" t="b">
        <f>_xlfn.XLOOKUP(CONTROL[[#This Row],[VEHIDCODE]],PROPERTIES[VEHIDCODE],PROPERTIES[EXCLUDE])</f>
        <v>0</v>
      </c>
      <c r="R219" t="str" cm="1">
        <f t="array" ref="R219">_xlfn.XLOOKUP(CONTROL[[#This Row],[VEHIDCODE]],GRAPHICS_PROPERTIES[VEHIDCODE],GRAPHICS_PROPERTIES[TEMPLATE_ID]&amp;GRAPHICS_PROPERTIES[TEMPLATE_AMENDMENT_CODE])</f>
        <v>TPL_01A</v>
      </c>
    </row>
    <row r="220" spans="1:18" x14ac:dyDescent="0.35">
      <c r="A220" s="2" t="s">
        <v>2857</v>
      </c>
      <c r="B220" s="21" t="str">
        <f>_xlfn.TEXTAFTER(CONTROL[[#This Row],[VEHIDCODE]],"_")</f>
        <v>Kolomena_TEP80</v>
      </c>
      <c r="C220" t="str" cm="1">
        <f t="array" ref="C2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0" t="str" cm="1">
        <f t="array" ref="D2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0">
        <v>5048</v>
      </c>
      <c r="F220" s="32" t="s">
        <v>3507</v>
      </c>
      <c r="G220" t="s">
        <v>1251</v>
      </c>
      <c r="H220" s="2" t="b">
        <f>AND(CONTROL[[#This Row],[IS_WAGON_OR_COACH]]=TRUE,OR(RIGHT(CONTROL[[#This Row],[VEHIDCODE]],7)="Powered",RIGHT(CONTROL[[#This Row],[VEHIDCODE]],9)="Unpowered"))</f>
        <v>0</v>
      </c>
      <c r="I2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0" t="b">
        <f>ISNUMBER(_xlfn.XMATCH(CONTROL[[#This Row],[VEHIDCODE]],TRACK_TYPES[VEHIDCODE],0))</f>
        <v>1</v>
      </c>
      <c r="K220" t="b">
        <f>ISNUMBER(_xlfn.XMATCH(CONTROL[[#This Row],[VEHIDCODE]],PROPERTIES[VEHIDCODE],0))</f>
        <v>1</v>
      </c>
      <c r="L220" t="b">
        <f>ISNUMBER(_xlfn.XLOOKUP(CONTROL[[#This Row],[VEHIDCODE]],roster!A:A,roster!D:D))</f>
        <v>1</v>
      </c>
      <c r="M220" t="b">
        <f>ISNUMBER(_xlfn.XMATCH(CONTROL[[#This Row],[VEHIDCODE]],GRAPHICS_PROPERTIES[VEHIDCODE],0))</f>
        <v>1</v>
      </c>
      <c r="N220" s="21" t="str">
        <f>"item_"&amp;CONTROL[[#This Row],[VEHIDCODE]]</f>
        <v>item_diesel_Kolomena_TEP80</v>
      </c>
      <c r="O220" s="21" t="str">
        <f>"str_"&amp;CONTROL[[#This Row],[VEHIDCODE]]</f>
        <v>str_diesel_Kolomena_TEP80</v>
      </c>
      <c r="P220" s="7" t="b">
        <f>_xlfn.XLOOKUP(CONTROL[[#This Row],[VEHIDCODE]],PROPERTIES[VEHIDCODE],PROPERTIES[IS_CONCEPT])="IS_CONCEPT"</f>
        <v>0</v>
      </c>
      <c r="Q220" s="7" t="b">
        <f>_xlfn.XLOOKUP(CONTROL[[#This Row],[VEHIDCODE]],PROPERTIES[VEHIDCODE],PROPERTIES[EXCLUDE])</f>
        <v>0</v>
      </c>
      <c r="R220" t="str" cm="1">
        <f t="array" ref="R220">_xlfn.XLOOKUP(CONTROL[[#This Row],[VEHIDCODE]],GRAPHICS_PROPERTIES[VEHIDCODE],GRAPHICS_PROPERTIES[TEMPLATE_ID]&amp;GRAPHICS_PROPERTIES[TEMPLATE_AMENDMENT_CODE])</f>
        <v>TPL_01A</v>
      </c>
    </row>
    <row r="221" spans="1:18" x14ac:dyDescent="0.35">
      <c r="A221" s="2" t="s">
        <v>2858</v>
      </c>
      <c r="B221" s="21" t="str">
        <f>_xlfn.TEXTAFTER(CONTROL[[#This Row],[VEHIDCODE]],"_")</f>
        <v>EMD_Clyde_JT46C</v>
      </c>
      <c r="C221" t="str" cm="1">
        <f t="array" ref="C2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1" t="str" cm="1">
        <f t="array" ref="D2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1">
        <v>5049</v>
      </c>
      <c r="F221" s="32" t="s">
        <v>2607</v>
      </c>
      <c r="G221" t="s">
        <v>1252</v>
      </c>
      <c r="H221" s="2" t="b">
        <f>AND(CONTROL[[#This Row],[IS_WAGON_OR_COACH]]=TRUE,OR(RIGHT(CONTROL[[#This Row],[VEHIDCODE]],7)="Powered",RIGHT(CONTROL[[#This Row],[VEHIDCODE]],9)="Unpowered"))</f>
        <v>0</v>
      </c>
      <c r="I2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1" t="b">
        <f>ISNUMBER(_xlfn.XMATCH(CONTROL[[#This Row],[VEHIDCODE]],TRACK_TYPES[VEHIDCODE],0))</f>
        <v>1</v>
      </c>
      <c r="K221" t="b">
        <f>ISNUMBER(_xlfn.XMATCH(CONTROL[[#This Row],[VEHIDCODE]],PROPERTIES[VEHIDCODE],0))</f>
        <v>1</v>
      </c>
      <c r="L221" t="b">
        <f>ISNUMBER(_xlfn.XLOOKUP(CONTROL[[#This Row],[VEHIDCODE]],roster!A:A,roster!D:D))</f>
        <v>1</v>
      </c>
      <c r="M221" t="b">
        <f>ISNUMBER(_xlfn.XMATCH(CONTROL[[#This Row],[VEHIDCODE]],GRAPHICS_PROPERTIES[VEHIDCODE],0))</f>
        <v>1</v>
      </c>
      <c r="N221" s="21" t="str">
        <f>"item_"&amp;CONTROL[[#This Row],[VEHIDCODE]]</f>
        <v>item_diesel_EMD_Clyde_JT46C</v>
      </c>
      <c r="O221" s="21" t="str">
        <f>"str_"&amp;CONTROL[[#This Row],[VEHIDCODE]]</f>
        <v>str_diesel_EMD_Clyde_JT46C</v>
      </c>
      <c r="P221" s="7" t="b">
        <f>_xlfn.XLOOKUP(CONTROL[[#This Row],[VEHIDCODE]],PROPERTIES[VEHIDCODE],PROPERTIES[IS_CONCEPT])="IS_CONCEPT"</f>
        <v>0</v>
      </c>
      <c r="Q221" s="7" t="b">
        <f>_xlfn.XLOOKUP(CONTROL[[#This Row],[VEHIDCODE]],PROPERTIES[VEHIDCODE],PROPERTIES[EXCLUDE])</f>
        <v>0</v>
      </c>
      <c r="R221" t="str" cm="1">
        <f t="array" ref="R221">_xlfn.XLOOKUP(CONTROL[[#This Row],[VEHIDCODE]],GRAPHICS_PROPERTIES[VEHIDCODE],GRAPHICS_PROPERTIES[TEMPLATE_ID]&amp;GRAPHICS_PROPERTIES[TEMPLATE_AMENDMENT_CODE])</f>
        <v>TPL_01A</v>
      </c>
    </row>
    <row r="222" spans="1:18" x14ac:dyDescent="0.35">
      <c r="A222" s="2" t="s">
        <v>2859</v>
      </c>
      <c r="B222" s="21" t="str">
        <f>_xlfn.TEXTAFTER(CONTROL[[#This Row],[VEHIDCODE]],"_")</f>
        <v>GE_P42DC_Genesis</v>
      </c>
      <c r="C222" t="str" cm="1">
        <f t="array" ref="C2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2" t="str" cm="1">
        <f t="array" ref="D2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2">
        <v>5050</v>
      </c>
      <c r="F222" s="32" t="s">
        <v>1997</v>
      </c>
      <c r="G222" t="s">
        <v>1253</v>
      </c>
      <c r="H222" s="2" t="b">
        <f>AND(CONTROL[[#This Row],[IS_WAGON_OR_COACH]]=TRUE,OR(RIGHT(CONTROL[[#This Row],[VEHIDCODE]],7)="Powered",RIGHT(CONTROL[[#This Row],[VEHIDCODE]],9)="Unpowered"))</f>
        <v>0</v>
      </c>
      <c r="I2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2" t="b">
        <f>ISNUMBER(_xlfn.XMATCH(CONTROL[[#This Row],[VEHIDCODE]],TRACK_TYPES[VEHIDCODE],0))</f>
        <v>1</v>
      </c>
      <c r="K222" t="b">
        <f>ISNUMBER(_xlfn.XMATCH(CONTROL[[#This Row],[VEHIDCODE]],PROPERTIES[VEHIDCODE],0))</f>
        <v>1</v>
      </c>
      <c r="L222" t="b">
        <f>ISNUMBER(_xlfn.XLOOKUP(CONTROL[[#This Row],[VEHIDCODE]],roster!A:A,roster!D:D))</f>
        <v>1</v>
      </c>
      <c r="M222" t="b">
        <f>ISNUMBER(_xlfn.XMATCH(CONTROL[[#This Row],[VEHIDCODE]],GRAPHICS_PROPERTIES[VEHIDCODE],0))</f>
        <v>1</v>
      </c>
      <c r="N222" s="21" t="str">
        <f>"item_"&amp;CONTROL[[#This Row],[VEHIDCODE]]</f>
        <v>item_diesel_GE_P42DC_Genesis</v>
      </c>
      <c r="O222" s="21" t="str">
        <f>"str_"&amp;CONTROL[[#This Row],[VEHIDCODE]]</f>
        <v>str_diesel_GE_P42DC_Genesis</v>
      </c>
      <c r="P222" s="7" t="b">
        <f>_xlfn.XLOOKUP(CONTROL[[#This Row],[VEHIDCODE]],PROPERTIES[VEHIDCODE],PROPERTIES[IS_CONCEPT])="IS_CONCEPT"</f>
        <v>0</v>
      </c>
      <c r="Q222" s="7" t="b">
        <f>_xlfn.XLOOKUP(CONTROL[[#This Row],[VEHIDCODE]],PROPERTIES[VEHIDCODE],PROPERTIES[EXCLUDE])</f>
        <v>0</v>
      </c>
      <c r="R222" t="str" cm="1">
        <f t="array" ref="R222">_xlfn.XLOOKUP(CONTROL[[#This Row],[VEHIDCODE]],GRAPHICS_PROPERTIES[VEHIDCODE],GRAPHICS_PROPERTIES[TEMPLATE_ID]&amp;GRAPHICS_PROPERTIES[TEMPLATE_AMENDMENT_CODE])</f>
        <v>TPL_03F</v>
      </c>
    </row>
    <row r="223" spans="1:18" x14ac:dyDescent="0.35">
      <c r="A223" s="2" t="s">
        <v>2860</v>
      </c>
      <c r="B223" s="21" t="str">
        <f>_xlfn.TEXTAFTER(CONTROL[[#This Row],[VEHIDCODE]],"_")</f>
        <v>Tulomsas_TCDD_DH7000</v>
      </c>
      <c r="C223" t="str" cm="1">
        <f t="array" ref="C2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3" t="str" cm="1">
        <f t="array" ref="D2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3">
        <v>5051</v>
      </c>
      <c r="F223" s="32" t="s">
        <v>2169</v>
      </c>
      <c r="G223" t="s">
        <v>1254</v>
      </c>
      <c r="H223" s="2" t="b">
        <f>AND(CONTROL[[#This Row],[IS_WAGON_OR_COACH]]=TRUE,OR(RIGHT(CONTROL[[#This Row],[VEHIDCODE]],7)="Powered",RIGHT(CONTROL[[#This Row],[VEHIDCODE]],9)="Unpowered"))</f>
        <v>0</v>
      </c>
      <c r="I2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3" t="b">
        <f>ISNUMBER(_xlfn.XMATCH(CONTROL[[#This Row],[VEHIDCODE]],TRACK_TYPES[VEHIDCODE],0))</f>
        <v>1</v>
      </c>
      <c r="K223" t="b">
        <f>ISNUMBER(_xlfn.XMATCH(CONTROL[[#This Row],[VEHIDCODE]],PROPERTIES[VEHIDCODE],0))</f>
        <v>1</v>
      </c>
      <c r="L223" t="b">
        <f>ISNUMBER(_xlfn.XLOOKUP(CONTROL[[#This Row],[VEHIDCODE]],roster!A:A,roster!D:D))</f>
        <v>1</v>
      </c>
      <c r="M223" t="b">
        <f>ISNUMBER(_xlfn.XMATCH(CONTROL[[#This Row],[VEHIDCODE]],GRAPHICS_PROPERTIES[VEHIDCODE],0))</f>
        <v>1</v>
      </c>
      <c r="N223" s="21" t="str">
        <f>"item_"&amp;CONTROL[[#This Row],[VEHIDCODE]]</f>
        <v>item_diesel_Tulomsas_TCDD_DH7000</v>
      </c>
      <c r="O223" s="21" t="str">
        <f>"str_"&amp;CONTROL[[#This Row],[VEHIDCODE]]</f>
        <v>str_diesel_Tulomsas_TCDD_DH7000</v>
      </c>
      <c r="P223" s="7" t="b">
        <f>_xlfn.XLOOKUP(CONTROL[[#This Row],[VEHIDCODE]],PROPERTIES[VEHIDCODE],PROPERTIES[IS_CONCEPT])="IS_CONCEPT"</f>
        <v>0</v>
      </c>
      <c r="Q223" s="7" t="b">
        <f>_xlfn.XLOOKUP(CONTROL[[#This Row],[VEHIDCODE]],PROPERTIES[VEHIDCODE],PROPERTIES[EXCLUDE])</f>
        <v>0</v>
      </c>
      <c r="R223" t="str" cm="1">
        <f t="array" ref="R223">_xlfn.XLOOKUP(CONTROL[[#This Row],[VEHIDCODE]],GRAPHICS_PROPERTIES[VEHIDCODE],GRAPHICS_PROPERTIES[TEMPLATE_ID]&amp;GRAPHICS_PROPERTIES[TEMPLATE_AMENDMENT_CODE])</f>
        <v>TPL_01A</v>
      </c>
    </row>
    <row r="224" spans="1:18" x14ac:dyDescent="0.35">
      <c r="A224" s="2" t="s">
        <v>2861</v>
      </c>
      <c r="B224" s="21" t="str">
        <f>_xlfn.TEXTAFTER(CONTROL[[#This Row],[VEHIDCODE]],"_")</f>
        <v>GE_U20C</v>
      </c>
      <c r="C224" t="str" cm="1">
        <f t="array" ref="C2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4" t="str" cm="1">
        <f t="array" ref="D2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4">
        <v>5052</v>
      </c>
      <c r="F224" s="32" t="s">
        <v>2016</v>
      </c>
      <c r="G224" t="s">
        <v>1661</v>
      </c>
      <c r="H224" s="2" t="b">
        <f>AND(CONTROL[[#This Row],[IS_WAGON_OR_COACH]]=TRUE,OR(RIGHT(CONTROL[[#This Row],[VEHIDCODE]],7)="Powered",RIGHT(CONTROL[[#This Row],[VEHIDCODE]],9)="Unpowered"))</f>
        <v>0</v>
      </c>
      <c r="I2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4" t="b">
        <f>ISNUMBER(_xlfn.XMATCH(CONTROL[[#This Row],[VEHIDCODE]],TRACK_TYPES[VEHIDCODE],0))</f>
        <v>1</v>
      </c>
      <c r="K224" t="b">
        <f>ISNUMBER(_xlfn.XMATCH(CONTROL[[#This Row],[VEHIDCODE]],PROPERTIES[VEHIDCODE],0))</f>
        <v>1</v>
      </c>
      <c r="L224" t="b">
        <f>ISNUMBER(_xlfn.XLOOKUP(CONTROL[[#This Row],[VEHIDCODE]],roster!A:A,roster!D:D))</f>
        <v>1</v>
      </c>
      <c r="M224" t="b">
        <f>ISNUMBER(_xlfn.XMATCH(CONTROL[[#This Row],[VEHIDCODE]],GRAPHICS_PROPERTIES[VEHIDCODE],0))</f>
        <v>1</v>
      </c>
      <c r="N224" s="21" t="str">
        <f>"item_"&amp;CONTROL[[#This Row],[VEHIDCODE]]</f>
        <v>item_diesel_GE_U20C</v>
      </c>
      <c r="O224" s="21" t="str">
        <f>"str_"&amp;CONTROL[[#This Row],[VEHIDCODE]]</f>
        <v>str_diesel_GE_U20C</v>
      </c>
      <c r="P224" s="7" t="b">
        <f>_xlfn.XLOOKUP(CONTROL[[#This Row],[VEHIDCODE]],PROPERTIES[VEHIDCODE],PROPERTIES[IS_CONCEPT])="IS_CONCEPT"</f>
        <v>0</v>
      </c>
      <c r="Q224" s="7" t="b">
        <f>_xlfn.XLOOKUP(CONTROL[[#This Row],[VEHIDCODE]],PROPERTIES[VEHIDCODE],PROPERTIES[EXCLUDE])</f>
        <v>0</v>
      </c>
      <c r="R224" t="str" cm="1">
        <f t="array" ref="R224">_xlfn.XLOOKUP(CONTROL[[#This Row],[VEHIDCODE]],GRAPHICS_PROPERTIES[VEHIDCODE],GRAPHICS_PROPERTIES[TEMPLATE_ID]&amp;GRAPHICS_PROPERTIES[TEMPLATE_AMENDMENT_CODE])</f>
        <v>TPL_01A</v>
      </c>
    </row>
    <row r="225" spans="1:18" x14ac:dyDescent="0.35">
      <c r="A225" s="2" t="s">
        <v>3442</v>
      </c>
      <c r="B225" s="21" t="str">
        <f>_xlfn.TEXTAFTER(CONTROL[[#This Row],[VEHIDCODE]],"_")</f>
        <v>Vossloh_Siemens_serie_77_78</v>
      </c>
      <c r="C225" t="str" cm="1">
        <f t="array" ref="C2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5" t="str" cm="1">
        <f t="array" ref="D2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5">
        <v>5053</v>
      </c>
      <c r="F225" s="32" t="s">
        <v>3443</v>
      </c>
      <c r="G225" t="s">
        <v>1255</v>
      </c>
      <c r="H225" s="2" t="b">
        <f>AND(CONTROL[[#This Row],[IS_WAGON_OR_COACH]]=TRUE,OR(RIGHT(CONTROL[[#This Row],[VEHIDCODE]],7)="Powered",RIGHT(CONTROL[[#This Row],[VEHIDCODE]],9)="Unpowered"))</f>
        <v>0</v>
      </c>
      <c r="I2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5" t="b">
        <f>ISNUMBER(_xlfn.XMATCH(CONTROL[[#This Row],[VEHIDCODE]],TRACK_TYPES[VEHIDCODE],0))</f>
        <v>1</v>
      </c>
      <c r="K225" t="b">
        <f>ISNUMBER(_xlfn.XMATCH(CONTROL[[#This Row],[VEHIDCODE]],PROPERTIES[VEHIDCODE],0))</f>
        <v>1</v>
      </c>
      <c r="L225" t="b">
        <f>ISNUMBER(_xlfn.XLOOKUP(CONTROL[[#This Row],[VEHIDCODE]],roster!A:A,roster!D:D))</f>
        <v>1</v>
      </c>
      <c r="M225" t="b">
        <f>ISNUMBER(_xlfn.XMATCH(CONTROL[[#This Row],[VEHIDCODE]],GRAPHICS_PROPERTIES[VEHIDCODE],0))</f>
        <v>1</v>
      </c>
      <c r="N225" s="21" t="str">
        <f>"item_"&amp;CONTROL[[#This Row],[VEHIDCODE]]</f>
        <v>item_diesel_Vossloh_Siemens_serie_77_78</v>
      </c>
      <c r="O225" s="21" t="str">
        <f>"str_"&amp;CONTROL[[#This Row],[VEHIDCODE]]</f>
        <v>str_diesel_Vossloh_Siemens_serie_77_78</v>
      </c>
      <c r="P225" s="7" t="b">
        <f>_xlfn.XLOOKUP(CONTROL[[#This Row],[VEHIDCODE]],PROPERTIES[VEHIDCODE],PROPERTIES[IS_CONCEPT])="IS_CONCEPT"</f>
        <v>0</v>
      </c>
      <c r="Q225" s="7" t="b">
        <f>_xlfn.XLOOKUP(CONTROL[[#This Row],[VEHIDCODE]],PROPERTIES[VEHIDCODE],PROPERTIES[EXCLUDE])</f>
        <v>0</v>
      </c>
      <c r="R225" t="str" cm="1">
        <f t="array" ref="R225">_xlfn.XLOOKUP(CONTROL[[#This Row],[VEHIDCODE]],GRAPHICS_PROPERTIES[VEHIDCODE],GRAPHICS_PROPERTIES[TEMPLATE_ID]&amp;GRAPHICS_PROPERTIES[TEMPLATE_AMENDMENT_CODE])</f>
        <v>TPL_01A</v>
      </c>
    </row>
    <row r="226" spans="1:18" x14ac:dyDescent="0.35">
      <c r="A226" s="2" t="s">
        <v>2862</v>
      </c>
      <c r="B226" s="21" t="str">
        <f>_xlfn.TEXTAFTER(CONTROL[[#This Row],[VEHIDCODE]],"_")</f>
        <v>EMD_JT42CWRM</v>
      </c>
      <c r="C226" t="str" cm="1">
        <f t="array" ref="C2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6" t="str" cm="1">
        <f t="array" ref="D2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6">
        <v>5054</v>
      </c>
      <c r="F226" s="32" t="s">
        <v>1971</v>
      </c>
      <c r="G226" t="s">
        <v>1256</v>
      </c>
      <c r="H226" s="2" t="b">
        <f>AND(CONTROL[[#This Row],[IS_WAGON_OR_COACH]]=TRUE,OR(RIGHT(CONTROL[[#This Row],[VEHIDCODE]],7)="Powered",RIGHT(CONTROL[[#This Row],[VEHIDCODE]],9)="Unpowered"))</f>
        <v>0</v>
      </c>
      <c r="I2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6" t="b">
        <f>ISNUMBER(_xlfn.XMATCH(CONTROL[[#This Row],[VEHIDCODE]],TRACK_TYPES[VEHIDCODE],0))</f>
        <v>1</v>
      </c>
      <c r="K226" t="b">
        <f>ISNUMBER(_xlfn.XMATCH(CONTROL[[#This Row],[VEHIDCODE]],PROPERTIES[VEHIDCODE],0))</f>
        <v>1</v>
      </c>
      <c r="L226" t="b">
        <f>ISNUMBER(_xlfn.XLOOKUP(CONTROL[[#This Row],[VEHIDCODE]],roster!A:A,roster!D:D))</f>
        <v>1</v>
      </c>
      <c r="M226" t="b">
        <f>ISNUMBER(_xlfn.XMATCH(CONTROL[[#This Row],[VEHIDCODE]],GRAPHICS_PROPERTIES[VEHIDCODE],0))</f>
        <v>1</v>
      </c>
      <c r="N226" s="21" t="str">
        <f>"item_"&amp;CONTROL[[#This Row],[VEHIDCODE]]</f>
        <v>item_diesel_EMD_JT42CWRM</v>
      </c>
      <c r="O226" s="21" t="str">
        <f>"str_"&amp;CONTROL[[#This Row],[VEHIDCODE]]</f>
        <v>str_diesel_EMD_JT42CWRM</v>
      </c>
      <c r="P226" s="7" t="b">
        <f>_xlfn.XLOOKUP(CONTROL[[#This Row],[VEHIDCODE]],PROPERTIES[VEHIDCODE],PROPERTIES[IS_CONCEPT])="IS_CONCEPT"</f>
        <v>0</v>
      </c>
      <c r="Q226" s="7" t="b">
        <f>_xlfn.XLOOKUP(CONTROL[[#This Row],[VEHIDCODE]],PROPERTIES[VEHIDCODE],PROPERTIES[EXCLUDE])</f>
        <v>0</v>
      </c>
      <c r="R226" t="str" cm="1">
        <f t="array" ref="R226">_xlfn.XLOOKUP(CONTROL[[#This Row],[VEHIDCODE]],GRAPHICS_PROPERTIES[VEHIDCODE],GRAPHICS_PROPERTIES[TEMPLATE_ID]&amp;GRAPHICS_PROPERTIES[TEMPLATE_AMENDMENT_CODE])</f>
        <v>TPL_01A</v>
      </c>
    </row>
    <row r="227" spans="1:18" x14ac:dyDescent="0.35">
      <c r="A227" s="2" t="s">
        <v>2863</v>
      </c>
      <c r="B227" s="21" t="str">
        <f>_xlfn.TEXTAFTER(CONTROL[[#This Row],[VEHIDCODE]],"_")</f>
        <v>EMD_JT42HW_HS</v>
      </c>
      <c r="C227" t="str" cm="1">
        <f t="array" ref="C2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7" t="str" cm="1">
        <f t="array" ref="D2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7">
        <v>5055</v>
      </c>
      <c r="F227" s="32" t="s">
        <v>1972</v>
      </c>
      <c r="G227" t="s">
        <v>1257</v>
      </c>
      <c r="H227" s="2" t="b">
        <f>AND(CONTROL[[#This Row],[IS_WAGON_OR_COACH]]=TRUE,OR(RIGHT(CONTROL[[#This Row],[VEHIDCODE]],7)="Powered",RIGHT(CONTROL[[#This Row],[VEHIDCODE]],9)="Unpowered"))</f>
        <v>0</v>
      </c>
      <c r="I2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7" t="b">
        <f>ISNUMBER(_xlfn.XMATCH(CONTROL[[#This Row],[VEHIDCODE]],TRACK_TYPES[VEHIDCODE],0))</f>
        <v>1</v>
      </c>
      <c r="K227" t="b">
        <f>ISNUMBER(_xlfn.XMATCH(CONTROL[[#This Row],[VEHIDCODE]],PROPERTIES[VEHIDCODE],0))</f>
        <v>1</v>
      </c>
      <c r="L227" t="b">
        <f>ISNUMBER(_xlfn.XLOOKUP(CONTROL[[#This Row],[VEHIDCODE]],roster!A:A,roster!D:D))</f>
        <v>1</v>
      </c>
      <c r="M227" t="b">
        <f>ISNUMBER(_xlfn.XMATCH(CONTROL[[#This Row],[VEHIDCODE]],GRAPHICS_PROPERTIES[VEHIDCODE],0))</f>
        <v>1</v>
      </c>
      <c r="N227" s="21" t="str">
        <f>"item_"&amp;CONTROL[[#This Row],[VEHIDCODE]]</f>
        <v>item_diesel_EMD_JT42HW_HS</v>
      </c>
      <c r="O227" s="21" t="str">
        <f>"str_"&amp;CONTROL[[#This Row],[VEHIDCODE]]</f>
        <v>str_diesel_EMD_JT42HW_HS</v>
      </c>
      <c r="P227" s="7" t="b">
        <f>_xlfn.XLOOKUP(CONTROL[[#This Row],[VEHIDCODE]],PROPERTIES[VEHIDCODE],PROPERTIES[IS_CONCEPT])="IS_CONCEPT"</f>
        <v>0</v>
      </c>
      <c r="Q227" s="7" t="b">
        <f>_xlfn.XLOOKUP(CONTROL[[#This Row],[VEHIDCODE]],PROPERTIES[VEHIDCODE],PROPERTIES[EXCLUDE])</f>
        <v>0</v>
      </c>
      <c r="R227" t="str" cm="1">
        <f t="array" ref="R227">_xlfn.XLOOKUP(CONTROL[[#This Row],[VEHIDCODE]],GRAPHICS_PROPERTIES[VEHIDCODE],GRAPHICS_PROPERTIES[TEMPLATE_ID]&amp;GRAPHICS_PROPERTIES[TEMPLATE_AMENDMENT_CODE])</f>
        <v>TPL_01A</v>
      </c>
    </row>
    <row r="228" spans="1:18" x14ac:dyDescent="0.35">
      <c r="A228" s="2" t="s">
        <v>2864</v>
      </c>
      <c r="B228" s="21" t="str">
        <f>_xlfn.TEXTAFTER(CONTROL[[#This Row],[VEHIDCODE]],"_")</f>
        <v>Alstom_DE43CA_Prima</v>
      </c>
      <c r="C228" t="str" cm="1">
        <f t="array" ref="C2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8" t="str" cm="1">
        <f t="array" ref="D2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8">
        <v>5056</v>
      </c>
      <c r="F228" s="32" t="s">
        <v>2023</v>
      </c>
      <c r="G228" t="s">
        <v>1258</v>
      </c>
      <c r="H228" s="2" t="b">
        <f>AND(CONTROL[[#This Row],[IS_WAGON_OR_COACH]]=TRUE,OR(RIGHT(CONTROL[[#This Row],[VEHIDCODE]],7)="Powered",RIGHT(CONTROL[[#This Row],[VEHIDCODE]],9)="Unpowered"))</f>
        <v>0</v>
      </c>
      <c r="I2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8" t="b">
        <f>ISNUMBER(_xlfn.XMATCH(CONTROL[[#This Row],[VEHIDCODE]],TRACK_TYPES[VEHIDCODE],0))</f>
        <v>1</v>
      </c>
      <c r="K228" t="b">
        <f>ISNUMBER(_xlfn.XMATCH(CONTROL[[#This Row],[VEHIDCODE]],PROPERTIES[VEHIDCODE],0))</f>
        <v>1</v>
      </c>
      <c r="L228" t="b">
        <f>ISNUMBER(_xlfn.XLOOKUP(CONTROL[[#This Row],[VEHIDCODE]],roster!A:A,roster!D:D))</f>
        <v>1</v>
      </c>
      <c r="M228" t="b">
        <f>ISNUMBER(_xlfn.XMATCH(CONTROL[[#This Row],[VEHIDCODE]],GRAPHICS_PROPERTIES[VEHIDCODE],0))</f>
        <v>1</v>
      </c>
      <c r="N228" s="21" t="str">
        <f>"item_"&amp;CONTROL[[#This Row],[VEHIDCODE]]</f>
        <v>item_diesel_Alstom_DE43CA_Prima</v>
      </c>
      <c r="O228" s="21" t="str">
        <f>"str_"&amp;CONTROL[[#This Row],[VEHIDCODE]]</f>
        <v>str_diesel_Alstom_DE43CA_Prima</v>
      </c>
      <c r="P228" s="7" t="b">
        <f>_xlfn.XLOOKUP(CONTROL[[#This Row],[VEHIDCODE]],PROPERTIES[VEHIDCODE],PROPERTIES[IS_CONCEPT])="IS_CONCEPT"</f>
        <v>0</v>
      </c>
      <c r="Q228" s="7" t="b">
        <f>_xlfn.XLOOKUP(CONTROL[[#This Row],[VEHIDCODE]],PROPERTIES[VEHIDCODE],PROPERTIES[EXCLUDE])</f>
        <v>0</v>
      </c>
      <c r="R228" t="str" cm="1">
        <f t="array" ref="R228">_xlfn.XLOOKUP(CONTROL[[#This Row],[VEHIDCODE]],GRAPHICS_PROPERTIES[VEHIDCODE],GRAPHICS_PROPERTIES[TEMPLATE_ID]&amp;GRAPHICS_PROPERTIES[TEMPLATE_AMENDMENT_CODE])</f>
        <v>TPL_01A</v>
      </c>
    </row>
    <row r="229" spans="1:18" x14ac:dyDescent="0.35">
      <c r="A229" s="2" t="s">
        <v>2865</v>
      </c>
      <c r="B229" s="21" t="str">
        <f>_xlfn.TEXTAFTER(CONTROL[[#This Row],[VEHIDCODE]],"_")</f>
        <v>LTZ_TEP150</v>
      </c>
      <c r="C229" t="str" cm="1">
        <f t="array" ref="C2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9" t="str" cm="1">
        <f t="array" ref="D2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9">
        <v>5059</v>
      </c>
      <c r="F229" s="32" t="s">
        <v>2024</v>
      </c>
      <c r="G229" t="s">
        <v>1259</v>
      </c>
      <c r="H229" s="2" t="b">
        <f>AND(CONTROL[[#This Row],[IS_WAGON_OR_COACH]]=TRUE,OR(RIGHT(CONTROL[[#This Row],[VEHIDCODE]],7)="Powered",RIGHT(CONTROL[[#This Row],[VEHIDCODE]],9)="Unpowered"))</f>
        <v>0</v>
      </c>
      <c r="I2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9" t="b">
        <f>ISNUMBER(_xlfn.XMATCH(CONTROL[[#This Row],[VEHIDCODE]],TRACK_TYPES[VEHIDCODE],0))</f>
        <v>1</v>
      </c>
      <c r="K229" t="b">
        <f>ISNUMBER(_xlfn.XMATCH(CONTROL[[#This Row],[VEHIDCODE]],PROPERTIES[VEHIDCODE],0))</f>
        <v>1</v>
      </c>
      <c r="L229" t="b">
        <f>ISNUMBER(_xlfn.XLOOKUP(CONTROL[[#This Row],[VEHIDCODE]],roster!A:A,roster!D:D))</f>
        <v>1</v>
      </c>
      <c r="M229" t="b">
        <f>ISNUMBER(_xlfn.XMATCH(CONTROL[[#This Row],[VEHIDCODE]],GRAPHICS_PROPERTIES[VEHIDCODE],0))</f>
        <v>1</v>
      </c>
      <c r="N229" s="21" t="str">
        <f>"item_"&amp;CONTROL[[#This Row],[VEHIDCODE]]</f>
        <v>item_diesel_LTZ_TEP150</v>
      </c>
      <c r="O229" s="21" t="str">
        <f>"str_"&amp;CONTROL[[#This Row],[VEHIDCODE]]</f>
        <v>str_diesel_LTZ_TEP150</v>
      </c>
      <c r="P229" s="7" t="b">
        <f>_xlfn.XLOOKUP(CONTROL[[#This Row],[VEHIDCODE]],PROPERTIES[VEHIDCODE],PROPERTIES[IS_CONCEPT])="IS_CONCEPT"</f>
        <v>0</v>
      </c>
      <c r="Q229" s="7" t="b">
        <f>_xlfn.XLOOKUP(CONTROL[[#This Row],[VEHIDCODE]],PROPERTIES[VEHIDCODE],PROPERTIES[EXCLUDE])</f>
        <v>0</v>
      </c>
      <c r="R229" t="str" cm="1">
        <f t="array" ref="R229">_xlfn.XLOOKUP(CONTROL[[#This Row],[VEHIDCODE]],GRAPHICS_PROPERTIES[VEHIDCODE],GRAPHICS_PROPERTIES[TEMPLATE_ID]&amp;GRAPHICS_PROPERTIES[TEMPLATE_AMENDMENT_CODE])</f>
        <v>TPL_01A</v>
      </c>
    </row>
    <row r="230" spans="1:18" x14ac:dyDescent="0.35">
      <c r="A230" s="2" t="s">
        <v>2866</v>
      </c>
      <c r="B230" s="21" t="str">
        <f>_xlfn.TEXTAFTER(CONTROL[[#This Row],[VEHIDCODE]],"_")</f>
        <v>GE_CRRC_Qishuyan_ES59ACi</v>
      </c>
      <c r="C230" t="str" cm="1">
        <f t="array" ref="C2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0" t="str" cm="1">
        <f t="array" ref="D2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0">
        <v>5060</v>
      </c>
      <c r="F230" s="32" t="s">
        <v>2171</v>
      </c>
      <c r="G230" t="s">
        <v>1260</v>
      </c>
      <c r="H230" s="2" t="b">
        <f>AND(CONTROL[[#This Row],[IS_WAGON_OR_COACH]]=TRUE,OR(RIGHT(CONTROL[[#This Row],[VEHIDCODE]],7)="Powered",RIGHT(CONTROL[[#This Row],[VEHIDCODE]],9)="Unpowered"))</f>
        <v>0</v>
      </c>
      <c r="I2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0" t="b">
        <f>ISNUMBER(_xlfn.XMATCH(CONTROL[[#This Row],[VEHIDCODE]],TRACK_TYPES[VEHIDCODE],0))</f>
        <v>1</v>
      </c>
      <c r="K230" t="b">
        <f>ISNUMBER(_xlfn.XMATCH(CONTROL[[#This Row],[VEHIDCODE]],PROPERTIES[VEHIDCODE],0))</f>
        <v>1</v>
      </c>
      <c r="L230" t="b">
        <f>ISNUMBER(_xlfn.XLOOKUP(CONTROL[[#This Row],[VEHIDCODE]],roster!A:A,roster!D:D))</f>
        <v>1</v>
      </c>
      <c r="M230" t="b">
        <f>ISNUMBER(_xlfn.XMATCH(CONTROL[[#This Row],[VEHIDCODE]],GRAPHICS_PROPERTIES[VEHIDCODE],0))</f>
        <v>1</v>
      </c>
      <c r="N230" s="21" t="str">
        <f>"item_"&amp;CONTROL[[#This Row],[VEHIDCODE]]</f>
        <v>item_diesel_GE_CRRC_Qishuyan_ES59ACi</v>
      </c>
      <c r="O230" s="21" t="str">
        <f>"str_"&amp;CONTROL[[#This Row],[VEHIDCODE]]</f>
        <v>str_diesel_GE_CRRC_Qishuyan_ES59ACi</v>
      </c>
      <c r="P230" s="7" t="b">
        <f>_xlfn.XLOOKUP(CONTROL[[#This Row],[VEHIDCODE]],PROPERTIES[VEHIDCODE],PROPERTIES[IS_CONCEPT])="IS_CONCEPT"</f>
        <v>0</v>
      </c>
      <c r="Q230" s="7" t="b">
        <f>_xlfn.XLOOKUP(CONTROL[[#This Row],[VEHIDCODE]],PROPERTIES[VEHIDCODE],PROPERTIES[EXCLUDE])</f>
        <v>0</v>
      </c>
      <c r="R230" t="str" cm="1">
        <f t="array" ref="R230">_xlfn.XLOOKUP(CONTROL[[#This Row],[VEHIDCODE]],GRAPHICS_PROPERTIES[VEHIDCODE],GRAPHICS_PROPERTIES[TEMPLATE_ID]&amp;GRAPHICS_PROPERTIES[TEMPLATE_AMENDMENT_CODE])</f>
        <v>TPL_01A</v>
      </c>
    </row>
    <row r="231" spans="1:18" x14ac:dyDescent="0.35">
      <c r="A231" s="2" t="s">
        <v>2867</v>
      </c>
      <c r="B231" s="21" t="str">
        <f>_xlfn.TEXTAFTER(CONTROL[[#This Row],[VEHIDCODE]],"_")</f>
        <v>Voith_Gravita_10_BB</v>
      </c>
      <c r="C231" t="str" cm="1">
        <f t="array" ref="C2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1" t="str" cm="1">
        <f t="array" ref="D2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1">
        <v>5061</v>
      </c>
      <c r="F231" s="32" t="s">
        <v>2025</v>
      </c>
      <c r="G231" t="s">
        <v>1261</v>
      </c>
      <c r="H231" s="2" t="b">
        <f>AND(CONTROL[[#This Row],[IS_WAGON_OR_COACH]]=TRUE,OR(RIGHT(CONTROL[[#This Row],[VEHIDCODE]],7)="Powered",RIGHT(CONTROL[[#This Row],[VEHIDCODE]],9)="Unpowered"))</f>
        <v>0</v>
      </c>
      <c r="I2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1" t="b">
        <f>ISNUMBER(_xlfn.XMATCH(CONTROL[[#This Row],[VEHIDCODE]],TRACK_TYPES[VEHIDCODE],0))</f>
        <v>1</v>
      </c>
      <c r="K231" t="b">
        <f>ISNUMBER(_xlfn.XMATCH(CONTROL[[#This Row],[VEHIDCODE]],PROPERTIES[VEHIDCODE],0))</f>
        <v>1</v>
      </c>
      <c r="L231" t="b">
        <f>ISNUMBER(_xlfn.XLOOKUP(CONTROL[[#This Row],[VEHIDCODE]],roster!A:A,roster!D:D))</f>
        <v>1</v>
      </c>
      <c r="M231" t="b">
        <f>ISNUMBER(_xlfn.XMATCH(CONTROL[[#This Row],[VEHIDCODE]],GRAPHICS_PROPERTIES[VEHIDCODE],0))</f>
        <v>1</v>
      </c>
      <c r="N231" s="21" t="str">
        <f>"item_"&amp;CONTROL[[#This Row],[VEHIDCODE]]</f>
        <v>item_diesel_Voith_Gravita_10_BB</v>
      </c>
      <c r="O231" s="21" t="str">
        <f>"str_"&amp;CONTROL[[#This Row],[VEHIDCODE]]</f>
        <v>str_diesel_Voith_Gravita_10_BB</v>
      </c>
      <c r="P231" s="7" t="b">
        <f>_xlfn.XLOOKUP(CONTROL[[#This Row],[VEHIDCODE]],PROPERTIES[VEHIDCODE],PROPERTIES[IS_CONCEPT])="IS_CONCEPT"</f>
        <v>0</v>
      </c>
      <c r="Q231" s="7" t="b">
        <f>_xlfn.XLOOKUP(CONTROL[[#This Row],[VEHIDCODE]],PROPERTIES[VEHIDCODE],PROPERTIES[EXCLUDE])</f>
        <v>0</v>
      </c>
      <c r="R231" t="str" cm="1">
        <f t="array" ref="R231">_xlfn.XLOOKUP(CONTROL[[#This Row],[VEHIDCODE]],GRAPHICS_PROPERTIES[VEHIDCODE],GRAPHICS_PROPERTIES[TEMPLATE_ID]&amp;GRAPHICS_PROPERTIES[TEMPLATE_AMENDMENT_CODE])</f>
        <v>TPL_01A</v>
      </c>
    </row>
    <row r="232" spans="1:18" x14ac:dyDescent="0.35">
      <c r="A232" s="2" t="s">
        <v>2868</v>
      </c>
      <c r="B232" s="21" t="str">
        <f>_xlfn.TEXTAFTER(CONTROL[[#This Row],[VEHIDCODE]],"_")</f>
        <v>Voronezh_VNIIZHT_GT1</v>
      </c>
      <c r="C232" t="str" cm="1">
        <f t="array" ref="C2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2" t="str" cm="1">
        <f t="array" ref="D2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2">
        <v>5063</v>
      </c>
      <c r="F232" s="32" t="s">
        <v>2172</v>
      </c>
      <c r="G232" t="s">
        <v>1262</v>
      </c>
      <c r="H232" s="2" t="b">
        <f>AND(CONTROL[[#This Row],[IS_WAGON_OR_COACH]]=TRUE,OR(RIGHT(CONTROL[[#This Row],[VEHIDCODE]],7)="Powered",RIGHT(CONTROL[[#This Row],[VEHIDCODE]],9)="Unpowered"))</f>
        <v>0</v>
      </c>
      <c r="I2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2" t="b">
        <f>ISNUMBER(_xlfn.XMATCH(CONTROL[[#This Row],[VEHIDCODE]],TRACK_TYPES[VEHIDCODE],0))</f>
        <v>1</v>
      </c>
      <c r="K232" t="b">
        <f>ISNUMBER(_xlfn.XMATCH(CONTROL[[#This Row],[VEHIDCODE]],PROPERTIES[VEHIDCODE],0))</f>
        <v>1</v>
      </c>
      <c r="L232" t="b">
        <f>ISNUMBER(_xlfn.XLOOKUP(CONTROL[[#This Row],[VEHIDCODE]],roster!A:A,roster!D:D))</f>
        <v>1</v>
      </c>
      <c r="M232" t="b">
        <f>ISNUMBER(_xlfn.XMATCH(CONTROL[[#This Row],[VEHIDCODE]],GRAPHICS_PROPERTIES[VEHIDCODE],0))</f>
        <v>1</v>
      </c>
      <c r="N232" s="21" t="str">
        <f>"item_"&amp;CONTROL[[#This Row],[VEHIDCODE]]</f>
        <v>item_diesel_Voronezh_VNIIZHT_GT1</v>
      </c>
      <c r="O232" s="21" t="str">
        <f>"str_"&amp;CONTROL[[#This Row],[VEHIDCODE]]</f>
        <v>str_diesel_Voronezh_VNIIZHT_GT1</v>
      </c>
      <c r="P232" s="7" t="b">
        <f>_xlfn.XLOOKUP(CONTROL[[#This Row],[VEHIDCODE]],PROPERTIES[VEHIDCODE],PROPERTIES[IS_CONCEPT])="IS_CONCEPT"</f>
        <v>0</v>
      </c>
      <c r="Q232" s="7" t="b">
        <f>_xlfn.XLOOKUP(CONTROL[[#This Row],[VEHIDCODE]],PROPERTIES[VEHIDCODE],PROPERTIES[EXCLUDE])</f>
        <v>0</v>
      </c>
      <c r="R232" t="str" cm="1">
        <f t="array" ref="R232">_xlfn.XLOOKUP(CONTROL[[#This Row],[VEHIDCODE]],GRAPHICS_PROPERTIES[VEHIDCODE],GRAPHICS_PROPERTIES[TEMPLATE_ID]&amp;GRAPHICS_PROPERTIES[TEMPLATE_AMENDMENT_CODE])</f>
        <v>TPL_03D</v>
      </c>
    </row>
    <row r="233" spans="1:18" x14ac:dyDescent="0.35">
      <c r="A233" s="2" t="s">
        <v>2869</v>
      </c>
      <c r="B233" s="21" t="str">
        <f>_xlfn.TEXTAFTER(CONTROL[[#This Row],[VEHIDCODE]],"_")</f>
        <v>Siemens_ER20_Eurorunner</v>
      </c>
      <c r="C233" t="str" cm="1">
        <f t="array" ref="C2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3" t="str" cm="1">
        <f t="array" ref="D2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3">
        <v>5058</v>
      </c>
      <c r="F233" s="32" t="s">
        <v>2026</v>
      </c>
      <c r="G233" t="s">
        <v>1263</v>
      </c>
      <c r="H233" s="2" t="b">
        <f>AND(CONTROL[[#This Row],[IS_WAGON_OR_COACH]]=TRUE,OR(RIGHT(CONTROL[[#This Row],[VEHIDCODE]],7)="Powered",RIGHT(CONTROL[[#This Row],[VEHIDCODE]],9)="Unpowered"))</f>
        <v>0</v>
      </c>
      <c r="I2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3" t="b">
        <f>ISNUMBER(_xlfn.XMATCH(CONTROL[[#This Row],[VEHIDCODE]],TRACK_TYPES[VEHIDCODE],0))</f>
        <v>1</v>
      </c>
      <c r="K233" t="b">
        <f>ISNUMBER(_xlfn.XMATCH(CONTROL[[#This Row],[VEHIDCODE]],PROPERTIES[VEHIDCODE],0))</f>
        <v>1</v>
      </c>
      <c r="L233" t="b">
        <f>ISNUMBER(_xlfn.XLOOKUP(CONTROL[[#This Row],[VEHIDCODE]],roster!A:A,roster!D:D))</f>
        <v>1</v>
      </c>
      <c r="M233" t="b">
        <f>ISNUMBER(_xlfn.XMATCH(CONTROL[[#This Row],[VEHIDCODE]],GRAPHICS_PROPERTIES[VEHIDCODE],0))</f>
        <v>1</v>
      </c>
      <c r="N233" s="21" t="str">
        <f>"item_"&amp;CONTROL[[#This Row],[VEHIDCODE]]</f>
        <v>item_diesel_Siemens_ER20_Eurorunner</v>
      </c>
      <c r="O233" s="21" t="str">
        <f>"str_"&amp;CONTROL[[#This Row],[VEHIDCODE]]</f>
        <v>str_diesel_Siemens_ER20_Eurorunner</v>
      </c>
      <c r="P233" s="7" t="b">
        <f>_xlfn.XLOOKUP(CONTROL[[#This Row],[VEHIDCODE]],PROPERTIES[VEHIDCODE],PROPERTIES[IS_CONCEPT])="IS_CONCEPT"</f>
        <v>0</v>
      </c>
      <c r="Q233" s="7" t="b">
        <f>_xlfn.XLOOKUP(CONTROL[[#This Row],[VEHIDCODE]],PROPERTIES[VEHIDCODE],PROPERTIES[EXCLUDE])</f>
        <v>0</v>
      </c>
      <c r="R233" t="str" cm="1">
        <f t="array" ref="R233">_xlfn.XLOOKUP(CONTROL[[#This Row],[VEHIDCODE]],GRAPHICS_PROPERTIES[VEHIDCODE],GRAPHICS_PROPERTIES[TEMPLATE_ID]&amp;GRAPHICS_PROPERTIES[TEMPLATE_AMENDMENT_CODE])</f>
        <v>TPL_01A</v>
      </c>
    </row>
    <row r="234" spans="1:18" x14ac:dyDescent="0.35">
      <c r="A234" s="2" t="s">
        <v>2870</v>
      </c>
      <c r="B234" s="21" t="str">
        <f>_xlfn.TEXTAFTER(CONTROL[[#This Row],[VEHIDCODE]],"_")</f>
        <v>Voith_Maxima_40_CC</v>
      </c>
      <c r="C234" t="str" cm="1">
        <f t="array" ref="C2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4" t="str" cm="1">
        <f t="array" ref="D2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4">
        <v>5062</v>
      </c>
      <c r="F234" s="32" t="s">
        <v>2027</v>
      </c>
      <c r="G234" t="s">
        <v>1264</v>
      </c>
      <c r="H234" s="2" t="b">
        <f>AND(CONTROL[[#This Row],[IS_WAGON_OR_COACH]]=TRUE,OR(RIGHT(CONTROL[[#This Row],[VEHIDCODE]],7)="Powered",RIGHT(CONTROL[[#This Row],[VEHIDCODE]],9)="Unpowered"))</f>
        <v>0</v>
      </c>
      <c r="I2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4" t="b">
        <f>ISNUMBER(_xlfn.XMATCH(CONTROL[[#This Row],[VEHIDCODE]],TRACK_TYPES[VEHIDCODE],0))</f>
        <v>1</v>
      </c>
      <c r="K234" t="b">
        <f>ISNUMBER(_xlfn.XMATCH(CONTROL[[#This Row],[VEHIDCODE]],PROPERTIES[VEHIDCODE],0))</f>
        <v>1</v>
      </c>
      <c r="L234" t="b">
        <f>ISNUMBER(_xlfn.XLOOKUP(CONTROL[[#This Row],[VEHIDCODE]],roster!A:A,roster!D:D))</f>
        <v>1</v>
      </c>
      <c r="M234" t="b">
        <f>ISNUMBER(_xlfn.XMATCH(CONTROL[[#This Row],[VEHIDCODE]],GRAPHICS_PROPERTIES[VEHIDCODE],0))</f>
        <v>1</v>
      </c>
      <c r="N234" s="21" t="str">
        <f>"item_"&amp;CONTROL[[#This Row],[VEHIDCODE]]</f>
        <v>item_diesel_Voith_Maxima_40_CC</v>
      </c>
      <c r="O234" s="21" t="str">
        <f>"str_"&amp;CONTROL[[#This Row],[VEHIDCODE]]</f>
        <v>str_diesel_Voith_Maxima_40_CC</v>
      </c>
      <c r="P234" s="7" t="b">
        <f>_xlfn.XLOOKUP(CONTROL[[#This Row],[VEHIDCODE]],PROPERTIES[VEHIDCODE],PROPERTIES[IS_CONCEPT])="IS_CONCEPT"</f>
        <v>0</v>
      </c>
      <c r="Q234" s="7" t="b">
        <f>_xlfn.XLOOKUP(CONTROL[[#This Row],[VEHIDCODE]],PROPERTIES[VEHIDCODE],PROPERTIES[EXCLUDE])</f>
        <v>0</v>
      </c>
      <c r="R234" t="str" cm="1">
        <f t="array" ref="R234">_xlfn.XLOOKUP(CONTROL[[#This Row],[VEHIDCODE]],GRAPHICS_PROPERTIES[VEHIDCODE],GRAPHICS_PROPERTIES[TEMPLATE_ID]&amp;GRAPHICS_PROPERTIES[TEMPLATE_AMENDMENT_CODE])</f>
        <v>TPL_01A</v>
      </c>
    </row>
    <row r="235" spans="1:18" x14ac:dyDescent="0.35">
      <c r="A235" s="2" t="s">
        <v>2871</v>
      </c>
      <c r="B235" s="21" t="str">
        <f>_xlfn.TEXTAFTER(CONTROL[[#This Row],[VEHIDCODE]],"_")</f>
        <v>Hohenzollern_Emch3</v>
      </c>
      <c r="C235" t="str" cm="1">
        <f t="array" ref="C2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5" t="str" cm="1">
        <f t="array" ref="D2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5">
        <v>5066</v>
      </c>
      <c r="F235" s="32" t="s">
        <v>2173</v>
      </c>
      <c r="G235" t="s">
        <v>2174</v>
      </c>
      <c r="H235" s="2" t="b">
        <f>AND(CONTROL[[#This Row],[IS_WAGON_OR_COACH]]=TRUE,OR(RIGHT(CONTROL[[#This Row],[VEHIDCODE]],7)="Powered",RIGHT(CONTROL[[#This Row],[VEHIDCODE]],9)="Unpowered"))</f>
        <v>0</v>
      </c>
      <c r="I2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5" t="b">
        <f>ISNUMBER(_xlfn.XMATCH(CONTROL[[#This Row],[VEHIDCODE]],TRACK_TYPES[VEHIDCODE],0))</f>
        <v>1</v>
      </c>
      <c r="K235" t="b">
        <f>ISNUMBER(_xlfn.XMATCH(CONTROL[[#This Row],[VEHIDCODE]],PROPERTIES[VEHIDCODE],0))</f>
        <v>1</v>
      </c>
      <c r="L235" t="b">
        <f>ISNUMBER(_xlfn.XLOOKUP(CONTROL[[#This Row],[VEHIDCODE]],roster!A:A,roster!D:D))</f>
        <v>1</v>
      </c>
      <c r="M235" t="b">
        <f>ISNUMBER(_xlfn.XMATCH(CONTROL[[#This Row],[VEHIDCODE]],GRAPHICS_PROPERTIES[VEHIDCODE],0))</f>
        <v>1</v>
      </c>
      <c r="N235" s="21" t="str">
        <f>"item_"&amp;CONTROL[[#This Row],[VEHIDCODE]]</f>
        <v>item_diesel_Hohenzollern_Emch3</v>
      </c>
      <c r="O235" s="21" t="str">
        <f>"str_"&amp;CONTROL[[#This Row],[VEHIDCODE]]</f>
        <v>str_diesel_Hohenzollern_Emch3</v>
      </c>
      <c r="P235" s="7" t="b">
        <f>_xlfn.XLOOKUP(CONTROL[[#This Row],[VEHIDCODE]],PROPERTIES[VEHIDCODE],PROPERTIES[IS_CONCEPT])="IS_CONCEPT"</f>
        <v>0</v>
      </c>
      <c r="Q235" s="7" t="b">
        <f>_xlfn.XLOOKUP(CONTROL[[#This Row],[VEHIDCODE]],PROPERTIES[VEHIDCODE],PROPERTIES[EXCLUDE])</f>
        <v>0</v>
      </c>
      <c r="R235" t="str" cm="1">
        <f t="array" ref="R235">_xlfn.XLOOKUP(CONTROL[[#This Row],[VEHIDCODE]],GRAPHICS_PROPERTIES[VEHIDCODE],GRAPHICS_PROPERTIES[TEMPLATE_ID]&amp;GRAPHICS_PROPERTIES[TEMPLATE_AMENDMENT_CODE])</f>
        <v>TPL_03C</v>
      </c>
    </row>
    <row r="236" spans="1:18" x14ac:dyDescent="0.35">
      <c r="A236" s="2" t="s">
        <v>2872</v>
      </c>
      <c r="B236" s="21" t="str">
        <f>_xlfn.TEXTAFTER(CONTROL[[#This Row],[VEHIDCODE]],"_")</f>
        <v>Canadian_Locomotive_Company_V_1</v>
      </c>
      <c r="C236" t="str" cm="1">
        <f t="array" ref="C2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6" t="str" cm="1">
        <f t="array" ref="D2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6">
        <v>5067</v>
      </c>
      <c r="F236" s="32" t="s">
        <v>2015</v>
      </c>
      <c r="G236" t="s">
        <v>1265</v>
      </c>
      <c r="H236" s="2" t="b">
        <f>AND(CONTROL[[#This Row],[IS_WAGON_OR_COACH]]=TRUE,OR(RIGHT(CONTROL[[#This Row],[VEHIDCODE]],7)="Powered",RIGHT(CONTROL[[#This Row],[VEHIDCODE]],9)="Unpowered"))</f>
        <v>0</v>
      </c>
      <c r="I2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6" t="b">
        <f>ISNUMBER(_xlfn.XMATCH(CONTROL[[#This Row],[VEHIDCODE]],TRACK_TYPES[VEHIDCODE],0))</f>
        <v>1</v>
      </c>
      <c r="K236" t="b">
        <f>ISNUMBER(_xlfn.XMATCH(CONTROL[[#This Row],[VEHIDCODE]],PROPERTIES[VEHIDCODE],0))</f>
        <v>1</v>
      </c>
      <c r="L236" t="b">
        <f>ISNUMBER(_xlfn.XLOOKUP(CONTROL[[#This Row],[VEHIDCODE]],roster!A:A,roster!D:D))</f>
        <v>1</v>
      </c>
      <c r="M236" t="b">
        <f>ISNUMBER(_xlfn.XMATCH(CONTROL[[#This Row],[VEHIDCODE]],GRAPHICS_PROPERTIES[VEHIDCODE],0))</f>
        <v>1</v>
      </c>
      <c r="N236" s="21" t="str">
        <f>"item_"&amp;CONTROL[[#This Row],[VEHIDCODE]]</f>
        <v>item_diesel_Canadian_Locomotive_Company_V_1</v>
      </c>
      <c r="O236" s="21" t="str">
        <f>"str_"&amp;CONTROL[[#This Row],[VEHIDCODE]]</f>
        <v>str_diesel_Canadian_Locomotive_Company_V_1</v>
      </c>
      <c r="P236" s="7" t="b">
        <f>_xlfn.XLOOKUP(CONTROL[[#This Row],[VEHIDCODE]],PROPERTIES[VEHIDCODE],PROPERTIES[IS_CONCEPT])="IS_CONCEPT"</f>
        <v>0</v>
      </c>
      <c r="Q236" s="7" t="b">
        <f>_xlfn.XLOOKUP(CONTROL[[#This Row],[VEHIDCODE]],PROPERTIES[VEHIDCODE],PROPERTIES[EXCLUDE])</f>
        <v>0</v>
      </c>
      <c r="R236" t="str" cm="1">
        <f t="array" ref="R236">_xlfn.XLOOKUP(CONTROL[[#This Row],[VEHIDCODE]],GRAPHICS_PROPERTIES[VEHIDCODE],GRAPHICS_PROPERTIES[TEMPLATE_ID]&amp;GRAPHICS_PROPERTIES[TEMPLATE_AMENDMENT_CODE])</f>
        <v>TPL_03D</v>
      </c>
    </row>
    <row r="237" spans="1:18" x14ac:dyDescent="0.35">
      <c r="A237" s="2" t="s">
        <v>2873</v>
      </c>
      <c r="B237" s="21" t="str">
        <f>_xlfn.TEXTAFTER(CONTROL[[#This Row],[VEHIDCODE]],"_")</f>
        <v>LMS_7051_Diesel_Shunter</v>
      </c>
      <c r="C237" t="str" cm="1">
        <f t="array" ref="C2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7" t="str" cm="1">
        <f t="array" ref="D2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7">
        <v>5068</v>
      </c>
      <c r="F237" s="32" t="s">
        <v>371</v>
      </c>
      <c r="G237" t="s">
        <v>1266</v>
      </c>
      <c r="H237" s="2" t="b">
        <f>AND(CONTROL[[#This Row],[IS_WAGON_OR_COACH]]=TRUE,OR(RIGHT(CONTROL[[#This Row],[VEHIDCODE]],7)="Powered",RIGHT(CONTROL[[#This Row],[VEHIDCODE]],9)="Unpowered"))</f>
        <v>0</v>
      </c>
      <c r="I2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7" t="b">
        <f>ISNUMBER(_xlfn.XMATCH(CONTROL[[#This Row],[VEHIDCODE]],TRACK_TYPES[VEHIDCODE],0))</f>
        <v>1</v>
      </c>
      <c r="K237" t="b">
        <f>ISNUMBER(_xlfn.XMATCH(CONTROL[[#This Row],[VEHIDCODE]],PROPERTIES[VEHIDCODE],0))</f>
        <v>1</v>
      </c>
      <c r="L237" t="b">
        <f>ISNUMBER(_xlfn.XLOOKUP(CONTROL[[#This Row],[VEHIDCODE]],roster!A:A,roster!D:D))</f>
        <v>1</v>
      </c>
      <c r="M237" t="b">
        <f>ISNUMBER(_xlfn.XMATCH(CONTROL[[#This Row],[VEHIDCODE]],GRAPHICS_PROPERTIES[VEHIDCODE],0))</f>
        <v>1</v>
      </c>
      <c r="N237" s="21" t="str">
        <f>"item_"&amp;CONTROL[[#This Row],[VEHIDCODE]]</f>
        <v>item_diesel_LMS_7051_Diesel_Shunter</v>
      </c>
      <c r="O237" s="21" t="str">
        <f>"str_"&amp;CONTROL[[#This Row],[VEHIDCODE]]</f>
        <v>str_diesel_LMS_7051_Diesel_Shunter</v>
      </c>
      <c r="P237" s="7" t="b">
        <f>_xlfn.XLOOKUP(CONTROL[[#This Row],[VEHIDCODE]],PROPERTIES[VEHIDCODE],PROPERTIES[IS_CONCEPT])="IS_CONCEPT"</f>
        <v>0</v>
      </c>
      <c r="Q237" s="7" t="b">
        <f>_xlfn.XLOOKUP(CONTROL[[#This Row],[VEHIDCODE]],PROPERTIES[VEHIDCODE],PROPERTIES[EXCLUDE])</f>
        <v>0</v>
      </c>
      <c r="R237" t="str" cm="1">
        <f t="array" ref="R237">_xlfn.XLOOKUP(CONTROL[[#This Row],[VEHIDCODE]],GRAPHICS_PROPERTIES[VEHIDCODE],GRAPHICS_PROPERTIES[TEMPLATE_ID]&amp;GRAPHICS_PROPERTIES[TEMPLATE_AMENDMENT_CODE])</f>
        <v>TPL_03C</v>
      </c>
    </row>
    <row r="238" spans="1:18" x14ac:dyDescent="0.35">
      <c r="A238" s="2" t="s">
        <v>2874</v>
      </c>
      <c r="B238" s="21" t="str">
        <f>_xlfn.TEXTAFTER(CONTROL[[#This Row],[VEHIDCODE]],"_")</f>
        <v>EMC_TA</v>
      </c>
      <c r="C238" t="str" cm="1">
        <f t="array" ref="C2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8" t="str" cm="1">
        <f t="array" ref="D2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8">
        <v>5069</v>
      </c>
      <c r="F238" s="32" t="s">
        <v>1998</v>
      </c>
      <c r="G238" t="s">
        <v>1267</v>
      </c>
      <c r="H238" s="2" t="b">
        <f>AND(CONTROL[[#This Row],[IS_WAGON_OR_COACH]]=TRUE,OR(RIGHT(CONTROL[[#This Row],[VEHIDCODE]],7)="Powered",RIGHT(CONTROL[[#This Row],[VEHIDCODE]],9)="Unpowered"))</f>
        <v>0</v>
      </c>
      <c r="I2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8" t="b">
        <f>ISNUMBER(_xlfn.XMATCH(CONTROL[[#This Row],[VEHIDCODE]],TRACK_TYPES[VEHIDCODE],0))</f>
        <v>1</v>
      </c>
      <c r="K238" t="b">
        <f>ISNUMBER(_xlfn.XMATCH(CONTROL[[#This Row],[VEHIDCODE]],PROPERTIES[VEHIDCODE],0))</f>
        <v>1</v>
      </c>
      <c r="L238" t="b">
        <f>ISNUMBER(_xlfn.XLOOKUP(CONTROL[[#This Row],[VEHIDCODE]],roster!A:A,roster!D:D))</f>
        <v>1</v>
      </c>
      <c r="M238" t="b">
        <f>ISNUMBER(_xlfn.XMATCH(CONTROL[[#This Row],[VEHIDCODE]],GRAPHICS_PROPERTIES[VEHIDCODE],0))</f>
        <v>1</v>
      </c>
      <c r="N238" s="21" t="str">
        <f>"item_"&amp;CONTROL[[#This Row],[VEHIDCODE]]</f>
        <v>item_diesel_EMC_TA</v>
      </c>
      <c r="O238" s="21" t="str">
        <f>"str_"&amp;CONTROL[[#This Row],[VEHIDCODE]]</f>
        <v>str_diesel_EMC_TA</v>
      </c>
      <c r="P238" s="7" t="b">
        <f>_xlfn.XLOOKUP(CONTROL[[#This Row],[VEHIDCODE]],PROPERTIES[VEHIDCODE],PROPERTIES[IS_CONCEPT])="IS_CONCEPT"</f>
        <v>0</v>
      </c>
      <c r="Q238" s="7" t="b">
        <f>_xlfn.XLOOKUP(CONTROL[[#This Row],[VEHIDCODE]],PROPERTIES[VEHIDCODE],PROPERTIES[EXCLUDE])</f>
        <v>0</v>
      </c>
      <c r="R238" t="str" cm="1">
        <f t="array" ref="R238">_xlfn.XLOOKUP(CONTROL[[#This Row],[VEHIDCODE]],GRAPHICS_PROPERTIES[VEHIDCODE],GRAPHICS_PROPERTIES[TEMPLATE_ID]&amp;GRAPHICS_PROPERTIES[TEMPLATE_AMENDMENT_CODE])</f>
        <v>TPL_01A</v>
      </c>
    </row>
    <row r="239" spans="1:18" x14ac:dyDescent="0.35">
      <c r="A239" s="2" t="s">
        <v>2875</v>
      </c>
      <c r="B239" s="21" t="str">
        <f>_xlfn.TEXTAFTER(CONTROL[[#This Row],[VEHIDCODE]],"_")</f>
        <v>Baldwin_VO_660</v>
      </c>
      <c r="C239" t="str" cm="1">
        <f t="array" ref="C2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9" t="str" cm="1">
        <f t="array" ref="D2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9">
        <v>5070</v>
      </c>
      <c r="F239" s="32" t="s">
        <v>1999</v>
      </c>
      <c r="G239" t="s">
        <v>1268</v>
      </c>
      <c r="H239" s="2" t="b">
        <f>AND(CONTROL[[#This Row],[IS_WAGON_OR_COACH]]=TRUE,OR(RIGHT(CONTROL[[#This Row],[VEHIDCODE]],7)="Powered",RIGHT(CONTROL[[#This Row],[VEHIDCODE]],9)="Unpowered"))</f>
        <v>0</v>
      </c>
      <c r="I2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9" t="b">
        <f>ISNUMBER(_xlfn.XMATCH(CONTROL[[#This Row],[VEHIDCODE]],TRACK_TYPES[VEHIDCODE],0))</f>
        <v>1</v>
      </c>
      <c r="K239" t="b">
        <f>ISNUMBER(_xlfn.XMATCH(CONTROL[[#This Row],[VEHIDCODE]],PROPERTIES[VEHIDCODE],0))</f>
        <v>1</v>
      </c>
      <c r="L239" t="b">
        <f>ISNUMBER(_xlfn.XLOOKUP(CONTROL[[#This Row],[VEHIDCODE]],roster!A:A,roster!D:D))</f>
        <v>1</v>
      </c>
      <c r="M239" t="b">
        <f>ISNUMBER(_xlfn.XMATCH(CONTROL[[#This Row],[VEHIDCODE]],GRAPHICS_PROPERTIES[VEHIDCODE],0))</f>
        <v>1</v>
      </c>
      <c r="N239" s="21" t="str">
        <f>"item_"&amp;CONTROL[[#This Row],[VEHIDCODE]]</f>
        <v>item_diesel_Baldwin_VO_660</v>
      </c>
      <c r="O239" s="21" t="str">
        <f>"str_"&amp;CONTROL[[#This Row],[VEHIDCODE]]</f>
        <v>str_diesel_Baldwin_VO_660</v>
      </c>
      <c r="P239" s="7" t="b">
        <f>_xlfn.XLOOKUP(CONTROL[[#This Row],[VEHIDCODE]],PROPERTIES[VEHIDCODE],PROPERTIES[IS_CONCEPT])="IS_CONCEPT"</f>
        <v>0</v>
      </c>
      <c r="Q239" s="7" t="b">
        <f>_xlfn.XLOOKUP(CONTROL[[#This Row],[VEHIDCODE]],PROPERTIES[VEHIDCODE],PROPERTIES[EXCLUDE])</f>
        <v>0</v>
      </c>
      <c r="R239" t="str" cm="1">
        <f t="array" ref="R239">_xlfn.XLOOKUP(CONTROL[[#This Row],[VEHIDCODE]],GRAPHICS_PROPERTIES[VEHIDCODE],GRAPHICS_PROPERTIES[TEMPLATE_ID]&amp;GRAPHICS_PROPERTIES[TEMPLATE_AMENDMENT_CODE])</f>
        <v>TPL_01A</v>
      </c>
    </row>
    <row r="240" spans="1:18" x14ac:dyDescent="0.35">
      <c r="A240" s="2" t="s">
        <v>2876</v>
      </c>
      <c r="B240" s="21" t="str">
        <f>_xlfn.TEXTAFTER(CONTROL[[#This Row],[VEHIDCODE]],"_")</f>
        <v>LMS_No__7080_D3_7</v>
      </c>
      <c r="C240" t="str" cm="1">
        <f t="array" ref="C2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0" t="str" cm="1">
        <f t="array" ref="D2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0">
        <v>5071</v>
      </c>
      <c r="F240" s="32" t="s">
        <v>2175</v>
      </c>
      <c r="G240" t="s">
        <v>1269</v>
      </c>
      <c r="H240" s="2" t="b">
        <f>AND(CONTROL[[#This Row],[IS_WAGON_OR_COACH]]=TRUE,OR(RIGHT(CONTROL[[#This Row],[VEHIDCODE]],7)="Powered",RIGHT(CONTROL[[#This Row],[VEHIDCODE]],9)="Unpowered"))</f>
        <v>0</v>
      </c>
      <c r="I2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0" t="b">
        <f>ISNUMBER(_xlfn.XMATCH(CONTROL[[#This Row],[VEHIDCODE]],TRACK_TYPES[VEHIDCODE],0))</f>
        <v>1</v>
      </c>
      <c r="K240" t="b">
        <f>ISNUMBER(_xlfn.XMATCH(CONTROL[[#This Row],[VEHIDCODE]],PROPERTIES[VEHIDCODE],0))</f>
        <v>1</v>
      </c>
      <c r="L240" t="b">
        <f>ISNUMBER(_xlfn.XLOOKUP(CONTROL[[#This Row],[VEHIDCODE]],roster!A:A,roster!D:D))</f>
        <v>1</v>
      </c>
      <c r="M240" t="b">
        <f>ISNUMBER(_xlfn.XMATCH(CONTROL[[#This Row],[VEHIDCODE]],GRAPHICS_PROPERTIES[VEHIDCODE],0))</f>
        <v>1</v>
      </c>
      <c r="N240" s="21" t="str">
        <f>"item_"&amp;CONTROL[[#This Row],[VEHIDCODE]]</f>
        <v>item_diesel_LMS_No__7080_D3_7</v>
      </c>
      <c r="O240" s="21" t="str">
        <f>"str_"&amp;CONTROL[[#This Row],[VEHIDCODE]]</f>
        <v>str_diesel_LMS_No__7080_D3_7</v>
      </c>
      <c r="P240" s="7" t="b">
        <f>_xlfn.XLOOKUP(CONTROL[[#This Row],[VEHIDCODE]],PROPERTIES[VEHIDCODE],PROPERTIES[IS_CONCEPT])="IS_CONCEPT"</f>
        <v>0</v>
      </c>
      <c r="Q240" s="7" t="b">
        <f>_xlfn.XLOOKUP(CONTROL[[#This Row],[VEHIDCODE]],PROPERTIES[VEHIDCODE],PROPERTIES[EXCLUDE])</f>
        <v>0</v>
      </c>
      <c r="R240" t="str" cm="1">
        <f t="array" ref="R240">_xlfn.XLOOKUP(CONTROL[[#This Row],[VEHIDCODE]],GRAPHICS_PROPERTIES[VEHIDCODE],GRAPHICS_PROPERTIES[TEMPLATE_ID]&amp;GRAPHICS_PROPERTIES[TEMPLATE_AMENDMENT_CODE])</f>
        <v>TPL_03C</v>
      </c>
    </row>
    <row r="241" spans="1:18" x14ac:dyDescent="0.35">
      <c r="A241" s="2" t="s">
        <v>2877</v>
      </c>
      <c r="B241" s="21" t="str">
        <f>_xlfn.TEXTAFTER(CONTROL[[#This Row],[VEHIDCODE]],"_")</f>
        <v>Queensland_Railways_DL</v>
      </c>
      <c r="C241" t="str" cm="1">
        <f t="array" ref="C2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1" t="str" cm="1">
        <f t="array" ref="D2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1">
        <v>5072</v>
      </c>
      <c r="F241" s="32" t="s">
        <v>372</v>
      </c>
      <c r="G241" t="s">
        <v>1270</v>
      </c>
      <c r="H241" s="2" t="b">
        <f>AND(CONTROL[[#This Row],[IS_WAGON_OR_COACH]]=TRUE,OR(RIGHT(CONTROL[[#This Row],[VEHIDCODE]],7)="Powered",RIGHT(CONTROL[[#This Row],[VEHIDCODE]],9)="Unpowered"))</f>
        <v>0</v>
      </c>
      <c r="I2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1" t="b">
        <f>ISNUMBER(_xlfn.XMATCH(CONTROL[[#This Row],[VEHIDCODE]],TRACK_TYPES[VEHIDCODE],0))</f>
        <v>1</v>
      </c>
      <c r="K241" t="b">
        <f>ISNUMBER(_xlfn.XMATCH(CONTROL[[#This Row],[VEHIDCODE]],PROPERTIES[VEHIDCODE],0))</f>
        <v>1</v>
      </c>
      <c r="L241" t="b">
        <f>ISNUMBER(_xlfn.XLOOKUP(CONTROL[[#This Row],[VEHIDCODE]],roster!A:A,roster!D:D))</f>
        <v>1</v>
      </c>
      <c r="M241" t="b">
        <f>ISNUMBER(_xlfn.XMATCH(CONTROL[[#This Row],[VEHIDCODE]],GRAPHICS_PROPERTIES[VEHIDCODE],0))</f>
        <v>1</v>
      </c>
      <c r="N241" s="21" t="str">
        <f>"item_"&amp;CONTROL[[#This Row],[VEHIDCODE]]</f>
        <v>item_diesel_Queensland_Railways_DL</v>
      </c>
      <c r="O241" s="21" t="str">
        <f>"str_"&amp;CONTROL[[#This Row],[VEHIDCODE]]</f>
        <v>str_diesel_Queensland_Railways_DL</v>
      </c>
      <c r="P241" s="7" t="b">
        <f>_xlfn.XLOOKUP(CONTROL[[#This Row],[VEHIDCODE]],PROPERTIES[VEHIDCODE],PROPERTIES[IS_CONCEPT])="IS_CONCEPT"</f>
        <v>0</v>
      </c>
      <c r="Q241" s="7" t="b">
        <f>_xlfn.XLOOKUP(CONTROL[[#This Row],[VEHIDCODE]],PROPERTIES[VEHIDCODE],PROPERTIES[EXCLUDE])</f>
        <v>0</v>
      </c>
      <c r="R241" t="str" cm="1">
        <f t="array" ref="R241">_xlfn.XLOOKUP(CONTROL[[#This Row],[VEHIDCODE]],GRAPHICS_PROPERTIES[VEHIDCODE],GRAPHICS_PROPERTIES[TEMPLATE_ID]&amp;GRAPHICS_PROPERTIES[TEMPLATE_AMENDMENT_CODE])</f>
        <v>TPL_03C</v>
      </c>
    </row>
    <row r="242" spans="1:18" x14ac:dyDescent="0.35">
      <c r="A242" s="2" t="s">
        <v>2878</v>
      </c>
      <c r="B242" s="21" t="str">
        <f>_xlfn.TEXTAFTER(CONTROL[[#This Row],[VEHIDCODE]],"_")</f>
        <v>FM_H_10_44</v>
      </c>
      <c r="C242" t="str" cm="1">
        <f t="array" ref="C2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2" t="str" cm="1">
        <f t="array" ref="D2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2">
        <v>5073</v>
      </c>
      <c r="F242" s="32" t="s">
        <v>2000</v>
      </c>
      <c r="G242" t="s">
        <v>1271</v>
      </c>
      <c r="H242" s="2" t="b">
        <f>AND(CONTROL[[#This Row],[IS_WAGON_OR_COACH]]=TRUE,OR(RIGHT(CONTROL[[#This Row],[VEHIDCODE]],7)="Powered",RIGHT(CONTROL[[#This Row],[VEHIDCODE]],9)="Unpowered"))</f>
        <v>0</v>
      </c>
      <c r="I2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2" t="b">
        <f>ISNUMBER(_xlfn.XMATCH(CONTROL[[#This Row],[VEHIDCODE]],TRACK_TYPES[VEHIDCODE],0))</f>
        <v>1</v>
      </c>
      <c r="K242" t="b">
        <f>ISNUMBER(_xlfn.XMATCH(CONTROL[[#This Row],[VEHIDCODE]],PROPERTIES[VEHIDCODE],0))</f>
        <v>1</v>
      </c>
      <c r="L242" t="b">
        <f>ISNUMBER(_xlfn.XLOOKUP(CONTROL[[#This Row],[VEHIDCODE]],roster!A:A,roster!D:D))</f>
        <v>1</v>
      </c>
      <c r="M242" t="b">
        <f>ISNUMBER(_xlfn.XMATCH(CONTROL[[#This Row],[VEHIDCODE]],GRAPHICS_PROPERTIES[VEHIDCODE],0))</f>
        <v>1</v>
      </c>
      <c r="N242" s="21" t="str">
        <f>"item_"&amp;CONTROL[[#This Row],[VEHIDCODE]]</f>
        <v>item_diesel_FM_H_10_44</v>
      </c>
      <c r="O242" s="21" t="str">
        <f>"str_"&amp;CONTROL[[#This Row],[VEHIDCODE]]</f>
        <v>str_diesel_FM_H_10_44</v>
      </c>
      <c r="P242" s="7" t="b">
        <f>_xlfn.XLOOKUP(CONTROL[[#This Row],[VEHIDCODE]],PROPERTIES[VEHIDCODE],PROPERTIES[IS_CONCEPT])="IS_CONCEPT"</f>
        <v>0</v>
      </c>
      <c r="Q242" s="7" t="b">
        <f>_xlfn.XLOOKUP(CONTROL[[#This Row],[VEHIDCODE]],PROPERTIES[VEHIDCODE],PROPERTIES[EXCLUDE])</f>
        <v>0</v>
      </c>
      <c r="R242" t="str" cm="1">
        <f t="array" ref="R242">_xlfn.XLOOKUP(CONTROL[[#This Row],[VEHIDCODE]],GRAPHICS_PROPERTIES[VEHIDCODE],GRAPHICS_PROPERTIES[TEMPLATE_ID]&amp;GRAPHICS_PROPERTIES[TEMPLATE_AMENDMENT_CODE])</f>
        <v>TPL_01A</v>
      </c>
    </row>
    <row r="243" spans="1:18" x14ac:dyDescent="0.35">
      <c r="A243" s="2" t="s">
        <v>2879</v>
      </c>
      <c r="B243" s="21" t="str">
        <f>_xlfn.TEXTAFTER(CONTROL[[#This Row],[VEHIDCODE]],"_")</f>
        <v>Baldwin_DRS6_4_1000</v>
      </c>
      <c r="C243" t="str" cm="1">
        <f t="array" ref="C2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3" t="str" cm="1">
        <f t="array" ref="D2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3">
        <v>5074</v>
      </c>
      <c r="F243" s="32" t="s">
        <v>2001</v>
      </c>
      <c r="G243" t="s">
        <v>1272</v>
      </c>
      <c r="H243" s="2" t="b">
        <f>AND(CONTROL[[#This Row],[IS_WAGON_OR_COACH]]=TRUE,OR(RIGHT(CONTROL[[#This Row],[VEHIDCODE]],7)="Powered",RIGHT(CONTROL[[#This Row],[VEHIDCODE]],9)="Unpowered"))</f>
        <v>0</v>
      </c>
      <c r="I2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3" t="b">
        <f>ISNUMBER(_xlfn.XMATCH(CONTROL[[#This Row],[VEHIDCODE]],TRACK_TYPES[VEHIDCODE],0))</f>
        <v>1</v>
      </c>
      <c r="K243" t="b">
        <f>ISNUMBER(_xlfn.XMATCH(CONTROL[[#This Row],[VEHIDCODE]],PROPERTIES[VEHIDCODE],0))</f>
        <v>1</v>
      </c>
      <c r="L243" t="b">
        <f>ISNUMBER(_xlfn.XLOOKUP(CONTROL[[#This Row],[VEHIDCODE]],roster!A:A,roster!D:D))</f>
        <v>1</v>
      </c>
      <c r="M243" t="b">
        <f>ISNUMBER(_xlfn.XMATCH(CONTROL[[#This Row],[VEHIDCODE]],GRAPHICS_PROPERTIES[VEHIDCODE],0))</f>
        <v>1</v>
      </c>
      <c r="N243" s="21" t="str">
        <f>"item_"&amp;CONTROL[[#This Row],[VEHIDCODE]]</f>
        <v>item_diesel_Baldwin_DRS6_4_1000</v>
      </c>
      <c r="O243" s="21" t="str">
        <f>"str_"&amp;CONTROL[[#This Row],[VEHIDCODE]]</f>
        <v>str_diesel_Baldwin_DRS6_4_1000</v>
      </c>
      <c r="P243" s="7" t="b">
        <f>_xlfn.XLOOKUP(CONTROL[[#This Row],[VEHIDCODE]],PROPERTIES[VEHIDCODE],PROPERTIES[IS_CONCEPT])="IS_CONCEPT"</f>
        <v>0</v>
      </c>
      <c r="Q243" s="7" t="b">
        <f>_xlfn.XLOOKUP(CONTROL[[#This Row],[VEHIDCODE]],PROPERTIES[VEHIDCODE],PROPERTIES[EXCLUDE])</f>
        <v>0</v>
      </c>
      <c r="R243" t="str" cm="1">
        <f t="array" ref="R243">_xlfn.XLOOKUP(CONTROL[[#This Row],[VEHIDCODE]],GRAPHICS_PROPERTIES[VEHIDCODE],GRAPHICS_PROPERTIES[TEMPLATE_ID]&amp;GRAPHICS_PROPERTIES[TEMPLATE_AMENDMENT_CODE])</f>
        <v>TPL_01A</v>
      </c>
    </row>
    <row r="244" spans="1:18" x14ac:dyDescent="0.35">
      <c r="A244" s="2" t="s">
        <v>2880</v>
      </c>
      <c r="B244" s="21" t="str">
        <f>_xlfn.TEXTAFTER(CONTROL[[#This Row],[VEHIDCODE]],"_")</f>
        <v>CIE_113</v>
      </c>
      <c r="C244" t="str" cm="1">
        <f t="array" ref="C2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4" t="str" cm="1">
        <f t="array" ref="D2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4">
        <v>5075</v>
      </c>
      <c r="F244" s="32" t="s">
        <v>1703</v>
      </c>
      <c r="G244" t="s">
        <v>1273</v>
      </c>
      <c r="H244" s="2" t="b">
        <f>AND(CONTROL[[#This Row],[IS_WAGON_OR_COACH]]=TRUE,OR(RIGHT(CONTROL[[#This Row],[VEHIDCODE]],7)="Powered",RIGHT(CONTROL[[#This Row],[VEHIDCODE]],9)="Unpowered"))</f>
        <v>0</v>
      </c>
      <c r="I2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4" t="b">
        <f>ISNUMBER(_xlfn.XMATCH(CONTROL[[#This Row],[VEHIDCODE]],TRACK_TYPES[VEHIDCODE],0))</f>
        <v>1</v>
      </c>
      <c r="K244" t="b">
        <f>ISNUMBER(_xlfn.XMATCH(CONTROL[[#This Row],[VEHIDCODE]],PROPERTIES[VEHIDCODE],0))</f>
        <v>1</v>
      </c>
      <c r="L244" t="b">
        <f>ISNUMBER(_xlfn.XLOOKUP(CONTROL[[#This Row],[VEHIDCODE]],roster!A:A,roster!D:D))</f>
        <v>1</v>
      </c>
      <c r="M244" t="b">
        <f>ISNUMBER(_xlfn.XMATCH(CONTROL[[#This Row],[VEHIDCODE]],GRAPHICS_PROPERTIES[VEHIDCODE],0))</f>
        <v>1</v>
      </c>
      <c r="N244" s="21" t="str">
        <f>"item_"&amp;CONTROL[[#This Row],[VEHIDCODE]]</f>
        <v>item_diesel_CIE_113</v>
      </c>
      <c r="O244" s="21" t="str">
        <f>"str_"&amp;CONTROL[[#This Row],[VEHIDCODE]]</f>
        <v>str_diesel_CIE_113</v>
      </c>
      <c r="P244" s="7" t="b">
        <f>_xlfn.XLOOKUP(CONTROL[[#This Row],[VEHIDCODE]],PROPERTIES[VEHIDCODE],PROPERTIES[IS_CONCEPT])="IS_CONCEPT"</f>
        <v>0</v>
      </c>
      <c r="Q244" s="7" t="b">
        <f>_xlfn.XLOOKUP(CONTROL[[#This Row],[VEHIDCODE]],PROPERTIES[VEHIDCODE],PROPERTIES[EXCLUDE])</f>
        <v>0</v>
      </c>
      <c r="R244" t="str" cm="1">
        <f t="array" ref="R244">_xlfn.XLOOKUP(CONTROL[[#This Row],[VEHIDCODE]],GRAPHICS_PROPERTIES[VEHIDCODE],GRAPHICS_PROPERTIES[TEMPLATE_ID]&amp;GRAPHICS_PROPERTIES[TEMPLATE_AMENDMENT_CODE])</f>
        <v>TPL_01A</v>
      </c>
    </row>
    <row r="245" spans="1:18" x14ac:dyDescent="0.35">
      <c r="A245" s="2" t="s">
        <v>2881</v>
      </c>
      <c r="B245" s="21" t="str">
        <f>_xlfn.TEXTAFTER(CONTROL[[#This Row],[VEHIDCODE]],"_")</f>
        <v>Baldwin_AS_616</v>
      </c>
      <c r="C245" t="str" cm="1">
        <f t="array" ref="C2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5" t="str" cm="1">
        <f t="array" ref="D2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5">
        <v>5076</v>
      </c>
      <c r="F245" s="32" t="s">
        <v>2002</v>
      </c>
      <c r="G245" t="s">
        <v>1274</v>
      </c>
      <c r="H245" s="2" t="b">
        <f>AND(CONTROL[[#This Row],[IS_WAGON_OR_COACH]]=TRUE,OR(RIGHT(CONTROL[[#This Row],[VEHIDCODE]],7)="Powered",RIGHT(CONTROL[[#This Row],[VEHIDCODE]],9)="Unpowered"))</f>
        <v>0</v>
      </c>
      <c r="I2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5" t="b">
        <f>ISNUMBER(_xlfn.XMATCH(CONTROL[[#This Row],[VEHIDCODE]],TRACK_TYPES[VEHIDCODE],0))</f>
        <v>1</v>
      </c>
      <c r="K245" t="b">
        <f>ISNUMBER(_xlfn.XMATCH(CONTROL[[#This Row],[VEHIDCODE]],PROPERTIES[VEHIDCODE],0))</f>
        <v>1</v>
      </c>
      <c r="L245" t="b">
        <f>ISNUMBER(_xlfn.XLOOKUP(CONTROL[[#This Row],[VEHIDCODE]],roster!A:A,roster!D:D))</f>
        <v>1</v>
      </c>
      <c r="M245" t="b">
        <f>ISNUMBER(_xlfn.XMATCH(CONTROL[[#This Row],[VEHIDCODE]],GRAPHICS_PROPERTIES[VEHIDCODE],0))</f>
        <v>1</v>
      </c>
      <c r="N245" s="21" t="str">
        <f>"item_"&amp;CONTROL[[#This Row],[VEHIDCODE]]</f>
        <v>item_diesel_Baldwin_AS_616</v>
      </c>
      <c r="O245" s="21" t="str">
        <f>"str_"&amp;CONTROL[[#This Row],[VEHIDCODE]]</f>
        <v>str_diesel_Baldwin_AS_616</v>
      </c>
      <c r="P245" s="7" t="b">
        <f>_xlfn.XLOOKUP(CONTROL[[#This Row],[VEHIDCODE]],PROPERTIES[VEHIDCODE],PROPERTIES[IS_CONCEPT])="IS_CONCEPT"</f>
        <v>0</v>
      </c>
      <c r="Q245" s="7" t="b">
        <f>_xlfn.XLOOKUP(CONTROL[[#This Row],[VEHIDCODE]],PROPERTIES[VEHIDCODE],PROPERTIES[EXCLUDE])</f>
        <v>0</v>
      </c>
      <c r="R245" t="str" cm="1">
        <f t="array" ref="R245">_xlfn.XLOOKUP(CONTROL[[#This Row],[VEHIDCODE]],GRAPHICS_PROPERTIES[VEHIDCODE],GRAPHICS_PROPERTIES[TEMPLATE_ID]&amp;GRAPHICS_PROPERTIES[TEMPLATE_AMENDMENT_CODE])</f>
        <v>TPL_01A</v>
      </c>
    </row>
    <row r="246" spans="1:18" x14ac:dyDescent="0.35">
      <c r="A246" s="2" t="s">
        <v>2882</v>
      </c>
      <c r="B246" s="21" t="str">
        <f>_xlfn.TEXTAFTER(CONTROL[[#This Row],[VEHIDCODE]],"_")</f>
        <v>FM_H_16_44</v>
      </c>
      <c r="C246" t="str" cm="1">
        <f t="array" ref="C2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6" t="str" cm="1">
        <f t="array" ref="D2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6">
        <v>5077</v>
      </c>
      <c r="F246" s="32" t="s">
        <v>2003</v>
      </c>
      <c r="G246" t="s">
        <v>1275</v>
      </c>
      <c r="H246" s="2" t="b">
        <f>AND(CONTROL[[#This Row],[IS_WAGON_OR_COACH]]=TRUE,OR(RIGHT(CONTROL[[#This Row],[VEHIDCODE]],7)="Powered",RIGHT(CONTROL[[#This Row],[VEHIDCODE]],9)="Unpowered"))</f>
        <v>0</v>
      </c>
      <c r="I2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6" t="b">
        <f>ISNUMBER(_xlfn.XMATCH(CONTROL[[#This Row],[VEHIDCODE]],TRACK_TYPES[VEHIDCODE],0))</f>
        <v>1</v>
      </c>
      <c r="K246" t="b">
        <f>ISNUMBER(_xlfn.XMATCH(CONTROL[[#This Row],[VEHIDCODE]],PROPERTIES[VEHIDCODE],0))</f>
        <v>1</v>
      </c>
      <c r="L246" t="b">
        <f>ISNUMBER(_xlfn.XLOOKUP(CONTROL[[#This Row],[VEHIDCODE]],roster!A:A,roster!D:D))</f>
        <v>1</v>
      </c>
      <c r="M246" t="b">
        <f>ISNUMBER(_xlfn.XMATCH(CONTROL[[#This Row],[VEHIDCODE]],GRAPHICS_PROPERTIES[VEHIDCODE],0))</f>
        <v>1</v>
      </c>
      <c r="N246" s="21" t="str">
        <f>"item_"&amp;CONTROL[[#This Row],[VEHIDCODE]]</f>
        <v>item_diesel_FM_H_16_44</v>
      </c>
      <c r="O246" s="21" t="str">
        <f>"str_"&amp;CONTROL[[#This Row],[VEHIDCODE]]</f>
        <v>str_diesel_FM_H_16_44</v>
      </c>
      <c r="P246" s="7" t="b">
        <f>_xlfn.XLOOKUP(CONTROL[[#This Row],[VEHIDCODE]],PROPERTIES[VEHIDCODE],PROPERTIES[IS_CONCEPT])="IS_CONCEPT"</f>
        <v>0</v>
      </c>
      <c r="Q246" s="7" t="b">
        <f>_xlfn.XLOOKUP(CONTROL[[#This Row],[VEHIDCODE]],PROPERTIES[VEHIDCODE],PROPERTIES[EXCLUDE])</f>
        <v>0</v>
      </c>
      <c r="R246" t="str" cm="1">
        <f t="array" ref="R246">_xlfn.XLOOKUP(CONTROL[[#This Row],[VEHIDCODE]],GRAPHICS_PROPERTIES[VEHIDCODE],GRAPHICS_PROPERTIES[TEMPLATE_ID]&amp;GRAPHICS_PROPERTIES[TEMPLATE_AMENDMENT_CODE])</f>
        <v>TPL_01A</v>
      </c>
    </row>
    <row r="247" spans="1:18" x14ac:dyDescent="0.35">
      <c r="A247" s="2" t="s">
        <v>2883</v>
      </c>
      <c r="B247" s="21" t="str">
        <f>_xlfn.TEXTAFTER(CONTROL[[#This Row],[VEHIDCODE]],"_")</f>
        <v>Islington_Railway_Workshops_SAR_900</v>
      </c>
      <c r="C247" t="str" cm="1">
        <f t="array" ref="C2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7" t="str" cm="1">
        <f t="array" ref="D2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7">
        <v>5078</v>
      </c>
      <c r="F247" s="32" t="s">
        <v>2176</v>
      </c>
      <c r="G247" t="s">
        <v>1277</v>
      </c>
      <c r="H247" s="2" t="b">
        <f>AND(CONTROL[[#This Row],[IS_WAGON_OR_COACH]]=TRUE,OR(RIGHT(CONTROL[[#This Row],[VEHIDCODE]],7)="Powered",RIGHT(CONTROL[[#This Row],[VEHIDCODE]],9)="Unpowered"))</f>
        <v>0</v>
      </c>
      <c r="I2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7" t="b">
        <f>ISNUMBER(_xlfn.XMATCH(CONTROL[[#This Row],[VEHIDCODE]],TRACK_TYPES[VEHIDCODE],0))</f>
        <v>1</v>
      </c>
      <c r="K247" t="b">
        <f>ISNUMBER(_xlfn.XMATCH(CONTROL[[#This Row],[VEHIDCODE]],PROPERTIES[VEHIDCODE],0))</f>
        <v>1</v>
      </c>
      <c r="L247" t="b">
        <f>ISNUMBER(_xlfn.XLOOKUP(CONTROL[[#This Row],[VEHIDCODE]],roster!A:A,roster!D:D))</f>
        <v>1</v>
      </c>
      <c r="M247" t="b">
        <f>ISNUMBER(_xlfn.XMATCH(CONTROL[[#This Row],[VEHIDCODE]],GRAPHICS_PROPERTIES[VEHIDCODE],0))</f>
        <v>1</v>
      </c>
      <c r="N247" s="21" t="str">
        <f>"item_"&amp;CONTROL[[#This Row],[VEHIDCODE]]</f>
        <v>item_diesel_Islington_Railway_Workshops_SAR_900</v>
      </c>
      <c r="O247" s="21" t="str">
        <f>"str_"&amp;CONTROL[[#This Row],[VEHIDCODE]]</f>
        <v>str_diesel_Islington_Railway_Workshops_SAR_900</v>
      </c>
      <c r="P247" s="7" t="b">
        <f>_xlfn.XLOOKUP(CONTROL[[#This Row],[VEHIDCODE]],PROPERTIES[VEHIDCODE],PROPERTIES[IS_CONCEPT])="IS_CONCEPT"</f>
        <v>0</v>
      </c>
      <c r="Q247" s="7" t="b">
        <f>_xlfn.XLOOKUP(CONTROL[[#This Row],[VEHIDCODE]],PROPERTIES[VEHIDCODE],PROPERTIES[EXCLUDE])</f>
        <v>0</v>
      </c>
      <c r="R247" t="str" cm="1">
        <f t="array" ref="R247">_xlfn.XLOOKUP(CONTROL[[#This Row],[VEHIDCODE]],GRAPHICS_PROPERTIES[VEHIDCODE],GRAPHICS_PROPERTIES[TEMPLATE_ID]&amp;GRAPHICS_PROPERTIES[TEMPLATE_AMENDMENT_CODE])</f>
        <v>TPL_01A</v>
      </c>
    </row>
    <row r="248" spans="1:18" x14ac:dyDescent="0.35">
      <c r="A248" s="2" t="s">
        <v>2884</v>
      </c>
      <c r="B248" s="21" t="str">
        <f>_xlfn.TEXTAFTER(CONTROL[[#This Row],[VEHIDCODE]],"_")</f>
        <v>EMD_G12_A608_M2</v>
      </c>
      <c r="C248" t="str" cm="1">
        <f t="array" ref="C2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8" t="str" cm="1">
        <f t="array" ref="D2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8">
        <v>5079</v>
      </c>
      <c r="F248" s="32" t="s">
        <v>3516</v>
      </c>
      <c r="G248" t="s">
        <v>1276</v>
      </c>
      <c r="H248" s="2" t="b">
        <f>AND(CONTROL[[#This Row],[IS_WAGON_OR_COACH]]=TRUE,OR(RIGHT(CONTROL[[#This Row],[VEHIDCODE]],7)="Powered",RIGHT(CONTROL[[#This Row],[VEHIDCODE]],9)="Unpowered"))</f>
        <v>0</v>
      </c>
      <c r="I2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8" t="b">
        <f>ISNUMBER(_xlfn.XMATCH(CONTROL[[#This Row],[VEHIDCODE]],TRACK_TYPES[VEHIDCODE],0))</f>
        <v>1</v>
      </c>
      <c r="K248" t="b">
        <f>ISNUMBER(_xlfn.XMATCH(CONTROL[[#This Row],[VEHIDCODE]],PROPERTIES[VEHIDCODE],0))</f>
        <v>1</v>
      </c>
      <c r="L248" t="b">
        <f>ISNUMBER(_xlfn.XLOOKUP(CONTROL[[#This Row],[VEHIDCODE]],roster!A:A,roster!D:D))</f>
        <v>1</v>
      </c>
      <c r="M248" t="b">
        <f>ISNUMBER(_xlfn.XMATCH(CONTROL[[#This Row],[VEHIDCODE]],GRAPHICS_PROPERTIES[VEHIDCODE],0))</f>
        <v>1</v>
      </c>
      <c r="N248" s="21" t="str">
        <f>"item_"&amp;CONTROL[[#This Row],[VEHIDCODE]]</f>
        <v>item_diesel_EMD_G12_A608_M2</v>
      </c>
      <c r="O248" s="21" t="str">
        <f>"str_"&amp;CONTROL[[#This Row],[VEHIDCODE]]</f>
        <v>str_diesel_EMD_G12_A608_M2</v>
      </c>
      <c r="P248" s="7" t="b">
        <f>_xlfn.XLOOKUP(CONTROL[[#This Row],[VEHIDCODE]],PROPERTIES[VEHIDCODE],PROPERTIES[IS_CONCEPT])="IS_CONCEPT"</f>
        <v>0</v>
      </c>
      <c r="Q248" s="7" t="b">
        <f>_xlfn.XLOOKUP(CONTROL[[#This Row],[VEHIDCODE]],PROPERTIES[VEHIDCODE],PROPERTIES[EXCLUDE])</f>
        <v>0</v>
      </c>
      <c r="R248" t="str" cm="1">
        <f t="array" ref="R248">_xlfn.XLOOKUP(CONTROL[[#This Row],[VEHIDCODE]],GRAPHICS_PROPERTIES[VEHIDCODE],GRAPHICS_PROPERTIES[TEMPLATE_ID]&amp;GRAPHICS_PROPERTIES[TEMPLATE_AMENDMENT_CODE])</f>
        <v>TPL_01A</v>
      </c>
    </row>
    <row r="249" spans="1:18" x14ac:dyDescent="0.35">
      <c r="A249" s="2" t="s">
        <v>2885</v>
      </c>
      <c r="B249" s="21" t="str">
        <f>_xlfn.TEXTAFTER(CONTROL[[#This Row],[VEHIDCODE]],"_")</f>
        <v>Metropolitan_Vickers_CIE_001</v>
      </c>
      <c r="C249" t="str" cm="1">
        <f t="array" ref="C2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9" t="str" cm="1">
        <f t="array" ref="D2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9">
        <v>5080</v>
      </c>
      <c r="F249" s="32" t="s">
        <v>2177</v>
      </c>
      <c r="G249" t="s">
        <v>1278</v>
      </c>
      <c r="H249" s="2" t="b">
        <f>AND(CONTROL[[#This Row],[IS_WAGON_OR_COACH]]=TRUE,OR(RIGHT(CONTROL[[#This Row],[VEHIDCODE]],7)="Powered",RIGHT(CONTROL[[#This Row],[VEHIDCODE]],9)="Unpowered"))</f>
        <v>0</v>
      </c>
      <c r="I2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9" t="b">
        <f>ISNUMBER(_xlfn.XMATCH(CONTROL[[#This Row],[VEHIDCODE]],TRACK_TYPES[VEHIDCODE],0))</f>
        <v>1</v>
      </c>
      <c r="K249" t="b">
        <f>ISNUMBER(_xlfn.XMATCH(CONTROL[[#This Row],[VEHIDCODE]],PROPERTIES[VEHIDCODE],0))</f>
        <v>1</v>
      </c>
      <c r="L249" t="b">
        <f>ISNUMBER(_xlfn.XLOOKUP(CONTROL[[#This Row],[VEHIDCODE]],roster!A:A,roster!D:D))</f>
        <v>1</v>
      </c>
      <c r="M249" t="b">
        <f>ISNUMBER(_xlfn.XMATCH(CONTROL[[#This Row],[VEHIDCODE]],GRAPHICS_PROPERTIES[VEHIDCODE],0))</f>
        <v>1</v>
      </c>
      <c r="N249" s="21" t="str">
        <f>"item_"&amp;CONTROL[[#This Row],[VEHIDCODE]]</f>
        <v>item_diesel_Metropolitan_Vickers_CIE_001</v>
      </c>
      <c r="O249" s="21" t="str">
        <f>"str_"&amp;CONTROL[[#This Row],[VEHIDCODE]]</f>
        <v>str_diesel_Metropolitan_Vickers_CIE_001</v>
      </c>
      <c r="P249" s="7" t="b">
        <f>_xlfn.XLOOKUP(CONTROL[[#This Row],[VEHIDCODE]],PROPERTIES[VEHIDCODE],PROPERTIES[IS_CONCEPT])="IS_CONCEPT"</f>
        <v>0</v>
      </c>
      <c r="Q249" s="7" t="b">
        <f>_xlfn.XLOOKUP(CONTROL[[#This Row],[VEHIDCODE]],PROPERTIES[VEHIDCODE],PROPERTIES[EXCLUDE])</f>
        <v>0</v>
      </c>
      <c r="R249" t="str" cm="1">
        <f t="array" ref="R249">_xlfn.XLOOKUP(CONTROL[[#This Row],[VEHIDCODE]],GRAPHICS_PROPERTIES[VEHIDCODE],GRAPHICS_PROPERTIES[TEMPLATE_ID]&amp;GRAPHICS_PROPERTIES[TEMPLATE_AMENDMENT_CODE])</f>
        <v>TPL_01A</v>
      </c>
    </row>
    <row r="250" spans="1:18" x14ac:dyDescent="0.35">
      <c r="A250" s="2" t="s">
        <v>2886</v>
      </c>
      <c r="B250" s="21" t="str">
        <f>_xlfn.TEXTAFTER(CONTROL[[#This Row],[VEHIDCODE]],"_")</f>
        <v>Fiat_Grandi_Motori_D_341</v>
      </c>
      <c r="C250" t="str" cm="1">
        <f t="array" ref="C2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0" t="str" cm="1">
        <f t="array" ref="D2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0">
        <v>5081</v>
      </c>
      <c r="F250" s="32" t="s">
        <v>2572</v>
      </c>
      <c r="G250" t="s">
        <v>1279</v>
      </c>
      <c r="H250" s="2" t="b">
        <f>AND(CONTROL[[#This Row],[IS_WAGON_OR_COACH]]=TRUE,OR(RIGHT(CONTROL[[#This Row],[VEHIDCODE]],7)="Powered",RIGHT(CONTROL[[#This Row],[VEHIDCODE]],9)="Unpowered"))</f>
        <v>0</v>
      </c>
      <c r="I2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0" t="b">
        <f>ISNUMBER(_xlfn.XMATCH(CONTROL[[#This Row],[VEHIDCODE]],TRACK_TYPES[VEHIDCODE],0))</f>
        <v>1</v>
      </c>
      <c r="K250" t="b">
        <f>ISNUMBER(_xlfn.XMATCH(CONTROL[[#This Row],[VEHIDCODE]],PROPERTIES[VEHIDCODE],0))</f>
        <v>1</v>
      </c>
      <c r="L250" t="b">
        <f>ISNUMBER(_xlfn.XLOOKUP(CONTROL[[#This Row],[VEHIDCODE]],roster!A:A,roster!D:D))</f>
        <v>1</v>
      </c>
      <c r="M250" t="b">
        <f>ISNUMBER(_xlfn.XMATCH(CONTROL[[#This Row],[VEHIDCODE]],GRAPHICS_PROPERTIES[VEHIDCODE],0))</f>
        <v>1</v>
      </c>
      <c r="N250" s="21" t="str">
        <f>"item_"&amp;CONTROL[[#This Row],[VEHIDCODE]]</f>
        <v>item_diesel_Fiat_Grandi_Motori_D_341</v>
      </c>
      <c r="O250" s="21" t="str">
        <f>"str_"&amp;CONTROL[[#This Row],[VEHIDCODE]]</f>
        <v>str_diesel_Fiat_Grandi_Motori_D_341</v>
      </c>
      <c r="P250" s="7" t="b">
        <f>_xlfn.XLOOKUP(CONTROL[[#This Row],[VEHIDCODE]],PROPERTIES[VEHIDCODE],PROPERTIES[IS_CONCEPT])="IS_CONCEPT"</f>
        <v>0</v>
      </c>
      <c r="Q250" s="7" t="b">
        <f>_xlfn.XLOOKUP(CONTROL[[#This Row],[VEHIDCODE]],PROPERTIES[VEHIDCODE],PROPERTIES[EXCLUDE])</f>
        <v>0</v>
      </c>
      <c r="R250" t="str" cm="1">
        <f t="array" ref="R250">_xlfn.XLOOKUP(CONTROL[[#This Row],[VEHIDCODE]],GRAPHICS_PROPERTIES[VEHIDCODE],GRAPHICS_PROPERTIES[TEMPLATE_ID]&amp;GRAPHICS_PROPERTIES[TEMPLATE_AMENDMENT_CODE])</f>
        <v>TPL_01A</v>
      </c>
    </row>
    <row r="251" spans="1:18" x14ac:dyDescent="0.35">
      <c r="A251" s="2" t="s">
        <v>2887</v>
      </c>
      <c r="B251" s="21" t="str">
        <f>_xlfn.TEXTAFTER(CONTROL[[#This Row],[VEHIDCODE]],"_")</f>
        <v>ALCO_AE_Goodwin_DL_500B</v>
      </c>
      <c r="C251" t="str" cm="1">
        <f t="array" ref="C2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1" t="str" cm="1">
        <f t="array" ref="D2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1">
        <v>5083</v>
      </c>
      <c r="F251" s="32" t="s">
        <v>2608</v>
      </c>
      <c r="G251" t="s">
        <v>1280</v>
      </c>
      <c r="H251" s="2" t="b">
        <f>AND(CONTROL[[#This Row],[IS_WAGON_OR_COACH]]=TRUE,OR(RIGHT(CONTROL[[#This Row],[VEHIDCODE]],7)="Powered",RIGHT(CONTROL[[#This Row],[VEHIDCODE]],9)="Unpowered"))</f>
        <v>0</v>
      </c>
      <c r="I2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1" t="b">
        <f>ISNUMBER(_xlfn.XMATCH(CONTROL[[#This Row],[VEHIDCODE]],TRACK_TYPES[VEHIDCODE],0))</f>
        <v>1</v>
      </c>
      <c r="K251" t="b">
        <f>ISNUMBER(_xlfn.XMATCH(CONTROL[[#This Row],[VEHIDCODE]],PROPERTIES[VEHIDCODE],0))</f>
        <v>1</v>
      </c>
      <c r="L251" t="b">
        <f>ISNUMBER(_xlfn.XLOOKUP(CONTROL[[#This Row],[VEHIDCODE]],roster!A:A,roster!D:D))</f>
        <v>1</v>
      </c>
      <c r="M251" t="b">
        <f>ISNUMBER(_xlfn.XMATCH(CONTROL[[#This Row],[VEHIDCODE]],GRAPHICS_PROPERTIES[VEHIDCODE],0))</f>
        <v>1</v>
      </c>
      <c r="N251" s="21" t="str">
        <f>"item_"&amp;CONTROL[[#This Row],[VEHIDCODE]]</f>
        <v>item_diesel_ALCO_AE_Goodwin_DL_500B</v>
      </c>
      <c r="O251" s="21" t="str">
        <f>"str_"&amp;CONTROL[[#This Row],[VEHIDCODE]]</f>
        <v>str_diesel_ALCO_AE_Goodwin_DL_500B</v>
      </c>
      <c r="P251" s="7" t="b">
        <f>_xlfn.XLOOKUP(CONTROL[[#This Row],[VEHIDCODE]],PROPERTIES[VEHIDCODE],PROPERTIES[IS_CONCEPT])="IS_CONCEPT"</f>
        <v>0</v>
      </c>
      <c r="Q251" s="7" t="b">
        <f>_xlfn.XLOOKUP(CONTROL[[#This Row],[VEHIDCODE]],PROPERTIES[VEHIDCODE],PROPERTIES[EXCLUDE])</f>
        <v>1</v>
      </c>
      <c r="R251" t="str" cm="1">
        <f t="array" ref="R251">_xlfn.XLOOKUP(CONTROL[[#This Row],[VEHIDCODE]],GRAPHICS_PROPERTIES[VEHIDCODE],GRAPHICS_PROPERTIES[TEMPLATE_ID]&amp;GRAPHICS_PROPERTIES[TEMPLATE_AMENDMENT_CODE])</f>
        <v>TPL_01A</v>
      </c>
    </row>
    <row r="252" spans="1:18" x14ac:dyDescent="0.35">
      <c r="A252" s="2" t="s">
        <v>2888</v>
      </c>
      <c r="B252" s="21" t="str">
        <f>_xlfn.TEXTAFTER(CONTROL[[#This Row],[VEHIDCODE]],"_")</f>
        <v>Henschel_DH_1420</v>
      </c>
      <c r="C252" t="str" cm="1">
        <f t="array" ref="C2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2" t="str" cm="1">
        <f t="array" ref="D2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2">
        <v>5084</v>
      </c>
      <c r="F252" s="32" t="s">
        <v>2609</v>
      </c>
      <c r="G252" t="s">
        <v>1281</v>
      </c>
      <c r="H252" s="2" t="b">
        <f>AND(CONTROL[[#This Row],[IS_WAGON_OR_COACH]]=TRUE,OR(RIGHT(CONTROL[[#This Row],[VEHIDCODE]],7)="Powered",RIGHT(CONTROL[[#This Row],[VEHIDCODE]],9)="Unpowered"))</f>
        <v>0</v>
      </c>
      <c r="I2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2" t="b">
        <f>ISNUMBER(_xlfn.XMATCH(CONTROL[[#This Row],[VEHIDCODE]],TRACK_TYPES[VEHIDCODE],0))</f>
        <v>1</v>
      </c>
      <c r="K252" t="b">
        <f>ISNUMBER(_xlfn.XMATCH(CONTROL[[#This Row],[VEHIDCODE]],PROPERTIES[VEHIDCODE],0))</f>
        <v>1</v>
      </c>
      <c r="L252" t="b">
        <f>ISNUMBER(_xlfn.XLOOKUP(CONTROL[[#This Row],[VEHIDCODE]],roster!A:A,roster!D:D))</f>
        <v>1</v>
      </c>
      <c r="M252" t="b">
        <f>ISNUMBER(_xlfn.XMATCH(CONTROL[[#This Row],[VEHIDCODE]],GRAPHICS_PROPERTIES[VEHIDCODE],0))</f>
        <v>1</v>
      </c>
      <c r="N252" s="21" t="str">
        <f>"item_"&amp;CONTROL[[#This Row],[VEHIDCODE]]</f>
        <v>item_diesel_Henschel_DH_1420</v>
      </c>
      <c r="O252" s="21" t="str">
        <f>"str_"&amp;CONTROL[[#This Row],[VEHIDCODE]]</f>
        <v>str_diesel_Henschel_DH_1420</v>
      </c>
      <c r="P252" s="7" t="b">
        <f>_xlfn.XLOOKUP(CONTROL[[#This Row],[VEHIDCODE]],PROPERTIES[VEHIDCODE],PROPERTIES[IS_CONCEPT])="IS_CONCEPT"</f>
        <v>0</v>
      </c>
      <c r="Q252" s="7" t="b">
        <f>_xlfn.XLOOKUP(CONTROL[[#This Row],[VEHIDCODE]],PROPERTIES[VEHIDCODE],PROPERTIES[EXCLUDE])</f>
        <v>0</v>
      </c>
      <c r="R252" t="str" cm="1">
        <f t="array" ref="R252">_xlfn.XLOOKUP(CONTROL[[#This Row],[VEHIDCODE]],GRAPHICS_PROPERTIES[VEHIDCODE],GRAPHICS_PROPERTIES[TEMPLATE_ID]&amp;GRAPHICS_PROPERTIES[TEMPLATE_AMENDMENT_CODE])</f>
        <v>TPL_01A</v>
      </c>
    </row>
    <row r="253" spans="1:18" x14ac:dyDescent="0.35">
      <c r="A253" s="2" t="s">
        <v>2889</v>
      </c>
      <c r="B253" s="21" t="str">
        <f>_xlfn.TEXTAFTER(CONTROL[[#This Row],[VEHIDCODE]],"_")</f>
        <v>EMD_SD18</v>
      </c>
      <c r="C253" t="str" cm="1">
        <f t="array" ref="C2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3" t="str" cm="1">
        <f t="array" ref="D2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3">
        <v>5085</v>
      </c>
      <c r="F253" s="32" t="s">
        <v>2004</v>
      </c>
      <c r="G253" t="s">
        <v>1282</v>
      </c>
      <c r="H253" s="2" t="b">
        <f>AND(CONTROL[[#This Row],[IS_WAGON_OR_COACH]]=TRUE,OR(RIGHT(CONTROL[[#This Row],[VEHIDCODE]],7)="Powered",RIGHT(CONTROL[[#This Row],[VEHIDCODE]],9)="Unpowered"))</f>
        <v>0</v>
      </c>
      <c r="I2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3" t="b">
        <f>ISNUMBER(_xlfn.XMATCH(CONTROL[[#This Row],[VEHIDCODE]],TRACK_TYPES[VEHIDCODE],0))</f>
        <v>1</v>
      </c>
      <c r="K253" t="b">
        <f>ISNUMBER(_xlfn.XMATCH(CONTROL[[#This Row],[VEHIDCODE]],PROPERTIES[VEHIDCODE],0))</f>
        <v>1</v>
      </c>
      <c r="L253" t="b">
        <f>ISNUMBER(_xlfn.XLOOKUP(CONTROL[[#This Row],[VEHIDCODE]],roster!A:A,roster!D:D))</f>
        <v>1</v>
      </c>
      <c r="M253" t="b">
        <f>ISNUMBER(_xlfn.XMATCH(CONTROL[[#This Row],[VEHIDCODE]],GRAPHICS_PROPERTIES[VEHIDCODE],0))</f>
        <v>1</v>
      </c>
      <c r="N253" s="21" t="str">
        <f>"item_"&amp;CONTROL[[#This Row],[VEHIDCODE]]</f>
        <v>item_diesel_EMD_SD18</v>
      </c>
      <c r="O253" s="21" t="str">
        <f>"str_"&amp;CONTROL[[#This Row],[VEHIDCODE]]</f>
        <v>str_diesel_EMD_SD18</v>
      </c>
      <c r="P253" s="7" t="b">
        <f>_xlfn.XLOOKUP(CONTROL[[#This Row],[VEHIDCODE]],PROPERTIES[VEHIDCODE],PROPERTIES[IS_CONCEPT])="IS_CONCEPT"</f>
        <v>0</v>
      </c>
      <c r="Q253" s="7" t="b">
        <f>_xlfn.XLOOKUP(CONTROL[[#This Row],[VEHIDCODE]],PROPERTIES[VEHIDCODE],PROPERTIES[EXCLUDE])</f>
        <v>0</v>
      </c>
      <c r="R253" t="str" cm="1">
        <f t="array" ref="R253">_xlfn.XLOOKUP(CONTROL[[#This Row],[VEHIDCODE]],GRAPHICS_PROPERTIES[VEHIDCODE],GRAPHICS_PROPERTIES[TEMPLATE_ID]&amp;GRAPHICS_PROPERTIES[TEMPLATE_AMENDMENT_CODE])</f>
        <v>TPL_01A</v>
      </c>
    </row>
    <row r="254" spans="1:18" x14ac:dyDescent="0.35">
      <c r="A254" s="2" t="s">
        <v>2890</v>
      </c>
      <c r="B254" s="21" t="str">
        <f>_xlfn.TEXTAFTER(CONTROL[[#This Row],[VEHIDCODE]],"_")</f>
        <v>Fiat_Grandi_Motori_D_345</v>
      </c>
      <c r="C254" t="str" cm="1">
        <f t="array" ref="C2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4" t="str" cm="1">
        <f t="array" ref="D2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4">
        <v>5086</v>
      </c>
      <c r="F254" s="32" t="s">
        <v>2573</v>
      </c>
      <c r="G254" t="s">
        <v>1283</v>
      </c>
      <c r="H254" s="2" t="b">
        <f>AND(CONTROL[[#This Row],[IS_WAGON_OR_COACH]]=TRUE,OR(RIGHT(CONTROL[[#This Row],[VEHIDCODE]],7)="Powered",RIGHT(CONTROL[[#This Row],[VEHIDCODE]],9)="Unpowered"))</f>
        <v>0</v>
      </c>
      <c r="I2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4" t="b">
        <f>ISNUMBER(_xlfn.XMATCH(CONTROL[[#This Row],[VEHIDCODE]],TRACK_TYPES[VEHIDCODE],0))</f>
        <v>1</v>
      </c>
      <c r="K254" t="b">
        <f>ISNUMBER(_xlfn.XMATCH(CONTROL[[#This Row],[VEHIDCODE]],PROPERTIES[VEHIDCODE],0))</f>
        <v>1</v>
      </c>
      <c r="L254" t="b">
        <f>ISNUMBER(_xlfn.XLOOKUP(CONTROL[[#This Row],[VEHIDCODE]],roster!A:A,roster!D:D))</f>
        <v>1</v>
      </c>
      <c r="M254" t="b">
        <f>ISNUMBER(_xlfn.XMATCH(CONTROL[[#This Row],[VEHIDCODE]],GRAPHICS_PROPERTIES[VEHIDCODE],0))</f>
        <v>1</v>
      </c>
      <c r="N254" s="21" t="str">
        <f>"item_"&amp;CONTROL[[#This Row],[VEHIDCODE]]</f>
        <v>item_diesel_Fiat_Grandi_Motori_D_345</v>
      </c>
      <c r="O254" s="21" t="str">
        <f>"str_"&amp;CONTROL[[#This Row],[VEHIDCODE]]</f>
        <v>str_diesel_Fiat_Grandi_Motori_D_345</v>
      </c>
      <c r="P254" s="7" t="b">
        <f>_xlfn.XLOOKUP(CONTROL[[#This Row],[VEHIDCODE]],PROPERTIES[VEHIDCODE],PROPERTIES[IS_CONCEPT])="IS_CONCEPT"</f>
        <v>0</v>
      </c>
      <c r="Q254" s="7" t="b">
        <f>_xlfn.XLOOKUP(CONTROL[[#This Row],[VEHIDCODE]],PROPERTIES[VEHIDCODE],PROPERTIES[EXCLUDE])</f>
        <v>0</v>
      </c>
      <c r="R254" t="str" cm="1">
        <f t="array" ref="R254">_xlfn.XLOOKUP(CONTROL[[#This Row],[VEHIDCODE]],GRAPHICS_PROPERTIES[VEHIDCODE],GRAPHICS_PROPERTIES[TEMPLATE_ID]&amp;GRAPHICS_PROPERTIES[TEMPLATE_AMENDMENT_CODE])</f>
        <v>TPL_01A</v>
      </c>
    </row>
    <row r="255" spans="1:18" x14ac:dyDescent="0.35">
      <c r="A255" s="2" t="s">
        <v>2891</v>
      </c>
      <c r="B255" s="21" t="str">
        <f>_xlfn.TEXTAFTER(CONTROL[[#This Row],[VEHIDCODE]],"_")</f>
        <v>Henschel_Di4</v>
      </c>
      <c r="C255" t="str" cm="1">
        <f t="array" ref="C2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5" t="str" cm="1">
        <f t="array" ref="D2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5">
        <v>5087</v>
      </c>
      <c r="F255" s="32" t="s">
        <v>2178</v>
      </c>
      <c r="G255" t="s">
        <v>1284</v>
      </c>
      <c r="H255" s="2" t="b">
        <f>AND(CONTROL[[#This Row],[IS_WAGON_OR_COACH]]=TRUE,OR(RIGHT(CONTROL[[#This Row],[VEHIDCODE]],7)="Powered",RIGHT(CONTROL[[#This Row],[VEHIDCODE]],9)="Unpowered"))</f>
        <v>0</v>
      </c>
      <c r="I2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5" t="b">
        <f>ISNUMBER(_xlfn.XMATCH(CONTROL[[#This Row],[VEHIDCODE]],TRACK_TYPES[VEHIDCODE],0))</f>
        <v>1</v>
      </c>
      <c r="K255" t="b">
        <f>ISNUMBER(_xlfn.XMATCH(CONTROL[[#This Row],[VEHIDCODE]],PROPERTIES[VEHIDCODE],0))</f>
        <v>1</v>
      </c>
      <c r="L255" t="b">
        <f>ISNUMBER(_xlfn.XLOOKUP(CONTROL[[#This Row],[VEHIDCODE]],roster!A:A,roster!D:D))</f>
        <v>1</v>
      </c>
      <c r="M255" t="b">
        <f>ISNUMBER(_xlfn.XMATCH(CONTROL[[#This Row],[VEHIDCODE]],GRAPHICS_PROPERTIES[VEHIDCODE],0))</f>
        <v>1</v>
      </c>
      <c r="N255" s="21" t="str">
        <f>"item_"&amp;CONTROL[[#This Row],[VEHIDCODE]]</f>
        <v>item_diesel_Henschel_Di4</v>
      </c>
      <c r="O255" s="21" t="str">
        <f>"str_"&amp;CONTROL[[#This Row],[VEHIDCODE]]</f>
        <v>str_diesel_Henschel_Di4</v>
      </c>
      <c r="P255" s="7" t="b">
        <f>_xlfn.XLOOKUP(CONTROL[[#This Row],[VEHIDCODE]],PROPERTIES[VEHIDCODE],PROPERTIES[IS_CONCEPT])="IS_CONCEPT"</f>
        <v>0</v>
      </c>
      <c r="Q255" s="7" t="b">
        <f>_xlfn.XLOOKUP(CONTROL[[#This Row],[VEHIDCODE]],PROPERTIES[VEHIDCODE],PROPERTIES[EXCLUDE])</f>
        <v>0</v>
      </c>
      <c r="R255" t="str" cm="1">
        <f t="array" ref="R255">_xlfn.XLOOKUP(CONTROL[[#This Row],[VEHIDCODE]],GRAPHICS_PROPERTIES[VEHIDCODE],GRAPHICS_PROPERTIES[TEMPLATE_ID]&amp;GRAPHICS_PROPERTIES[TEMPLATE_AMENDMENT_CODE])</f>
        <v>TPL_01A</v>
      </c>
    </row>
    <row r="256" spans="1:18" x14ac:dyDescent="0.35">
      <c r="A256" s="2" t="s">
        <v>2892</v>
      </c>
      <c r="B256" s="21" t="str">
        <f>_xlfn.TEXTAFTER(CONTROL[[#This Row],[VEHIDCODE]],"_")</f>
        <v>Qishuyan_DF8</v>
      </c>
      <c r="C256" t="str" cm="1">
        <f t="array" ref="C2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6" t="str" cm="1">
        <f t="array" ref="D2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6">
        <v>5088</v>
      </c>
      <c r="F256" s="32" t="s">
        <v>2179</v>
      </c>
      <c r="G256" t="s">
        <v>1285</v>
      </c>
      <c r="H256" s="2" t="b">
        <f>AND(CONTROL[[#This Row],[IS_WAGON_OR_COACH]]=TRUE,OR(RIGHT(CONTROL[[#This Row],[VEHIDCODE]],7)="Powered",RIGHT(CONTROL[[#This Row],[VEHIDCODE]],9)="Unpowered"))</f>
        <v>0</v>
      </c>
      <c r="I2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6" t="b">
        <f>ISNUMBER(_xlfn.XMATCH(CONTROL[[#This Row],[VEHIDCODE]],TRACK_TYPES[VEHIDCODE],0))</f>
        <v>1</v>
      </c>
      <c r="K256" t="b">
        <f>ISNUMBER(_xlfn.XMATCH(CONTROL[[#This Row],[VEHIDCODE]],PROPERTIES[VEHIDCODE],0))</f>
        <v>1</v>
      </c>
      <c r="L256" t="b">
        <f>ISNUMBER(_xlfn.XLOOKUP(CONTROL[[#This Row],[VEHIDCODE]],roster!A:A,roster!D:D))</f>
        <v>1</v>
      </c>
      <c r="M256" t="b">
        <f>ISNUMBER(_xlfn.XMATCH(CONTROL[[#This Row],[VEHIDCODE]],GRAPHICS_PROPERTIES[VEHIDCODE],0))</f>
        <v>1</v>
      </c>
      <c r="N256" s="21" t="str">
        <f>"item_"&amp;CONTROL[[#This Row],[VEHIDCODE]]</f>
        <v>item_diesel_Qishuyan_DF8</v>
      </c>
      <c r="O256" s="21" t="str">
        <f>"str_"&amp;CONTROL[[#This Row],[VEHIDCODE]]</f>
        <v>str_diesel_Qishuyan_DF8</v>
      </c>
      <c r="P256" s="7" t="b">
        <f>_xlfn.XLOOKUP(CONTROL[[#This Row],[VEHIDCODE]],PROPERTIES[VEHIDCODE],PROPERTIES[IS_CONCEPT])="IS_CONCEPT"</f>
        <v>0</v>
      </c>
      <c r="Q256" s="7" t="b">
        <f>_xlfn.XLOOKUP(CONTROL[[#This Row],[VEHIDCODE]],PROPERTIES[VEHIDCODE],PROPERTIES[EXCLUDE])</f>
        <v>0</v>
      </c>
      <c r="R256" t="str" cm="1">
        <f t="array" ref="R256">_xlfn.XLOOKUP(CONTROL[[#This Row],[VEHIDCODE]],GRAPHICS_PROPERTIES[VEHIDCODE],GRAPHICS_PROPERTIES[TEMPLATE_ID]&amp;GRAPHICS_PROPERTIES[TEMPLATE_AMENDMENT_CODE])</f>
        <v>TPL_01A</v>
      </c>
    </row>
    <row r="257" spans="1:18" x14ac:dyDescent="0.35">
      <c r="A257" s="2" t="s">
        <v>3451</v>
      </c>
      <c r="B257" s="21" t="str">
        <f>_xlfn.TEXTAFTER(CONTROL[[#This Row],[VEHIDCODE]],"_")</f>
        <v>EMD_Clyde_JT26C_2SS</v>
      </c>
      <c r="C257" t="str" cm="1">
        <f t="array" ref="C2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7" t="str" cm="1">
        <f t="array" ref="D2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7">
        <v>5089</v>
      </c>
      <c r="F257" s="32" t="s">
        <v>3463</v>
      </c>
      <c r="G257" t="s">
        <v>1286</v>
      </c>
      <c r="H257" s="2" t="b">
        <f>AND(CONTROL[[#This Row],[IS_WAGON_OR_COACH]]=TRUE,OR(RIGHT(CONTROL[[#This Row],[VEHIDCODE]],7)="Powered",RIGHT(CONTROL[[#This Row],[VEHIDCODE]],9)="Unpowered"))</f>
        <v>0</v>
      </c>
      <c r="I2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7" t="b">
        <f>ISNUMBER(_xlfn.XMATCH(CONTROL[[#This Row],[VEHIDCODE]],TRACK_TYPES[VEHIDCODE],0))</f>
        <v>1</v>
      </c>
      <c r="K257" t="b">
        <f>ISNUMBER(_xlfn.XMATCH(CONTROL[[#This Row],[VEHIDCODE]],PROPERTIES[VEHIDCODE],0))</f>
        <v>1</v>
      </c>
      <c r="L257" t="b">
        <f>ISNUMBER(_xlfn.XLOOKUP(CONTROL[[#This Row],[VEHIDCODE]],roster!A:A,roster!D:D))</f>
        <v>1</v>
      </c>
      <c r="M257" t="b">
        <f>ISNUMBER(_xlfn.XMATCH(CONTROL[[#This Row],[VEHIDCODE]],GRAPHICS_PROPERTIES[VEHIDCODE],0))</f>
        <v>1</v>
      </c>
      <c r="N257" s="21" t="str">
        <f>"item_"&amp;CONTROL[[#This Row],[VEHIDCODE]]</f>
        <v>item_diesel_EMD_Clyde_JT26C_2SS</v>
      </c>
      <c r="O257" s="21" t="str">
        <f>"str_"&amp;CONTROL[[#This Row],[VEHIDCODE]]</f>
        <v>str_diesel_EMD_Clyde_JT26C_2SS</v>
      </c>
      <c r="P257" s="7" t="b">
        <f>_xlfn.XLOOKUP(CONTROL[[#This Row],[VEHIDCODE]],PROPERTIES[VEHIDCODE],PROPERTIES[IS_CONCEPT])="IS_CONCEPT"</f>
        <v>0</v>
      </c>
      <c r="Q257" s="7" t="b">
        <f>_xlfn.XLOOKUP(CONTROL[[#This Row],[VEHIDCODE]],PROPERTIES[VEHIDCODE],PROPERTIES[EXCLUDE])</f>
        <v>1</v>
      </c>
      <c r="R257" t="str" cm="1">
        <f t="array" ref="R257">_xlfn.XLOOKUP(CONTROL[[#This Row],[VEHIDCODE]],GRAPHICS_PROPERTIES[VEHIDCODE],GRAPHICS_PROPERTIES[TEMPLATE_ID]&amp;GRAPHICS_PROPERTIES[TEMPLATE_AMENDMENT_CODE])</f>
        <v>TPL_01A</v>
      </c>
    </row>
    <row r="258" spans="1:18" x14ac:dyDescent="0.35">
      <c r="A258" s="2" t="s">
        <v>2893</v>
      </c>
      <c r="B258" s="21" t="str">
        <f>_xlfn.TEXTAFTER(CONTROL[[#This Row],[VEHIDCODE]],"_")</f>
        <v>Brush_Class_60</v>
      </c>
      <c r="C258" t="str" cm="1">
        <f t="array" ref="C2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8" t="str" cm="1">
        <f t="array" ref="D2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8">
        <v>5090</v>
      </c>
      <c r="F258" s="32" t="s">
        <v>2180</v>
      </c>
      <c r="G258" t="s">
        <v>1287</v>
      </c>
      <c r="H258" s="2" t="b">
        <f>AND(CONTROL[[#This Row],[IS_WAGON_OR_COACH]]=TRUE,OR(RIGHT(CONTROL[[#This Row],[VEHIDCODE]],7)="Powered",RIGHT(CONTROL[[#This Row],[VEHIDCODE]],9)="Unpowered"))</f>
        <v>0</v>
      </c>
      <c r="I2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8" t="b">
        <f>ISNUMBER(_xlfn.XMATCH(CONTROL[[#This Row],[VEHIDCODE]],TRACK_TYPES[VEHIDCODE],0))</f>
        <v>1</v>
      </c>
      <c r="K258" t="b">
        <f>ISNUMBER(_xlfn.XMATCH(CONTROL[[#This Row],[VEHIDCODE]],PROPERTIES[VEHIDCODE],0))</f>
        <v>1</v>
      </c>
      <c r="L258" t="b">
        <f>ISNUMBER(_xlfn.XLOOKUP(CONTROL[[#This Row],[VEHIDCODE]],roster!A:A,roster!D:D))</f>
        <v>1</v>
      </c>
      <c r="M258" t="b">
        <f>ISNUMBER(_xlfn.XMATCH(CONTROL[[#This Row],[VEHIDCODE]],GRAPHICS_PROPERTIES[VEHIDCODE],0))</f>
        <v>1</v>
      </c>
      <c r="N258" s="21" t="str">
        <f>"item_"&amp;CONTROL[[#This Row],[VEHIDCODE]]</f>
        <v>item_diesel_Brush_Class_60</v>
      </c>
      <c r="O258" s="21" t="str">
        <f>"str_"&amp;CONTROL[[#This Row],[VEHIDCODE]]</f>
        <v>str_diesel_Brush_Class_60</v>
      </c>
      <c r="P258" s="7" t="b">
        <f>_xlfn.XLOOKUP(CONTROL[[#This Row],[VEHIDCODE]],PROPERTIES[VEHIDCODE],PROPERTIES[IS_CONCEPT])="IS_CONCEPT"</f>
        <v>0</v>
      </c>
      <c r="Q258" s="7" t="b">
        <f>_xlfn.XLOOKUP(CONTROL[[#This Row],[VEHIDCODE]],PROPERTIES[VEHIDCODE],PROPERTIES[EXCLUDE])</f>
        <v>0</v>
      </c>
      <c r="R258" t="str" cm="1">
        <f t="array" ref="R258">_xlfn.XLOOKUP(CONTROL[[#This Row],[VEHIDCODE]],GRAPHICS_PROPERTIES[VEHIDCODE],GRAPHICS_PROPERTIES[TEMPLATE_ID]&amp;GRAPHICS_PROPERTIES[TEMPLATE_AMENDMENT_CODE])</f>
        <v>TPL_01A</v>
      </c>
    </row>
    <row r="259" spans="1:18" x14ac:dyDescent="0.35">
      <c r="A259" s="2" t="s">
        <v>2894</v>
      </c>
      <c r="B259" s="21" t="str">
        <f>_xlfn.TEXTAFTER(CONTROL[[#This Row],[VEHIDCODE]],"_")</f>
        <v>GE_Goninan_CM25_8</v>
      </c>
      <c r="C259" t="str" cm="1">
        <f t="array" ref="C2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9" t="str" cm="1">
        <f t="array" ref="D2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9">
        <v>5091</v>
      </c>
      <c r="F259" s="32" t="s">
        <v>2181</v>
      </c>
      <c r="G259" t="s">
        <v>1288</v>
      </c>
      <c r="H259" s="2" t="b">
        <f>AND(CONTROL[[#This Row],[IS_WAGON_OR_COACH]]=TRUE,OR(RIGHT(CONTROL[[#This Row],[VEHIDCODE]],7)="Powered",RIGHT(CONTROL[[#This Row],[VEHIDCODE]],9)="Unpowered"))</f>
        <v>0</v>
      </c>
      <c r="I2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9" t="b">
        <f>ISNUMBER(_xlfn.XMATCH(CONTROL[[#This Row],[VEHIDCODE]],TRACK_TYPES[VEHIDCODE],0))</f>
        <v>1</v>
      </c>
      <c r="K259" t="b">
        <f>ISNUMBER(_xlfn.XMATCH(CONTROL[[#This Row],[VEHIDCODE]],PROPERTIES[VEHIDCODE],0))</f>
        <v>1</v>
      </c>
      <c r="L259" t="b">
        <f>ISNUMBER(_xlfn.XLOOKUP(CONTROL[[#This Row],[VEHIDCODE]],roster!A:A,roster!D:D))</f>
        <v>1</v>
      </c>
      <c r="M259" t="b">
        <f>ISNUMBER(_xlfn.XMATCH(CONTROL[[#This Row],[VEHIDCODE]],GRAPHICS_PROPERTIES[VEHIDCODE],0))</f>
        <v>1</v>
      </c>
      <c r="N259" s="21" t="str">
        <f>"item_"&amp;CONTROL[[#This Row],[VEHIDCODE]]</f>
        <v>item_diesel_GE_Goninan_CM25_8</v>
      </c>
      <c r="O259" s="21" t="str">
        <f>"str_"&amp;CONTROL[[#This Row],[VEHIDCODE]]</f>
        <v>str_diesel_GE_Goninan_CM25_8</v>
      </c>
      <c r="P259" s="7" t="b">
        <f>_xlfn.XLOOKUP(CONTROL[[#This Row],[VEHIDCODE]],PROPERTIES[VEHIDCODE],PROPERTIES[IS_CONCEPT])="IS_CONCEPT"</f>
        <v>0</v>
      </c>
      <c r="Q259" s="7" t="b">
        <f>_xlfn.XLOOKUP(CONTROL[[#This Row],[VEHIDCODE]],PROPERTIES[VEHIDCODE],PROPERTIES[EXCLUDE])</f>
        <v>0</v>
      </c>
      <c r="R259" t="str" cm="1">
        <f t="array" ref="R259">_xlfn.XLOOKUP(CONTROL[[#This Row],[VEHIDCODE]],GRAPHICS_PROPERTIES[VEHIDCODE],GRAPHICS_PROPERTIES[TEMPLATE_ID]&amp;GRAPHICS_PROPERTIES[TEMPLATE_AMENDMENT_CODE])</f>
        <v>TPL_01A</v>
      </c>
    </row>
    <row r="260" spans="1:18" x14ac:dyDescent="0.35">
      <c r="A260" s="2" t="s">
        <v>2895</v>
      </c>
      <c r="B260" s="21" t="str">
        <f>_xlfn.TEXTAFTER(CONTROL[[#This Row],[VEHIDCODE]],"_")</f>
        <v>EMD_SD70ACS</v>
      </c>
      <c r="C260" t="str" cm="1">
        <f t="array" ref="C2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0" t="str" cm="1">
        <f t="array" ref="D2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0">
        <v>5092</v>
      </c>
      <c r="F260" s="32" t="s">
        <v>2182</v>
      </c>
      <c r="G260" t="s">
        <v>1289</v>
      </c>
      <c r="H260" s="2" t="b">
        <f>AND(CONTROL[[#This Row],[IS_WAGON_OR_COACH]]=TRUE,OR(RIGHT(CONTROL[[#This Row],[VEHIDCODE]],7)="Powered",RIGHT(CONTROL[[#This Row],[VEHIDCODE]],9)="Unpowered"))</f>
        <v>0</v>
      </c>
      <c r="I2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0" t="b">
        <f>ISNUMBER(_xlfn.XMATCH(CONTROL[[#This Row],[VEHIDCODE]],TRACK_TYPES[VEHIDCODE],0))</f>
        <v>1</v>
      </c>
      <c r="K260" t="b">
        <f>ISNUMBER(_xlfn.XMATCH(CONTROL[[#This Row],[VEHIDCODE]],PROPERTIES[VEHIDCODE],0))</f>
        <v>1</v>
      </c>
      <c r="L260" t="b">
        <f>ISNUMBER(_xlfn.XLOOKUP(CONTROL[[#This Row],[VEHIDCODE]],roster!A:A,roster!D:D))</f>
        <v>1</v>
      </c>
      <c r="M260" t="b">
        <f>ISNUMBER(_xlfn.XMATCH(CONTROL[[#This Row],[VEHIDCODE]],GRAPHICS_PROPERTIES[VEHIDCODE],0))</f>
        <v>1</v>
      </c>
      <c r="N260" s="21" t="str">
        <f>"item_"&amp;CONTROL[[#This Row],[VEHIDCODE]]</f>
        <v>item_diesel_EMD_SD70ACS</v>
      </c>
      <c r="O260" s="21" t="str">
        <f>"str_"&amp;CONTROL[[#This Row],[VEHIDCODE]]</f>
        <v>str_diesel_EMD_SD70ACS</v>
      </c>
      <c r="P260" s="7" t="b">
        <f>_xlfn.XLOOKUP(CONTROL[[#This Row],[VEHIDCODE]],PROPERTIES[VEHIDCODE],PROPERTIES[IS_CONCEPT])="IS_CONCEPT"</f>
        <v>0</v>
      </c>
      <c r="Q260" s="7" t="b">
        <f>_xlfn.XLOOKUP(CONTROL[[#This Row],[VEHIDCODE]],PROPERTIES[VEHIDCODE],PROPERTIES[EXCLUDE])</f>
        <v>1</v>
      </c>
      <c r="R260" t="str" cm="1">
        <f t="array" ref="R260">_xlfn.XLOOKUP(CONTROL[[#This Row],[VEHIDCODE]],GRAPHICS_PROPERTIES[VEHIDCODE],GRAPHICS_PROPERTIES[TEMPLATE_ID]&amp;GRAPHICS_PROPERTIES[TEMPLATE_AMENDMENT_CODE])</f>
        <v>TPL_01A</v>
      </c>
    </row>
    <row r="261" spans="1:18" x14ac:dyDescent="0.35">
      <c r="A261" s="2" t="s">
        <v>2896</v>
      </c>
      <c r="B261" s="21" t="str">
        <f>_xlfn.TEXTAFTER(CONTROL[[#This Row],[VEHIDCODE]],"_")</f>
        <v>GMD_JT42HCW</v>
      </c>
      <c r="C261" t="str" cm="1">
        <f t="array" ref="C2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1" t="str" cm="1">
        <f t="array" ref="D2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1">
        <v>5093</v>
      </c>
      <c r="F261" s="32" t="s">
        <v>2005</v>
      </c>
      <c r="G261" t="s">
        <v>1290</v>
      </c>
      <c r="H261" s="2" t="b">
        <f>AND(CONTROL[[#This Row],[IS_WAGON_OR_COACH]]=TRUE,OR(RIGHT(CONTROL[[#This Row],[VEHIDCODE]],7)="Powered",RIGHT(CONTROL[[#This Row],[VEHIDCODE]],9)="Unpowered"))</f>
        <v>0</v>
      </c>
      <c r="I2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1" t="b">
        <f>ISNUMBER(_xlfn.XMATCH(CONTROL[[#This Row],[VEHIDCODE]],TRACK_TYPES[VEHIDCODE],0))</f>
        <v>1</v>
      </c>
      <c r="K261" t="b">
        <f>ISNUMBER(_xlfn.XMATCH(CONTROL[[#This Row],[VEHIDCODE]],PROPERTIES[VEHIDCODE],0))</f>
        <v>1</v>
      </c>
      <c r="L261" t="b">
        <f>ISNUMBER(_xlfn.XLOOKUP(CONTROL[[#This Row],[VEHIDCODE]],roster!A:A,roster!D:D))</f>
        <v>1</v>
      </c>
      <c r="M261" t="b">
        <f>ISNUMBER(_xlfn.XMATCH(CONTROL[[#This Row],[VEHIDCODE]],GRAPHICS_PROPERTIES[VEHIDCODE],0))</f>
        <v>1</v>
      </c>
      <c r="N261" s="21" t="str">
        <f>"item_"&amp;CONTROL[[#This Row],[VEHIDCODE]]</f>
        <v>item_diesel_GMD_JT42HCW</v>
      </c>
      <c r="O261" s="21" t="str">
        <f>"str_"&amp;CONTROL[[#This Row],[VEHIDCODE]]</f>
        <v>str_diesel_GMD_JT42HCW</v>
      </c>
      <c r="P261" s="7" t="b">
        <f>_xlfn.XLOOKUP(CONTROL[[#This Row],[VEHIDCODE]],PROPERTIES[VEHIDCODE],PROPERTIES[IS_CONCEPT])="IS_CONCEPT"</f>
        <v>0</v>
      </c>
      <c r="Q261" s="7" t="b">
        <f>_xlfn.XLOOKUP(CONTROL[[#This Row],[VEHIDCODE]],PROPERTIES[VEHIDCODE],PROPERTIES[EXCLUDE])</f>
        <v>0</v>
      </c>
      <c r="R261" t="str" cm="1">
        <f t="array" ref="R261">_xlfn.XLOOKUP(CONTROL[[#This Row],[VEHIDCODE]],GRAPHICS_PROPERTIES[VEHIDCODE],GRAPHICS_PROPERTIES[TEMPLATE_ID]&amp;GRAPHICS_PROPERTIES[TEMPLATE_AMENDMENT_CODE])</f>
        <v>TPL_01A</v>
      </c>
    </row>
    <row r="262" spans="1:18" x14ac:dyDescent="0.35">
      <c r="A262" s="2" t="s">
        <v>2897</v>
      </c>
      <c r="B262" s="21" t="str">
        <f>_xlfn.TEXTAFTER(CONTROL[[#This Row],[VEHIDCODE]],"_")</f>
        <v>EMD_F59PH</v>
      </c>
      <c r="C262" t="str" cm="1">
        <f t="array" ref="C2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2" t="str" cm="1">
        <f t="array" ref="D2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2">
        <v>5094</v>
      </c>
      <c r="F262" s="32" t="s">
        <v>2006</v>
      </c>
      <c r="G262" t="s">
        <v>1291</v>
      </c>
      <c r="H262" s="2" t="b">
        <f>AND(CONTROL[[#This Row],[IS_WAGON_OR_COACH]]=TRUE,OR(RIGHT(CONTROL[[#This Row],[VEHIDCODE]],7)="Powered",RIGHT(CONTROL[[#This Row],[VEHIDCODE]],9)="Unpowered"))</f>
        <v>0</v>
      </c>
      <c r="I2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2" t="b">
        <f>ISNUMBER(_xlfn.XMATCH(CONTROL[[#This Row],[VEHIDCODE]],TRACK_TYPES[VEHIDCODE],0))</f>
        <v>1</v>
      </c>
      <c r="K262" t="b">
        <f>ISNUMBER(_xlfn.XMATCH(CONTROL[[#This Row],[VEHIDCODE]],PROPERTIES[VEHIDCODE],0))</f>
        <v>1</v>
      </c>
      <c r="L262" t="b">
        <f>ISNUMBER(_xlfn.XLOOKUP(CONTROL[[#This Row],[VEHIDCODE]],roster!A:A,roster!D:D))</f>
        <v>1</v>
      </c>
      <c r="M262" t="b">
        <f>ISNUMBER(_xlfn.XMATCH(CONTROL[[#This Row],[VEHIDCODE]],GRAPHICS_PROPERTIES[VEHIDCODE],0))</f>
        <v>1</v>
      </c>
      <c r="N262" s="21" t="str">
        <f>"item_"&amp;CONTROL[[#This Row],[VEHIDCODE]]</f>
        <v>item_diesel_EMD_F59PH</v>
      </c>
      <c r="O262" s="21" t="str">
        <f>"str_"&amp;CONTROL[[#This Row],[VEHIDCODE]]</f>
        <v>str_diesel_EMD_F59PH</v>
      </c>
      <c r="P262" s="7" t="b">
        <f>_xlfn.XLOOKUP(CONTROL[[#This Row],[VEHIDCODE]],PROPERTIES[VEHIDCODE],PROPERTIES[IS_CONCEPT])="IS_CONCEPT"</f>
        <v>0</v>
      </c>
      <c r="Q262" s="7" t="b">
        <f>_xlfn.XLOOKUP(CONTROL[[#This Row],[VEHIDCODE]],PROPERTIES[VEHIDCODE],PROPERTIES[EXCLUDE])</f>
        <v>0</v>
      </c>
      <c r="R262" t="str" cm="1">
        <f t="array" ref="R262">_xlfn.XLOOKUP(CONTROL[[#This Row],[VEHIDCODE]],GRAPHICS_PROPERTIES[VEHIDCODE],GRAPHICS_PROPERTIES[TEMPLATE_ID]&amp;GRAPHICS_PROPERTIES[TEMPLATE_AMENDMENT_CODE])</f>
        <v>TPL_01A</v>
      </c>
    </row>
    <row r="263" spans="1:18" x14ac:dyDescent="0.35">
      <c r="A263" s="2" t="s">
        <v>2898</v>
      </c>
      <c r="B263" s="21" t="str">
        <f>_xlfn.TEXTAFTER(CONTROL[[#This Row],[VEHIDCODE]],"_")</f>
        <v>MaK___Vossloh_G1206</v>
      </c>
      <c r="C263" t="str" cm="1">
        <f t="array" ref="C2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3" t="str" cm="1">
        <f t="array" ref="D2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3">
        <v>5095</v>
      </c>
      <c r="F263" s="32" t="s">
        <v>3531</v>
      </c>
      <c r="G263" t="s">
        <v>1292</v>
      </c>
      <c r="H263" s="2" t="b">
        <f>AND(CONTROL[[#This Row],[IS_WAGON_OR_COACH]]=TRUE,OR(RIGHT(CONTROL[[#This Row],[VEHIDCODE]],7)="Powered",RIGHT(CONTROL[[#This Row],[VEHIDCODE]],9)="Unpowered"))</f>
        <v>0</v>
      </c>
      <c r="I2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3" t="b">
        <f>ISNUMBER(_xlfn.XMATCH(CONTROL[[#This Row],[VEHIDCODE]],TRACK_TYPES[VEHIDCODE],0))</f>
        <v>1</v>
      </c>
      <c r="K263" t="b">
        <f>ISNUMBER(_xlfn.XMATCH(CONTROL[[#This Row],[VEHIDCODE]],PROPERTIES[VEHIDCODE],0))</f>
        <v>1</v>
      </c>
      <c r="L263" t="b">
        <f>ISNUMBER(_xlfn.XLOOKUP(CONTROL[[#This Row],[VEHIDCODE]],roster!A:A,roster!D:D))</f>
        <v>1</v>
      </c>
      <c r="M263" t="b">
        <f>ISNUMBER(_xlfn.XMATCH(CONTROL[[#This Row],[VEHIDCODE]],GRAPHICS_PROPERTIES[VEHIDCODE],0))</f>
        <v>1</v>
      </c>
      <c r="N263" s="21" t="str">
        <f>"item_"&amp;CONTROL[[#This Row],[VEHIDCODE]]</f>
        <v>item_diesel_MaK___Vossloh_G1206</v>
      </c>
      <c r="O263" s="21" t="str">
        <f>"str_"&amp;CONTROL[[#This Row],[VEHIDCODE]]</f>
        <v>str_diesel_MaK___Vossloh_G1206</v>
      </c>
      <c r="P263" s="7" t="b">
        <f>_xlfn.XLOOKUP(CONTROL[[#This Row],[VEHIDCODE]],PROPERTIES[VEHIDCODE],PROPERTIES[IS_CONCEPT])="IS_CONCEPT"</f>
        <v>0</v>
      </c>
      <c r="Q263" s="7" t="b">
        <f>_xlfn.XLOOKUP(CONTROL[[#This Row],[VEHIDCODE]],PROPERTIES[VEHIDCODE],PROPERTIES[EXCLUDE])</f>
        <v>0</v>
      </c>
      <c r="R263" t="str" cm="1">
        <f t="array" ref="R263">_xlfn.XLOOKUP(CONTROL[[#This Row],[VEHIDCODE]],GRAPHICS_PROPERTIES[VEHIDCODE],GRAPHICS_PROPERTIES[TEMPLATE_ID]&amp;GRAPHICS_PROPERTIES[TEMPLATE_AMENDMENT_CODE])</f>
        <v>TPL_01A</v>
      </c>
    </row>
    <row r="264" spans="1:18" x14ac:dyDescent="0.35">
      <c r="A264" s="2" t="s">
        <v>2899</v>
      </c>
      <c r="B264" s="21" t="str">
        <f>_xlfn.TEXTAFTER(CONTROL[[#This Row],[VEHIDCODE]],"_")</f>
        <v>Vossloh_G_2000_BB</v>
      </c>
      <c r="C264" t="str" cm="1">
        <f t="array" ref="C2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4" t="str" cm="1">
        <f t="array" ref="D2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4">
        <v>5096</v>
      </c>
      <c r="F264" s="32" t="s">
        <v>2051</v>
      </c>
      <c r="G264" t="s">
        <v>1293</v>
      </c>
      <c r="H264" s="2" t="b">
        <f>AND(CONTROL[[#This Row],[IS_WAGON_OR_COACH]]=TRUE,OR(RIGHT(CONTROL[[#This Row],[VEHIDCODE]],7)="Powered",RIGHT(CONTROL[[#This Row],[VEHIDCODE]],9)="Unpowered"))</f>
        <v>0</v>
      </c>
      <c r="I2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4" t="b">
        <f>ISNUMBER(_xlfn.XMATCH(CONTROL[[#This Row],[VEHIDCODE]],TRACK_TYPES[VEHIDCODE],0))</f>
        <v>1</v>
      </c>
      <c r="K264" t="b">
        <f>ISNUMBER(_xlfn.XMATCH(CONTROL[[#This Row],[VEHIDCODE]],PROPERTIES[VEHIDCODE],0))</f>
        <v>1</v>
      </c>
      <c r="L264" t="b">
        <f>ISNUMBER(_xlfn.XLOOKUP(CONTROL[[#This Row],[VEHIDCODE]],roster!A:A,roster!D:D))</f>
        <v>1</v>
      </c>
      <c r="M264" t="b">
        <f>ISNUMBER(_xlfn.XMATCH(CONTROL[[#This Row],[VEHIDCODE]],GRAPHICS_PROPERTIES[VEHIDCODE],0))</f>
        <v>1</v>
      </c>
      <c r="N264" s="21" t="str">
        <f>"item_"&amp;CONTROL[[#This Row],[VEHIDCODE]]</f>
        <v>item_diesel_Vossloh_G_2000_BB</v>
      </c>
      <c r="O264" s="21" t="str">
        <f>"str_"&amp;CONTROL[[#This Row],[VEHIDCODE]]</f>
        <v>str_diesel_Vossloh_G_2000_BB</v>
      </c>
      <c r="P264" s="7" t="b">
        <f>_xlfn.XLOOKUP(CONTROL[[#This Row],[VEHIDCODE]],PROPERTIES[VEHIDCODE],PROPERTIES[IS_CONCEPT])="IS_CONCEPT"</f>
        <v>0</v>
      </c>
      <c r="Q264" s="7" t="b">
        <f>_xlfn.XLOOKUP(CONTROL[[#This Row],[VEHIDCODE]],PROPERTIES[VEHIDCODE],PROPERTIES[EXCLUDE])</f>
        <v>0</v>
      </c>
      <c r="R264" t="str" cm="1">
        <f t="array" ref="R264">_xlfn.XLOOKUP(CONTROL[[#This Row],[VEHIDCODE]],GRAPHICS_PROPERTIES[VEHIDCODE],GRAPHICS_PROPERTIES[TEMPLATE_ID]&amp;GRAPHICS_PROPERTIES[TEMPLATE_AMENDMENT_CODE])</f>
        <v>TPL_01A</v>
      </c>
    </row>
    <row r="265" spans="1:18" x14ac:dyDescent="0.35">
      <c r="A265" s="2" t="s">
        <v>2900</v>
      </c>
      <c r="B265" s="21" t="str">
        <f>_xlfn.TEXTAFTER(CONTROL[[#This Row],[VEHIDCODE]],"_")</f>
        <v>MPI_MP40PH_3C</v>
      </c>
      <c r="C265" t="str" cm="1">
        <f t="array" ref="C2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5" t="str" cm="1">
        <f t="array" ref="D2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5">
        <v>5097</v>
      </c>
      <c r="F265" s="32" t="s">
        <v>2028</v>
      </c>
      <c r="G265" t="s">
        <v>1294</v>
      </c>
      <c r="H265" s="2" t="b">
        <f>AND(CONTROL[[#This Row],[IS_WAGON_OR_COACH]]=TRUE,OR(RIGHT(CONTROL[[#This Row],[VEHIDCODE]],7)="Powered",RIGHT(CONTROL[[#This Row],[VEHIDCODE]],9)="Unpowered"))</f>
        <v>0</v>
      </c>
      <c r="I2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5" t="b">
        <f>ISNUMBER(_xlfn.XMATCH(CONTROL[[#This Row],[VEHIDCODE]],TRACK_TYPES[VEHIDCODE],0))</f>
        <v>1</v>
      </c>
      <c r="K265" t="b">
        <f>ISNUMBER(_xlfn.XMATCH(CONTROL[[#This Row],[VEHIDCODE]],PROPERTIES[VEHIDCODE],0))</f>
        <v>1</v>
      </c>
      <c r="L265" t="b">
        <f>ISNUMBER(_xlfn.XLOOKUP(CONTROL[[#This Row],[VEHIDCODE]],roster!A:A,roster!D:D))</f>
        <v>1</v>
      </c>
      <c r="M265" t="b">
        <f>ISNUMBER(_xlfn.XMATCH(CONTROL[[#This Row],[VEHIDCODE]],GRAPHICS_PROPERTIES[VEHIDCODE],0))</f>
        <v>1</v>
      </c>
      <c r="N265" s="21" t="str">
        <f>"item_"&amp;CONTROL[[#This Row],[VEHIDCODE]]</f>
        <v>item_diesel_MPI_MP40PH_3C</v>
      </c>
      <c r="O265" s="21" t="str">
        <f>"str_"&amp;CONTROL[[#This Row],[VEHIDCODE]]</f>
        <v>str_diesel_MPI_MP40PH_3C</v>
      </c>
      <c r="P265" s="7" t="b">
        <f>_xlfn.XLOOKUP(CONTROL[[#This Row],[VEHIDCODE]],PROPERTIES[VEHIDCODE],PROPERTIES[IS_CONCEPT])="IS_CONCEPT"</f>
        <v>0</v>
      </c>
      <c r="Q265" s="7" t="b">
        <f>_xlfn.XLOOKUP(CONTROL[[#This Row],[VEHIDCODE]],PROPERTIES[VEHIDCODE],PROPERTIES[EXCLUDE])</f>
        <v>0</v>
      </c>
      <c r="R265" t="str" cm="1">
        <f t="array" ref="R265">_xlfn.XLOOKUP(CONTROL[[#This Row],[VEHIDCODE]],GRAPHICS_PROPERTIES[VEHIDCODE],GRAPHICS_PROPERTIES[TEMPLATE_ID]&amp;GRAPHICS_PROPERTIES[TEMPLATE_AMENDMENT_CODE])</f>
        <v>TPL_01A</v>
      </c>
    </row>
    <row r="266" spans="1:18" x14ac:dyDescent="0.35">
      <c r="A266" s="2" t="s">
        <v>3470</v>
      </c>
      <c r="B266" s="21" t="str">
        <f>_xlfn.TEXTAFTER(CONTROL[[#This Row],[VEHIDCODE]],"_")</f>
        <v>Vossloh_Espana___EMD_334</v>
      </c>
      <c r="C266" t="str" cm="1">
        <f t="array" ref="C2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6" t="str" cm="1">
        <f t="array" ref="D2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6">
        <v>5098</v>
      </c>
      <c r="F266" s="32" t="s">
        <v>3532</v>
      </c>
      <c r="G266" t="s">
        <v>1295</v>
      </c>
      <c r="H266" s="2" t="b">
        <f>AND(CONTROL[[#This Row],[IS_WAGON_OR_COACH]]=TRUE,OR(RIGHT(CONTROL[[#This Row],[VEHIDCODE]],7)="Powered",RIGHT(CONTROL[[#This Row],[VEHIDCODE]],9)="Unpowered"))</f>
        <v>0</v>
      </c>
      <c r="I2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6" t="b">
        <f>ISNUMBER(_xlfn.XMATCH(CONTROL[[#This Row],[VEHIDCODE]],TRACK_TYPES[VEHIDCODE],0))</f>
        <v>1</v>
      </c>
      <c r="K266" t="b">
        <f>ISNUMBER(_xlfn.XMATCH(CONTROL[[#This Row],[VEHIDCODE]],PROPERTIES[VEHIDCODE],0))</f>
        <v>1</v>
      </c>
      <c r="L266" t="b">
        <f>ISNUMBER(_xlfn.XLOOKUP(CONTROL[[#This Row],[VEHIDCODE]],roster!A:A,roster!D:D))</f>
        <v>1</v>
      </c>
      <c r="M266" t="b">
        <f>ISNUMBER(_xlfn.XMATCH(CONTROL[[#This Row],[VEHIDCODE]],GRAPHICS_PROPERTIES[VEHIDCODE],0))</f>
        <v>1</v>
      </c>
      <c r="N266" s="21" t="str">
        <f>"item_"&amp;CONTROL[[#This Row],[VEHIDCODE]]</f>
        <v>item_diesel_Vossloh_Espana___EMD_334</v>
      </c>
      <c r="O266" s="21" t="str">
        <f>"str_"&amp;CONTROL[[#This Row],[VEHIDCODE]]</f>
        <v>str_diesel_Vossloh_Espana___EMD_334</v>
      </c>
      <c r="P266" s="7" t="b">
        <f>_xlfn.XLOOKUP(CONTROL[[#This Row],[VEHIDCODE]],PROPERTIES[VEHIDCODE],PROPERTIES[IS_CONCEPT])="IS_CONCEPT"</f>
        <v>0</v>
      </c>
      <c r="Q266" s="7" t="b">
        <f>_xlfn.XLOOKUP(CONTROL[[#This Row],[VEHIDCODE]],PROPERTIES[VEHIDCODE],PROPERTIES[EXCLUDE])</f>
        <v>0</v>
      </c>
      <c r="R266" t="str" cm="1">
        <f t="array" ref="R266">_xlfn.XLOOKUP(CONTROL[[#This Row],[VEHIDCODE]],GRAPHICS_PROPERTIES[VEHIDCODE],GRAPHICS_PROPERTIES[TEMPLATE_ID]&amp;GRAPHICS_PROPERTIES[TEMPLATE_AMENDMENT_CODE])</f>
        <v>TPL_01A</v>
      </c>
    </row>
    <row r="267" spans="1:18" x14ac:dyDescent="0.35">
      <c r="A267" s="2" t="s">
        <v>2901</v>
      </c>
      <c r="B267" s="21" t="str">
        <f>_xlfn.TEXTAFTER(CONTROL[[#This Row],[VEHIDCODE]],"_")</f>
        <v>INKA_CC300</v>
      </c>
      <c r="C267" t="str" cm="1">
        <f t="array" ref="C2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7" t="str" cm="1">
        <f t="array" ref="D2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7">
        <v>5099</v>
      </c>
      <c r="F267" s="32" t="s">
        <v>2382</v>
      </c>
      <c r="G267" t="s">
        <v>1296</v>
      </c>
      <c r="H267" s="2" t="b">
        <f>AND(CONTROL[[#This Row],[IS_WAGON_OR_COACH]]=TRUE,OR(RIGHT(CONTROL[[#This Row],[VEHIDCODE]],7)="Powered",RIGHT(CONTROL[[#This Row],[VEHIDCODE]],9)="Unpowered"))</f>
        <v>0</v>
      </c>
      <c r="I2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7" t="b">
        <f>ISNUMBER(_xlfn.XMATCH(CONTROL[[#This Row],[VEHIDCODE]],TRACK_TYPES[VEHIDCODE],0))</f>
        <v>1</v>
      </c>
      <c r="K267" t="b">
        <f>ISNUMBER(_xlfn.XMATCH(CONTROL[[#This Row],[VEHIDCODE]],PROPERTIES[VEHIDCODE],0))</f>
        <v>1</v>
      </c>
      <c r="L267" t="b">
        <f>ISNUMBER(_xlfn.XLOOKUP(CONTROL[[#This Row],[VEHIDCODE]],roster!A:A,roster!D:D))</f>
        <v>1</v>
      </c>
      <c r="M267" t="b">
        <f>ISNUMBER(_xlfn.XMATCH(CONTROL[[#This Row],[VEHIDCODE]],GRAPHICS_PROPERTIES[VEHIDCODE],0))</f>
        <v>1</v>
      </c>
      <c r="N267" s="21" t="str">
        <f>"item_"&amp;CONTROL[[#This Row],[VEHIDCODE]]</f>
        <v>item_diesel_INKA_CC300</v>
      </c>
      <c r="O267" s="21" t="str">
        <f>"str_"&amp;CONTROL[[#This Row],[VEHIDCODE]]</f>
        <v>str_diesel_INKA_CC300</v>
      </c>
      <c r="P267" s="7" t="b">
        <f>_xlfn.XLOOKUP(CONTROL[[#This Row],[VEHIDCODE]],PROPERTIES[VEHIDCODE],PROPERTIES[IS_CONCEPT])="IS_CONCEPT"</f>
        <v>0</v>
      </c>
      <c r="Q267" s="7" t="b">
        <f>_xlfn.XLOOKUP(CONTROL[[#This Row],[VEHIDCODE]],PROPERTIES[VEHIDCODE],PROPERTIES[EXCLUDE])</f>
        <v>0</v>
      </c>
      <c r="R267" t="str" cm="1">
        <f t="array" ref="R267">_xlfn.XLOOKUP(CONTROL[[#This Row],[VEHIDCODE]],GRAPHICS_PROPERTIES[VEHIDCODE],GRAPHICS_PROPERTIES[TEMPLATE_ID]&amp;GRAPHICS_PROPERTIES[TEMPLATE_AMENDMENT_CODE])</f>
        <v>TPL_01A</v>
      </c>
    </row>
    <row r="268" spans="1:18" x14ac:dyDescent="0.35">
      <c r="A268" s="2" t="s">
        <v>2902</v>
      </c>
      <c r="B268" s="21" t="str">
        <f>_xlfn.TEXTAFTER(CONTROL[[#This Row],[VEHIDCODE]],"_")</f>
        <v>Great_Southern_Railway_DH501</v>
      </c>
      <c r="C268" t="str" cm="1">
        <f t="array" ref="C2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8" t="str" cm="1">
        <f t="array" ref="D2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8">
        <v>5101</v>
      </c>
      <c r="F268" s="32" t="s">
        <v>373</v>
      </c>
      <c r="G268" t="s">
        <v>1196</v>
      </c>
      <c r="H268" s="2" t="b">
        <f>AND(CONTROL[[#This Row],[IS_WAGON_OR_COACH]]=TRUE,OR(RIGHT(CONTROL[[#This Row],[VEHIDCODE]],7)="Powered",RIGHT(CONTROL[[#This Row],[VEHIDCODE]],9)="Unpowered"))</f>
        <v>0</v>
      </c>
      <c r="I2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8" t="b">
        <f>ISNUMBER(_xlfn.XMATCH(CONTROL[[#This Row],[VEHIDCODE]],TRACK_TYPES[VEHIDCODE],0))</f>
        <v>1</v>
      </c>
      <c r="K268" t="b">
        <f>ISNUMBER(_xlfn.XMATCH(CONTROL[[#This Row],[VEHIDCODE]],PROPERTIES[VEHIDCODE],0))</f>
        <v>1</v>
      </c>
      <c r="L268" t="b">
        <f>ISNUMBER(_xlfn.XLOOKUP(CONTROL[[#This Row],[VEHIDCODE]],roster!A:A,roster!D:D))</f>
        <v>1</v>
      </c>
      <c r="M268" t="b">
        <f>ISNUMBER(_xlfn.XMATCH(CONTROL[[#This Row],[VEHIDCODE]],GRAPHICS_PROPERTIES[VEHIDCODE],0))</f>
        <v>1</v>
      </c>
      <c r="N268" s="21" t="str">
        <f>"item_"&amp;CONTROL[[#This Row],[VEHIDCODE]]</f>
        <v>item_diesel_Great_Southern_Railway_DH501</v>
      </c>
      <c r="O268" s="21" t="str">
        <f>"str_"&amp;CONTROL[[#This Row],[VEHIDCODE]]</f>
        <v>str_diesel_Great_Southern_Railway_DH501</v>
      </c>
      <c r="P268" s="7" t="b">
        <f>_xlfn.XLOOKUP(CONTROL[[#This Row],[VEHIDCODE]],PROPERTIES[VEHIDCODE],PROPERTIES[IS_CONCEPT])="IS_CONCEPT"</f>
        <v>0</v>
      </c>
      <c r="Q268" s="7" t="b">
        <f>_xlfn.XLOOKUP(CONTROL[[#This Row],[VEHIDCODE]],PROPERTIES[VEHIDCODE],PROPERTIES[EXCLUDE])</f>
        <v>0</v>
      </c>
      <c r="R268" t="str" cm="1">
        <f t="array" ref="R268">_xlfn.XLOOKUP(CONTROL[[#This Row],[VEHIDCODE]],GRAPHICS_PROPERTIES[VEHIDCODE],GRAPHICS_PROPERTIES[TEMPLATE_ID]&amp;GRAPHICS_PROPERTIES[TEMPLATE_AMENDMENT_CODE])</f>
        <v>TPL_03C</v>
      </c>
    </row>
    <row r="269" spans="1:18" x14ac:dyDescent="0.35">
      <c r="A269" s="2" t="s">
        <v>2903</v>
      </c>
      <c r="B269" s="21" t="str">
        <f>_xlfn.TEXTAFTER(CONTROL[[#This Row],[VEHIDCODE]],"_")</f>
        <v>EE_VFFLB</v>
      </c>
      <c r="C269" t="str" cm="1">
        <f t="array" ref="C2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9" t="str" cm="1">
        <f t="array" ref="D2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9">
        <v>5102</v>
      </c>
      <c r="F269" s="32" t="s">
        <v>374</v>
      </c>
      <c r="G269" t="s">
        <v>1297</v>
      </c>
      <c r="H269" s="2" t="b">
        <f>AND(CONTROL[[#This Row],[IS_WAGON_OR_COACH]]=TRUE,OR(RIGHT(CONTROL[[#This Row],[VEHIDCODE]],7)="Powered",RIGHT(CONTROL[[#This Row],[VEHIDCODE]],9)="Unpowered"))</f>
        <v>0</v>
      </c>
      <c r="I2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9" t="b">
        <f>ISNUMBER(_xlfn.XMATCH(CONTROL[[#This Row],[VEHIDCODE]],TRACK_TYPES[VEHIDCODE],0))</f>
        <v>1</v>
      </c>
      <c r="K269" t="b">
        <f>ISNUMBER(_xlfn.XMATCH(CONTROL[[#This Row],[VEHIDCODE]],PROPERTIES[VEHIDCODE],0))</f>
        <v>1</v>
      </c>
      <c r="L269" t="b">
        <f>ISNUMBER(_xlfn.XLOOKUP(CONTROL[[#This Row],[VEHIDCODE]],roster!A:A,roster!D:D))</f>
        <v>1</v>
      </c>
      <c r="M269" t="b">
        <f>ISNUMBER(_xlfn.XMATCH(CONTROL[[#This Row],[VEHIDCODE]],GRAPHICS_PROPERTIES[VEHIDCODE],0))</f>
        <v>1</v>
      </c>
      <c r="N269" s="21" t="str">
        <f>"item_"&amp;CONTROL[[#This Row],[VEHIDCODE]]</f>
        <v>item_diesel_EE_VFFLB</v>
      </c>
      <c r="O269" s="21" t="str">
        <f>"str_"&amp;CONTROL[[#This Row],[VEHIDCODE]]</f>
        <v>str_diesel_EE_VFFLB</v>
      </c>
      <c r="P269" s="7" t="b">
        <f>_xlfn.XLOOKUP(CONTROL[[#This Row],[VEHIDCODE]],PROPERTIES[VEHIDCODE],PROPERTIES[IS_CONCEPT])="IS_CONCEPT"</f>
        <v>0</v>
      </c>
      <c r="Q269" s="7" t="b">
        <f>_xlfn.XLOOKUP(CONTROL[[#This Row],[VEHIDCODE]],PROPERTIES[VEHIDCODE],PROPERTIES[EXCLUDE])</f>
        <v>0</v>
      </c>
      <c r="R269" t="str" cm="1">
        <f t="array" ref="R269">_xlfn.XLOOKUP(CONTROL[[#This Row],[VEHIDCODE]],GRAPHICS_PROPERTIES[VEHIDCODE],GRAPHICS_PROPERTIES[TEMPLATE_ID]&amp;GRAPHICS_PROPERTIES[TEMPLATE_AMENDMENT_CODE])</f>
        <v>TPL_01A</v>
      </c>
    </row>
    <row r="270" spans="1:18" x14ac:dyDescent="0.35">
      <c r="A270" s="2" t="s">
        <v>2904</v>
      </c>
      <c r="B270" s="21" t="str">
        <f>_xlfn.TEXTAFTER(CONTROL[[#This Row],[VEHIDCODE]],"_")</f>
        <v>GE_U5B</v>
      </c>
      <c r="C270" t="str" cm="1">
        <f t="array" ref="C2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0" t="str" cm="1">
        <f t="array" ref="D2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0">
        <v>5106</v>
      </c>
      <c r="F270" s="32" t="s">
        <v>2007</v>
      </c>
      <c r="G270" t="s">
        <v>1298</v>
      </c>
      <c r="H270" s="2" t="b">
        <f>AND(CONTROL[[#This Row],[IS_WAGON_OR_COACH]]=TRUE,OR(RIGHT(CONTROL[[#This Row],[VEHIDCODE]],7)="Powered",RIGHT(CONTROL[[#This Row],[VEHIDCODE]],9)="Unpowered"))</f>
        <v>0</v>
      </c>
      <c r="I2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0" t="b">
        <f>ISNUMBER(_xlfn.XMATCH(CONTROL[[#This Row],[VEHIDCODE]],TRACK_TYPES[VEHIDCODE],0))</f>
        <v>1</v>
      </c>
      <c r="K270" t="b">
        <f>ISNUMBER(_xlfn.XMATCH(CONTROL[[#This Row],[VEHIDCODE]],PROPERTIES[VEHIDCODE],0))</f>
        <v>1</v>
      </c>
      <c r="L270" t="b">
        <f>ISNUMBER(_xlfn.XLOOKUP(CONTROL[[#This Row],[VEHIDCODE]],roster!A:A,roster!D:D))</f>
        <v>1</v>
      </c>
      <c r="M270" t="b">
        <f>ISNUMBER(_xlfn.XMATCH(CONTROL[[#This Row],[VEHIDCODE]],GRAPHICS_PROPERTIES[VEHIDCODE],0))</f>
        <v>1</v>
      </c>
      <c r="N270" s="21" t="str">
        <f>"item_"&amp;CONTROL[[#This Row],[VEHIDCODE]]</f>
        <v>item_diesel_GE_U5B</v>
      </c>
      <c r="O270" s="21" t="str">
        <f>"str_"&amp;CONTROL[[#This Row],[VEHIDCODE]]</f>
        <v>str_diesel_GE_U5B</v>
      </c>
      <c r="P270" s="7" t="b">
        <f>_xlfn.XLOOKUP(CONTROL[[#This Row],[VEHIDCODE]],PROPERTIES[VEHIDCODE],PROPERTIES[IS_CONCEPT])="IS_CONCEPT"</f>
        <v>0</v>
      </c>
      <c r="Q270" s="7" t="b">
        <f>_xlfn.XLOOKUP(CONTROL[[#This Row],[VEHIDCODE]],PROPERTIES[VEHIDCODE],PROPERTIES[EXCLUDE])</f>
        <v>0</v>
      </c>
      <c r="R270" t="str" cm="1">
        <f t="array" ref="R270">_xlfn.XLOOKUP(CONTROL[[#This Row],[VEHIDCODE]],GRAPHICS_PROPERTIES[VEHIDCODE],GRAPHICS_PROPERTIES[TEMPLATE_ID]&amp;GRAPHICS_PROPERTIES[TEMPLATE_AMENDMENT_CODE])</f>
        <v>TPL_01A</v>
      </c>
    </row>
    <row r="271" spans="1:18" x14ac:dyDescent="0.35">
      <c r="A271" s="2" t="s">
        <v>2905</v>
      </c>
      <c r="B271" s="21" t="str">
        <f>_xlfn.TEXTAFTER(CONTROL[[#This Row],[VEHIDCODE]],"_")</f>
        <v>ALCO_RSD_39</v>
      </c>
      <c r="C271" t="str" cm="1">
        <f t="array" ref="C2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1" t="str" cm="1">
        <f t="array" ref="D2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1">
        <v>5108</v>
      </c>
      <c r="F271" s="32" t="s">
        <v>2183</v>
      </c>
      <c r="G271" t="s">
        <v>1299</v>
      </c>
      <c r="H271" s="2" t="b">
        <f>AND(CONTROL[[#This Row],[IS_WAGON_OR_COACH]]=TRUE,OR(RIGHT(CONTROL[[#This Row],[VEHIDCODE]],7)="Powered",RIGHT(CONTROL[[#This Row],[VEHIDCODE]],9)="Unpowered"))</f>
        <v>0</v>
      </c>
      <c r="I2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1" t="b">
        <f>ISNUMBER(_xlfn.XMATCH(CONTROL[[#This Row],[VEHIDCODE]],TRACK_TYPES[VEHIDCODE],0))</f>
        <v>1</v>
      </c>
      <c r="K271" t="b">
        <f>ISNUMBER(_xlfn.XMATCH(CONTROL[[#This Row],[VEHIDCODE]],PROPERTIES[VEHIDCODE],0))</f>
        <v>1</v>
      </c>
      <c r="L271" t="b">
        <f>ISNUMBER(_xlfn.XLOOKUP(CONTROL[[#This Row],[VEHIDCODE]],roster!A:A,roster!D:D))</f>
        <v>1</v>
      </c>
      <c r="M271" t="b">
        <f>ISNUMBER(_xlfn.XMATCH(CONTROL[[#This Row],[VEHIDCODE]],GRAPHICS_PROPERTIES[VEHIDCODE],0))</f>
        <v>1</v>
      </c>
      <c r="N271" s="21" t="str">
        <f>"item_"&amp;CONTROL[[#This Row],[VEHIDCODE]]</f>
        <v>item_diesel_ALCO_RSD_39</v>
      </c>
      <c r="O271" s="21" t="str">
        <f>"str_"&amp;CONTROL[[#This Row],[VEHIDCODE]]</f>
        <v>str_diesel_ALCO_RSD_39</v>
      </c>
      <c r="P271" s="7" t="b">
        <f>_xlfn.XLOOKUP(CONTROL[[#This Row],[VEHIDCODE]],PROPERTIES[VEHIDCODE],PROPERTIES[IS_CONCEPT])="IS_CONCEPT"</f>
        <v>0</v>
      </c>
      <c r="Q271" s="7" t="b">
        <f>_xlfn.XLOOKUP(CONTROL[[#This Row],[VEHIDCODE]],PROPERTIES[VEHIDCODE],PROPERTIES[EXCLUDE])</f>
        <v>0</v>
      </c>
      <c r="R271" t="str" cm="1">
        <f t="array" ref="R271">_xlfn.XLOOKUP(CONTROL[[#This Row],[VEHIDCODE]],GRAPHICS_PROPERTIES[VEHIDCODE],GRAPHICS_PROPERTIES[TEMPLATE_ID]&amp;GRAPHICS_PROPERTIES[TEMPLATE_AMENDMENT_CODE])</f>
        <v>TPL_01A</v>
      </c>
    </row>
    <row r="272" spans="1:18" x14ac:dyDescent="0.35">
      <c r="A272" s="2" t="s">
        <v>2906</v>
      </c>
      <c r="B272" s="21" t="str">
        <f>_xlfn.TEXTAFTER(CONTROL[[#This Row],[VEHIDCODE]],"_")</f>
        <v>EMD_DDM45</v>
      </c>
      <c r="C272" t="str" cm="1">
        <f t="array" ref="C2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2" t="str" cm="1">
        <f t="array" ref="D2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2">
        <v>5109</v>
      </c>
      <c r="F272" s="32" t="s">
        <v>2008</v>
      </c>
      <c r="G272" t="s">
        <v>1300</v>
      </c>
      <c r="H272" s="2" t="b">
        <f>AND(CONTROL[[#This Row],[IS_WAGON_OR_COACH]]=TRUE,OR(RIGHT(CONTROL[[#This Row],[VEHIDCODE]],7)="Powered",RIGHT(CONTROL[[#This Row],[VEHIDCODE]],9)="Unpowered"))</f>
        <v>0</v>
      </c>
      <c r="I2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2" t="b">
        <f>ISNUMBER(_xlfn.XMATCH(CONTROL[[#This Row],[VEHIDCODE]],TRACK_TYPES[VEHIDCODE],0))</f>
        <v>1</v>
      </c>
      <c r="K272" t="b">
        <f>ISNUMBER(_xlfn.XMATCH(CONTROL[[#This Row],[VEHIDCODE]],PROPERTIES[VEHIDCODE],0))</f>
        <v>1</v>
      </c>
      <c r="L272" t="b">
        <f>ISNUMBER(_xlfn.XLOOKUP(CONTROL[[#This Row],[VEHIDCODE]],roster!A:A,roster!D:D))</f>
        <v>1</v>
      </c>
      <c r="M272" t="b">
        <f>ISNUMBER(_xlfn.XMATCH(CONTROL[[#This Row],[VEHIDCODE]],GRAPHICS_PROPERTIES[VEHIDCODE],0))</f>
        <v>1</v>
      </c>
      <c r="N272" s="21" t="str">
        <f>"item_"&amp;CONTROL[[#This Row],[VEHIDCODE]]</f>
        <v>item_diesel_EMD_DDM45</v>
      </c>
      <c r="O272" s="21" t="str">
        <f>"str_"&amp;CONTROL[[#This Row],[VEHIDCODE]]</f>
        <v>str_diesel_EMD_DDM45</v>
      </c>
      <c r="P272" s="7" t="b">
        <f>_xlfn.XLOOKUP(CONTROL[[#This Row],[VEHIDCODE]],PROPERTIES[VEHIDCODE],PROPERTIES[IS_CONCEPT])="IS_CONCEPT"</f>
        <v>0</v>
      </c>
      <c r="Q272" s="7" t="b">
        <f>_xlfn.XLOOKUP(CONTROL[[#This Row],[VEHIDCODE]],PROPERTIES[VEHIDCODE],PROPERTIES[EXCLUDE])</f>
        <v>0</v>
      </c>
      <c r="R272" t="str" cm="1">
        <f t="array" ref="R272">_xlfn.XLOOKUP(CONTROL[[#This Row],[VEHIDCODE]],GRAPHICS_PROPERTIES[VEHIDCODE],GRAPHICS_PROPERTIES[TEMPLATE_ID]&amp;GRAPHICS_PROPERTIES[TEMPLATE_AMENDMENT_CODE])</f>
        <v>TPL_01A</v>
      </c>
    </row>
    <row r="273" spans="1:18" x14ac:dyDescent="0.35">
      <c r="A273" s="2" t="s">
        <v>2907</v>
      </c>
      <c r="B273" s="21" t="str">
        <f>_xlfn.TEXTAFTER(CONTROL[[#This Row],[VEHIDCODE]],"_")</f>
        <v>GE_C39_8__FCCA_</v>
      </c>
      <c r="C273" t="str" cm="1">
        <f t="array" ref="C2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3" t="str" cm="1">
        <f t="array" ref="D2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3">
        <v>5113</v>
      </c>
      <c r="F273" s="32" t="s">
        <v>3521</v>
      </c>
      <c r="G273" t="s">
        <v>1301</v>
      </c>
      <c r="H273" s="2" t="b">
        <f>AND(CONTROL[[#This Row],[IS_WAGON_OR_COACH]]=TRUE,OR(RIGHT(CONTROL[[#This Row],[VEHIDCODE]],7)="Powered",RIGHT(CONTROL[[#This Row],[VEHIDCODE]],9)="Unpowered"))</f>
        <v>0</v>
      </c>
      <c r="I2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3" t="b">
        <f>ISNUMBER(_xlfn.XMATCH(CONTROL[[#This Row],[VEHIDCODE]],TRACK_TYPES[VEHIDCODE],0))</f>
        <v>1</v>
      </c>
      <c r="K273" t="b">
        <f>ISNUMBER(_xlfn.XMATCH(CONTROL[[#This Row],[VEHIDCODE]],PROPERTIES[VEHIDCODE],0))</f>
        <v>1</v>
      </c>
      <c r="L273" t="b">
        <f>ISNUMBER(_xlfn.XLOOKUP(CONTROL[[#This Row],[VEHIDCODE]],roster!A:A,roster!D:D))</f>
        <v>1</v>
      </c>
      <c r="M273" t="b">
        <f>ISNUMBER(_xlfn.XMATCH(CONTROL[[#This Row],[VEHIDCODE]],GRAPHICS_PROPERTIES[VEHIDCODE],0))</f>
        <v>1</v>
      </c>
      <c r="N273" s="21" t="str">
        <f>"item_"&amp;CONTROL[[#This Row],[VEHIDCODE]]</f>
        <v>item_diesel_GE_C39_8__FCCA_</v>
      </c>
      <c r="O273" s="21" t="str">
        <f>"str_"&amp;CONTROL[[#This Row],[VEHIDCODE]]</f>
        <v>str_diesel_GE_C39_8__FCCA_</v>
      </c>
      <c r="P273" s="7" t="b">
        <f>_xlfn.XLOOKUP(CONTROL[[#This Row],[VEHIDCODE]],PROPERTIES[VEHIDCODE],PROPERTIES[IS_CONCEPT])="IS_CONCEPT"</f>
        <v>0</v>
      </c>
      <c r="Q273" s="7" t="b">
        <f>_xlfn.XLOOKUP(CONTROL[[#This Row],[VEHIDCODE]],PROPERTIES[VEHIDCODE],PROPERTIES[EXCLUDE])</f>
        <v>0</v>
      </c>
      <c r="R273" t="str" cm="1">
        <f t="array" ref="R273">_xlfn.XLOOKUP(CONTROL[[#This Row],[VEHIDCODE]],GRAPHICS_PROPERTIES[VEHIDCODE],GRAPHICS_PROPERTIES[TEMPLATE_ID]&amp;GRAPHICS_PROPERTIES[TEMPLATE_AMENDMENT_CODE])</f>
        <v>TPL_01A</v>
      </c>
    </row>
    <row r="274" spans="1:18" x14ac:dyDescent="0.35">
      <c r="A274" s="2" t="s">
        <v>2908</v>
      </c>
      <c r="B274" s="21" t="str">
        <f>_xlfn.TEXTAFTER(CONTROL[[#This Row],[VEHIDCODE]],"_")</f>
        <v>SOFSE_319_3</v>
      </c>
      <c r="C274" t="str" cm="1">
        <f t="array" ref="C2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4" t="str" cm="1">
        <f t="array" ref="D2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4">
        <v>5118</v>
      </c>
      <c r="F274" s="32" t="s">
        <v>3610</v>
      </c>
      <c r="G274" t="s">
        <v>1302</v>
      </c>
      <c r="H274" s="2" t="b">
        <f>AND(CONTROL[[#This Row],[IS_WAGON_OR_COACH]]=TRUE,OR(RIGHT(CONTROL[[#This Row],[VEHIDCODE]],7)="Powered",RIGHT(CONTROL[[#This Row],[VEHIDCODE]],9)="Unpowered"))</f>
        <v>0</v>
      </c>
      <c r="I2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4" t="b">
        <f>ISNUMBER(_xlfn.XMATCH(CONTROL[[#This Row],[VEHIDCODE]],TRACK_TYPES[VEHIDCODE],0))</f>
        <v>1</v>
      </c>
      <c r="K274" t="b">
        <f>ISNUMBER(_xlfn.XMATCH(CONTROL[[#This Row],[VEHIDCODE]],PROPERTIES[VEHIDCODE],0))</f>
        <v>1</v>
      </c>
      <c r="L274" t="b">
        <f>ISNUMBER(_xlfn.XLOOKUP(CONTROL[[#This Row],[VEHIDCODE]],roster!A:A,roster!D:D))</f>
        <v>1</v>
      </c>
      <c r="M274" t="b">
        <f>ISNUMBER(_xlfn.XMATCH(CONTROL[[#This Row],[VEHIDCODE]],GRAPHICS_PROPERTIES[VEHIDCODE],0))</f>
        <v>1</v>
      </c>
      <c r="N274" s="21" t="str">
        <f>"item_"&amp;CONTROL[[#This Row],[VEHIDCODE]]</f>
        <v>item_diesel_SOFSE_319_3</v>
      </c>
      <c r="O274" s="21" t="str">
        <f>"str_"&amp;CONTROL[[#This Row],[VEHIDCODE]]</f>
        <v>str_diesel_SOFSE_319_3</v>
      </c>
      <c r="P274" s="7" t="b">
        <f>_xlfn.XLOOKUP(CONTROL[[#This Row],[VEHIDCODE]],PROPERTIES[VEHIDCODE],PROPERTIES[IS_CONCEPT])="IS_CONCEPT"</f>
        <v>0</v>
      </c>
      <c r="Q274" s="7" t="b">
        <f>_xlfn.XLOOKUP(CONTROL[[#This Row],[VEHIDCODE]],PROPERTIES[VEHIDCODE],PROPERTIES[EXCLUDE])</f>
        <v>0</v>
      </c>
      <c r="R274" t="str" cm="1">
        <f t="array" ref="R274">_xlfn.XLOOKUP(CONTROL[[#This Row],[VEHIDCODE]],GRAPHICS_PROPERTIES[VEHIDCODE],GRAPHICS_PROPERTIES[TEMPLATE_ID]&amp;GRAPHICS_PROPERTIES[TEMPLATE_AMENDMENT_CODE])</f>
        <v>TPL_01A</v>
      </c>
    </row>
    <row r="275" spans="1:18" x14ac:dyDescent="0.35">
      <c r="A275" s="2" t="s">
        <v>2909</v>
      </c>
      <c r="B275" s="21" t="str">
        <f>_xlfn.TEXTAFTER(CONTROL[[#This Row],[VEHIDCODE]],"_")</f>
        <v>CNR_CKD8G</v>
      </c>
      <c r="C275" t="str" cm="1">
        <f t="array" ref="C2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5" t="str" cm="1">
        <f t="array" ref="D2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5">
        <v>5120</v>
      </c>
      <c r="F275" s="32" t="s">
        <v>2029</v>
      </c>
      <c r="G275" t="s">
        <v>1303</v>
      </c>
      <c r="H275" s="2" t="b">
        <f>AND(CONTROL[[#This Row],[IS_WAGON_OR_COACH]]=TRUE,OR(RIGHT(CONTROL[[#This Row],[VEHIDCODE]],7)="Powered",RIGHT(CONTROL[[#This Row],[VEHIDCODE]],9)="Unpowered"))</f>
        <v>0</v>
      </c>
      <c r="I2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5" t="b">
        <f>ISNUMBER(_xlfn.XMATCH(CONTROL[[#This Row],[VEHIDCODE]],TRACK_TYPES[VEHIDCODE],0))</f>
        <v>1</v>
      </c>
      <c r="K275" t="b">
        <f>ISNUMBER(_xlfn.XMATCH(CONTROL[[#This Row],[VEHIDCODE]],PROPERTIES[VEHIDCODE],0))</f>
        <v>1</v>
      </c>
      <c r="L275" t="b">
        <f>ISNUMBER(_xlfn.XLOOKUP(CONTROL[[#This Row],[VEHIDCODE]],roster!A:A,roster!D:D))</f>
        <v>1</v>
      </c>
      <c r="M275" t="b">
        <f>ISNUMBER(_xlfn.XMATCH(CONTROL[[#This Row],[VEHIDCODE]],GRAPHICS_PROPERTIES[VEHIDCODE],0))</f>
        <v>1</v>
      </c>
      <c r="N275" s="21" t="str">
        <f>"item_"&amp;CONTROL[[#This Row],[VEHIDCODE]]</f>
        <v>item_diesel_CNR_CKD8G</v>
      </c>
      <c r="O275" s="21" t="str">
        <f>"str_"&amp;CONTROL[[#This Row],[VEHIDCODE]]</f>
        <v>str_diesel_CNR_CKD8G</v>
      </c>
      <c r="P275" s="7" t="b">
        <f>_xlfn.XLOOKUP(CONTROL[[#This Row],[VEHIDCODE]],PROPERTIES[VEHIDCODE],PROPERTIES[IS_CONCEPT])="IS_CONCEPT"</f>
        <v>0</v>
      </c>
      <c r="Q275" s="7" t="b">
        <f>_xlfn.XLOOKUP(CONTROL[[#This Row],[VEHIDCODE]],PROPERTIES[VEHIDCODE],PROPERTIES[EXCLUDE])</f>
        <v>0</v>
      </c>
      <c r="R275" t="str" cm="1">
        <f t="array" ref="R275">_xlfn.XLOOKUP(CONTROL[[#This Row],[VEHIDCODE]],GRAPHICS_PROPERTIES[VEHIDCODE],GRAPHICS_PROPERTIES[TEMPLATE_ID]&amp;GRAPHICS_PROPERTIES[TEMPLATE_AMENDMENT_CODE])</f>
        <v>TPL_01A</v>
      </c>
    </row>
    <row r="276" spans="1:18" x14ac:dyDescent="0.35">
      <c r="A276" s="2" t="s">
        <v>2910</v>
      </c>
      <c r="B276" s="21" t="str">
        <f>_xlfn.TEXTAFTER(CONTROL[[#This Row],[VEHIDCODE]],"_")</f>
        <v>AEG_SAR_DS</v>
      </c>
      <c r="C276" t="str" cm="1">
        <f t="array" ref="C2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6" t="str" cm="1">
        <f t="array" ref="D2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6">
        <v>5103</v>
      </c>
      <c r="F276" s="32" t="s">
        <v>2184</v>
      </c>
      <c r="G276" t="s">
        <v>1304</v>
      </c>
      <c r="H276" s="2" t="b">
        <f>AND(CONTROL[[#This Row],[IS_WAGON_OR_COACH]]=TRUE,OR(RIGHT(CONTROL[[#This Row],[VEHIDCODE]],7)="Powered",RIGHT(CONTROL[[#This Row],[VEHIDCODE]],9)="Unpowered"))</f>
        <v>0</v>
      </c>
      <c r="I2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6" t="b">
        <f>ISNUMBER(_xlfn.XMATCH(CONTROL[[#This Row],[VEHIDCODE]],TRACK_TYPES[VEHIDCODE],0))</f>
        <v>1</v>
      </c>
      <c r="K276" t="b">
        <f>ISNUMBER(_xlfn.XMATCH(CONTROL[[#This Row],[VEHIDCODE]],PROPERTIES[VEHIDCODE],0))</f>
        <v>1</v>
      </c>
      <c r="L276" t="b">
        <f>ISNUMBER(_xlfn.XLOOKUP(CONTROL[[#This Row],[VEHIDCODE]],roster!A:A,roster!D:D))</f>
        <v>1</v>
      </c>
      <c r="M276" t="b">
        <f>ISNUMBER(_xlfn.XMATCH(CONTROL[[#This Row],[VEHIDCODE]],GRAPHICS_PROPERTIES[VEHIDCODE],0))</f>
        <v>1</v>
      </c>
      <c r="N276" s="21" t="str">
        <f>"item_"&amp;CONTROL[[#This Row],[VEHIDCODE]]</f>
        <v>item_diesel_AEG_SAR_DS</v>
      </c>
      <c r="O276" s="21" t="str">
        <f>"str_"&amp;CONTROL[[#This Row],[VEHIDCODE]]</f>
        <v>str_diesel_AEG_SAR_DS</v>
      </c>
      <c r="P276" s="7" t="b">
        <f>_xlfn.XLOOKUP(CONTROL[[#This Row],[VEHIDCODE]],PROPERTIES[VEHIDCODE],PROPERTIES[IS_CONCEPT])="IS_CONCEPT"</f>
        <v>0</v>
      </c>
      <c r="Q276" s="7" t="b">
        <f>_xlfn.XLOOKUP(CONTROL[[#This Row],[VEHIDCODE]],PROPERTIES[VEHIDCODE],PROPERTIES[EXCLUDE])</f>
        <v>0</v>
      </c>
      <c r="R276" t="str" cm="1">
        <f t="array" ref="R276">_xlfn.XLOOKUP(CONTROL[[#This Row],[VEHIDCODE]],GRAPHICS_PROPERTIES[VEHIDCODE],GRAPHICS_PROPERTIES[TEMPLATE_ID]&amp;GRAPHICS_PROPERTIES[TEMPLATE_AMENDMENT_CODE])</f>
        <v>TPL_01A</v>
      </c>
    </row>
    <row r="277" spans="1:18" x14ac:dyDescent="0.35">
      <c r="A277" s="2" t="s">
        <v>2911</v>
      </c>
      <c r="B277" s="21" t="str">
        <f>_xlfn.TEXTAFTER(CONTROL[[#This Row],[VEHIDCODE]],"_")</f>
        <v>GM_GT_26_W__040DG_</v>
      </c>
      <c r="C277" t="str" cm="1">
        <f t="array" ref="C2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7" t="str" cm="1">
        <f t="array" ref="D2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7">
        <v>5104</v>
      </c>
      <c r="F277" s="32" t="s">
        <v>3515</v>
      </c>
      <c r="G277" t="s">
        <v>3514</v>
      </c>
      <c r="H277" s="2" t="b">
        <f>AND(CONTROL[[#This Row],[IS_WAGON_OR_COACH]]=TRUE,OR(RIGHT(CONTROL[[#This Row],[VEHIDCODE]],7)="Powered",RIGHT(CONTROL[[#This Row],[VEHIDCODE]],9)="Unpowered"))</f>
        <v>0</v>
      </c>
      <c r="I2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7" t="b">
        <f>ISNUMBER(_xlfn.XMATCH(CONTROL[[#This Row],[VEHIDCODE]],TRACK_TYPES[VEHIDCODE],0))</f>
        <v>1</v>
      </c>
      <c r="K277" t="b">
        <f>ISNUMBER(_xlfn.XMATCH(CONTROL[[#This Row],[VEHIDCODE]],PROPERTIES[VEHIDCODE],0))</f>
        <v>1</v>
      </c>
      <c r="L277" t="b">
        <f>ISNUMBER(_xlfn.XLOOKUP(CONTROL[[#This Row],[VEHIDCODE]],roster!A:A,roster!D:D))</f>
        <v>1</v>
      </c>
      <c r="M277" t="b">
        <f>ISNUMBER(_xlfn.XMATCH(CONTROL[[#This Row],[VEHIDCODE]],GRAPHICS_PROPERTIES[VEHIDCODE],0))</f>
        <v>1</v>
      </c>
      <c r="N277" s="21" t="str">
        <f>"item_"&amp;CONTROL[[#This Row],[VEHIDCODE]]</f>
        <v>item_diesel_GM_GT_26_W__040DG_</v>
      </c>
      <c r="O277" s="21" t="str">
        <f>"str_"&amp;CONTROL[[#This Row],[VEHIDCODE]]</f>
        <v>str_diesel_GM_GT_26_W__040DG_</v>
      </c>
      <c r="P277" s="7" t="b">
        <f>_xlfn.XLOOKUP(CONTROL[[#This Row],[VEHIDCODE]],PROPERTIES[VEHIDCODE],PROPERTIES[IS_CONCEPT])="IS_CONCEPT"</f>
        <v>0</v>
      </c>
      <c r="Q277" s="7" t="b">
        <f>_xlfn.XLOOKUP(CONTROL[[#This Row],[VEHIDCODE]],PROPERTIES[VEHIDCODE],PROPERTIES[EXCLUDE])</f>
        <v>0</v>
      </c>
      <c r="R277" t="str" cm="1">
        <f t="array" ref="R277">_xlfn.XLOOKUP(CONTROL[[#This Row],[VEHIDCODE]],GRAPHICS_PROPERTIES[VEHIDCODE],GRAPHICS_PROPERTIES[TEMPLATE_ID]&amp;GRAPHICS_PROPERTIES[TEMPLATE_AMENDMENT_CODE])</f>
        <v>TPL_01A</v>
      </c>
    </row>
    <row r="278" spans="1:18" x14ac:dyDescent="0.35">
      <c r="A278" s="2" t="s">
        <v>2912</v>
      </c>
      <c r="B278" s="21" t="str">
        <f>_xlfn.TEXTAFTER(CONTROL[[#This Row],[VEHIDCODE]],"_")</f>
        <v>EMD_GL8__040DF_</v>
      </c>
      <c r="C278" t="str" cm="1">
        <f t="array" ref="C2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8" t="str" cm="1">
        <f t="array" ref="D2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8">
        <v>5105</v>
      </c>
      <c r="F278" s="32" t="s">
        <v>2185</v>
      </c>
      <c r="G278" t="s">
        <v>1306</v>
      </c>
      <c r="H278" s="2" t="b">
        <f>AND(CONTROL[[#This Row],[IS_WAGON_OR_COACH]]=TRUE,OR(RIGHT(CONTROL[[#This Row],[VEHIDCODE]],7)="Powered",RIGHT(CONTROL[[#This Row],[VEHIDCODE]],9)="Unpowered"))</f>
        <v>0</v>
      </c>
      <c r="I2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8" t="b">
        <f>ISNUMBER(_xlfn.XMATCH(CONTROL[[#This Row],[VEHIDCODE]],TRACK_TYPES[VEHIDCODE],0))</f>
        <v>1</v>
      </c>
      <c r="K278" t="b">
        <f>ISNUMBER(_xlfn.XMATCH(CONTROL[[#This Row],[VEHIDCODE]],PROPERTIES[VEHIDCODE],0))</f>
        <v>1</v>
      </c>
      <c r="L278" t="b">
        <f>ISNUMBER(_xlfn.XLOOKUP(CONTROL[[#This Row],[VEHIDCODE]],roster!A:A,roster!D:D))</f>
        <v>1</v>
      </c>
      <c r="M278" t="b">
        <f>ISNUMBER(_xlfn.XMATCH(CONTROL[[#This Row],[VEHIDCODE]],GRAPHICS_PROPERTIES[VEHIDCODE],0))</f>
        <v>1</v>
      </c>
      <c r="N278" s="21" t="str">
        <f>"item_"&amp;CONTROL[[#This Row],[VEHIDCODE]]</f>
        <v>item_diesel_EMD_GL8__040DF_</v>
      </c>
      <c r="O278" s="21" t="str">
        <f>"str_"&amp;CONTROL[[#This Row],[VEHIDCODE]]</f>
        <v>str_diesel_EMD_GL8__040DF_</v>
      </c>
      <c r="P278" s="7" t="b">
        <f>_xlfn.XLOOKUP(CONTROL[[#This Row],[VEHIDCODE]],PROPERTIES[VEHIDCODE],PROPERTIES[IS_CONCEPT])="IS_CONCEPT"</f>
        <v>0</v>
      </c>
      <c r="Q278" s="7" t="b">
        <f>_xlfn.XLOOKUP(CONTROL[[#This Row],[VEHIDCODE]],PROPERTIES[VEHIDCODE],PROPERTIES[EXCLUDE])</f>
        <v>1</v>
      </c>
      <c r="R278" t="str" cm="1">
        <f t="array" ref="R278">_xlfn.XLOOKUP(CONTROL[[#This Row],[VEHIDCODE]],GRAPHICS_PROPERTIES[VEHIDCODE],GRAPHICS_PROPERTIES[TEMPLATE_ID]&amp;GRAPHICS_PROPERTIES[TEMPLATE_AMENDMENT_CODE])</f>
        <v>TPL_01A</v>
      </c>
    </row>
    <row r="279" spans="1:18" x14ac:dyDescent="0.35">
      <c r="A279" s="2" t="s">
        <v>2913</v>
      </c>
      <c r="B279" s="21" t="str">
        <f>_xlfn.TEXTAFTER(CONTROL[[#This Row],[VEHIDCODE]],"_")</f>
        <v>LTZ_TE114E</v>
      </c>
      <c r="C279" t="str" cm="1">
        <f t="array" ref="C2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9" t="str" cm="1">
        <f t="array" ref="D2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9">
        <v>5110</v>
      </c>
      <c r="F279" s="32" t="s">
        <v>2009</v>
      </c>
      <c r="G279" t="s">
        <v>1307</v>
      </c>
      <c r="H279" s="2" t="b">
        <f>AND(CONTROL[[#This Row],[IS_WAGON_OR_COACH]]=TRUE,OR(RIGHT(CONTROL[[#This Row],[VEHIDCODE]],7)="Powered",RIGHT(CONTROL[[#This Row],[VEHIDCODE]],9)="Unpowered"))</f>
        <v>0</v>
      </c>
      <c r="I2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9" t="b">
        <f>ISNUMBER(_xlfn.XMATCH(CONTROL[[#This Row],[VEHIDCODE]],TRACK_TYPES[VEHIDCODE],0))</f>
        <v>1</v>
      </c>
      <c r="K279" t="b">
        <f>ISNUMBER(_xlfn.XMATCH(CONTROL[[#This Row],[VEHIDCODE]],PROPERTIES[VEHIDCODE],0))</f>
        <v>1</v>
      </c>
      <c r="L279" t="b">
        <f>ISNUMBER(_xlfn.XLOOKUP(CONTROL[[#This Row],[VEHIDCODE]],roster!A:A,roster!D:D))</f>
        <v>1</v>
      </c>
      <c r="M279" t="b">
        <f>ISNUMBER(_xlfn.XMATCH(CONTROL[[#This Row],[VEHIDCODE]],GRAPHICS_PROPERTIES[VEHIDCODE],0))</f>
        <v>1</v>
      </c>
      <c r="N279" s="21" t="str">
        <f>"item_"&amp;CONTROL[[#This Row],[VEHIDCODE]]</f>
        <v>item_diesel_LTZ_TE114E</v>
      </c>
      <c r="O279" s="21" t="str">
        <f>"str_"&amp;CONTROL[[#This Row],[VEHIDCODE]]</f>
        <v>str_diesel_LTZ_TE114E</v>
      </c>
      <c r="P279" s="7" t="b">
        <f>_xlfn.XLOOKUP(CONTROL[[#This Row],[VEHIDCODE]],PROPERTIES[VEHIDCODE],PROPERTIES[IS_CONCEPT])="IS_CONCEPT"</f>
        <v>0</v>
      </c>
      <c r="Q279" s="7" t="b">
        <f>_xlfn.XLOOKUP(CONTROL[[#This Row],[VEHIDCODE]],PROPERTIES[VEHIDCODE],PROPERTIES[EXCLUDE])</f>
        <v>0</v>
      </c>
      <c r="R279" t="str" cm="1">
        <f t="array" ref="R279">_xlfn.XLOOKUP(CONTROL[[#This Row],[VEHIDCODE]],GRAPHICS_PROPERTIES[VEHIDCODE],GRAPHICS_PROPERTIES[TEMPLATE_ID]&amp;GRAPHICS_PROPERTIES[TEMPLATE_AMENDMENT_CODE])</f>
        <v>TPL_01A</v>
      </c>
    </row>
    <row r="280" spans="1:18" x14ac:dyDescent="0.35">
      <c r="A280" s="2" t="s">
        <v>2914</v>
      </c>
      <c r="B280" s="21" t="str">
        <f>_xlfn.TEXTAFTER(CONTROL[[#This Row],[VEHIDCODE]],"_")</f>
        <v>GM_GL_18_B__040DJ_</v>
      </c>
      <c r="C280" t="str" cm="1">
        <f t="array" ref="C2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0" t="str" cm="1">
        <f t="array" ref="D2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0">
        <v>5111</v>
      </c>
      <c r="F280" s="32" t="s">
        <v>3520</v>
      </c>
      <c r="G280" t="s">
        <v>3519</v>
      </c>
      <c r="H280" s="2" t="b">
        <f>AND(CONTROL[[#This Row],[IS_WAGON_OR_COACH]]=TRUE,OR(RIGHT(CONTROL[[#This Row],[VEHIDCODE]],7)="Powered",RIGHT(CONTROL[[#This Row],[VEHIDCODE]],9)="Unpowered"))</f>
        <v>0</v>
      </c>
      <c r="I2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0" t="b">
        <f>ISNUMBER(_xlfn.XMATCH(CONTROL[[#This Row],[VEHIDCODE]],TRACK_TYPES[VEHIDCODE],0))</f>
        <v>1</v>
      </c>
      <c r="K280" t="b">
        <f>ISNUMBER(_xlfn.XMATCH(CONTROL[[#This Row],[VEHIDCODE]],PROPERTIES[VEHIDCODE],0))</f>
        <v>1</v>
      </c>
      <c r="L280" t="b">
        <f>ISNUMBER(_xlfn.XLOOKUP(CONTROL[[#This Row],[VEHIDCODE]],roster!A:A,roster!D:D))</f>
        <v>1</v>
      </c>
      <c r="M280" t="b">
        <f>ISNUMBER(_xlfn.XMATCH(CONTROL[[#This Row],[VEHIDCODE]],GRAPHICS_PROPERTIES[VEHIDCODE],0))</f>
        <v>1</v>
      </c>
      <c r="N280" s="21" t="str">
        <f>"item_"&amp;CONTROL[[#This Row],[VEHIDCODE]]</f>
        <v>item_diesel_GM_GL_18_B__040DJ_</v>
      </c>
      <c r="O280" s="21" t="str">
        <f>"str_"&amp;CONTROL[[#This Row],[VEHIDCODE]]</f>
        <v>str_diesel_GM_GL_18_B__040DJ_</v>
      </c>
      <c r="P280" s="7" t="b">
        <f>_xlfn.XLOOKUP(CONTROL[[#This Row],[VEHIDCODE]],PROPERTIES[VEHIDCODE],PROPERTIES[IS_CONCEPT])="IS_CONCEPT"</f>
        <v>0</v>
      </c>
      <c r="Q280" s="7" t="b">
        <f>_xlfn.XLOOKUP(CONTROL[[#This Row],[VEHIDCODE]],PROPERTIES[VEHIDCODE],PROPERTIES[EXCLUDE])</f>
        <v>0</v>
      </c>
      <c r="R280" t="str" cm="1">
        <f t="array" ref="R280">_xlfn.XLOOKUP(CONTROL[[#This Row],[VEHIDCODE]],GRAPHICS_PROPERTIES[VEHIDCODE],GRAPHICS_PROPERTIES[TEMPLATE_ID]&amp;GRAPHICS_PROPERTIES[TEMPLATE_AMENDMENT_CODE])</f>
        <v>TPL_01A</v>
      </c>
    </row>
    <row r="281" spans="1:18" x14ac:dyDescent="0.35">
      <c r="A281" s="2" t="s">
        <v>2915</v>
      </c>
      <c r="B281" s="21" t="str">
        <f>_xlfn.TEXTAFTER(CONTROL[[#This Row],[VEHIDCODE]],"_")</f>
        <v>Alsthom_CC_72000</v>
      </c>
      <c r="C281" t="str" cm="1">
        <f t="array" ref="C2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1" t="str" cm="1">
        <f t="array" ref="D2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1">
        <v>5116</v>
      </c>
      <c r="F281" s="32" t="s">
        <v>2546</v>
      </c>
      <c r="G281" t="s">
        <v>1308</v>
      </c>
      <c r="H281" s="2" t="b">
        <f>AND(CONTROL[[#This Row],[IS_WAGON_OR_COACH]]=TRUE,OR(RIGHT(CONTROL[[#This Row],[VEHIDCODE]],7)="Powered",RIGHT(CONTROL[[#This Row],[VEHIDCODE]],9)="Unpowered"))</f>
        <v>0</v>
      </c>
      <c r="I2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1" t="b">
        <f>ISNUMBER(_xlfn.XMATCH(CONTROL[[#This Row],[VEHIDCODE]],TRACK_TYPES[VEHIDCODE],0))</f>
        <v>1</v>
      </c>
      <c r="K281" t="b">
        <f>ISNUMBER(_xlfn.XMATCH(CONTROL[[#This Row],[VEHIDCODE]],PROPERTIES[VEHIDCODE],0))</f>
        <v>1</v>
      </c>
      <c r="L281" t="b">
        <f>ISNUMBER(_xlfn.XLOOKUP(CONTROL[[#This Row],[VEHIDCODE]],roster!A:A,roster!D:D))</f>
        <v>1</v>
      </c>
      <c r="M281" t="b">
        <f>ISNUMBER(_xlfn.XMATCH(CONTROL[[#This Row],[VEHIDCODE]],GRAPHICS_PROPERTIES[VEHIDCODE],0))</f>
        <v>1</v>
      </c>
      <c r="N281" s="21" t="str">
        <f>"item_"&amp;CONTROL[[#This Row],[VEHIDCODE]]</f>
        <v>item_diesel_Alsthom_CC_72000</v>
      </c>
      <c r="O281" s="21" t="str">
        <f>"str_"&amp;CONTROL[[#This Row],[VEHIDCODE]]</f>
        <v>str_diesel_Alsthom_CC_72000</v>
      </c>
      <c r="P281" s="7" t="b">
        <f>_xlfn.XLOOKUP(CONTROL[[#This Row],[VEHIDCODE]],PROPERTIES[VEHIDCODE],PROPERTIES[IS_CONCEPT])="IS_CONCEPT"</f>
        <v>0</v>
      </c>
      <c r="Q281" s="7" t="b">
        <f>_xlfn.XLOOKUP(CONTROL[[#This Row],[VEHIDCODE]],PROPERTIES[VEHIDCODE],PROPERTIES[EXCLUDE])</f>
        <v>0</v>
      </c>
      <c r="R281" t="str" cm="1">
        <f t="array" ref="R281">_xlfn.XLOOKUP(CONTROL[[#This Row],[VEHIDCODE]],GRAPHICS_PROPERTIES[VEHIDCODE],GRAPHICS_PROPERTIES[TEMPLATE_ID]&amp;GRAPHICS_PROPERTIES[TEMPLATE_AMENDMENT_CODE])</f>
        <v>TPL_01A</v>
      </c>
    </row>
    <row r="282" spans="1:18" x14ac:dyDescent="0.35">
      <c r="A282" s="2" t="s">
        <v>2916</v>
      </c>
      <c r="B282" s="21" t="str">
        <f>_xlfn.TEXTAFTER(CONTROL[[#This Row],[VEHIDCODE]],"_")</f>
        <v>LTZ_TEP10L</v>
      </c>
      <c r="C282" t="str" cm="1">
        <f t="array" ref="C2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2" t="str" cm="1">
        <f t="array" ref="D2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2">
        <v>5107</v>
      </c>
      <c r="F282" s="32" t="s">
        <v>2010</v>
      </c>
      <c r="G282" t="s">
        <v>1309</v>
      </c>
      <c r="H282" s="2" t="b">
        <f>AND(CONTROL[[#This Row],[IS_WAGON_OR_COACH]]=TRUE,OR(RIGHT(CONTROL[[#This Row],[VEHIDCODE]],7)="Powered",RIGHT(CONTROL[[#This Row],[VEHIDCODE]],9)="Unpowered"))</f>
        <v>0</v>
      </c>
      <c r="I2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2" t="b">
        <f>ISNUMBER(_xlfn.XMATCH(CONTROL[[#This Row],[VEHIDCODE]],TRACK_TYPES[VEHIDCODE],0))</f>
        <v>1</v>
      </c>
      <c r="K282" t="b">
        <f>ISNUMBER(_xlfn.XMATCH(CONTROL[[#This Row],[VEHIDCODE]],PROPERTIES[VEHIDCODE],0))</f>
        <v>1</v>
      </c>
      <c r="L282" t="b">
        <f>ISNUMBER(_xlfn.XLOOKUP(CONTROL[[#This Row],[VEHIDCODE]],roster!A:A,roster!D:D))</f>
        <v>1</v>
      </c>
      <c r="M282" t="b">
        <f>ISNUMBER(_xlfn.XMATCH(CONTROL[[#This Row],[VEHIDCODE]],GRAPHICS_PROPERTIES[VEHIDCODE],0))</f>
        <v>1</v>
      </c>
      <c r="N282" s="21" t="str">
        <f>"item_"&amp;CONTROL[[#This Row],[VEHIDCODE]]</f>
        <v>item_diesel_LTZ_TEP10L</v>
      </c>
      <c r="O282" s="21" t="str">
        <f>"str_"&amp;CONTROL[[#This Row],[VEHIDCODE]]</f>
        <v>str_diesel_LTZ_TEP10L</v>
      </c>
      <c r="P282" s="7" t="b">
        <f>_xlfn.XLOOKUP(CONTROL[[#This Row],[VEHIDCODE]],PROPERTIES[VEHIDCODE],PROPERTIES[IS_CONCEPT])="IS_CONCEPT"</f>
        <v>0</v>
      </c>
      <c r="Q282" s="7" t="b">
        <f>_xlfn.XLOOKUP(CONTROL[[#This Row],[VEHIDCODE]],PROPERTIES[VEHIDCODE],PROPERTIES[EXCLUDE])</f>
        <v>0</v>
      </c>
      <c r="R282" t="str" cm="1">
        <f t="array" ref="R282">_xlfn.XLOOKUP(CONTROL[[#This Row],[VEHIDCODE]],GRAPHICS_PROPERTIES[VEHIDCODE],GRAPHICS_PROPERTIES[TEMPLATE_ID]&amp;GRAPHICS_PROPERTIES[TEMPLATE_AMENDMENT_CODE])</f>
        <v>TPL_01A</v>
      </c>
    </row>
    <row r="283" spans="1:18" x14ac:dyDescent="0.35">
      <c r="A283" s="2" t="s">
        <v>2917</v>
      </c>
      <c r="B283" s="21" t="str">
        <f>_xlfn.TEXTAFTER(CONTROL[[#This Row],[VEHIDCODE]],"_")</f>
        <v>LTZ_2TE10M</v>
      </c>
      <c r="C283" t="str" cm="1">
        <f t="array" ref="C2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3" t="str" cm="1">
        <f t="array" ref="D2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3">
        <v>5112</v>
      </c>
      <c r="F283" s="32" t="s">
        <v>2011</v>
      </c>
      <c r="G283" t="s">
        <v>1310</v>
      </c>
      <c r="H283" s="2" t="b">
        <f>AND(CONTROL[[#This Row],[IS_WAGON_OR_COACH]]=TRUE,OR(RIGHT(CONTROL[[#This Row],[VEHIDCODE]],7)="Powered",RIGHT(CONTROL[[#This Row],[VEHIDCODE]],9)="Unpowered"))</f>
        <v>0</v>
      </c>
      <c r="I2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3" t="b">
        <f>ISNUMBER(_xlfn.XMATCH(CONTROL[[#This Row],[VEHIDCODE]],TRACK_TYPES[VEHIDCODE],0))</f>
        <v>1</v>
      </c>
      <c r="K283" t="b">
        <f>ISNUMBER(_xlfn.XMATCH(CONTROL[[#This Row],[VEHIDCODE]],PROPERTIES[VEHIDCODE],0))</f>
        <v>1</v>
      </c>
      <c r="L283" t="b">
        <f>ISNUMBER(_xlfn.XLOOKUP(CONTROL[[#This Row],[VEHIDCODE]],roster!A:A,roster!D:D))</f>
        <v>1</v>
      </c>
      <c r="M283" t="b">
        <f>ISNUMBER(_xlfn.XMATCH(CONTROL[[#This Row],[VEHIDCODE]],GRAPHICS_PROPERTIES[VEHIDCODE],0))</f>
        <v>1</v>
      </c>
      <c r="N283" s="21" t="str">
        <f>"item_"&amp;CONTROL[[#This Row],[VEHIDCODE]]</f>
        <v>item_diesel_LTZ_2TE10M</v>
      </c>
      <c r="O283" s="21" t="str">
        <f>"str_"&amp;CONTROL[[#This Row],[VEHIDCODE]]</f>
        <v>str_diesel_LTZ_2TE10M</v>
      </c>
      <c r="P283" s="7" t="b">
        <f>_xlfn.XLOOKUP(CONTROL[[#This Row],[VEHIDCODE]],PROPERTIES[VEHIDCODE],PROPERTIES[IS_CONCEPT])="IS_CONCEPT"</f>
        <v>0</v>
      </c>
      <c r="Q283" s="7" t="b">
        <f>_xlfn.XLOOKUP(CONTROL[[#This Row],[VEHIDCODE]],PROPERTIES[VEHIDCODE],PROPERTIES[EXCLUDE])</f>
        <v>1</v>
      </c>
      <c r="R283" t="str" cm="1">
        <f t="array" ref="R283">_xlfn.XLOOKUP(CONTROL[[#This Row],[VEHIDCODE]],GRAPHICS_PROPERTIES[VEHIDCODE],GRAPHICS_PROPERTIES[TEMPLATE_ID]&amp;GRAPHICS_PROPERTIES[TEMPLATE_AMENDMENT_CODE])</f>
        <v>TPL_03D</v>
      </c>
    </row>
    <row r="284" spans="1:18" x14ac:dyDescent="0.35">
      <c r="A284" s="2" t="s">
        <v>2918</v>
      </c>
      <c r="B284" s="21" t="str">
        <f>_xlfn.TEXTAFTER(CONTROL[[#This Row],[VEHIDCODE]],"_")</f>
        <v>FAUR_LDE1300</v>
      </c>
      <c r="C284" t="str" cm="1">
        <f t="array" ref="C2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4" t="str" cm="1">
        <f t="array" ref="D2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4">
        <v>5114</v>
      </c>
      <c r="F284" s="32" t="s">
        <v>1969</v>
      </c>
      <c r="G284" t="s">
        <v>1311</v>
      </c>
      <c r="H284" s="2" t="b">
        <f>AND(CONTROL[[#This Row],[IS_WAGON_OR_COACH]]=TRUE,OR(RIGHT(CONTROL[[#This Row],[VEHIDCODE]],7)="Powered",RIGHT(CONTROL[[#This Row],[VEHIDCODE]],9)="Unpowered"))</f>
        <v>0</v>
      </c>
      <c r="I2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4" t="b">
        <f>ISNUMBER(_xlfn.XMATCH(CONTROL[[#This Row],[VEHIDCODE]],TRACK_TYPES[VEHIDCODE],0))</f>
        <v>1</v>
      </c>
      <c r="K284" t="b">
        <f>ISNUMBER(_xlfn.XMATCH(CONTROL[[#This Row],[VEHIDCODE]],PROPERTIES[VEHIDCODE],0))</f>
        <v>1</v>
      </c>
      <c r="L284" t="b">
        <f>ISNUMBER(_xlfn.XLOOKUP(CONTROL[[#This Row],[VEHIDCODE]],roster!A:A,roster!D:D))</f>
        <v>1</v>
      </c>
      <c r="M284" t="b">
        <f>ISNUMBER(_xlfn.XMATCH(CONTROL[[#This Row],[VEHIDCODE]],GRAPHICS_PROPERTIES[VEHIDCODE],0))</f>
        <v>1</v>
      </c>
      <c r="N284" s="21" t="str">
        <f>"item_"&amp;CONTROL[[#This Row],[VEHIDCODE]]</f>
        <v>item_diesel_FAUR_LDE1300</v>
      </c>
      <c r="O284" s="21" t="str">
        <f>"str_"&amp;CONTROL[[#This Row],[VEHIDCODE]]</f>
        <v>str_diesel_FAUR_LDE1300</v>
      </c>
      <c r="P284" s="7" t="b">
        <f>_xlfn.XLOOKUP(CONTROL[[#This Row],[VEHIDCODE]],PROPERTIES[VEHIDCODE],PROPERTIES[IS_CONCEPT])="IS_CONCEPT"</f>
        <v>0</v>
      </c>
      <c r="Q284" s="7" t="b">
        <f>_xlfn.XLOOKUP(CONTROL[[#This Row],[VEHIDCODE]],PROPERTIES[VEHIDCODE],PROPERTIES[EXCLUDE])</f>
        <v>0</v>
      </c>
      <c r="R284" t="str" cm="1">
        <f t="array" ref="R284">_xlfn.XLOOKUP(CONTROL[[#This Row],[VEHIDCODE]],GRAPHICS_PROPERTIES[VEHIDCODE],GRAPHICS_PROPERTIES[TEMPLATE_ID]&amp;GRAPHICS_PROPERTIES[TEMPLATE_AMENDMENT_CODE])</f>
        <v>TPL_01A</v>
      </c>
    </row>
    <row r="285" spans="1:18" x14ac:dyDescent="0.35">
      <c r="A285" s="2" t="s">
        <v>2919</v>
      </c>
      <c r="B285" s="21" t="str">
        <f>_xlfn.TEXTAFTER(CONTROL[[#This Row],[VEHIDCODE]],"_")</f>
        <v>LTZ_2TE126</v>
      </c>
      <c r="C285" t="str" cm="1">
        <f t="array" ref="C2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5" t="str" cm="1">
        <f t="array" ref="D2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5">
        <v>5115</v>
      </c>
      <c r="F285" s="32" t="s">
        <v>2012</v>
      </c>
      <c r="G285" t="s">
        <v>1312</v>
      </c>
      <c r="H285" s="2" t="b">
        <f>AND(CONTROL[[#This Row],[IS_WAGON_OR_COACH]]=TRUE,OR(RIGHT(CONTROL[[#This Row],[VEHIDCODE]],7)="Powered",RIGHT(CONTROL[[#This Row],[VEHIDCODE]],9)="Unpowered"))</f>
        <v>0</v>
      </c>
      <c r="I2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5" t="b">
        <f>ISNUMBER(_xlfn.XMATCH(CONTROL[[#This Row],[VEHIDCODE]],TRACK_TYPES[VEHIDCODE],0))</f>
        <v>1</v>
      </c>
      <c r="K285" t="b">
        <f>ISNUMBER(_xlfn.XMATCH(CONTROL[[#This Row],[VEHIDCODE]],PROPERTIES[VEHIDCODE],0))</f>
        <v>1</v>
      </c>
      <c r="L285" t="b">
        <f>ISNUMBER(_xlfn.XLOOKUP(CONTROL[[#This Row],[VEHIDCODE]],roster!A:A,roster!D:D))</f>
        <v>1</v>
      </c>
      <c r="M285" t="b">
        <f>ISNUMBER(_xlfn.XMATCH(CONTROL[[#This Row],[VEHIDCODE]],GRAPHICS_PROPERTIES[VEHIDCODE],0))</f>
        <v>1</v>
      </c>
      <c r="N285" s="21" t="str">
        <f>"item_"&amp;CONTROL[[#This Row],[VEHIDCODE]]</f>
        <v>item_diesel_LTZ_2TE126</v>
      </c>
      <c r="O285" s="21" t="str">
        <f>"str_"&amp;CONTROL[[#This Row],[VEHIDCODE]]</f>
        <v>str_diesel_LTZ_2TE126</v>
      </c>
      <c r="P285" s="7" t="b">
        <f>_xlfn.XLOOKUP(CONTROL[[#This Row],[VEHIDCODE]],PROPERTIES[VEHIDCODE],PROPERTIES[IS_CONCEPT])="IS_CONCEPT"</f>
        <v>0</v>
      </c>
      <c r="Q285" s="7" t="b">
        <f>_xlfn.XLOOKUP(CONTROL[[#This Row],[VEHIDCODE]],PROPERTIES[VEHIDCODE],PROPERTIES[EXCLUDE])</f>
        <v>1</v>
      </c>
      <c r="R285" t="str" cm="1">
        <f t="array" ref="R285">_xlfn.XLOOKUP(CONTROL[[#This Row],[VEHIDCODE]],GRAPHICS_PROPERTIES[VEHIDCODE],GRAPHICS_PROPERTIES[TEMPLATE_ID]&amp;GRAPHICS_PROPERTIES[TEMPLATE_AMENDMENT_CODE])</f>
        <v>TPL_32A</v>
      </c>
    </row>
    <row r="286" spans="1:18" x14ac:dyDescent="0.35">
      <c r="A286" s="2" t="s">
        <v>2920</v>
      </c>
      <c r="B286" s="21" t="str">
        <f>_xlfn.TEXTAFTER(CONTROL[[#This Row],[VEHIDCODE]],"_")</f>
        <v>LTZ_2TE10Ut</v>
      </c>
      <c r="C286" t="str" cm="1">
        <f t="array" ref="C2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6" t="str" cm="1">
        <f t="array" ref="D2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6">
        <v>5117</v>
      </c>
      <c r="F286" s="32" t="s">
        <v>2013</v>
      </c>
      <c r="G286" t="s">
        <v>1313</v>
      </c>
      <c r="H286" s="2" t="b">
        <f>AND(CONTROL[[#This Row],[IS_WAGON_OR_COACH]]=TRUE,OR(RIGHT(CONTROL[[#This Row],[VEHIDCODE]],7)="Powered",RIGHT(CONTROL[[#This Row],[VEHIDCODE]],9)="Unpowered"))</f>
        <v>0</v>
      </c>
      <c r="I2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6" t="b">
        <f>ISNUMBER(_xlfn.XMATCH(CONTROL[[#This Row],[VEHIDCODE]],TRACK_TYPES[VEHIDCODE],0))</f>
        <v>1</v>
      </c>
      <c r="K286" t="b">
        <f>ISNUMBER(_xlfn.XMATCH(CONTROL[[#This Row],[VEHIDCODE]],PROPERTIES[VEHIDCODE],0))</f>
        <v>1</v>
      </c>
      <c r="L286" t="b">
        <f>ISNUMBER(_xlfn.XLOOKUP(CONTROL[[#This Row],[VEHIDCODE]],roster!A:A,roster!D:D))</f>
        <v>1</v>
      </c>
      <c r="M286" t="b">
        <f>ISNUMBER(_xlfn.XMATCH(CONTROL[[#This Row],[VEHIDCODE]],GRAPHICS_PROPERTIES[VEHIDCODE],0))</f>
        <v>1</v>
      </c>
      <c r="N286" s="21" t="str">
        <f>"item_"&amp;CONTROL[[#This Row],[VEHIDCODE]]</f>
        <v>item_diesel_LTZ_2TE10Ut</v>
      </c>
      <c r="O286" s="21" t="str">
        <f>"str_"&amp;CONTROL[[#This Row],[VEHIDCODE]]</f>
        <v>str_diesel_LTZ_2TE10Ut</v>
      </c>
      <c r="P286" s="7" t="b">
        <f>_xlfn.XLOOKUP(CONTROL[[#This Row],[VEHIDCODE]],PROPERTIES[VEHIDCODE],PROPERTIES[IS_CONCEPT])="IS_CONCEPT"</f>
        <v>0</v>
      </c>
      <c r="Q286" s="7" t="b">
        <f>_xlfn.XLOOKUP(CONTROL[[#This Row],[VEHIDCODE]],PROPERTIES[VEHIDCODE],PROPERTIES[EXCLUDE])</f>
        <v>1</v>
      </c>
      <c r="R286" t="str" cm="1">
        <f t="array" ref="R286">_xlfn.XLOOKUP(CONTROL[[#This Row],[VEHIDCODE]],GRAPHICS_PROPERTIES[VEHIDCODE],GRAPHICS_PROPERTIES[TEMPLATE_ID]&amp;GRAPHICS_PROPERTIES[TEMPLATE_AMENDMENT_CODE])</f>
        <v>TPL_03D</v>
      </c>
    </row>
    <row r="287" spans="1:18" x14ac:dyDescent="0.35">
      <c r="A287" s="2" t="s">
        <v>2921</v>
      </c>
      <c r="B287" s="21" t="str">
        <f>_xlfn.TEXTAFTER(CONTROL[[#This Row],[VEHIDCODE]],"_")</f>
        <v>CMKS_709_0_4_0DE</v>
      </c>
      <c r="C287" t="str" cm="1">
        <f t="array" ref="C2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7" t="str" cm="1">
        <f t="array" ref="D2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7">
        <v>5119</v>
      </c>
      <c r="F287" s="32" t="s">
        <v>2186</v>
      </c>
      <c r="G287" t="s">
        <v>1314</v>
      </c>
      <c r="H287" s="2" t="b">
        <f>AND(CONTROL[[#This Row],[IS_WAGON_OR_COACH]]=TRUE,OR(RIGHT(CONTROL[[#This Row],[VEHIDCODE]],7)="Powered",RIGHT(CONTROL[[#This Row],[VEHIDCODE]],9)="Unpowered"))</f>
        <v>0</v>
      </c>
      <c r="I2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7" t="b">
        <f>ISNUMBER(_xlfn.XMATCH(CONTROL[[#This Row],[VEHIDCODE]],TRACK_TYPES[VEHIDCODE],0))</f>
        <v>1</v>
      </c>
      <c r="K287" t="b">
        <f>ISNUMBER(_xlfn.XMATCH(CONTROL[[#This Row],[VEHIDCODE]],PROPERTIES[VEHIDCODE],0))</f>
        <v>1</v>
      </c>
      <c r="L287" t="b">
        <f>ISNUMBER(_xlfn.XLOOKUP(CONTROL[[#This Row],[VEHIDCODE]],roster!A:A,roster!D:D))</f>
        <v>1</v>
      </c>
      <c r="M287" t="b">
        <f>ISNUMBER(_xlfn.XMATCH(CONTROL[[#This Row],[VEHIDCODE]],GRAPHICS_PROPERTIES[VEHIDCODE],0))</f>
        <v>1</v>
      </c>
      <c r="N287" s="21" t="str">
        <f>"item_"&amp;CONTROL[[#This Row],[VEHIDCODE]]</f>
        <v>item_diesel_CMKS_709_0_4_0DE</v>
      </c>
      <c r="O287" s="21" t="str">
        <f>"str_"&amp;CONTROL[[#This Row],[VEHIDCODE]]</f>
        <v>str_diesel_CMKS_709_0_4_0DE</v>
      </c>
      <c r="P287" s="7" t="b">
        <f>_xlfn.XLOOKUP(CONTROL[[#This Row],[VEHIDCODE]],PROPERTIES[VEHIDCODE],PROPERTIES[IS_CONCEPT])="IS_CONCEPT"</f>
        <v>0</v>
      </c>
      <c r="Q287" s="7" t="b">
        <f>_xlfn.XLOOKUP(CONTROL[[#This Row],[VEHIDCODE]],PROPERTIES[VEHIDCODE],PROPERTIES[EXCLUDE])</f>
        <v>0</v>
      </c>
      <c r="R287" t="str" cm="1">
        <f t="array" ref="R287">_xlfn.XLOOKUP(CONTROL[[#This Row],[VEHIDCODE]],GRAPHICS_PROPERTIES[VEHIDCODE],GRAPHICS_PROPERTIES[TEMPLATE_ID]&amp;GRAPHICS_PROPERTIES[TEMPLATE_AMENDMENT_CODE])</f>
        <v>TPL_01A</v>
      </c>
    </row>
    <row r="288" spans="1:18" x14ac:dyDescent="0.35">
      <c r="A288" s="2" t="s">
        <v>2922</v>
      </c>
      <c r="B288" s="21" t="str">
        <f>_xlfn.TEXTAFTER(CONTROL[[#This Row],[VEHIDCODE]],"_")</f>
        <v>Antonio_Badoni_Lecco_Sogliole_207</v>
      </c>
      <c r="C288" t="str" cm="1">
        <f t="array" ref="C2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8" t="str" cm="1">
        <f t="array" ref="D2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8">
        <v>5121</v>
      </c>
      <c r="F288" s="32" t="s">
        <v>2187</v>
      </c>
      <c r="G288" t="s">
        <v>1315</v>
      </c>
      <c r="H288" s="2" t="b">
        <f>AND(CONTROL[[#This Row],[IS_WAGON_OR_COACH]]=TRUE,OR(RIGHT(CONTROL[[#This Row],[VEHIDCODE]],7)="Powered",RIGHT(CONTROL[[#This Row],[VEHIDCODE]],9)="Unpowered"))</f>
        <v>0</v>
      </c>
      <c r="I2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8" t="b">
        <f>ISNUMBER(_xlfn.XMATCH(CONTROL[[#This Row],[VEHIDCODE]],TRACK_TYPES[VEHIDCODE],0))</f>
        <v>1</v>
      </c>
      <c r="K288" t="b">
        <f>ISNUMBER(_xlfn.XMATCH(CONTROL[[#This Row],[VEHIDCODE]],PROPERTIES[VEHIDCODE],0))</f>
        <v>1</v>
      </c>
      <c r="L288" t="b">
        <f>ISNUMBER(_xlfn.XLOOKUP(CONTROL[[#This Row],[VEHIDCODE]],roster!A:A,roster!D:D))</f>
        <v>1</v>
      </c>
      <c r="M288" t="b">
        <f>ISNUMBER(_xlfn.XMATCH(CONTROL[[#This Row],[VEHIDCODE]],GRAPHICS_PROPERTIES[VEHIDCODE],0))</f>
        <v>1</v>
      </c>
      <c r="N288" s="21" t="str">
        <f>"item_"&amp;CONTROL[[#This Row],[VEHIDCODE]]</f>
        <v>item_diesel_Antonio_Badoni_Lecco_Sogliole_207</v>
      </c>
      <c r="O288" s="21" t="str">
        <f>"str_"&amp;CONTROL[[#This Row],[VEHIDCODE]]</f>
        <v>str_diesel_Antonio_Badoni_Lecco_Sogliole_207</v>
      </c>
      <c r="P288" s="7" t="b">
        <f>_xlfn.XLOOKUP(CONTROL[[#This Row],[VEHIDCODE]],PROPERTIES[VEHIDCODE],PROPERTIES[IS_CONCEPT])="IS_CONCEPT"</f>
        <v>0</v>
      </c>
      <c r="Q288" s="7" t="b">
        <f>_xlfn.XLOOKUP(CONTROL[[#This Row],[VEHIDCODE]],PROPERTIES[VEHIDCODE],PROPERTIES[EXCLUDE])</f>
        <v>0</v>
      </c>
      <c r="R288" t="str" cm="1">
        <f t="array" ref="R288">_xlfn.XLOOKUP(CONTROL[[#This Row],[VEHIDCODE]],GRAPHICS_PROPERTIES[VEHIDCODE],GRAPHICS_PROPERTIES[TEMPLATE_ID]&amp;GRAPHICS_PROPERTIES[TEMPLATE_AMENDMENT_CODE])</f>
        <v>TPL_01A</v>
      </c>
    </row>
    <row r="289" spans="1:18" x14ac:dyDescent="0.35">
      <c r="A289" s="2" t="s">
        <v>2923</v>
      </c>
      <c r="B289" s="21" t="str">
        <f>_xlfn.TEXTAFTER(CONTROL[[#This Row],[VEHIDCODE]],"_")</f>
        <v>Baldwin_0_6_6_0_1000</v>
      </c>
      <c r="C289" t="str" cm="1">
        <f t="array" ref="C2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9" t="str" cm="1">
        <f t="array" ref="D2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9">
        <v>5122</v>
      </c>
      <c r="F289" s="32" t="s">
        <v>2017</v>
      </c>
      <c r="G289" t="s">
        <v>1316</v>
      </c>
      <c r="H289" s="2" t="b">
        <f>AND(CONTROL[[#This Row],[IS_WAGON_OR_COACH]]=TRUE,OR(RIGHT(CONTROL[[#This Row],[VEHIDCODE]],7)="Powered",RIGHT(CONTROL[[#This Row],[VEHIDCODE]],9)="Unpowered"))</f>
        <v>0</v>
      </c>
      <c r="I2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9" t="b">
        <f>ISNUMBER(_xlfn.XMATCH(CONTROL[[#This Row],[VEHIDCODE]],TRACK_TYPES[VEHIDCODE],0))</f>
        <v>1</v>
      </c>
      <c r="K289" t="b">
        <f>ISNUMBER(_xlfn.XMATCH(CONTROL[[#This Row],[VEHIDCODE]],PROPERTIES[VEHIDCODE],0))</f>
        <v>1</v>
      </c>
      <c r="L289" t="b">
        <f>ISNUMBER(_xlfn.XLOOKUP(CONTROL[[#This Row],[VEHIDCODE]],roster!A:A,roster!D:D))</f>
        <v>1</v>
      </c>
      <c r="M289" t="b">
        <f>ISNUMBER(_xlfn.XMATCH(CONTROL[[#This Row],[VEHIDCODE]],GRAPHICS_PROPERTIES[VEHIDCODE],0))</f>
        <v>1</v>
      </c>
      <c r="N289" s="21" t="str">
        <f>"item_"&amp;CONTROL[[#This Row],[VEHIDCODE]]</f>
        <v>item_diesel_Baldwin_0_6_6_0_1000</v>
      </c>
      <c r="O289" s="21" t="str">
        <f>"str_"&amp;CONTROL[[#This Row],[VEHIDCODE]]</f>
        <v>str_diesel_Baldwin_0_6_6_0_1000</v>
      </c>
      <c r="P289" s="7" t="b">
        <f>_xlfn.XLOOKUP(CONTROL[[#This Row],[VEHIDCODE]],PROPERTIES[VEHIDCODE],PROPERTIES[IS_CONCEPT])="IS_CONCEPT"</f>
        <v>0</v>
      </c>
      <c r="Q289" s="7" t="b">
        <f>_xlfn.XLOOKUP(CONTROL[[#This Row],[VEHIDCODE]],PROPERTIES[VEHIDCODE],PROPERTIES[EXCLUDE])</f>
        <v>0</v>
      </c>
      <c r="R289" t="str" cm="1">
        <f t="array" ref="R289">_xlfn.XLOOKUP(CONTROL[[#This Row],[VEHIDCODE]],GRAPHICS_PROPERTIES[VEHIDCODE],GRAPHICS_PROPERTIES[TEMPLATE_ID]&amp;GRAPHICS_PROPERTIES[TEMPLATE_AMENDMENT_CODE])</f>
        <v>TPL_01A</v>
      </c>
    </row>
    <row r="290" spans="1:18" x14ac:dyDescent="0.35">
      <c r="A290" s="2" t="s">
        <v>2924</v>
      </c>
      <c r="B290" s="21" t="str">
        <f>_xlfn.TEXTAFTER(CONTROL[[#This Row],[VEHIDCODE]],"_")</f>
        <v>ALCO_RSC_2</v>
      </c>
      <c r="C290" t="str" cm="1">
        <f t="array" ref="C2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0" t="str" cm="1">
        <f t="array" ref="D2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0">
        <v>5123</v>
      </c>
      <c r="F290" s="32" t="s">
        <v>2018</v>
      </c>
      <c r="G290" t="s">
        <v>1317</v>
      </c>
      <c r="H290" s="2" t="b">
        <f>AND(CONTROL[[#This Row],[IS_WAGON_OR_COACH]]=TRUE,OR(RIGHT(CONTROL[[#This Row],[VEHIDCODE]],7)="Powered",RIGHT(CONTROL[[#This Row],[VEHIDCODE]],9)="Unpowered"))</f>
        <v>0</v>
      </c>
      <c r="I2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0" t="b">
        <f>ISNUMBER(_xlfn.XMATCH(CONTROL[[#This Row],[VEHIDCODE]],TRACK_TYPES[VEHIDCODE],0))</f>
        <v>1</v>
      </c>
      <c r="K290" t="b">
        <f>ISNUMBER(_xlfn.XMATCH(CONTROL[[#This Row],[VEHIDCODE]],PROPERTIES[VEHIDCODE],0))</f>
        <v>1</v>
      </c>
      <c r="L290" t="b">
        <f>ISNUMBER(_xlfn.XLOOKUP(CONTROL[[#This Row],[VEHIDCODE]],roster!A:A,roster!D:D))</f>
        <v>1</v>
      </c>
      <c r="M290" t="b">
        <f>ISNUMBER(_xlfn.XMATCH(CONTROL[[#This Row],[VEHIDCODE]],GRAPHICS_PROPERTIES[VEHIDCODE],0))</f>
        <v>1</v>
      </c>
      <c r="N290" s="21" t="str">
        <f>"item_"&amp;CONTROL[[#This Row],[VEHIDCODE]]</f>
        <v>item_diesel_ALCO_RSC_2</v>
      </c>
      <c r="O290" s="21" t="str">
        <f>"str_"&amp;CONTROL[[#This Row],[VEHIDCODE]]</f>
        <v>str_diesel_ALCO_RSC_2</v>
      </c>
      <c r="P290" s="7" t="b">
        <f>_xlfn.XLOOKUP(CONTROL[[#This Row],[VEHIDCODE]],PROPERTIES[VEHIDCODE],PROPERTIES[IS_CONCEPT])="IS_CONCEPT"</f>
        <v>0</v>
      </c>
      <c r="Q290" s="7" t="b">
        <f>_xlfn.XLOOKUP(CONTROL[[#This Row],[VEHIDCODE]],PROPERTIES[VEHIDCODE],PROPERTIES[EXCLUDE])</f>
        <v>0</v>
      </c>
      <c r="R290" t="str" cm="1">
        <f t="array" ref="R290">_xlfn.XLOOKUP(CONTROL[[#This Row],[VEHIDCODE]],GRAPHICS_PROPERTIES[VEHIDCODE],GRAPHICS_PROPERTIES[TEMPLATE_ID]&amp;GRAPHICS_PROPERTIES[TEMPLATE_AMENDMENT_CODE])</f>
        <v>TPL_01A</v>
      </c>
    </row>
    <row r="291" spans="1:18" x14ac:dyDescent="0.35">
      <c r="A291" s="2" t="s">
        <v>2925</v>
      </c>
      <c r="B291" s="21" t="str">
        <f>_xlfn.TEXTAFTER(CONTROL[[#This Row],[VEHIDCODE]],"_")</f>
        <v>Brissonneau_and_Lotz_BB_67400</v>
      </c>
      <c r="C291" t="str" cm="1">
        <f t="array" ref="C2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1" t="str" cm="1">
        <f t="array" ref="D2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1">
        <v>5125</v>
      </c>
      <c r="F291" s="32" t="s">
        <v>2188</v>
      </c>
      <c r="G291" t="s">
        <v>1318</v>
      </c>
      <c r="H291" s="2" t="b">
        <f>AND(CONTROL[[#This Row],[IS_WAGON_OR_COACH]]=TRUE,OR(RIGHT(CONTROL[[#This Row],[VEHIDCODE]],7)="Powered",RIGHT(CONTROL[[#This Row],[VEHIDCODE]],9)="Unpowered"))</f>
        <v>0</v>
      </c>
      <c r="I2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1" t="b">
        <f>ISNUMBER(_xlfn.XMATCH(CONTROL[[#This Row],[VEHIDCODE]],TRACK_TYPES[VEHIDCODE],0))</f>
        <v>1</v>
      </c>
      <c r="K291" t="b">
        <f>ISNUMBER(_xlfn.XMATCH(CONTROL[[#This Row],[VEHIDCODE]],PROPERTIES[VEHIDCODE],0))</f>
        <v>1</v>
      </c>
      <c r="L291" t="b">
        <f>ISNUMBER(_xlfn.XLOOKUP(CONTROL[[#This Row],[VEHIDCODE]],roster!A:A,roster!D:D))</f>
        <v>1</v>
      </c>
      <c r="M291" t="b">
        <f>ISNUMBER(_xlfn.XMATCH(CONTROL[[#This Row],[VEHIDCODE]],GRAPHICS_PROPERTIES[VEHIDCODE],0))</f>
        <v>1</v>
      </c>
      <c r="N291" s="21" t="str">
        <f>"item_"&amp;CONTROL[[#This Row],[VEHIDCODE]]</f>
        <v>item_diesel_Brissonneau_and_Lotz_BB_67400</v>
      </c>
      <c r="O291" s="21" t="str">
        <f>"str_"&amp;CONTROL[[#This Row],[VEHIDCODE]]</f>
        <v>str_diesel_Brissonneau_and_Lotz_BB_67400</v>
      </c>
      <c r="P291" s="7" t="b">
        <f>_xlfn.XLOOKUP(CONTROL[[#This Row],[VEHIDCODE]],PROPERTIES[VEHIDCODE],PROPERTIES[IS_CONCEPT])="IS_CONCEPT"</f>
        <v>0</v>
      </c>
      <c r="Q291" s="7" t="b">
        <f>_xlfn.XLOOKUP(CONTROL[[#This Row],[VEHIDCODE]],PROPERTIES[VEHIDCODE],PROPERTIES[EXCLUDE])</f>
        <v>0</v>
      </c>
      <c r="R291" t="str" cm="1">
        <f t="array" ref="R291">_xlfn.XLOOKUP(CONTROL[[#This Row],[VEHIDCODE]],GRAPHICS_PROPERTIES[VEHIDCODE],GRAPHICS_PROPERTIES[TEMPLATE_ID]&amp;GRAPHICS_PROPERTIES[TEMPLATE_AMENDMENT_CODE])</f>
        <v>TPL_01A</v>
      </c>
    </row>
    <row r="292" spans="1:18" x14ac:dyDescent="0.35">
      <c r="A292" s="2" t="s">
        <v>2926</v>
      </c>
      <c r="B292" s="21" t="str">
        <f>_xlfn.TEXTAFTER(CONTROL[[#This Row],[VEHIDCODE]],"_")</f>
        <v>MaK_DE_6400</v>
      </c>
      <c r="C292" t="str" cm="1">
        <f t="array" ref="C2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2" t="str" cm="1">
        <f t="array" ref="D2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2">
        <v>5126</v>
      </c>
      <c r="F292" s="32" t="s">
        <v>1970</v>
      </c>
      <c r="G292" t="s">
        <v>1319</v>
      </c>
      <c r="H292" s="2" t="b">
        <f>AND(CONTROL[[#This Row],[IS_WAGON_OR_COACH]]=TRUE,OR(RIGHT(CONTROL[[#This Row],[VEHIDCODE]],7)="Powered",RIGHT(CONTROL[[#This Row],[VEHIDCODE]],9)="Unpowered"))</f>
        <v>0</v>
      </c>
      <c r="I2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2" t="b">
        <f>ISNUMBER(_xlfn.XMATCH(CONTROL[[#This Row],[VEHIDCODE]],TRACK_TYPES[VEHIDCODE],0))</f>
        <v>1</v>
      </c>
      <c r="K292" t="b">
        <f>ISNUMBER(_xlfn.XMATCH(CONTROL[[#This Row],[VEHIDCODE]],PROPERTIES[VEHIDCODE],0))</f>
        <v>1</v>
      </c>
      <c r="L292" t="b">
        <f>ISNUMBER(_xlfn.XLOOKUP(CONTROL[[#This Row],[VEHIDCODE]],roster!A:A,roster!D:D))</f>
        <v>1</v>
      </c>
      <c r="M292" t="b">
        <f>ISNUMBER(_xlfn.XMATCH(CONTROL[[#This Row],[VEHIDCODE]],GRAPHICS_PROPERTIES[VEHIDCODE],0))</f>
        <v>1</v>
      </c>
      <c r="N292" s="21" t="str">
        <f>"item_"&amp;CONTROL[[#This Row],[VEHIDCODE]]</f>
        <v>item_diesel_MaK_DE_6400</v>
      </c>
      <c r="O292" s="21" t="str">
        <f>"str_"&amp;CONTROL[[#This Row],[VEHIDCODE]]</f>
        <v>str_diesel_MaK_DE_6400</v>
      </c>
      <c r="P292" s="7" t="b">
        <f>_xlfn.XLOOKUP(CONTROL[[#This Row],[VEHIDCODE]],PROPERTIES[VEHIDCODE],PROPERTIES[IS_CONCEPT])="IS_CONCEPT"</f>
        <v>0</v>
      </c>
      <c r="Q292" s="7" t="b">
        <f>_xlfn.XLOOKUP(CONTROL[[#This Row],[VEHIDCODE]],PROPERTIES[VEHIDCODE],PROPERTIES[EXCLUDE])</f>
        <v>0</v>
      </c>
      <c r="R292" t="str" cm="1">
        <f t="array" ref="R292">_xlfn.XLOOKUP(CONTROL[[#This Row],[VEHIDCODE]],GRAPHICS_PROPERTIES[VEHIDCODE],GRAPHICS_PROPERTIES[TEMPLATE_ID]&amp;GRAPHICS_PROPERTIES[TEMPLATE_AMENDMENT_CODE])</f>
        <v>TPL_01A</v>
      </c>
    </row>
    <row r="293" spans="1:18" x14ac:dyDescent="0.35">
      <c r="A293" s="2" t="s">
        <v>2927</v>
      </c>
      <c r="B293" s="21" t="str">
        <f>_xlfn.TEXTAFTER(CONTROL[[#This Row],[VEHIDCODE]],"_")</f>
        <v>GE_ES40ACi</v>
      </c>
      <c r="C293" t="str" cm="1">
        <f t="array" ref="C2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3" t="str" cm="1">
        <f t="array" ref="D2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3">
        <v>5130</v>
      </c>
      <c r="F293" s="32" t="s">
        <v>2030</v>
      </c>
      <c r="G293" t="s">
        <v>1320</v>
      </c>
      <c r="H293" s="2" t="b">
        <f>AND(CONTROL[[#This Row],[IS_WAGON_OR_COACH]]=TRUE,OR(RIGHT(CONTROL[[#This Row],[VEHIDCODE]],7)="Powered",RIGHT(CONTROL[[#This Row],[VEHIDCODE]],9)="Unpowered"))</f>
        <v>0</v>
      </c>
      <c r="I2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3" t="b">
        <f>ISNUMBER(_xlfn.XMATCH(CONTROL[[#This Row],[VEHIDCODE]],TRACK_TYPES[VEHIDCODE],0))</f>
        <v>1</v>
      </c>
      <c r="K293" t="b">
        <f>ISNUMBER(_xlfn.XMATCH(CONTROL[[#This Row],[VEHIDCODE]],PROPERTIES[VEHIDCODE],0))</f>
        <v>1</v>
      </c>
      <c r="L293" t="b">
        <f>ISNUMBER(_xlfn.XLOOKUP(CONTROL[[#This Row],[VEHIDCODE]],roster!A:A,roster!D:D))</f>
        <v>1</v>
      </c>
      <c r="M293" t="b">
        <f>ISNUMBER(_xlfn.XMATCH(CONTROL[[#This Row],[VEHIDCODE]],GRAPHICS_PROPERTIES[VEHIDCODE],0))</f>
        <v>1</v>
      </c>
      <c r="N293" s="21" t="str">
        <f>"item_"&amp;CONTROL[[#This Row],[VEHIDCODE]]</f>
        <v>item_diesel_GE_ES40ACi</v>
      </c>
      <c r="O293" s="21" t="str">
        <f>"str_"&amp;CONTROL[[#This Row],[VEHIDCODE]]</f>
        <v>str_diesel_GE_ES40ACi</v>
      </c>
      <c r="P293" s="7" t="b">
        <f>_xlfn.XLOOKUP(CONTROL[[#This Row],[VEHIDCODE]],PROPERTIES[VEHIDCODE],PROPERTIES[IS_CONCEPT])="IS_CONCEPT"</f>
        <v>0</v>
      </c>
      <c r="Q293" s="7" t="b">
        <f>_xlfn.XLOOKUP(CONTROL[[#This Row],[VEHIDCODE]],PROPERTIES[VEHIDCODE],PROPERTIES[EXCLUDE])</f>
        <v>0</v>
      </c>
      <c r="R293" t="str" cm="1">
        <f t="array" ref="R293">_xlfn.XLOOKUP(CONTROL[[#This Row],[VEHIDCODE]],GRAPHICS_PROPERTIES[VEHIDCODE],GRAPHICS_PROPERTIES[TEMPLATE_ID]&amp;GRAPHICS_PROPERTIES[TEMPLATE_AMENDMENT_CODE])</f>
        <v>TPL_01A</v>
      </c>
    </row>
    <row r="294" spans="1:18" x14ac:dyDescent="0.35">
      <c r="A294" s="2" t="s">
        <v>2928</v>
      </c>
      <c r="B294" s="21" t="str">
        <f>_xlfn.TEXTAFTER(CONTROL[[#This Row],[VEHIDCODE]],"_")</f>
        <v>Vossloh_Afro_4000</v>
      </c>
      <c r="C294" t="str" cm="1">
        <f t="array" ref="C2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4" t="str" cm="1">
        <f t="array" ref="D2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4">
        <v>5132</v>
      </c>
      <c r="F294" s="32" t="s">
        <v>2189</v>
      </c>
      <c r="G294" t="s">
        <v>1321</v>
      </c>
      <c r="H294" s="2" t="b">
        <f>AND(CONTROL[[#This Row],[IS_WAGON_OR_COACH]]=TRUE,OR(RIGHT(CONTROL[[#This Row],[VEHIDCODE]],7)="Powered",RIGHT(CONTROL[[#This Row],[VEHIDCODE]],9)="Unpowered"))</f>
        <v>0</v>
      </c>
      <c r="I2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4" t="b">
        <f>ISNUMBER(_xlfn.XMATCH(CONTROL[[#This Row],[VEHIDCODE]],TRACK_TYPES[VEHIDCODE],0))</f>
        <v>1</v>
      </c>
      <c r="K294" t="b">
        <f>ISNUMBER(_xlfn.XMATCH(CONTROL[[#This Row],[VEHIDCODE]],PROPERTIES[VEHIDCODE],0))</f>
        <v>1</v>
      </c>
      <c r="L294" t="b">
        <f>ISNUMBER(_xlfn.XLOOKUP(CONTROL[[#This Row],[VEHIDCODE]],roster!A:A,roster!D:D))</f>
        <v>1</v>
      </c>
      <c r="M294" t="b">
        <f>ISNUMBER(_xlfn.XMATCH(CONTROL[[#This Row],[VEHIDCODE]],GRAPHICS_PROPERTIES[VEHIDCODE],0))</f>
        <v>1</v>
      </c>
      <c r="N294" s="21" t="str">
        <f>"item_"&amp;CONTROL[[#This Row],[VEHIDCODE]]</f>
        <v>item_diesel_Vossloh_Afro_4000</v>
      </c>
      <c r="O294" s="21" t="str">
        <f>"str_"&amp;CONTROL[[#This Row],[VEHIDCODE]]</f>
        <v>str_diesel_Vossloh_Afro_4000</v>
      </c>
      <c r="P294" s="7" t="b">
        <f>_xlfn.XLOOKUP(CONTROL[[#This Row],[VEHIDCODE]],PROPERTIES[VEHIDCODE],PROPERTIES[IS_CONCEPT])="IS_CONCEPT"</f>
        <v>0</v>
      </c>
      <c r="Q294" s="7" t="b">
        <f>_xlfn.XLOOKUP(CONTROL[[#This Row],[VEHIDCODE]],PROPERTIES[VEHIDCODE],PROPERTIES[EXCLUDE])</f>
        <v>0</v>
      </c>
      <c r="R294" t="str" cm="1">
        <f t="array" ref="R294">_xlfn.XLOOKUP(CONTROL[[#This Row],[VEHIDCODE]],GRAPHICS_PROPERTIES[VEHIDCODE],GRAPHICS_PROPERTIES[TEMPLATE_ID]&amp;GRAPHICS_PROPERTIES[TEMPLATE_AMENDMENT_CODE])</f>
        <v>TPL_01A</v>
      </c>
    </row>
    <row r="295" spans="1:18" x14ac:dyDescent="0.35">
      <c r="A295" s="2" t="s">
        <v>2929</v>
      </c>
      <c r="B295" s="21" t="str">
        <f>_xlfn.TEXTAFTER(CONTROL[[#This Row],[VEHIDCODE]],"_")</f>
        <v>GE_U10B</v>
      </c>
      <c r="C295" t="str" cm="1">
        <f t="array" ref="C2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5" t="str" cm="1">
        <f t="array" ref="D2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5">
        <v>5124</v>
      </c>
      <c r="F295" s="32" t="s">
        <v>2190</v>
      </c>
      <c r="G295" t="s">
        <v>1322</v>
      </c>
      <c r="H295" s="2" t="b">
        <f>AND(CONTROL[[#This Row],[IS_WAGON_OR_COACH]]=TRUE,OR(RIGHT(CONTROL[[#This Row],[VEHIDCODE]],7)="Powered",RIGHT(CONTROL[[#This Row],[VEHIDCODE]],9)="Unpowered"))</f>
        <v>0</v>
      </c>
      <c r="I2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5" t="b">
        <f>ISNUMBER(_xlfn.XMATCH(CONTROL[[#This Row],[VEHIDCODE]],TRACK_TYPES[VEHIDCODE],0))</f>
        <v>1</v>
      </c>
      <c r="K295" t="b">
        <f>ISNUMBER(_xlfn.XMATCH(CONTROL[[#This Row],[VEHIDCODE]],PROPERTIES[VEHIDCODE],0))</f>
        <v>1</v>
      </c>
      <c r="L295" t="b">
        <f>ISNUMBER(_xlfn.XLOOKUP(CONTROL[[#This Row],[VEHIDCODE]],roster!A:A,roster!D:D))</f>
        <v>1</v>
      </c>
      <c r="M295" t="b">
        <f>ISNUMBER(_xlfn.XMATCH(CONTROL[[#This Row],[VEHIDCODE]],GRAPHICS_PROPERTIES[VEHIDCODE],0))</f>
        <v>1</v>
      </c>
      <c r="N295" s="21" t="str">
        <f>"item_"&amp;CONTROL[[#This Row],[VEHIDCODE]]</f>
        <v>item_diesel_GE_U10B</v>
      </c>
      <c r="O295" s="21" t="str">
        <f>"str_"&amp;CONTROL[[#This Row],[VEHIDCODE]]</f>
        <v>str_diesel_GE_U10B</v>
      </c>
      <c r="P295" s="7" t="b">
        <f>_xlfn.XLOOKUP(CONTROL[[#This Row],[VEHIDCODE]],PROPERTIES[VEHIDCODE],PROPERTIES[IS_CONCEPT])="IS_CONCEPT"</f>
        <v>0</v>
      </c>
      <c r="Q295" s="7" t="b">
        <f>_xlfn.XLOOKUP(CONTROL[[#This Row],[VEHIDCODE]],PROPERTIES[VEHIDCODE],PROPERTIES[EXCLUDE])</f>
        <v>0</v>
      </c>
      <c r="R295" t="str" cm="1">
        <f t="array" ref="R295">_xlfn.XLOOKUP(CONTROL[[#This Row],[VEHIDCODE]],GRAPHICS_PROPERTIES[VEHIDCODE],GRAPHICS_PROPERTIES[TEMPLATE_ID]&amp;GRAPHICS_PROPERTIES[TEMPLATE_AMENDMENT_CODE])</f>
        <v>TPL_01A</v>
      </c>
    </row>
    <row r="296" spans="1:18" x14ac:dyDescent="0.35">
      <c r="A296" s="2" t="s">
        <v>2930</v>
      </c>
      <c r="B296" s="21" t="str">
        <f>_xlfn.TEXTAFTER(CONTROL[[#This Row],[VEHIDCODE]],"_")</f>
        <v>EMD_Pacific_GT26C_3</v>
      </c>
      <c r="C296" t="str" cm="1">
        <f t="array" ref="C2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6" t="str" cm="1">
        <f t="array" ref="D2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6">
        <v>5127</v>
      </c>
      <c r="F296" s="32" t="s">
        <v>2191</v>
      </c>
      <c r="G296" t="s">
        <v>1323</v>
      </c>
      <c r="H296" s="2" t="b">
        <f>AND(CONTROL[[#This Row],[IS_WAGON_OR_COACH]]=TRUE,OR(RIGHT(CONTROL[[#This Row],[VEHIDCODE]],7)="Powered",RIGHT(CONTROL[[#This Row],[VEHIDCODE]],9)="Unpowered"))</f>
        <v>0</v>
      </c>
      <c r="I2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6" t="b">
        <f>ISNUMBER(_xlfn.XMATCH(CONTROL[[#This Row],[VEHIDCODE]],TRACK_TYPES[VEHIDCODE],0))</f>
        <v>1</v>
      </c>
      <c r="K296" t="b">
        <f>ISNUMBER(_xlfn.XMATCH(CONTROL[[#This Row],[VEHIDCODE]],PROPERTIES[VEHIDCODE],0))</f>
        <v>1</v>
      </c>
      <c r="L296" t="b">
        <f>ISNUMBER(_xlfn.XLOOKUP(CONTROL[[#This Row],[VEHIDCODE]],roster!A:A,roster!D:D))</f>
        <v>1</v>
      </c>
      <c r="M296" t="b">
        <f>ISNUMBER(_xlfn.XMATCH(CONTROL[[#This Row],[VEHIDCODE]],GRAPHICS_PROPERTIES[VEHIDCODE],0))</f>
        <v>1</v>
      </c>
      <c r="N296" s="21" t="str">
        <f>"item_"&amp;CONTROL[[#This Row],[VEHIDCODE]]</f>
        <v>item_diesel_EMD_Pacific_GT26C_3</v>
      </c>
      <c r="O296" s="21" t="str">
        <f>"str_"&amp;CONTROL[[#This Row],[VEHIDCODE]]</f>
        <v>str_diesel_EMD_Pacific_GT26C_3</v>
      </c>
      <c r="P296" s="7" t="b">
        <f>_xlfn.XLOOKUP(CONTROL[[#This Row],[VEHIDCODE]],PROPERTIES[VEHIDCODE],PROPERTIES[IS_CONCEPT])="IS_CONCEPT"</f>
        <v>0</v>
      </c>
      <c r="Q296" s="7" t="b">
        <f>_xlfn.XLOOKUP(CONTROL[[#This Row],[VEHIDCODE]],PROPERTIES[VEHIDCODE],PROPERTIES[EXCLUDE])</f>
        <v>0</v>
      </c>
      <c r="R296" t="str" cm="1">
        <f t="array" ref="R296">_xlfn.XLOOKUP(CONTROL[[#This Row],[VEHIDCODE]],GRAPHICS_PROPERTIES[VEHIDCODE],GRAPHICS_PROPERTIES[TEMPLATE_ID]&amp;GRAPHICS_PROPERTIES[TEMPLATE_AMENDMENT_CODE])</f>
        <v>TPL_17B</v>
      </c>
    </row>
    <row r="297" spans="1:18" x14ac:dyDescent="0.35">
      <c r="A297" s="2" t="s">
        <v>2931</v>
      </c>
      <c r="B297" s="21" t="str">
        <f>_xlfn.TEXTAFTER(CONTROL[[#This Row],[VEHIDCODE]],"_")</f>
        <v>CargoNet_312</v>
      </c>
      <c r="C297" t="str" cm="1">
        <f t="array" ref="C2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7" t="str" cm="1">
        <f t="array" ref="D2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7">
        <v>5128</v>
      </c>
      <c r="F297" s="32" t="s">
        <v>375</v>
      </c>
      <c r="G297" t="s">
        <v>1324</v>
      </c>
      <c r="H297" s="2" t="b">
        <f>AND(CONTROL[[#This Row],[IS_WAGON_OR_COACH]]=TRUE,OR(RIGHT(CONTROL[[#This Row],[VEHIDCODE]],7)="Powered",RIGHT(CONTROL[[#This Row],[VEHIDCODE]],9)="Unpowered"))</f>
        <v>0</v>
      </c>
      <c r="I2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7" t="b">
        <f>ISNUMBER(_xlfn.XMATCH(CONTROL[[#This Row],[VEHIDCODE]],TRACK_TYPES[VEHIDCODE],0))</f>
        <v>1</v>
      </c>
      <c r="K297" t="b">
        <f>ISNUMBER(_xlfn.XMATCH(CONTROL[[#This Row],[VEHIDCODE]],PROPERTIES[VEHIDCODE],0))</f>
        <v>1</v>
      </c>
      <c r="L297" t="b">
        <f>ISNUMBER(_xlfn.XLOOKUP(CONTROL[[#This Row],[VEHIDCODE]],roster!A:A,roster!D:D))</f>
        <v>1</v>
      </c>
      <c r="M297" t="b">
        <f>ISNUMBER(_xlfn.XMATCH(CONTROL[[#This Row],[VEHIDCODE]],GRAPHICS_PROPERTIES[VEHIDCODE],0))</f>
        <v>1</v>
      </c>
      <c r="N297" s="21" t="str">
        <f>"item_"&amp;CONTROL[[#This Row],[VEHIDCODE]]</f>
        <v>item_diesel_CargoNet_312</v>
      </c>
      <c r="O297" s="21" t="str">
        <f>"str_"&amp;CONTROL[[#This Row],[VEHIDCODE]]</f>
        <v>str_diesel_CargoNet_312</v>
      </c>
      <c r="P297" s="7" t="b">
        <f>_xlfn.XLOOKUP(CONTROL[[#This Row],[VEHIDCODE]],PROPERTIES[VEHIDCODE],PROPERTIES[IS_CONCEPT])="IS_CONCEPT"</f>
        <v>0</v>
      </c>
      <c r="Q297" s="7" t="b">
        <f>_xlfn.XLOOKUP(CONTROL[[#This Row],[VEHIDCODE]],PROPERTIES[VEHIDCODE],PROPERTIES[EXCLUDE])</f>
        <v>0</v>
      </c>
      <c r="R297" t="str" cm="1">
        <f t="array" ref="R297">_xlfn.XLOOKUP(CONTROL[[#This Row],[VEHIDCODE]],GRAPHICS_PROPERTIES[VEHIDCODE],GRAPHICS_PROPERTIES[TEMPLATE_ID]&amp;GRAPHICS_PROPERTIES[TEMPLATE_AMENDMENT_CODE])</f>
        <v>TPL_01A</v>
      </c>
    </row>
    <row r="298" spans="1:18" x14ac:dyDescent="0.35">
      <c r="A298" s="2" t="s">
        <v>2932</v>
      </c>
      <c r="B298" s="21" t="str">
        <f>_xlfn.TEXTAFTER(CONTROL[[#This Row],[VEHIDCODE]],"_")</f>
        <v>GE_Pacific_C44ESACi</v>
      </c>
      <c r="C298" t="str" cm="1">
        <f t="array" ref="C2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8" t="str" cm="1">
        <f t="array" ref="D2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8">
        <v>5129</v>
      </c>
      <c r="F298" s="32" t="s">
        <v>2192</v>
      </c>
      <c r="G298" t="s">
        <v>1325</v>
      </c>
      <c r="H298" s="2" t="b">
        <f>AND(CONTROL[[#This Row],[IS_WAGON_OR_COACH]]=TRUE,OR(RIGHT(CONTROL[[#This Row],[VEHIDCODE]],7)="Powered",RIGHT(CONTROL[[#This Row],[VEHIDCODE]],9)="Unpowered"))</f>
        <v>0</v>
      </c>
      <c r="I2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8" t="b">
        <f>ISNUMBER(_xlfn.XMATCH(CONTROL[[#This Row],[VEHIDCODE]],TRACK_TYPES[VEHIDCODE],0))</f>
        <v>1</v>
      </c>
      <c r="K298" t="b">
        <f>ISNUMBER(_xlfn.XMATCH(CONTROL[[#This Row],[VEHIDCODE]],PROPERTIES[VEHIDCODE],0))</f>
        <v>1</v>
      </c>
      <c r="L298" t="b">
        <f>ISNUMBER(_xlfn.XLOOKUP(CONTROL[[#This Row],[VEHIDCODE]],roster!A:A,roster!D:D))</f>
        <v>1</v>
      </c>
      <c r="M298" t="b">
        <f>ISNUMBER(_xlfn.XMATCH(CONTROL[[#This Row],[VEHIDCODE]],GRAPHICS_PROPERTIES[VEHIDCODE],0))</f>
        <v>1</v>
      </c>
      <c r="N298" s="21" t="str">
        <f>"item_"&amp;CONTROL[[#This Row],[VEHIDCODE]]</f>
        <v>item_diesel_GE_Pacific_C44ESACi</v>
      </c>
      <c r="O298" s="21" t="str">
        <f>"str_"&amp;CONTROL[[#This Row],[VEHIDCODE]]</f>
        <v>str_diesel_GE_Pacific_C44ESACi</v>
      </c>
      <c r="P298" s="7" t="b">
        <f>_xlfn.XLOOKUP(CONTROL[[#This Row],[VEHIDCODE]],PROPERTIES[VEHIDCODE],PROPERTIES[IS_CONCEPT])="IS_CONCEPT"</f>
        <v>0</v>
      </c>
      <c r="Q298" s="7" t="b">
        <f>_xlfn.XLOOKUP(CONTROL[[#This Row],[VEHIDCODE]],PROPERTIES[VEHIDCODE],PROPERTIES[EXCLUDE])</f>
        <v>0</v>
      </c>
      <c r="R298" t="str" cm="1">
        <f t="array" ref="R298">_xlfn.XLOOKUP(CONTROL[[#This Row],[VEHIDCODE]],GRAPHICS_PROPERTIES[VEHIDCODE],GRAPHICS_PROPERTIES[TEMPLATE_ID]&amp;GRAPHICS_PROPERTIES[TEMPLATE_AMENDMENT_CODE])</f>
        <v>TPL_01A</v>
      </c>
    </row>
    <row r="299" spans="1:18" x14ac:dyDescent="0.35">
      <c r="A299" s="2" t="s">
        <v>2933</v>
      </c>
      <c r="B299" s="21" t="str">
        <f>_xlfn.TEXTAFTER(CONTROL[[#This Row],[VEHIDCODE]],"_")</f>
        <v>Stadler_UKLight</v>
      </c>
      <c r="C299" t="str" cm="1">
        <f t="array" ref="C2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9" t="str" cm="1">
        <f t="array" ref="D2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9">
        <v>5131</v>
      </c>
      <c r="F299" s="32" t="s">
        <v>1973</v>
      </c>
      <c r="G299" t="s">
        <v>1326</v>
      </c>
      <c r="H299" s="2" t="b">
        <f>AND(CONTROL[[#This Row],[IS_WAGON_OR_COACH]]=TRUE,OR(RIGHT(CONTROL[[#This Row],[VEHIDCODE]],7)="Powered",RIGHT(CONTROL[[#This Row],[VEHIDCODE]],9)="Unpowered"))</f>
        <v>0</v>
      </c>
      <c r="I2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9" t="b">
        <f>ISNUMBER(_xlfn.XMATCH(CONTROL[[#This Row],[VEHIDCODE]],TRACK_TYPES[VEHIDCODE],0))</f>
        <v>1</v>
      </c>
      <c r="K299" t="b">
        <f>ISNUMBER(_xlfn.XMATCH(CONTROL[[#This Row],[VEHIDCODE]],PROPERTIES[VEHIDCODE],0))</f>
        <v>1</v>
      </c>
      <c r="L299" t="b">
        <f>ISNUMBER(_xlfn.XLOOKUP(CONTROL[[#This Row],[VEHIDCODE]],roster!A:A,roster!D:D))</f>
        <v>1</v>
      </c>
      <c r="M299" t="b">
        <f>ISNUMBER(_xlfn.XMATCH(CONTROL[[#This Row],[VEHIDCODE]],GRAPHICS_PROPERTIES[VEHIDCODE],0))</f>
        <v>1</v>
      </c>
      <c r="N299" s="21" t="str">
        <f>"item_"&amp;CONTROL[[#This Row],[VEHIDCODE]]</f>
        <v>item_diesel_Stadler_UKLight</v>
      </c>
      <c r="O299" s="21" t="str">
        <f>"str_"&amp;CONTROL[[#This Row],[VEHIDCODE]]</f>
        <v>str_diesel_Stadler_UKLight</v>
      </c>
      <c r="P299" s="7" t="b">
        <f>_xlfn.XLOOKUP(CONTROL[[#This Row],[VEHIDCODE]],PROPERTIES[VEHIDCODE],PROPERTIES[IS_CONCEPT])="IS_CONCEPT"</f>
        <v>0</v>
      </c>
      <c r="Q299" s="7" t="b">
        <f>_xlfn.XLOOKUP(CONTROL[[#This Row],[VEHIDCODE]],PROPERTIES[VEHIDCODE],PROPERTIES[EXCLUDE])</f>
        <v>0</v>
      </c>
      <c r="R299" t="str" cm="1">
        <f t="array" ref="R299">_xlfn.XLOOKUP(CONTROL[[#This Row],[VEHIDCODE]],GRAPHICS_PROPERTIES[VEHIDCODE],GRAPHICS_PROPERTIES[TEMPLATE_ID]&amp;GRAPHICS_PROPERTIES[TEMPLATE_AMENDMENT_CODE])</f>
        <v>TPL_01A</v>
      </c>
    </row>
    <row r="300" spans="1:18" x14ac:dyDescent="0.35">
      <c r="A300" s="2" t="s">
        <v>2934</v>
      </c>
      <c r="B300" s="21" t="str">
        <f>_xlfn.TEXTAFTER(CONTROL[[#This Row],[VEHIDCODE]],"_")</f>
        <v>Siemens_Charger_ALC_42</v>
      </c>
      <c r="C300" t="str" cm="1">
        <f t="array" ref="C3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300" t="str" cm="1">
        <f t="array" ref="D3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300">
        <v>5133</v>
      </c>
      <c r="F300" s="32" t="s">
        <v>2031</v>
      </c>
      <c r="G300" t="s">
        <v>1327</v>
      </c>
      <c r="H300" s="2" t="b">
        <f>AND(CONTROL[[#This Row],[IS_WAGON_OR_COACH]]=TRUE,OR(RIGHT(CONTROL[[#This Row],[VEHIDCODE]],7)="Powered",RIGHT(CONTROL[[#This Row],[VEHIDCODE]],9)="Unpowered"))</f>
        <v>0</v>
      </c>
      <c r="I3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0" t="b">
        <f>ISNUMBER(_xlfn.XMATCH(CONTROL[[#This Row],[VEHIDCODE]],TRACK_TYPES[VEHIDCODE],0))</f>
        <v>1</v>
      </c>
      <c r="K300" t="b">
        <f>ISNUMBER(_xlfn.XMATCH(CONTROL[[#This Row],[VEHIDCODE]],PROPERTIES[VEHIDCODE],0))</f>
        <v>1</v>
      </c>
      <c r="L300" t="b">
        <f>ISNUMBER(_xlfn.XLOOKUP(CONTROL[[#This Row],[VEHIDCODE]],roster!A:A,roster!D:D))</f>
        <v>1</v>
      </c>
      <c r="M300" t="b">
        <f>ISNUMBER(_xlfn.XMATCH(CONTROL[[#This Row],[VEHIDCODE]],GRAPHICS_PROPERTIES[VEHIDCODE],0))</f>
        <v>1</v>
      </c>
      <c r="N300" s="21" t="str">
        <f>"item_"&amp;CONTROL[[#This Row],[VEHIDCODE]]</f>
        <v>item_diesel_Siemens_Charger_ALC_42</v>
      </c>
      <c r="O300" s="21" t="str">
        <f>"str_"&amp;CONTROL[[#This Row],[VEHIDCODE]]</f>
        <v>str_diesel_Siemens_Charger_ALC_42</v>
      </c>
      <c r="P300" s="7" t="b">
        <f>_xlfn.XLOOKUP(CONTROL[[#This Row],[VEHIDCODE]],PROPERTIES[VEHIDCODE],PROPERTIES[IS_CONCEPT])="IS_CONCEPT"</f>
        <v>0</v>
      </c>
      <c r="Q300" s="7" t="b">
        <f>_xlfn.XLOOKUP(CONTROL[[#This Row],[VEHIDCODE]],PROPERTIES[VEHIDCODE],PROPERTIES[EXCLUDE])</f>
        <v>0</v>
      </c>
      <c r="R300" t="str" cm="1">
        <f t="array" ref="R300">_xlfn.XLOOKUP(CONTROL[[#This Row],[VEHIDCODE]],GRAPHICS_PROPERTIES[VEHIDCODE],GRAPHICS_PROPERTIES[TEMPLATE_ID]&amp;GRAPHICS_PROPERTIES[TEMPLATE_AMENDMENT_CODE])</f>
        <v>TPL_01A</v>
      </c>
    </row>
    <row r="301" spans="1:18" x14ac:dyDescent="0.35">
      <c r="A301" s="2" t="s">
        <v>2935</v>
      </c>
      <c r="B301" s="21" t="str">
        <f>_xlfn.TEXTAFTER(CONTROL[[#This Row],[VEHIDCODE]],"_")</f>
        <v>Buenos_Aires_Le_Brugeoise</v>
      </c>
      <c r="C301" t="str" cm="1">
        <f t="array" ref="C3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1" t="str" cm="1">
        <f t="array" ref="D3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1">
        <v>9004</v>
      </c>
      <c r="F301" s="32" t="s">
        <v>376</v>
      </c>
      <c r="G301" t="s">
        <v>1329</v>
      </c>
      <c r="H301" s="2" t="b">
        <f>AND(CONTROL[[#This Row],[IS_WAGON_OR_COACH]]=TRUE,OR(RIGHT(CONTROL[[#This Row],[VEHIDCODE]],7)="Powered",RIGHT(CONTROL[[#This Row],[VEHIDCODE]],9)="Unpowered"))</f>
        <v>0</v>
      </c>
      <c r="I3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1" t="b">
        <f>ISNUMBER(_xlfn.XMATCH(CONTROL[[#This Row],[VEHIDCODE]],TRACK_TYPES[VEHIDCODE],0))</f>
        <v>1</v>
      </c>
      <c r="K301" t="b">
        <f>ISNUMBER(_xlfn.XMATCH(CONTROL[[#This Row],[VEHIDCODE]],PROPERTIES[VEHIDCODE],0))</f>
        <v>1</v>
      </c>
      <c r="L301" t="b">
        <f>ISNUMBER(_xlfn.XLOOKUP(CONTROL[[#This Row],[VEHIDCODE]],roster!A:A,roster!D:D))</f>
        <v>1</v>
      </c>
      <c r="M301" t="b">
        <f>ISNUMBER(_xlfn.XMATCH(CONTROL[[#This Row],[VEHIDCODE]],GRAPHICS_PROPERTIES[VEHIDCODE],0))</f>
        <v>1</v>
      </c>
      <c r="N301" s="21" t="str">
        <f>"item_"&amp;CONTROL[[#This Row],[VEHIDCODE]]</f>
        <v>item_mtro_Buenos_Aires_Le_Brugeoise</v>
      </c>
      <c r="O301" s="21" t="str">
        <f>"str_"&amp;CONTROL[[#This Row],[VEHIDCODE]]</f>
        <v>str_mtro_Buenos_Aires_Le_Brugeoise</v>
      </c>
      <c r="P301" s="7" t="b">
        <f>_xlfn.XLOOKUP(CONTROL[[#This Row],[VEHIDCODE]],PROPERTIES[VEHIDCODE],PROPERTIES[IS_CONCEPT])="IS_CONCEPT"</f>
        <v>0</v>
      </c>
      <c r="Q301" s="7" t="b">
        <f>_xlfn.XLOOKUP(CONTROL[[#This Row],[VEHIDCODE]],PROPERTIES[VEHIDCODE],PROPERTIES[EXCLUDE])</f>
        <v>0</v>
      </c>
      <c r="R301" t="str" cm="1">
        <f t="array" ref="R301">_xlfn.XLOOKUP(CONTROL[[#This Row],[VEHIDCODE]],GRAPHICS_PROPERTIES[VEHIDCODE],GRAPHICS_PROPERTIES[TEMPLATE_ID]&amp;GRAPHICS_PROPERTIES[TEMPLATE_AMENDMENT_CODE])</f>
        <v>TPL_02C</v>
      </c>
    </row>
    <row r="302" spans="1:18" x14ac:dyDescent="0.35">
      <c r="A302" s="2" t="s">
        <v>2936</v>
      </c>
      <c r="B302" s="21" t="str">
        <f>_xlfn.TEXTAFTER(CONTROL[[#This Row],[VEHIDCODE]],"_")</f>
        <v>ACF_New_York_R1</v>
      </c>
      <c r="C302" t="str" cm="1">
        <f t="array" ref="C3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2" t="str" cm="1">
        <f t="array" ref="D3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2">
        <v>9006</v>
      </c>
      <c r="F302" s="32" t="s">
        <v>2195</v>
      </c>
      <c r="G302" t="s">
        <v>1330</v>
      </c>
      <c r="H302" s="2" t="b">
        <f>AND(CONTROL[[#This Row],[IS_WAGON_OR_COACH]]=TRUE,OR(RIGHT(CONTROL[[#This Row],[VEHIDCODE]],7)="Powered",RIGHT(CONTROL[[#This Row],[VEHIDCODE]],9)="Unpowered"))</f>
        <v>0</v>
      </c>
      <c r="I3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2" t="b">
        <f>ISNUMBER(_xlfn.XMATCH(CONTROL[[#This Row],[VEHIDCODE]],TRACK_TYPES[VEHIDCODE],0))</f>
        <v>1</v>
      </c>
      <c r="K302" t="b">
        <f>ISNUMBER(_xlfn.XMATCH(CONTROL[[#This Row],[VEHIDCODE]],PROPERTIES[VEHIDCODE],0))</f>
        <v>1</v>
      </c>
      <c r="L302" t="b">
        <f>ISNUMBER(_xlfn.XLOOKUP(CONTROL[[#This Row],[VEHIDCODE]],roster!A:A,roster!D:D))</f>
        <v>1</v>
      </c>
      <c r="M302" t="b">
        <f>ISNUMBER(_xlfn.XMATCH(CONTROL[[#This Row],[VEHIDCODE]],GRAPHICS_PROPERTIES[VEHIDCODE],0))</f>
        <v>1</v>
      </c>
      <c r="N302" s="21" t="str">
        <f>"item_"&amp;CONTROL[[#This Row],[VEHIDCODE]]</f>
        <v>item_mtro_ACF_New_York_R1</v>
      </c>
      <c r="O302" s="21" t="str">
        <f>"str_"&amp;CONTROL[[#This Row],[VEHIDCODE]]</f>
        <v>str_mtro_ACF_New_York_R1</v>
      </c>
      <c r="P302" s="7" t="b">
        <f>_xlfn.XLOOKUP(CONTROL[[#This Row],[VEHIDCODE]],PROPERTIES[VEHIDCODE],PROPERTIES[IS_CONCEPT])="IS_CONCEPT"</f>
        <v>0</v>
      </c>
      <c r="Q302" s="7" t="b">
        <f>_xlfn.XLOOKUP(CONTROL[[#This Row],[VEHIDCODE]],PROPERTIES[VEHIDCODE],PROPERTIES[EXCLUDE])</f>
        <v>0</v>
      </c>
      <c r="R302" t="str" cm="1">
        <f t="array" ref="R302">_xlfn.XLOOKUP(CONTROL[[#This Row],[VEHIDCODE]],GRAPHICS_PROPERTIES[VEHIDCODE],GRAPHICS_PROPERTIES[TEMPLATE_ID]&amp;GRAPHICS_PROPERTIES[TEMPLATE_AMENDMENT_CODE])</f>
        <v>TPL_02C</v>
      </c>
    </row>
    <row r="303" spans="1:18" x14ac:dyDescent="0.35">
      <c r="A303" s="2" t="s">
        <v>2937</v>
      </c>
      <c r="B303" s="21" t="str">
        <f>_xlfn.TEXTAFTER(CONTROL[[#This Row],[VEHIDCODE]],"_")</f>
        <v>LHB_ET_171</v>
      </c>
      <c r="C303" t="str" cm="1">
        <f t="array" ref="C3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3" t="str" cm="1">
        <f t="array" ref="D3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3">
        <v>9008</v>
      </c>
      <c r="F303" s="32" t="s">
        <v>2193</v>
      </c>
      <c r="G303" t="s">
        <v>1331</v>
      </c>
      <c r="H303" s="2" t="b">
        <f>AND(CONTROL[[#This Row],[IS_WAGON_OR_COACH]]=TRUE,OR(RIGHT(CONTROL[[#This Row],[VEHIDCODE]],7)="Powered",RIGHT(CONTROL[[#This Row],[VEHIDCODE]],9)="Unpowered"))</f>
        <v>0</v>
      </c>
      <c r="I3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3" t="b">
        <f>ISNUMBER(_xlfn.XMATCH(CONTROL[[#This Row],[VEHIDCODE]],TRACK_TYPES[VEHIDCODE],0))</f>
        <v>1</v>
      </c>
      <c r="K303" t="b">
        <f>ISNUMBER(_xlfn.XMATCH(CONTROL[[#This Row],[VEHIDCODE]],PROPERTIES[VEHIDCODE],0))</f>
        <v>1</v>
      </c>
      <c r="L303" t="b">
        <f>ISNUMBER(_xlfn.XLOOKUP(CONTROL[[#This Row],[VEHIDCODE]],roster!A:A,roster!D:D))</f>
        <v>1</v>
      </c>
      <c r="M303" t="b">
        <f>ISNUMBER(_xlfn.XMATCH(CONTROL[[#This Row],[VEHIDCODE]],GRAPHICS_PROPERTIES[VEHIDCODE],0))</f>
        <v>1</v>
      </c>
      <c r="N303" s="21" t="str">
        <f>"item_"&amp;CONTROL[[#This Row],[VEHIDCODE]]</f>
        <v>item_mtro_LHB_ET_171</v>
      </c>
      <c r="O303" s="21" t="str">
        <f>"str_"&amp;CONTROL[[#This Row],[VEHIDCODE]]</f>
        <v>str_mtro_LHB_ET_171</v>
      </c>
      <c r="P303" s="7" t="b">
        <f>_xlfn.XLOOKUP(CONTROL[[#This Row],[VEHIDCODE]],PROPERTIES[VEHIDCODE],PROPERTIES[IS_CONCEPT])="IS_CONCEPT"</f>
        <v>0</v>
      </c>
      <c r="Q303" s="7" t="b">
        <f>_xlfn.XLOOKUP(CONTROL[[#This Row],[VEHIDCODE]],PROPERTIES[VEHIDCODE],PROPERTIES[EXCLUDE])</f>
        <v>0</v>
      </c>
      <c r="R303" t="str" cm="1">
        <f t="array" ref="R303">_xlfn.XLOOKUP(CONTROL[[#This Row],[VEHIDCODE]],GRAPHICS_PROPERTIES[VEHIDCODE],GRAPHICS_PROPERTIES[TEMPLATE_ID]&amp;GRAPHICS_PROPERTIES[TEMPLATE_AMENDMENT_CODE])</f>
        <v>TPL_02C</v>
      </c>
    </row>
    <row r="304" spans="1:18" x14ac:dyDescent="0.35">
      <c r="A304" s="2" t="s">
        <v>2938</v>
      </c>
      <c r="B304" s="21" t="str">
        <f>_xlfn.TEXTAFTER(CONTROL[[#This Row],[VEHIDCODE]],"_")</f>
        <v>GEC_Alsthom_Paris_MP55</v>
      </c>
      <c r="C304" t="str" cm="1">
        <f t="array" ref="C3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4" t="str" cm="1">
        <f t="array" ref="D3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4">
        <v>9009</v>
      </c>
      <c r="F304" s="32" t="s">
        <v>2225</v>
      </c>
      <c r="G304" t="s">
        <v>2194</v>
      </c>
      <c r="H304" s="2" t="b">
        <f>AND(CONTROL[[#This Row],[IS_WAGON_OR_COACH]]=TRUE,OR(RIGHT(CONTROL[[#This Row],[VEHIDCODE]],7)="Powered",RIGHT(CONTROL[[#This Row],[VEHIDCODE]],9)="Unpowered"))</f>
        <v>0</v>
      </c>
      <c r="I3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4" t="b">
        <f>ISNUMBER(_xlfn.XMATCH(CONTROL[[#This Row],[VEHIDCODE]],TRACK_TYPES[VEHIDCODE],0))</f>
        <v>1</v>
      </c>
      <c r="K304" t="b">
        <f>ISNUMBER(_xlfn.XMATCH(CONTROL[[#This Row],[VEHIDCODE]],PROPERTIES[VEHIDCODE],0))</f>
        <v>1</v>
      </c>
      <c r="L304" t="b">
        <f>ISNUMBER(_xlfn.XLOOKUP(CONTROL[[#This Row],[VEHIDCODE]],roster!A:A,roster!D:D))</f>
        <v>1</v>
      </c>
      <c r="M304" t="b">
        <f>ISNUMBER(_xlfn.XMATCH(CONTROL[[#This Row],[VEHIDCODE]],GRAPHICS_PROPERTIES[VEHIDCODE],0))</f>
        <v>1</v>
      </c>
      <c r="N304" s="21" t="str">
        <f>"item_"&amp;CONTROL[[#This Row],[VEHIDCODE]]</f>
        <v>item_mtro_GEC_Alsthom_Paris_MP55</v>
      </c>
      <c r="O304" s="21" t="str">
        <f>"str_"&amp;CONTROL[[#This Row],[VEHIDCODE]]</f>
        <v>str_mtro_GEC_Alsthom_Paris_MP55</v>
      </c>
      <c r="P304" s="7" t="b">
        <f>_xlfn.XLOOKUP(CONTROL[[#This Row],[VEHIDCODE]],PROPERTIES[VEHIDCODE],PROPERTIES[IS_CONCEPT])="IS_CONCEPT"</f>
        <v>0</v>
      </c>
      <c r="Q304" s="7" t="b">
        <f>_xlfn.XLOOKUP(CONTROL[[#This Row],[VEHIDCODE]],PROPERTIES[VEHIDCODE],PROPERTIES[EXCLUDE])</f>
        <v>0</v>
      </c>
      <c r="R304" t="str" cm="1">
        <f t="array" ref="R304">_xlfn.XLOOKUP(CONTROL[[#This Row],[VEHIDCODE]],GRAPHICS_PROPERTIES[VEHIDCODE],GRAPHICS_PROPERTIES[TEMPLATE_ID]&amp;GRAPHICS_PROPERTIES[TEMPLATE_AMENDMENT_CODE])</f>
        <v>TPL_02C</v>
      </c>
    </row>
    <row r="305" spans="1:18" x14ac:dyDescent="0.35">
      <c r="A305" s="2" t="s">
        <v>2939</v>
      </c>
      <c r="B305" s="21" t="str">
        <f>_xlfn.TEXTAFTER(CONTROL[[#This Row],[VEHIDCODE]],"_")</f>
        <v>LHB_Lisbon_ML7</v>
      </c>
      <c r="C305" t="str" cm="1">
        <f t="array" ref="C3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5" t="str" cm="1">
        <f t="array" ref="D3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5">
        <v>9010</v>
      </c>
      <c r="F305" s="32" t="s">
        <v>2196</v>
      </c>
      <c r="G305" t="s">
        <v>1332</v>
      </c>
      <c r="H305" s="2" t="b">
        <f>AND(CONTROL[[#This Row],[IS_WAGON_OR_COACH]]=TRUE,OR(RIGHT(CONTROL[[#This Row],[VEHIDCODE]],7)="Powered",RIGHT(CONTROL[[#This Row],[VEHIDCODE]],9)="Unpowered"))</f>
        <v>0</v>
      </c>
      <c r="I3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5" t="b">
        <f>ISNUMBER(_xlfn.XMATCH(CONTROL[[#This Row],[VEHIDCODE]],TRACK_TYPES[VEHIDCODE],0))</f>
        <v>1</v>
      </c>
      <c r="K305" t="b">
        <f>ISNUMBER(_xlfn.XMATCH(CONTROL[[#This Row],[VEHIDCODE]],PROPERTIES[VEHIDCODE],0))</f>
        <v>1</v>
      </c>
      <c r="L305" t="b">
        <f>ISNUMBER(_xlfn.XLOOKUP(CONTROL[[#This Row],[VEHIDCODE]],roster!A:A,roster!D:D))</f>
        <v>1</v>
      </c>
      <c r="M305" t="b">
        <f>ISNUMBER(_xlfn.XMATCH(CONTROL[[#This Row],[VEHIDCODE]],GRAPHICS_PROPERTIES[VEHIDCODE],0))</f>
        <v>1</v>
      </c>
      <c r="N305" s="21" t="str">
        <f>"item_"&amp;CONTROL[[#This Row],[VEHIDCODE]]</f>
        <v>item_mtro_LHB_Lisbon_ML7</v>
      </c>
      <c r="O305" s="21" t="str">
        <f>"str_"&amp;CONTROL[[#This Row],[VEHIDCODE]]</f>
        <v>str_mtro_LHB_Lisbon_ML7</v>
      </c>
      <c r="P305" s="7" t="b">
        <f>_xlfn.XLOOKUP(CONTROL[[#This Row],[VEHIDCODE]],PROPERTIES[VEHIDCODE],PROPERTIES[IS_CONCEPT])="IS_CONCEPT"</f>
        <v>0</v>
      </c>
      <c r="Q305" s="7" t="b">
        <f>_xlfn.XLOOKUP(CONTROL[[#This Row],[VEHIDCODE]],PROPERTIES[VEHIDCODE],PROPERTIES[EXCLUDE])</f>
        <v>0</v>
      </c>
      <c r="R305" t="str" cm="1">
        <f t="array" ref="R305">_xlfn.XLOOKUP(CONTROL[[#This Row],[VEHIDCODE]],GRAPHICS_PROPERTIES[VEHIDCODE],GRAPHICS_PROPERTIES[TEMPLATE_ID]&amp;GRAPHICS_PROPERTIES[TEMPLATE_AMENDMENT_CODE])</f>
        <v>TPL_02C</v>
      </c>
    </row>
    <row r="306" spans="1:18" x14ac:dyDescent="0.35">
      <c r="A306" s="2" t="s">
        <v>2940</v>
      </c>
      <c r="B306" s="21" t="str">
        <f>_xlfn.TEXTAFTER(CONTROL[[#This Row],[VEHIDCODE]],"_")</f>
        <v>MMZ_Budapest_Ev3</v>
      </c>
      <c r="C306" t="str" cm="1">
        <f t="array" ref="C3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6" t="str" cm="1">
        <f t="array" ref="D3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6">
        <v>9011</v>
      </c>
      <c r="F306" s="32" t="s">
        <v>3554</v>
      </c>
      <c r="G306" t="s">
        <v>3555</v>
      </c>
      <c r="H306" s="2" t="b">
        <f>AND(CONTROL[[#This Row],[IS_WAGON_OR_COACH]]=TRUE,OR(RIGHT(CONTROL[[#This Row],[VEHIDCODE]],7)="Powered",RIGHT(CONTROL[[#This Row],[VEHIDCODE]],9)="Unpowered"))</f>
        <v>0</v>
      </c>
      <c r="I3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6" t="b">
        <f>ISNUMBER(_xlfn.XMATCH(CONTROL[[#This Row],[VEHIDCODE]],TRACK_TYPES[VEHIDCODE],0))</f>
        <v>1</v>
      </c>
      <c r="K306" t="b">
        <f>ISNUMBER(_xlfn.XMATCH(CONTROL[[#This Row],[VEHIDCODE]],PROPERTIES[VEHIDCODE],0))</f>
        <v>1</v>
      </c>
      <c r="L306" t="b">
        <f>ISNUMBER(_xlfn.XLOOKUP(CONTROL[[#This Row],[VEHIDCODE]],roster!A:A,roster!D:D))</f>
        <v>1</v>
      </c>
      <c r="M306" t="b">
        <f>ISNUMBER(_xlfn.XMATCH(CONTROL[[#This Row],[VEHIDCODE]],GRAPHICS_PROPERTIES[VEHIDCODE],0))</f>
        <v>1</v>
      </c>
      <c r="N306" s="21" t="str">
        <f>"item_"&amp;CONTROL[[#This Row],[VEHIDCODE]]</f>
        <v>item_mtro_MMZ_Budapest_Ev3</v>
      </c>
      <c r="O306" s="21" t="str">
        <f>"str_"&amp;CONTROL[[#This Row],[VEHIDCODE]]</f>
        <v>str_mtro_MMZ_Budapest_Ev3</v>
      </c>
      <c r="P306" s="7" t="b">
        <f>_xlfn.XLOOKUP(CONTROL[[#This Row],[VEHIDCODE]],PROPERTIES[VEHIDCODE],PROPERTIES[IS_CONCEPT])="IS_CONCEPT"</f>
        <v>0</v>
      </c>
      <c r="Q306" s="7" t="b">
        <f>_xlfn.XLOOKUP(CONTROL[[#This Row],[VEHIDCODE]],PROPERTIES[VEHIDCODE],PROPERTIES[EXCLUDE])</f>
        <v>0</v>
      </c>
      <c r="R306" t="str" cm="1">
        <f t="array" ref="R306">_xlfn.XLOOKUP(CONTROL[[#This Row],[VEHIDCODE]],GRAPHICS_PROPERTIES[VEHIDCODE],GRAPHICS_PROPERTIES[TEMPLATE_ID]&amp;GRAPHICS_PROPERTIES[TEMPLATE_AMENDMENT_CODE])</f>
        <v>TPL_02C</v>
      </c>
    </row>
    <row r="307" spans="1:18" x14ac:dyDescent="0.35">
      <c r="A307" s="2" t="s">
        <v>2941</v>
      </c>
      <c r="B307" s="21" t="str">
        <f>_xlfn.TEXTAFTER(CONTROL[[#This Row],[VEHIDCODE]],"_")</f>
        <v>Strommens_Oslo_T1000</v>
      </c>
      <c r="C307" t="str" cm="1">
        <f t="array" ref="C3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7" t="str" cm="1">
        <f t="array" ref="D3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7">
        <v>9012</v>
      </c>
      <c r="F307" s="32" t="s">
        <v>2197</v>
      </c>
      <c r="G307" t="s">
        <v>1333</v>
      </c>
      <c r="H307" s="2" t="b">
        <f>AND(CONTROL[[#This Row],[IS_WAGON_OR_COACH]]=TRUE,OR(RIGHT(CONTROL[[#This Row],[VEHIDCODE]],7)="Powered",RIGHT(CONTROL[[#This Row],[VEHIDCODE]],9)="Unpowered"))</f>
        <v>0</v>
      </c>
      <c r="I3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7" t="b">
        <f>ISNUMBER(_xlfn.XMATCH(CONTROL[[#This Row],[VEHIDCODE]],TRACK_TYPES[VEHIDCODE],0))</f>
        <v>1</v>
      </c>
      <c r="K307" t="b">
        <f>ISNUMBER(_xlfn.XMATCH(CONTROL[[#This Row],[VEHIDCODE]],PROPERTIES[VEHIDCODE],0))</f>
        <v>1</v>
      </c>
      <c r="L307" t="b">
        <f>ISNUMBER(_xlfn.XLOOKUP(CONTROL[[#This Row],[VEHIDCODE]],roster!A:A,roster!D:D))</f>
        <v>1</v>
      </c>
      <c r="M307" t="b">
        <f>ISNUMBER(_xlfn.XMATCH(CONTROL[[#This Row],[VEHIDCODE]],GRAPHICS_PROPERTIES[VEHIDCODE],0))</f>
        <v>1</v>
      </c>
      <c r="N307" s="21" t="str">
        <f>"item_"&amp;CONTROL[[#This Row],[VEHIDCODE]]</f>
        <v>item_mtro_Strommens_Oslo_T1000</v>
      </c>
      <c r="O307" s="21" t="str">
        <f>"str_"&amp;CONTROL[[#This Row],[VEHIDCODE]]</f>
        <v>str_mtro_Strommens_Oslo_T1000</v>
      </c>
      <c r="P307" s="7" t="b">
        <f>_xlfn.XLOOKUP(CONTROL[[#This Row],[VEHIDCODE]],PROPERTIES[VEHIDCODE],PROPERTIES[IS_CONCEPT])="IS_CONCEPT"</f>
        <v>0</v>
      </c>
      <c r="Q307" s="7" t="b">
        <f>_xlfn.XLOOKUP(CONTROL[[#This Row],[VEHIDCODE]],PROPERTIES[VEHIDCODE],PROPERTIES[EXCLUDE])</f>
        <v>0</v>
      </c>
      <c r="R307" t="str" cm="1">
        <f t="array" ref="R307">_xlfn.XLOOKUP(CONTROL[[#This Row],[VEHIDCODE]],GRAPHICS_PROPERTIES[VEHIDCODE],GRAPHICS_PROPERTIES[TEMPLATE_ID]&amp;GRAPHICS_PROPERTIES[TEMPLATE_AMENDMENT_CODE])</f>
        <v>TPL_02C</v>
      </c>
    </row>
    <row r="308" spans="1:18" x14ac:dyDescent="0.35">
      <c r="A308" s="2" t="s">
        <v>2942</v>
      </c>
      <c r="B308" s="21" t="str">
        <f>_xlfn.TEXTAFTER(CONTROL[[#This Row],[VEHIDCODE]],"_")</f>
        <v>Hawker_Siddeley_Toronto_H1</v>
      </c>
      <c r="C308" t="str" cm="1">
        <f t="array" ref="C3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8" t="str" cm="1">
        <f t="array" ref="D3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8">
        <v>9013</v>
      </c>
      <c r="F308" s="32" t="s">
        <v>2198</v>
      </c>
      <c r="G308" t="s">
        <v>1334</v>
      </c>
      <c r="H308" s="2" t="b">
        <f>AND(CONTROL[[#This Row],[IS_WAGON_OR_COACH]]=TRUE,OR(RIGHT(CONTROL[[#This Row],[VEHIDCODE]],7)="Powered",RIGHT(CONTROL[[#This Row],[VEHIDCODE]],9)="Unpowered"))</f>
        <v>0</v>
      </c>
      <c r="I3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8" t="b">
        <f>ISNUMBER(_xlfn.XMATCH(CONTROL[[#This Row],[VEHIDCODE]],TRACK_TYPES[VEHIDCODE],0))</f>
        <v>1</v>
      </c>
      <c r="K308" t="b">
        <f>ISNUMBER(_xlfn.XMATCH(CONTROL[[#This Row],[VEHIDCODE]],PROPERTIES[VEHIDCODE],0))</f>
        <v>1</v>
      </c>
      <c r="L308" t="b">
        <f>ISNUMBER(_xlfn.XLOOKUP(CONTROL[[#This Row],[VEHIDCODE]],roster!A:A,roster!D:D))</f>
        <v>1</v>
      </c>
      <c r="M308" t="b">
        <f>ISNUMBER(_xlfn.XMATCH(CONTROL[[#This Row],[VEHIDCODE]],GRAPHICS_PROPERTIES[VEHIDCODE],0))</f>
        <v>1</v>
      </c>
      <c r="N308" s="21" t="str">
        <f>"item_"&amp;CONTROL[[#This Row],[VEHIDCODE]]</f>
        <v>item_mtro_Hawker_Siddeley_Toronto_H1</v>
      </c>
      <c r="O308" s="21" t="str">
        <f>"str_"&amp;CONTROL[[#This Row],[VEHIDCODE]]</f>
        <v>str_mtro_Hawker_Siddeley_Toronto_H1</v>
      </c>
      <c r="P308" s="7" t="b">
        <f>_xlfn.XLOOKUP(CONTROL[[#This Row],[VEHIDCODE]],PROPERTIES[VEHIDCODE],PROPERTIES[IS_CONCEPT])="IS_CONCEPT"</f>
        <v>0</v>
      </c>
      <c r="Q308" s="7" t="b">
        <f>_xlfn.XLOOKUP(CONTROL[[#This Row],[VEHIDCODE]],PROPERTIES[VEHIDCODE],PROPERTIES[EXCLUDE])</f>
        <v>0</v>
      </c>
      <c r="R308" t="str" cm="1">
        <f t="array" ref="R308">_xlfn.XLOOKUP(CONTROL[[#This Row],[VEHIDCODE]],GRAPHICS_PROPERTIES[VEHIDCODE],GRAPHICS_PROPERTIES[TEMPLATE_ID]&amp;GRAPHICS_PROPERTIES[TEMPLATE_AMENDMENT_CODE])</f>
        <v>TPL_02C</v>
      </c>
    </row>
    <row r="309" spans="1:18" x14ac:dyDescent="0.35">
      <c r="A309" s="2" t="s">
        <v>2943</v>
      </c>
      <c r="B309" s="21" t="str">
        <f>_xlfn.TEXTAFTER(CONTROL[[#This Row],[VEHIDCODE]],"_")</f>
        <v>MAN_Munchen_MVG_A2</v>
      </c>
      <c r="C309" t="str" cm="1">
        <f t="array" ref="C3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9" t="str" cm="1">
        <f t="array" ref="D3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9">
        <v>9014</v>
      </c>
      <c r="F309" s="32" t="s">
        <v>2199</v>
      </c>
      <c r="G309" t="s">
        <v>1335</v>
      </c>
      <c r="H309" s="2" t="b">
        <f>AND(CONTROL[[#This Row],[IS_WAGON_OR_COACH]]=TRUE,OR(RIGHT(CONTROL[[#This Row],[VEHIDCODE]],7)="Powered",RIGHT(CONTROL[[#This Row],[VEHIDCODE]],9)="Unpowered"))</f>
        <v>0</v>
      </c>
      <c r="I3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9" t="b">
        <f>ISNUMBER(_xlfn.XMATCH(CONTROL[[#This Row],[VEHIDCODE]],TRACK_TYPES[VEHIDCODE],0))</f>
        <v>1</v>
      </c>
      <c r="K309" t="b">
        <f>ISNUMBER(_xlfn.XMATCH(CONTROL[[#This Row],[VEHIDCODE]],PROPERTIES[VEHIDCODE],0))</f>
        <v>1</v>
      </c>
      <c r="L309" t="b">
        <f>ISNUMBER(_xlfn.XLOOKUP(CONTROL[[#This Row],[VEHIDCODE]],roster!A:A,roster!D:D))</f>
        <v>1</v>
      </c>
      <c r="M309" t="b">
        <f>ISNUMBER(_xlfn.XMATCH(CONTROL[[#This Row],[VEHIDCODE]],GRAPHICS_PROPERTIES[VEHIDCODE],0))</f>
        <v>1</v>
      </c>
      <c r="N309" s="21" t="str">
        <f>"item_"&amp;CONTROL[[#This Row],[VEHIDCODE]]</f>
        <v>item_mtro_MAN_Munchen_MVG_A2</v>
      </c>
      <c r="O309" s="21" t="str">
        <f>"str_"&amp;CONTROL[[#This Row],[VEHIDCODE]]</f>
        <v>str_mtro_MAN_Munchen_MVG_A2</v>
      </c>
      <c r="P309" s="7" t="b">
        <f>_xlfn.XLOOKUP(CONTROL[[#This Row],[VEHIDCODE]],PROPERTIES[VEHIDCODE],PROPERTIES[IS_CONCEPT])="IS_CONCEPT"</f>
        <v>0</v>
      </c>
      <c r="Q309" s="7" t="b">
        <f>_xlfn.XLOOKUP(CONTROL[[#This Row],[VEHIDCODE]],PROPERTIES[VEHIDCODE],PROPERTIES[EXCLUDE])</f>
        <v>0</v>
      </c>
      <c r="R309" t="str" cm="1">
        <f t="array" ref="R309">_xlfn.XLOOKUP(CONTROL[[#This Row],[VEHIDCODE]],GRAPHICS_PROPERTIES[VEHIDCODE],GRAPHICS_PROPERTIES[TEMPLATE_ID]&amp;GRAPHICS_PROPERTIES[TEMPLATE_AMENDMENT_CODE])</f>
        <v>TPL_02C</v>
      </c>
    </row>
    <row r="310" spans="1:18" x14ac:dyDescent="0.35">
      <c r="A310" s="2" t="s">
        <v>2944</v>
      </c>
      <c r="B310" s="21" t="str">
        <f>_xlfn.TEXTAFTER(CONTROL[[#This Row],[VEHIDCODE]],"_")</f>
        <v>St__Louis_Car_Co_New_York_R44</v>
      </c>
      <c r="C310" t="str" cm="1">
        <f t="array" ref="C3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0" t="str" cm="1">
        <f t="array" ref="D3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0">
        <v>9015</v>
      </c>
      <c r="F310" s="32" t="s">
        <v>2200</v>
      </c>
      <c r="G310" t="s">
        <v>1336</v>
      </c>
      <c r="H310" s="2" t="b">
        <f>AND(CONTROL[[#This Row],[IS_WAGON_OR_COACH]]=TRUE,OR(RIGHT(CONTROL[[#This Row],[VEHIDCODE]],7)="Powered",RIGHT(CONTROL[[#This Row],[VEHIDCODE]],9)="Unpowered"))</f>
        <v>0</v>
      </c>
      <c r="I3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0" t="b">
        <f>ISNUMBER(_xlfn.XMATCH(CONTROL[[#This Row],[VEHIDCODE]],TRACK_TYPES[VEHIDCODE],0))</f>
        <v>1</v>
      </c>
      <c r="K310" t="b">
        <f>ISNUMBER(_xlfn.XMATCH(CONTROL[[#This Row],[VEHIDCODE]],PROPERTIES[VEHIDCODE],0))</f>
        <v>1</v>
      </c>
      <c r="L310" t="b">
        <f>ISNUMBER(_xlfn.XLOOKUP(CONTROL[[#This Row],[VEHIDCODE]],roster!A:A,roster!D:D))</f>
        <v>1</v>
      </c>
      <c r="M310" t="b">
        <f>ISNUMBER(_xlfn.XMATCH(CONTROL[[#This Row],[VEHIDCODE]],GRAPHICS_PROPERTIES[VEHIDCODE],0))</f>
        <v>1</v>
      </c>
      <c r="N310" s="21" t="str">
        <f>"item_"&amp;CONTROL[[#This Row],[VEHIDCODE]]</f>
        <v>item_mtro_St__Louis_Car_Co_New_York_R44</v>
      </c>
      <c r="O310" s="21" t="str">
        <f>"str_"&amp;CONTROL[[#This Row],[VEHIDCODE]]</f>
        <v>str_mtro_St__Louis_Car_Co_New_York_R44</v>
      </c>
      <c r="P310" s="7" t="b">
        <f>_xlfn.XLOOKUP(CONTROL[[#This Row],[VEHIDCODE]],PROPERTIES[VEHIDCODE],PROPERTIES[IS_CONCEPT])="IS_CONCEPT"</f>
        <v>0</v>
      </c>
      <c r="Q310" s="7" t="b">
        <f>_xlfn.XLOOKUP(CONTROL[[#This Row],[VEHIDCODE]],PROPERTIES[VEHIDCODE],PROPERTIES[EXCLUDE])</f>
        <v>0</v>
      </c>
      <c r="R310" t="str" cm="1">
        <f t="array" ref="R310">_xlfn.XLOOKUP(CONTROL[[#This Row],[VEHIDCODE]],GRAPHICS_PROPERTIES[VEHIDCODE],GRAPHICS_PROPERTIES[TEMPLATE_ID]&amp;GRAPHICS_PROPERTIES[TEMPLATE_AMENDMENT_CODE])</f>
        <v>TPL_02C</v>
      </c>
    </row>
    <row r="311" spans="1:18" x14ac:dyDescent="0.35">
      <c r="A311" s="2" t="s">
        <v>2945</v>
      </c>
      <c r="B311" s="21" t="str">
        <f>_xlfn.TEXTAFTER(CONTROL[[#This Row],[VEHIDCODE]],"_")</f>
        <v>LHB_Amsterdam_M1</v>
      </c>
      <c r="C311" t="str" cm="1">
        <f t="array" ref="C3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1" t="str" cm="1">
        <f t="array" ref="D3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1">
        <v>9016</v>
      </c>
      <c r="F311" s="32" t="s">
        <v>2201</v>
      </c>
      <c r="G311" t="s">
        <v>1337</v>
      </c>
      <c r="H311" s="2" t="b">
        <f>AND(CONTROL[[#This Row],[IS_WAGON_OR_COACH]]=TRUE,OR(RIGHT(CONTROL[[#This Row],[VEHIDCODE]],7)="Powered",RIGHT(CONTROL[[#This Row],[VEHIDCODE]],9)="Unpowered"))</f>
        <v>0</v>
      </c>
      <c r="I3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1" t="b">
        <f>ISNUMBER(_xlfn.XMATCH(CONTROL[[#This Row],[VEHIDCODE]],TRACK_TYPES[VEHIDCODE],0))</f>
        <v>1</v>
      </c>
      <c r="K311" t="b">
        <f>ISNUMBER(_xlfn.XMATCH(CONTROL[[#This Row],[VEHIDCODE]],PROPERTIES[VEHIDCODE],0))</f>
        <v>1</v>
      </c>
      <c r="L311" t="b">
        <f>ISNUMBER(_xlfn.XLOOKUP(CONTROL[[#This Row],[VEHIDCODE]],roster!A:A,roster!D:D))</f>
        <v>1</v>
      </c>
      <c r="M311" t="b">
        <f>ISNUMBER(_xlfn.XMATCH(CONTROL[[#This Row],[VEHIDCODE]],GRAPHICS_PROPERTIES[VEHIDCODE],0))</f>
        <v>1</v>
      </c>
      <c r="N311" s="21" t="str">
        <f>"item_"&amp;CONTROL[[#This Row],[VEHIDCODE]]</f>
        <v>item_mtro_LHB_Amsterdam_M1</v>
      </c>
      <c r="O311" s="21" t="str">
        <f>"str_"&amp;CONTROL[[#This Row],[VEHIDCODE]]</f>
        <v>str_mtro_LHB_Amsterdam_M1</v>
      </c>
      <c r="P311" s="7" t="b">
        <f>_xlfn.XLOOKUP(CONTROL[[#This Row],[VEHIDCODE]],PROPERTIES[VEHIDCODE],PROPERTIES[IS_CONCEPT])="IS_CONCEPT"</f>
        <v>0</v>
      </c>
      <c r="Q311" s="7" t="b">
        <f>_xlfn.XLOOKUP(CONTROL[[#This Row],[VEHIDCODE]],PROPERTIES[VEHIDCODE],PROPERTIES[EXCLUDE])</f>
        <v>0</v>
      </c>
      <c r="R311" t="str" cm="1">
        <f t="array" ref="R311">_xlfn.XLOOKUP(CONTROL[[#This Row],[VEHIDCODE]],GRAPHICS_PROPERTIES[VEHIDCODE],GRAPHICS_PROPERTIES[TEMPLATE_ID]&amp;GRAPHICS_PROPERTIES[TEMPLATE_AMENDMENT_CODE])</f>
        <v>TPL_02C</v>
      </c>
    </row>
    <row r="312" spans="1:18" x14ac:dyDescent="0.35">
      <c r="A312" s="2" t="s">
        <v>2946</v>
      </c>
      <c r="B312" s="21" t="str">
        <f>_xlfn.TEXTAFTER(CONTROL[[#This Row],[VEHIDCODE]],"_")</f>
        <v>ASEA_Stockholm_C8</v>
      </c>
      <c r="C312" t="str" cm="1">
        <f t="array" ref="C3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2" t="str" cm="1">
        <f t="array" ref="D3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2">
        <v>9017</v>
      </c>
      <c r="F312" s="32" t="s">
        <v>2569</v>
      </c>
      <c r="G312" t="s">
        <v>1338</v>
      </c>
      <c r="H312" s="2" t="b">
        <f>AND(CONTROL[[#This Row],[IS_WAGON_OR_COACH]]=TRUE,OR(RIGHT(CONTROL[[#This Row],[VEHIDCODE]],7)="Powered",RIGHT(CONTROL[[#This Row],[VEHIDCODE]],9)="Unpowered"))</f>
        <v>0</v>
      </c>
      <c r="I3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2" t="b">
        <f>ISNUMBER(_xlfn.XMATCH(CONTROL[[#This Row],[VEHIDCODE]],TRACK_TYPES[VEHIDCODE],0))</f>
        <v>1</v>
      </c>
      <c r="K312" t="b">
        <f>ISNUMBER(_xlfn.XMATCH(CONTROL[[#This Row],[VEHIDCODE]],PROPERTIES[VEHIDCODE],0))</f>
        <v>1</v>
      </c>
      <c r="L312" t="b">
        <f>ISNUMBER(_xlfn.XLOOKUP(CONTROL[[#This Row],[VEHIDCODE]],roster!A:A,roster!D:D))</f>
        <v>1</v>
      </c>
      <c r="M312" t="b">
        <f>ISNUMBER(_xlfn.XMATCH(CONTROL[[#This Row],[VEHIDCODE]],GRAPHICS_PROPERTIES[VEHIDCODE],0))</f>
        <v>1</v>
      </c>
      <c r="N312" s="21" t="str">
        <f>"item_"&amp;CONTROL[[#This Row],[VEHIDCODE]]</f>
        <v>item_mtro_ASEA_Stockholm_C8</v>
      </c>
      <c r="O312" s="21" t="str">
        <f>"str_"&amp;CONTROL[[#This Row],[VEHIDCODE]]</f>
        <v>str_mtro_ASEA_Stockholm_C8</v>
      </c>
      <c r="P312" s="7" t="b">
        <f>_xlfn.XLOOKUP(CONTROL[[#This Row],[VEHIDCODE]],PROPERTIES[VEHIDCODE],PROPERTIES[IS_CONCEPT])="IS_CONCEPT"</f>
        <v>0</v>
      </c>
      <c r="Q312" s="7" t="b">
        <f>_xlfn.XLOOKUP(CONTROL[[#This Row],[VEHIDCODE]],PROPERTIES[VEHIDCODE],PROPERTIES[EXCLUDE])</f>
        <v>0</v>
      </c>
      <c r="R312" t="str" cm="1">
        <f t="array" ref="R312">_xlfn.XLOOKUP(CONTROL[[#This Row],[VEHIDCODE]],GRAPHICS_PROPERTIES[VEHIDCODE],GRAPHICS_PROPERTIES[TEMPLATE_ID]&amp;GRAPHICS_PROPERTIES[TEMPLATE_AMENDMENT_CODE])</f>
        <v>TPL_02C</v>
      </c>
    </row>
    <row r="313" spans="1:18" x14ac:dyDescent="0.35">
      <c r="A313" s="2" t="s">
        <v>2947</v>
      </c>
      <c r="B313" s="21" t="str">
        <f>_xlfn.TEXTAFTER(CONTROL[[#This Row],[VEHIDCODE]],"_")</f>
        <v>AEG_Pyongyang_D</v>
      </c>
      <c r="C313" t="str" cm="1">
        <f t="array" ref="C3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3" t="str" cm="1">
        <f t="array" ref="D3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3">
        <v>9018</v>
      </c>
      <c r="F313" s="32" t="s">
        <v>3553</v>
      </c>
      <c r="G313" t="s">
        <v>1339</v>
      </c>
      <c r="H313" s="2" t="b">
        <f>AND(CONTROL[[#This Row],[IS_WAGON_OR_COACH]]=TRUE,OR(RIGHT(CONTROL[[#This Row],[VEHIDCODE]],7)="Powered",RIGHT(CONTROL[[#This Row],[VEHIDCODE]],9)="Unpowered"))</f>
        <v>0</v>
      </c>
      <c r="I3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3" t="b">
        <f>ISNUMBER(_xlfn.XMATCH(CONTROL[[#This Row],[VEHIDCODE]],TRACK_TYPES[VEHIDCODE],0))</f>
        <v>1</v>
      </c>
      <c r="K313" t="b">
        <f>ISNUMBER(_xlfn.XMATCH(CONTROL[[#This Row],[VEHIDCODE]],PROPERTIES[VEHIDCODE],0))</f>
        <v>1</v>
      </c>
      <c r="L313" t="b">
        <f>ISNUMBER(_xlfn.XLOOKUP(CONTROL[[#This Row],[VEHIDCODE]],roster!A:A,roster!D:D))</f>
        <v>1</v>
      </c>
      <c r="M313" t="b">
        <f>ISNUMBER(_xlfn.XMATCH(CONTROL[[#This Row],[VEHIDCODE]],GRAPHICS_PROPERTIES[VEHIDCODE],0))</f>
        <v>1</v>
      </c>
      <c r="N313" s="21" t="str">
        <f>"item_"&amp;CONTROL[[#This Row],[VEHIDCODE]]</f>
        <v>item_mtro_AEG_Pyongyang_D</v>
      </c>
      <c r="O313" s="21" t="str">
        <f>"str_"&amp;CONTROL[[#This Row],[VEHIDCODE]]</f>
        <v>str_mtro_AEG_Pyongyang_D</v>
      </c>
      <c r="P313" s="7" t="b">
        <f>_xlfn.XLOOKUP(CONTROL[[#This Row],[VEHIDCODE]],PROPERTIES[VEHIDCODE],PROPERTIES[IS_CONCEPT])="IS_CONCEPT"</f>
        <v>0</v>
      </c>
      <c r="Q313" s="7" t="b">
        <f>_xlfn.XLOOKUP(CONTROL[[#This Row],[VEHIDCODE]],PROPERTIES[VEHIDCODE],PROPERTIES[EXCLUDE])</f>
        <v>0</v>
      </c>
      <c r="R313" t="str" cm="1">
        <f t="array" ref="R313">_xlfn.XLOOKUP(CONTROL[[#This Row],[VEHIDCODE]],GRAPHICS_PROPERTIES[VEHIDCODE],GRAPHICS_PROPERTIES[TEMPLATE_ID]&amp;GRAPHICS_PROPERTIES[TEMPLATE_AMENDMENT_CODE])</f>
        <v>TPL_02C</v>
      </c>
    </row>
    <row r="314" spans="1:18" x14ac:dyDescent="0.35">
      <c r="A314" s="2" t="s">
        <v>2948</v>
      </c>
      <c r="B314" s="21" t="str">
        <f>_xlfn.TEXTAFTER(CONTROL[[#This Row],[VEHIDCODE]],"_")</f>
        <v>Valmet_Helsinki_M100</v>
      </c>
      <c r="C314" t="str" cm="1">
        <f t="array" ref="C3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4" t="str" cm="1">
        <f t="array" ref="D3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4">
        <v>9019</v>
      </c>
      <c r="F314" s="32" t="s">
        <v>2202</v>
      </c>
      <c r="G314" t="s">
        <v>1340</v>
      </c>
      <c r="H314" s="2" t="b">
        <f>AND(CONTROL[[#This Row],[IS_WAGON_OR_COACH]]=TRUE,OR(RIGHT(CONTROL[[#This Row],[VEHIDCODE]],7)="Powered",RIGHT(CONTROL[[#This Row],[VEHIDCODE]],9)="Unpowered"))</f>
        <v>0</v>
      </c>
      <c r="I3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4" t="b">
        <f>ISNUMBER(_xlfn.XMATCH(CONTROL[[#This Row],[VEHIDCODE]],TRACK_TYPES[VEHIDCODE],0))</f>
        <v>1</v>
      </c>
      <c r="K314" t="b">
        <f>ISNUMBER(_xlfn.XMATCH(CONTROL[[#This Row],[VEHIDCODE]],PROPERTIES[VEHIDCODE],0))</f>
        <v>1</v>
      </c>
      <c r="L314" t="b">
        <f>ISNUMBER(_xlfn.XLOOKUP(CONTROL[[#This Row],[VEHIDCODE]],roster!A:A,roster!D:D))</f>
        <v>1</v>
      </c>
      <c r="M314" t="b">
        <f>ISNUMBER(_xlfn.XMATCH(CONTROL[[#This Row],[VEHIDCODE]],GRAPHICS_PROPERTIES[VEHIDCODE],0))</f>
        <v>1</v>
      </c>
      <c r="N314" s="21" t="str">
        <f>"item_"&amp;CONTROL[[#This Row],[VEHIDCODE]]</f>
        <v>item_mtro_Valmet_Helsinki_M100</v>
      </c>
      <c r="O314" s="21" t="str">
        <f>"str_"&amp;CONTROL[[#This Row],[VEHIDCODE]]</f>
        <v>str_mtro_Valmet_Helsinki_M100</v>
      </c>
      <c r="P314" s="7" t="b">
        <f>_xlfn.XLOOKUP(CONTROL[[#This Row],[VEHIDCODE]],PROPERTIES[VEHIDCODE],PROPERTIES[IS_CONCEPT])="IS_CONCEPT"</f>
        <v>0</v>
      </c>
      <c r="Q314" s="7" t="b">
        <f>_xlfn.XLOOKUP(CONTROL[[#This Row],[VEHIDCODE]],PROPERTIES[VEHIDCODE],PROPERTIES[EXCLUDE])</f>
        <v>0</v>
      </c>
      <c r="R314" t="str" cm="1">
        <f t="array" ref="R314">_xlfn.XLOOKUP(CONTROL[[#This Row],[VEHIDCODE]],GRAPHICS_PROPERTIES[VEHIDCODE],GRAPHICS_PROPERTIES[TEMPLATE_ID]&amp;GRAPHICS_PROPERTIES[TEMPLATE_AMENDMENT_CODE])</f>
        <v>TPL_02C</v>
      </c>
    </row>
    <row r="315" spans="1:18" x14ac:dyDescent="0.35">
      <c r="A315" s="2" t="s">
        <v>2949</v>
      </c>
      <c r="B315" s="21" t="str">
        <f>_xlfn.TEXTAFTER(CONTROL[[#This Row],[VEHIDCODE]],"_")</f>
        <v>Sorefame_Sao_Paulo_Serie_5500</v>
      </c>
      <c r="C315" t="str" cm="1">
        <f t="array" ref="C3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5" t="str" cm="1">
        <f t="array" ref="D3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5">
        <v>9020</v>
      </c>
      <c r="F315" s="32" t="s">
        <v>2203</v>
      </c>
      <c r="G315" t="s">
        <v>1341</v>
      </c>
      <c r="H315" s="2" t="b">
        <f>AND(CONTROL[[#This Row],[IS_WAGON_OR_COACH]]=TRUE,OR(RIGHT(CONTROL[[#This Row],[VEHIDCODE]],7)="Powered",RIGHT(CONTROL[[#This Row],[VEHIDCODE]],9)="Unpowered"))</f>
        <v>0</v>
      </c>
      <c r="I3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5" t="b">
        <f>ISNUMBER(_xlfn.XMATCH(CONTROL[[#This Row],[VEHIDCODE]],TRACK_TYPES[VEHIDCODE],0))</f>
        <v>1</v>
      </c>
      <c r="K315" t="b">
        <f>ISNUMBER(_xlfn.XMATCH(CONTROL[[#This Row],[VEHIDCODE]],PROPERTIES[VEHIDCODE],0))</f>
        <v>1</v>
      </c>
      <c r="L315" t="b">
        <f>ISNUMBER(_xlfn.XLOOKUP(CONTROL[[#This Row],[VEHIDCODE]],roster!A:A,roster!D:D))</f>
        <v>1</v>
      </c>
      <c r="M315" t="b">
        <f>ISNUMBER(_xlfn.XMATCH(CONTROL[[#This Row],[VEHIDCODE]],GRAPHICS_PROPERTIES[VEHIDCODE],0))</f>
        <v>1</v>
      </c>
      <c r="N315" s="21" t="str">
        <f>"item_"&amp;CONTROL[[#This Row],[VEHIDCODE]]</f>
        <v>item_mtro_Sorefame_Sao_Paulo_Serie_5500</v>
      </c>
      <c r="O315" s="21" t="str">
        <f>"str_"&amp;CONTROL[[#This Row],[VEHIDCODE]]</f>
        <v>str_mtro_Sorefame_Sao_Paulo_Serie_5500</v>
      </c>
      <c r="P315" s="7" t="b">
        <f>_xlfn.XLOOKUP(CONTROL[[#This Row],[VEHIDCODE]],PROPERTIES[VEHIDCODE],PROPERTIES[IS_CONCEPT])="IS_CONCEPT"</f>
        <v>0</v>
      </c>
      <c r="Q315" s="7" t="b">
        <f>_xlfn.XLOOKUP(CONTROL[[#This Row],[VEHIDCODE]],PROPERTIES[VEHIDCODE],PROPERTIES[EXCLUDE])</f>
        <v>0</v>
      </c>
      <c r="R315" t="str" cm="1">
        <f t="array" ref="R315">_xlfn.XLOOKUP(CONTROL[[#This Row],[VEHIDCODE]],GRAPHICS_PROPERTIES[VEHIDCODE],GRAPHICS_PROPERTIES[TEMPLATE_ID]&amp;GRAPHICS_PROPERTIES[TEMPLATE_AMENDMENT_CODE])</f>
        <v>TPL_02C</v>
      </c>
    </row>
    <row r="316" spans="1:18" x14ac:dyDescent="0.35">
      <c r="A316" s="2" t="s">
        <v>2950</v>
      </c>
      <c r="B316" s="21" t="str">
        <f>_xlfn.TEXTAFTER(CONTROL[[#This Row],[VEHIDCODE]],"_")</f>
        <v>MMZ_Moscow_81_720</v>
      </c>
      <c r="C316" t="str" cm="1">
        <f t="array" ref="C3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6" t="str" cm="1">
        <f t="array" ref="D3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6">
        <v>9021</v>
      </c>
      <c r="F316" s="32" t="s">
        <v>3549</v>
      </c>
      <c r="G316" t="s">
        <v>1328</v>
      </c>
      <c r="H316" s="2" t="b">
        <f>AND(CONTROL[[#This Row],[IS_WAGON_OR_COACH]]=TRUE,OR(RIGHT(CONTROL[[#This Row],[VEHIDCODE]],7)="Powered",RIGHT(CONTROL[[#This Row],[VEHIDCODE]],9)="Unpowered"))</f>
        <v>0</v>
      </c>
      <c r="I3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6" t="b">
        <f>ISNUMBER(_xlfn.XMATCH(CONTROL[[#This Row],[VEHIDCODE]],TRACK_TYPES[VEHIDCODE],0))</f>
        <v>1</v>
      </c>
      <c r="K316" t="b">
        <f>ISNUMBER(_xlfn.XMATCH(CONTROL[[#This Row],[VEHIDCODE]],PROPERTIES[VEHIDCODE],0))</f>
        <v>1</v>
      </c>
      <c r="L316" t="b">
        <f>ISNUMBER(_xlfn.XLOOKUP(CONTROL[[#This Row],[VEHIDCODE]],roster!A:A,roster!D:D))</f>
        <v>1</v>
      </c>
      <c r="M316" t="b">
        <f>ISNUMBER(_xlfn.XMATCH(CONTROL[[#This Row],[VEHIDCODE]],GRAPHICS_PROPERTIES[VEHIDCODE],0))</f>
        <v>1</v>
      </c>
      <c r="N316" s="21" t="str">
        <f>"item_"&amp;CONTROL[[#This Row],[VEHIDCODE]]</f>
        <v>item_mtro_MMZ_Moscow_81_720</v>
      </c>
      <c r="O316" s="21" t="str">
        <f>"str_"&amp;CONTROL[[#This Row],[VEHIDCODE]]</f>
        <v>str_mtro_MMZ_Moscow_81_720</v>
      </c>
      <c r="P316" s="7" t="b">
        <f>_xlfn.XLOOKUP(CONTROL[[#This Row],[VEHIDCODE]],PROPERTIES[VEHIDCODE],PROPERTIES[IS_CONCEPT])="IS_CONCEPT"</f>
        <v>0</v>
      </c>
      <c r="Q316" s="7" t="b">
        <f>_xlfn.XLOOKUP(CONTROL[[#This Row],[VEHIDCODE]],PROPERTIES[VEHIDCODE],PROPERTIES[EXCLUDE])</f>
        <v>0</v>
      </c>
      <c r="R316" t="str" cm="1">
        <f t="array" ref="R316">_xlfn.XLOOKUP(CONTROL[[#This Row],[VEHIDCODE]],GRAPHICS_PROPERTIES[VEHIDCODE],GRAPHICS_PROPERTIES[TEMPLATE_ID]&amp;GRAPHICS_PROPERTIES[TEMPLATE_AMENDMENT_CODE])</f>
        <v>TPL_02C</v>
      </c>
    </row>
    <row r="317" spans="1:18" x14ac:dyDescent="0.35">
      <c r="A317" s="2" t="s">
        <v>2951</v>
      </c>
      <c r="B317" s="21" t="str">
        <f>_xlfn.TEXTAFTER(CONTROL[[#This Row],[VEHIDCODE]],"_")</f>
        <v>Kawasaki_Tokyo_S01</v>
      </c>
      <c r="C317" t="str" cm="1">
        <f t="array" ref="C3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7" t="str" cm="1">
        <f t="array" ref="D3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7">
        <v>9022</v>
      </c>
      <c r="F317" s="32" t="s">
        <v>2212</v>
      </c>
      <c r="G317" t="s">
        <v>1342</v>
      </c>
      <c r="H317" s="2" t="b">
        <f>AND(CONTROL[[#This Row],[IS_WAGON_OR_COACH]]=TRUE,OR(RIGHT(CONTROL[[#This Row],[VEHIDCODE]],7)="Powered",RIGHT(CONTROL[[#This Row],[VEHIDCODE]],9)="Unpowered"))</f>
        <v>0</v>
      </c>
      <c r="I3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7" t="b">
        <f>ISNUMBER(_xlfn.XMATCH(CONTROL[[#This Row],[VEHIDCODE]],TRACK_TYPES[VEHIDCODE],0))</f>
        <v>1</v>
      </c>
      <c r="K317" t="b">
        <f>ISNUMBER(_xlfn.XMATCH(CONTROL[[#This Row],[VEHIDCODE]],PROPERTIES[VEHIDCODE],0))</f>
        <v>1</v>
      </c>
      <c r="L317" t="b">
        <f>ISNUMBER(_xlfn.XLOOKUP(CONTROL[[#This Row],[VEHIDCODE]],roster!A:A,roster!D:D))</f>
        <v>1</v>
      </c>
      <c r="M317" t="b">
        <f>ISNUMBER(_xlfn.XMATCH(CONTROL[[#This Row],[VEHIDCODE]],GRAPHICS_PROPERTIES[VEHIDCODE],0))</f>
        <v>1</v>
      </c>
      <c r="N317" s="21" t="str">
        <f>"item_"&amp;CONTROL[[#This Row],[VEHIDCODE]]</f>
        <v>item_mtro_Kawasaki_Tokyo_S01</v>
      </c>
      <c r="O317" s="21" t="str">
        <f>"str_"&amp;CONTROL[[#This Row],[VEHIDCODE]]</f>
        <v>str_mtro_Kawasaki_Tokyo_S01</v>
      </c>
      <c r="P317" s="7" t="b">
        <f>_xlfn.XLOOKUP(CONTROL[[#This Row],[VEHIDCODE]],PROPERTIES[VEHIDCODE],PROPERTIES[IS_CONCEPT])="IS_CONCEPT"</f>
        <v>0</v>
      </c>
      <c r="Q317" s="7" t="b">
        <f>_xlfn.XLOOKUP(CONTROL[[#This Row],[VEHIDCODE]],PROPERTIES[VEHIDCODE],PROPERTIES[EXCLUDE])</f>
        <v>0</v>
      </c>
      <c r="R317" t="str" cm="1">
        <f t="array" ref="R317">_xlfn.XLOOKUP(CONTROL[[#This Row],[VEHIDCODE]],GRAPHICS_PROPERTIES[VEHIDCODE],GRAPHICS_PROPERTIES[TEMPLATE_ID]&amp;GRAPHICS_PROPERTIES[TEMPLATE_AMENDMENT_CODE])</f>
        <v>TPL_02C</v>
      </c>
    </row>
    <row r="318" spans="1:18" x14ac:dyDescent="0.35">
      <c r="A318" s="2" t="s">
        <v>2952</v>
      </c>
      <c r="B318" s="21" t="str">
        <f>_xlfn.TEXTAFTER(CONTROL[[#This Row],[VEHIDCODE]],"_")</f>
        <v>Kinki_Sharyo_Vcairo</v>
      </c>
      <c r="C318" t="str" cm="1">
        <f t="array" ref="C3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8" t="str" cm="1">
        <f t="array" ref="D3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8">
        <v>9023</v>
      </c>
      <c r="F318" s="32" t="s">
        <v>2204</v>
      </c>
      <c r="G318" t="s">
        <v>1343</v>
      </c>
      <c r="H318" s="2" t="b">
        <f>AND(CONTROL[[#This Row],[IS_WAGON_OR_COACH]]=TRUE,OR(RIGHT(CONTROL[[#This Row],[VEHIDCODE]],7)="Powered",RIGHT(CONTROL[[#This Row],[VEHIDCODE]],9)="Unpowered"))</f>
        <v>0</v>
      </c>
      <c r="I3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8" t="b">
        <f>ISNUMBER(_xlfn.XMATCH(CONTROL[[#This Row],[VEHIDCODE]],TRACK_TYPES[VEHIDCODE],0))</f>
        <v>1</v>
      </c>
      <c r="K318" t="b">
        <f>ISNUMBER(_xlfn.XMATCH(CONTROL[[#This Row],[VEHIDCODE]],PROPERTIES[VEHIDCODE],0))</f>
        <v>1</v>
      </c>
      <c r="L318" t="b">
        <f>ISNUMBER(_xlfn.XLOOKUP(CONTROL[[#This Row],[VEHIDCODE]],roster!A:A,roster!D:D))</f>
        <v>1</v>
      </c>
      <c r="M318" t="b">
        <f>ISNUMBER(_xlfn.XMATCH(CONTROL[[#This Row],[VEHIDCODE]],GRAPHICS_PROPERTIES[VEHIDCODE],0))</f>
        <v>1</v>
      </c>
      <c r="N318" s="21" t="str">
        <f>"item_"&amp;CONTROL[[#This Row],[VEHIDCODE]]</f>
        <v>item_mtro_Kinki_Sharyo_Vcairo</v>
      </c>
      <c r="O318" s="21" t="str">
        <f>"str_"&amp;CONTROL[[#This Row],[VEHIDCODE]]</f>
        <v>str_mtro_Kinki_Sharyo_Vcairo</v>
      </c>
      <c r="P318" s="7" t="b">
        <f>_xlfn.XLOOKUP(CONTROL[[#This Row],[VEHIDCODE]],PROPERTIES[VEHIDCODE],PROPERTIES[IS_CONCEPT])="IS_CONCEPT"</f>
        <v>0</v>
      </c>
      <c r="Q318" s="7" t="b">
        <f>_xlfn.XLOOKUP(CONTROL[[#This Row],[VEHIDCODE]],PROPERTIES[VEHIDCODE],PROPERTIES[EXCLUDE])</f>
        <v>0</v>
      </c>
      <c r="R318" t="str" cm="1">
        <f t="array" ref="R318">_xlfn.XLOOKUP(CONTROL[[#This Row],[VEHIDCODE]],GRAPHICS_PROPERTIES[VEHIDCODE],GRAPHICS_PROPERTIES[TEMPLATE_ID]&amp;GRAPHICS_PROPERTIES[TEMPLATE_AMENDMENT_CODE])</f>
        <v>TPL_02C</v>
      </c>
    </row>
    <row r="319" spans="1:18" x14ac:dyDescent="0.35">
      <c r="A319" s="2" t="s">
        <v>2953</v>
      </c>
      <c r="B319" s="21" t="str">
        <f>_xlfn.TEXTAFTER(CONTROL[[#This Row],[VEHIDCODE]],"_")</f>
        <v>LHB_London_DLR_P86</v>
      </c>
      <c r="C319" t="str" cm="1">
        <f t="array" ref="C3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9" t="str" cm="1">
        <f t="array" ref="D3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9">
        <v>9024</v>
      </c>
      <c r="F319" s="32" t="s">
        <v>2205</v>
      </c>
      <c r="G319" t="s">
        <v>1344</v>
      </c>
      <c r="H319" s="2" t="b">
        <f>AND(CONTROL[[#This Row],[IS_WAGON_OR_COACH]]=TRUE,OR(RIGHT(CONTROL[[#This Row],[VEHIDCODE]],7)="Powered",RIGHT(CONTROL[[#This Row],[VEHIDCODE]],9)="Unpowered"))</f>
        <v>0</v>
      </c>
      <c r="I3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9" t="b">
        <f>ISNUMBER(_xlfn.XMATCH(CONTROL[[#This Row],[VEHIDCODE]],TRACK_TYPES[VEHIDCODE],0))</f>
        <v>1</v>
      </c>
      <c r="K319" t="b">
        <f>ISNUMBER(_xlfn.XMATCH(CONTROL[[#This Row],[VEHIDCODE]],PROPERTIES[VEHIDCODE],0))</f>
        <v>1</v>
      </c>
      <c r="L319" t="b">
        <f>ISNUMBER(_xlfn.XLOOKUP(CONTROL[[#This Row],[VEHIDCODE]],roster!A:A,roster!D:D))</f>
        <v>1</v>
      </c>
      <c r="M319" t="b">
        <f>ISNUMBER(_xlfn.XMATCH(CONTROL[[#This Row],[VEHIDCODE]],GRAPHICS_PROPERTIES[VEHIDCODE],0))</f>
        <v>1</v>
      </c>
      <c r="N319" s="21" t="str">
        <f>"item_"&amp;CONTROL[[#This Row],[VEHIDCODE]]</f>
        <v>item_mtro_LHB_London_DLR_P86</v>
      </c>
      <c r="O319" s="21" t="str">
        <f>"str_"&amp;CONTROL[[#This Row],[VEHIDCODE]]</f>
        <v>str_mtro_LHB_London_DLR_P86</v>
      </c>
      <c r="P319" s="7" t="b">
        <f>_xlfn.XLOOKUP(CONTROL[[#This Row],[VEHIDCODE]],PROPERTIES[VEHIDCODE],PROPERTIES[IS_CONCEPT])="IS_CONCEPT"</f>
        <v>0</v>
      </c>
      <c r="Q319" s="7" t="b">
        <f>_xlfn.XLOOKUP(CONTROL[[#This Row],[VEHIDCODE]],PROPERTIES[VEHIDCODE],PROPERTIES[EXCLUDE])</f>
        <v>0</v>
      </c>
      <c r="R319" t="str" cm="1">
        <f t="array" ref="R319">_xlfn.XLOOKUP(CONTROL[[#This Row],[VEHIDCODE]],GRAPHICS_PROPERTIES[VEHIDCODE],GRAPHICS_PROPERTIES[TEMPLATE_ID]&amp;GRAPHICS_PROPERTIES[TEMPLATE_AMENDMENT_CODE])</f>
        <v>TPL_02C</v>
      </c>
    </row>
    <row r="320" spans="1:18" x14ac:dyDescent="0.35">
      <c r="A320" s="2" t="s">
        <v>2954</v>
      </c>
      <c r="B320" s="21" t="str">
        <f>_xlfn.TEXTAFTER(CONTROL[[#This Row],[VEHIDCODE]],"_")</f>
        <v>MMZ_Moscow_81_717_5M</v>
      </c>
      <c r="C320" t="str" cm="1">
        <f t="array" ref="C3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0" t="str" cm="1">
        <f t="array" ref="D3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0">
        <v>9025</v>
      </c>
      <c r="F320" s="32" t="s">
        <v>3550</v>
      </c>
      <c r="G320" t="s">
        <v>1345</v>
      </c>
      <c r="H320" s="2" t="b">
        <f>AND(CONTROL[[#This Row],[IS_WAGON_OR_COACH]]=TRUE,OR(RIGHT(CONTROL[[#This Row],[VEHIDCODE]],7)="Powered",RIGHT(CONTROL[[#This Row],[VEHIDCODE]],9)="Unpowered"))</f>
        <v>0</v>
      </c>
      <c r="I3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0" t="b">
        <f>ISNUMBER(_xlfn.XMATCH(CONTROL[[#This Row],[VEHIDCODE]],TRACK_TYPES[VEHIDCODE],0))</f>
        <v>1</v>
      </c>
      <c r="K320" t="b">
        <f>ISNUMBER(_xlfn.XMATCH(CONTROL[[#This Row],[VEHIDCODE]],PROPERTIES[VEHIDCODE],0))</f>
        <v>1</v>
      </c>
      <c r="L320" t="b">
        <f>ISNUMBER(_xlfn.XLOOKUP(CONTROL[[#This Row],[VEHIDCODE]],roster!A:A,roster!D:D))</f>
        <v>1</v>
      </c>
      <c r="M320" t="b">
        <f>ISNUMBER(_xlfn.XMATCH(CONTROL[[#This Row],[VEHIDCODE]],GRAPHICS_PROPERTIES[VEHIDCODE],0))</f>
        <v>1</v>
      </c>
      <c r="N320" s="21" t="str">
        <f>"item_"&amp;CONTROL[[#This Row],[VEHIDCODE]]</f>
        <v>item_mtro_MMZ_Moscow_81_717_5M</v>
      </c>
      <c r="O320" s="21" t="str">
        <f>"str_"&amp;CONTROL[[#This Row],[VEHIDCODE]]</f>
        <v>str_mtro_MMZ_Moscow_81_717_5M</v>
      </c>
      <c r="P320" s="7" t="b">
        <f>_xlfn.XLOOKUP(CONTROL[[#This Row],[VEHIDCODE]],PROPERTIES[VEHIDCODE],PROPERTIES[IS_CONCEPT])="IS_CONCEPT"</f>
        <v>0</v>
      </c>
      <c r="Q320" s="7" t="b">
        <f>_xlfn.XLOOKUP(CONTROL[[#This Row],[VEHIDCODE]],PROPERTIES[VEHIDCODE],PROPERTIES[EXCLUDE])</f>
        <v>0</v>
      </c>
      <c r="R320" t="str" cm="1">
        <f t="array" ref="R320">_xlfn.XLOOKUP(CONTROL[[#This Row],[VEHIDCODE]],GRAPHICS_PROPERTIES[VEHIDCODE],GRAPHICS_PROPERTIES[TEMPLATE_ID]&amp;GRAPHICS_PROPERTIES[TEMPLATE_AMENDMENT_CODE])</f>
        <v>TPL_02C</v>
      </c>
    </row>
    <row r="321" spans="1:18" x14ac:dyDescent="0.35">
      <c r="A321" s="2" t="s">
        <v>2955</v>
      </c>
      <c r="B321" s="21" t="str">
        <f>_xlfn.TEXTAFTER(CONTROL[[#This Row],[VEHIDCODE]],"_")</f>
        <v>Bombardier_Boston_01800</v>
      </c>
      <c r="C321" t="str" cm="1">
        <f t="array" ref="C3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1" t="str" cm="1">
        <f t="array" ref="D3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1">
        <v>9026</v>
      </c>
      <c r="F321" s="32" t="s">
        <v>2206</v>
      </c>
      <c r="G321" t="s">
        <v>1346</v>
      </c>
      <c r="H321" s="2" t="b">
        <f>AND(CONTROL[[#This Row],[IS_WAGON_OR_COACH]]=TRUE,OR(RIGHT(CONTROL[[#This Row],[VEHIDCODE]],7)="Powered",RIGHT(CONTROL[[#This Row],[VEHIDCODE]],9)="Unpowered"))</f>
        <v>0</v>
      </c>
      <c r="I3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1" t="b">
        <f>ISNUMBER(_xlfn.XMATCH(CONTROL[[#This Row],[VEHIDCODE]],TRACK_TYPES[VEHIDCODE],0))</f>
        <v>1</v>
      </c>
      <c r="K321" t="b">
        <f>ISNUMBER(_xlfn.XMATCH(CONTROL[[#This Row],[VEHIDCODE]],PROPERTIES[VEHIDCODE],0))</f>
        <v>1</v>
      </c>
      <c r="L321" t="b">
        <f>ISNUMBER(_xlfn.XLOOKUP(CONTROL[[#This Row],[VEHIDCODE]],roster!A:A,roster!D:D))</f>
        <v>1</v>
      </c>
      <c r="M321" t="b">
        <f>ISNUMBER(_xlfn.XMATCH(CONTROL[[#This Row],[VEHIDCODE]],GRAPHICS_PROPERTIES[VEHIDCODE],0))</f>
        <v>1</v>
      </c>
      <c r="N321" s="21" t="str">
        <f>"item_"&amp;CONTROL[[#This Row],[VEHIDCODE]]</f>
        <v>item_mtro_Bombardier_Boston_01800</v>
      </c>
      <c r="O321" s="21" t="str">
        <f>"str_"&amp;CONTROL[[#This Row],[VEHIDCODE]]</f>
        <v>str_mtro_Bombardier_Boston_01800</v>
      </c>
      <c r="P321" s="7" t="b">
        <f>_xlfn.XLOOKUP(CONTROL[[#This Row],[VEHIDCODE]],PROPERTIES[VEHIDCODE],PROPERTIES[IS_CONCEPT])="IS_CONCEPT"</f>
        <v>0</v>
      </c>
      <c r="Q321" s="7" t="b">
        <f>_xlfn.XLOOKUP(CONTROL[[#This Row],[VEHIDCODE]],PROPERTIES[VEHIDCODE],PROPERTIES[EXCLUDE])</f>
        <v>0</v>
      </c>
      <c r="R321" t="str" cm="1">
        <f t="array" ref="R321">_xlfn.XLOOKUP(CONTROL[[#This Row],[VEHIDCODE]],GRAPHICS_PROPERTIES[VEHIDCODE],GRAPHICS_PROPERTIES[TEMPLATE_ID]&amp;GRAPHICS_PROPERTIES[TEMPLATE_AMENDMENT_CODE])</f>
        <v>TPL_02C</v>
      </c>
    </row>
    <row r="322" spans="1:18" x14ac:dyDescent="0.35">
      <c r="A322" s="2" t="s">
        <v>2956</v>
      </c>
      <c r="B322" s="21" t="str">
        <f>_xlfn.TEXTAFTER(CONTROL[[#This Row],[VEHIDCODE]],"_")</f>
        <v>Breda_LA_A650</v>
      </c>
      <c r="C322" t="str" cm="1">
        <f t="array" ref="C3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2" t="str" cm="1">
        <f t="array" ref="D3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2">
        <v>9027</v>
      </c>
      <c r="F322" s="32" t="s">
        <v>2207</v>
      </c>
      <c r="G322" t="s">
        <v>1347</v>
      </c>
      <c r="H322" s="2" t="b">
        <f>AND(CONTROL[[#This Row],[IS_WAGON_OR_COACH]]=TRUE,OR(RIGHT(CONTROL[[#This Row],[VEHIDCODE]],7)="Powered",RIGHT(CONTROL[[#This Row],[VEHIDCODE]],9)="Unpowered"))</f>
        <v>0</v>
      </c>
      <c r="I3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2" t="b">
        <f>ISNUMBER(_xlfn.XMATCH(CONTROL[[#This Row],[VEHIDCODE]],TRACK_TYPES[VEHIDCODE],0))</f>
        <v>1</v>
      </c>
      <c r="K322" t="b">
        <f>ISNUMBER(_xlfn.XMATCH(CONTROL[[#This Row],[VEHIDCODE]],PROPERTIES[VEHIDCODE],0))</f>
        <v>1</v>
      </c>
      <c r="L322" t="b">
        <f>ISNUMBER(_xlfn.XLOOKUP(CONTROL[[#This Row],[VEHIDCODE]],roster!A:A,roster!D:D))</f>
        <v>1</v>
      </c>
      <c r="M322" t="b">
        <f>ISNUMBER(_xlfn.XMATCH(CONTROL[[#This Row],[VEHIDCODE]],GRAPHICS_PROPERTIES[VEHIDCODE],0))</f>
        <v>1</v>
      </c>
      <c r="N322" s="21" t="str">
        <f>"item_"&amp;CONTROL[[#This Row],[VEHIDCODE]]</f>
        <v>item_mtro_Breda_LA_A650</v>
      </c>
      <c r="O322" s="21" t="str">
        <f>"str_"&amp;CONTROL[[#This Row],[VEHIDCODE]]</f>
        <v>str_mtro_Breda_LA_A650</v>
      </c>
      <c r="P322" s="7" t="b">
        <f>_xlfn.XLOOKUP(CONTROL[[#This Row],[VEHIDCODE]],PROPERTIES[VEHIDCODE],PROPERTIES[IS_CONCEPT])="IS_CONCEPT"</f>
        <v>0</v>
      </c>
      <c r="Q322" s="7" t="b">
        <f>_xlfn.XLOOKUP(CONTROL[[#This Row],[VEHIDCODE]],PROPERTIES[VEHIDCODE],PROPERTIES[EXCLUDE])</f>
        <v>0</v>
      </c>
      <c r="R322" t="str" cm="1">
        <f t="array" ref="R322">_xlfn.XLOOKUP(CONTROL[[#This Row],[VEHIDCODE]],GRAPHICS_PROPERTIES[VEHIDCODE],GRAPHICS_PROPERTIES[TEMPLATE_ID]&amp;GRAPHICS_PROPERTIES[TEMPLATE_AMENDMENT_CODE])</f>
        <v>TPL_02C</v>
      </c>
    </row>
    <row r="323" spans="1:18" x14ac:dyDescent="0.35">
      <c r="A323" s="2" t="s">
        <v>2957</v>
      </c>
      <c r="B323" s="21" t="str">
        <f>_xlfn.TEXTAFTER(CONTROL[[#This Row],[VEHIDCODE]],"_")</f>
        <v>Kawasaki_Taipei_C301</v>
      </c>
      <c r="C323" t="str" cm="1">
        <f t="array" ref="C3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3" t="str" cm="1">
        <f t="array" ref="D3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3">
        <v>9028</v>
      </c>
      <c r="F323" s="32" t="s">
        <v>2208</v>
      </c>
      <c r="G323" t="s">
        <v>1348</v>
      </c>
      <c r="H323" s="2" t="b">
        <f>AND(CONTROL[[#This Row],[IS_WAGON_OR_COACH]]=TRUE,OR(RIGHT(CONTROL[[#This Row],[VEHIDCODE]],7)="Powered",RIGHT(CONTROL[[#This Row],[VEHIDCODE]],9)="Unpowered"))</f>
        <v>0</v>
      </c>
      <c r="I3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3" t="b">
        <f>ISNUMBER(_xlfn.XMATCH(CONTROL[[#This Row],[VEHIDCODE]],TRACK_TYPES[VEHIDCODE],0))</f>
        <v>1</v>
      </c>
      <c r="K323" t="b">
        <f>ISNUMBER(_xlfn.XMATCH(CONTROL[[#This Row],[VEHIDCODE]],PROPERTIES[VEHIDCODE],0))</f>
        <v>1</v>
      </c>
      <c r="L323" t="b">
        <f>ISNUMBER(_xlfn.XLOOKUP(CONTROL[[#This Row],[VEHIDCODE]],roster!A:A,roster!D:D))</f>
        <v>1</v>
      </c>
      <c r="M323" t="b">
        <f>ISNUMBER(_xlfn.XMATCH(CONTROL[[#This Row],[VEHIDCODE]],GRAPHICS_PROPERTIES[VEHIDCODE],0))</f>
        <v>1</v>
      </c>
      <c r="N323" s="21" t="str">
        <f>"item_"&amp;CONTROL[[#This Row],[VEHIDCODE]]</f>
        <v>item_mtro_Kawasaki_Taipei_C301</v>
      </c>
      <c r="O323" s="21" t="str">
        <f>"str_"&amp;CONTROL[[#This Row],[VEHIDCODE]]</f>
        <v>str_mtro_Kawasaki_Taipei_C301</v>
      </c>
      <c r="P323" s="7" t="b">
        <f>_xlfn.XLOOKUP(CONTROL[[#This Row],[VEHIDCODE]],PROPERTIES[VEHIDCODE],PROPERTIES[IS_CONCEPT])="IS_CONCEPT"</f>
        <v>0</v>
      </c>
      <c r="Q323" s="7" t="b">
        <f>_xlfn.XLOOKUP(CONTROL[[#This Row],[VEHIDCODE]],PROPERTIES[VEHIDCODE],PROPERTIES[EXCLUDE])</f>
        <v>0</v>
      </c>
      <c r="R323" t="str" cm="1">
        <f t="array" ref="R323">_xlfn.XLOOKUP(CONTROL[[#This Row],[VEHIDCODE]],GRAPHICS_PROPERTIES[VEHIDCODE],GRAPHICS_PROPERTIES[TEMPLATE_ID]&amp;GRAPHICS_PROPERTIES[TEMPLATE_AMENDMENT_CODE])</f>
        <v>TPL_02C</v>
      </c>
    </row>
    <row r="324" spans="1:18" x14ac:dyDescent="0.35">
      <c r="A324" s="2" t="s">
        <v>2958</v>
      </c>
      <c r="B324" s="21" t="str">
        <f>_xlfn.TEXTAFTER(CONTROL[[#This Row],[VEHIDCODE]],"_")</f>
        <v>CAF_Amsterdam_S3_90</v>
      </c>
      <c r="C324" t="str" cm="1">
        <f t="array" ref="C3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4" t="str" cm="1">
        <f t="array" ref="D3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4">
        <v>9030</v>
      </c>
      <c r="F324" s="32" t="s">
        <v>2209</v>
      </c>
      <c r="G324" t="s">
        <v>1349</v>
      </c>
      <c r="H324" s="2" t="b">
        <f>AND(CONTROL[[#This Row],[IS_WAGON_OR_COACH]]=TRUE,OR(RIGHT(CONTROL[[#This Row],[VEHIDCODE]],7)="Powered",RIGHT(CONTROL[[#This Row],[VEHIDCODE]],9)="Unpowered"))</f>
        <v>0</v>
      </c>
      <c r="I3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4" t="b">
        <f>ISNUMBER(_xlfn.XMATCH(CONTROL[[#This Row],[VEHIDCODE]],TRACK_TYPES[VEHIDCODE],0))</f>
        <v>1</v>
      </c>
      <c r="K324" t="b">
        <f>ISNUMBER(_xlfn.XMATCH(CONTROL[[#This Row],[VEHIDCODE]],PROPERTIES[VEHIDCODE],0))</f>
        <v>1</v>
      </c>
      <c r="L324" t="b">
        <f>ISNUMBER(_xlfn.XLOOKUP(CONTROL[[#This Row],[VEHIDCODE]],roster!A:A,roster!D:D))</f>
        <v>1</v>
      </c>
      <c r="M324" t="b">
        <f>ISNUMBER(_xlfn.XMATCH(CONTROL[[#This Row],[VEHIDCODE]],GRAPHICS_PROPERTIES[VEHIDCODE],0))</f>
        <v>1</v>
      </c>
      <c r="N324" s="21" t="str">
        <f>"item_"&amp;CONTROL[[#This Row],[VEHIDCODE]]</f>
        <v>item_mtro_CAF_Amsterdam_S3_90</v>
      </c>
      <c r="O324" s="21" t="str">
        <f>"str_"&amp;CONTROL[[#This Row],[VEHIDCODE]]</f>
        <v>str_mtro_CAF_Amsterdam_S3_90</v>
      </c>
      <c r="P324" s="7" t="b">
        <f>_xlfn.XLOOKUP(CONTROL[[#This Row],[VEHIDCODE]],PROPERTIES[VEHIDCODE],PROPERTIES[IS_CONCEPT])="IS_CONCEPT"</f>
        <v>0</v>
      </c>
      <c r="Q324" s="7" t="b">
        <f>_xlfn.XLOOKUP(CONTROL[[#This Row],[VEHIDCODE]],PROPERTIES[VEHIDCODE],PROPERTIES[EXCLUDE])</f>
        <v>0</v>
      </c>
      <c r="R324" t="str" cm="1">
        <f t="array" ref="R324">_xlfn.XLOOKUP(CONTROL[[#This Row],[VEHIDCODE]],GRAPHICS_PROPERTIES[VEHIDCODE],GRAPHICS_PROPERTIES[TEMPLATE_ID]&amp;GRAPHICS_PROPERTIES[TEMPLATE_AMENDMENT_CODE])</f>
        <v>TPL_02C</v>
      </c>
    </row>
    <row r="325" spans="1:18" x14ac:dyDescent="0.35">
      <c r="A325" s="2" t="s">
        <v>2959</v>
      </c>
      <c r="B325" s="21" t="str">
        <f>_xlfn.TEXTAFTER(CONTROL[[#This Row],[VEHIDCODE]],"_")</f>
        <v>GEC_Alsthom_Paris_MP89</v>
      </c>
      <c r="C325" t="str" cm="1">
        <f t="array" ref="C3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5" t="str" cm="1">
        <f t="array" ref="D3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5">
        <v>9029</v>
      </c>
      <c r="F325" s="32" t="s">
        <v>2226</v>
      </c>
      <c r="G325" t="s">
        <v>1350</v>
      </c>
      <c r="H325" s="2" t="b">
        <f>AND(CONTROL[[#This Row],[IS_WAGON_OR_COACH]]=TRUE,OR(RIGHT(CONTROL[[#This Row],[VEHIDCODE]],7)="Powered",RIGHT(CONTROL[[#This Row],[VEHIDCODE]],9)="Unpowered"))</f>
        <v>0</v>
      </c>
      <c r="I3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5" t="b">
        <f>ISNUMBER(_xlfn.XMATCH(CONTROL[[#This Row],[VEHIDCODE]],TRACK_TYPES[VEHIDCODE],0))</f>
        <v>1</v>
      </c>
      <c r="K325" t="b">
        <f>ISNUMBER(_xlfn.XMATCH(CONTROL[[#This Row],[VEHIDCODE]],PROPERTIES[VEHIDCODE],0))</f>
        <v>1</v>
      </c>
      <c r="L325" t="b">
        <f>ISNUMBER(_xlfn.XLOOKUP(CONTROL[[#This Row],[VEHIDCODE]],roster!A:A,roster!D:D))</f>
        <v>1</v>
      </c>
      <c r="M325" t="b">
        <f>ISNUMBER(_xlfn.XMATCH(CONTROL[[#This Row],[VEHIDCODE]],GRAPHICS_PROPERTIES[VEHIDCODE],0))</f>
        <v>1</v>
      </c>
      <c r="N325" s="21" t="str">
        <f>"item_"&amp;CONTROL[[#This Row],[VEHIDCODE]]</f>
        <v>item_mtro_GEC_Alsthom_Paris_MP89</v>
      </c>
      <c r="O325" s="21" t="str">
        <f>"str_"&amp;CONTROL[[#This Row],[VEHIDCODE]]</f>
        <v>str_mtro_GEC_Alsthom_Paris_MP89</v>
      </c>
      <c r="P325" s="7" t="b">
        <f>_xlfn.XLOOKUP(CONTROL[[#This Row],[VEHIDCODE]],PROPERTIES[VEHIDCODE],PROPERTIES[IS_CONCEPT])="IS_CONCEPT"</f>
        <v>0</v>
      </c>
      <c r="Q325" s="7" t="b">
        <f>_xlfn.XLOOKUP(CONTROL[[#This Row],[VEHIDCODE]],PROPERTIES[VEHIDCODE],PROPERTIES[EXCLUDE])</f>
        <v>0</v>
      </c>
      <c r="R325" t="str" cm="1">
        <f t="array" ref="R325">_xlfn.XLOOKUP(CONTROL[[#This Row],[VEHIDCODE]],GRAPHICS_PROPERTIES[VEHIDCODE],GRAPHICS_PROPERTIES[TEMPLATE_ID]&amp;GRAPHICS_PROPERTIES[TEMPLATE_AMENDMENT_CODE])</f>
        <v>TPL_02C</v>
      </c>
    </row>
    <row r="326" spans="1:18" x14ac:dyDescent="0.35">
      <c r="A326" s="2" t="s">
        <v>2960</v>
      </c>
      <c r="B326" s="21" t="str">
        <f>_xlfn.TEXTAFTER(CONTROL[[#This Row],[VEHIDCODE]],"_")</f>
        <v>MMZ_Moscow_81_740</v>
      </c>
      <c r="C326" t="str" cm="1">
        <f t="array" ref="C3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6" t="str" cm="1">
        <f t="array" ref="D3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6">
        <v>9031</v>
      </c>
      <c r="F326" s="32" t="s">
        <v>3551</v>
      </c>
      <c r="G326" t="s">
        <v>1351</v>
      </c>
      <c r="H326" s="2" t="b">
        <f>AND(CONTROL[[#This Row],[IS_WAGON_OR_COACH]]=TRUE,OR(RIGHT(CONTROL[[#This Row],[VEHIDCODE]],7)="Powered",RIGHT(CONTROL[[#This Row],[VEHIDCODE]],9)="Unpowered"))</f>
        <v>0</v>
      </c>
      <c r="I3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6" t="b">
        <f>ISNUMBER(_xlfn.XMATCH(CONTROL[[#This Row],[VEHIDCODE]],TRACK_TYPES[VEHIDCODE],0))</f>
        <v>1</v>
      </c>
      <c r="K326" t="b">
        <f>ISNUMBER(_xlfn.XMATCH(CONTROL[[#This Row],[VEHIDCODE]],PROPERTIES[VEHIDCODE],0))</f>
        <v>1</v>
      </c>
      <c r="L326" t="b">
        <f>ISNUMBER(_xlfn.XLOOKUP(CONTROL[[#This Row],[VEHIDCODE]],roster!A:A,roster!D:D))</f>
        <v>1</v>
      </c>
      <c r="M326" t="b">
        <f>ISNUMBER(_xlfn.XMATCH(CONTROL[[#This Row],[VEHIDCODE]],GRAPHICS_PROPERTIES[VEHIDCODE],0))</f>
        <v>1</v>
      </c>
      <c r="N326" s="21" t="str">
        <f>"item_"&amp;CONTROL[[#This Row],[VEHIDCODE]]</f>
        <v>item_mtro_MMZ_Moscow_81_740</v>
      </c>
      <c r="O326" s="21" t="str">
        <f>"str_"&amp;CONTROL[[#This Row],[VEHIDCODE]]</f>
        <v>str_mtro_MMZ_Moscow_81_740</v>
      </c>
      <c r="P326" s="7" t="b">
        <f>_xlfn.XLOOKUP(CONTROL[[#This Row],[VEHIDCODE]],PROPERTIES[VEHIDCODE],PROPERTIES[IS_CONCEPT])="IS_CONCEPT"</f>
        <v>0</v>
      </c>
      <c r="Q326" s="7" t="b">
        <f>_xlfn.XLOOKUP(CONTROL[[#This Row],[VEHIDCODE]],PROPERTIES[VEHIDCODE],PROPERTIES[EXCLUDE])</f>
        <v>0</v>
      </c>
      <c r="R326" t="str" cm="1">
        <f t="array" ref="R326">_xlfn.XLOOKUP(CONTROL[[#This Row],[VEHIDCODE]],GRAPHICS_PROPERTIES[VEHIDCODE],GRAPHICS_PROPERTIES[TEMPLATE_ID]&amp;GRAPHICS_PROPERTIES[TEMPLATE_AMENDMENT_CODE])</f>
        <v>TPL_02C</v>
      </c>
    </row>
    <row r="327" spans="1:18" x14ac:dyDescent="0.35">
      <c r="A327" s="2" t="s">
        <v>2961</v>
      </c>
      <c r="B327" s="21" t="str">
        <f>_xlfn.TEXTAFTER(CONTROL[[#This Row],[VEHIDCODE]],"_")</f>
        <v>Alstom_Singapore_C830_Metropolis</v>
      </c>
      <c r="C327" t="str" cm="1">
        <f t="array" ref="C3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7" t="str" cm="1">
        <f t="array" ref="D3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7">
        <v>9032</v>
      </c>
      <c r="F327" s="32" t="s">
        <v>2210</v>
      </c>
      <c r="G327" t="s">
        <v>1352</v>
      </c>
      <c r="H327" s="2" t="b">
        <f>AND(CONTROL[[#This Row],[IS_WAGON_OR_COACH]]=TRUE,OR(RIGHT(CONTROL[[#This Row],[VEHIDCODE]],7)="Powered",RIGHT(CONTROL[[#This Row],[VEHIDCODE]],9)="Unpowered"))</f>
        <v>0</v>
      </c>
      <c r="I3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7" t="b">
        <f>ISNUMBER(_xlfn.XMATCH(CONTROL[[#This Row],[VEHIDCODE]],TRACK_TYPES[VEHIDCODE],0))</f>
        <v>1</v>
      </c>
      <c r="K327" t="b">
        <f>ISNUMBER(_xlfn.XMATCH(CONTROL[[#This Row],[VEHIDCODE]],PROPERTIES[VEHIDCODE],0))</f>
        <v>1</v>
      </c>
      <c r="L327" t="b">
        <f>ISNUMBER(_xlfn.XLOOKUP(CONTROL[[#This Row],[VEHIDCODE]],roster!A:A,roster!D:D))</f>
        <v>1</v>
      </c>
      <c r="M327" t="b">
        <f>ISNUMBER(_xlfn.XMATCH(CONTROL[[#This Row],[VEHIDCODE]],GRAPHICS_PROPERTIES[VEHIDCODE],0))</f>
        <v>1</v>
      </c>
      <c r="N327" s="21" t="str">
        <f>"item_"&amp;CONTROL[[#This Row],[VEHIDCODE]]</f>
        <v>item_mtro_Alstom_Singapore_C830_Metropolis</v>
      </c>
      <c r="O327" s="21" t="str">
        <f>"str_"&amp;CONTROL[[#This Row],[VEHIDCODE]]</f>
        <v>str_mtro_Alstom_Singapore_C830_Metropolis</v>
      </c>
      <c r="P327" s="7" t="b">
        <f>_xlfn.XLOOKUP(CONTROL[[#This Row],[VEHIDCODE]],PROPERTIES[VEHIDCODE],PROPERTIES[IS_CONCEPT])="IS_CONCEPT"</f>
        <v>0</v>
      </c>
      <c r="Q327" s="7" t="b">
        <f>_xlfn.XLOOKUP(CONTROL[[#This Row],[VEHIDCODE]],PROPERTIES[VEHIDCODE],PROPERTIES[EXCLUDE])</f>
        <v>1</v>
      </c>
      <c r="R327" t="str" cm="1">
        <f t="array" ref="R327">_xlfn.XLOOKUP(CONTROL[[#This Row],[VEHIDCODE]],GRAPHICS_PROPERTIES[VEHIDCODE],GRAPHICS_PROPERTIES[TEMPLATE_ID]&amp;GRAPHICS_PROPERTIES[TEMPLATE_AMENDMENT_CODE])</f>
        <v>TPL_02C</v>
      </c>
    </row>
    <row r="328" spans="1:18" x14ac:dyDescent="0.35">
      <c r="A328" s="2" t="s">
        <v>2962</v>
      </c>
      <c r="B328" s="21" t="str">
        <f>_xlfn.TEXTAFTER(CONTROL[[#This Row],[VEHIDCODE]],"_")</f>
        <v>Siemens_Oslo_MX3000</v>
      </c>
      <c r="C328" t="str" cm="1">
        <f t="array" ref="C3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8" t="str" cm="1">
        <f t="array" ref="D3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8">
        <v>9033</v>
      </c>
      <c r="F328" s="32" t="s">
        <v>2211</v>
      </c>
      <c r="G328" t="s">
        <v>1353</v>
      </c>
      <c r="H328" s="2" t="b">
        <f>AND(CONTROL[[#This Row],[IS_WAGON_OR_COACH]]=TRUE,OR(RIGHT(CONTROL[[#This Row],[VEHIDCODE]],7)="Powered",RIGHT(CONTROL[[#This Row],[VEHIDCODE]],9)="Unpowered"))</f>
        <v>0</v>
      </c>
      <c r="I3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8" t="b">
        <f>ISNUMBER(_xlfn.XMATCH(CONTROL[[#This Row],[VEHIDCODE]],TRACK_TYPES[VEHIDCODE],0))</f>
        <v>1</v>
      </c>
      <c r="K328" t="b">
        <f>ISNUMBER(_xlfn.XMATCH(CONTROL[[#This Row],[VEHIDCODE]],PROPERTIES[VEHIDCODE],0))</f>
        <v>1</v>
      </c>
      <c r="L328" t="b">
        <f>ISNUMBER(_xlfn.XLOOKUP(CONTROL[[#This Row],[VEHIDCODE]],roster!A:A,roster!D:D))</f>
        <v>1</v>
      </c>
      <c r="M328" t="b">
        <f>ISNUMBER(_xlfn.XMATCH(CONTROL[[#This Row],[VEHIDCODE]],GRAPHICS_PROPERTIES[VEHIDCODE],0))</f>
        <v>1</v>
      </c>
      <c r="N328" s="21" t="str">
        <f>"item_"&amp;CONTROL[[#This Row],[VEHIDCODE]]</f>
        <v>item_mtro_Siemens_Oslo_MX3000</v>
      </c>
      <c r="O328" s="21" t="str">
        <f>"str_"&amp;CONTROL[[#This Row],[VEHIDCODE]]</f>
        <v>str_mtro_Siemens_Oslo_MX3000</v>
      </c>
      <c r="P328" s="7" t="b">
        <f>_xlfn.XLOOKUP(CONTROL[[#This Row],[VEHIDCODE]],PROPERTIES[VEHIDCODE],PROPERTIES[IS_CONCEPT])="IS_CONCEPT"</f>
        <v>0</v>
      </c>
      <c r="Q328" s="7" t="b">
        <f>_xlfn.XLOOKUP(CONTROL[[#This Row],[VEHIDCODE]],PROPERTIES[VEHIDCODE],PROPERTIES[EXCLUDE])</f>
        <v>0</v>
      </c>
      <c r="R328" t="str" cm="1">
        <f t="array" ref="R328">_xlfn.XLOOKUP(CONTROL[[#This Row],[VEHIDCODE]],GRAPHICS_PROPERTIES[VEHIDCODE],GRAPHICS_PROPERTIES[TEMPLATE_ID]&amp;GRAPHICS_PROPERTIES[TEMPLATE_AMENDMENT_CODE])</f>
        <v>TPL_02C</v>
      </c>
    </row>
    <row r="329" spans="1:18" x14ac:dyDescent="0.35">
      <c r="A329" s="2" t="s">
        <v>2963</v>
      </c>
      <c r="B329" s="21" t="str">
        <f>_xlfn.TEXTAFTER(CONTROL[[#This Row],[VEHIDCODE]],"_")</f>
        <v>Kawasaki_Osaka_30000</v>
      </c>
      <c r="C329" t="str" cm="1">
        <f t="array" ref="C3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9" t="str" cm="1">
        <f t="array" ref="D3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9">
        <v>9034</v>
      </c>
      <c r="F329" s="32" t="s">
        <v>2213</v>
      </c>
      <c r="G329" t="s">
        <v>1354</v>
      </c>
      <c r="H329" s="2" t="b">
        <f>AND(CONTROL[[#This Row],[IS_WAGON_OR_COACH]]=TRUE,OR(RIGHT(CONTROL[[#This Row],[VEHIDCODE]],7)="Powered",RIGHT(CONTROL[[#This Row],[VEHIDCODE]],9)="Unpowered"))</f>
        <v>0</v>
      </c>
      <c r="I3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9" t="b">
        <f>ISNUMBER(_xlfn.XMATCH(CONTROL[[#This Row],[VEHIDCODE]],TRACK_TYPES[VEHIDCODE],0))</f>
        <v>1</v>
      </c>
      <c r="K329" t="b">
        <f>ISNUMBER(_xlfn.XMATCH(CONTROL[[#This Row],[VEHIDCODE]],PROPERTIES[VEHIDCODE],0))</f>
        <v>1</v>
      </c>
      <c r="L329" t="b">
        <f>ISNUMBER(_xlfn.XLOOKUP(CONTROL[[#This Row],[VEHIDCODE]],roster!A:A,roster!D:D))</f>
        <v>1</v>
      </c>
      <c r="M329" t="b">
        <f>ISNUMBER(_xlfn.XMATCH(CONTROL[[#This Row],[VEHIDCODE]],GRAPHICS_PROPERTIES[VEHIDCODE],0))</f>
        <v>1</v>
      </c>
      <c r="N329" s="21" t="str">
        <f>"item_"&amp;CONTROL[[#This Row],[VEHIDCODE]]</f>
        <v>item_mtro_Kawasaki_Osaka_30000</v>
      </c>
      <c r="O329" s="21" t="str">
        <f>"str_"&amp;CONTROL[[#This Row],[VEHIDCODE]]</f>
        <v>str_mtro_Kawasaki_Osaka_30000</v>
      </c>
      <c r="P329" s="7" t="b">
        <f>_xlfn.XLOOKUP(CONTROL[[#This Row],[VEHIDCODE]],PROPERTIES[VEHIDCODE],PROPERTIES[IS_CONCEPT])="IS_CONCEPT"</f>
        <v>0</v>
      </c>
      <c r="Q329" s="7" t="b">
        <f>_xlfn.XLOOKUP(CONTROL[[#This Row],[VEHIDCODE]],PROPERTIES[VEHIDCODE],PROPERTIES[EXCLUDE])</f>
        <v>0</v>
      </c>
      <c r="R329" t="str" cm="1">
        <f t="array" ref="R329">_xlfn.XLOOKUP(CONTROL[[#This Row],[VEHIDCODE]],GRAPHICS_PROPERTIES[VEHIDCODE],GRAPHICS_PROPERTIES[TEMPLATE_ID]&amp;GRAPHICS_PROPERTIES[TEMPLATE_AMENDMENT_CODE])</f>
        <v>TPL_02C</v>
      </c>
    </row>
    <row r="330" spans="1:18" x14ac:dyDescent="0.35">
      <c r="A330" s="2" t="s">
        <v>2964</v>
      </c>
      <c r="B330" s="21" t="str">
        <f>_xlfn.TEXTAFTER(CONTROL[[#This Row],[VEHIDCODE]],"_")</f>
        <v>Kawasaki_Singapore_C151A</v>
      </c>
      <c r="C330" t="str" cm="1">
        <f t="array" ref="C3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0" t="str" cm="1">
        <f t="array" ref="D3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0">
        <v>9035</v>
      </c>
      <c r="F330" s="32" t="s">
        <v>2214</v>
      </c>
      <c r="G330" t="s">
        <v>1355</v>
      </c>
      <c r="H330" s="2" t="b">
        <f>AND(CONTROL[[#This Row],[IS_WAGON_OR_COACH]]=TRUE,OR(RIGHT(CONTROL[[#This Row],[VEHIDCODE]],7)="Powered",RIGHT(CONTROL[[#This Row],[VEHIDCODE]],9)="Unpowered"))</f>
        <v>0</v>
      </c>
      <c r="I3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0" t="b">
        <f>ISNUMBER(_xlfn.XMATCH(CONTROL[[#This Row],[VEHIDCODE]],TRACK_TYPES[VEHIDCODE],0))</f>
        <v>1</v>
      </c>
      <c r="K330" t="b">
        <f>ISNUMBER(_xlfn.XMATCH(CONTROL[[#This Row],[VEHIDCODE]],PROPERTIES[VEHIDCODE],0))</f>
        <v>1</v>
      </c>
      <c r="L330" t="b">
        <f>ISNUMBER(_xlfn.XLOOKUP(CONTROL[[#This Row],[VEHIDCODE]],roster!A:A,roster!D:D))</f>
        <v>1</v>
      </c>
      <c r="M330" t="b">
        <f>ISNUMBER(_xlfn.XMATCH(CONTROL[[#This Row],[VEHIDCODE]],GRAPHICS_PROPERTIES[VEHIDCODE],0))</f>
        <v>1</v>
      </c>
      <c r="N330" s="21" t="str">
        <f>"item_"&amp;CONTROL[[#This Row],[VEHIDCODE]]</f>
        <v>item_mtro_Kawasaki_Singapore_C151A</v>
      </c>
      <c r="O330" s="21" t="str">
        <f>"str_"&amp;CONTROL[[#This Row],[VEHIDCODE]]</f>
        <v>str_mtro_Kawasaki_Singapore_C151A</v>
      </c>
      <c r="P330" s="7" t="b">
        <f>_xlfn.XLOOKUP(CONTROL[[#This Row],[VEHIDCODE]],PROPERTIES[VEHIDCODE],PROPERTIES[IS_CONCEPT])="IS_CONCEPT"</f>
        <v>0</v>
      </c>
      <c r="Q330" s="7" t="b">
        <f>_xlfn.XLOOKUP(CONTROL[[#This Row],[VEHIDCODE]],PROPERTIES[VEHIDCODE],PROPERTIES[EXCLUDE])</f>
        <v>0</v>
      </c>
      <c r="R330" t="str" cm="1">
        <f t="array" ref="R330">_xlfn.XLOOKUP(CONTROL[[#This Row],[VEHIDCODE]],GRAPHICS_PROPERTIES[VEHIDCODE],GRAPHICS_PROPERTIES[TEMPLATE_ID]&amp;GRAPHICS_PROPERTIES[TEMPLATE_AMENDMENT_CODE])</f>
        <v>TPL_02C</v>
      </c>
    </row>
    <row r="331" spans="1:18" x14ac:dyDescent="0.35">
      <c r="A331" s="2" t="s">
        <v>2965</v>
      </c>
      <c r="B331" s="21" t="str">
        <f>_xlfn.TEXTAFTER(CONTROL[[#This Row],[VEHIDCODE]],"_")</f>
        <v>Kawasaki_Washington_7000</v>
      </c>
      <c r="C331" t="str" cm="1">
        <f t="array" ref="C3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1" t="str" cm="1">
        <f t="array" ref="D3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1">
        <v>9036</v>
      </c>
      <c r="F331" s="32" t="s">
        <v>2215</v>
      </c>
      <c r="G331" t="s">
        <v>1356</v>
      </c>
      <c r="H331" s="2" t="b">
        <f>AND(CONTROL[[#This Row],[IS_WAGON_OR_COACH]]=TRUE,OR(RIGHT(CONTROL[[#This Row],[VEHIDCODE]],7)="Powered",RIGHT(CONTROL[[#This Row],[VEHIDCODE]],9)="Unpowered"))</f>
        <v>0</v>
      </c>
      <c r="I3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1" t="b">
        <f>ISNUMBER(_xlfn.XMATCH(CONTROL[[#This Row],[VEHIDCODE]],TRACK_TYPES[VEHIDCODE],0))</f>
        <v>1</v>
      </c>
      <c r="K331" t="b">
        <f>ISNUMBER(_xlfn.XMATCH(CONTROL[[#This Row],[VEHIDCODE]],PROPERTIES[VEHIDCODE],0))</f>
        <v>1</v>
      </c>
      <c r="L331" t="b">
        <f>ISNUMBER(_xlfn.XLOOKUP(CONTROL[[#This Row],[VEHIDCODE]],roster!A:A,roster!D:D))</f>
        <v>1</v>
      </c>
      <c r="M331" t="b">
        <f>ISNUMBER(_xlfn.XMATCH(CONTROL[[#This Row],[VEHIDCODE]],GRAPHICS_PROPERTIES[VEHIDCODE],0))</f>
        <v>1</v>
      </c>
      <c r="N331" s="21" t="str">
        <f>"item_"&amp;CONTROL[[#This Row],[VEHIDCODE]]</f>
        <v>item_mtro_Kawasaki_Washington_7000</v>
      </c>
      <c r="O331" s="21" t="str">
        <f>"str_"&amp;CONTROL[[#This Row],[VEHIDCODE]]</f>
        <v>str_mtro_Kawasaki_Washington_7000</v>
      </c>
      <c r="P331" s="7" t="b">
        <f>_xlfn.XLOOKUP(CONTROL[[#This Row],[VEHIDCODE]],PROPERTIES[VEHIDCODE],PROPERTIES[IS_CONCEPT])="IS_CONCEPT"</f>
        <v>0</v>
      </c>
      <c r="Q331" s="7" t="b">
        <f>_xlfn.XLOOKUP(CONTROL[[#This Row],[VEHIDCODE]],PROPERTIES[VEHIDCODE],PROPERTIES[EXCLUDE])</f>
        <v>0</v>
      </c>
      <c r="R331" t="str" cm="1">
        <f t="array" ref="R331">_xlfn.XLOOKUP(CONTROL[[#This Row],[VEHIDCODE]],GRAPHICS_PROPERTIES[VEHIDCODE],GRAPHICS_PROPERTIES[TEMPLATE_ID]&amp;GRAPHICS_PROPERTIES[TEMPLATE_AMENDMENT_CODE])</f>
        <v>TPL_02C</v>
      </c>
    </row>
    <row r="332" spans="1:18" x14ac:dyDescent="0.35">
      <c r="A332" s="2" t="s">
        <v>2966</v>
      </c>
      <c r="B332" s="21" t="str">
        <f>_xlfn.TEXTAFTER(CONTROL[[#This Row],[VEHIDCODE]],"_")</f>
        <v>Hitachi_Thessaloniki_2014</v>
      </c>
      <c r="C332" t="str" cm="1">
        <f t="array" ref="C3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2" t="str" cm="1">
        <f t="array" ref="D3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2">
        <v>9037</v>
      </c>
      <c r="F332" s="32" t="s">
        <v>2216</v>
      </c>
      <c r="G332" t="s">
        <v>1357</v>
      </c>
      <c r="H332" s="2" t="b">
        <f>AND(CONTROL[[#This Row],[IS_WAGON_OR_COACH]]=TRUE,OR(RIGHT(CONTROL[[#This Row],[VEHIDCODE]],7)="Powered",RIGHT(CONTROL[[#This Row],[VEHIDCODE]],9)="Unpowered"))</f>
        <v>0</v>
      </c>
      <c r="I3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2" t="b">
        <f>ISNUMBER(_xlfn.XMATCH(CONTROL[[#This Row],[VEHIDCODE]],TRACK_TYPES[VEHIDCODE],0))</f>
        <v>1</v>
      </c>
      <c r="K332" t="b">
        <f>ISNUMBER(_xlfn.XMATCH(CONTROL[[#This Row],[VEHIDCODE]],PROPERTIES[VEHIDCODE],0))</f>
        <v>1</v>
      </c>
      <c r="L332" t="b">
        <f>ISNUMBER(_xlfn.XLOOKUP(CONTROL[[#This Row],[VEHIDCODE]],roster!A:A,roster!D:D))</f>
        <v>1</v>
      </c>
      <c r="M332" t="b">
        <f>ISNUMBER(_xlfn.XMATCH(CONTROL[[#This Row],[VEHIDCODE]],GRAPHICS_PROPERTIES[VEHIDCODE],0))</f>
        <v>1</v>
      </c>
      <c r="N332" s="21" t="str">
        <f>"item_"&amp;CONTROL[[#This Row],[VEHIDCODE]]</f>
        <v>item_mtro_Hitachi_Thessaloniki_2014</v>
      </c>
      <c r="O332" s="21" t="str">
        <f>"str_"&amp;CONTROL[[#This Row],[VEHIDCODE]]</f>
        <v>str_mtro_Hitachi_Thessaloniki_2014</v>
      </c>
      <c r="P332" s="7" t="b">
        <f>_xlfn.XLOOKUP(CONTROL[[#This Row],[VEHIDCODE]],PROPERTIES[VEHIDCODE],PROPERTIES[IS_CONCEPT])="IS_CONCEPT"</f>
        <v>0</v>
      </c>
      <c r="Q332" s="7" t="b">
        <f>_xlfn.XLOOKUP(CONTROL[[#This Row],[VEHIDCODE]],PROPERTIES[VEHIDCODE],PROPERTIES[EXCLUDE])</f>
        <v>0</v>
      </c>
      <c r="R332" t="str" cm="1">
        <f t="array" ref="R332">_xlfn.XLOOKUP(CONTROL[[#This Row],[VEHIDCODE]],GRAPHICS_PROPERTIES[VEHIDCODE],GRAPHICS_PROPERTIES[TEMPLATE_ID]&amp;GRAPHICS_PROPERTIES[TEMPLATE_AMENDMENT_CODE])</f>
        <v>TPL_02C</v>
      </c>
    </row>
    <row r="333" spans="1:18" x14ac:dyDescent="0.35">
      <c r="A333" s="2" t="s">
        <v>2967</v>
      </c>
      <c r="B333" s="21" t="str">
        <f>_xlfn.TEXTAFTER(CONTROL[[#This Row],[VEHIDCODE]],"_")</f>
        <v>AEG_Berlin_U_Bahn_A_I</v>
      </c>
      <c r="C333" t="str" cm="1">
        <f t="array" ref="C3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3" t="str" cm="1">
        <f t="array" ref="D3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3">
        <v>9038</v>
      </c>
      <c r="F333" s="32" t="s">
        <v>2217</v>
      </c>
      <c r="G333" t="s">
        <v>1358</v>
      </c>
      <c r="H333" s="2" t="b">
        <f>AND(CONTROL[[#This Row],[IS_WAGON_OR_COACH]]=TRUE,OR(RIGHT(CONTROL[[#This Row],[VEHIDCODE]],7)="Powered",RIGHT(CONTROL[[#This Row],[VEHIDCODE]],9)="Unpowered"))</f>
        <v>0</v>
      </c>
      <c r="I3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3" t="b">
        <f>ISNUMBER(_xlfn.XMATCH(CONTROL[[#This Row],[VEHIDCODE]],TRACK_TYPES[VEHIDCODE],0))</f>
        <v>1</v>
      </c>
      <c r="K333" t="b">
        <f>ISNUMBER(_xlfn.XMATCH(CONTROL[[#This Row],[VEHIDCODE]],PROPERTIES[VEHIDCODE],0))</f>
        <v>1</v>
      </c>
      <c r="L333" t="b">
        <f>ISNUMBER(_xlfn.XLOOKUP(CONTROL[[#This Row],[VEHIDCODE]],roster!A:A,roster!D:D))</f>
        <v>1</v>
      </c>
      <c r="M333" t="b">
        <f>ISNUMBER(_xlfn.XMATCH(CONTROL[[#This Row],[VEHIDCODE]],GRAPHICS_PROPERTIES[VEHIDCODE],0))</f>
        <v>1</v>
      </c>
      <c r="N333" s="21" t="str">
        <f>"item_"&amp;CONTROL[[#This Row],[VEHIDCODE]]</f>
        <v>item_mtro_AEG_Berlin_U_Bahn_A_I</v>
      </c>
      <c r="O333" s="21" t="str">
        <f>"str_"&amp;CONTROL[[#This Row],[VEHIDCODE]]</f>
        <v>str_mtro_AEG_Berlin_U_Bahn_A_I</v>
      </c>
      <c r="P333" s="7" t="b">
        <f>_xlfn.XLOOKUP(CONTROL[[#This Row],[VEHIDCODE]],PROPERTIES[VEHIDCODE],PROPERTIES[IS_CONCEPT])="IS_CONCEPT"</f>
        <v>0</v>
      </c>
      <c r="Q333" s="7" t="b">
        <f>_xlfn.XLOOKUP(CONTROL[[#This Row],[VEHIDCODE]],PROPERTIES[VEHIDCODE],PROPERTIES[EXCLUDE])</f>
        <v>0</v>
      </c>
      <c r="R333" t="str" cm="1">
        <f t="array" ref="R333">_xlfn.XLOOKUP(CONTROL[[#This Row],[VEHIDCODE]],GRAPHICS_PROPERTIES[VEHIDCODE],GRAPHICS_PROPERTIES[TEMPLATE_ID]&amp;GRAPHICS_PROPERTIES[TEMPLATE_AMENDMENT_CODE])</f>
        <v>TPL_02C</v>
      </c>
    </row>
    <row r="334" spans="1:18" x14ac:dyDescent="0.35">
      <c r="A334" s="2" t="s">
        <v>2968</v>
      </c>
      <c r="B334" s="21" t="str">
        <f>_xlfn.TEXTAFTER(CONTROL[[#This Row],[VEHIDCODE]],"_")</f>
        <v>ACF_New_York_Hedley_Hi_V</v>
      </c>
      <c r="C334" t="str" cm="1">
        <f t="array" ref="C3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4" t="str" cm="1">
        <f t="array" ref="D3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4">
        <v>9039</v>
      </c>
      <c r="F334" s="32" t="s">
        <v>2218</v>
      </c>
      <c r="G334" t="s">
        <v>1359</v>
      </c>
      <c r="H334" s="2" t="b">
        <f>AND(CONTROL[[#This Row],[IS_WAGON_OR_COACH]]=TRUE,OR(RIGHT(CONTROL[[#This Row],[VEHIDCODE]],7)="Powered",RIGHT(CONTROL[[#This Row],[VEHIDCODE]],9)="Unpowered"))</f>
        <v>0</v>
      </c>
      <c r="I3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4" t="b">
        <f>ISNUMBER(_xlfn.XMATCH(CONTROL[[#This Row],[VEHIDCODE]],TRACK_TYPES[VEHIDCODE],0))</f>
        <v>1</v>
      </c>
      <c r="K334" t="b">
        <f>ISNUMBER(_xlfn.XMATCH(CONTROL[[#This Row],[VEHIDCODE]],PROPERTIES[VEHIDCODE],0))</f>
        <v>1</v>
      </c>
      <c r="L334" t="b">
        <f>ISNUMBER(_xlfn.XLOOKUP(CONTROL[[#This Row],[VEHIDCODE]],roster!A:A,roster!D:D))</f>
        <v>1</v>
      </c>
      <c r="M334" t="b">
        <f>ISNUMBER(_xlfn.XMATCH(CONTROL[[#This Row],[VEHIDCODE]],GRAPHICS_PROPERTIES[VEHIDCODE],0))</f>
        <v>1</v>
      </c>
      <c r="N334" s="21" t="str">
        <f>"item_"&amp;CONTROL[[#This Row],[VEHIDCODE]]</f>
        <v>item_mtro_ACF_New_York_Hedley_Hi_V</v>
      </c>
      <c r="O334" s="21" t="str">
        <f>"str_"&amp;CONTROL[[#This Row],[VEHIDCODE]]</f>
        <v>str_mtro_ACF_New_York_Hedley_Hi_V</v>
      </c>
      <c r="P334" s="7" t="b">
        <f>_xlfn.XLOOKUP(CONTROL[[#This Row],[VEHIDCODE]],PROPERTIES[VEHIDCODE],PROPERTIES[IS_CONCEPT])="IS_CONCEPT"</f>
        <v>0</v>
      </c>
      <c r="Q334" s="7" t="b">
        <f>_xlfn.XLOOKUP(CONTROL[[#This Row],[VEHIDCODE]],PROPERTIES[VEHIDCODE],PROPERTIES[EXCLUDE])</f>
        <v>0</v>
      </c>
      <c r="R334" t="str" cm="1">
        <f t="array" ref="R334">_xlfn.XLOOKUP(CONTROL[[#This Row],[VEHIDCODE]],GRAPHICS_PROPERTIES[VEHIDCODE],GRAPHICS_PROPERTIES[TEMPLATE_ID]&amp;GRAPHICS_PROPERTIES[TEMPLATE_AMENDMENT_CODE])</f>
        <v>TPL_02C</v>
      </c>
    </row>
    <row r="335" spans="1:18" x14ac:dyDescent="0.35">
      <c r="A335" s="2" t="s">
        <v>2969</v>
      </c>
      <c r="B335" s="21" t="str">
        <f>_xlfn.TEXTAFTER(CONTROL[[#This Row],[VEHIDCODE]],"_")</f>
        <v>Kawasaki_Osaka_1000</v>
      </c>
      <c r="C335" t="str" cm="1">
        <f t="array" ref="C3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5" t="str" cm="1">
        <f t="array" ref="D3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5">
        <v>9040</v>
      </c>
      <c r="F335" s="32" t="s">
        <v>2219</v>
      </c>
      <c r="G335" t="s">
        <v>1360</v>
      </c>
      <c r="H335" s="2" t="b">
        <f>AND(CONTROL[[#This Row],[IS_WAGON_OR_COACH]]=TRUE,OR(RIGHT(CONTROL[[#This Row],[VEHIDCODE]],7)="Powered",RIGHT(CONTROL[[#This Row],[VEHIDCODE]],9)="Unpowered"))</f>
        <v>0</v>
      </c>
      <c r="I3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5" t="b">
        <f>ISNUMBER(_xlfn.XMATCH(CONTROL[[#This Row],[VEHIDCODE]],TRACK_TYPES[VEHIDCODE],0))</f>
        <v>1</v>
      </c>
      <c r="K335" t="b">
        <f>ISNUMBER(_xlfn.XMATCH(CONTROL[[#This Row],[VEHIDCODE]],PROPERTIES[VEHIDCODE],0))</f>
        <v>1</v>
      </c>
      <c r="L335" t="b">
        <f>ISNUMBER(_xlfn.XLOOKUP(CONTROL[[#This Row],[VEHIDCODE]],roster!A:A,roster!D:D))</f>
        <v>1</v>
      </c>
      <c r="M335" t="b">
        <f>ISNUMBER(_xlfn.XMATCH(CONTROL[[#This Row],[VEHIDCODE]],GRAPHICS_PROPERTIES[VEHIDCODE],0))</f>
        <v>1</v>
      </c>
      <c r="N335" s="21" t="str">
        <f>"item_"&amp;CONTROL[[#This Row],[VEHIDCODE]]</f>
        <v>item_mtro_Kawasaki_Osaka_1000</v>
      </c>
      <c r="O335" s="21" t="str">
        <f>"str_"&amp;CONTROL[[#This Row],[VEHIDCODE]]</f>
        <v>str_mtro_Kawasaki_Osaka_1000</v>
      </c>
      <c r="P335" s="7" t="b">
        <f>_xlfn.XLOOKUP(CONTROL[[#This Row],[VEHIDCODE]],PROPERTIES[VEHIDCODE],PROPERTIES[IS_CONCEPT])="IS_CONCEPT"</f>
        <v>0</v>
      </c>
      <c r="Q335" s="7" t="b">
        <f>_xlfn.XLOOKUP(CONTROL[[#This Row],[VEHIDCODE]],PROPERTIES[VEHIDCODE],PROPERTIES[EXCLUDE])</f>
        <v>0</v>
      </c>
      <c r="R335" t="str" cm="1">
        <f t="array" ref="R335">_xlfn.XLOOKUP(CONTROL[[#This Row],[VEHIDCODE]],GRAPHICS_PROPERTIES[VEHIDCODE],GRAPHICS_PROPERTIES[TEMPLATE_ID]&amp;GRAPHICS_PROPERTIES[TEMPLATE_AMENDMENT_CODE])</f>
        <v>TPL_02C</v>
      </c>
    </row>
    <row r="336" spans="1:18" x14ac:dyDescent="0.35">
      <c r="A336" s="2" t="s">
        <v>2970</v>
      </c>
      <c r="B336" s="21" t="str">
        <f>_xlfn.TEXTAFTER(CONTROL[[#This Row],[VEHIDCODE]],"_")</f>
        <v>MMZ_Moscow_Type_A</v>
      </c>
      <c r="C336" t="str" cm="1">
        <f t="array" ref="C3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6" t="str" cm="1">
        <f t="array" ref="D3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6">
        <v>9041</v>
      </c>
      <c r="F336" s="32" t="s">
        <v>3552</v>
      </c>
      <c r="G336" t="s">
        <v>1361</v>
      </c>
      <c r="H336" s="2" t="b">
        <f>AND(CONTROL[[#This Row],[IS_WAGON_OR_COACH]]=TRUE,OR(RIGHT(CONTROL[[#This Row],[VEHIDCODE]],7)="Powered",RIGHT(CONTROL[[#This Row],[VEHIDCODE]],9)="Unpowered"))</f>
        <v>0</v>
      </c>
      <c r="I3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6" t="b">
        <f>ISNUMBER(_xlfn.XMATCH(CONTROL[[#This Row],[VEHIDCODE]],TRACK_TYPES[VEHIDCODE],0))</f>
        <v>1</v>
      </c>
      <c r="K336" t="b">
        <f>ISNUMBER(_xlfn.XMATCH(CONTROL[[#This Row],[VEHIDCODE]],PROPERTIES[VEHIDCODE],0))</f>
        <v>1</v>
      </c>
      <c r="L336" t="b">
        <f>ISNUMBER(_xlfn.XLOOKUP(CONTROL[[#This Row],[VEHIDCODE]],roster!A:A,roster!D:D))</f>
        <v>1</v>
      </c>
      <c r="M336" t="b">
        <f>ISNUMBER(_xlfn.XMATCH(CONTROL[[#This Row],[VEHIDCODE]],GRAPHICS_PROPERTIES[VEHIDCODE],0))</f>
        <v>1</v>
      </c>
      <c r="N336" s="21" t="str">
        <f>"item_"&amp;CONTROL[[#This Row],[VEHIDCODE]]</f>
        <v>item_mtro_MMZ_Moscow_Type_A</v>
      </c>
      <c r="O336" s="21" t="str">
        <f>"str_"&amp;CONTROL[[#This Row],[VEHIDCODE]]</f>
        <v>str_mtro_MMZ_Moscow_Type_A</v>
      </c>
      <c r="P336" s="7" t="b">
        <f>_xlfn.XLOOKUP(CONTROL[[#This Row],[VEHIDCODE]],PROPERTIES[VEHIDCODE],PROPERTIES[IS_CONCEPT])="IS_CONCEPT"</f>
        <v>0</v>
      </c>
      <c r="Q336" s="7" t="b">
        <f>_xlfn.XLOOKUP(CONTROL[[#This Row],[VEHIDCODE]],PROPERTIES[VEHIDCODE],PROPERTIES[EXCLUDE])</f>
        <v>0</v>
      </c>
      <c r="R336" t="str" cm="1">
        <f t="array" ref="R336">_xlfn.XLOOKUP(CONTROL[[#This Row],[VEHIDCODE]],GRAPHICS_PROPERTIES[VEHIDCODE],GRAPHICS_PROPERTIES[TEMPLATE_ID]&amp;GRAPHICS_PROPERTIES[TEMPLATE_AMENDMENT_CODE])</f>
        <v>TPL_02C</v>
      </c>
    </row>
    <row r="337" spans="1:18" x14ac:dyDescent="0.35">
      <c r="A337" s="2" t="s">
        <v>2971</v>
      </c>
      <c r="B337" s="21" t="str">
        <f>_xlfn.TEXTAFTER(CONTROL[[#This Row],[VEHIDCODE]],"_")</f>
        <v>ACF_New_York_R10</v>
      </c>
      <c r="C337" t="str" cm="1">
        <f t="array" ref="C3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7" t="str" cm="1">
        <f t="array" ref="D3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7">
        <v>9042</v>
      </c>
      <c r="F337" s="32" t="s">
        <v>2220</v>
      </c>
      <c r="G337" t="s">
        <v>1362</v>
      </c>
      <c r="H337" s="2" t="b">
        <f>AND(CONTROL[[#This Row],[IS_WAGON_OR_COACH]]=TRUE,OR(RIGHT(CONTROL[[#This Row],[VEHIDCODE]],7)="Powered",RIGHT(CONTROL[[#This Row],[VEHIDCODE]],9)="Unpowered"))</f>
        <v>0</v>
      </c>
      <c r="I3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7" t="b">
        <f>ISNUMBER(_xlfn.XMATCH(CONTROL[[#This Row],[VEHIDCODE]],TRACK_TYPES[VEHIDCODE],0))</f>
        <v>1</v>
      </c>
      <c r="K337" t="b">
        <f>ISNUMBER(_xlfn.XMATCH(CONTROL[[#This Row],[VEHIDCODE]],PROPERTIES[VEHIDCODE],0))</f>
        <v>1</v>
      </c>
      <c r="L337" t="b">
        <f>ISNUMBER(_xlfn.XLOOKUP(CONTROL[[#This Row],[VEHIDCODE]],roster!A:A,roster!D:D))</f>
        <v>1</v>
      </c>
      <c r="M337" t="b">
        <f>ISNUMBER(_xlfn.XMATCH(CONTROL[[#This Row],[VEHIDCODE]],GRAPHICS_PROPERTIES[VEHIDCODE],0))</f>
        <v>1</v>
      </c>
      <c r="N337" s="21" t="str">
        <f>"item_"&amp;CONTROL[[#This Row],[VEHIDCODE]]</f>
        <v>item_mtro_ACF_New_York_R10</v>
      </c>
      <c r="O337" s="21" t="str">
        <f>"str_"&amp;CONTROL[[#This Row],[VEHIDCODE]]</f>
        <v>str_mtro_ACF_New_York_R10</v>
      </c>
      <c r="P337" s="7" t="b">
        <f>_xlfn.XLOOKUP(CONTROL[[#This Row],[VEHIDCODE]],PROPERTIES[VEHIDCODE],PROPERTIES[IS_CONCEPT])="IS_CONCEPT"</f>
        <v>0</v>
      </c>
      <c r="Q337" s="7" t="b">
        <f>_xlfn.XLOOKUP(CONTROL[[#This Row],[VEHIDCODE]],PROPERTIES[VEHIDCODE],PROPERTIES[EXCLUDE])</f>
        <v>0</v>
      </c>
      <c r="R337" t="str" cm="1">
        <f t="array" ref="R337">_xlfn.XLOOKUP(CONTROL[[#This Row],[VEHIDCODE]],GRAPHICS_PROPERTIES[VEHIDCODE],GRAPHICS_PROPERTIES[TEMPLATE_ID]&amp;GRAPHICS_PROPERTIES[TEMPLATE_AMENDMENT_CODE])</f>
        <v>TPL_02C</v>
      </c>
    </row>
    <row r="338" spans="1:18" x14ac:dyDescent="0.35">
      <c r="A338" s="2" t="s">
        <v>2972</v>
      </c>
      <c r="B338" s="21" t="str">
        <f>_xlfn.TEXTAFTER(CONTROL[[#This Row],[VEHIDCODE]],"_")</f>
        <v>Stanga_Rome_MR_100</v>
      </c>
      <c r="C338" t="str" cm="1">
        <f t="array" ref="C3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8" t="str" cm="1">
        <f t="array" ref="D3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8">
        <v>9043</v>
      </c>
      <c r="F338" s="32" t="s">
        <v>2221</v>
      </c>
      <c r="G338" t="s">
        <v>1363</v>
      </c>
      <c r="H338" s="2" t="b">
        <f>AND(CONTROL[[#This Row],[IS_WAGON_OR_COACH]]=TRUE,OR(RIGHT(CONTROL[[#This Row],[VEHIDCODE]],7)="Powered",RIGHT(CONTROL[[#This Row],[VEHIDCODE]],9)="Unpowered"))</f>
        <v>0</v>
      </c>
      <c r="I3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8" t="b">
        <f>ISNUMBER(_xlfn.XMATCH(CONTROL[[#This Row],[VEHIDCODE]],TRACK_TYPES[VEHIDCODE],0))</f>
        <v>1</v>
      </c>
      <c r="K338" t="b">
        <f>ISNUMBER(_xlfn.XMATCH(CONTROL[[#This Row],[VEHIDCODE]],PROPERTIES[VEHIDCODE],0))</f>
        <v>1</v>
      </c>
      <c r="L338" t="b">
        <f>ISNUMBER(_xlfn.XLOOKUP(CONTROL[[#This Row],[VEHIDCODE]],roster!A:A,roster!D:D))</f>
        <v>1</v>
      </c>
      <c r="M338" t="b">
        <f>ISNUMBER(_xlfn.XMATCH(CONTROL[[#This Row],[VEHIDCODE]],GRAPHICS_PROPERTIES[VEHIDCODE],0))</f>
        <v>1</v>
      </c>
      <c r="N338" s="21" t="str">
        <f>"item_"&amp;CONTROL[[#This Row],[VEHIDCODE]]</f>
        <v>item_mtro_Stanga_Rome_MR_100</v>
      </c>
      <c r="O338" s="21" t="str">
        <f>"str_"&amp;CONTROL[[#This Row],[VEHIDCODE]]</f>
        <v>str_mtro_Stanga_Rome_MR_100</v>
      </c>
      <c r="P338" s="7" t="b">
        <f>_xlfn.XLOOKUP(CONTROL[[#This Row],[VEHIDCODE]],PROPERTIES[VEHIDCODE],PROPERTIES[IS_CONCEPT])="IS_CONCEPT"</f>
        <v>0</v>
      </c>
      <c r="Q338" s="7" t="b">
        <f>_xlfn.XLOOKUP(CONTROL[[#This Row],[VEHIDCODE]],PROPERTIES[VEHIDCODE],PROPERTIES[EXCLUDE])</f>
        <v>0</v>
      </c>
      <c r="R338" t="str" cm="1">
        <f t="array" ref="R338">_xlfn.XLOOKUP(CONTROL[[#This Row],[VEHIDCODE]],GRAPHICS_PROPERTIES[VEHIDCODE],GRAPHICS_PROPERTIES[TEMPLATE_ID]&amp;GRAPHICS_PROPERTIES[TEMPLATE_AMENDMENT_CODE])</f>
        <v>TPL_02C</v>
      </c>
    </row>
    <row r="339" spans="1:18" x14ac:dyDescent="0.35">
      <c r="A339" s="2" t="s">
        <v>2973</v>
      </c>
      <c r="B339" s="21" t="str">
        <f>_xlfn.TEXTAFTER(CONTROL[[#This Row],[VEHIDCODE]],"_")</f>
        <v>MMZ_Moscow_Type_D</v>
      </c>
      <c r="C339" t="str" cm="1">
        <f t="array" ref="C3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9" t="str" cm="1">
        <f t="array" ref="D3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9">
        <v>9044</v>
      </c>
      <c r="F339" s="32" t="s">
        <v>3556</v>
      </c>
      <c r="G339" t="s">
        <v>1364</v>
      </c>
      <c r="H339" s="2" t="b">
        <f>AND(CONTROL[[#This Row],[IS_WAGON_OR_COACH]]=TRUE,OR(RIGHT(CONTROL[[#This Row],[VEHIDCODE]],7)="Powered",RIGHT(CONTROL[[#This Row],[VEHIDCODE]],9)="Unpowered"))</f>
        <v>0</v>
      </c>
      <c r="I3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9" t="b">
        <f>ISNUMBER(_xlfn.XMATCH(CONTROL[[#This Row],[VEHIDCODE]],TRACK_TYPES[VEHIDCODE],0))</f>
        <v>1</v>
      </c>
      <c r="K339" t="b">
        <f>ISNUMBER(_xlfn.XMATCH(CONTROL[[#This Row],[VEHIDCODE]],PROPERTIES[VEHIDCODE],0))</f>
        <v>1</v>
      </c>
      <c r="L339" t="b">
        <f>ISNUMBER(_xlfn.XLOOKUP(CONTROL[[#This Row],[VEHIDCODE]],roster!A:A,roster!D:D))</f>
        <v>1</v>
      </c>
      <c r="M339" t="b">
        <f>ISNUMBER(_xlfn.XMATCH(CONTROL[[#This Row],[VEHIDCODE]],GRAPHICS_PROPERTIES[VEHIDCODE],0))</f>
        <v>1</v>
      </c>
      <c r="N339" s="21" t="str">
        <f>"item_"&amp;CONTROL[[#This Row],[VEHIDCODE]]</f>
        <v>item_mtro_MMZ_Moscow_Type_D</v>
      </c>
      <c r="O339" s="21" t="str">
        <f>"str_"&amp;CONTROL[[#This Row],[VEHIDCODE]]</f>
        <v>str_mtro_MMZ_Moscow_Type_D</v>
      </c>
      <c r="P339" s="7" t="b">
        <f>_xlfn.XLOOKUP(CONTROL[[#This Row],[VEHIDCODE]],PROPERTIES[VEHIDCODE],PROPERTIES[IS_CONCEPT])="IS_CONCEPT"</f>
        <v>0</v>
      </c>
      <c r="Q339" s="7" t="b">
        <f>_xlfn.XLOOKUP(CONTROL[[#This Row],[VEHIDCODE]],PROPERTIES[VEHIDCODE],PROPERTIES[EXCLUDE])</f>
        <v>0</v>
      </c>
      <c r="R339" t="str" cm="1">
        <f t="array" ref="R339">_xlfn.XLOOKUP(CONTROL[[#This Row],[VEHIDCODE]],GRAPHICS_PROPERTIES[VEHIDCODE],GRAPHICS_PROPERTIES[TEMPLATE_ID]&amp;GRAPHICS_PROPERTIES[TEMPLATE_AMENDMENT_CODE])</f>
        <v>TPL_02C</v>
      </c>
    </row>
    <row r="340" spans="1:18" x14ac:dyDescent="0.35">
      <c r="A340" s="2" t="s">
        <v>2974</v>
      </c>
      <c r="B340" s="21" t="str">
        <f>_xlfn.TEXTAFTER(CONTROL[[#This Row],[VEHIDCODE]],"_")</f>
        <v>Werkspoor_Rotterdam_MG2_Type_M</v>
      </c>
      <c r="C340" t="str" cm="1">
        <f t="array" ref="C3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0" t="str" cm="1">
        <f t="array" ref="D3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0">
        <v>9045</v>
      </c>
      <c r="F340" s="32" t="s">
        <v>2222</v>
      </c>
      <c r="G340" t="s">
        <v>1365</v>
      </c>
      <c r="H340" s="2" t="b">
        <f>AND(CONTROL[[#This Row],[IS_WAGON_OR_COACH]]=TRUE,OR(RIGHT(CONTROL[[#This Row],[VEHIDCODE]],7)="Powered",RIGHT(CONTROL[[#This Row],[VEHIDCODE]],9)="Unpowered"))</f>
        <v>0</v>
      </c>
      <c r="I3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0" t="b">
        <f>ISNUMBER(_xlfn.XMATCH(CONTROL[[#This Row],[VEHIDCODE]],TRACK_TYPES[VEHIDCODE],0))</f>
        <v>1</v>
      </c>
      <c r="K340" t="b">
        <f>ISNUMBER(_xlfn.XMATCH(CONTROL[[#This Row],[VEHIDCODE]],PROPERTIES[VEHIDCODE],0))</f>
        <v>1</v>
      </c>
      <c r="L340" t="b">
        <f>ISNUMBER(_xlfn.XLOOKUP(CONTROL[[#This Row],[VEHIDCODE]],roster!A:A,roster!D:D))</f>
        <v>1</v>
      </c>
      <c r="M340" t="b">
        <f>ISNUMBER(_xlfn.XMATCH(CONTROL[[#This Row],[VEHIDCODE]],GRAPHICS_PROPERTIES[VEHIDCODE],0))</f>
        <v>1</v>
      </c>
      <c r="N340" s="21" t="str">
        <f>"item_"&amp;CONTROL[[#This Row],[VEHIDCODE]]</f>
        <v>item_mtro_Werkspoor_Rotterdam_MG2_Type_M</v>
      </c>
      <c r="O340" s="21" t="str">
        <f>"str_"&amp;CONTROL[[#This Row],[VEHIDCODE]]</f>
        <v>str_mtro_Werkspoor_Rotterdam_MG2_Type_M</v>
      </c>
      <c r="P340" s="7" t="b">
        <f>_xlfn.XLOOKUP(CONTROL[[#This Row],[VEHIDCODE]],PROPERTIES[VEHIDCODE],PROPERTIES[IS_CONCEPT])="IS_CONCEPT"</f>
        <v>0</v>
      </c>
      <c r="Q340" s="7" t="b">
        <f>_xlfn.XLOOKUP(CONTROL[[#This Row],[VEHIDCODE]],PROPERTIES[VEHIDCODE],PROPERTIES[EXCLUDE])</f>
        <v>0</v>
      </c>
      <c r="R340" t="str" cm="1">
        <f t="array" ref="R340">_xlfn.XLOOKUP(CONTROL[[#This Row],[VEHIDCODE]],GRAPHICS_PROPERTIES[VEHIDCODE],GRAPHICS_PROPERTIES[TEMPLATE_ID]&amp;GRAPHICS_PROPERTIES[TEMPLATE_AMENDMENT_CODE])</f>
        <v>TPL_02C</v>
      </c>
    </row>
    <row r="341" spans="1:18" x14ac:dyDescent="0.35">
      <c r="A341" s="2" t="s">
        <v>2975</v>
      </c>
      <c r="B341" s="21" t="str">
        <f>_xlfn.TEXTAFTER(CONTROL[[#This Row],[VEHIDCODE]],"_")</f>
        <v>MMZ_Prague_ECS_Set</v>
      </c>
      <c r="C341" t="str" cm="1">
        <f t="array" ref="C3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1" t="str" cm="1">
        <f t="array" ref="D3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1">
        <v>9046</v>
      </c>
      <c r="F341" s="32" t="s">
        <v>3557</v>
      </c>
      <c r="G341" t="s">
        <v>1366</v>
      </c>
      <c r="H341" s="2" t="b">
        <f>AND(CONTROL[[#This Row],[IS_WAGON_OR_COACH]]=TRUE,OR(RIGHT(CONTROL[[#This Row],[VEHIDCODE]],7)="Powered",RIGHT(CONTROL[[#This Row],[VEHIDCODE]],9)="Unpowered"))</f>
        <v>0</v>
      </c>
      <c r="I3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1" t="b">
        <f>ISNUMBER(_xlfn.XMATCH(CONTROL[[#This Row],[VEHIDCODE]],TRACK_TYPES[VEHIDCODE],0))</f>
        <v>1</v>
      </c>
      <c r="K341" t="b">
        <f>ISNUMBER(_xlfn.XMATCH(CONTROL[[#This Row],[VEHIDCODE]],PROPERTIES[VEHIDCODE],0))</f>
        <v>1</v>
      </c>
      <c r="L341" t="b">
        <f>ISNUMBER(_xlfn.XLOOKUP(CONTROL[[#This Row],[VEHIDCODE]],roster!A:A,roster!D:D))</f>
        <v>1</v>
      </c>
      <c r="M341" t="b">
        <f>ISNUMBER(_xlfn.XMATCH(CONTROL[[#This Row],[VEHIDCODE]],GRAPHICS_PROPERTIES[VEHIDCODE],0))</f>
        <v>1</v>
      </c>
      <c r="N341" s="21" t="str">
        <f>"item_"&amp;CONTROL[[#This Row],[VEHIDCODE]]</f>
        <v>item_mtro_MMZ_Prague_ECS_Set</v>
      </c>
      <c r="O341" s="21" t="str">
        <f>"str_"&amp;CONTROL[[#This Row],[VEHIDCODE]]</f>
        <v>str_mtro_MMZ_Prague_ECS_Set</v>
      </c>
      <c r="P341" s="7" t="b">
        <f>_xlfn.XLOOKUP(CONTROL[[#This Row],[VEHIDCODE]],PROPERTIES[VEHIDCODE],PROPERTIES[IS_CONCEPT])="IS_CONCEPT"</f>
        <v>0</v>
      </c>
      <c r="Q341" s="7" t="b">
        <f>_xlfn.XLOOKUP(CONTROL[[#This Row],[VEHIDCODE]],PROPERTIES[VEHIDCODE],PROPERTIES[EXCLUDE])</f>
        <v>1</v>
      </c>
      <c r="R341" t="str" cm="1">
        <f t="array" ref="R341">_xlfn.XLOOKUP(CONTROL[[#This Row],[VEHIDCODE]],GRAPHICS_PROPERTIES[VEHIDCODE],GRAPHICS_PROPERTIES[TEMPLATE_ID]&amp;GRAPHICS_PROPERTIES[TEMPLATE_AMENDMENT_CODE])</f>
        <v>TPL_02C</v>
      </c>
    </row>
    <row r="342" spans="1:18" x14ac:dyDescent="0.35">
      <c r="A342" s="2" t="s">
        <v>2976</v>
      </c>
      <c r="B342" s="21" t="str">
        <f>_xlfn.TEXTAFTER(CONTROL[[#This Row],[VEHIDCODE]],"_")</f>
        <v>Hitachi_Buenos_Aires_Serie_1200</v>
      </c>
      <c r="C342" t="str" cm="1">
        <f t="array" ref="C3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2" t="str" cm="1">
        <f t="array" ref="D3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2">
        <v>9047</v>
      </c>
      <c r="F342" s="32" t="s">
        <v>2223</v>
      </c>
      <c r="G342" t="s">
        <v>1367</v>
      </c>
      <c r="H342" s="2" t="b">
        <f>AND(CONTROL[[#This Row],[IS_WAGON_OR_COACH]]=TRUE,OR(RIGHT(CONTROL[[#This Row],[VEHIDCODE]],7)="Powered",RIGHT(CONTROL[[#This Row],[VEHIDCODE]],9)="Unpowered"))</f>
        <v>0</v>
      </c>
      <c r="I3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2" t="b">
        <f>ISNUMBER(_xlfn.XMATCH(CONTROL[[#This Row],[VEHIDCODE]],TRACK_TYPES[VEHIDCODE],0))</f>
        <v>1</v>
      </c>
      <c r="K342" t="b">
        <f>ISNUMBER(_xlfn.XMATCH(CONTROL[[#This Row],[VEHIDCODE]],PROPERTIES[VEHIDCODE],0))</f>
        <v>1</v>
      </c>
      <c r="L342" t="b">
        <f>ISNUMBER(_xlfn.XLOOKUP(CONTROL[[#This Row],[VEHIDCODE]],roster!A:A,roster!D:D))</f>
        <v>1</v>
      </c>
      <c r="M342" t="b">
        <f>ISNUMBER(_xlfn.XMATCH(CONTROL[[#This Row],[VEHIDCODE]],GRAPHICS_PROPERTIES[VEHIDCODE],0))</f>
        <v>1</v>
      </c>
      <c r="N342" s="21" t="str">
        <f>"item_"&amp;CONTROL[[#This Row],[VEHIDCODE]]</f>
        <v>item_mtro_Hitachi_Buenos_Aires_Serie_1200</v>
      </c>
      <c r="O342" s="21" t="str">
        <f>"str_"&amp;CONTROL[[#This Row],[VEHIDCODE]]</f>
        <v>str_mtro_Hitachi_Buenos_Aires_Serie_1200</v>
      </c>
      <c r="P342" s="7" t="b">
        <f>_xlfn.XLOOKUP(CONTROL[[#This Row],[VEHIDCODE]],PROPERTIES[VEHIDCODE],PROPERTIES[IS_CONCEPT])="IS_CONCEPT"</f>
        <v>0</v>
      </c>
      <c r="Q342" s="7" t="b">
        <f>_xlfn.XLOOKUP(CONTROL[[#This Row],[VEHIDCODE]],PROPERTIES[VEHIDCODE],PROPERTIES[EXCLUDE])</f>
        <v>0</v>
      </c>
      <c r="R342" t="str" cm="1">
        <f t="array" ref="R342">_xlfn.XLOOKUP(CONTROL[[#This Row],[VEHIDCODE]],GRAPHICS_PROPERTIES[VEHIDCODE],GRAPHICS_PROPERTIES[TEMPLATE_ID]&amp;GRAPHICS_PROPERTIES[TEMPLATE_AMENDMENT_CODE])</f>
        <v>TPL_02C</v>
      </c>
    </row>
    <row r="343" spans="1:18" x14ac:dyDescent="0.35">
      <c r="A343" s="2" t="s">
        <v>2977</v>
      </c>
      <c r="B343" s="21" t="str">
        <f>_xlfn.TEXTAFTER(CONTROL[[#This Row],[VEHIDCODE]],"_")</f>
        <v>GEC_Alsthom_Santiago_NS_93</v>
      </c>
      <c r="C343" t="str" cm="1">
        <f t="array" ref="C3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3" t="str" cm="1">
        <f t="array" ref="D3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3">
        <v>9048</v>
      </c>
      <c r="F343" s="32" t="s">
        <v>2224</v>
      </c>
      <c r="G343" t="s">
        <v>1368</v>
      </c>
      <c r="H343" s="2" t="b">
        <f>AND(CONTROL[[#This Row],[IS_WAGON_OR_COACH]]=TRUE,OR(RIGHT(CONTROL[[#This Row],[VEHIDCODE]],7)="Powered",RIGHT(CONTROL[[#This Row],[VEHIDCODE]],9)="Unpowered"))</f>
        <v>0</v>
      </c>
      <c r="I3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3" t="b">
        <f>ISNUMBER(_xlfn.XMATCH(CONTROL[[#This Row],[VEHIDCODE]],TRACK_TYPES[VEHIDCODE],0))</f>
        <v>1</v>
      </c>
      <c r="K343" t="b">
        <f>ISNUMBER(_xlfn.XMATCH(CONTROL[[#This Row],[VEHIDCODE]],PROPERTIES[VEHIDCODE],0))</f>
        <v>1</v>
      </c>
      <c r="L343" t="b">
        <f>ISNUMBER(_xlfn.XLOOKUP(CONTROL[[#This Row],[VEHIDCODE]],roster!A:A,roster!D:D))</f>
        <v>1</v>
      </c>
      <c r="M343" t="b">
        <f>ISNUMBER(_xlfn.XMATCH(CONTROL[[#This Row],[VEHIDCODE]],GRAPHICS_PROPERTIES[VEHIDCODE],0))</f>
        <v>1</v>
      </c>
      <c r="N343" s="21" t="str">
        <f>"item_"&amp;CONTROL[[#This Row],[VEHIDCODE]]</f>
        <v>item_mtro_GEC_Alsthom_Santiago_NS_93</v>
      </c>
      <c r="O343" s="21" t="str">
        <f>"str_"&amp;CONTROL[[#This Row],[VEHIDCODE]]</f>
        <v>str_mtro_GEC_Alsthom_Santiago_NS_93</v>
      </c>
      <c r="P343" s="7" t="b">
        <f>_xlfn.XLOOKUP(CONTROL[[#This Row],[VEHIDCODE]],PROPERTIES[VEHIDCODE],PROPERTIES[IS_CONCEPT])="IS_CONCEPT"</f>
        <v>0</v>
      </c>
      <c r="Q343" s="7" t="b">
        <f>_xlfn.XLOOKUP(CONTROL[[#This Row],[VEHIDCODE]],PROPERTIES[VEHIDCODE],PROPERTIES[EXCLUDE])</f>
        <v>0</v>
      </c>
      <c r="R343" t="str" cm="1">
        <f t="array" ref="R343">_xlfn.XLOOKUP(CONTROL[[#This Row],[VEHIDCODE]],GRAPHICS_PROPERTIES[VEHIDCODE],GRAPHICS_PROPERTIES[TEMPLATE_ID]&amp;GRAPHICS_PROPERTIES[TEMPLATE_AMENDMENT_CODE])</f>
        <v>TPL_02C</v>
      </c>
    </row>
    <row r="344" spans="1:18" x14ac:dyDescent="0.35">
      <c r="A344" s="2" t="s">
        <v>2978</v>
      </c>
      <c r="B344" s="21" t="str">
        <f>_xlfn.TEXTAFTER(CONTROL[[#This Row],[VEHIDCODE]],"_")</f>
        <v>Alstom_Brasil_Santiago_AS_2002</v>
      </c>
      <c r="C344" t="str" cm="1">
        <f t="array" ref="C3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4" t="str" cm="1">
        <f t="array" ref="D3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4">
        <v>9049</v>
      </c>
      <c r="F344" s="32" t="s">
        <v>2227</v>
      </c>
      <c r="G344" t="s">
        <v>1369</v>
      </c>
      <c r="H344" s="2" t="b">
        <f>AND(CONTROL[[#This Row],[IS_WAGON_OR_COACH]]=TRUE,OR(RIGHT(CONTROL[[#This Row],[VEHIDCODE]],7)="Powered",RIGHT(CONTROL[[#This Row],[VEHIDCODE]],9)="Unpowered"))</f>
        <v>0</v>
      </c>
      <c r="I3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4" t="b">
        <f>ISNUMBER(_xlfn.XMATCH(CONTROL[[#This Row],[VEHIDCODE]],TRACK_TYPES[VEHIDCODE],0))</f>
        <v>1</v>
      </c>
      <c r="K344" t="b">
        <f>ISNUMBER(_xlfn.XMATCH(CONTROL[[#This Row],[VEHIDCODE]],PROPERTIES[VEHIDCODE],0))</f>
        <v>1</v>
      </c>
      <c r="L344" t="b">
        <f>ISNUMBER(_xlfn.XLOOKUP(CONTROL[[#This Row],[VEHIDCODE]],roster!A:A,roster!D:D))</f>
        <v>1</v>
      </c>
      <c r="M344" t="b">
        <f>ISNUMBER(_xlfn.XMATCH(CONTROL[[#This Row],[VEHIDCODE]],GRAPHICS_PROPERTIES[VEHIDCODE],0))</f>
        <v>1</v>
      </c>
      <c r="N344" s="21" t="str">
        <f>"item_"&amp;CONTROL[[#This Row],[VEHIDCODE]]</f>
        <v>item_mtro_Alstom_Brasil_Santiago_AS_2002</v>
      </c>
      <c r="O344" s="21" t="str">
        <f>"str_"&amp;CONTROL[[#This Row],[VEHIDCODE]]</f>
        <v>str_mtro_Alstom_Brasil_Santiago_AS_2002</v>
      </c>
      <c r="P344" s="7" t="b">
        <f>_xlfn.XLOOKUP(CONTROL[[#This Row],[VEHIDCODE]],PROPERTIES[VEHIDCODE],PROPERTIES[IS_CONCEPT])="IS_CONCEPT"</f>
        <v>0</v>
      </c>
      <c r="Q344" s="7" t="b">
        <f>_xlfn.XLOOKUP(CONTROL[[#This Row],[VEHIDCODE]],PROPERTIES[VEHIDCODE],PROPERTIES[EXCLUDE])</f>
        <v>1</v>
      </c>
      <c r="R344" t="str" cm="1">
        <f t="array" ref="R344">_xlfn.XLOOKUP(CONTROL[[#This Row],[VEHIDCODE]],GRAPHICS_PROPERTIES[VEHIDCODE],GRAPHICS_PROPERTIES[TEMPLATE_ID]&amp;GRAPHICS_PROPERTIES[TEMPLATE_AMENDMENT_CODE])</f>
        <v>TPL_02C</v>
      </c>
    </row>
    <row r="345" spans="1:18" x14ac:dyDescent="0.35">
      <c r="A345" s="2" t="s">
        <v>2979</v>
      </c>
      <c r="B345" s="21" t="str">
        <f>_xlfn.TEXTAFTER(CONTROL[[#This Row],[VEHIDCODE]],"_")</f>
        <v>TUDH_Recife_VLT_Mobile_3</v>
      </c>
      <c r="C345" t="str" cm="1">
        <f t="array" ref="C3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5" t="str" cm="1">
        <f t="array" ref="D3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5">
        <v>9050</v>
      </c>
      <c r="F345" s="32" t="s">
        <v>2228</v>
      </c>
      <c r="G345" t="s">
        <v>1370</v>
      </c>
      <c r="H345" s="2" t="b">
        <f>AND(CONTROL[[#This Row],[IS_WAGON_OR_COACH]]=TRUE,OR(RIGHT(CONTROL[[#This Row],[VEHIDCODE]],7)="Powered",RIGHT(CONTROL[[#This Row],[VEHIDCODE]],9)="Unpowered"))</f>
        <v>0</v>
      </c>
      <c r="I3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5" t="b">
        <f>ISNUMBER(_xlfn.XMATCH(CONTROL[[#This Row],[VEHIDCODE]],TRACK_TYPES[VEHIDCODE],0))</f>
        <v>1</v>
      </c>
      <c r="K345" t="b">
        <f>ISNUMBER(_xlfn.XMATCH(CONTROL[[#This Row],[VEHIDCODE]],PROPERTIES[VEHIDCODE],0))</f>
        <v>1</v>
      </c>
      <c r="L345" t="b">
        <f>ISNUMBER(_xlfn.XLOOKUP(CONTROL[[#This Row],[VEHIDCODE]],roster!A:A,roster!D:D))</f>
        <v>1</v>
      </c>
      <c r="M345" t="b">
        <f>ISNUMBER(_xlfn.XMATCH(CONTROL[[#This Row],[VEHIDCODE]],GRAPHICS_PROPERTIES[VEHIDCODE],0))</f>
        <v>1</v>
      </c>
      <c r="N345" s="21" t="str">
        <f>"item_"&amp;CONTROL[[#This Row],[VEHIDCODE]]</f>
        <v>item_mtro_TUDH_Recife_VLT_Mobile_3</v>
      </c>
      <c r="O345" s="21" t="str">
        <f>"str_"&amp;CONTROL[[#This Row],[VEHIDCODE]]</f>
        <v>str_mtro_TUDH_Recife_VLT_Mobile_3</v>
      </c>
      <c r="P345" s="7" t="b">
        <f>_xlfn.XLOOKUP(CONTROL[[#This Row],[VEHIDCODE]],PROPERTIES[VEHIDCODE],PROPERTIES[IS_CONCEPT])="IS_CONCEPT"</f>
        <v>0</v>
      </c>
      <c r="Q345" s="7" t="b">
        <f>_xlfn.XLOOKUP(CONTROL[[#This Row],[VEHIDCODE]],PROPERTIES[VEHIDCODE],PROPERTIES[EXCLUDE])</f>
        <v>0</v>
      </c>
      <c r="R345" t="str" cm="1">
        <f t="array" ref="R345">_xlfn.XLOOKUP(CONTROL[[#This Row],[VEHIDCODE]],GRAPHICS_PROPERTIES[VEHIDCODE],GRAPHICS_PROPERTIES[TEMPLATE_ID]&amp;GRAPHICS_PROPERTIES[TEMPLATE_AMENDMENT_CODE])</f>
        <v>TPL_02C</v>
      </c>
    </row>
    <row r="346" spans="1:18" x14ac:dyDescent="0.35">
      <c r="A346" s="2" t="s">
        <v>2980</v>
      </c>
      <c r="B346" s="21" t="str">
        <f>_xlfn.TEXTAFTER(CONTROL[[#This Row],[VEHIDCODE]],"_")</f>
        <v>CAF_Madrid_Series_5000</v>
      </c>
      <c r="C346" t="str" cm="1">
        <f t="array" ref="C3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6" t="str" cm="1">
        <f t="array" ref="D3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6">
        <v>9051</v>
      </c>
      <c r="F346" s="32" t="s">
        <v>2229</v>
      </c>
      <c r="G346" t="s">
        <v>1371</v>
      </c>
      <c r="H346" s="2" t="b">
        <f>AND(CONTROL[[#This Row],[IS_WAGON_OR_COACH]]=TRUE,OR(RIGHT(CONTROL[[#This Row],[VEHIDCODE]],7)="Powered",RIGHT(CONTROL[[#This Row],[VEHIDCODE]],9)="Unpowered"))</f>
        <v>0</v>
      </c>
      <c r="I3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6" t="b">
        <f>ISNUMBER(_xlfn.XMATCH(CONTROL[[#This Row],[VEHIDCODE]],TRACK_TYPES[VEHIDCODE],0))</f>
        <v>1</v>
      </c>
      <c r="K346" t="b">
        <f>ISNUMBER(_xlfn.XMATCH(CONTROL[[#This Row],[VEHIDCODE]],PROPERTIES[VEHIDCODE],0))</f>
        <v>1</v>
      </c>
      <c r="L346" t="b">
        <f>ISNUMBER(_xlfn.XLOOKUP(CONTROL[[#This Row],[VEHIDCODE]],roster!A:A,roster!D:D))</f>
        <v>1</v>
      </c>
      <c r="M346" t="b">
        <f>ISNUMBER(_xlfn.XMATCH(CONTROL[[#This Row],[VEHIDCODE]],GRAPHICS_PROPERTIES[VEHIDCODE],0))</f>
        <v>1</v>
      </c>
      <c r="N346" s="21" t="str">
        <f>"item_"&amp;CONTROL[[#This Row],[VEHIDCODE]]</f>
        <v>item_mtro_CAF_Madrid_Series_5000</v>
      </c>
      <c r="O346" s="21" t="str">
        <f>"str_"&amp;CONTROL[[#This Row],[VEHIDCODE]]</f>
        <v>str_mtro_CAF_Madrid_Series_5000</v>
      </c>
      <c r="P346" s="7" t="b">
        <f>_xlfn.XLOOKUP(CONTROL[[#This Row],[VEHIDCODE]],PROPERTIES[VEHIDCODE],PROPERTIES[IS_CONCEPT])="IS_CONCEPT"</f>
        <v>0</v>
      </c>
      <c r="Q346" s="7" t="b">
        <f>_xlfn.XLOOKUP(CONTROL[[#This Row],[VEHIDCODE]],PROPERTIES[VEHIDCODE],PROPERTIES[EXCLUDE])</f>
        <v>0</v>
      </c>
      <c r="R346" t="str" cm="1">
        <f t="array" ref="R346">_xlfn.XLOOKUP(CONTROL[[#This Row],[VEHIDCODE]],GRAPHICS_PROPERTIES[VEHIDCODE],GRAPHICS_PROPERTIES[TEMPLATE_ID]&amp;GRAPHICS_PROPERTIES[TEMPLATE_AMENDMENT_CODE])</f>
        <v>TPL_02C</v>
      </c>
    </row>
    <row r="347" spans="1:18" x14ac:dyDescent="0.35">
      <c r="A347" s="2" t="s">
        <v>2981</v>
      </c>
      <c r="B347" s="21" t="str">
        <f>_xlfn.TEXTAFTER(CONTROL[[#This Row],[VEHIDCODE]],"_")</f>
        <v>CAF_Rome_S_300</v>
      </c>
      <c r="C347" t="str" cm="1">
        <f t="array" ref="C3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7" t="str" cm="1">
        <f t="array" ref="D3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7">
        <v>9052</v>
      </c>
      <c r="F347" s="32" t="s">
        <v>2230</v>
      </c>
      <c r="G347" t="s">
        <v>1372</v>
      </c>
      <c r="H347" s="2" t="b">
        <f>AND(CONTROL[[#This Row],[IS_WAGON_OR_COACH]]=TRUE,OR(RIGHT(CONTROL[[#This Row],[VEHIDCODE]],7)="Powered",RIGHT(CONTROL[[#This Row],[VEHIDCODE]],9)="Unpowered"))</f>
        <v>0</v>
      </c>
      <c r="I3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7" t="b">
        <f>ISNUMBER(_xlfn.XMATCH(CONTROL[[#This Row],[VEHIDCODE]],TRACK_TYPES[VEHIDCODE],0))</f>
        <v>1</v>
      </c>
      <c r="K347" t="b">
        <f>ISNUMBER(_xlfn.XMATCH(CONTROL[[#This Row],[VEHIDCODE]],PROPERTIES[VEHIDCODE],0))</f>
        <v>1</v>
      </c>
      <c r="L347" t="b">
        <f>ISNUMBER(_xlfn.XLOOKUP(CONTROL[[#This Row],[VEHIDCODE]],roster!A:A,roster!D:D))</f>
        <v>1</v>
      </c>
      <c r="M347" t="b">
        <f>ISNUMBER(_xlfn.XMATCH(CONTROL[[#This Row],[VEHIDCODE]],GRAPHICS_PROPERTIES[VEHIDCODE],0))</f>
        <v>1</v>
      </c>
      <c r="N347" s="21" t="str">
        <f>"item_"&amp;CONTROL[[#This Row],[VEHIDCODE]]</f>
        <v>item_mtro_CAF_Rome_S_300</v>
      </c>
      <c r="O347" s="21" t="str">
        <f>"str_"&amp;CONTROL[[#This Row],[VEHIDCODE]]</f>
        <v>str_mtro_CAF_Rome_S_300</v>
      </c>
      <c r="P347" s="7" t="b">
        <f>_xlfn.XLOOKUP(CONTROL[[#This Row],[VEHIDCODE]],PROPERTIES[VEHIDCODE],PROPERTIES[IS_CONCEPT])="IS_CONCEPT"</f>
        <v>0</v>
      </c>
      <c r="Q347" s="7" t="b">
        <f>_xlfn.XLOOKUP(CONTROL[[#This Row],[VEHIDCODE]],PROPERTIES[VEHIDCODE],PROPERTIES[EXCLUDE])</f>
        <v>0</v>
      </c>
      <c r="R347" t="str" cm="1">
        <f t="array" ref="R347">_xlfn.XLOOKUP(CONTROL[[#This Row],[VEHIDCODE]],GRAPHICS_PROPERTIES[VEHIDCODE],GRAPHICS_PROPERTIES[TEMPLATE_ID]&amp;GRAPHICS_PROPERTIES[TEMPLATE_AMENDMENT_CODE])</f>
        <v>TPL_02C</v>
      </c>
    </row>
    <row r="348" spans="1:18" x14ac:dyDescent="0.35">
      <c r="A348" s="2" t="s">
        <v>2982</v>
      </c>
      <c r="B348" s="21" t="str">
        <f>_xlfn.TEXTAFTER(CONTROL[[#This Row],[VEHIDCODE]],"_")</f>
        <v>CAF_Algiers_2011_Stock</v>
      </c>
      <c r="C348" t="str" cm="1">
        <f t="array" ref="C3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8" t="str" cm="1">
        <f t="array" ref="D3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8">
        <v>9053</v>
      </c>
      <c r="F348" s="32" t="s">
        <v>2231</v>
      </c>
      <c r="G348" t="s">
        <v>1373</v>
      </c>
      <c r="H348" s="2" t="b">
        <f>AND(CONTROL[[#This Row],[IS_WAGON_OR_COACH]]=TRUE,OR(RIGHT(CONTROL[[#This Row],[VEHIDCODE]],7)="Powered",RIGHT(CONTROL[[#This Row],[VEHIDCODE]],9)="Unpowered"))</f>
        <v>0</v>
      </c>
      <c r="I3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8" t="b">
        <f>ISNUMBER(_xlfn.XMATCH(CONTROL[[#This Row],[VEHIDCODE]],TRACK_TYPES[VEHIDCODE],0))</f>
        <v>1</v>
      </c>
      <c r="K348" t="b">
        <f>ISNUMBER(_xlfn.XMATCH(CONTROL[[#This Row],[VEHIDCODE]],PROPERTIES[VEHIDCODE],0))</f>
        <v>1</v>
      </c>
      <c r="L348" t="b">
        <f>ISNUMBER(_xlfn.XLOOKUP(CONTROL[[#This Row],[VEHIDCODE]],roster!A:A,roster!D:D))</f>
        <v>1</v>
      </c>
      <c r="M348" t="b">
        <f>ISNUMBER(_xlfn.XMATCH(CONTROL[[#This Row],[VEHIDCODE]],GRAPHICS_PROPERTIES[VEHIDCODE],0))</f>
        <v>1</v>
      </c>
      <c r="N348" s="21" t="str">
        <f>"item_"&amp;CONTROL[[#This Row],[VEHIDCODE]]</f>
        <v>item_mtro_CAF_Algiers_2011_Stock</v>
      </c>
      <c r="O348" s="21" t="str">
        <f>"str_"&amp;CONTROL[[#This Row],[VEHIDCODE]]</f>
        <v>str_mtro_CAF_Algiers_2011_Stock</v>
      </c>
      <c r="P348" s="7" t="b">
        <f>_xlfn.XLOOKUP(CONTROL[[#This Row],[VEHIDCODE]],PROPERTIES[VEHIDCODE],PROPERTIES[IS_CONCEPT])="IS_CONCEPT"</f>
        <v>0</v>
      </c>
      <c r="Q348" s="7" t="b">
        <f>_xlfn.XLOOKUP(CONTROL[[#This Row],[VEHIDCODE]],PROPERTIES[VEHIDCODE],PROPERTIES[EXCLUDE])</f>
        <v>0</v>
      </c>
      <c r="R348" t="str" cm="1">
        <f t="array" ref="R348">_xlfn.XLOOKUP(CONTROL[[#This Row],[VEHIDCODE]],GRAPHICS_PROPERTIES[VEHIDCODE],GRAPHICS_PROPERTIES[TEMPLATE_ID]&amp;GRAPHICS_PROPERTIES[TEMPLATE_AMENDMENT_CODE])</f>
        <v>TPL_02C</v>
      </c>
    </row>
    <row r="349" spans="1:18" x14ac:dyDescent="0.35">
      <c r="A349" s="2" t="s">
        <v>2983</v>
      </c>
      <c r="B349" s="21" t="str">
        <f>_xlfn.TEXTAFTER(CONTROL[[#This Row],[VEHIDCODE]],"_")</f>
        <v>Stadler_Berlin_U_Bahn_IK</v>
      </c>
      <c r="C349" t="str" cm="1">
        <f t="array" ref="C3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9" t="str" cm="1">
        <f t="array" ref="D3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9">
        <v>9054</v>
      </c>
      <c r="F349" s="32" t="s">
        <v>2232</v>
      </c>
      <c r="G349" t="s">
        <v>1374</v>
      </c>
      <c r="H349" s="2" t="b">
        <f>AND(CONTROL[[#This Row],[IS_WAGON_OR_COACH]]=TRUE,OR(RIGHT(CONTROL[[#This Row],[VEHIDCODE]],7)="Powered",RIGHT(CONTROL[[#This Row],[VEHIDCODE]],9)="Unpowered"))</f>
        <v>0</v>
      </c>
      <c r="I3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9" t="b">
        <f>ISNUMBER(_xlfn.XMATCH(CONTROL[[#This Row],[VEHIDCODE]],TRACK_TYPES[VEHIDCODE],0))</f>
        <v>1</v>
      </c>
      <c r="K349" t="b">
        <f>ISNUMBER(_xlfn.XMATCH(CONTROL[[#This Row],[VEHIDCODE]],PROPERTIES[VEHIDCODE],0))</f>
        <v>1</v>
      </c>
      <c r="L349" t="b">
        <f>ISNUMBER(_xlfn.XLOOKUP(CONTROL[[#This Row],[VEHIDCODE]],roster!A:A,roster!D:D))</f>
        <v>1</v>
      </c>
      <c r="M349" t="b">
        <f>ISNUMBER(_xlfn.XMATCH(CONTROL[[#This Row],[VEHIDCODE]],GRAPHICS_PROPERTIES[VEHIDCODE],0))</f>
        <v>1</v>
      </c>
      <c r="N349" s="21" t="str">
        <f>"item_"&amp;CONTROL[[#This Row],[VEHIDCODE]]</f>
        <v>item_mtro_Stadler_Berlin_U_Bahn_IK</v>
      </c>
      <c r="O349" s="21" t="str">
        <f>"str_"&amp;CONTROL[[#This Row],[VEHIDCODE]]</f>
        <v>str_mtro_Stadler_Berlin_U_Bahn_IK</v>
      </c>
      <c r="P349" s="7" t="b">
        <f>_xlfn.XLOOKUP(CONTROL[[#This Row],[VEHIDCODE]],PROPERTIES[VEHIDCODE],PROPERTIES[IS_CONCEPT])="IS_CONCEPT"</f>
        <v>0</v>
      </c>
      <c r="Q349" s="7" t="b">
        <f>_xlfn.XLOOKUP(CONTROL[[#This Row],[VEHIDCODE]],PROPERTIES[VEHIDCODE],PROPERTIES[EXCLUDE])</f>
        <v>0</v>
      </c>
      <c r="R349" t="str" cm="1">
        <f t="array" ref="R349">_xlfn.XLOOKUP(CONTROL[[#This Row],[VEHIDCODE]],GRAPHICS_PROPERTIES[VEHIDCODE],GRAPHICS_PROPERTIES[TEMPLATE_ID]&amp;GRAPHICS_PROPERTIES[TEMPLATE_AMENDMENT_CODE])</f>
        <v>TPL_02C</v>
      </c>
    </row>
    <row r="350" spans="1:18" x14ac:dyDescent="0.35">
      <c r="A350" s="2" t="s">
        <v>2984</v>
      </c>
      <c r="B350" s="21" t="str">
        <f>_xlfn.TEXTAFTER(CONTROL[[#This Row],[VEHIDCODE]],"_")</f>
        <v>St__Louis_Car_Company_Chicago_L_6000_Series</v>
      </c>
      <c r="C350" t="str" cm="1">
        <f t="array" ref="C3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0" t="str" cm="1">
        <f t="array" ref="D3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50">
        <v>9055</v>
      </c>
      <c r="F350" s="32" t="s">
        <v>2233</v>
      </c>
      <c r="G350" t="s">
        <v>1375</v>
      </c>
      <c r="H350" s="2" t="b">
        <f>AND(CONTROL[[#This Row],[IS_WAGON_OR_COACH]]=TRUE,OR(RIGHT(CONTROL[[#This Row],[VEHIDCODE]],7)="Powered",RIGHT(CONTROL[[#This Row],[VEHIDCODE]],9)="Unpowered"))</f>
        <v>0</v>
      </c>
      <c r="I3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0" t="b">
        <f>ISNUMBER(_xlfn.XMATCH(CONTROL[[#This Row],[VEHIDCODE]],TRACK_TYPES[VEHIDCODE],0))</f>
        <v>1</v>
      </c>
      <c r="K350" t="b">
        <f>ISNUMBER(_xlfn.XMATCH(CONTROL[[#This Row],[VEHIDCODE]],PROPERTIES[VEHIDCODE],0))</f>
        <v>1</v>
      </c>
      <c r="L350" t="b">
        <f>ISNUMBER(_xlfn.XLOOKUP(CONTROL[[#This Row],[VEHIDCODE]],roster!A:A,roster!D:D))</f>
        <v>1</v>
      </c>
      <c r="M350" t="b">
        <f>ISNUMBER(_xlfn.XMATCH(CONTROL[[#This Row],[VEHIDCODE]],GRAPHICS_PROPERTIES[VEHIDCODE],0))</f>
        <v>1</v>
      </c>
      <c r="N350" s="21" t="str">
        <f>"item_"&amp;CONTROL[[#This Row],[VEHIDCODE]]</f>
        <v>item_mtro_St__Louis_Car_Company_Chicago_L_6000_Series</v>
      </c>
      <c r="O350" s="21" t="str">
        <f>"str_"&amp;CONTROL[[#This Row],[VEHIDCODE]]</f>
        <v>str_mtro_St__Louis_Car_Company_Chicago_L_6000_Series</v>
      </c>
      <c r="P350" s="7" t="b">
        <f>_xlfn.XLOOKUP(CONTROL[[#This Row],[VEHIDCODE]],PROPERTIES[VEHIDCODE],PROPERTIES[IS_CONCEPT])="IS_CONCEPT"</f>
        <v>0</v>
      </c>
      <c r="Q350" s="7" t="b">
        <f>_xlfn.XLOOKUP(CONTROL[[#This Row],[VEHIDCODE]],PROPERTIES[VEHIDCODE],PROPERTIES[EXCLUDE])</f>
        <v>0</v>
      </c>
      <c r="R350" t="str" cm="1">
        <f t="array" ref="R350">_xlfn.XLOOKUP(CONTROL[[#This Row],[VEHIDCODE]],GRAPHICS_PROPERTIES[VEHIDCODE],GRAPHICS_PROPERTIES[TEMPLATE_ID]&amp;GRAPHICS_PROPERTIES[TEMPLATE_AMENDMENT_CODE])</f>
        <v>TPL_02C</v>
      </c>
    </row>
    <row r="351" spans="1:18" x14ac:dyDescent="0.35">
      <c r="A351" s="2" t="s">
        <v>2985</v>
      </c>
      <c r="B351" s="21" t="str">
        <f>_xlfn.TEXTAFTER(CONTROL[[#This Row],[VEHIDCODE]],"_")</f>
        <v>BRC_W_London_1903_Stock</v>
      </c>
      <c r="C351" t="str" cm="1">
        <f t="array" ref="C3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1" t="str" cm="1">
        <f t="array" ref="D3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51">
        <v>9002</v>
      </c>
      <c r="F351" s="32" t="s">
        <v>2234</v>
      </c>
      <c r="G351" t="s">
        <v>1376</v>
      </c>
      <c r="H351" s="2" t="b">
        <f>AND(CONTROL[[#This Row],[IS_WAGON_OR_COACH]]=TRUE,OR(RIGHT(CONTROL[[#This Row],[VEHIDCODE]],7)="Powered",RIGHT(CONTROL[[#This Row],[VEHIDCODE]],9)="Unpowered"))</f>
        <v>0</v>
      </c>
      <c r="I3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1" t="b">
        <f>ISNUMBER(_xlfn.XMATCH(CONTROL[[#This Row],[VEHIDCODE]],TRACK_TYPES[VEHIDCODE],0))</f>
        <v>1</v>
      </c>
      <c r="K351" t="b">
        <f>ISNUMBER(_xlfn.XMATCH(CONTROL[[#This Row],[VEHIDCODE]],PROPERTIES[VEHIDCODE],0))</f>
        <v>1</v>
      </c>
      <c r="L351" t="b">
        <f>ISNUMBER(_xlfn.XLOOKUP(CONTROL[[#This Row],[VEHIDCODE]],roster!A:A,roster!D:D))</f>
        <v>1</v>
      </c>
      <c r="M351" t="b">
        <f>ISNUMBER(_xlfn.XMATCH(CONTROL[[#This Row],[VEHIDCODE]],GRAPHICS_PROPERTIES[VEHIDCODE],0))</f>
        <v>1</v>
      </c>
      <c r="N351" s="21" t="str">
        <f>"item_"&amp;CONTROL[[#This Row],[VEHIDCODE]]</f>
        <v>item_mtro_BRC_W_London_1903_Stock</v>
      </c>
      <c r="O351" s="21" t="str">
        <f>"str_"&amp;CONTROL[[#This Row],[VEHIDCODE]]</f>
        <v>str_mtro_BRC_W_London_1903_Stock</v>
      </c>
      <c r="P351" s="7" t="b">
        <f>_xlfn.XLOOKUP(CONTROL[[#This Row],[VEHIDCODE]],PROPERTIES[VEHIDCODE],PROPERTIES[IS_CONCEPT])="IS_CONCEPT"</f>
        <v>0</v>
      </c>
      <c r="Q351" s="7" t="b">
        <f>_xlfn.XLOOKUP(CONTROL[[#This Row],[VEHIDCODE]],PROPERTIES[VEHIDCODE],PROPERTIES[EXCLUDE])</f>
        <v>0</v>
      </c>
      <c r="R351" t="str" cm="1">
        <f t="array" ref="R351">_xlfn.XLOOKUP(CONTROL[[#This Row],[VEHIDCODE]],GRAPHICS_PROPERTIES[VEHIDCODE],GRAPHICS_PROPERTIES[TEMPLATE_ID]&amp;GRAPHICS_PROPERTIES[TEMPLATE_AMENDMENT_CODE])</f>
        <v>TPL_02C</v>
      </c>
    </row>
    <row r="352" spans="1:18" x14ac:dyDescent="0.35">
      <c r="A352" s="2" t="s">
        <v>2986</v>
      </c>
      <c r="B352" s="21" t="str">
        <f>_xlfn.TEXTAFTER(CONTROL[[#This Row],[VEHIDCODE]],"_")</f>
        <v>London_1938_Stock</v>
      </c>
      <c r="C352" t="str" cm="1">
        <f t="array" ref="C3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2" t="str" cm="1">
        <f t="array" ref="D3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52">
        <v>9007</v>
      </c>
      <c r="F352" s="32" t="s">
        <v>3655</v>
      </c>
      <c r="G352" t="s">
        <v>1377</v>
      </c>
      <c r="H352" s="2" t="b">
        <f>AND(CONTROL[[#This Row],[IS_WAGON_OR_COACH]]=TRUE,OR(RIGHT(CONTROL[[#This Row],[VEHIDCODE]],7)="Powered",RIGHT(CONTROL[[#This Row],[VEHIDCODE]],9)="Unpowered"))</f>
        <v>0</v>
      </c>
      <c r="I3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2" t="b">
        <f>ISNUMBER(_xlfn.XMATCH(CONTROL[[#This Row],[VEHIDCODE]],TRACK_TYPES[VEHIDCODE],0))</f>
        <v>1</v>
      </c>
      <c r="K352" t="b">
        <f>ISNUMBER(_xlfn.XMATCH(CONTROL[[#This Row],[VEHIDCODE]],PROPERTIES[VEHIDCODE],0))</f>
        <v>1</v>
      </c>
      <c r="L352" t="b">
        <f>ISNUMBER(_xlfn.XLOOKUP(CONTROL[[#This Row],[VEHIDCODE]],roster!A:A,roster!D:D))</f>
        <v>1</v>
      </c>
      <c r="M352" t="b">
        <f>ISNUMBER(_xlfn.XMATCH(CONTROL[[#This Row],[VEHIDCODE]],GRAPHICS_PROPERTIES[VEHIDCODE],0))</f>
        <v>1</v>
      </c>
      <c r="N352" s="21" t="str">
        <f>"item_"&amp;CONTROL[[#This Row],[VEHIDCODE]]</f>
        <v>item_mtro_London_1938_Stock</v>
      </c>
      <c r="O352" s="21" t="str">
        <f>"str_"&amp;CONTROL[[#This Row],[VEHIDCODE]]</f>
        <v>str_mtro_London_1938_Stock</v>
      </c>
      <c r="P352" s="7" t="b">
        <f>_xlfn.XLOOKUP(CONTROL[[#This Row],[VEHIDCODE]],PROPERTIES[VEHIDCODE],PROPERTIES[IS_CONCEPT])="IS_CONCEPT"</f>
        <v>0</v>
      </c>
      <c r="Q352" s="7" t="b">
        <f>_xlfn.XLOOKUP(CONTROL[[#This Row],[VEHIDCODE]],PROPERTIES[VEHIDCODE],PROPERTIES[EXCLUDE])</f>
        <v>0</v>
      </c>
      <c r="R352" t="str" cm="1">
        <f t="array" ref="R352">_xlfn.XLOOKUP(CONTROL[[#This Row],[VEHIDCODE]],GRAPHICS_PROPERTIES[VEHIDCODE],GRAPHICS_PROPERTIES[TEMPLATE_ID]&amp;GRAPHICS_PROPERTIES[TEMPLATE_AMENDMENT_CODE])</f>
        <v>TPL_02C</v>
      </c>
    </row>
    <row r="353" spans="1:18" x14ac:dyDescent="0.35">
      <c r="A353" s="2" t="s">
        <v>2987</v>
      </c>
      <c r="B353" s="21" t="str">
        <f>_xlfn.TEXTAFTER(CONTROL[[#This Row],[VEHIDCODE]],"_")</f>
        <v>NER_EF1</v>
      </c>
      <c r="C353" t="str" cm="1">
        <f t="array" ref="C3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3" t="str" cm="1">
        <f t="array" ref="D3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3">
        <v>6002</v>
      </c>
      <c r="F353" s="32" t="s">
        <v>377</v>
      </c>
      <c r="G353" t="s">
        <v>1378</v>
      </c>
      <c r="H353" s="2" t="b">
        <f>AND(CONTROL[[#This Row],[IS_WAGON_OR_COACH]]=TRUE,OR(RIGHT(CONTROL[[#This Row],[VEHIDCODE]],7)="Powered",RIGHT(CONTROL[[#This Row],[VEHIDCODE]],9)="Unpowered"))</f>
        <v>0</v>
      </c>
      <c r="I3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3" t="b">
        <f>ISNUMBER(_xlfn.XMATCH(CONTROL[[#This Row],[VEHIDCODE]],TRACK_TYPES[VEHIDCODE],0))</f>
        <v>1</v>
      </c>
      <c r="K353" t="b">
        <f>ISNUMBER(_xlfn.XMATCH(CONTROL[[#This Row],[VEHIDCODE]],PROPERTIES[VEHIDCODE],0))</f>
        <v>1</v>
      </c>
      <c r="L353" t="b">
        <f>ISNUMBER(_xlfn.XLOOKUP(CONTROL[[#This Row],[VEHIDCODE]],roster!A:A,roster!D:D))</f>
        <v>1</v>
      </c>
      <c r="M353" t="b">
        <f>ISNUMBER(_xlfn.XMATCH(CONTROL[[#This Row],[VEHIDCODE]],GRAPHICS_PROPERTIES[VEHIDCODE],0))</f>
        <v>1</v>
      </c>
      <c r="N353" s="21" t="str">
        <f>"item_"&amp;CONTROL[[#This Row],[VEHIDCODE]]</f>
        <v>item_electric_NER_EF1</v>
      </c>
      <c r="O353" s="21" t="str">
        <f>"str_"&amp;CONTROL[[#This Row],[VEHIDCODE]]</f>
        <v>str_electric_NER_EF1</v>
      </c>
      <c r="P353" s="7" t="b">
        <f>_xlfn.XLOOKUP(CONTROL[[#This Row],[VEHIDCODE]],PROPERTIES[VEHIDCODE],PROPERTIES[IS_CONCEPT])="IS_CONCEPT"</f>
        <v>0</v>
      </c>
      <c r="Q353" s="7" t="b">
        <f>_xlfn.XLOOKUP(CONTROL[[#This Row],[VEHIDCODE]],PROPERTIES[VEHIDCODE],PROPERTIES[EXCLUDE])</f>
        <v>0</v>
      </c>
      <c r="R353" t="str" cm="1">
        <f t="array" ref="R353">_xlfn.XLOOKUP(CONTROL[[#This Row],[VEHIDCODE]],GRAPHICS_PROPERTIES[VEHIDCODE],GRAPHICS_PROPERTIES[TEMPLATE_ID]&amp;GRAPHICS_PROPERTIES[TEMPLATE_AMENDMENT_CODE])</f>
        <v>TPL_01A</v>
      </c>
    </row>
    <row r="354" spans="1:18" x14ac:dyDescent="0.35">
      <c r="A354" s="2" t="s">
        <v>2988</v>
      </c>
      <c r="B354" s="21" t="str">
        <f>_xlfn.TEXTAFTER(CONTROL[[#This Row],[VEHIDCODE]],"_")</f>
        <v>JNR_EB10</v>
      </c>
      <c r="C354" t="str" cm="1">
        <f t="array" ref="C3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4" t="str" cm="1">
        <f t="array" ref="D3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4">
        <v>6010</v>
      </c>
      <c r="F354" s="32" t="s">
        <v>378</v>
      </c>
      <c r="G354" t="s">
        <v>1379</v>
      </c>
      <c r="H354" s="2" t="b">
        <f>AND(CONTROL[[#This Row],[IS_WAGON_OR_COACH]]=TRUE,OR(RIGHT(CONTROL[[#This Row],[VEHIDCODE]],7)="Powered",RIGHT(CONTROL[[#This Row],[VEHIDCODE]],9)="Unpowered"))</f>
        <v>0</v>
      </c>
      <c r="I3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4" t="b">
        <f>ISNUMBER(_xlfn.XMATCH(CONTROL[[#This Row],[VEHIDCODE]],TRACK_TYPES[VEHIDCODE],0))</f>
        <v>1</v>
      </c>
      <c r="K354" t="b">
        <f>ISNUMBER(_xlfn.XMATCH(CONTROL[[#This Row],[VEHIDCODE]],PROPERTIES[VEHIDCODE],0))</f>
        <v>1</v>
      </c>
      <c r="L354" t="b">
        <f>ISNUMBER(_xlfn.XLOOKUP(CONTROL[[#This Row],[VEHIDCODE]],roster!A:A,roster!D:D))</f>
        <v>1</v>
      </c>
      <c r="M354" t="b">
        <f>ISNUMBER(_xlfn.XMATCH(CONTROL[[#This Row],[VEHIDCODE]],GRAPHICS_PROPERTIES[VEHIDCODE],0))</f>
        <v>1</v>
      </c>
      <c r="N354" s="21" t="str">
        <f>"item_"&amp;CONTROL[[#This Row],[VEHIDCODE]]</f>
        <v>item_electric_JNR_EB10</v>
      </c>
      <c r="O354" s="21" t="str">
        <f>"str_"&amp;CONTROL[[#This Row],[VEHIDCODE]]</f>
        <v>str_electric_JNR_EB10</v>
      </c>
      <c r="P354" s="7" t="b">
        <f>_xlfn.XLOOKUP(CONTROL[[#This Row],[VEHIDCODE]],PROPERTIES[VEHIDCODE],PROPERTIES[IS_CONCEPT])="IS_CONCEPT"</f>
        <v>0</v>
      </c>
      <c r="Q354" s="7" t="b">
        <f>_xlfn.XLOOKUP(CONTROL[[#This Row],[VEHIDCODE]],PROPERTIES[VEHIDCODE],PROPERTIES[EXCLUDE])</f>
        <v>0</v>
      </c>
      <c r="R354" t="str" cm="1">
        <f t="array" ref="R354">_xlfn.XLOOKUP(CONTROL[[#This Row],[VEHIDCODE]],GRAPHICS_PROPERTIES[VEHIDCODE],GRAPHICS_PROPERTIES[TEMPLATE_ID]&amp;GRAPHICS_PROPERTIES[TEMPLATE_AMENDMENT_CODE])</f>
        <v>TPL_01A</v>
      </c>
    </row>
    <row r="355" spans="1:18" x14ac:dyDescent="0.35">
      <c r="A355" s="2" t="s">
        <v>2989</v>
      </c>
      <c r="B355" s="21" t="str">
        <f>_xlfn.TEXTAFTER(CONTROL[[#This Row],[VEHIDCODE]],"_")</f>
        <v>Hitachi_Kawasaki_EF55</v>
      </c>
      <c r="C355" t="str" cm="1">
        <f t="array" ref="C3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5" t="str" cm="1">
        <f t="array" ref="D3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5">
        <v>6015</v>
      </c>
      <c r="F355" s="32" t="s">
        <v>2235</v>
      </c>
      <c r="G355" t="s">
        <v>1380</v>
      </c>
      <c r="H355" s="2" t="b">
        <f>AND(CONTROL[[#This Row],[IS_WAGON_OR_COACH]]=TRUE,OR(RIGHT(CONTROL[[#This Row],[VEHIDCODE]],7)="Powered",RIGHT(CONTROL[[#This Row],[VEHIDCODE]],9)="Unpowered"))</f>
        <v>0</v>
      </c>
      <c r="I3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5" t="b">
        <f>ISNUMBER(_xlfn.XMATCH(CONTROL[[#This Row],[VEHIDCODE]],TRACK_TYPES[VEHIDCODE],0))</f>
        <v>1</v>
      </c>
      <c r="K355" t="b">
        <f>ISNUMBER(_xlfn.XMATCH(CONTROL[[#This Row],[VEHIDCODE]],PROPERTIES[VEHIDCODE],0))</f>
        <v>1</v>
      </c>
      <c r="L355" t="b">
        <f>ISNUMBER(_xlfn.XLOOKUP(CONTROL[[#This Row],[VEHIDCODE]],roster!A:A,roster!D:D))</f>
        <v>1</v>
      </c>
      <c r="M355" t="b">
        <f>ISNUMBER(_xlfn.XMATCH(CONTROL[[#This Row],[VEHIDCODE]],GRAPHICS_PROPERTIES[VEHIDCODE],0))</f>
        <v>1</v>
      </c>
      <c r="N355" s="21" t="str">
        <f>"item_"&amp;CONTROL[[#This Row],[VEHIDCODE]]</f>
        <v>item_electric_Hitachi_Kawasaki_EF55</v>
      </c>
      <c r="O355" s="21" t="str">
        <f>"str_"&amp;CONTROL[[#This Row],[VEHIDCODE]]</f>
        <v>str_electric_Hitachi_Kawasaki_EF55</v>
      </c>
      <c r="P355" s="7" t="b">
        <f>_xlfn.XLOOKUP(CONTROL[[#This Row],[VEHIDCODE]],PROPERTIES[VEHIDCODE],PROPERTIES[IS_CONCEPT])="IS_CONCEPT"</f>
        <v>0</v>
      </c>
      <c r="Q355" s="7" t="b">
        <f>_xlfn.XLOOKUP(CONTROL[[#This Row],[VEHIDCODE]],PROPERTIES[VEHIDCODE],PROPERTIES[EXCLUDE])</f>
        <v>0</v>
      </c>
      <c r="R355" t="str" cm="1">
        <f t="array" ref="R355">_xlfn.XLOOKUP(CONTROL[[#This Row],[VEHIDCODE]],GRAPHICS_PROPERTIES[VEHIDCODE],GRAPHICS_PROPERTIES[TEMPLATE_ID]&amp;GRAPHICS_PROPERTIES[TEMPLATE_AMENDMENT_CODE])</f>
        <v>TPL_03F</v>
      </c>
    </row>
    <row r="356" spans="1:18" x14ac:dyDescent="0.35">
      <c r="A356" s="2" t="s">
        <v>2990</v>
      </c>
      <c r="B356" s="21" t="str">
        <f>_xlfn.TEXTAFTER(CONTROL[[#This Row],[VEHIDCODE]],"_")</f>
        <v>SLM_NS_1000</v>
      </c>
      <c r="C356" t="str" cm="1">
        <f t="array" ref="C3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6" t="str" cm="1">
        <f t="array" ref="D3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6">
        <v>6019</v>
      </c>
      <c r="F356" s="32" t="s">
        <v>2236</v>
      </c>
      <c r="G356" t="s">
        <v>1381</v>
      </c>
      <c r="H356" s="2" t="b">
        <f>AND(CONTROL[[#This Row],[IS_WAGON_OR_COACH]]=TRUE,OR(RIGHT(CONTROL[[#This Row],[VEHIDCODE]],7)="Powered",RIGHT(CONTROL[[#This Row],[VEHIDCODE]],9)="Unpowered"))</f>
        <v>0</v>
      </c>
      <c r="I3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6" t="b">
        <f>ISNUMBER(_xlfn.XMATCH(CONTROL[[#This Row],[VEHIDCODE]],TRACK_TYPES[VEHIDCODE],0))</f>
        <v>1</v>
      </c>
      <c r="K356" t="b">
        <f>ISNUMBER(_xlfn.XMATCH(CONTROL[[#This Row],[VEHIDCODE]],PROPERTIES[VEHIDCODE],0))</f>
        <v>1</v>
      </c>
      <c r="L356" t="b">
        <f>ISNUMBER(_xlfn.XLOOKUP(CONTROL[[#This Row],[VEHIDCODE]],roster!A:A,roster!D:D))</f>
        <v>1</v>
      </c>
      <c r="M356" t="b">
        <f>ISNUMBER(_xlfn.XMATCH(CONTROL[[#This Row],[VEHIDCODE]],GRAPHICS_PROPERTIES[VEHIDCODE],0))</f>
        <v>1</v>
      </c>
      <c r="N356" s="21" t="str">
        <f>"item_"&amp;CONTROL[[#This Row],[VEHIDCODE]]</f>
        <v>item_electric_SLM_NS_1000</v>
      </c>
      <c r="O356" s="21" t="str">
        <f>"str_"&amp;CONTROL[[#This Row],[VEHIDCODE]]</f>
        <v>str_electric_SLM_NS_1000</v>
      </c>
      <c r="P356" s="7" t="b">
        <f>_xlfn.XLOOKUP(CONTROL[[#This Row],[VEHIDCODE]],PROPERTIES[VEHIDCODE],PROPERTIES[IS_CONCEPT])="IS_CONCEPT"</f>
        <v>0</v>
      </c>
      <c r="Q356" s="7" t="b">
        <f>_xlfn.XLOOKUP(CONTROL[[#This Row],[VEHIDCODE]],PROPERTIES[VEHIDCODE],PROPERTIES[EXCLUDE])</f>
        <v>0</v>
      </c>
      <c r="R356" t="str" cm="1">
        <f t="array" ref="R356">_xlfn.XLOOKUP(CONTROL[[#This Row],[VEHIDCODE]],GRAPHICS_PROPERTIES[VEHIDCODE],GRAPHICS_PROPERTIES[TEMPLATE_ID]&amp;GRAPHICS_PROPERTIES[TEMPLATE_AMENDMENT_CODE])</f>
        <v>TPL_01A</v>
      </c>
    </row>
    <row r="357" spans="1:18" x14ac:dyDescent="0.35">
      <c r="A357" s="2" t="s">
        <v>2991</v>
      </c>
      <c r="B357" s="21" t="str">
        <f>_xlfn.TEXTAFTER(CONTROL[[#This Row],[VEHIDCODE]],"_")</f>
        <v>Alsthom_BB_7200_NS_1600</v>
      </c>
      <c r="C357" t="str" cm="1">
        <f t="array" ref="C3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7" t="str" cm="1">
        <f t="array" ref="D3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7">
        <v>6038</v>
      </c>
      <c r="F357" s="32" t="s">
        <v>2547</v>
      </c>
      <c r="G357" t="s">
        <v>1382</v>
      </c>
      <c r="H357" s="2" t="b">
        <f>AND(CONTROL[[#This Row],[IS_WAGON_OR_COACH]]=TRUE,OR(RIGHT(CONTROL[[#This Row],[VEHIDCODE]],7)="Powered",RIGHT(CONTROL[[#This Row],[VEHIDCODE]],9)="Unpowered"))</f>
        <v>0</v>
      </c>
      <c r="I3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7" t="b">
        <f>ISNUMBER(_xlfn.XMATCH(CONTROL[[#This Row],[VEHIDCODE]],TRACK_TYPES[VEHIDCODE],0))</f>
        <v>1</v>
      </c>
      <c r="K357" t="b">
        <f>ISNUMBER(_xlfn.XMATCH(CONTROL[[#This Row],[VEHIDCODE]],PROPERTIES[VEHIDCODE],0))</f>
        <v>1</v>
      </c>
      <c r="L357" t="b">
        <f>ISNUMBER(_xlfn.XLOOKUP(CONTROL[[#This Row],[VEHIDCODE]],roster!A:A,roster!D:D))</f>
        <v>1</v>
      </c>
      <c r="M357" t="b">
        <f>ISNUMBER(_xlfn.XMATCH(CONTROL[[#This Row],[VEHIDCODE]],GRAPHICS_PROPERTIES[VEHIDCODE],0))</f>
        <v>1</v>
      </c>
      <c r="N357" s="21" t="str">
        <f>"item_"&amp;CONTROL[[#This Row],[VEHIDCODE]]</f>
        <v>item_electric_Alsthom_BB_7200_NS_1600</v>
      </c>
      <c r="O357" s="21" t="str">
        <f>"str_"&amp;CONTROL[[#This Row],[VEHIDCODE]]</f>
        <v>str_electric_Alsthom_BB_7200_NS_1600</v>
      </c>
      <c r="P357" s="7" t="b">
        <f>_xlfn.XLOOKUP(CONTROL[[#This Row],[VEHIDCODE]],PROPERTIES[VEHIDCODE],PROPERTIES[IS_CONCEPT])="IS_CONCEPT"</f>
        <v>0</v>
      </c>
      <c r="Q357" s="7" t="b">
        <f>_xlfn.XLOOKUP(CONTROL[[#This Row],[VEHIDCODE]],PROPERTIES[VEHIDCODE],PROPERTIES[EXCLUDE])</f>
        <v>0</v>
      </c>
      <c r="R357" t="str" cm="1">
        <f t="array" ref="R357">_xlfn.XLOOKUP(CONTROL[[#This Row],[VEHIDCODE]],GRAPHICS_PROPERTIES[VEHIDCODE],GRAPHICS_PROPERTIES[TEMPLATE_ID]&amp;GRAPHICS_PROPERTIES[TEMPLATE_AMENDMENT_CODE])</f>
        <v>TPL_01A</v>
      </c>
    </row>
    <row r="358" spans="1:18" x14ac:dyDescent="0.35">
      <c r="A358" s="2" t="s">
        <v>2992</v>
      </c>
      <c r="B358" s="21" t="str">
        <f>_xlfn.TEXTAFTER(CONTROL[[#This Row],[VEHIDCODE]],"_")</f>
        <v>Victorian_Railways_E</v>
      </c>
      <c r="C358" t="str" cm="1">
        <f t="array" ref="C3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8" t="str" cm="1">
        <f t="array" ref="D3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8">
        <v>6072</v>
      </c>
      <c r="F358" s="32" t="s">
        <v>379</v>
      </c>
      <c r="G358" t="s">
        <v>1383</v>
      </c>
      <c r="H358" s="2" t="b">
        <f>AND(CONTROL[[#This Row],[IS_WAGON_OR_COACH]]=TRUE,OR(RIGHT(CONTROL[[#This Row],[VEHIDCODE]],7)="Powered",RIGHT(CONTROL[[#This Row],[VEHIDCODE]],9)="Unpowered"))</f>
        <v>0</v>
      </c>
      <c r="I3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8" t="b">
        <f>ISNUMBER(_xlfn.XMATCH(CONTROL[[#This Row],[VEHIDCODE]],TRACK_TYPES[VEHIDCODE],0))</f>
        <v>1</v>
      </c>
      <c r="K358" t="b">
        <f>ISNUMBER(_xlfn.XMATCH(CONTROL[[#This Row],[VEHIDCODE]],PROPERTIES[VEHIDCODE],0))</f>
        <v>1</v>
      </c>
      <c r="L358" t="b">
        <f>ISNUMBER(_xlfn.XLOOKUP(CONTROL[[#This Row],[VEHIDCODE]],roster!A:A,roster!D:D))</f>
        <v>1</v>
      </c>
      <c r="M358" t="b">
        <f>ISNUMBER(_xlfn.XMATCH(CONTROL[[#This Row],[VEHIDCODE]],GRAPHICS_PROPERTIES[VEHIDCODE],0))</f>
        <v>1</v>
      </c>
      <c r="N358" s="21" t="str">
        <f>"item_"&amp;CONTROL[[#This Row],[VEHIDCODE]]</f>
        <v>item_electric_Victorian_Railways_E</v>
      </c>
      <c r="O358" s="21" t="str">
        <f>"str_"&amp;CONTROL[[#This Row],[VEHIDCODE]]</f>
        <v>str_electric_Victorian_Railways_E</v>
      </c>
      <c r="P358" s="7" t="b">
        <f>_xlfn.XLOOKUP(CONTROL[[#This Row],[VEHIDCODE]],PROPERTIES[VEHIDCODE],PROPERTIES[IS_CONCEPT])="IS_CONCEPT"</f>
        <v>0</v>
      </c>
      <c r="Q358" s="7" t="b">
        <f>_xlfn.XLOOKUP(CONTROL[[#This Row],[VEHIDCODE]],PROPERTIES[VEHIDCODE],PROPERTIES[EXCLUDE])</f>
        <v>0</v>
      </c>
      <c r="R358" t="str" cm="1">
        <f t="array" ref="R358">_xlfn.XLOOKUP(CONTROL[[#This Row],[VEHIDCODE]],GRAPHICS_PROPERTIES[VEHIDCODE],GRAPHICS_PROPERTIES[TEMPLATE_ID]&amp;GRAPHICS_PROPERTIES[TEMPLATE_AMENDMENT_CODE])</f>
        <v>TPL_01A</v>
      </c>
    </row>
    <row r="359" spans="1:18" x14ac:dyDescent="0.35">
      <c r="A359" s="2" t="s">
        <v>2993</v>
      </c>
      <c r="B359" s="21" t="str">
        <f>_xlfn.TEXTAFTER(CONTROL[[#This Row],[VEHIDCODE]],"_")</f>
        <v>British_Thomson_Houston_ES1</v>
      </c>
      <c r="C359" t="str" cm="1">
        <f t="array" ref="C3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9" t="str" cm="1">
        <f t="array" ref="D3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9">
        <v>6067</v>
      </c>
      <c r="F359" s="32" t="s">
        <v>2237</v>
      </c>
      <c r="G359" t="s">
        <v>1384</v>
      </c>
      <c r="H359" s="2" t="b">
        <f>AND(CONTROL[[#This Row],[IS_WAGON_OR_COACH]]=TRUE,OR(RIGHT(CONTROL[[#This Row],[VEHIDCODE]],7)="Powered",RIGHT(CONTROL[[#This Row],[VEHIDCODE]],9)="Unpowered"))</f>
        <v>0</v>
      </c>
      <c r="I3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9" t="b">
        <f>ISNUMBER(_xlfn.XMATCH(CONTROL[[#This Row],[VEHIDCODE]],TRACK_TYPES[VEHIDCODE],0))</f>
        <v>1</v>
      </c>
      <c r="K359" t="b">
        <f>ISNUMBER(_xlfn.XMATCH(CONTROL[[#This Row],[VEHIDCODE]],PROPERTIES[VEHIDCODE],0))</f>
        <v>1</v>
      </c>
      <c r="L359" t="b">
        <f>ISNUMBER(_xlfn.XLOOKUP(CONTROL[[#This Row],[VEHIDCODE]],roster!A:A,roster!D:D))</f>
        <v>1</v>
      </c>
      <c r="M359" t="b">
        <f>ISNUMBER(_xlfn.XMATCH(CONTROL[[#This Row],[VEHIDCODE]],GRAPHICS_PROPERTIES[VEHIDCODE],0))</f>
        <v>1</v>
      </c>
      <c r="N359" s="21" t="str">
        <f>"item_"&amp;CONTROL[[#This Row],[VEHIDCODE]]</f>
        <v>item_electric_British_Thomson_Houston_ES1</v>
      </c>
      <c r="O359" s="21" t="str">
        <f>"str_"&amp;CONTROL[[#This Row],[VEHIDCODE]]</f>
        <v>str_electric_British_Thomson_Houston_ES1</v>
      </c>
      <c r="P359" s="7" t="b">
        <f>_xlfn.XLOOKUP(CONTROL[[#This Row],[VEHIDCODE]],PROPERTIES[VEHIDCODE],PROPERTIES[IS_CONCEPT])="IS_CONCEPT"</f>
        <v>0</v>
      </c>
      <c r="Q359" s="7" t="b">
        <f>_xlfn.XLOOKUP(CONTROL[[#This Row],[VEHIDCODE]],PROPERTIES[VEHIDCODE],PROPERTIES[EXCLUDE])</f>
        <v>0</v>
      </c>
      <c r="R359" t="str" cm="1">
        <f t="array" ref="R359">_xlfn.XLOOKUP(CONTROL[[#This Row],[VEHIDCODE]],GRAPHICS_PROPERTIES[VEHIDCODE],GRAPHICS_PROPERTIES[TEMPLATE_ID]&amp;GRAPHICS_PROPERTIES[TEMPLATE_AMENDMENT_CODE])</f>
        <v>TPL_01A</v>
      </c>
    </row>
    <row r="360" spans="1:18" x14ac:dyDescent="0.35">
      <c r="A360" s="2" t="s">
        <v>2994</v>
      </c>
      <c r="B360" s="21" t="str">
        <f>_xlfn.TEXTAFTER(CONTROL[[#This Row],[VEHIDCODE]],"_")</f>
        <v>ALCO_GE_NYC_S_Motor_S1</v>
      </c>
      <c r="C360" t="str" cm="1">
        <f t="array" ref="C3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0" t="str" cm="1">
        <f t="array" ref="D3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0">
        <v>6066</v>
      </c>
      <c r="F360" s="32" t="s">
        <v>2238</v>
      </c>
      <c r="G360" t="s">
        <v>1385</v>
      </c>
      <c r="H360" s="2" t="b">
        <f>AND(CONTROL[[#This Row],[IS_WAGON_OR_COACH]]=TRUE,OR(RIGHT(CONTROL[[#This Row],[VEHIDCODE]],7)="Powered",RIGHT(CONTROL[[#This Row],[VEHIDCODE]],9)="Unpowered"))</f>
        <v>0</v>
      </c>
      <c r="I3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0" t="b">
        <f>ISNUMBER(_xlfn.XMATCH(CONTROL[[#This Row],[VEHIDCODE]],TRACK_TYPES[VEHIDCODE],0))</f>
        <v>1</v>
      </c>
      <c r="K360" t="b">
        <f>ISNUMBER(_xlfn.XMATCH(CONTROL[[#This Row],[VEHIDCODE]],PROPERTIES[VEHIDCODE],0))</f>
        <v>1</v>
      </c>
      <c r="L360" t="b">
        <f>ISNUMBER(_xlfn.XLOOKUP(CONTROL[[#This Row],[VEHIDCODE]],roster!A:A,roster!D:D))</f>
        <v>1</v>
      </c>
      <c r="M360" t="b">
        <f>ISNUMBER(_xlfn.XMATCH(CONTROL[[#This Row],[VEHIDCODE]],GRAPHICS_PROPERTIES[VEHIDCODE],0))</f>
        <v>1</v>
      </c>
      <c r="N360" s="21" t="str">
        <f>"item_"&amp;CONTROL[[#This Row],[VEHIDCODE]]</f>
        <v>item_electric_ALCO_GE_NYC_S_Motor_S1</v>
      </c>
      <c r="O360" s="21" t="str">
        <f>"str_"&amp;CONTROL[[#This Row],[VEHIDCODE]]</f>
        <v>str_electric_ALCO_GE_NYC_S_Motor_S1</v>
      </c>
      <c r="P360" s="7" t="b">
        <f>_xlfn.XLOOKUP(CONTROL[[#This Row],[VEHIDCODE]],PROPERTIES[VEHIDCODE],PROPERTIES[IS_CONCEPT])="IS_CONCEPT"</f>
        <v>0</v>
      </c>
      <c r="Q360" s="7" t="b">
        <f>_xlfn.XLOOKUP(CONTROL[[#This Row],[VEHIDCODE]],PROPERTIES[VEHIDCODE],PROPERTIES[EXCLUDE])</f>
        <v>0</v>
      </c>
      <c r="R360" t="str" cm="1">
        <f t="array" ref="R360">_xlfn.XLOOKUP(CONTROL[[#This Row],[VEHIDCODE]],GRAPHICS_PROPERTIES[VEHIDCODE],GRAPHICS_PROPERTIES[TEMPLATE_ID]&amp;GRAPHICS_PROPERTIES[TEMPLATE_AMENDMENT_CODE])</f>
        <v>TPL_01A</v>
      </c>
    </row>
    <row r="361" spans="1:18" x14ac:dyDescent="0.35">
      <c r="A361" s="2" t="s">
        <v>2995</v>
      </c>
      <c r="B361" s="21" t="str">
        <f>_xlfn.TEXTAFTER(CONTROL[[#This Row],[VEHIDCODE]],"_")</f>
        <v>Nippon_Sharyo_DeKi_400</v>
      </c>
      <c r="C361" t="str" cm="1">
        <f t="array" ref="C3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1" t="str" cm="1">
        <f t="array" ref="D3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1">
        <v>6075</v>
      </c>
      <c r="F361" s="32" t="s">
        <v>2239</v>
      </c>
      <c r="G361" t="s">
        <v>1386</v>
      </c>
      <c r="H361" s="2" t="b">
        <f>AND(CONTROL[[#This Row],[IS_WAGON_OR_COACH]]=TRUE,OR(RIGHT(CONTROL[[#This Row],[VEHIDCODE]],7)="Powered",RIGHT(CONTROL[[#This Row],[VEHIDCODE]],9)="Unpowered"))</f>
        <v>0</v>
      </c>
      <c r="I3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1" t="b">
        <f>ISNUMBER(_xlfn.XMATCH(CONTROL[[#This Row],[VEHIDCODE]],TRACK_TYPES[VEHIDCODE],0))</f>
        <v>1</v>
      </c>
      <c r="K361" t="b">
        <f>ISNUMBER(_xlfn.XMATCH(CONTROL[[#This Row],[VEHIDCODE]],PROPERTIES[VEHIDCODE],0))</f>
        <v>1</v>
      </c>
      <c r="L361" t="b">
        <f>ISNUMBER(_xlfn.XLOOKUP(CONTROL[[#This Row],[VEHIDCODE]],roster!A:A,roster!D:D))</f>
        <v>1</v>
      </c>
      <c r="M361" t="b">
        <f>ISNUMBER(_xlfn.XMATCH(CONTROL[[#This Row],[VEHIDCODE]],GRAPHICS_PROPERTIES[VEHIDCODE],0))</f>
        <v>1</v>
      </c>
      <c r="N361" s="21" t="str">
        <f>"item_"&amp;CONTROL[[#This Row],[VEHIDCODE]]</f>
        <v>item_electric_Nippon_Sharyo_DeKi_400</v>
      </c>
      <c r="O361" s="21" t="str">
        <f>"str_"&amp;CONTROL[[#This Row],[VEHIDCODE]]</f>
        <v>str_electric_Nippon_Sharyo_DeKi_400</v>
      </c>
      <c r="P361" s="7" t="b">
        <f>_xlfn.XLOOKUP(CONTROL[[#This Row],[VEHIDCODE]],PROPERTIES[VEHIDCODE],PROPERTIES[IS_CONCEPT])="IS_CONCEPT"</f>
        <v>0</v>
      </c>
      <c r="Q361" s="7" t="b">
        <f>_xlfn.XLOOKUP(CONTROL[[#This Row],[VEHIDCODE]],PROPERTIES[VEHIDCODE],PROPERTIES[EXCLUDE])</f>
        <v>0</v>
      </c>
      <c r="R361" t="str" cm="1">
        <f t="array" ref="R361">_xlfn.XLOOKUP(CONTROL[[#This Row],[VEHIDCODE]],GRAPHICS_PROPERTIES[VEHIDCODE],GRAPHICS_PROPERTIES[TEMPLATE_ID]&amp;GRAPHICS_PROPERTIES[TEMPLATE_AMENDMENT_CODE])</f>
        <v>TPL_01A</v>
      </c>
    </row>
    <row r="362" spans="1:18" x14ac:dyDescent="0.35">
      <c r="A362" s="2" t="s">
        <v>2996</v>
      </c>
      <c r="B362" s="21" t="str">
        <f>_xlfn.TEXTAFTER(CONTROL[[#This Row],[VEHIDCODE]],"_")</f>
        <v>Vulcan_Foundry_SLM_EF_1</v>
      </c>
      <c r="C362" t="str" cm="1">
        <f t="array" ref="C3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2" t="str" cm="1">
        <f t="array" ref="D3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2">
        <v>6008</v>
      </c>
      <c r="F362" s="32" t="s">
        <v>2253</v>
      </c>
      <c r="G362" t="s">
        <v>1387</v>
      </c>
      <c r="H362" s="2" t="b">
        <f>AND(CONTROL[[#This Row],[IS_WAGON_OR_COACH]]=TRUE,OR(RIGHT(CONTROL[[#This Row],[VEHIDCODE]],7)="Powered",RIGHT(CONTROL[[#This Row],[VEHIDCODE]],9)="Unpowered"))</f>
        <v>0</v>
      </c>
      <c r="I3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2" t="b">
        <f>ISNUMBER(_xlfn.XMATCH(CONTROL[[#This Row],[VEHIDCODE]],TRACK_TYPES[VEHIDCODE],0))</f>
        <v>1</v>
      </c>
      <c r="K362" t="b">
        <f>ISNUMBER(_xlfn.XMATCH(CONTROL[[#This Row],[VEHIDCODE]],PROPERTIES[VEHIDCODE],0))</f>
        <v>1</v>
      </c>
      <c r="L362" t="b">
        <f>ISNUMBER(_xlfn.XLOOKUP(CONTROL[[#This Row],[VEHIDCODE]],roster!A:A,roster!D:D))</f>
        <v>1</v>
      </c>
      <c r="M362" t="b">
        <f>ISNUMBER(_xlfn.XMATCH(CONTROL[[#This Row],[VEHIDCODE]],GRAPHICS_PROPERTIES[VEHIDCODE],0))</f>
        <v>1</v>
      </c>
      <c r="N362" s="21" t="str">
        <f>"item_"&amp;CONTROL[[#This Row],[VEHIDCODE]]</f>
        <v>item_electric_Vulcan_Foundry_SLM_EF_1</v>
      </c>
      <c r="O362" s="21" t="str">
        <f>"str_"&amp;CONTROL[[#This Row],[VEHIDCODE]]</f>
        <v>str_electric_Vulcan_Foundry_SLM_EF_1</v>
      </c>
      <c r="P362" s="7" t="b">
        <f>_xlfn.XLOOKUP(CONTROL[[#This Row],[VEHIDCODE]],PROPERTIES[VEHIDCODE],PROPERTIES[IS_CONCEPT])="IS_CONCEPT"</f>
        <v>0</v>
      </c>
      <c r="Q362" s="7" t="b">
        <f>_xlfn.XLOOKUP(CONTROL[[#This Row],[VEHIDCODE]],PROPERTIES[VEHIDCODE],PROPERTIES[EXCLUDE])</f>
        <v>0</v>
      </c>
      <c r="R362" t="str" cm="1">
        <f t="array" ref="R362">_xlfn.XLOOKUP(CONTROL[[#This Row],[VEHIDCODE]],GRAPHICS_PROPERTIES[VEHIDCODE],GRAPHICS_PROPERTIES[TEMPLATE_ID]&amp;GRAPHICS_PROPERTIES[TEMPLATE_AMENDMENT_CODE])</f>
        <v>TPL_03C</v>
      </c>
    </row>
    <row r="363" spans="1:18" x14ac:dyDescent="0.35">
      <c r="A363" s="2" t="s">
        <v>2997</v>
      </c>
      <c r="B363" s="21" t="str">
        <f>_xlfn.TEXTAFTER(CONTROL[[#This Row],[VEHIDCODE]],"_")</f>
        <v>Jeumont_Schneider_BB_9004</v>
      </c>
      <c r="C363" t="str" cm="1">
        <f t="array" ref="C3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3" t="str" cm="1">
        <f t="array" ref="D3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3">
        <v>6022</v>
      </c>
      <c r="F363" s="32" t="s">
        <v>2240</v>
      </c>
      <c r="G363" t="s">
        <v>1388</v>
      </c>
      <c r="H363" s="2" t="b">
        <f>AND(CONTROL[[#This Row],[IS_WAGON_OR_COACH]]=TRUE,OR(RIGHT(CONTROL[[#This Row],[VEHIDCODE]],7)="Powered",RIGHT(CONTROL[[#This Row],[VEHIDCODE]],9)="Unpowered"))</f>
        <v>0</v>
      </c>
      <c r="I3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3" t="b">
        <f>ISNUMBER(_xlfn.XMATCH(CONTROL[[#This Row],[VEHIDCODE]],TRACK_TYPES[VEHIDCODE],0))</f>
        <v>1</v>
      </c>
      <c r="K363" t="b">
        <f>ISNUMBER(_xlfn.XMATCH(CONTROL[[#This Row],[VEHIDCODE]],PROPERTIES[VEHIDCODE],0))</f>
        <v>1</v>
      </c>
      <c r="L363" t="b">
        <f>ISNUMBER(_xlfn.XLOOKUP(CONTROL[[#This Row],[VEHIDCODE]],roster!A:A,roster!D:D))</f>
        <v>1</v>
      </c>
      <c r="M363" t="b">
        <f>ISNUMBER(_xlfn.XMATCH(CONTROL[[#This Row],[VEHIDCODE]],GRAPHICS_PROPERTIES[VEHIDCODE],0))</f>
        <v>1</v>
      </c>
      <c r="N363" s="21" t="str">
        <f>"item_"&amp;CONTROL[[#This Row],[VEHIDCODE]]</f>
        <v>item_electric_Jeumont_Schneider_BB_9004</v>
      </c>
      <c r="O363" s="21" t="str">
        <f>"str_"&amp;CONTROL[[#This Row],[VEHIDCODE]]</f>
        <v>str_electric_Jeumont_Schneider_BB_9004</v>
      </c>
      <c r="P363" s="7" t="b">
        <f>_xlfn.XLOOKUP(CONTROL[[#This Row],[VEHIDCODE]],PROPERTIES[VEHIDCODE],PROPERTIES[IS_CONCEPT])="IS_CONCEPT"</f>
        <v>0</v>
      </c>
      <c r="Q363" s="7" t="b">
        <f>_xlfn.XLOOKUP(CONTROL[[#This Row],[VEHIDCODE]],PROPERTIES[VEHIDCODE],PROPERTIES[EXCLUDE])</f>
        <v>0</v>
      </c>
      <c r="R363" t="str" cm="1">
        <f t="array" ref="R363">_xlfn.XLOOKUP(CONTROL[[#This Row],[VEHIDCODE]],GRAPHICS_PROPERTIES[VEHIDCODE],GRAPHICS_PROPERTIES[TEMPLATE_ID]&amp;GRAPHICS_PROPERTIES[TEMPLATE_AMENDMENT_CODE])</f>
        <v>TPL_01A</v>
      </c>
    </row>
    <row r="364" spans="1:18" x14ac:dyDescent="0.35">
      <c r="A364" s="2" t="s">
        <v>2998</v>
      </c>
      <c r="B364" s="21" t="str">
        <f>_xlfn.TEXTAFTER(CONTROL[[#This Row],[VEHIDCODE]],"_")</f>
        <v>Werkspoor_ESS_3200</v>
      </c>
      <c r="C364" t="str" cm="1">
        <f t="array" ref="C3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4" t="str" cm="1">
        <f t="array" ref="D3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4">
        <v>6096</v>
      </c>
      <c r="F364" s="32" t="s">
        <v>2241</v>
      </c>
      <c r="G364" t="s">
        <v>1389</v>
      </c>
      <c r="H364" s="2" t="b">
        <f>AND(CONTROL[[#This Row],[IS_WAGON_OR_COACH]]=TRUE,OR(RIGHT(CONTROL[[#This Row],[VEHIDCODE]],7)="Powered",RIGHT(CONTROL[[#This Row],[VEHIDCODE]],9)="Unpowered"))</f>
        <v>0</v>
      </c>
      <c r="I3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4" t="b">
        <f>ISNUMBER(_xlfn.XMATCH(CONTROL[[#This Row],[VEHIDCODE]],TRACK_TYPES[VEHIDCODE],0))</f>
        <v>1</v>
      </c>
      <c r="K364" t="b">
        <f>ISNUMBER(_xlfn.XMATCH(CONTROL[[#This Row],[VEHIDCODE]],PROPERTIES[VEHIDCODE],0))</f>
        <v>1</v>
      </c>
      <c r="L364" t="b">
        <f>ISNUMBER(_xlfn.XLOOKUP(CONTROL[[#This Row],[VEHIDCODE]],roster!A:A,roster!D:D))</f>
        <v>1</v>
      </c>
      <c r="M364" t="b">
        <f>ISNUMBER(_xlfn.XMATCH(CONTROL[[#This Row],[VEHIDCODE]],GRAPHICS_PROPERTIES[VEHIDCODE],0))</f>
        <v>1</v>
      </c>
      <c r="N364" s="21" t="str">
        <f>"item_"&amp;CONTROL[[#This Row],[VEHIDCODE]]</f>
        <v>item_electric_Werkspoor_ESS_3200</v>
      </c>
      <c r="O364" s="21" t="str">
        <f>"str_"&amp;CONTROL[[#This Row],[VEHIDCODE]]</f>
        <v>str_electric_Werkspoor_ESS_3200</v>
      </c>
      <c r="P364" s="7" t="b">
        <f>_xlfn.XLOOKUP(CONTROL[[#This Row],[VEHIDCODE]],PROPERTIES[VEHIDCODE],PROPERTIES[IS_CONCEPT])="IS_CONCEPT"</f>
        <v>0</v>
      </c>
      <c r="Q364" s="7" t="b">
        <f>_xlfn.XLOOKUP(CONTROL[[#This Row],[VEHIDCODE]],PROPERTIES[VEHIDCODE],PROPERTIES[EXCLUDE])</f>
        <v>0</v>
      </c>
      <c r="R364" t="str" cm="1">
        <f t="array" ref="R364">_xlfn.XLOOKUP(CONTROL[[#This Row],[VEHIDCODE]],GRAPHICS_PROPERTIES[VEHIDCODE],GRAPHICS_PROPERTIES[TEMPLATE_ID]&amp;GRAPHICS_PROPERTIES[TEMPLATE_AMENDMENT_CODE])</f>
        <v>TPL_01A</v>
      </c>
    </row>
    <row r="365" spans="1:18" x14ac:dyDescent="0.35">
      <c r="A365" s="2" t="s">
        <v>2999</v>
      </c>
      <c r="B365" s="21" t="str">
        <f>_xlfn.TEXTAFTER(CONTROL[[#This Row],[VEHIDCODE]],"_")</f>
        <v>Metropolitan_Vicerks_EM2</v>
      </c>
      <c r="C365" t="str" cm="1">
        <f t="array" ref="C3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5" t="str" cm="1">
        <f t="array" ref="D3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5">
        <v>6021</v>
      </c>
      <c r="F365" s="32" t="s">
        <v>3504</v>
      </c>
      <c r="G365" t="s">
        <v>1390</v>
      </c>
      <c r="H365" s="2" t="b">
        <f>AND(CONTROL[[#This Row],[IS_WAGON_OR_COACH]]=TRUE,OR(RIGHT(CONTROL[[#This Row],[VEHIDCODE]],7)="Powered",RIGHT(CONTROL[[#This Row],[VEHIDCODE]],9)="Unpowered"))</f>
        <v>0</v>
      </c>
      <c r="I3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5" t="b">
        <f>ISNUMBER(_xlfn.XMATCH(CONTROL[[#This Row],[VEHIDCODE]],TRACK_TYPES[VEHIDCODE],0))</f>
        <v>1</v>
      </c>
      <c r="K365" t="b">
        <f>ISNUMBER(_xlfn.XMATCH(CONTROL[[#This Row],[VEHIDCODE]],PROPERTIES[VEHIDCODE],0))</f>
        <v>1</v>
      </c>
      <c r="L365" t="b">
        <f>ISNUMBER(_xlfn.XLOOKUP(CONTROL[[#This Row],[VEHIDCODE]],roster!A:A,roster!D:D))</f>
        <v>1</v>
      </c>
      <c r="M365" t="b">
        <f>ISNUMBER(_xlfn.XMATCH(CONTROL[[#This Row],[VEHIDCODE]],GRAPHICS_PROPERTIES[VEHIDCODE],0))</f>
        <v>1</v>
      </c>
      <c r="N365" s="21" t="str">
        <f>"item_"&amp;CONTROL[[#This Row],[VEHIDCODE]]</f>
        <v>item_electric_Metropolitan_Vicerks_EM2</v>
      </c>
      <c r="O365" s="21" t="str">
        <f>"str_"&amp;CONTROL[[#This Row],[VEHIDCODE]]</f>
        <v>str_electric_Metropolitan_Vicerks_EM2</v>
      </c>
      <c r="P365" s="7" t="b">
        <f>_xlfn.XLOOKUP(CONTROL[[#This Row],[VEHIDCODE]],PROPERTIES[VEHIDCODE],PROPERTIES[IS_CONCEPT])="IS_CONCEPT"</f>
        <v>0</v>
      </c>
      <c r="Q365" s="7" t="b">
        <f>_xlfn.XLOOKUP(CONTROL[[#This Row],[VEHIDCODE]],PROPERTIES[VEHIDCODE],PROPERTIES[EXCLUDE])</f>
        <v>0</v>
      </c>
      <c r="R365" t="str" cm="1">
        <f t="array" ref="R365">_xlfn.XLOOKUP(CONTROL[[#This Row],[VEHIDCODE]],GRAPHICS_PROPERTIES[VEHIDCODE],GRAPHICS_PROPERTIES[TEMPLATE_ID]&amp;GRAPHICS_PROPERTIES[TEMPLATE_AMENDMENT_CODE])</f>
        <v>TPL_01A</v>
      </c>
    </row>
    <row r="366" spans="1:18" x14ac:dyDescent="0.35">
      <c r="A366" s="2" t="s">
        <v>3000</v>
      </c>
      <c r="B366" s="21" t="str">
        <f>_xlfn.TEXTAFTER(CONTROL[[#This Row],[VEHIDCODE]],"_")</f>
        <v>NER_EE1</v>
      </c>
      <c r="C366" t="str" cm="1">
        <f t="array" ref="C3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6" t="str" cm="1">
        <f t="array" ref="D3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6">
        <v>6071</v>
      </c>
      <c r="F366" s="32" t="s">
        <v>380</v>
      </c>
      <c r="G366" t="s">
        <v>1391</v>
      </c>
      <c r="H366" s="2" t="b">
        <f>AND(CONTROL[[#This Row],[IS_WAGON_OR_COACH]]=TRUE,OR(RIGHT(CONTROL[[#This Row],[VEHIDCODE]],7)="Powered",RIGHT(CONTROL[[#This Row],[VEHIDCODE]],9)="Unpowered"))</f>
        <v>0</v>
      </c>
      <c r="I3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6" t="b">
        <f>ISNUMBER(_xlfn.XMATCH(CONTROL[[#This Row],[VEHIDCODE]],TRACK_TYPES[VEHIDCODE],0))</f>
        <v>1</v>
      </c>
      <c r="K366" t="b">
        <f>ISNUMBER(_xlfn.XMATCH(CONTROL[[#This Row],[VEHIDCODE]],PROPERTIES[VEHIDCODE],0))</f>
        <v>1</v>
      </c>
      <c r="L366" t="b">
        <f>ISNUMBER(_xlfn.XLOOKUP(CONTROL[[#This Row],[VEHIDCODE]],roster!A:A,roster!D:D))</f>
        <v>1</v>
      </c>
      <c r="M366" t="b">
        <f>ISNUMBER(_xlfn.XMATCH(CONTROL[[#This Row],[VEHIDCODE]],GRAPHICS_PROPERTIES[VEHIDCODE],0))</f>
        <v>1</v>
      </c>
      <c r="N366" s="21" t="str">
        <f>"item_"&amp;CONTROL[[#This Row],[VEHIDCODE]]</f>
        <v>item_electric_NER_EE1</v>
      </c>
      <c r="O366" s="21" t="str">
        <f>"str_"&amp;CONTROL[[#This Row],[VEHIDCODE]]</f>
        <v>str_electric_NER_EE1</v>
      </c>
      <c r="P366" s="7" t="b">
        <f>_xlfn.XLOOKUP(CONTROL[[#This Row],[VEHIDCODE]],PROPERTIES[VEHIDCODE],PROPERTIES[IS_CONCEPT])="IS_CONCEPT"</f>
        <v>0</v>
      </c>
      <c r="Q366" s="7" t="b">
        <f>_xlfn.XLOOKUP(CONTROL[[#This Row],[VEHIDCODE]],PROPERTIES[VEHIDCODE],PROPERTIES[EXCLUDE])</f>
        <v>0</v>
      </c>
      <c r="R366" t="str" cm="1">
        <f t="array" ref="R366">_xlfn.XLOOKUP(CONTROL[[#This Row],[VEHIDCODE]],GRAPHICS_PROPERTIES[VEHIDCODE],GRAPHICS_PROPERTIES[TEMPLATE_ID]&amp;GRAPHICS_PROPERTIES[TEMPLATE_AMENDMENT_CODE])</f>
        <v>TPL_01A</v>
      </c>
    </row>
    <row r="367" spans="1:18" x14ac:dyDescent="0.35">
      <c r="A367" s="2" t="s">
        <v>3001</v>
      </c>
      <c r="B367" s="21" t="str">
        <f>_xlfn.TEXTAFTER(CONTROL[[#This Row],[VEHIDCODE]],"_")</f>
        <v>GE_ES_2</v>
      </c>
      <c r="C367" t="str" cm="1">
        <f t="array" ref="C3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7" t="str" cm="1">
        <f t="array" ref="D3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7">
        <v>6003</v>
      </c>
      <c r="F367" s="32" t="s">
        <v>2242</v>
      </c>
      <c r="G367" t="s">
        <v>1392</v>
      </c>
      <c r="H367" s="2" t="b">
        <f>AND(CONTROL[[#This Row],[IS_WAGON_OR_COACH]]=TRUE,OR(RIGHT(CONTROL[[#This Row],[VEHIDCODE]],7)="Powered",RIGHT(CONTROL[[#This Row],[VEHIDCODE]],9)="Unpowered"))</f>
        <v>0</v>
      </c>
      <c r="I3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7" t="b">
        <f>ISNUMBER(_xlfn.XMATCH(CONTROL[[#This Row],[VEHIDCODE]],TRACK_TYPES[VEHIDCODE],0))</f>
        <v>1</v>
      </c>
      <c r="K367" t="b">
        <f>ISNUMBER(_xlfn.XMATCH(CONTROL[[#This Row],[VEHIDCODE]],PROPERTIES[VEHIDCODE],0))</f>
        <v>1</v>
      </c>
      <c r="L367" t="b">
        <f>ISNUMBER(_xlfn.XLOOKUP(CONTROL[[#This Row],[VEHIDCODE]],roster!A:A,roster!D:D))</f>
        <v>1</v>
      </c>
      <c r="M367" t="b">
        <f>ISNUMBER(_xlfn.XMATCH(CONTROL[[#This Row],[VEHIDCODE]],GRAPHICS_PROPERTIES[VEHIDCODE],0))</f>
        <v>1</v>
      </c>
      <c r="N367" s="21" t="str">
        <f>"item_"&amp;CONTROL[[#This Row],[VEHIDCODE]]</f>
        <v>item_electric_GE_ES_2</v>
      </c>
      <c r="O367" s="21" t="str">
        <f>"str_"&amp;CONTROL[[#This Row],[VEHIDCODE]]</f>
        <v>str_electric_GE_ES_2</v>
      </c>
      <c r="P367" s="7" t="b">
        <f>_xlfn.XLOOKUP(CONTROL[[#This Row],[VEHIDCODE]],PROPERTIES[VEHIDCODE],PROPERTIES[IS_CONCEPT])="IS_CONCEPT"</f>
        <v>0</v>
      </c>
      <c r="Q367" s="7" t="b">
        <f>_xlfn.XLOOKUP(CONTROL[[#This Row],[VEHIDCODE]],PROPERTIES[VEHIDCODE],PROPERTIES[EXCLUDE])</f>
        <v>0</v>
      </c>
      <c r="R367" t="str" cm="1">
        <f t="array" ref="R367">_xlfn.XLOOKUP(CONTROL[[#This Row],[VEHIDCODE]],GRAPHICS_PROPERTIES[VEHIDCODE],GRAPHICS_PROPERTIES[TEMPLATE_ID]&amp;GRAPHICS_PROPERTIES[TEMPLATE_AMENDMENT_CODE])</f>
        <v>TPL_01A</v>
      </c>
    </row>
    <row r="368" spans="1:18" x14ac:dyDescent="0.35">
      <c r="A368" s="2" t="s">
        <v>3002</v>
      </c>
      <c r="B368" s="21" t="str">
        <f>_xlfn.TEXTAFTER(CONTROL[[#This Row],[VEHIDCODE]],"_")</f>
        <v>GE_2_4_8_0_0_8_4_2_EP2</v>
      </c>
      <c r="C368" t="str" cm="1">
        <f t="array" ref="C3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8" t="str" cm="1">
        <f t="array" ref="D3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8">
        <v>6064</v>
      </c>
      <c r="F368" s="32" t="s">
        <v>2243</v>
      </c>
      <c r="G368" t="s">
        <v>1393</v>
      </c>
      <c r="H368" s="2" t="b">
        <f>AND(CONTROL[[#This Row],[IS_WAGON_OR_COACH]]=TRUE,OR(RIGHT(CONTROL[[#This Row],[VEHIDCODE]],7)="Powered",RIGHT(CONTROL[[#This Row],[VEHIDCODE]],9)="Unpowered"))</f>
        <v>0</v>
      </c>
      <c r="I3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8" t="b">
        <f>ISNUMBER(_xlfn.XMATCH(CONTROL[[#This Row],[VEHIDCODE]],TRACK_TYPES[VEHIDCODE],0))</f>
        <v>1</v>
      </c>
      <c r="K368" t="b">
        <f>ISNUMBER(_xlfn.XMATCH(CONTROL[[#This Row],[VEHIDCODE]],PROPERTIES[VEHIDCODE],0))</f>
        <v>1</v>
      </c>
      <c r="L368" t="b">
        <f>ISNUMBER(_xlfn.XLOOKUP(CONTROL[[#This Row],[VEHIDCODE]],roster!A:A,roster!D:D))</f>
        <v>1</v>
      </c>
      <c r="M368" t="b">
        <f>ISNUMBER(_xlfn.XMATCH(CONTROL[[#This Row],[VEHIDCODE]],GRAPHICS_PROPERTIES[VEHIDCODE],0))</f>
        <v>1</v>
      </c>
      <c r="N368" s="21" t="str">
        <f>"item_"&amp;CONTROL[[#This Row],[VEHIDCODE]]</f>
        <v>item_electric_GE_2_4_8_0_0_8_4_2_EP2</v>
      </c>
      <c r="O368" s="21" t="str">
        <f>"str_"&amp;CONTROL[[#This Row],[VEHIDCODE]]</f>
        <v>str_electric_GE_2_4_8_0_0_8_4_2_EP2</v>
      </c>
      <c r="P368" s="7" t="b">
        <f>_xlfn.XLOOKUP(CONTROL[[#This Row],[VEHIDCODE]],PROPERTIES[VEHIDCODE],PROPERTIES[IS_CONCEPT])="IS_CONCEPT"</f>
        <v>0</v>
      </c>
      <c r="Q368" s="7" t="b">
        <f>_xlfn.XLOOKUP(CONTROL[[#This Row],[VEHIDCODE]],PROPERTIES[VEHIDCODE],PROPERTIES[EXCLUDE])</f>
        <v>0</v>
      </c>
      <c r="R368" t="str" cm="1">
        <f t="array" ref="R368">_xlfn.XLOOKUP(CONTROL[[#This Row],[VEHIDCODE]],GRAPHICS_PROPERTIES[VEHIDCODE],GRAPHICS_PROPERTIES[TEMPLATE_ID]&amp;GRAPHICS_PROPERTIES[TEMPLATE_AMENDMENT_CODE])</f>
        <v>TPL_16A</v>
      </c>
    </row>
    <row r="369" spans="1:18" x14ac:dyDescent="0.35">
      <c r="A369" s="2" t="s">
        <v>3003</v>
      </c>
      <c r="B369" s="21" t="str">
        <f>_xlfn.TEXTAFTER(CONTROL[[#This Row],[VEHIDCODE]],"_")</f>
        <v>EFE_E_28</v>
      </c>
      <c r="C369" t="str" cm="1">
        <f t="array" ref="C3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9" t="str" cm="1">
        <f t="array" ref="D3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9">
        <v>6006</v>
      </c>
      <c r="F369" s="32" t="s">
        <v>3541</v>
      </c>
      <c r="G369" t="s">
        <v>523</v>
      </c>
      <c r="H369" s="2" t="b">
        <f>AND(CONTROL[[#This Row],[IS_WAGON_OR_COACH]]=TRUE,OR(RIGHT(CONTROL[[#This Row],[VEHIDCODE]],7)="Powered",RIGHT(CONTROL[[#This Row],[VEHIDCODE]],9)="Unpowered"))</f>
        <v>0</v>
      </c>
      <c r="I3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9" t="b">
        <f>ISNUMBER(_xlfn.XMATCH(CONTROL[[#This Row],[VEHIDCODE]],TRACK_TYPES[VEHIDCODE],0))</f>
        <v>1</v>
      </c>
      <c r="K369" t="b">
        <f>ISNUMBER(_xlfn.XMATCH(CONTROL[[#This Row],[VEHIDCODE]],PROPERTIES[VEHIDCODE],0))</f>
        <v>1</v>
      </c>
      <c r="L369" t="b">
        <f>ISNUMBER(_xlfn.XLOOKUP(CONTROL[[#This Row],[VEHIDCODE]],roster!A:A,roster!D:D))</f>
        <v>1</v>
      </c>
      <c r="M369" t="b">
        <f>ISNUMBER(_xlfn.XMATCH(CONTROL[[#This Row],[VEHIDCODE]],GRAPHICS_PROPERTIES[VEHIDCODE],0))</f>
        <v>1</v>
      </c>
      <c r="N369" s="21" t="str">
        <f>"item_"&amp;CONTROL[[#This Row],[VEHIDCODE]]</f>
        <v>item_electric_EFE_E_28</v>
      </c>
      <c r="O369" s="21" t="str">
        <f>"str_"&amp;CONTROL[[#This Row],[VEHIDCODE]]</f>
        <v>str_electric_EFE_E_28</v>
      </c>
      <c r="P369" s="7" t="b">
        <f>_xlfn.XLOOKUP(CONTROL[[#This Row],[VEHIDCODE]],PROPERTIES[VEHIDCODE],PROPERTIES[IS_CONCEPT])="IS_CONCEPT"</f>
        <v>0</v>
      </c>
      <c r="Q369" s="7" t="b">
        <f>_xlfn.XLOOKUP(CONTROL[[#This Row],[VEHIDCODE]],PROPERTIES[VEHIDCODE],PROPERTIES[EXCLUDE])</f>
        <v>0</v>
      </c>
      <c r="R369" t="str" cm="1">
        <f t="array" ref="R369">_xlfn.XLOOKUP(CONTROL[[#This Row],[VEHIDCODE]],GRAPHICS_PROPERTIES[VEHIDCODE],GRAPHICS_PROPERTIES[TEMPLATE_ID]&amp;GRAPHICS_PROPERTIES[TEMPLATE_AMENDMENT_CODE])</f>
        <v>TPL_01A</v>
      </c>
    </row>
    <row r="370" spans="1:18" x14ac:dyDescent="0.35">
      <c r="A370" s="2" t="s">
        <v>3004</v>
      </c>
      <c r="B370" s="21" t="str">
        <f>_xlfn.TEXTAFTER(CONTROL[[#This Row],[VEHIDCODE]],"_")</f>
        <v>Breda_E_428</v>
      </c>
      <c r="C370" t="str" cm="1">
        <f t="array" ref="C3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0" t="str" cm="1">
        <f t="array" ref="D3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0">
        <v>6013</v>
      </c>
      <c r="F370" s="32" t="s">
        <v>2244</v>
      </c>
      <c r="G370" t="s">
        <v>1394</v>
      </c>
      <c r="H370" s="2" t="b">
        <f>AND(CONTROL[[#This Row],[IS_WAGON_OR_COACH]]=TRUE,OR(RIGHT(CONTROL[[#This Row],[VEHIDCODE]],7)="Powered",RIGHT(CONTROL[[#This Row],[VEHIDCODE]],9)="Unpowered"))</f>
        <v>0</v>
      </c>
      <c r="I3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0" t="b">
        <f>ISNUMBER(_xlfn.XMATCH(CONTROL[[#This Row],[VEHIDCODE]],TRACK_TYPES[VEHIDCODE],0))</f>
        <v>1</v>
      </c>
      <c r="K370" t="b">
        <f>ISNUMBER(_xlfn.XMATCH(CONTROL[[#This Row],[VEHIDCODE]],PROPERTIES[VEHIDCODE],0))</f>
        <v>1</v>
      </c>
      <c r="L370" t="b">
        <f>ISNUMBER(_xlfn.XLOOKUP(CONTROL[[#This Row],[VEHIDCODE]],roster!A:A,roster!D:D))</f>
        <v>1</v>
      </c>
      <c r="M370" t="b">
        <f>ISNUMBER(_xlfn.XMATCH(CONTROL[[#This Row],[VEHIDCODE]],GRAPHICS_PROPERTIES[VEHIDCODE],0))</f>
        <v>1</v>
      </c>
      <c r="N370" s="21" t="str">
        <f>"item_"&amp;CONTROL[[#This Row],[VEHIDCODE]]</f>
        <v>item_electric_Breda_E_428</v>
      </c>
      <c r="O370" s="21" t="str">
        <f>"str_"&amp;CONTROL[[#This Row],[VEHIDCODE]]</f>
        <v>str_electric_Breda_E_428</v>
      </c>
      <c r="P370" s="7" t="b">
        <f>_xlfn.XLOOKUP(CONTROL[[#This Row],[VEHIDCODE]],PROPERTIES[VEHIDCODE],PROPERTIES[IS_CONCEPT])="IS_CONCEPT"</f>
        <v>0</v>
      </c>
      <c r="Q370" s="7" t="b">
        <f>_xlfn.XLOOKUP(CONTROL[[#This Row],[VEHIDCODE]],PROPERTIES[VEHIDCODE],PROPERTIES[EXCLUDE])</f>
        <v>0</v>
      </c>
      <c r="R370" t="str" cm="1">
        <f t="array" ref="R370">_xlfn.XLOOKUP(CONTROL[[#This Row],[VEHIDCODE]],GRAPHICS_PROPERTIES[VEHIDCODE],GRAPHICS_PROPERTIES[TEMPLATE_ID]&amp;GRAPHICS_PROPERTIES[TEMPLATE_AMENDMENT_CODE])</f>
        <v>TPL_01A</v>
      </c>
    </row>
    <row r="371" spans="1:18" x14ac:dyDescent="0.35">
      <c r="A371" s="2" t="s">
        <v>3005</v>
      </c>
      <c r="B371" s="21" t="str">
        <f>_xlfn.TEXTAFTER(CONTROL[[#This Row],[VEHIDCODE]],"_")</f>
        <v>Werkspoor_SAR_ES</v>
      </c>
      <c r="C371" t="str" cm="1">
        <f t="array" ref="C3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1" t="str" cm="1">
        <f t="array" ref="D3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1">
        <v>6016</v>
      </c>
      <c r="F371" s="32" t="s">
        <v>2245</v>
      </c>
      <c r="G371" t="s">
        <v>1395</v>
      </c>
      <c r="H371" s="2" t="b">
        <f>AND(CONTROL[[#This Row],[IS_WAGON_OR_COACH]]=TRUE,OR(RIGHT(CONTROL[[#This Row],[VEHIDCODE]],7)="Powered",RIGHT(CONTROL[[#This Row],[VEHIDCODE]],9)="Unpowered"))</f>
        <v>0</v>
      </c>
      <c r="I3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1" t="b">
        <f>ISNUMBER(_xlfn.XMATCH(CONTROL[[#This Row],[VEHIDCODE]],TRACK_TYPES[VEHIDCODE],0))</f>
        <v>1</v>
      </c>
      <c r="K371" t="b">
        <f>ISNUMBER(_xlfn.XMATCH(CONTROL[[#This Row],[VEHIDCODE]],PROPERTIES[VEHIDCODE],0))</f>
        <v>1</v>
      </c>
      <c r="L371" t="b">
        <f>ISNUMBER(_xlfn.XLOOKUP(CONTROL[[#This Row],[VEHIDCODE]],roster!A:A,roster!D:D))</f>
        <v>1</v>
      </c>
      <c r="M371" t="b">
        <f>ISNUMBER(_xlfn.XMATCH(CONTROL[[#This Row],[VEHIDCODE]],GRAPHICS_PROPERTIES[VEHIDCODE],0))</f>
        <v>1</v>
      </c>
      <c r="N371" s="21" t="str">
        <f>"item_"&amp;CONTROL[[#This Row],[VEHIDCODE]]</f>
        <v>item_electric_Werkspoor_SAR_ES</v>
      </c>
      <c r="O371" s="21" t="str">
        <f>"str_"&amp;CONTROL[[#This Row],[VEHIDCODE]]</f>
        <v>str_electric_Werkspoor_SAR_ES</v>
      </c>
      <c r="P371" s="7" t="b">
        <f>_xlfn.XLOOKUP(CONTROL[[#This Row],[VEHIDCODE]],PROPERTIES[VEHIDCODE],PROPERTIES[IS_CONCEPT])="IS_CONCEPT"</f>
        <v>0</v>
      </c>
      <c r="Q371" s="7" t="b">
        <f>_xlfn.XLOOKUP(CONTROL[[#This Row],[VEHIDCODE]],PROPERTIES[VEHIDCODE],PROPERTIES[EXCLUDE])</f>
        <v>0</v>
      </c>
      <c r="R371" t="str" cm="1">
        <f t="array" ref="R371">_xlfn.XLOOKUP(CONTROL[[#This Row],[VEHIDCODE]],GRAPHICS_PROPERTIES[VEHIDCODE],GRAPHICS_PROPERTIES[TEMPLATE_ID]&amp;GRAPHICS_PROPERTIES[TEMPLATE_AMENDMENT_CODE])</f>
        <v>TPL_01A</v>
      </c>
    </row>
    <row r="372" spans="1:18" x14ac:dyDescent="0.35">
      <c r="A372" s="2" t="s">
        <v>3006</v>
      </c>
      <c r="B372" s="21" t="str">
        <f>_xlfn.TEXTAFTER(CONTROL[[#This Row],[VEHIDCODE]],"_")</f>
        <v>English_Electric_E__AEI_E_</v>
      </c>
      <c r="C372" t="str" cm="1">
        <f t="array" ref="C3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2" t="str" cm="1">
        <f t="array" ref="D3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2">
        <v>6084</v>
      </c>
      <c r="F372" s="32" t="s">
        <v>1953</v>
      </c>
      <c r="G372" t="s">
        <v>1396</v>
      </c>
      <c r="H372" s="2" t="b">
        <f>AND(CONTROL[[#This Row],[IS_WAGON_OR_COACH]]=TRUE,OR(RIGHT(CONTROL[[#This Row],[VEHIDCODE]],7)="Powered",RIGHT(CONTROL[[#This Row],[VEHIDCODE]],9)="Unpowered"))</f>
        <v>0</v>
      </c>
      <c r="I3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2" t="b">
        <f>ISNUMBER(_xlfn.XMATCH(CONTROL[[#This Row],[VEHIDCODE]],TRACK_TYPES[VEHIDCODE],0))</f>
        <v>1</v>
      </c>
      <c r="K372" t="b">
        <f>ISNUMBER(_xlfn.XMATCH(CONTROL[[#This Row],[VEHIDCODE]],PROPERTIES[VEHIDCODE],0))</f>
        <v>1</v>
      </c>
      <c r="L372" t="b">
        <f>ISNUMBER(_xlfn.XLOOKUP(CONTROL[[#This Row],[VEHIDCODE]],roster!A:A,roster!D:D))</f>
        <v>1</v>
      </c>
      <c r="M372" t="b">
        <f>ISNUMBER(_xlfn.XMATCH(CONTROL[[#This Row],[VEHIDCODE]],GRAPHICS_PROPERTIES[VEHIDCODE],0))</f>
        <v>1</v>
      </c>
      <c r="N372" s="21" t="str">
        <f>"item_"&amp;CONTROL[[#This Row],[VEHIDCODE]]</f>
        <v>item_electric_English_Electric_E__AEI_E_</v>
      </c>
      <c r="O372" s="21" t="str">
        <f>"str_"&amp;CONTROL[[#This Row],[VEHIDCODE]]</f>
        <v>str_electric_English_Electric_E__AEI_E_</v>
      </c>
      <c r="P372" s="7" t="b">
        <f>_xlfn.XLOOKUP(CONTROL[[#This Row],[VEHIDCODE]],PROPERTIES[VEHIDCODE],PROPERTIES[IS_CONCEPT])="IS_CONCEPT"</f>
        <v>0</v>
      </c>
      <c r="Q372" s="7" t="b">
        <f>_xlfn.XLOOKUP(CONTROL[[#This Row],[VEHIDCODE]],PROPERTIES[VEHIDCODE],PROPERTIES[EXCLUDE])</f>
        <v>0</v>
      </c>
      <c r="R372" t="str" cm="1">
        <f t="array" ref="R372">_xlfn.XLOOKUP(CONTROL[[#This Row],[VEHIDCODE]],GRAPHICS_PROPERTIES[VEHIDCODE],GRAPHICS_PROPERTIES[TEMPLATE_ID]&amp;GRAPHICS_PROPERTIES[TEMPLATE_AMENDMENT_CODE])</f>
        <v>TPL_01A</v>
      </c>
    </row>
    <row r="373" spans="1:18" x14ac:dyDescent="0.35">
      <c r="A373" s="2" t="s">
        <v>3007</v>
      </c>
      <c r="B373" s="21" t="str">
        <f>_xlfn.TEXTAFTER(CONTROL[[#This Row],[VEHIDCODE]],"_")</f>
        <v>HCP_203E</v>
      </c>
      <c r="C373" t="str" cm="1">
        <f t="array" ref="C3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3" t="str" cm="1">
        <f t="array" ref="D3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3">
        <v>6037</v>
      </c>
      <c r="F373" s="32" t="s">
        <v>1956</v>
      </c>
      <c r="G373" t="s">
        <v>1397</v>
      </c>
      <c r="H373" s="2" t="b">
        <f>AND(CONTROL[[#This Row],[IS_WAGON_OR_COACH]]=TRUE,OR(RIGHT(CONTROL[[#This Row],[VEHIDCODE]],7)="Powered",RIGHT(CONTROL[[#This Row],[VEHIDCODE]],9)="Unpowered"))</f>
        <v>0</v>
      </c>
      <c r="I3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3" t="b">
        <f>ISNUMBER(_xlfn.XMATCH(CONTROL[[#This Row],[VEHIDCODE]],TRACK_TYPES[VEHIDCODE],0))</f>
        <v>1</v>
      </c>
      <c r="K373" t="b">
        <f>ISNUMBER(_xlfn.XMATCH(CONTROL[[#This Row],[VEHIDCODE]],PROPERTIES[VEHIDCODE],0))</f>
        <v>1</v>
      </c>
      <c r="L373" t="b">
        <f>ISNUMBER(_xlfn.XLOOKUP(CONTROL[[#This Row],[VEHIDCODE]],roster!A:A,roster!D:D))</f>
        <v>1</v>
      </c>
      <c r="M373" t="b">
        <f>ISNUMBER(_xlfn.XMATCH(CONTROL[[#This Row],[VEHIDCODE]],GRAPHICS_PROPERTIES[VEHIDCODE],0))</f>
        <v>1</v>
      </c>
      <c r="N373" s="21" t="str">
        <f>"item_"&amp;CONTROL[[#This Row],[VEHIDCODE]]</f>
        <v>item_electric_HCP_203E</v>
      </c>
      <c r="O373" s="21" t="str">
        <f>"str_"&amp;CONTROL[[#This Row],[VEHIDCODE]]</f>
        <v>str_electric_HCP_203E</v>
      </c>
      <c r="P373" s="7" t="b">
        <f>_xlfn.XLOOKUP(CONTROL[[#This Row],[VEHIDCODE]],PROPERTIES[VEHIDCODE],PROPERTIES[IS_CONCEPT])="IS_CONCEPT"</f>
        <v>0</v>
      </c>
      <c r="Q373" s="7" t="b">
        <f>_xlfn.XLOOKUP(CONTROL[[#This Row],[VEHIDCODE]],PROPERTIES[VEHIDCODE],PROPERTIES[EXCLUDE])</f>
        <v>0</v>
      </c>
      <c r="R373" t="str" cm="1">
        <f t="array" ref="R373">_xlfn.XLOOKUP(CONTROL[[#This Row],[VEHIDCODE]],GRAPHICS_PROPERTIES[VEHIDCODE],GRAPHICS_PROPERTIES[TEMPLATE_ID]&amp;GRAPHICS_PROPERTIES[TEMPLATE_AMENDMENT_CODE])</f>
        <v>TPL_03D</v>
      </c>
    </row>
    <row r="374" spans="1:18" x14ac:dyDescent="0.35">
      <c r="A374" s="2" t="s">
        <v>3008</v>
      </c>
      <c r="B374" s="21" t="str">
        <f>_xlfn.TEXTAFTER(CONTROL[[#This Row],[VEHIDCODE]],"_")</f>
        <v>Pafawag_104E</v>
      </c>
      <c r="C374" t="str" cm="1">
        <f t="array" ref="C3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4" t="str" cm="1">
        <f t="array" ref="D3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4">
        <v>6114</v>
      </c>
      <c r="F374" s="32" t="s">
        <v>1958</v>
      </c>
      <c r="G374" t="s">
        <v>1398</v>
      </c>
      <c r="H374" s="2" t="b">
        <f>AND(CONTROL[[#This Row],[IS_WAGON_OR_COACH]]=TRUE,OR(RIGHT(CONTROL[[#This Row],[VEHIDCODE]],7)="Powered",RIGHT(CONTROL[[#This Row],[VEHIDCODE]],9)="Unpowered"))</f>
        <v>0</v>
      </c>
      <c r="I3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4" t="b">
        <f>ISNUMBER(_xlfn.XMATCH(CONTROL[[#This Row],[VEHIDCODE]],TRACK_TYPES[VEHIDCODE],0))</f>
        <v>1</v>
      </c>
      <c r="K374" t="b">
        <f>ISNUMBER(_xlfn.XMATCH(CONTROL[[#This Row],[VEHIDCODE]],PROPERTIES[VEHIDCODE],0))</f>
        <v>1</v>
      </c>
      <c r="L374" t="b">
        <f>ISNUMBER(_xlfn.XLOOKUP(CONTROL[[#This Row],[VEHIDCODE]],roster!A:A,roster!D:D))</f>
        <v>1</v>
      </c>
      <c r="M374" t="b">
        <f>ISNUMBER(_xlfn.XMATCH(CONTROL[[#This Row],[VEHIDCODE]],GRAPHICS_PROPERTIES[VEHIDCODE],0))</f>
        <v>1</v>
      </c>
      <c r="N374" s="21" t="str">
        <f>"item_"&amp;CONTROL[[#This Row],[VEHIDCODE]]</f>
        <v>item_electric_Pafawag_104E</v>
      </c>
      <c r="O374" s="21" t="str">
        <f>"str_"&amp;CONTROL[[#This Row],[VEHIDCODE]]</f>
        <v>str_electric_Pafawag_104E</v>
      </c>
      <c r="P374" s="7" t="b">
        <f>_xlfn.XLOOKUP(CONTROL[[#This Row],[VEHIDCODE]],PROPERTIES[VEHIDCODE],PROPERTIES[IS_CONCEPT])="IS_CONCEPT"</f>
        <v>0</v>
      </c>
      <c r="Q374" s="7" t="b">
        <f>_xlfn.XLOOKUP(CONTROL[[#This Row],[VEHIDCODE]],PROPERTIES[VEHIDCODE],PROPERTIES[EXCLUDE])</f>
        <v>0</v>
      </c>
      <c r="R374" t="str" cm="1">
        <f t="array" ref="R374">_xlfn.XLOOKUP(CONTROL[[#This Row],[VEHIDCODE]],GRAPHICS_PROPERTIES[VEHIDCODE],GRAPHICS_PROPERTIES[TEMPLATE_ID]&amp;GRAPHICS_PROPERTIES[TEMPLATE_AMENDMENT_CODE])</f>
        <v>TPL_01A</v>
      </c>
    </row>
    <row r="375" spans="1:18" x14ac:dyDescent="0.35">
      <c r="A375" s="2" t="s">
        <v>3009</v>
      </c>
      <c r="B375" s="21" t="str">
        <f>_xlfn.TEXTAFTER(CONTROL[[#This Row],[VEHIDCODE]],"_")</f>
        <v>Skoda_98E</v>
      </c>
      <c r="C375" t="str" cm="1">
        <f t="array" ref="C3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5" t="str" cm="1">
        <f t="array" ref="D3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5">
        <v>6116</v>
      </c>
      <c r="F375" s="32" t="s">
        <v>1960</v>
      </c>
      <c r="G375" t="s">
        <v>1399</v>
      </c>
      <c r="H375" s="2" t="b">
        <f>AND(CONTROL[[#This Row],[IS_WAGON_OR_COACH]]=TRUE,OR(RIGHT(CONTROL[[#This Row],[VEHIDCODE]],7)="Powered",RIGHT(CONTROL[[#This Row],[VEHIDCODE]],9)="Unpowered"))</f>
        <v>0</v>
      </c>
      <c r="I3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5" t="b">
        <f>ISNUMBER(_xlfn.XMATCH(CONTROL[[#This Row],[VEHIDCODE]],TRACK_TYPES[VEHIDCODE],0))</f>
        <v>1</v>
      </c>
      <c r="K375" t="b">
        <f>ISNUMBER(_xlfn.XMATCH(CONTROL[[#This Row],[VEHIDCODE]],PROPERTIES[VEHIDCODE],0))</f>
        <v>1</v>
      </c>
      <c r="L375" t="b">
        <f>ISNUMBER(_xlfn.XLOOKUP(CONTROL[[#This Row],[VEHIDCODE]],roster!A:A,roster!D:D))</f>
        <v>1</v>
      </c>
      <c r="M375" t="b">
        <f>ISNUMBER(_xlfn.XMATCH(CONTROL[[#This Row],[VEHIDCODE]],GRAPHICS_PROPERTIES[VEHIDCODE],0))</f>
        <v>1</v>
      </c>
      <c r="N375" s="21" t="str">
        <f>"item_"&amp;CONTROL[[#This Row],[VEHIDCODE]]</f>
        <v>item_electric_Skoda_98E</v>
      </c>
      <c r="O375" s="21" t="str">
        <f>"str_"&amp;CONTROL[[#This Row],[VEHIDCODE]]</f>
        <v>str_electric_Skoda_98E</v>
      </c>
      <c r="P375" s="7" t="b">
        <f>_xlfn.XLOOKUP(CONTROL[[#This Row],[VEHIDCODE]],PROPERTIES[VEHIDCODE],PROPERTIES[IS_CONCEPT])="IS_CONCEPT"</f>
        <v>0</v>
      </c>
      <c r="Q375" s="7" t="b">
        <f>_xlfn.XLOOKUP(CONTROL[[#This Row],[VEHIDCODE]],PROPERTIES[VEHIDCODE],PROPERTIES[EXCLUDE])</f>
        <v>0</v>
      </c>
      <c r="R375" t="str" cm="1">
        <f t="array" ref="R375">_xlfn.XLOOKUP(CONTROL[[#This Row],[VEHIDCODE]],GRAPHICS_PROPERTIES[VEHIDCODE],GRAPHICS_PROPERTIES[TEMPLATE_ID]&amp;GRAPHICS_PROPERTIES[TEMPLATE_AMENDMENT_CODE])</f>
        <v>TPL_01A</v>
      </c>
    </row>
    <row r="376" spans="1:18" x14ac:dyDescent="0.35">
      <c r="A376" s="2" t="s">
        <v>3010</v>
      </c>
      <c r="B376" s="21" t="str">
        <f>_xlfn.TEXTAFTER(CONTROL[[#This Row],[VEHIDCODE]],"_")</f>
        <v>TIBB_E_646</v>
      </c>
      <c r="C376" t="str" cm="1">
        <f t="array" ref="C3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6" t="str" cm="1">
        <f t="array" ref="D3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6">
        <v>6027</v>
      </c>
      <c r="F376" s="32" t="s">
        <v>2246</v>
      </c>
      <c r="G376" t="s">
        <v>1400</v>
      </c>
      <c r="H376" s="2" t="b">
        <f>AND(CONTROL[[#This Row],[IS_WAGON_OR_COACH]]=TRUE,OR(RIGHT(CONTROL[[#This Row],[VEHIDCODE]],7)="Powered",RIGHT(CONTROL[[#This Row],[VEHIDCODE]],9)="Unpowered"))</f>
        <v>0</v>
      </c>
      <c r="I3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6" t="b">
        <f>ISNUMBER(_xlfn.XMATCH(CONTROL[[#This Row],[VEHIDCODE]],TRACK_TYPES[VEHIDCODE],0))</f>
        <v>1</v>
      </c>
      <c r="K376" t="b">
        <f>ISNUMBER(_xlfn.XMATCH(CONTROL[[#This Row],[VEHIDCODE]],PROPERTIES[VEHIDCODE],0))</f>
        <v>1</v>
      </c>
      <c r="L376" t="b">
        <f>ISNUMBER(_xlfn.XLOOKUP(CONTROL[[#This Row],[VEHIDCODE]],roster!A:A,roster!D:D))</f>
        <v>1</v>
      </c>
      <c r="M376" t="b">
        <f>ISNUMBER(_xlfn.XMATCH(CONTROL[[#This Row],[VEHIDCODE]],GRAPHICS_PROPERTIES[VEHIDCODE],0))</f>
        <v>1</v>
      </c>
      <c r="N376" s="21" t="str">
        <f>"item_"&amp;CONTROL[[#This Row],[VEHIDCODE]]</f>
        <v>item_electric_TIBB_E_646</v>
      </c>
      <c r="O376" s="21" t="str">
        <f>"str_"&amp;CONTROL[[#This Row],[VEHIDCODE]]</f>
        <v>str_electric_TIBB_E_646</v>
      </c>
      <c r="P376" s="7" t="b">
        <f>_xlfn.XLOOKUP(CONTROL[[#This Row],[VEHIDCODE]],PROPERTIES[VEHIDCODE],PROPERTIES[IS_CONCEPT])="IS_CONCEPT"</f>
        <v>0</v>
      </c>
      <c r="Q376" s="7" t="b">
        <f>_xlfn.XLOOKUP(CONTROL[[#This Row],[VEHIDCODE]],PROPERTIES[VEHIDCODE],PROPERTIES[EXCLUDE])</f>
        <v>0</v>
      </c>
      <c r="R376" t="str" cm="1">
        <f t="array" ref="R376">_xlfn.XLOOKUP(CONTROL[[#This Row],[VEHIDCODE]],GRAPHICS_PROPERTIES[VEHIDCODE],GRAPHICS_PROPERTIES[TEMPLATE_ID]&amp;GRAPHICS_PROPERTIES[TEMPLATE_AMENDMENT_CODE])</f>
        <v>TPL_03D</v>
      </c>
    </row>
    <row r="377" spans="1:18" x14ac:dyDescent="0.35">
      <c r="A377" s="2" t="s">
        <v>3011</v>
      </c>
      <c r="B377" s="21" t="str">
        <f>_xlfn.TEXTAFTER(CONTROL[[#This Row],[VEHIDCODE]],"_")</f>
        <v>Breda_E_424</v>
      </c>
      <c r="C377" t="str" cm="1">
        <f t="array" ref="C3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7" t="str" cm="1">
        <f t="array" ref="D3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7">
        <v>6077</v>
      </c>
      <c r="F377" s="32" t="s">
        <v>2247</v>
      </c>
      <c r="G377" t="s">
        <v>1401</v>
      </c>
      <c r="H377" s="2" t="b">
        <f>AND(CONTROL[[#This Row],[IS_WAGON_OR_COACH]]=TRUE,OR(RIGHT(CONTROL[[#This Row],[VEHIDCODE]],7)="Powered",RIGHT(CONTROL[[#This Row],[VEHIDCODE]],9)="Unpowered"))</f>
        <v>0</v>
      </c>
      <c r="I3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7" t="b">
        <f>ISNUMBER(_xlfn.XMATCH(CONTROL[[#This Row],[VEHIDCODE]],TRACK_TYPES[VEHIDCODE],0))</f>
        <v>1</v>
      </c>
      <c r="K377" t="b">
        <f>ISNUMBER(_xlfn.XMATCH(CONTROL[[#This Row],[VEHIDCODE]],PROPERTIES[VEHIDCODE],0))</f>
        <v>1</v>
      </c>
      <c r="L377" t="b">
        <f>ISNUMBER(_xlfn.XLOOKUP(CONTROL[[#This Row],[VEHIDCODE]],roster!A:A,roster!D:D))</f>
        <v>1</v>
      </c>
      <c r="M377" t="b">
        <f>ISNUMBER(_xlfn.XMATCH(CONTROL[[#This Row],[VEHIDCODE]],GRAPHICS_PROPERTIES[VEHIDCODE],0))</f>
        <v>1</v>
      </c>
      <c r="N377" s="21" t="str">
        <f>"item_"&amp;CONTROL[[#This Row],[VEHIDCODE]]</f>
        <v>item_electric_Breda_E_424</v>
      </c>
      <c r="O377" s="21" t="str">
        <f>"str_"&amp;CONTROL[[#This Row],[VEHIDCODE]]</f>
        <v>str_electric_Breda_E_424</v>
      </c>
      <c r="P377" s="7" t="b">
        <f>_xlfn.XLOOKUP(CONTROL[[#This Row],[VEHIDCODE]],PROPERTIES[VEHIDCODE],PROPERTIES[IS_CONCEPT])="IS_CONCEPT"</f>
        <v>0</v>
      </c>
      <c r="Q377" s="7" t="b">
        <f>_xlfn.XLOOKUP(CONTROL[[#This Row],[VEHIDCODE]],PROPERTIES[VEHIDCODE],PROPERTIES[EXCLUDE])</f>
        <v>0</v>
      </c>
      <c r="R377" t="str" cm="1">
        <f t="array" ref="R377">_xlfn.XLOOKUP(CONTROL[[#This Row],[VEHIDCODE]],GRAPHICS_PROPERTIES[VEHIDCODE],GRAPHICS_PROPERTIES[TEMPLATE_ID]&amp;GRAPHICS_PROPERTIES[TEMPLATE_AMENDMENT_CODE])</f>
        <v>TPL_01A</v>
      </c>
    </row>
    <row r="378" spans="1:18" x14ac:dyDescent="0.35">
      <c r="A378" s="2" t="s">
        <v>3012</v>
      </c>
      <c r="B378" s="21" t="str">
        <f>_xlfn.TEXTAFTER(CONTROL[[#This Row],[VEHIDCODE]],"_")</f>
        <v>Savigliano_E_444</v>
      </c>
      <c r="C378" t="str" cm="1">
        <f t="array" ref="C3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8" t="str" cm="1">
        <f t="array" ref="D3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8">
        <v>6090</v>
      </c>
      <c r="F378" s="32" t="s">
        <v>2248</v>
      </c>
      <c r="G378" t="s">
        <v>1402</v>
      </c>
      <c r="H378" s="2" t="b">
        <f>AND(CONTROL[[#This Row],[IS_WAGON_OR_COACH]]=TRUE,OR(RIGHT(CONTROL[[#This Row],[VEHIDCODE]],7)="Powered",RIGHT(CONTROL[[#This Row],[VEHIDCODE]],9)="Unpowered"))</f>
        <v>0</v>
      </c>
      <c r="I3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8" t="b">
        <f>ISNUMBER(_xlfn.XMATCH(CONTROL[[#This Row],[VEHIDCODE]],TRACK_TYPES[VEHIDCODE],0))</f>
        <v>1</v>
      </c>
      <c r="K378" t="b">
        <f>ISNUMBER(_xlfn.XMATCH(CONTROL[[#This Row],[VEHIDCODE]],PROPERTIES[VEHIDCODE],0))</f>
        <v>1</v>
      </c>
      <c r="L378" t="b">
        <f>ISNUMBER(_xlfn.XLOOKUP(CONTROL[[#This Row],[VEHIDCODE]],roster!A:A,roster!D:D))</f>
        <v>1</v>
      </c>
      <c r="M378" t="b">
        <f>ISNUMBER(_xlfn.XMATCH(CONTROL[[#This Row],[VEHIDCODE]],GRAPHICS_PROPERTIES[VEHIDCODE],0))</f>
        <v>1</v>
      </c>
      <c r="N378" s="21" t="str">
        <f>"item_"&amp;CONTROL[[#This Row],[VEHIDCODE]]</f>
        <v>item_electric_Savigliano_E_444</v>
      </c>
      <c r="O378" s="21" t="str">
        <f>"str_"&amp;CONTROL[[#This Row],[VEHIDCODE]]</f>
        <v>str_electric_Savigliano_E_444</v>
      </c>
      <c r="P378" s="7" t="b">
        <f>_xlfn.XLOOKUP(CONTROL[[#This Row],[VEHIDCODE]],PROPERTIES[VEHIDCODE],PROPERTIES[IS_CONCEPT])="IS_CONCEPT"</f>
        <v>0</v>
      </c>
      <c r="Q378" s="7" t="b">
        <f>_xlfn.XLOOKUP(CONTROL[[#This Row],[VEHIDCODE]],PROPERTIES[VEHIDCODE],PROPERTIES[EXCLUDE])</f>
        <v>0</v>
      </c>
      <c r="R378" t="str" cm="1">
        <f t="array" ref="R378">_xlfn.XLOOKUP(CONTROL[[#This Row],[VEHIDCODE]],GRAPHICS_PROPERTIES[VEHIDCODE],GRAPHICS_PROPERTIES[TEMPLATE_ID]&amp;GRAPHICS_PROPERTIES[TEMPLATE_AMENDMENT_CODE])</f>
        <v>TPL_01A</v>
      </c>
    </row>
    <row r="379" spans="1:18" x14ac:dyDescent="0.35">
      <c r="A379" s="2" t="s">
        <v>3013</v>
      </c>
      <c r="B379" s="21" t="str">
        <f>_xlfn.TEXTAFTER(CONTROL[[#This Row],[VEHIDCODE]],"_")</f>
        <v>Fiat_E_633</v>
      </c>
      <c r="C379" t="str" cm="1">
        <f t="array" ref="C3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9" t="str" cm="1">
        <f t="array" ref="D3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9">
        <v>6106</v>
      </c>
      <c r="F379" s="32" t="s">
        <v>2249</v>
      </c>
      <c r="G379" t="s">
        <v>1403</v>
      </c>
      <c r="H379" s="2" t="b">
        <f>AND(CONTROL[[#This Row],[IS_WAGON_OR_COACH]]=TRUE,OR(RIGHT(CONTROL[[#This Row],[VEHIDCODE]],7)="Powered",RIGHT(CONTROL[[#This Row],[VEHIDCODE]],9)="Unpowered"))</f>
        <v>0</v>
      </c>
      <c r="I3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9" t="b">
        <f>ISNUMBER(_xlfn.XMATCH(CONTROL[[#This Row],[VEHIDCODE]],TRACK_TYPES[VEHIDCODE],0))</f>
        <v>1</v>
      </c>
      <c r="K379" t="b">
        <f>ISNUMBER(_xlfn.XMATCH(CONTROL[[#This Row],[VEHIDCODE]],PROPERTIES[VEHIDCODE],0))</f>
        <v>1</v>
      </c>
      <c r="L379" t="b">
        <f>ISNUMBER(_xlfn.XLOOKUP(CONTROL[[#This Row],[VEHIDCODE]],roster!A:A,roster!D:D))</f>
        <v>1</v>
      </c>
      <c r="M379" t="b">
        <f>ISNUMBER(_xlfn.XMATCH(CONTROL[[#This Row],[VEHIDCODE]],GRAPHICS_PROPERTIES[VEHIDCODE],0))</f>
        <v>1</v>
      </c>
      <c r="N379" s="21" t="str">
        <f>"item_"&amp;CONTROL[[#This Row],[VEHIDCODE]]</f>
        <v>item_electric_Fiat_E_633</v>
      </c>
      <c r="O379" s="21" t="str">
        <f>"str_"&amp;CONTROL[[#This Row],[VEHIDCODE]]</f>
        <v>str_electric_Fiat_E_633</v>
      </c>
      <c r="P379" s="7" t="b">
        <f>_xlfn.XLOOKUP(CONTROL[[#This Row],[VEHIDCODE]],PROPERTIES[VEHIDCODE],PROPERTIES[IS_CONCEPT])="IS_CONCEPT"</f>
        <v>0</v>
      </c>
      <c r="Q379" s="7" t="b">
        <f>_xlfn.XLOOKUP(CONTROL[[#This Row],[VEHIDCODE]],PROPERTIES[VEHIDCODE],PROPERTIES[EXCLUDE])</f>
        <v>0</v>
      </c>
      <c r="R379" t="str" cm="1">
        <f t="array" ref="R379">_xlfn.XLOOKUP(CONTROL[[#This Row],[VEHIDCODE]],GRAPHICS_PROPERTIES[VEHIDCODE],GRAPHICS_PROPERTIES[TEMPLATE_ID]&amp;GRAPHICS_PROPERTIES[TEMPLATE_AMENDMENT_CODE])</f>
        <v>TPL_01A</v>
      </c>
    </row>
    <row r="380" spans="1:18" x14ac:dyDescent="0.35">
      <c r="A380" s="2" t="s">
        <v>3014</v>
      </c>
      <c r="B380" s="21" t="str">
        <f>_xlfn.TEXTAFTER(CONTROL[[#This Row],[VEHIDCODE]],"_")</f>
        <v>BN_ACEC_25_5</v>
      </c>
      <c r="C380" t="str" cm="1">
        <f t="array" ref="C3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0" t="str" cm="1">
        <f t="array" ref="D3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0">
        <v>6082</v>
      </c>
      <c r="F380" s="32" t="s">
        <v>2250</v>
      </c>
      <c r="G380" t="s">
        <v>1404</v>
      </c>
      <c r="H380" s="2" t="b">
        <f>AND(CONTROL[[#This Row],[IS_WAGON_OR_COACH]]=TRUE,OR(RIGHT(CONTROL[[#This Row],[VEHIDCODE]],7)="Powered",RIGHT(CONTROL[[#This Row],[VEHIDCODE]],9)="Unpowered"))</f>
        <v>0</v>
      </c>
      <c r="I3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0" t="b">
        <f>ISNUMBER(_xlfn.XMATCH(CONTROL[[#This Row],[VEHIDCODE]],TRACK_TYPES[VEHIDCODE],0))</f>
        <v>1</v>
      </c>
      <c r="K380" t="b">
        <f>ISNUMBER(_xlfn.XMATCH(CONTROL[[#This Row],[VEHIDCODE]],PROPERTIES[VEHIDCODE],0))</f>
        <v>1</v>
      </c>
      <c r="L380" t="b">
        <f>ISNUMBER(_xlfn.XLOOKUP(CONTROL[[#This Row],[VEHIDCODE]],roster!A:A,roster!D:D))</f>
        <v>1</v>
      </c>
      <c r="M380" t="b">
        <f>ISNUMBER(_xlfn.XMATCH(CONTROL[[#This Row],[VEHIDCODE]],GRAPHICS_PROPERTIES[VEHIDCODE],0))</f>
        <v>1</v>
      </c>
      <c r="N380" s="21" t="str">
        <f>"item_"&amp;CONTROL[[#This Row],[VEHIDCODE]]</f>
        <v>item_electric_BN_ACEC_25_5</v>
      </c>
      <c r="O380" s="21" t="str">
        <f>"str_"&amp;CONTROL[[#This Row],[VEHIDCODE]]</f>
        <v>str_electric_BN_ACEC_25_5</v>
      </c>
      <c r="P380" s="7" t="b">
        <f>_xlfn.XLOOKUP(CONTROL[[#This Row],[VEHIDCODE]],PROPERTIES[VEHIDCODE],PROPERTIES[IS_CONCEPT])="IS_CONCEPT"</f>
        <v>0</v>
      </c>
      <c r="Q380" s="7" t="b">
        <f>_xlfn.XLOOKUP(CONTROL[[#This Row],[VEHIDCODE]],PROPERTIES[VEHIDCODE],PROPERTIES[EXCLUDE])</f>
        <v>0</v>
      </c>
      <c r="R380" t="str" cm="1">
        <f t="array" ref="R380">_xlfn.XLOOKUP(CONTROL[[#This Row],[VEHIDCODE]],GRAPHICS_PROPERTIES[VEHIDCODE],GRAPHICS_PROPERTIES[TEMPLATE_ID]&amp;GRAPHICS_PROPERTIES[TEMPLATE_AMENDMENT_CODE])</f>
        <v>TPL_01A</v>
      </c>
    </row>
    <row r="381" spans="1:18" x14ac:dyDescent="0.35">
      <c r="A381" s="2" t="s">
        <v>3015</v>
      </c>
      <c r="B381" s="21" t="str">
        <f>_xlfn.TEXTAFTER(CONTROL[[#This Row],[VEHIDCODE]],"_")</f>
        <v>Krauss_Maffei_CAF_250</v>
      </c>
      <c r="C381" t="str" cm="1">
        <f t="array" ref="C3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1" t="str" cm="1">
        <f t="array" ref="D3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1">
        <v>6110</v>
      </c>
      <c r="F381" s="32" t="s">
        <v>2251</v>
      </c>
      <c r="G381" t="s">
        <v>1405</v>
      </c>
      <c r="H381" s="2" t="b">
        <f>AND(CONTROL[[#This Row],[IS_WAGON_OR_COACH]]=TRUE,OR(RIGHT(CONTROL[[#This Row],[VEHIDCODE]],7)="Powered",RIGHT(CONTROL[[#This Row],[VEHIDCODE]],9)="Unpowered"))</f>
        <v>0</v>
      </c>
      <c r="I3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1" t="b">
        <f>ISNUMBER(_xlfn.XMATCH(CONTROL[[#This Row],[VEHIDCODE]],TRACK_TYPES[VEHIDCODE],0))</f>
        <v>1</v>
      </c>
      <c r="K381" t="b">
        <f>ISNUMBER(_xlfn.XMATCH(CONTROL[[#This Row],[VEHIDCODE]],PROPERTIES[VEHIDCODE],0))</f>
        <v>1</v>
      </c>
      <c r="L381" t="b">
        <f>ISNUMBER(_xlfn.XLOOKUP(CONTROL[[#This Row],[VEHIDCODE]],roster!A:A,roster!D:D))</f>
        <v>1</v>
      </c>
      <c r="M381" t="b">
        <f>ISNUMBER(_xlfn.XMATCH(CONTROL[[#This Row],[VEHIDCODE]],GRAPHICS_PROPERTIES[VEHIDCODE],0))</f>
        <v>1</v>
      </c>
      <c r="N381" s="21" t="str">
        <f>"item_"&amp;CONTROL[[#This Row],[VEHIDCODE]]</f>
        <v>item_electric_Krauss_Maffei_CAF_250</v>
      </c>
      <c r="O381" s="21" t="str">
        <f>"str_"&amp;CONTROL[[#This Row],[VEHIDCODE]]</f>
        <v>str_electric_Krauss_Maffei_CAF_250</v>
      </c>
      <c r="P381" s="7" t="b">
        <f>_xlfn.XLOOKUP(CONTROL[[#This Row],[VEHIDCODE]],PROPERTIES[VEHIDCODE],PROPERTIES[IS_CONCEPT])="IS_CONCEPT"</f>
        <v>0</v>
      </c>
      <c r="Q381" s="7" t="b">
        <f>_xlfn.XLOOKUP(CONTROL[[#This Row],[VEHIDCODE]],PROPERTIES[VEHIDCODE],PROPERTIES[EXCLUDE])</f>
        <v>0</v>
      </c>
      <c r="R381" t="str" cm="1">
        <f t="array" ref="R381">_xlfn.XLOOKUP(CONTROL[[#This Row],[VEHIDCODE]],GRAPHICS_PROPERTIES[VEHIDCODE],GRAPHICS_PROPERTIES[TEMPLATE_ID]&amp;GRAPHICS_PROPERTIES[TEMPLATE_AMENDMENT_CODE])</f>
        <v>TPL_01A</v>
      </c>
    </row>
    <row r="382" spans="1:18" x14ac:dyDescent="0.35">
      <c r="A382" s="2" t="s">
        <v>3016</v>
      </c>
      <c r="B382" s="21" t="str">
        <f>_xlfn.TEXTAFTER(CONTROL[[#This Row],[VEHIDCODE]],"_")</f>
        <v>EFE_E_29</v>
      </c>
      <c r="C382" t="str" cm="1">
        <f t="array" ref="C3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2" t="str" cm="1">
        <f t="array" ref="D3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2">
        <v>6100</v>
      </c>
      <c r="F382" s="32" t="s">
        <v>3540</v>
      </c>
      <c r="G382" t="s">
        <v>1802</v>
      </c>
      <c r="H382" s="2" t="b">
        <f>AND(CONTROL[[#This Row],[IS_WAGON_OR_COACH]]=TRUE,OR(RIGHT(CONTROL[[#This Row],[VEHIDCODE]],7)="Powered",RIGHT(CONTROL[[#This Row],[VEHIDCODE]],9)="Unpowered"))</f>
        <v>0</v>
      </c>
      <c r="I3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2" t="b">
        <f>ISNUMBER(_xlfn.XMATCH(CONTROL[[#This Row],[VEHIDCODE]],TRACK_TYPES[VEHIDCODE],0))</f>
        <v>1</v>
      </c>
      <c r="K382" t="b">
        <f>ISNUMBER(_xlfn.XMATCH(CONTROL[[#This Row],[VEHIDCODE]],PROPERTIES[VEHIDCODE],0))</f>
        <v>1</v>
      </c>
      <c r="L382" t="b">
        <f>ISNUMBER(_xlfn.XLOOKUP(CONTROL[[#This Row],[VEHIDCODE]],roster!A:A,roster!D:D))</f>
        <v>1</v>
      </c>
      <c r="M382" t="b">
        <f>ISNUMBER(_xlfn.XMATCH(CONTROL[[#This Row],[VEHIDCODE]],GRAPHICS_PROPERTIES[VEHIDCODE],0))</f>
        <v>1</v>
      </c>
      <c r="N382" s="21" t="str">
        <f>"item_"&amp;CONTROL[[#This Row],[VEHIDCODE]]</f>
        <v>item_electric_EFE_E_29</v>
      </c>
      <c r="O382" s="21" t="str">
        <f>"str_"&amp;CONTROL[[#This Row],[VEHIDCODE]]</f>
        <v>str_electric_EFE_E_29</v>
      </c>
      <c r="P382" s="7" t="b">
        <f>_xlfn.XLOOKUP(CONTROL[[#This Row],[VEHIDCODE]],PROPERTIES[VEHIDCODE],PROPERTIES[IS_CONCEPT])="IS_CONCEPT"</f>
        <v>0</v>
      </c>
      <c r="Q382" s="7" t="b">
        <f>_xlfn.XLOOKUP(CONTROL[[#This Row],[VEHIDCODE]],PROPERTIES[VEHIDCODE],PROPERTIES[EXCLUDE])</f>
        <v>1</v>
      </c>
      <c r="R382" t="str" cm="1">
        <f t="array" ref="R382">_xlfn.XLOOKUP(CONTROL[[#This Row],[VEHIDCODE]],GRAPHICS_PROPERTIES[VEHIDCODE],GRAPHICS_PROPERTIES[TEMPLATE_ID]&amp;GRAPHICS_PROPERTIES[TEMPLATE_AMENDMENT_CODE])</f>
        <v>TPL_16A</v>
      </c>
    </row>
    <row r="383" spans="1:18" x14ac:dyDescent="0.35">
      <c r="A383" s="2" t="s">
        <v>3017</v>
      </c>
      <c r="B383" s="21" t="str">
        <f>_xlfn.TEXTAFTER(CONTROL[[#This Row],[VEHIDCODE]],"_")</f>
        <v>EFE_E_17</v>
      </c>
      <c r="C383" t="str" cm="1">
        <f t="array" ref="C3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3" t="str" cm="1">
        <f t="array" ref="D3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3">
        <v>6126</v>
      </c>
      <c r="F383" s="32" t="s">
        <v>3538</v>
      </c>
      <c r="G383" t="s">
        <v>3539</v>
      </c>
      <c r="H383" s="2" t="b">
        <f>AND(CONTROL[[#This Row],[IS_WAGON_OR_COACH]]=TRUE,OR(RIGHT(CONTROL[[#This Row],[VEHIDCODE]],7)="Powered",RIGHT(CONTROL[[#This Row],[VEHIDCODE]],9)="Unpowered"))</f>
        <v>0</v>
      </c>
      <c r="I3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3" t="b">
        <f>ISNUMBER(_xlfn.XMATCH(CONTROL[[#This Row],[VEHIDCODE]],TRACK_TYPES[VEHIDCODE],0))</f>
        <v>1</v>
      </c>
      <c r="K383" t="b">
        <f>ISNUMBER(_xlfn.XMATCH(CONTROL[[#This Row],[VEHIDCODE]],PROPERTIES[VEHIDCODE],0))</f>
        <v>1</v>
      </c>
      <c r="L383" t="b">
        <f>ISNUMBER(_xlfn.XLOOKUP(CONTROL[[#This Row],[VEHIDCODE]],roster!A:A,roster!D:D))</f>
        <v>1</v>
      </c>
      <c r="M383" t="b">
        <f>ISNUMBER(_xlfn.XMATCH(CONTROL[[#This Row],[VEHIDCODE]],GRAPHICS_PROPERTIES[VEHIDCODE],0))</f>
        <v>1</v>
      </c>
      <c r="N383" s="21" t="str">
        <f>"item_"&amp;CONTROL[[#This Row],[VEHIDCODE]]</f>
        <v>item_electric_EFE_E_17</v>
      </c>
      <c r="O383" s="21" t="str">
        <f>"str_"&amp;CONTROL[[#This Row],[VEHIDCODE]]</f>
        <v>str_electric_EFE_E_17</v>
      </c>
      <c r="P383" s="7" t="b">
        <f>_xlfn.XLOOKUP(CONTROL[[#This Row],[VEHIDCODE]],PROPERTIES[VEHIDCODE],PROPERTIES[IS_CONCEPT])="IS_CONCEPT"</f>
        <v>0</v>
      </c>
      <c r="Q383" s="7" t="b">
        <f>_xlfn.XLOOKUP(CONTROL[[#This Row],[VEHIDCODE]],PROPERTIES[VEHIDCODE],PROPERTIES[EXCLUDE])</f>
        <v>0</v>
      </c>
      <c r="R383" t="str" cm="1">
        <f t="array" ref="R383">_xlfn.XLOOKUP(CONTROL[[#This Row],[VEHIDCODE]],GRAPHICS_PROPERTIES[VEHIDCODE],GRAPHICS_PROPERTIES[TEMPLATE_ID]&amp;GRAPHICS_PROPERTIES[TEMPLATE_AMENDMENT_CODE])</f>
        <v>TPL_01A</v>
      </c>
    </row>
    <row r="384" spans="1:18" x14ac:dyDescent="0.35">
      <c r="A384" s="2" t="s">
        <v>3018</v>
      </c>
      <c r="B384" s="21" t="str">
        <f>_xlfn.TEXTAFTER(CONTROL[[#This Row],[VEHIDCODE]],"_")</f>
        <v>Alsthom_E_700</v>
      </c>
      <c r="C384" t="str" cm="1">
        <f t="array" ref="C3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4" t="str" cm="1">
        <f t="array" ref="D3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4">
        <v>6099</v>
      </c>
      <c r="F384" s="32" t="s">
        <v>3523</v>
      </c>
      <c r="G384" t="s">
        <v>3524</v>
      </c>
      <c r="H384" s="2" t="b">
        <f>AND(CONTROL[[#This Row],[IS_WAGON_OR_COACH]]=TRUE,OR(RIGHT(CONTROL[[#This Row],[VEHIDCODE]],7)="Powered",RIGHT(CONTROL[[#This Row],[VEHIDCODE]],9)="Unpowered"))</f>
        <v>0</v>
      </c>
      <c r="I3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4" t="b">
        <f>ISNUMBER(_xlfn.XMATCH(CONTROL[[#This Row],[VEHIDCODE]],TRACK_TYPES[VEHIDCODE],0))</f>
        <v>1</v>
      </c>
      <c r="K384" t="b">
        <f>ISNUMBER(_xlfn.XMATCH(CONTROL[[#This Row],[VEHIDCODE]],PROPERTIES[VEHIDCODE],0))</f>
        <v>1</v>
      </c>
      <c r="L384" t="b">
        <f>ISNUMBER(_xlfn.XLOOKUP(CONTROL[[#This Row],[VEHIDCODE]],roster!A:A,roster!D:D))</f>
        <v>1</v>
      </c>
      <c r="M384" t="b">
        <f>ISNUMBER(_xlfn.XMATCH(CONTROL[[#This Row],[VEHIDCODE]],GRAPHICS_PROPERTIES[VEHIDCODE],0))</f>
        <v>1</v>
      </c>
      <c r="N384" s="21" t="str">
        <f>"item_"&amp;CONTROL[[#This Row],[VEHIDCODE]]</f>
        <v>item_electric_Alsthom_E_700</v>
      </c>
      <c r="O384" s="21" t="str">
        <f>"str_"&amp;CONTROL[[#This Row],[VEHIDCODE]]</f>
        <v>str_electric_Alsthom_E_700</v>
      </c>
      <c r="P384" s="7" t="b">
        <f>_xlfn.XLOOKUP(CONTROL[[#This Row],[VEHIDCODE]],PROPERTIES[VEHIDCODE],PROPERTIES[IS_CONCEPT])="IS_CONCEPT"</f>
        <v>0</v>
      </c>
      <c r="Q384" s="7" t="b">
        <f>_xlfn.XLOOKUP(CONTROL[[#This Row],[VEHIDCODE]],PROPERTIES[VEHIDCODE],PROPERTIES[EXCLUDE])</f>
        <v>0</v>
      </c>
      <c r="R384" t="str" cm="1">
        <f t="array" ref="R384">_xlfn.XLOOKUP(CONTROL[[#This Row],[VEHIDCODE]],GRAPHICS_PROPERTIES[VEHIDCODE],GRAPHICS_PROPERTIES[TEMPLATE_ID]&amp;GRAPHICS_PROPERTIES[TEMPLATE_AMENDMENT_CODE])</f>
        <v>TPL_01A</v>
      </c>
    </row>
    <row r="385" spans="1:18" x14ac:dyDescent="0.35">
      <c r="A385" s="2" t="s">
        <v>3019</v>
      </c>
      <c r="B385" s="21" t="str">
        <f>_xlfn.TEXTAFTER(CONTROL[[#This Row],[VEHIDCODE]],"_")</f>
        <v>Vulcan_Foundry_EE_EM_1</v>
      </c>
      <c r="C385" t="str" cm="1">
        <f t="array" ref="C3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5" t="str" cm="1">
        <f t="array" ref="D3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5">
        <v>6026</v>
      </c>
      <c r="F385" s="32" t="s">
        <v>2252</v>
      </c>
      <c r="G385" t="s">
        <v>1406</v>
      </c>
      <c r="H385" s="2" t="b">
        <f>AND(CONTROL[[#This Row],[IS_WAGON_OR_COACH]]=TRUE,OR(RIGHT(CONTROL[[#This Row],[VEHIDCODE]],7)="Powered",RIGHT(CONTROL[[#This Row],[VEHIDCODE]],9)="Unpowered"))</f>
        <v>0</v>
      </c>
      <c r="I3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5" t="b">
        <f>ISNUMBER(_xlfn.XMATCH(CONTROL[[#This Row],[VEHIDCODE]],TRACK_TYPES[VEHIDCODE],0))</f>
        <v>1</v>
      </c>
      <c r="K385" t="b">
        <f>ISNUMBER(_xlfn.XMATCH(CONTROL[[#This Row],[VEHIDCODE]],PROPERTIES[VEHIDCODE],0))</f>
        <v>1</v>
      </c>
      <c r="L385" t="b">
        <f>ISNUMBER(_xlfn.XLOOKUP(CONTROL[[#This Row],[VEHIDCODE]],roster!A:A,roster!D:D))</f>
        <v>1</v>
      </c>
      <c r="M385" t="b">
        <f>ISNUMBER(_xlfn.XMATCH(CONTROL[[#This Row],[VEHIDCODE]],GRAPHICS_PROPERTIES[VEHIDCODE],0))</f>
        <v>1</v>
      </c>
      <c r="N385" s="21" t="str">
        <f>"item_"&amp;CONTROL[[#This Row],[VEHIDCODE]]</f>
        <v>item_electric_Vulcan_Foundry_EE_EM_1</v>
      </c>
      <c r="O385" s="21" t="str">
        <f>"str_"&amp;CONTROL[[#This Row],[VEHIDCODE]]</f>
        <v>str_electric_Vulcan_Foundry_EE_EM_1</v>
      </c>
      <c r="P385" s="7" t="b">
        <f>_xlfn.XLOOKUP(CONTROL[[#This Row],[VEHIDCODE]],PROPERTIES[VEHIDCODE],PROPERTIES[IS_CONCEPT])="IS_CONCEPT"</f>
        <v>0</v>
      </c>
      <c r="Q385" s="7" t="b">
        <f>_xlfn.XLOOKUP(CONTROL[[#This Row],[VEHIDCODE]],PROPERTIES[VEHIDCODE],PROPERTIES[EXCLUDE])</f>
        <v>0</v>
      </c>
      <c r="R385" t="str" cm="1">
        <f t="array" ref="R385">_xlfn.XLOOKUP(CONTROL[[#This Row],[VEHIDCODE]],GRAPHICS_PROPERTIES[VEHIDCODE],GRAPHICS_PROPERTIES[TEMPLATE_ID]&amp;GRAPHICS_PROPERTIES[TEMPLATE_AMENDMENT_CODE])</f>
        <v>TPL_01A</v>
      </c>
    </row>
    <row r="386" spans="1:18" x14ac:dyDescent="0.35">
      <c r="A386" s="2" t="s">
        <v>3020</v>
      </c>
      <c r="B386" s="21" t="str">
        <f>_xlfn.TEXTAFTER(CONTROL[[#This Row],[VEHIDCODE]],"_")</f>
        <v>Union_Carriage___Wagon_E38</v>
      </c>
      <c r="C386" t="str" cm="1">
        <f t="array" ref="C3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6" t="str" cm="1">
        <f t="array" ref="D3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6">
        <v>6131</v>
      </c>
      <c r="F386" s="32" t="s">
        <v>2254</v>
      </c>
      <c r="G386" t="s">
        <v>1407</v>
      </c>
      <c r="H386" s="2" t="b">
        <f>AND(CONTROL[[#This Row],[IS_WAGON_OR_COACH]]=TRUE,OR(RIGHT(CONTROL[[#This Row],[VEHIDCODE]],7)="Powered",RIGHT(CONTROL[[#This Row],[VEHIDCODE]],9)="Unpowered"))</f>
        <v>0</v>
      </c>
      <c r="I3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6" t="b">
        <f>ISNUMBER(_xlfn.XMATCH(CONTROL[[#This Row],[VEHIDCODE]],TRACK_TYPES[VEHIDCODE],0))</f>
        <v>1</v>
      </c>
      <c r="K386" t="b">
        <f>ISNUMBER(_xlfn.XMATCH(CONTROL[[#This Row],[VEHIDCODE]],PROPERTIES[VEHIDCODE],0))</f>
        <v>1</v>
      </c>
      <c r="L386" t="b">
        <f>ISNUMBER(_xlfn.XLOOKUP(CONTROL[[#This Row],[VEHIDCODE]],roster!A:A,roster!D:D))</f>
        <v>1</v>
      </c>
      <c r="M386" t="b">
        <f>ISNUMBER(_xlfn.XMATCH(CONTROL[[#This Row],[VEHIDCODE]],GRAPHICS_PROPERTIES[VEHIDCODE],0))</f>
        <v>1</v>
      </c>
      <c r="N386" s="21" t="str">
        <f>"item_"&amp;CONTROL[[#This Row],[VEHIDCODE]]</f>
        <v>item_electric_Union_Carriage___Wagon_E38</v>
      </c>
      <c r="O386" s="21" t="str">
        <f>"str_"&amp;CONTROL[[#This Row],[VEHIDCODE]]</f>
        <v>str_electric_Union_Carriage___Wagon_E38</v>
      </c>
      <c r="P386" s="7" t="b">
        <f>_xlfn.XLOOKUP(CONTROL[[#This Row],[VEHIDCODE]],PROPERTIES[VEHIDCODE],PROPERTIES[IS_CONCEPT])="IS_CONCEPT"</f>
        <v>0</v>
      </c>
      <c r="Q386" s="7" t="b">
        <f>_xlfn.XLOOKUP(CONTROL[[#This Row],[VEHIDCODE]],PROPERTIES[VEHIDCODE],PROPERTIES[EXCLUDE])</f>
        <v>0</v>
      </c>
      <c r="R386" t="str" cm="1">
        <f t="array" ref="R386">_xlfn.XLOOKUP(CONTROL[[#This Row],[VEHIDCODE]],GRAPHICS_PROPERTIES[VEHIDCODE],GRAPHICS_PROPERTIES[TEMPLATE_ID]&amp;GRAPHICS_PROPERTIES[TEMPLATE_AMENDMENT_CODE])</f>
        <v>TPL_01A</v>
      </c>
    </row>
    <row r="387" spans="1:18" x14ac:dyDescent="0.35">
      <c r="A387" s="2" t="s">
        <v>3021</v>
      </c>
      <c r="B387" s="21" t="str">
        <f>_xlfn.TEXTAFTER(CONTROL[[#This Row],[VEHIDCODE]],"_")</f>
        <v>Mitsubishi_series_269</v>
      </c>
      <c r="C387" t="str" cm="1">
        <f t="array" ref="C3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7" t="str" cm="1">
        <f t="array" ref="D3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7">
        <v>6107</v>
      </c>
      <c r="F387" s="32" t="s">
        <v>2038</v>
      </c>
      <c r="G387" t="s">
        <v>1408</v>
      </c>
      <c r="H387" s="2" t="b">
        <f>AND(CONTROL[[#This Row],[IS_WAGON_OR_COACH]]=TRUE,OR(RIGHT(CONTROL[[#This Row],[VEHIDCODE]],7)="Powered",RIGHT(CONTROL[[#This Row],[VEHIDCODE]],9)="Unpowered"))</f>
        <v>0</v>
      </c>
      <c r="I3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7" t="b">
        <f>ISNUMBER(_xlfn.XMATCH(CONTROL[[#This Row],[VEHIDCODE]],TRACK_TYPES[VEHIDCODE],0))</f>
        <v>1</v>
      </c>
      <c r="K387" t="b">
        <f>ISNUMBER(_xlfn.XMATCH(CONTROL[[#This Row],[VEHIDCODE]],PROPERTIES[VEHIDCODE],0))</f>
        <v>1</v>
      </c>
      <c r="L387" t="b">
        <f>ISNUMBER(_xlfn.XLOOKUP(CONTROL[[#This Row],[VEHIDCODE]],roster!A:A,roster!D:D))</f>
        <v>1</v>
      </c>
      <c r="M387" t="b">
        <f>ISNUMBER(_xlfn.XMATCH(CONTROL[[#This Row],[VEHIDCODE]],GRAPHICS_PROPERTIES[VEHIDCODE],0))</f>
        <v>1</v>
      </c>
      <c r="N387" s="21" t="str">
        <f>"item_"&amp;CONTROL[[#This Row],[VEHIDCODE]]</f>
        <v>item_electric_Mitsubishi_series_269</v>
      </c>
      <c r="O387" s="21" t="str">
        <f>"str_"&amp;CONTROL[[#This Row],[VEHIDCODE]]</f>
        <v>str_electric_Mitsubishi_series_269</v>
      </c>
      <c r="P387" s="7" t="b">
        <f>_xlfn.XLOOKUP(CONTROL[[#This Row],[VEHIDCODE]],PROPERTIES[VEHIDCODE],PROPERTIES[IS_CONCEPT])="IS_CONCEPT"</f>
        <v>0</v>
      </c>
      <c r="Q387" s="7" t="b">
        <f>_xlfn.XLOOKUP(CONTROL[[#This Row],[VEHIDCODE]],PROPERTIES[VEHIDCODE],PROPERTIES[EXCLUDE])</f>
        <v>0</v>
      </c>
      <c r="R387" t="str" cm="1">
        <f t="array" ref="R387">_xlfn.XLOOKUP(CONTROL[[#This Row],[VEHIDCODE]],GRAPHICS_PROPERTIES[VEHIDCODE],GRAPHICS_PROPERTIES[TEMPLATE_ID]&amp;GRAPHICS_PROPERTIES[TEMPLATE_AMENDMENT_CODE])</f>
        <v>TPL_01A</v>
      </c>
    </row>
    <row r="388" spans="1:18" x14ac:dyDescent="0.35">
      <c r="A388" s="2" t="s">
        <v>3022</v>
      </c>
      <c r="B388" s="21" t="str">
        <f>_xlfn.TEXTAFTER(CONTROL[[#This Row],[VEHIDCODE]],"_")</f>
        <v>Skoda_69E</v>
      </c>
      <c r="C388" t="str" cm="1">
        <f t="array" ref="C3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8" t="str" cm="1">
        <f t="array" ref="D3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8">
        <v>6108</v>
      </c>
      <c r="F388" s="32" t="s">
        <v>1957</v>
      </c>
      <c r="G388" t="s">
        <v>1409</v>
      </c>
      <c r="H388" s="2" t="b">
        <f>AND(CONTROL[[#This Row],[IS_WAGON_OR_COACH]]=TRUE,OR(RIGHT(CONTROL[[#This Row],[VEHIDCODE]],7)="Powered",RIGHT(CONTROL[[#This Row],[VEHIDCODE]],9)="Unpowered"))</f>
        <v>0</v>
      </c>
      <c r="I3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8" t="b">
        <f>ISNUMBER(_xlfn.XMATCH(CONTROL[[#This Row],[VEHIDCODE]],TRACK_TYPES[VEHIDCODE],0))</f>
        <v>1</v>
      </c>
      <c r="K388" t="b">
        <f>ISNUMBER(_xlfn.XMATCH(CONTROL[[#This Row],[VEHIDCODE]],PROPERTIES[VEHIDCODE],0))</f>
        <v>1</v>
      </c>
      <c r="L388" t="b">
        <f>ISNUMBER(_xlfn.XLOOKUP(CONTROL[[#This Row],[VEHIDCODE]],roster!A:A,roster!D:D))</f>
        <v>1</v>
      </c>
      <c r="M388" t="b">
        <f>ISNUMBER(_xlfn.XMATCH(CONTROL[[#This Row],[VEHIDCODE]],GRAPHICS_PROPERTIES[VEHIDCODE],0))</f>
        <v>1</v>
      </c>
      <c r="N388" s="21" t="str">
        <f>"item_"&amp;CONTROL[[#This Row],[VEHIDCODE]]</f>
        <v>item_electric_Skoda_69E</v>
      </c>
      <c r="O388" s="21" t="str">
        <f>"str_"&amp;CONTROL[[#This Row],[VEHIDCODE]]</f>
        <v>str_electric_Skoda_69E</v>
      </c>
      <c r="P388" s="7" t="b">
        <f>_xlfn.XLOOKUP(CONTROL[[#This Row],[VEHIDCODE]],PROPERTIES[VEHIDCODE],PROPERTIES[IS_CONCEPT])="IS_CONCEPT"</f>
        <v>0</v>
      </c>
      <c r="Q388" s="7" t="b">
        <f>_xlfn.XLOOKUP(CONTROL[[#This Row],[VEHIDCODE]],PROPERTIES[VEHIDCODE],PROPERTIES[EXCLUDE])</f>
        <v>0</v>
      </c>
      <c r="R388" t="str" cm="1">
        <f t="array" ref="R388">_xlfn.XLOOKUP(CONTROL[[#This Row],[VEHIDCODE]],GRAPHICS_PROPERTIES[VEHIDCODE],GRAPHICS_PROPERTIES[TEMPLATE_ID]&amp;GRAPHICS_PROPERTIES[TEMPLATE_AMENDMENT_CODE])</f>
        <v>TPL_01A</v>
      </c>
    </row>
    <row r="389" spans="1:18" x14ac:dyDescent="0.35">
      <c r="A389" s="2" t="s">
        <v>3023</v>
      </c>
      <c r="B389" s="21" t="str">
        <f>_xlfn.TEXTAFTER(CONTROL[[#This Row],[VEHIDCODE]],"_")</f>
        <v>AEG_Skabo_EL7</v>
      </c>
      <c r="C389" t="str" cm="1">
        <f t="array" ref="C3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9" t="str" cm="1">
        <f t="array" ref="D3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9">
        <v>6001</v>
      </c>
      <c r="F389" s="32" t="s">
        <v>2255</v>
      </c>
      <c r="G389" t="s">
        <v>1410</v>
      </c>
      <c r="H389" s="2" t="b">
        <f>AND(CONTROL[[#This Row],[IS_WAGON_OR_COACH]]=TRUE,OR(RIGHT(CONTROL[[#This Row],[VEHIDCODE]],7)="Powered",RIGHT(CONTROL[[#This Row],[VEHIDCODE]],9)="Unpowered"))</f>
        <v>0</v>
      </c>
      <c r="I3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9" t="b">
        <f>ISNUMBER(_xlfn.XMATCH(CONTROL[[#This Row],[VEHIDCODE]],TRACK_TYPES[VEHIDCODE],0))</f>
        <v>1</v>
      </c>
      <c r="K389" t="b">
        <f>ISNUMBER(_xlfn.XMATCH(CONTROL[[#This Row],[VEHIDCODE]],PROPERTIES[VEHIDCODE],0))</f>
        <v>1</v>
      </c>
      <c r="L389" t="b">
        <f>ISNUMBER(_xlfn.XLOOKUP(CONTROL[[#This Row],[VEHIDCODE]],roster!A:A,roster!D:D))</f>
        <v>1</v>
      </c>
      <c r="M389" t="b">
        <f>ISNUMBER(_xlfn.XMATCH(CONTROL[[#This Row],[VEHIDCODE]],GRAPHICS_PROPERTIES[VEHIDCODE],0))</f>
        <v>1</v>
      </c>
      <c r="N389" s="21" t="str">
        <f>"item_"&amp;CONTROL[[#This Row],[VEHIDCODE]]</f>
        <v>item_electric_AEG_Skabo_EL7</v>
      </c>
      <c r="O389" s="21" t="str">
        <f>"str_"&amp;CONTROL[[#This Row],[VEHIDCODE]]</f>
        <v>str_electric_AEG_Skabo_EL7</v>
      </c>
      <c r="P389" s="7" t="b">
        <f>_xlfn.XLOOKUP(CONTROL[[#This Row],[VEHIDCODE]],PROPERTIES[VEHIDCODE],PROPERTIES[IS_CONCEPT])="IS_CONCEPT"</f>
        <v>0</v>
      </c>
      <c r="Q389" s="7" t="b">
        <f>_xlfn.XLOOKUP(CONTROL[[#This Row],[VEHIDCODE]],PROPERTIES[VEHIDCODE],PROPERTIES[EXCLUDE])</f>
        <v>0</v>
      </c>
      <c r="R389" t="str" cm="1">
        <f t="array" ref="R389">_xlfn.XLOOKUP(CONTROL[[#This Row],[VEHIDCODE]],GRAPHICS_PROPERTIES[VEHIDCODE],GRAPHICS_PROPERTIES[TEMPLATE_ID]&amp;GRAPHICS_PROPERTIES[TEMPLATE_AMENDMENT_CODE])</f>
        <v>TPL_01A</v>
      </c>
    </row>
    <row r="390" spans="1:18" x14ac:dyDescent="0.35">
      <c r="A390" s="2" t="s">
        <v>3024</v>
      </c>
      <c r="B390" s="21" t="str">
        <f>_xlfn.TEXTAFTER(CONTROL[[#This Row],[VEHIDCODE]],"_")</f>
        <v>Westinghouse_FF_1_Big_Liz_</v>
      </c>
      <c r="C390" t="str" cm="1">
        <f t="array" ref="C3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0" t="str" cm="1">
        <f t="array" ref="D3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0">
        <v>6063</v>
      </c>
      <c r="F390" s="32" t="s">
        <v>2256</v>
      </c>
      <c r="G390" t="s">
        <v>1411</v>
      </c>
      <c r="H390" s="2" t="b">
        <f>AND(CONTROL[[#This Row],[IS_WAGON_OR_COACH]]=TRUE,OR(RIGHT(CONTROL[[#This Row],[VEHIDCODE]],7)="Powered",RIGHT(CONTROL[[#This Row],[VEHIDCODE]],9)="Unpowered"))</f>
        <v>0</v>
      </c>
      <c r="I3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0" t="b">
        <f>ISNUMBER(_xlfn.XMATCH(CONTROL[[#This Row],[VEHIDCODE]],TRACK_TYPES[VEHIDCODE],0))</f>
        <v>1</v>
      </c>
      <c r="K390" t="b">
        <f>ISNUMBER(_xlfn.XMATCH(CONTROL[[#This Row],[VEHIDCODE]],PROPERTIES[VEHIDCODE],0))</f>
        <v>1</v>
      </c>
      <c r="L390" t="b">
        <f>ISNUMBER(_xlfn.XLOOKUP(CONTROL[[#This Row],[VEHIDCODE]],roster!A:A,roster!D:D))</f>
        <v>1</v>
      </c>
      <c r="M390" t="b">
        <f>ISNUMBER(_xlfn.XMATCH(CONTROL[[#This Row],[VEHIDCODE]],GRAPHICS_PROPERTIES[VEHIDCODE],0))</f>
        <v>1</v>
      </c>
      <c r="N390" s="21" t="str">
        <f>"item_"&amp;CONTROL[[#This Row],[VEHIDCODE]]</f>
        <v>item_electric_Westinghouse_FF_1_Big_Liz_</v>
      </c>
      <c r="O390" s="21" t="str">
        <f>"str_"&amp;CONTROL[[#This Row],[VEHIDCODE]]</f>
        <v>str_electric_Westinghouse_FF_1_Big_Liz_</v>
      </c>
      <c r="P390" s="7" t="b">
        <f>_xlfn.XLOOKUP(CONTROL[[#This Row],[VEHIDCODE]],PROPERTIES[VEHIDCODE],PROPERTIES[IS_CONCEPT])="IS_CONCEPT"</f>
        <v>0</v>
      </c>
      <c r="Q390" s="7" t="b">
        <f>_xlfn.XLOOKUP(CONTROL[[#This Row],[VEHIDCODE]],PROPERTIES[VEHIDCODE],PROPERTIES[EXCLUDE])</f>
        <v>0</v>
      </c>
      <c r="R390" t="str" cm="1">
        <f t="array" ref="R390">_xlfn.XLOOKUP(CONTROL[[#This Row],[VEHIDCODE]],GRAPHICS_PROPERTIES[VEHIDCODE],GRAPHICS_PROPERTIES[TEMPLATE_ID]&amp;GRAPHICS_PROPERTIES[TEMPLATE_AMENDMENT_CODE])</f>
        <v>TPL_32C</v>
      </c>
    </row>
    <row r="391" spans="1:18" x14ac:dyDescent="0.35">
      <c r="A391" s="2" t="s">
        <v>3025</v>
      </c>
      <c r="B391" s="21" t="str">
        <f>_xlfn.TEXTAFTER(CONTROL[[#This Row],[VEHIDCODE]],"_")</f>
        <v>ELIN_Floridsdorf_1161</v>
      </c>
      <c r="C391" t="str" cm="1">
        <f t="array" ref="C3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1" t="str" cm="1">
        <f t="array" ref="D3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1">
        <v>6007</v>
      </c>
      <c r="F391" s="32" t="s">
        <v>2257</v>
      </c>
      <c r="G391" t="s">
        <v>1412</v>
      </c>
      <c r="H391" s="2" t="b">
        <f>AND(CONTROL[[#This Row],[IS_WAGON_OR_COACH]]=TRUE,OR(RIGHT(CONTROL[[#This Row],[VEHIDCODE]],7)="Powered",RIGHT(CONTROL[[#This Row],[VEHIDCODE]],9)="Unpowered"))</f>
        <v>0</v>
      </c>
      <c r="I3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1" t="b">
        <f>ISNUMBER(_xlfn.XMATCH(CONTROL[[#This Row],[VEHIDCODE]],TRACK_TYPES[VEHIDCODE],0))</f>
        <v>1</v>
      </c>
      <c r="K391" t="b">
        <f>ISNUMBER(_xlfn.XMATCH(CONTROL[[#This Row],[VEHIDCODE]],PROPERTIES[VEHIDCODE],0))</f>
        <v>1</v>
      </c>
      <c r="L391" t="b">
        <f>ISNUMBER(_xlfn.XLOOKUP(CONTROL[[#This Row],[VEHIDCODE]],roster!A:A,roster!D:D))</f>
        <v>1</v>
      </c>
      <c r="M391" t="b">
        <f>ISNUMBER(_xlfn.XMATCH(CONTROL[[#This Row],[VEHIDCODE]],GRAPHICS_PROPERTIES[VEHIDCODE],0))</f>
        <v>1</v>
      </c>
      <c r="N391" s="21" t="str">
        <f>"item_"&amp;CONTROL[[#This Row],[VEHIDCODE]]</f>
        <v>item_electric_ELIN_Floridsdorf_1161</v>
      </c>
      <c r="O391" s="21" t="str">
        <f>"str_"&amp;CONTROL[[#This Row],[VEHIDCODE]]</f>
        <v>str_electric_ELIN_Floridsdorf_1161</v>
      </c>
      <c r="P391" s="7" t="b">
        <f>_xlfn.XLOOKUP(CONTROL[[#This Row],[VEHIDCODE]],PROPERTIES[VEHIDCODE],PROPERTIES[IS_CONCEPT])="IS_CONCEPT"</f>
        <v>0</v>
      </c>
      <c r="Q391" s="7" t="b">
        <f>_xlfn.XLOOKUP(CONTROL[[#This Row],[VEHIDCODE]],PROPERTIES[VEHIDCODE],PROPERTIES[EXCLUDE])</f>
        <v>0</v>
      </c>
      <c r="R391" t="str" cm="1">
        <f t="array" ref="R391">_xlfn.XLOOKUP(CONTROL[[#This Row],[VEHIDCODE]],GRAPHICS_PROPERTIES[VEHIDCODE],GRAPHICS_PROPERTIES[TEMPLATE_ID]&amp;GRAPHICS_PROPERTIES[TEMPLATE_AMENDMENT_CODE])</f>
        <v>TPL_03C</v>
      </c>
    </row>
    <row r="392" spans="1:18" x14ac:dyDescent="0.35">
      <c r="A392" s="2" t="s">
        <v>3026</v>
      </c>
      <c r="B392" s="21" t="str">
        <f>_xlfn.TEXTAFTER(CONTROL[[#This Row],[VEHIDCODE]],"_")</f>
        <v>Maffei_SSW_Lok_5_Adolphine</v>
      </c>
      <c r="C392" t="str" cm="1">
        <f t="array" ref="C3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2" t="str" cm="1">
        <f t="array" ref="D3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2">
        <v>6009</v>
      </c>
      <c r="F392" s="32" t="s">
        <v>2258</v>
      </c>
      <c r="G392" t="s">
        <v>1413</v>
      </c>
      <c r="H392" s="2" t="b">
        <f>AND(CONTROL[[#This Row],[IS_WAGON_OR_COACH]]=TRUE,OR(RIGHT(CONTROL[[#This Row],[VEHIDCODE]],7)="Powered",RIGHT(CONTROL[[#This Row],[VEHIDCODE]],9)="Unpowered"))</f>
        <v>0</v>
      </c>
      <c r="I3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2" t="b">
        <f>ISNUMBER(_xlfn.XMATCH(CONTROL[[#This Row],[VEHIDCODE]],TRACK_TYPES[VEHIDCODE],0))</f>
        <v>1</v>
      </c>
      <c r="K392" t="b">
        <f>ISNUMBER(_xlfn.XMATCH(CONTROL[[#This Row],[VEHIDCODE]],PROPERTIES[VEHIDCODE],0))</f>
        <v>1</v>
      </c>
      <c r="L392" t="b">
        <f>ISNUMBER(_xlfn.XLOOKUP(CONTROL[[#This Row],[VEHIDCODE]],roster!A:A,roster!D:D))</f>
        <v>1</v>
      </c>
      <c r="M392" t="b">
        <f>ISNUMBER(_xlfn.XMATCH(CONTROL[[#This Row],[VEHIDCODE]],GRAPHICS_PROPERTIES[VEHIDCODE],0))</f>
        <v>1</v>
      </c>
      <c r="N392" s="21" t="str">
        <f>"item_"&amp;CONTROL[[#This Row],[VEHIDCODE]]</f>
        <v>item_electric_Maffei_SSW_Lok_5_Adolphine</v>
      </c>
      <c r="O392" s="21" t="str">
        <f>"str_"&amp;CONTROL[[#This Row],[VEHIDCODE]]</f>
        <v>str_electric_Maffei_SSW_Lok_5_Adolphine</v>
      </c>
      <c r="P392" s="7" t="b">
        <f>_xlfn.XLOOKUP(CONTROL[[#This Row],[VEHIDCODE]],PROPERTIES[VEHIDCODE],PROPERTIES[IS_CONCEPT])="IS_CONCEPT"</f>
        <v>0</v>
      </c>
      <c r="Q392" s="7" t="b">
        <f>_xlfn.XLOOKUP(CONTROL[[#This Row],[VEHIDCODE]],PROPERTIES[VEHIDCODE],PROPERTIES[EXCLUDE])</f>
        <v>0</v>
      </c>
      <c r="R392" t="str" cm="1">
        <f t="array" ref="R392">_xlfn.XLOOKUP(CONTROL[[#This Row],[VEHIDCODE]],GRAPHICS_PROPERTIES[VEHIDCODE],GRAPHICS_PROPERTIES[TEMPLATE_ID]&amp;GRAPHICS_PROPERTIES[TEMPLATE_AMENDMENT_CODE])</f>
        <v>TPL_01A</v>
      </c>
    </row>
    <row r="393" spans="1:18" x14ac:dyDescent="0.35">
      <c r="A393" s="2" t="s">
        <v>3027</v>
      </c>
      <c r="B393" s="21" t="str">
        <f>_xlfn.TEXTAFTER(CONTROL[[#This Row],[VEHIDCODE]],"_")</f>
        <v>Thune_ASEA_EL10</v>
      </c>
      <c r="C393" t="str" cm="1">
        <f t="array" ref="C3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3" t="str" cm="1">
        <f t="array" ref="D3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3">
        <v>6011</v>
      </c>
      <c r="F393" s="32" t="s">
        <v>2259</v>
      </c>
      <c r="G393" t="s">
        <v>1414</v>
      </c>
      <c r="H393" s="2" t="b">
        <f>AND(CONTROL[[#This Row],[IS_WAGON_OR_COACH]]=TRUE,OR(RIGHT(CONTROL[[#This Row],[VEHIDCODE]],7)="Powered",RIGHT(CONTROL[[#This Row],[VEHIDCODE]],9)="Unpowered"))</f>
        <v>0</v>
      </c>
      <c r="I3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3" t="b">
        <f>ISNUMBER(_xlfn.XMATCH(CONTROL[[#This Row],[VEHIDCODE]],TRACK_TYPES[VEHIDCODE],0))</f>
        <v>1</v>
      </c>
      <c r="K393" t="b">
        <f>ISNUMBER(_xlfn.XMATCH(CONTROL[[#This Row],[VEHIDCODE]],PROPERTIES[VEHIDCODE],0))</f>
        <v>1</v>
      </c>
      <c r="L393" t="b">
        <f>ISNUMBER(_xlfn.XLOOKUP(CONTROL[[#This Row],[VEHIDCODE]],roster!A:A,roster!D:D))</f>
        <v>1</v>
      </c>
      <c r="M393" t="b">
        <f>ISNUMBER(_xlfn.XMATCH(CONTROL[[#This Row],[VEHIDCODE]],GRAPHICS_PROPERTIES[VEHIDCODE],0))</f>
        <v>1</v>
      </c>
      <c r="N393" s="21" t="str">
        <f>"item_"&amp;CONTROL[[#This Row],[VEHIDCODE]]</f>
        <v>item_electric_Thune_ASEA_EL10</v>
      </c>
      <c r="O393" s="21" t="str">
        <f>"str_"&amp;CONTROL[[#This Row],[VEHIDCODE]]</f>
        <v>str_electric_Thune_ASEA_EL10</v>
      </c>
      <c r="P393" s="7" t="b">
        <f>_xlfn.XLOOKUP(CONTROL[[#This Row],[VEHIDCODE]],PROPERTIES[VEHIDCODE],PROPERTIES[IS_CONCEPT])="IS_CONCEPT"</f>
        <v>0</v>
      </c>
      <c r="Q393" s="7" t="b">
        <f>_xlfn.XLOOKUP(CONTROL[[#This Row],[VEHIDCODE]],PROPERTIES[VEHIDCODE],PROPERTIES[EXCLUDE])</f>
        <v>0</v>
      </c>
      <c r="R393" t="str" cm="1">
        <f t="array" ref="R393">_xlfn.XLOOKUP(CONTROL[[#This Row],[VEHIDCODE]],GRAPHICS_PROPERTIES[VEHIDCODE],GRAPHICS_PROPERTIES[TEMPLATE_ID]&amp;GRAPHICS_PROPERTIES[TEMPLATE_AMENDMENT_CODE])</f>
        <v>TPL_01A</v>
      </c>
    </row>
    <row r="394" spans="1:18" x14ac:dyDescent="0.35">
      <c r="A394" s="2" t="s">
        <v>3028</v>
      </c>
      <c r="B394" s="21" t="str">
        <f>_xlfn.TEXTAFTER(CONTROL[[#This Row],[VEHIDCODE]],"_")</f>
        <v>AEG_E_04</v>
      </c>
      <c r="C394" t="str" cm="1">
        <f t="array" ref="C3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4" t="str" cm="1">
        <f t="array" ref="D3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4">
        <v>6012</v>
      </c>
      <c r="F394" s="32" t="s">
        <v>2260</v>
      </c>
      <c r="G394" t="s">
        <v>1415</v>
      </c>
      <c r="H394" s="2" t="b">
        <f>AND(CONTROL[[#This Row],[IS_WAGON_OR_COACH]]=TRUE,OR(RIGHT(CONTROL[[#This Row],[VEHIDCODE]],7)="Powered",RIGHT(CONTROL[[#This Row],[VEHIDCODE]],9)="Unpowered"))</f>
        <v>0</v>
      </c>
      <c r="I3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4" t="b">
        <f>ISNUMBER(_xlfn.XMATCH(CONTROL[[#This Row],[VEHIDCODE]],TRACK_TYPES[VEHIDCODE],0))</f>
        <v>1</v>
      </c>
      <c r="K394" t="b">
        <f>ISNUMBER(_xlfn.XMATCH(CONTROL[[#This Row],[VEHIDCODE]],PROPERTIES[VEHIDCODE],0))</f>
        <v>1</v>
      </c>
      <c r="L394" t="b">
        <f>ISNUMBER(_xlfn.XLOOKUP(CONTROL[[#This Row],[VEHIDCODE]],roster!A:A,roster!D:D))</f>
        <v>1</v>
      </c>
      <c r="M394" t="b">
        <f>ISNUMBER(_xlfn.XMATCH(CONTROL[[#This Row],[VEHIDCODE]],GRAPHICS_PROPERTIES[VEHIDCODE],0))</f>
        <v>1</v>
      </c>
      <c r="N394" s="21" t="str">
        <f>"item_"&amp;CONTROL[[#This Row],[VEHIDCODE]]</f>
        <v>item_electric_AEG_E_04</v>
      </c>
      <c r="O394" s="21" t="str">
        <f>"str_"&amp;CONTROL[[#This Row],[VEHIDCODE]]</f>
        <v>str_electric_AEG_E_04</v>
      </c>
      <c r="P394" s="7" t="b">
        <f>_xlfn.XLOOKUP(CONTROL[[#This Row],[VEHIDCODE]],PROPERTIES[VEHIDCODE],PROPERTIES[IS_CONCEPT])="IS_CONCEPT"</f>
        <v>0</v>
      </c>
      <c r="Q394" s="7" t="b">
        <f>_xlfn.XLOOKUP(CONTROL[[#This Row],[VEHIDCODE]],PROPERTIES[VEHIDCODE],PROPERTIES[EXCLUDE])</f>
        <v>0</v>
      </c>
      <c r="R394" t="str" cm="1">
        <f t="array" ref="R394">_xlfn.XLOOKUP(CONTROL[[#This Row],[VEHIDCODE]],GRAPHICS_PROPERTIES[VEHIDCODE],GRAPHICS_PROPERTIES[TEMPLATE_ID]&amp;GRAPHICS_PROPERTIES[TEMPLATE_AMENDMENT_CODE])</f>
        <v>TPL_01A</v>
      </c>
    </row>
    <row r="395" spans="1:18" x14ac:dyDescent="0.35">
      <c r="A395" s="2" t="s">
        <v>3029</v>
      </c>
      <c r="B395" s="21" t="str">
        <f>_xlfn.TEXTAFTER(CONTROL[[#This Row],[VEHIDCODE]],"_")</f>
        <v>GE_4_6_0_0_6_4OE_GG_1</v>
      </c>
      <c r="C395" t="str" cm="1">
        <f t="array" ref="C3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5" t="str" cm="1">
        <f t="array" ref="D3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5">
        <v>6065</v>
      </c>
      <c r="F395" s="32" t="s">
        <v>2261</v>
      </c>
      <c r="G395" t="s">
        <v>1416</v>
      </c>
      <c r="H395" s="2" t="b">
        <f>AND(CONTROL[[#This Row],[IS_WAGON_OR_COACH]]=TRUE,OR(RIGHT(CONTROL[[#This Row],[VEHIDCODE]],7)="Powered",RIGHT(CONTROL[[#This Row],[VEHIDCODE]],9)="Unpowered"))</f>
        <v>0</v>
      </c>
      <c r="I3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5" t="b">
        <f>ISNUMBER(_xlfn.XMATCH(CONTROL[[#This Row],[VEHIDCODE]],TRACK_TYPES[VEHIDCODE],0))</f>
        <v>1</v>
      </c>
      <c r="K395" t="b">
        <f>ISNUMBER(_xlfn.XMATCH(CONTROL[[#This Row],[VEHIDCODE]],PROPERTIES[VEHIDCODE],0))</f>
        <v>1</v>
      </c>
      <c r="L395" t="b">
        <f>ISNUMBER(_xlfn.XLOOKUP(CONTROL[[#This Row],[VEHIDCODE]],roster!A:A,roster!D:D))</f>
        <v>1</v>
      </c>
      <c r="M395" t="b">
        <f>ISNUMBER(_xlfn.XMATCH(CONTROL[[#This Row],[VEHIDCODE]],GRAPHICS_PROPERTIES[VEHIDCODE],0))</f>
        <v>1</v>
      </c>
      <c r="N395" s="21" t="str">
        <f>"item_"&amp;CONTROL[[#This Row],[VEHIDCODE]]</f>
        <v>item_electric_GE_4_6_0_0_6_4OE_GG_1</v>
      </c>
      <c r="O395" s="21" t="str">
        <f>"str_"&amp;CONTROL[[#This Row],[VEHIDCODE]]</f>
        <v>str_electric_GE_4_6_0_0_6_4OE_GG_1</v>
      </c>
      <c r="P395" s="7" t="b">
        <f>_xlfn.XLOOKUP(CONTROL[[#This Row],[VEHIDCODE]],PROPERTIES[VEHIDCODE],PROPERTIES[IS_CONCEPT])="IS_CONCEPT"</f>
        <v>0</v>
      </c>
      <c r="Q395" s="7" t="b">
        <f>_xlfn.XLOOKUP(CONTROL[[#This Row],[VEHIDCODE]],PROPERTIES[VEHIDCODE],PROPERTIES[EXCLUDE])</f>
        <v>0</v>
      </c>
      <c r="R395" t="str" cm="1">
        <f t="array" ref="R395">_xlfn.XLOOKUP(CONTROL[[#This Row],[VEHIDCODE]],GRAPHICS_PROPERTIES[VEHIDCODE],GRAPHICS_PROPERTIES[TEMPLATE_ID]&amp;GRAPHICS_PROPERTIES[TEMPLATE_AMENDMENT_CODE])</f>
        <v>TPL_16A</v>
      </c>
    </row>
    <row r="396" spans="1:18" x14ac:dyDescent="0.35">
      <c r="A396" s="2" t="s">
        <v>3030</v>
      </c>
      <c r="B396" s="21" t="str">
        <f>_xlfn.TEXTAFTER(CONTROL[[#This Row],[VEHIDCODE]],"_")</f>
        <v>SLM_1100_Crocodile</v>
      </c>
      <c r="C396" t="str" cm="1">
        <f t="array" ref="C3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6" t="str" cm="1">
        <f t="array" ref="D3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6">
        <v>6017</v>
      </c>
      <c r="F396" s="32" t="s">
        <v>2539</v>
      </c>
      <c r="G396" t="s">
        <v>1417</v>
      </c>
      <c r="H396" s="2" t="b">
        <f>AND(CONTROL[[#This Row],[IS_WAGON_OR_COACH]]=TRUE,OR(RIGHT(CONTROL[[#This Row],[VEHIDCODE]],7)="Powered",RIGHT(CONTROL[[#This Row],[VEHIDCODE]],9)="Unpowered"))</f>
        <v>0</v>
      </c>
      <c r="I3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6" t="b">
        <f>ISNUMBER(_xlfn.XMATCH(CONTROL[[#This Row],[VEHIDCODE]],TRACK_TYPES[VEHIDCODE],0))</f>
        <v>1</v>
      </c>
      <c r="K396" t="b">
        <f>ISNUMBER(_xlfn.XMATCH(CONTROL[[#This Row],[VEHIDCODE]],PROPERTIES[VEHIDCODE],0))</f>
        <v>1</v>
      </c>
      <c r="L396" t="b">
        <f>ISNUMBER(_xlfn.XLOOKUP(CONTROL[[#This Row],[VEHIDCODE]],roster!A:A,roster!D:D))</f>
        <v>1</v>
      </c>
      <c r="M396" t="b">
        <f>ISNUMBER(_xlfn.XMATCH(CONTROL[[#This Row],[VEHIDCODE]],GRAPHICS_PROPERTIES[VEHIDCODE],0))</f>
        <v>1</v>
      </c>
      <c r="N396" s="21" t="str">
        <f>"item_"&amp;CONTROL[[#This Row],[VEHIDCODE]]</f>
        <v>item_electric_SLM_1100_Crocodile</v>
      </c>
      <c r="O396" s="21" t="str">
        <f>"str_"&amp;CONTROL[[#This Row],[VEHIDCODE]]</f>
        <v>str_electric_SLM_1100_Crocodile</v>
      </c>
      <c r="P396" s="7" t="b">
        <f>_xlfn.XLOOKUP(CONTROL[[#This Row],[VEHIDCODE]],PROPERTIES[VEHIDCODE],PROPERTIES[IS_CONCEPT])="IS_CONCEPT"</f>
        <v>0</v>
      </c>
      <c r="Q396" s="7" t="b">
        <f>_xlfn.XLOOKUP(CONTROL[[#This Row],[VEHIDCODE]],PROPERTIES[VEHIDCODE],PROPERTIES[EXCLUDE])</f>
        <v>0</v>
      </c>
      <c r="R396" t="str" cm="1">
        <f t="array" ref="R396">_xlfn.XLOOKUP(CONTROL[[#This Row],[VEHIDCODE]],GRAPHICS_PROPERTIES[VEHIDCODE],GRAPHICS_PROPERTIES[TEMPLATE_ID]&amp;GRAPHICS_PROPERTIES[TEMPLATE_AMENDMENT_CODE])</f>
        <v>TPL_01A</v>
      </c>
    </row>
    <row r="397" spans="1:18" x14ac:dyDescent="0.35">
      <c r="A397" s="2" t="s">
        <v>3031</v>
      </c>
      <c r="B397" s="21" t="str">
        <f>_xlfn.TEXTAFTER(CONTROL[[#This Row],[VEHIDCODE]],"_")</f>
        <v>AEG_BBC_Henschel_Siemens_E03</v>
      </c>
      <c r="C397" t="str" cm="1">
        <f t="array" ref="C3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7" t="str" cm="1">
        <f t="array" ref="D3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7">
        <v>6032</v>
      </c>
      <c r="F397" s="32" t="s">
        <v>2540</v>
      </c>
      <c r="G397" t="s">
        <v>1418</v>
      </c>
      <c r="H397" s="2" t="b">
        <f>AND(CONTROL[[#This Row],[IS_WAGON_OR_COACH]]=TRUE,OR(RIGHT(CONTROL[[#This Row],[VEHIDCODE]],7)="Powered",RIGHT(CONTROL[[#This Row],[VEHIDCODE]],9)="Unpowered"))</f>
        <v>0</v>
      </c>
      <c r="I3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7" t="b">
        <f>ISNUMBER(_xlfn.XMATCH(CONTROL[[#This Row],[VEHIDCODE]],TRACK_TYPES[VEHIDCODE],0))</f>
        <v>1</v>
      </c>
      <c r="K397" t="b">
        <f>ISNUMBER(_xlfn.XMATCH(CONTROL[[#This Row],[VEHIDCODE]],PROPERTIES[VEHIDCODE],0))</f>
        <v>1</v>
      </c>
      <c r="L397" t="b">
        <f>ISNUMBER(_xlfn.XLOOKUP(CONTROL[[#This Row],[VEHIDCODE]],roster!A:A,roster!D:D))</f>
        <v>1</v>
      </c>
      <c r="M397" t="b">
        <f>ISNUMBER(_xlfn.XMATCH(CONTROL[[#This Row],[VEHIDCODE]],GRAPHICS_PROPERTIES[VEHIDCODE],0))</f>
        <v>1</v>
      </c>
      <c r="N397" s="21" t="str">
        <f>"item_"&amp;CONTROL[[#This Row],[VEHIDCODE]]</f>
        <v>item_electric_AEG_BBC_Henschel_Siemens_E03</v>
      </c>
      <c r="O397" s="21" t="str">
        <f>"str_"&amp;CONTROL[[#This Row],[VEHIDCODE]]</f>
        <v>str_electric_AEG_BBC_Henschel_Siemens_E03</v>
      </c>
      <c r="P397" s="7" t="b">
        <f>_xlfn.XLOOKUP(CONTROL[[#This Row],[VEHIDCODE]],PROPERTIES[VEHIDCODE],PROPERTIES[IS_CONCEPT])="IS_CONCEPT"</f>
        <v>0</v>
      </c>
      <c r="Q397" s="7" t="b">
        <f>_xlfn.XLOOKUP(CONTROL[[#This Row],[VEHIDCODE]],PROPERTIES[VEHIDCODE],PROPERTIES[EXCLUDE])</f>
        <v>0</v>
      </c>
      <c r="R397" t="str" cm="1">
        <f t="array" ref="R397">_xlfn.XLOOKUP(CONTROL[[#This Row],[VEHIDCODE]],GRAPHICS_PROPERTIES[VEHIDCODE],GRAPHICS_PROPERTIES[TEMPLATE_ID]&amp;GRAPHICS_PROPERTIES[TEMPLATE_AMENDMENT_CODE])</f>
        <v>TPL_01A</v>
      </c>
    </row>
    <row r="398" spans="1:18" x14ac:dyDescent="0.35">
      <c r="A398" s="2" t="s">
        <v>3032</v>
      </c>
      <c r="B398" s="21" t="str">
        <f>_xlfn.TEXTAFTER(CONTROL[[#This Row],[VEHIDCODE]],"_")</f>
        <v>Krauss_WASSEG_E_91_9</v>
      </c>
      <c r="C398" t="str" cm="1">
        <f t="array" ref="C3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8" t="str" cm="1">
        <f t="array" ref="D3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8">
        <v>6074</v>
      </c>
      <c r="F398" s="32" t="s">
        <v>2262</v>
      </c>
      <c r="G398" t="s">
        <v>1419</v>
      </c>
      <c r="H398" s="2" t="b">
        <f>AND(CONTROL[[#This Row],[IS_WAGON_OR_COACH]]=TRUE,OR(RIGHT(CONTROL[[#This Row],[VEHIDCODE]],7)="Powered",RIGHT(CONTROL[[#This Row],[VEHIDCODE]],9)="Unpowered"))</f>
        <v>0</v>
      </c>
      <c r="I3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8" t="b">
        <f>ISNUMBER(_xlfn.XMATCH(CONTROL[[#This Row],[VEHIDCODE]],TRACK_TYPES[VEHIDCODE],0))</f>
        <v>1</v>
      </c>
      <c r="K398" t="b">
        <f>ISNUMBER(_xlfn.XMATCH(CONTROL[[#This Row],[VEHIDCODE]],PROPERTIES[VEHIDCODE],0))</f>
        <v>1</v>
      </c>
      <c r="L398" t="b">
        <f>ISNUMBER(_xlfn.XLOOKUP(CONTROL[[#This Row],[VEHIDCODE]],roster!A:A,roster!D:D))</f>
        <v>1</v>
      </c>
      <c r="M398" t="b">
        <f>ISNUMBER(_xlfn.XMATCH(CONTROL[[#This Row],[VEHIDCODE]],GRAPHICS_PROPERTIES[VEHIDCODE],0))</f>
        <v>1</v>
      </c>
      <c r="N398" s="21" t="str">
        <f>"item_"&amp;CONTROL[[#This Row],[VEHIDCODE]]</f>
        <v>item_electric_Krauss_WASSEG_E_91_9</v>
      </c>
      <c r="O398" s="21" t="str">
        <f>"str_"&amp;CONTROL[[#This Row],[VEHIDCODE]]</f>
        <v>str_electric_Krauss_WASSEG_E_91_9</v>
      </c>
      <c r="P398" s="7" t="b">
        <f>_xlfn.XLOOKUP(CONTROL[[#This Row],[VEHIDCODE]],PROPERTIES[VEHIDCODE],PROPERTIES[IS_CONCEPT])="IS_CONCEPT"</f>
        <v>0</v>
      </c>
      <c r="Q398" s="7" t="b">
        <f>_xlfn.XLOOKUP(CONTROL[[#This Row],[VEHIDCODE]],PROPERTIES[VEHIDCODE],PROPERTIES[EXCLUDE])</f>
        <v>0</v>
      </c>
      <c r="R398" t="str" cm="1">
        <f t="array" ref="R398">_xlfn.XLOOKUP(CONTROL[[#This Row],[VEHIDCODE]],GRAPHICS_PROPERTIES[VEHIDCODE],GRAPHICS_PROPERTIES[TEMPLATE_ID]&amp;GRAPHICS_PROPERTIES[TEMPLATE_AMENDMENT_CODE])</f>
        <v>TPL_01A</v>
      </c>
    </row>
    <row r="399" spans="1:18" x14ac:dyDescent="0.35">
      <c r="A399" s="2" t="s">
        <v>3033</v>
      </c>
      <c r="B399" s="21" t="str">
        <f>_xlfn.TEXTAFTER(CONTROL[[#This Row],[VEHIDCODE]],"_")</f>
        <v>SLM_Ce_4_4</v>
      </c>
      <c r="C399" t="str" cm="1">
        <f t="array" ref="C3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9" t="str" cm="1">
        <f t="array" ref="D3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9">
        <v>6023</v>
      </c>
      <c r="F399" s="32" t="s">
        <v>2263</v>
      </c>
      <c r="G399" t="s">
        <v>1420</v>
      </c>
      <c r="H399" s="2" t="b">
        <f>AND(CONTROL[[#This Row],[IS_WAGON_OR_COACH]]=TRUE,OR(RIGHT(CONTROL[[#This Row],[VEHIDCODE]],7)="Powered",RIGHT(CONTROL[[#This Row],[VEHIDCODE]],9)="Unpowered"))</f>
        <v>0</v>
      </c>
      <c r="I3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9" t="b">
        <f>ISNUMBER(_xlfn.XMATCH(CONTROL[[#This Row],[VEHIDCODE]],TRACK_TYPES[VEHIDCODE],0))</f>
        <v>1</v>
      </c>
      <c r="K399" t="b">
        <f>ISNUMBER(_xlfn.XMATCH(CONTROL[[#This Row],[VEHIDCODE]],PROPERTIES[VEHIDCODE],0))</f>
        <v>1</v>
      </c>
      <c r="L399" t="b">
        <f>ISNUMBER(_xlfn.XLOOKUP(CONTROL[[#This Row],[VEHIDCODE]],roster!A:A,roster!D:D))</f>
        <v>1</v>
      </c>
      <c r="M399" t="b">
        <f>ISNUMBER(_xlfn.XMATCH(CONTROL[[#This Row],[VEHIDCODE]],GRAPHICS_PROPERTIES[VEHIDCODE],0))</f>
        <v>1</v>
      </c>
      <c r="N399" s="21" t="str">
        <f>"item_"&amp;CONTROL[[#This Row],[VEHIDCODE]]</f>
        <v>item_electric_SLM_Ce_4_4</v>
      </c>
      <c r="O399" s="21" t="str">
        <f>"str_"&amp;CONTROL[[#This Row],[VEHIDCODE]]</f>
        <v>str_electric_SLM_Ce_4_4</v>
      </c>
      <c r="P399" s="7" t="b">
        <f>_xlfn.XLOOKUP(CONTROL[[#This Row],[VEHIDCODE]],PROPERTIES[VEHIDCODE],PROPERTIES[IS_CONCEPT])="IS_CONCEPT"</f>
        <v>0</v>
      </c>
      <c r="Q399" s="7" t="b">
        <f>_xlfn.XLOOKUP(CONTROL[[#This Row],[VEHIDCODE]],PROPERTIES[VEHIDCODE],PROPERTIES[EXCLUDE])</f>
        <v>0</v>
      </c>
      <c r="R399" t="str" cm="1">
        <f t="array" ref="R399">_xlfn.XLOOKUP(CONTROL[[#This Row],[VEHIDCODE]],GRAPHICS_PROPERTIES[VEHIDCODE],GRAPHICS_PROPERTIES[TEMPLATE_ID]&amp;GRAPHICS_PROPERTIES[TEMPLATE_AMENDMENT_CODE])</f>
        <v>TPL_01A</v>
      </c>
    </row>
    <row r="400" spans="1:18" x14ac:dyDescent="0.35">
      <c r="A400" s="2" t="s">
        <v>3034</v>
      </c>
      <c r="B400" s="21" t="str">
        <f>_xlfn.TEXTAFTER(CONTROL[[#This Row],[VEHIDCODE]],"_")</f>
        <v>SLM_Ae_6_6</v>
      </c>
      <c r="C400" t="str" cm="1">
        <f t="array" ref="C4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0" t="str" cm="1">
        <f t="array" ref="D4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0">
        <v>6024</v>
      </c>
      <c r="F400" s="32" t="s">
        <v>2264</v>
      </c>
      <c r="G400" t="s">
        <v>1421</v>
      </c>
      <c r="H400" s="2" t="b">
        <f>AND(CONTROL[[#This Row],[IS_WAGON_OR_COACH]]=TRUE,OR(RIGHT(CONTROL[[#This Row],[VEHIDCODE]],7)="Powered",RIGHT(CONTROL[[#This Row],[VEHIDCODE]],9)="Unpowered"))</f>
        <v>0</v>
      </c>
      <c r="I4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0" t="b">
        <f>ISNUMBER(_xlfn.XMATCH(CONTROL[[#This Row],[VEHIDCODE]],TRACK_TYPES[VEHIDCODE],0))</f>
        <v>1</v>
      </c>
      <c r="K400" t="b">
        <f>ISNUMBER(_xlfn.XMATCH(CONTROL[[#This Row],[VEHIDCODE]],PROPERTIES[VEHIDCODE],0))</f>
        <v>1</v>
      </c>
      <c r="L400" t="b">
        <f>ISNUMBER(_xlfn.XLOOKUP(CONTROL[[#This Row],[VEHIDCODE]],roster!A:A,roster!D:D))</f>
        <v>1</v>
      </c>
      <c r="M400" t="b">
        <f>ISNUMBER(_xlfn.XMATCH(CONTROL[[#This Row],[VEHIDCODE]],GRAPHICS_PROPERTIES[VEHIDCODE],0))</f>
        <v>1</v>
      </c>
      <c r="N400" s="21" t="str">
        <f>"item_"&amp;CONTROL[[#This Row],[VEHIDCODE]]</f>
        <v>item_electric_SLM_Ae_6_6</v>
      </c>
      <c r="O400" s="21" t="str">
        <f>"str_"&amp;CONTROL[[#This Row],[VEHIDCODE]]</f>
        <v>str_electric_SLM_Ae_6_6</v>
      </c>
      <c r="P400" s="7" t="b">
        <f>_xlfn.XLOOKUP(CONTROL[[#This Row],[VEHIDCODE]],PROPERTIES[VEHIDCODE],PROPERTIES[IS_CONCEPT])="IS_CONCEPT"</f>
        <v>0</v>
      </c>
      <c r="Q400" s="7" t="b">
        <f>_xlfn.XLOOKUP(CONTROL[[#This Row],[VEHIDCODE]],PROPERTIES[VEHIDCODE],PROPERTIES[EXCLUDE])</f>
        <v>0</v>
      </c>
      <c r="R400" t="str" cm="1">
        <f t="array" ref="R400">_xlfn.XLOOKUP(CONTROL[[#This Row],[VEHIDCODE]],GRAPHICS_PROPERTIES[VEHIDCODE],GRAPHICS_PROPERTIES[TEMPLATE_ID]&amp;GRAPHICS_PROPERTIES[TEMPLATE_AMENDMENT_CODE])</f>
        <v>TPL_01A</v>
      </c>
    </row>
    <row r="401" spans="1:18" x14ac:dyDescent="0.35">
      <c r="A401" s="2" t="s">
        <v>3035</v>
      </c>
      <c r="B401" s="21" t="str">
        <f>_xlfn.TEXTAFTER(CONTROL[[#This Row],[VEHIDCODE]],"_")</f>
        <v>SLM_ABB_Lok_2000</v>
      </c>
      <c r="C401" t="str" cm="1">
        <f t="array" ref="C4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1" t="str" cm="1">
        <f t="array" ref="D4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1">
        <v>6045</v>
      </c>
      <c r="F401" s="32" t="s">
        <v>1959</v>
      </c>
      <c r="G401" t="s">
        <v>1422</v>
      </c>
      <c r="H401" s="2" t="b">
        <f>AND(CONTROL[[#This Row],[IS_WAGON_OR_COACH]]=TRUE,OR(RIGHT(CONTROL[[#This Row],[VEHIDCODE]],7)="Powered",RIGHT(CONTROL[[#This Row],[VEHIDCODE]],9)="Unpowered"))</f>
        <v>0</v>
      </c>
      <c r="I4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1" t="b">
        <f>ISNUMBER(_xlfn.XMATCH(CONTROL[[#This Row],[VEHIDCODE]],TRACK_TYPES[VEHIDCODE],0))</f>
        <v>1</v>
      </c>
      <c r="K401" t="b">
        <f>ISNUMBER(_xlfn.XMATCH(CONTROL[[#This Row],[VEHIDCODE]],PROPERTIES[VEHIDCODE],0))</f>
        <v>1</v>
      </c>
      <c r="L401" t="b">
        <f>ISNUMBER(_xlfn.XLOOKUP(CONTROL[[#This Row],[VEHIDCODE]],roster!A:A,roster!D:D))</f>
        <v>1</v>
      </c>
      <c r="M401" t="b">
        <f>ISNUMBER(_xlfn.XMATCH(CONTROL[[#This Row],[VEHIDCODE]],GRAPHICS_PROPERTIES[VEHIDCODE],0))</f>
        <v>1</v>
      </c>
      <c r="N401" s="21" t="str">
        <f>"item_"&amp;CONTROL[[#This Row],[VEHIDCODE]]</f>
        <v>item_electric_SLM_ABB_Lok_2000</v>
      </c>
      <c r="O401" s="21" t="str">
        <f>"str_"&amp;CONTROL[[#This Row],[VEHIDCODE]]</f>
        <v>str_electric_SLM_ABB_Lok_2000</v>
      </c>
      <c r="P401" s="7" t="b">
        <f>_xlfn.XLOOKUP(CONTROL[[#This Row],[VEHIDCODE]],PROPERTIES[VEHIDCODE],PROPERTIES[IS_CONCEPT])="IS_CONCEPT"</f>
        <v>0</v>
      </c>
      <c r="Q401" s="7" t="b">
        <f>_xlfn.XLOOKUP(CONTROL[[#This Row],[VEHIDCODE]],PROPERTIES[VEHIDCODE],PROPERTIES[EXCLUDE])</f>
        <v>0</v>
      </c>
      <c r="R401" t="str" cm="1">
        <f t="array" ref="R401">_xlfn.XLOOKUP(CONTROL[[#This Row],[VEHIDCODE]],GRAPHICS_PROPERTIES[VEHIDCODE],GRAPHICS_PROPERTIES[TEMPLATE_ID]&amp;GRAPHICS_PROPERTIES[TEMPLATE_AMENDMENT_CODE])</f>
        <v>TPL_01A</v>
      </c>
    </row>
    <row r="402" spans="1:18" x14ac:dyDescent="0.35">
      <c r="A402" s="2" t="s">
        <v>3036</v>
      </c>
      <c r="B402" s="21" t="str">
        <f>_xlfn.TEXTAFTER(CONTROL[[#This Row],[VEHIDCODE]],"_")</f>
        <v>Stadler_Butler_Eem_923</v>
      </c>
      <c r="C402" t="str" cm="1">
        <f t="array" ref="C4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2" t="str" cm="1">
        <f t="array" ref="D4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2">
        <v>6059</v>
      </c>
      <c r="F402" s="32" t="s">
        <v>2266</v>
      </c>
      <c r="G402" t="s">
        <v>1423</v>
      </c>
      <c r="H402" s="2" t="b">
        <f>AND(CONTROL[[#This Row],[IS_WAGON_OR_COACH]]=TRUE,OR(RIGHT(CONTROL[[#This Row],[VEHIDCODE]],7)="Powered",RIGHT(CONTROL[[#This Row],[VEHIDCODE]],9)="Unpowered"))</f>
        <v>0</v>
      </c>
      <c r="I4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2" t="b">
        <f>ISNUMBER(_xlfn.XMATCH(CONTROL[[#This Row],[VEHIDCODE]],TRACK_TYPES[VEHIDCODE],0))</f>
        <v>1</v>
      </c>
      <c r="K402" t="b">
        <f>ISNUMBER(_xlfn.XMATCH(CONTROL[[#This Row],[VEHIDCODE]],PROPERTIES[VEHIDCODE],0))</f>
        <v>1</v>
      </c>
      <c r="L402" t="b">
        <f>ISNUMBER(_xlfn.XLOOKUP(CONTROL[[#This Row],[VEHIDCODE]],roster!A:A,roster!D:D))</f>
        <v>1</v>
      </c>
      <c r="M402" t="b">
        <f>ISNUMBER(_xlfn.XMATCH(CONTROL[[#This Row],[VEHIDCODE]],GRAPHICS_PROPERTIES[VEHIDCODE],0))</f>
        <v>1</v>
      </c>
      <c r="N402" s="21" t="str">
        <f>"item_"&amp;CONTROL[[#This Row],[VEHIDCODE]]</f>
        <v>item_electric_Stadler_Butler_Eem_923</v>
      </c>
      <c r="O402" s="21" t="str">
        <f>"str_"&amp;CONTROL[[#This Row],[VEHIDCODE]]</f>
        <v>str_electric_Stadler_Butler_Eem_923</v>
      </c>
      <c r="P402" s="7" t="b">
        <f>_xlfn.XLOOKUP(CONTROL[[#This Row],[VEHIDCODE]],PROPERTIES[VEHIDCODE],PROPERTIES[IS_CONCEPT])="IS_CONCEPT"</f>
        <v>0</v>
      </c>
      <c r="Q402" s="7" t="b">
        <f>_xlfn.XLOOKUP(CONTROL[[#This Row],[VEHIDCODE]],PROPERTIES[VEHIDCODE],PROPERTIES[EXCLUDE])</f>
        <v>0</v>
      </c>
      <c r="R402" t="str" cm="1">
        <f t="array" ref="R402">_xlfn.XLOOKUP(CONTROL[[#This Row],[VEHIDCODE]],GRAPHICS_PROPERTIES[VEHIDCODE],GRAPHICS_PROPERTIES[TEMPLATE_ID]&amp;GRAPHICS_PROPERTIES[TEMPLATE_AMENDMENT_CODE])</f>
        <v>TPL_01A</v>
      </c>
    </row>
    <row r="403" spans="1:18" x14ac:dyDescent="0.35">
      <c r="A403" s="2" t="s">
        <v>3037</v>
      </c>
      <c r="B403" s="21" t="str">
        <f>_xlfn.TEXTAFTER(CONTROL[[#This Row],[VEHIDCODE]],"_")</f>
        <v>SGP_1044</v>
      </c>
      <c r="C403" t="str" cm="1">
        <f t="array" ref="C4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3" t="str" cm="1">
        <f t="array" ref="D4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3">
        <v>6035</v>
      </c>
      <c r="F403" s="32" t="s">
        <v>2541</v>
      </c>
      <c r="G403" t="s">
        <v>1424</v>
      </c>
      <c r="H403" s="2" t="b">
        <f>AND(CONTROL[[#This Row],[IS_WAGON_OR_COACH]]=TRUE,OR(RIGHT(CONTROL[[#This Row],[VEHIDCODE]],7)="Powered",RIGHT(CONTROL[[#This Row],[VEHIDCODE]],9)="Unpowered"))</f>
        <v>0</v>
      </c>
      <c r="I4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3" t="b">
        <f>ISNUMBER(_xlfn.XMATCH(CONTROL[[#This Row],[VEHIDCODE]],TRACK_TYPES[VEHIDCODE],0))</f>
        <v>1</v>
      </c>
      <c r="K403" t="b">
        <f>ISNUMBER(_xlfn.XMATCH(CONTROL[[#This Row],[VEHIDCODE]],PROPERTIES[VEHIDCODE],0))</f>
        <v>1</v>
      </c>
      <c r="L403" t="b">
        <f>ISNUMBER(_xlfn.XLOOKUP(CONTROL[[#This Row],[VEHIDCODE]],roster!A:A,roster!D:D))</f>
        <v>1</v>
      </c>
      <c r="M403" t="b">
        <f>ISNUMBER(_xlfn.XMATCH(CONTROL[[#This Row],[VEHIDCODE]],GRAPHICS_PROPERTIES[VEHIDCODE],0))</f>
        <v>1</v>
      </c>
      <c r="N403" s="21" t="str">
        <f>"item_"&amp;CONTROL[[#This Row],[VEHIDCODE]]</f>
        <v>item_electric_SGP_1044</v>
      </c>
      <c r="O403" s="21" t="str">
        <f>"str_"&amp;CONTROL[[#This Row],[VEHIDCODE]]</f>
        <v>str_electric_SGP_1044</v>
      </c>
      <c r="P403" s="7" t="b">
        <f>_xlfn.XLOOKUP(CONTROL[[#This Row],[VEHIDCODE]],PROPERTIES[VEHIDCODE],PROPERTIES[IS_CONCEPT])="IS_CONCEPT"</f>
        <v>0</v>
      </c>
      <c r="Q403" s="7" t="b">
        <f>_xlfn.XLOOKUP(CONTROL[[#This Row],[VEHIDCODE]],PROPERTIES[VEHIDCODE],PROPERTIES[EXCLUDE])</f>
        <v>0</v>
      </c>
      <c r="R403" t="str" cm="1">
        <f t="array" ref="R403">_xlfn.XLOOKUP(CONTROL[[#This Row],[VEHIDCODE]],GRAPHICS_PROPERTIES[VEHIDCODE],GRAPHICS_PROPERTIES[TEMPLATE_ID]&amp;GRAPHICS_PROPERTIES[TEMPLATE_AMENDMENT_CODE])</f>
        <v>TPL_01A</v>
      </c>
    </row>
    <row r="404" spans="1:18" x14ac:dyDescent="0.35">
      <c r="A404" s="2" t="s">
        <v>3038</v>
      </c>
      <c r="B404" s="21" t="str">
        <f>_xlfn.TEXTAFTER(CONTROL[[#This Row],[VEHIDCODE]],"_")</f>
        <v>SGP_1063</v>
      </c>
      <c r="C404" t="str" cm="1">
        <f t="array" ref="C4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4" t="str" cm="1">
        <f t="array" ref="D4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4">
        <v>6039</v>
      </c>
      <c r="F404" s="32" t="s">
        <v>2542</v>
      </c>
      <c r="G404" t="s">
        <v>1425</v>
      </c>
      <c r="H404" s="2" t="b">
        <f>AND(CONTROL[[#This Row],[IS_WAGON_OR_COACH]]=TRUE,OR(RIGHT(CONTROL[[#This Row],[VEHIDCODE]],7)="Powered",RIGHT(CONTROL[[#This Row],[VEHIDCODE]],9)="Unpowered"))</f>
        <v>0</v>
      </c>
      <c r="I4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4" t="b">
        <f>ISNUMBER(_xlfn.XMATCH(CONTROL[[#This Row],[VEHIDCODE]],TRACK_TYPES[VEHIDCODE],0))</f>
        <v>1</v>
      </c>
      <c r="K404" t="b">
        <f>ISNUMBER(_xlfn.XMATCH(CONTROL[[#This Row],[VEHIDCODE]],PROPERTIES[VEHIDCODE],0))</f>
        <v>1</v>
      </c>
      <c r="L404" t="b">
        <f>ISNUMBER(_xlfn.XLOOKUP(CONTROL[[#This Row],[VEHIDCODE]],roster!A:A,roster!D:D))</f>
        <v>1</v>
      </c>
      <c r="M404" t="b">
        <f>ISNUMBER(_xlfn.XMATCH(CONTROL[[#This Row],[VEHIDCODE]],GRAPHICS_PROPERTIES[VEHIDCODE],0))</f>
        <v>1</v>
      </c>
      <c r="N404" s="21" t="str">
        <f>"item_"&amp;CONTROL[[#This Row],[VEHIDCODE]]</f>
        <v>item_electric_SGP_1063</v>
      </c>
      <c r="O404" s="21" t="str">
        <f>"str_"&amp;CONTROL[[#This Row],[VEHIDCODE]]</f>
        <v>str_electric_SGP_1063</v>
      </c>
      <c r="P404" s="7" t="b">
        <f>_xlfn.XLOOKUP(CONTROL[[#This Row],[VEHIDCODE]],PROPERTIES[VEHIDCODE],PROPERTIES[IS_CONCEPT])="IS_CONCEPT"</f>
        <v>0</v>
      </c>
      <c r="Q404" s="7" t="b">
        <f>_xlfn.XLOOKUP(CONTROL[[#This Row],[VEHIDCODE]],PROPERTIES[VEHIDCODE],PROPERTIES[EXCLUDE])</f>
        <v>0</v>
      </c>
      <c r="R404" t="str" cm="1">
        <f t="array" ref="R404">_xlfn.XLOOKUP(CONTROL[[#This Row],[VEHIDCODE]],GRAPHICS_PROPERTIES[VEHIDCODE],GRAPHICS_PROPERTIES[TEMPLATE_ID]&amp;GRAPHICS_PROPERTIES[TEMPLATE_AMENDMENT_CODE])</f>
        <v>TPL_01A</v>
      </c>
    </row>
    <row r="405" spans="1:18" x14ac:dyDescent="0.35">
      <c r="A405" s="2" t="s">
        <v>3039</v>
      </c>
      <c r="B405" s="21" t="str">
        <f>_xlfn.TEXTAFTER(CONTROL[[#This Row],[VEHIDCODE]],"_")</f>
        <v>ASEA_Dm3</v>
      </c>
      <c r="C405" t="str" cm="1">
        <f t="array" ref="C4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5" t="str" cm="1">
        <f t="array" ref="D4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5">
        <v>6020</v>
      </c>
      <c r="F405" s="32" t="s">
        <v>2267</v>
      </c>
      <c r="G405" t="s">
        <v>1426</v>
      </c>
      <c r="H405" s="2" t="b">
        <f>AND(CONTROL[[#This Row],[IS_WAGON_OR_COACH]]=TRUE,OR(RIGHT(CONTROL[[#This Row],[VEHIDCODE]],7)="Powered",RIGHT(CONTROL[[#This Row],[VEHIDCODE]],9)="Unpowered"))</f>
        <v>0</v>
      </c>
      <c r="I4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5" t="b">
        <f>ISNUMBER(_xlfn.XMATCH(CONTROL[[#This Row],[VEHIDCODE]],TRACK_TYPES[VEHIDCODE],0))</f>
        <v>1</v>
      </c>
      <c r="K405" t="b">
        <f>ISNUMBER(_xlfn.XMATCH(CONTROL[[#This Row],[VEHIDCODE]],PROPERTIES[VEHIDCODE],0))</f>
        <v>1</v>
      </c>
      <c r="L405" t="b">
        <f>ISNUMBER(_xlfn.XLOOKUP(CONTROL[[#This Row],[VEHIDCODE]],roster!A:A,roster!D:D))</f>
        <v>1</v>
      </c>
      <c r="M405" t="b">
        <f>ISNUMBER(_xlfn.XMATCH(CONTROL[[#This Row],[VEHIDCODE]],GRAPHICS_PROPERTIES[VEHIDCODE],0))</f>
        <v>1</v>
      </c>
      <c r="N405" s="21" t="str">
        <f>"item_"&amp;CONTROL[[#This Row],[VEHIDCODE]]</f>
        <v>item_electric_ASEA_Dm3</v>
      </c>
      <c r="O405" s="21" t="str">
        <f>"str_"&amp;CONTROL[[#This Row],[VEHIDCODE]]</f>
        <v>str_electric_ASEA_Dm3</v>
      </c>
      <c r="P405" s="7" t="b">
        <f>_xlfn.XLOOKUP(CONTROL[[#This Row],[VEHIDCODE]],PROPERTIES[VEHIDCODE],PROPERTIES[IS_CONCEPT])="IS_CONCEPT"</f>
        <v>0</v>
      </c>
      <c r="Q405" s="7" t="b">
        <f>_xlfn.XLOOKUP(CONTROL[[#This Row],[VEHIDCODE]],PROPERTIES[VEHIDCODE],PROPERTIES[EXCLUDE])</f>
        <v>0</v>
      </c>
      <c r="R405" t="str" cm="1">
        <f t="array" ref="R405">_xlfn.XLOOKUP(CONTROL[[#This Row],[VEHIDCODE]],GRAPHICS_PROPERTIES[VEHIDCODE],GRAPHICS_PROPERTIES[TEMPLATE_ID]&amp;GRAPHICS_PROPERTIES[TEMPLATE_AMENDMENT_CODE])</f>
        <v>TPL_17D</v>
      </c>
    </row>
    <row r="406" spans="1:18" x14ac:dyDescent="0.35">
      <c r="A406" s="2" t="s">
        <v>3040</v>
      </c>
      <c r="B406" s="21" t="str">
        <f>_xlfn.TEXTAFTER(CONTROL[[#This Row],[VEHIDCODE]],"_")</f>
        <v>Bombardier_Traxx_H80_AC</v>
      </c>
      <c r="C406" t="str" cm="1">
        <f t="array" ref="C4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6" t="str" cm="1">
        <f t="array" ref="D4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6">
        <v>6054</v>
      </c>
      <c r="F406" s="32" t="s">
        <v>1961</v>
      </c>
      <c r="G406" t="s">
        <v>1427</v>
      </c>
      <c r="H406" s="2" t="b">
        <f>AND(CONTROL[[#This Row],[IS_WAGON_OR_COACH]]=TRUE,OR(RIGHT(CONTROL[[#This Row],[VEHIDCODE]],7)="Powered",RIGHT(CONTROL[[#This Row],[VEHIDCODE]],9)="Unpowered"))</f>
        <v>0</v>
      </c>
      <c r="I4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6" t="b">
        <f>ISNUMBER(_xlfn.XMATCH(CONTROL[[#This Row],[VEHIDCODE]],TRACK_TYPES[VEHIDCODE],0))</f>
        <v>1</v>
      </c>
      <c r="K406" t="b">
        <f>ISNUMBER(_xlfn.XMATCH(CONTROL[[#This Row],[VEHIDCODE]],PROPERTIES[VEHIDCODE],0))</f>
        <v>1</v>
      </c>
      <c r="L406" t="b">
        <f>ISNUMBER(_xlfn.XLOOKUP(CONTROL[[#This Row],[VEHIDCODE]],roster!A:A,roster!D:D))</f>
        <v>1</v>
      </c>
      <c r="M406" t="b">
        <f>ISNUMBER(_xlfn.XMATCH(CONTROL[[#This Row],[VEHIDCODE]],GRAPHICS_PROPERTIES[VEHIDCODE],0))</f>
        <v>1</v>
      </c>
      <c r="N406" s="21" t="str">
        <f>"item_"&amp;CONTROL[[#This Row],[VEHIDCODE]]</f>
        <v>item_electric_Bombardier_Traxx_H80_AC</v>
      </c>
      <c r="O406" s="21" t="str">
        <f>"str_"&amp;CONTROL[[#This Row],[VEHIDCODE]]</f>
        <v>str_electric_Bombardier_Traxx_H80_AC</v>
      </c>
      <c r="P406" s="7" t="b">
        <f>_xlfn.XLOOKUP(CONTROL[[#This Row],[VEHIDCODE]],PROPERTIES[VEHIDCODE],PROPERTIES[IS_CONCEPT])="IS_CONCEPT"</f>
        <v>0</v>
      </c>
      <c r="Q406" s="7" t="b">
        <f>_xlfn.XLOOKUP(CONTROL[[#This Row],[VEHIDCODE]],PROPERTIES[VEHIDCODE],PROPERTIES[EXCLUDE])</f>
        <v>0</v>
      </c>
      <c r="R406" t="str" cm="1">
        <f t="array" ref="R406">_xlfn.XLOOKUP(CONTROL[[#This Row],[VEHIDCODE]],GRAPHICS_PROPERTIES[VEHIDCODE],GRAPHICS_PROPERTIES[TEMPLATE_ID]&amp;GRAPHICS_PROPERTIES[TEMPLATE_AMENDMENT_CODE])</f>
        <v>TPL_03D</v>
      </c>
    </row>
    <row r="407" spans="1:18" x14ac:dyDescent="0.35">
      <c r="A407" s="2" t="s">
        <v>3041</v>
      </c>
      <c r="B407" s="21" t="str">
        <f>_xlfn.TEXTAFTER(CONTROL[[#This Row],[VEHIDCODE]],"_")</f>
        <v>Siemens_Oa</v>
      </c>
      <c r="C407" t="str" cm="1">
        <f t="array" ref="C4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7" t="str" cm="1">
        <f t="array" ref="D4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7">
        <v>6069</v>
      </c>
      <c r="F407" s="32" t="s">
        <v>2268</v>
      </c>
      <c r="G407" t="s">
        <v>1428</v>
      </c>
      <c r="H407" s="2" t="b">
        <f>AND(CONTROL[[#This Row],[IS_WAGON_OR_COACH]]=TRUE,OR(RIGHT(CONTROL[[#This Row],[VEHIDCODE]],7)="Powered",RIGHT(CONTROL[[#This Row],[VEHIDCODE]],9)="Unpowered"))</f>
        <v>0</v>
      </c>
      <c r="I4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7" t="b">
        <f>ISNUMBER(_xlfn.XMATCH(CONTROL[[#This Row],[VEHIDCODE]],TRACK_TYPES[VEHIDCODE],0))</f>
        <v>1</v>
      </c>
      <c r="K407" t="b">
        <f>ISNUMBER(_xlfn.XMATCH(CONTROL[[#This Row],[VEHIDCODE]],PROPERTIES[VEHIDCODE],0))</f>
        <v>1</v>
      </c>
      <c r="L407" t="b">
        <f>ISNUMBER(_xlfn.XLOOKUP(CONTROL[[#This Row],[VEHIDCODE]],roster!A:A,roster!D:D))</f>
        <v>1</v>
      </c>
      <c r="M407" t="b">
        <f>ISNUMBER(_xlfn.XMATCH(CONTROL[[#This Row],[VEHIDCODE]],GRAPHICS_PROPERTIES[VEHIDCODE],0))</f>
        <v>1</v>
      </c>
      <c r="N407" s="21" t="str">
        <f>"item_"&amp;CONTROL[[#This Row],[VEHIDCODE]]</f>
        <v>item_electric_Siemens_Oa</v>
      </c>
      <c r="O407" s="21" t="str">
        <f>"str_"&amp;CONTROL[[#This Row],[VEHIDCODE]]</f>
        <v>str_electric_Siemens_Oa</v>
      </c>
      <c r="P407" s="7" t="b">
        <f>_xlfn.XLOOKUP(CONTROL[[#This Row],[VEHIDCODE]],PROPERTIES[VEHIDCODE],PROPERTIES[IS_CONCEPT])="IS_CONCEPT"</f>
        <v>0</v>
      </c>
      <c r="Q407" s="7" t="b">
        <f>_xlfn.XLOOKUP(CONTROL[[#This Row],[VEHIDCODE]],PROPERTIES[VEHIDCODE],PROPERTIES[EXCLUDE])</f>
        <v>0</v>
      </c>
      <c r="R407" t="str" cm="1">
        <f t="array" ref="R407">_xlfn.XLOOKUP(CONTROL[[#This Row],[VEHIDCODE]],GRAPHICS_PROPERTIES[VEHIDCODE],GRAPHICS_PROPERTIES[TEMPLATE_ID]&amp;GRAPHICS_PROPERTIES[TEMPLATE_AMENDMENT_CODE])</f>
        <v>TPL_17E</v>
      </c>
    </row>
    <row r="408" spans="1:18" x14ac:dyDescent="0.35">
      <c r="A408" s="2" t="s">
        <v>3042</v>
      </c>
      <c r="B408" s="21" t="str">
        <f>_xlfn.TEXTAFTER(CONTROL[[#This Row],[VEHIDCODE]],"_")</f>
        <v>ASEA_F</v>
      </c>
      <c r="C408" t="str" cm="1">
        <f t="array" ref="C4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8" t="str" cm="1">
        <f t="array" ref="D4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8">
        <v>6076</v>
      </c>
      <c r="F408" s="32" t="s">
        <v>2570</v>
      </c>
      <c r="G408" t="s">
        <v>1429</v>
      </c>
      <c r="H408" s="2" t="b">
        <f>AND(CONTROL[[#This Row],[IS_WAGON_OR_COACH]]=TRUE,OR(RIGHT(CONTROL[[#This Row],[VEHIDCODE]],7)="Powered",RIGHT(CONTROL[[#This Row],[VEHIDCODE]],9)="Unpowered"))</f>
        <v>0</v>
      </c>
      <c r="I4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8" t="b">
        <f>ISNUMBER(_xlfn.XMATCH(CONTROL[[#This Row],[VEHIDCODE]],TRACK_TYPES[VEHIDCODE],0))</f>
        <v>1</v>
      </c>
      <c r="K408" t="b">
        <f>ISNUMBER(_xlfn.XMATCH(CONTROL[[#This Row],[VEHIDCODE]],PROPERTIES[VEHIDCODE],0))</f>
        <v>1</v>
      </c>
      <c r="L408" t="b">
        <f>ISNUMBER(_xlfn.XLOOKUP(CONTROL[[#This Row],[VEHIDCODE]],roster!A:A,roster!D:D))</f>
        <v>1</v>
      </c>
      <c r="M408" t="b">
        <f>ISNUMBER(_xlfn.XMATCH(CONTROL[[#This Row],[VEHIDCODE]],GRAPHICS_PROPERTIES[VEHIDCODE],0))</f>
        <v>1</v>
      </c>
      <c r="N408" s="21" t="str">
        <f>"item_"&amp;CONTROL[[#This Row],[VEHIDCODE]]</f>
        <v>item_electric_ASEA_F</v>
      </c>
      <c r="O408" s="21" t="str">
        <f>"str_"&amp;CONTROL[[#This Row],[VEHIDCODE]]</f>
        <v>str_electric_ASEA_F</v>
      </c>
      <c r="P408" s="7" t="b">
        <f>_xlfn.XLOOKUP(CONTROL[[#This Row],[VEHIDCODE]],PROPERTIES[VEHIDCODE],PROPERTIES[IS_CONCEPT])="IS_CONCEPT"</f>
        <v>0</v>
      </c>
      <c r="Q408" s="7" t="b">
        <f>_xlfn.XLOOKUP(CONTROL[[#This Row],[VEHIDCODE]],PROPERTIES[VEHIDCODE],PROPERTIES[EXCLUDE])</f>
        <v>0</v>
      </c>
      <c r="R408" t="str" cm="1">
        <f t="array" ref="R408">_xlfn.XLOOKUP(CONTROL[[#This Row],[VEHIDCODE]],GRAPHICS_PROPERTIES[VEHIDCODE],GRAPHICS_PROPERTIES[TEMPLATE_ID]&amp;GRAPHICS_PROPERTIES[TEMPLATE_AMENDMENT_CODE])</f>
        <v>TPL_01A</v>
      </c>
    </row>
    <row r="409" spans="1:18" x14ac:dyDescent="0.35">
      <c r="A409" s="2" t="s">
        <v>3043</v>
      </c>
      <c r="B409" s="21" t="str">
        <f>_xlfn.TEXTAFTER(CONTROL[[#This Row],[VEHIDCODE]],"_")</f>
        <v>Thyssen_Henschel_EL17</v>
      </c>
      <c r="C409" t="str" cm="1">
        <f t="array" ref="C4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9" t="str" cm="1">
        <f t="array" ref="D4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9">
        <v>6129</v>
      </c>
      <c r="F409" s="32" t="s">
        <v>2610</v>
      </c>
      <c r="G409" t="s">
        <v>1430</v>
      </c>
      <c r="H409" s="2" t="b">
        <f>AND(CONTROL[[#This Row],[IS_WAGON_OR_COACH]]=TRUE,OR(RIGHT(CONTROL[[#This Row],[VEHIDCODE]],7)="Powered",RIGHT(CONTROL[[#This Row],[VEHIDCODE]],9)="Unpowered"))</f>
        <v>0</v>
      </c>
      <c r="I4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9" t="b">
        <f>ISNUMBER(_xlfn.XMATCH(CONTROL[[#This Row],[VEHIDCODE]],TRACK_TYPES[VEHIDCODE],0))</f>
        <v>1</v>
      </c>
      <c r="K409" t="b">
        <f>ISNUMBER(_xlfn.XMATCH(CONTROL[[#This Row],[VEHIDCODE]],PROPERTIES[VEHIDCODE],0))</f>
        <v>1</v>
      </c>
      <c r="L409" t="b">
        <f>ISNUMBER(_xlfn.XLOOKUP(CONTROL[[#This Row],[VEHIDCODE]],roster!A:A,roster!D:D))</f>
        <v>1</v>
      </c>
      <c r="M409" t="b">
        <f>ISNUMBER(_xlfn.XMATCH(CONTROL[[#This Row],[VEHIDCODE]],GRAPHICS_PROPERTIES[VEHIDCODE],0))</f>
        <v>1</v>
      </c>
      <c r="N409" s="21" t="str">
        <f>"item_"&amp;CONTROL[[#This Row],[VEHIDCODE]]</f>
        <v>item_electric_Thyssen_Henschel_EL17</v>
      </c>
      <c r="O409" s="21" t="str">
        <f>"str_"&amp;CONTROL[[#This Row],[VEHIDCODE]]</f>
        <v>str_electric_Thyssen_Henschel_EL17</v>
      </c>
      <c r="P409" s="7" t="b">
        <f>_xlfn.XLOOKUP(CONTROL[[#This Row],[VEHIDCODE]],PROPERTIES[VEHIDCODE],PROPERTIES[IS_CONCEPT])="IS_CONCEPT"</f>
        <v>0</v>
      </c>
      <c r="Q409" s="7" t="b">
        <f>_xlfn.XLOOKUP(CONTROL[[#This Row],[VEHIDCODE]],PROPERTIES[VEHIDCODE],PROPERTIES[EXCLUDE])</f>
        <v>0</v>
      </c>
      <c r="R409" t="str" cm="1">
        <f t="array" ref="R409">_xlfn.XLOOKUP(CONTROL[[#This Row],[VEHIDCODE]],GRAPHICS_PROPERTIES[VEHIDCODE],GRAPHICS_PROPERTIES[TEMPLATE_ID]&amp;GRAPHICS_PROPERTIES[TEMPLATE_AMENDMENT_CODE])</f>
        <v>TPL_01A</v>
      </c>
    </row>
    <row r="410" spans="1:18" x14ac:dyDescent="0.35">
      <c r="A410" s="2" t="s">
        <v>3044</v>
      </c>
      <c r="B410" s="21" t="str">
        <f>_xlfn.TEXTAFTER(CONTROL[[#This Row],[VEHIDCODE]],"_")</f>
        <v>Borsig_SSW_ES_6</v>
      </c>
      <c r="C410" t="str" cm="1">
        <f t="array" ref="C4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0" t="str" cm="1">
        <f t="array" ref="D4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0">
        <v>6135</v>
      </c>
      <c r="F410" s="32" t="s">
        <v>2269</v>
      </c>
      <c r="G410" t="s">
        <v>1431</v>
      </c>
      <c r="H410" s="2" t="b">
        <f>AND(CONTROL[[#This Row],[IS_WAGON_OR_COACH]]=TRUE,OR(RIGHT(CONTROL[[#This Row],[VEHIDCODE]],7)="Powered",RIGHT(CONTROL[[#This Row],[VEHIDCODE]],9)="Unpowered"))</f>
        <v>0</v>
      </c>
      <c r="I4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0" t="b">
        <f>ISNUMBER(_xlfn.XMATCH(CONTROL[[#This Row],[VEHIDCODE]],TRACK_TYPES[VEHIDCODE],0))</f>
        <v>1</v>
      </c>
      <c r="K410" t="b">
        <f>ISNUMBER(_xlfn.XMATCH(CONTROL[[#This Row],[VEHIDCODE]],PROPERTIES[VEHIDCODE],0))</f>
        <v>1</v>
      </c>
      <c r="L410" t="b">
        <f>ISNUMBER(_xlfn.XLOOKUP(CONTROL[[#This Row],[VEHIDCODE]],roster!A:A,roster!D:D))</f>
        <v>1</v>
      </c>
      <c r="M410" t="b">
        <f>ISNUMBER(_xlfn.XMATCH(CONTROL[[#This Row],[VEHIDCODE]],GRAPHICS_PROPERTIES[VEHIDCODE],0))</f>
        <v>1</v>
      </c>
      <c r="N410" s="21" t="str">
        <f>"item_"&amp;CONTROL[[#This Row],[VEHIDCODE]]</f>
        <v>item_electric_Borsig_SSW_ES_6</v>
      </c>
      <c r="O410" s="21" t="str">
        <f>"str_"&amp;CONTROL[[#This Row],[VEHIDCODE]]</f>
        <v>str_electric_Borsig_SSW_ES_6</v>
      </c>
      <c r="P410" s="7" t="b">
        <f>_xlfn.XLOOKUP(CONTROL[[#This Row],[VEHIDCODE]],PROPERTIES[VEHIDCODE],PROPERTIES[IS_CONCEPT])="IS_CONCEPT"</f>
        <v>0</v>
      </c>
      <c r="Q410" s="7" t="b">
        <f>_xlfn.XLOOKUP(CONTROL[[#This Row],[VEHIDCODE]],PROPERTIES[VEHIDCODE],PROPERTIES[EXCLUDE])</f>
        <v>0</v>
      </c>
      <c r="R410" t="str" cm="1">
        <f t="array" ref="R410">_xlfn.XLOOKUP(CONTROL[[#This Row],[VEHIDCODE]],GRAPHICS_PROPERTIES[VEHIDCODE],GRAPHICS_PROPERTIES[TEMPLATE_ID]&amp;GRAPHICS_PROPERTIES[TEMPLATE_AMENDMENT_CODE])</f>
        <v>TPL_03C</v>
      </c>
    </row>
    <row r="411" spans="1:18" x14ac:dyDescent="0.35">
      <c r="A411" s="2" t="s">
        <v>3045</v>
      </c>
      <c r="B411" s="21" t="str">
        <f>_xlfn.TEXTAFTER(CONTROL[[#This Row],[VEHIDCODE]],"_")</f>
        <v>GE_EL_2B</v>
      </c>
      <c r="C411" t="str" cm="1">
        <f t="array" ref="C4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1" t="str" cm="1">
        <f t="array" ref="D4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1">
        <v>6098</v>
      </c>
      <c r="F411" s="32" t="s">
        <v>2561</v>
      </c>
      <c r="G411" t="s">
        <v>1432</v>
      </c>
      <c r="H411" s="2" t="b">
        <f>AND(CONTROL[[#This Row],[IS_WAGON_OR_COACH]]=TRUE,OR(RIGHT(CONTROL[[#This Row],[VEHIDCODE]],7)="Powered",RIGHT(CONTROL[[#This Row],[VEHIDCODE]],9)="Unpowered"))</f>
        <v>0</v>
      </c>
      <c r="I4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1" t="b">
        <f>ISNUMBER(_xlfn.XMATCH(CONTROL[[#This Row],[VEHIDCODE]],TRACK_TYPES[VEHIDCODE],0))</f>
        <v>1</v>
      </c>
      <c r="K411" t="b">
        <f>ISNUMBER(_xlfn.XMATCH(CONTROL[[#This Row],[VEHIDCODE]],PROPERTIES[VEHIDCODE],0))</f>
        <v>1</v>
      </c>
      <c r="L411" t="b">
        <f>ISNUMBER(_xlfn.XLOOKUP(CONTROL[[#This Row],[VEHIDCODE]],roster!A:A,roster!D:D))</f>
        <v>1</v>
      </c>
      <c r="M411" t="b">
        <f>ISNUMBER(_xlfn.XMATCH(CONTROL[[#This Row],[VEHIDCODE]],GRAPHICS_PROPERTIES[VEHIDCODE],0))</f>
        <v>1</v>
      </c>
      <c r="N411" s="21" t="str">
        <f>"item_"&amp;CONTROL[[#This Row],[VEHIDCODE]]</f>
        <v>item_electric_GE_EL_2B</v>
      </c>
      <c r="O411" s="21" t="str">
        <f>"str_"&amp;CONTROL[[#This Row],[VEHIDCODE]]</f>
        <v>str_electric_GE_EL_2B</v>
      </c>
      <c r="P411" s="7" t="b">
        <f>_xlfn.XLOOKUP(CONTROL[[#This Row],[VEHIDCODE]],PROPERTIES[VEHIDCODE],PROPERTIES[IS_CONCEPT])="IS_CONCEPT"</f>
        <v>0</v>
      </c>
      <c r="Q411" s="7" t="b">
        <f>_xlfn.XLOOKUP(CONTROL[[#This Row],[VEHIDCODE]],PROPERTIES[VEHIDCODE],PROPERTIES[EXCLUDE])</f>
        <v>0</v>
      </c>
      <c r="R411" t="str" cm="1">
        <f t="array" ref="R411">_xlfn.XLOOKUP(CONTROL[[#This Row],[VEHIDCODE]],GRAPHICS_PROPERTIES[VEHIDCODE],GRAPHICS_PROPERTIES[TEMPLATE_ID]&amp;GRAPHICS_PROPERTIES[TEMPLATE_AMENDMENT_CODE])</f>
        <v>TPL_03D</v>
      </c>
    </row>
    <row r="412" spans="1:18" x14ac:dyDescent="0.35">
      <c r="A412" s="2" t="s">
        <v>3046</v>
      </c>
      <c r="B412" s="21" t="str">
        <f>_xlfn.TEXTAFTER(CONTROL[[#This Row],[VEHIDCODE]],"_")</f>
        <v>GE_W_1</v>
      </c>
      <c r="C412" t="str" cm="1">
        <f t="array" ref="C4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2" t="str" cm="1">
        <f t="array" ref="D4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2">
        <v>6097</v>
      </c>
      <c r="F412" s="32" t="s">
        <v>2560</v>
      </c>
      <c r="G412" t="s">
        <v>1433</v>
      </c>
      <c r="H412" s="2" t="b">
        <f>AND(CONTROL[[#This Row],[IS_WAGON_OR_COACH]]=TRUE,OR(RIGHT(CONTROL[[#This Row],[VEHIDCODE]],7)="Powered",RIGHT(CONTROL[[#This Row],[VEHIDCODE]],9)="Unpowered"))</f>
        <v>0</v>
      </c>
      <c r="I4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2" t="b">
        <f>ISNUMBER(_xlfn.XMATCH(CONTROL[[#This Row],[VEHIDCODE]],TRACK_TYPES[VEHIDCODE],0))</f>
        <v>1</v>
      </c>
      <c r="K412" t="b">
        <f>ISNUMBER(_xlfn.XMATCH(CONTROL[[#This Row],[VEHIDCODE]],PROPERTIES[VEHIDCODE],0))</f>
        <v>1</v>
      </c>
      <c r="L412" t="b">
        <f>ISNUMBER(_xlfn.XLOOKUP(CONTROL[[#This Row],[VEHIDCODE]],roster!A:A,roster!D:D))</f>
        <v>1</v>
      </c>
      <c r="M412" t="b">
        <f>ISNUMBER(_xlfn.XMATCH(CONTROL[[#This Row],[VEHIDCODE]],GRAPHICS_PROPERTIES[VEHIDCODE],0))</f>
        <v>1</v>
      </c>
      <c r="N412" s="21" t="str">
        <f>"item_"&amp;CONTROL[[#This Row],[VEHIDCODE]]</f>
        <v>item_electric_GE_W_1</v>
      </c>
      <c r="O412" s="21" t="str">
        <f>"str_"&amp;CONTROL[[#This Row],[VEHIDCODE]]</f>
        <v>str_electric_GE_W_1</v>
      </c>
      <c r="P412" s="7" t="b">
        <f>_xlfn.XLOOKUP(CONTROL[[#This Row],[VEHIDCODE]],PROPERTIES[VEHIDCODE],PROPERTIES[IS_CONCEPT])="IS_CONCEPT"</f>
        <v>0</v>
      </c>
      <c r="Q412" s="7" t="b">
        <f>_xlfn.XLOOKUP(CONTROL[[#This Row],[VEHIDCODE]],PROPERTIES[VEHIDCODE],PROPERTIES[EXCLUDE])</f>
        <v>0</v>
      </c>
      <c r="R412" t="str" cm="1">
        <f t="array" ref="R412">_xlfn.XLOOKUP(CONTROL[[#This Row],[VEHIDCODE]],GRAPHICS_PROPERTIES[VEHIDCODE],GRAPHICS_PROPERTIES[TEMPLATE_ID]&amp;GRAPHICS_PROPERTIES[TEMPLATE_AMENDMENT_CODE])</f>
        <v>TPL_16A</v>
      </c>
    </row>
    <row r="413" spans="1:18" x14ac:dyDescent="0.35">
      <c r="A413" s="2" t="s">
        <v>3047</v>
      </c>
      <c r="B413" s="21" t="str">
        <f>_xlfn.TEXTAFTER(CONTROL[[#This Row],[VEHIDCODE]],"_")</f>
        <v>Westinghouse_6wOE_B1</v>
      </c>
      <c r="C413" t="str" cm="1">
        <f t="array" ref="C4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3" t="str" cm="1">
        <f t="array" ref="D4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3">
        <v>6121</v>
      </c>
      <c r="F413" s="32" t="s">
        <v>2270</v>
      </c>
      <c r="G413" t="s">
        <v>1434</v>
      </c>
      <c r="H413" s="2" t="b">
        <f>AND(CONTROL[[#This Row],[IS_WAGON_OR_COACH]]=TRUE,OR(RIGHT(CONTROL[[#This Row],[VEHIDCODE]],7)="Powered",RIGHT(CONTROL[[#This Row],[VEHIDCODE]],9)="Unpowered"))</f>
        <v>0</v>
      </c>
      <c r="I4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3" t="b">
        <f>ISNUMBER(_xlfn.XMATCH(CONTROL[[#This Row],[VEHIDCODE]],TRACK_TYPES[VEHIDCODE],0))</f>
        <v>1</v>
      </c>
      <c r="K413" t="b">
        <f>ISNUMBER(_xlfn.XMATCH(CONTROL[[#This Row],[VEHIDCODE]],PROPERTIES[VEHIDCODE],0))</f>
        <v>1</v>
      </c>
      <c r="L413" t="b">
        <f>ISNUMBER(_xlfn.XLOOKUP(CONTROL[[#This Row],[VEHIDCODE]],roster!A:A,roster!D:D))</f>
        <v>1</v>
      </c>
      <c r="M413" t="b">
        <f>ISNUMBER(_xlfn.XMATCH(CONTROL[[#This Row],[VEHIDCODE]],GRAPHICS_PROPERTIES[VEHIDCODE],0))</f>
        <v>1</v>
      </c>
      <c r="N413" s="21" t="str">
        <f>"item_"&amp;CONTROL[[#This Row],[VEHIDCODE]]</f>
        <v>item_electric_Westinghouse_6wOE_B1</v>
      </c>
      <c r="O413" s="21" t="str">
        <f>"str_"&amp;CONTROL[[#This Row],[VEHIDCODE]]</f>
        <v>str_electric_Westinghouse_6wOE_B1</v>
      </c>
      <c r="P413" s="7" t="b">
        <f>_xlfn.XLOOKUP(CONTROL[[#This Row],[VEHIDCODE]],PROPERTIES[VEHIDCODE],PROPERTIES[IS_CONCEPT])="IS_CONCEPT"</f>
        <v>0</v>
      </c>
      <c r="Q413" s="7" t="b">
        <f>_xlfn.XLOOKUP(CONTROL[[#This Row],[VEHIDCODE]],PROPERTIES[VEHIDCODE],PROPERTIES[EXCLUDE])</f>
        <v>0</v>
      </c>
      <c r="R413" t="str" cm="1">
        <f t="array" ref="R413">_xlfn.XLOOKUP(CONTROL[[#This Row],[VEHIDCODE]],GRAPHICS_PROPERTIES[VEHIDCODE],GRAPHICS_PROPERTIES[TEMPLATE_ID]&amp;GRAPHICS_PROPERTIES[TEMPLATE_AMENDMENT_CODE])</f>
        <v>TPL_01A</v>
      </c>
    </row>
    <row r="414" spans="1:18" x14ac:dyDescent="0.35">
      <c r="A414" s="2" t="s">
        <v>3048</v>
      </c>
      <c r="B414" s="21" t="str">
        <f>_xlfn.TEXTAFTER(CONTROL[[#This Row],[VEHIDCODE]],"_")</f>
        <v>Siemens_E40_AG_V1</v>
      </c>
      <c r="C414" t="str" cm="1">
        <f t="array" ref="C4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4" t="str" cm="1">
        <f t="array" ref="D4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4">
        <v>6118</v>
      </c>
      <c r="F414" s="32" t="s">
        <v>2271</v>
      </c>
      <c r="G414" t="s">
        <v>1435</v>
      </c>
      <c r="H414" s="2" t="b">
        <f>AND(CONTROL[[#This Row],[IS_WAGON_OR_COACH]]=TRUE,OR(RIGHT(CONTROL[[#This Row],[VEHIDCODE]],7)="Powered",RIGHT(CONTROL[[#This Row],[VEHIDCODE]],9)="Unpowered"))</f>
        <v>0</v>
      </c>
      <c r="I4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4" t="b">
        <f>ISNUMBER(_xlfn.XMATCH(CONTROL[[#This Row],[VEHIDCODE]],TRACK_TYPES[VEHIDCODE],0))</f>
        <v>1</v>
      </c>
      <c r="K414" t="b">
        <f>ISNUMBER(_xlfn.XMATCH(CONTROL[[#This Row],[VEHIDCODE]],PROPERTIES[VEHIDCODE],0))</f>
        <v>1</v>
      </c>
      <c r="L414" t="b">
        <f>ISNUMBER(_xlfn.XLOOKUP(CONTROL[[#This Row],[VEHIDCODE]],roster!A:A,roster!D:D))</f>
        <v>1</v>
      </c>
      <c r="M414" t="b">
        <f>ISNUMBER(_xlfn.XMATCH(CONTROL[[#This Row],[VEHIDCODE]],GRAPHICS_PROPERTIES[VEHIDCODE],0))</f>
        <v>1</v>
      </c>
      <c r="N414" s="21" t="str">
        <f>"item_"&amp;CONTROL[[#This Row],[VEHIDCODE]]</f>
        <v>item_electric_Siemens_E40_AG_V1</v>
      </c>
      <c r="O414" s="21" t="str">
        <f>"str_"&amp;CONTROL[[#This Row],[VEHIDCODE]]</f>
        <v>str_electric_Siemens_E40_AG_V1</v>
      </c>
      <c r="P414" s="7" t="b">
        <f>_xlfn.XLOOKUP(CONTROL[[#This Row],[VEHIDCODE]],PROPERTIES[VEHIDCODE],PROPERTIES[IS_CONCEPT])="IS_CONCEPT"</f>
        <v>0</v>
      </c>
      <c r="Q414" s="7" t="b">
        <f>_xlfn.XLOOKUP(CONTROL[[#This Row],[VEHIDCODE]],PROPERTIES[VEHIDCODE],PROPERTIES[EXCLUDE])</f>
        <v>0</v>
      </c>
      <c r="R414" t="str" cm="1">
        <f t="array" ref="R414">_xlfn.XLOOKUP(CONTROL[[#This Row],[VEHIDCODE]],GRAPHICS_PROPERTIES[VEHIDCODE],GRAPHICS_PROPERTIES[TEMPLATE_ID]&amp;GRAPHICS_PROPERTIES[TEMPLATE_AMENDMENT_CODE])</f>
        <v>TPL_01A</v>
      </c>
    </row>
    <row r="415" spans="1:18" x14ac:dyDescent="0.35">
      <c r="A415" s="2" t="s">
        <v>3049</v>
      </c>
      <c r="B415" s="21" t="str">
        <f>_xlfn.TEXTAFTER(CONTROL[[#This Row],[VEHIDCODE]],"_")</f>
        <v>Zuzhou_SS6</v>
      </c>
      <c r="C415" t="str" cm="1">
        <f t="array" ref="C4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5" t="str" cm="1">
        <f t="array" ref="D4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5">
        <v>6044</v>
      </c>
      <c r="F415" s="32" t="s">
        <v>2543</v>
      </c>
      <c r="G415" t="s">
        <v>1436</v>
      </c>
      <c r="H415" s="2" t="b">
        <f>AND(CONTROL[[#This Row],[IS_WAGON_OR_COACH]]=TRUE,OR(RIGHT(CONTROL[[#This Row],[VEHIDCODE]],7)="Powered",RIGHT(CONTROL[[#This Row],[VEHIDCODE]],9)="Unpowered"))</f>
        <v>0</v>
      </c>
      <c r="I4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5" t="b">
        <f>ISNUMBER(_xlfn.XMATCH(CONTROL[[#This Row],[VEHIDCODE]],TRACK_TYPES[VEHIDCODE],0))</f>
        <v>1</v>
      </c>
      <c r="K415" t="b">
        <f>ISNUMBER(_xlfn.XMATCH(CONTROL[[#This Row],[VEHIDCODE]],PROPERTIES[VEHIDCODE],0))</f>
        <v>1</v>
      </c>
      <c r="L415" t="b">
        <f>ISNUMBER(_xlfn.XLOOKUP(CONTROL[[#This Row],[VEHIDCODE]],roster!A:A,roster!D:D))</f>
        <v>1</v>
      </c>
      <c r="M415" t="b">
        <f>ISNUMBER(_xlfn.XMATCH(CONTROL[[#This Row],[VEHIDCODE]],GRAPHICS_PROPERTIES[VEHIDCODE],0))</f>
        <v>1</v>
      </c>
      <c r="N415" s="21" t="str">
        <f>"item_"&amp;CONTROL[[#This Row],[VEHIDCODE]]</f>
        <v>item_electric_Zuzhou_SS6</v>
      </c>
      <c r="O415" s="21" t="str">
        <f>"str_"&amp;CONTROL[[#This Row],[VEHIDCODE]]</f>
        <v>str_electric_Zuzhou_SS6</v>
      </c>
      <c r="P415" s="7" t="b">
        <f>_xlfn.XLOOKUP(CONTROL[[#This Row],[VEHIDCODE]],PROPERTIES[VEHIDCODE],PROPERTIES[IS_CONCEPT])="IS_CONCEPT"</f>
        <v>0</v>
      </c>
      <c r="Q415" s="7" t="b">
        <f>_xlfn.XLOOKUP(CONTROL[[#This Row],[VEHIDCODE]],PROPERTIES[VEHIDCODE],PROPERTIES[EXCLUDE])</f>
        <v>0</v>
      </c>
      <c r="R415" t="str" cm="1">
        <f t="array" ref="R415">_xlfn.XLOOKUP(CONTROL[[#This Row],[VEHIDCODE]],GRAPHICS_PROPERTIES[VEHIDCODE],GRAPHICS_PROPERTIES[TEMPLATE_ID]&amp;GRAPHICS_PROPERTIES[TEMPLATE_AMENDMENT_CODE])</f>
        <v>TPL_01A</v>
      </c>
    </row>
    <row r="416" spans="1:18" x14ac:dyDescent="0.35">
      <c r="A416" s="2" t="s">
        <v>3050</v>
      </c>
      <c r="B416" s="21" t="str">
        <f>_xlfn.TEXTAFTER(CONTROL[[#This Row],[VEHIDCODE]],"_")</f>
        <v>Zuzhou_SS3</v>
      </c>
      <c r="C416" t="str" cm="1">
        <f t="array" ref="C4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6" t="str" cm="1">
        <f t="array" ref="D4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6">
        <v>6127</v>
      </c>
      <c r="F416" s="32" t="s">
        <v>2544</v>
      </c>
      <c r="G416" t="s">
        <v>1437</v>
      </c>
      <c r="H416" s="2" t="b">
        <f>AND(CONTROL[[#This Row],[IS_WAGON_OR_COACH]]=TRUE,OR(RIGHT(CONTROL[[#This Row],[VEHIDCODE]],7)="Powered",RIGHT(CONTROL[[#This Row],[VEHIDCODE]],9)="Unpowered"))</f>
        <v>0</v>
      </c>
      <c r="I4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6" t="b">
        <f>ISNUMBER(_xlfn.XMATCH(CONTROL[[#This Row],[VEHIDCODE]],TRACK_TYPES[VEHIDCODE],0))</f>
        <v>1</v>
      </c>
      <c r="K416" t="b">
        <f>ISNUMBER(_xlfn.XMATCH(CONTROL[[#This Row],[VEHIDCODE]],PROPERTIES[VEHIDCODE],0))</f>
        <v>1</v>
      </c>
      <c r="L416" t="b">
        <f>ISNUMBER(_xlfn.XLOOKUP(CONTROL[[#This Row],[VEHIDCODE]],roster!A:A,roster!D:D))</f>
        <v>1</v>
      </c>
      <c r="M416" t="b">
        <f>ISNUMBER(_xlfn.XMATCH(CONTROL[[#This Row],[VEHIDCODE]],GRAPHICS_PROPERTIES[VEHIDCODE],0))</f>
        <v>1</v>
      </c>
      <c r="N416" s="21" t="str">
        <f>"item_"&amp;CONTROL[[#This Row],[VEHIDCODE]]</f>
        <v>item_electric_Zuzhou_SS3</v>
      </c>
      <c r="O416" s="21" t="str">
        <f>"str_"&amp;CONTROL[[#This Row],[VEHIDCODE]]</f>
        <v>str_electric_Zuzhou_SS3</v>
      </c>
      <c r="P416" s="7" t="b">
        <f>_xlfn.XLOOKUP(CONTROL[[#This Row],[VEHIDCODE]],PROPERTIES[VEHIDCODE],PROPERTIES[IS_CONCEPT])="IS_CONCEPT"</f>
        <v>0</v>
      </c>
      <c r="Q416" s="7" t="b">
        <f>_xlfn.XLOOKUP(CONTROL[[#This Row],[VEHIDCODE]],PROPERTIES[VEHIDCODE],PROPERTIES[EXCLUDE])</f>
        <v>0</v>
      </c>
      <c r="R416" t="str" cm="1">
        <f t="array" ref="R416">_xlfn.XLOOKUP(CONTROL[[#This Row],[VEHIDCODE]],GRAPHICS_PROPERTIES[VEHIDCODE],GRAPHICS_PROPERTIES[TEMPLATE_ID]&amp;GRAPHICS_PROPERTIES[TEMPLATE_AMENDMENT_CODE])</f>
        <v>TPL_01A</v>
      </c>
    </row>
    <row r="417" spans="1:18" x14ac:dyDescent="0.35">
      <c r="A417" s="2" t="s">
        <v>3051</v>
      </c>
      <c r="B417" s="21" t="str">
        <f>_xlfn.TEXTAFTER(CONTROL[[#This Row],[VEHIDCODE]],"_")</f>
        <v>Toshiba_CNR_Dalian_HXD3</v>
      </c>
      <c r="C417" t="str" cm="1">
        <f t="array" ref="C4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7" t="str" cm="1">
        <f t="array" ref="D4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7">
        <v>6058</v>
      </c>
      <c r="F417" s="32" t="s">
        <v>2272</v>
      </c>
      <c r="G417" t="s">
        <v>1438</v>
      </c>
      <c r="H417" s="2" t="b">
        <f>AND(CONTROL[[#This Row],[IS_WAGON_OR_COACH]]=TRUE,OR(RIGHT(CONTROL[[#This Row],[VEHIDCODE]],7)="Powered",RIGHT(CONTROL[[#This Row],[VEHIDCODE]],9)="Unpowered"))</f>
        <v>0</v>
      </c>
      <c r="I4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7" t="b">
        <f>ISNUMBER(_xlfn.XMATCH(CONTROL[[#This Row],[VEHIDCODE]],TRACK_TYPES[VEHIDCODE],0))</f>
        <v>1</v>
      </c>
      <c r="K417" t="b">
        <f>ISNUMBER(_xlfn.XMATCH(CONTROL[[#This Row],[VEHIDCODE]],PROPERTIES[VEHIDCODE],0))</f>
        <v>1</v>
      </c>
      <c r="L417" t="b">
        <f>ISNUMBER(_xlfn.XLOOKUP(CONTROL[[#This Row],[VEHIDCODE]],roster!A:A,roster!D:D))</f>
        <v>1</v>
      </c>
      <c r="M417" t="b">
        <f>ISNUMBER(_xlfn.XMATCH(CONTROL[[#This Row],[VEHIDCODE]],GRAPHICS_PROPERTIES[VEHIDCODE],0))</f>
        <v>1</v>
      </c>
      <c r="N417" s="21" t="str">
        <f>"item_"&amp;CONTROL[[#This Row],[VEHIDCODE]]</f>
        <v>item_electric_Toshiba_CNR_Dalian_HXD3</v>
      </c>
      <c r="O417" s="21" t="str">
        <f>"str_"&amp;CONTROL[[#This Row],[VEHIDCODE]]</f>
        <v>str_electric_Toshiba_CNR_Dalian_HXD3</v>
      </c>
      <c r="P417" s="7" t="b">
        <f>_xlfn.XLOOKUP(CONTROL[[#This Row],[VEHIDCODE]],PROPERTIES[VEHIDCODE],PROPERTIES[IS_CONCEPT])="IS_CONCEPT"</f>
        <v>0</v>
      </c>
      <c r="Q417" s="7" t="b">
        <f>_xlfn.XLOOKUP(CONTROL[[#This Row],[VEHIDCODE]],PROPERTIES[VEHIDCODE],PROPERTIES[EXCLUDE])</f>
        <v>0</v>
      </c>
      <c r="R417" t="str" cm="1">
        <f t="array" ref="R417">_xlfn.XLOOKUP(CONTROL[[#This Row],[VEHIDCODE]],GRAPHICS_PROPERTIES[VEHIDCODE],GRAPHICS_PROPERTIES[TEMPLATE_ID]&amp;GRAPHICS_PROPERTIES[TEMPLATE_AMENDMENT_CODE])</f>
        <v>TPL_01A</v>
      </c>
    </row>
    <row r="418" spans="1:18" x14ac:dyDescent="0.35">
      <c r="A418" s="2" t="s">
        <v>3052</v>
      </c>
      <c r="B418" s="21" t="str">
        <f>_xlfn.TEXTAFTER(CONTROL[[#This Row],[VEHIDCODE]],"_")</f>
        <v>Toshiba_CRRC_HXD1D</v>
      </c>
      <c r="C418" t="str" cm="1">
        <f t="array" ref="C4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8" t="str" cm="1">
        <f t="array" ref="D4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8">
        <v>6093</v>
      </c>
      <c r="F418" s="32" t="s">
        <v>2273</v>
      </c>
      <c r="G418" t="s">
        <v>1439</v>
      </c>
      <c r="H418" s="2" t="b">
        <f>AND(CONTROL[[#This Row],[IS_WAGON_OR_COACH]]=TRUE,OR(RIGHT(CONTROL[[#This Row],[VEHIDCODE]],7)="Powered",RIGHT(CONTROL[[#This Row],[VEHIDCODE]],9)="Unpowered"))</f>
        <v>0</v>
      </c>
      <c r="I4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8" t="b">
        <f>ISNUMBER(_xlfn.XMATCH(CONTROL[[#This Row],[VEHIDCODE]],TRACK_TYPES[VEHIDCODE],0))</f>
        <v>1</v>
      </c>
      <c r="K418" t="b">
        <f>ISNUMBER(_xlfn.XMATCH(CONTROL[[#This Row],[VEHIDCODE]],PROPERTIES[VEHIDCODE],0))</f>
        <v>1</v>
      </c>
      <c r="L418" t="b">
        <f>ISNUMBER(_xlfn.XLOOKUP(CONTROL[[#This Row],[VEHIDCODE]],roster!A:A,roster!D:D))</f>
        <v>1</v>
      </c>
      <c r="M418" t="b">
        <f>ISNUMBER(_xlfn.XMATCH(CONTROL[[#This Row],[VEHIDCODE]],GRAPHICS_PROPERTIES[VEHIDCODE],0))</f>
        <v>1</v>
      </c>
      <c r="N418" s="21" t="str">
        <f>"item_"&amp;CONTROL[[#This Row],[VEHIDCODE]]</f>
        <v>item_electric_Toshiba_CRRC_HXD1D</v>
      </c>
      <c r="O418" s="21" t="str">
        <f>"str_"&amp;CONTROL[[#This Row],[VEHIDCODE]]</f>
        <v>str_electric_Toshiba_CRRC_HXD1D</v>
      </c>
      <c r="P418" s="7" t="b">
        <f>_xlfn.XLOOKUP(CONTROL[[#This Row],[VEHIDCODE]],PROPERTIES[VEHIDCODE],PROPERTIES[IS_CONCEPT])="IS_CONCEPT"</f>
        <v>0</v>
      </c>
      <c r="Q418" s="7" t="b">
        <f>_xlfn.XLOOKUP(CONTROL[[#This Row],[VEHIDCODE]],PROPERTIES[VEHIDCODE],PROPERTIES[EXCLUDE])</f>
        <v>0</v>
      </c>
      <c r="R418" t="str" cm="1">
        <f t="array" ref="R418">_xlfn.XLOOKUP(CONTROL[[#This Row],[VEHIDCODE]],GRAPHICS_PROPERTIES[VEHIDCODE],GRAPHICS_PROPERTIES[TEMPLATE_ID]&amp;GRAPHICS_PROPERTIES[TEMPLATE_AMENDMENT_CODE])</f>
        <v>TPL_01A</v>
      </c>
    </row>
    <row r="419" spans="1:18" x14ac:dyDescent="0.35">
      <c r="A419" s="2" t="s">
        <v>3053</v>
      </c>
      <c r="B419" s="21" t="str">
        <f>_xlfn.TEXTAFTER(CONTROL[[#This Row],[VEHIDCODE]],"_")</f>
        <v>Kawasaki_6K</v>
      </c>
      <c r="C419" t="str" cm="1">
        <f t="array" ref="C4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9" t="str" cm="1">
        <f t="array" ref="D4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9">
        <v>6042</v>
      </c>
      <c r="F419" s="32" t="s">
        <v>2274</v>
      </c>
      <c r="G419" t="s">
        <v>1440</v>
      </c>
      <c r="H419" s="2" t="b">
        <f>AND(CONTROL[[#This Row],[IS_WAGON_OR_COACH]]=TRUE,OR(RIGHT(CONTROL[[#This Row],[VEHIDCODE]],7)="Powered",RIGHT(CONTROL[[#This Row],[VEHIDCODE]],9)="Unpowered"))</f>
        <v>0</v>
      </c>
      <c r="I4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9" t="b">
        <f>ISNUMBER(_xlfn.XMATCH(CONTROL[[#This Row],[VEHIDCODE]],TRACK_TYPES[VEHIDCODE],0))</f>
        <v>1</v>
      </c>
      <c r="K419" t="b">
        <f>ISNUMBER(_xlfn.XMATCH(CONTROL[[#This Row],[VEHIDCODE]],PROPERTIES[VEHIDCODE],0))</f>
        <v>1</v>
      </c>
      <c r="L419" t="b">
        <f>ISNUMBER(_xlfn.XLOOKUP(CONTROL[[#This Row],[VEHIDCODE]],roster!A:A,roster!D:D))</f>
        <v>1</v>
      </c>
      <c r="M419" t="b">
        <f>ISNUMBER(_xlfn.XMATCH(CONTROL[[#This Row],[VEHIDCODE]],GRAPHICS_PROPERTIES[VEHIDCODE],0))</f>
        <v>1</v>
      </c>
      <c r="N419" s="21" t="str">
        <f>"item_"&amp;CONTROL[[#This Row],[VEHIDCODE]]</f>
        <v>item_electric_Kawasaki_6K</v>
      </c>
      <c r="O419" s="21" t="str">
        <f>"str_"&amp;CONTROL[[#This Row],[VEHIDCODE]]</f>
        <v>str_electric_Kawasaki_6K</v>
      </c>
      <c r="P419" s="7" t="b">
        <f>_xlfn.XLOOKUP(CONTROL[[#This Row],[VEHIDCODE]],PROPERTIES[VEHIDCODE],PROPERTIES[IS_CONCEPT])="IS_CONCEPT"</f>
        <v>0</v>
      </c>
      <c r="Q419" s="7" t="b">
        <f>_xlfn.XLOOKUP(CONTROL[[#This Row],[VEHIDCODE]],PROPERTIES[VEHIDCODE],PROPERTIES[EXCLUDE])</f>
        <v>0</v>
      </c>
      <c r="R419" t="str" cm="1">
        <f t="array" ref="R419">_xlfn.XLOOKUP(CONTROL[[#This Row],[VEHIDCODE]],GRAPHICS_PROPERTIES[VEHIDCODE],GRAPHICS_PROPERTIES[TEMPLATE_ID]&amp;GRAPHICS_PROPERTIES[TEMPLATE_AMENDMENT_CODE])</f>
        <v>TPL_01A</v>
      </c>
    </row>
    <row r="420" spans="1:18" x14ac:dyDescent="0.35">
      <c r="A420" s="2" t="s">
        <v>3054</v>
      </c>
      <c r="B420" s="21" t="str">
        <f>_xlfn.TEXTAFTER(CONTROL[[#This Row],[VEHIDCODE]],"_")</f>
        <v>GE_E44</v>
      </c>
      <c r="C420" t="str" cm="1">
        <f t="array" ref="C4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0" t="str" cm="1">
        <f t="array" ref="D4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0">
        <v>6101</v>
      </c>
      <c r="F420" s="32" t="s">
        <v>2275</v>
      </c>
      <c r="G420" t="s">
        <v>1441</v>
      </c>
      <c r="H420" s="2" t="b">
        <f>AND(CONTROL[[#This Row],[IS_WAGON_OR_COACH]]=TRUE,OR(RIGHT(CONTROL[[#This Row],[VEHIDCODE]],7)="Powered",RIGHT(CONTROL[[#This Row],[VEHIDCODE]],9)="Unpowered"))</f>
        <v>0</v>
      </c>
      <c r="I4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0" t="b">
        <f>ISNUMBER(_xlfn.XMATCH(CONTROL[[#This Row],[VEHIDCODE]],TRACK_TYPES[VEHIDCODE],0))</f>
        <v>1</v>
      </c>
      <c r="K420" t="b">
        <f>ISNUMBER(_xlfn.XMATCH(CONTROL[[#This Row],[VEHIDCODE]],PROPERTIES[VEHIDCODE],0))</f>
        <v>1</v>
      </c>
      <c r="L420" t="b">
        <f>ISNUMBER(_xlfn.XLOOKUP(CONTROL[[#This Row],[VEHIDCODE]],roster!A:A,roster!D:D))</f>
        <v>1</v>
      </c>
      <c r="M420" t="b">
        <f>ISNUMBER(_xlfn.XMATCH(CONTROL[[#This Row],[VEHIDCODE]],GRAPHICS_PROPERTIES[VEHIDCODE],0))</f>
        <v>1</v>
      </c>
      <c r="N420" s="21" t="str">
        <f>"item_"&amp;CONTROL[[#This Row],[VEHIDCODE]]</f>
        <v>item_electric_GE_E44</v>
      </c>
      <c r="O420" s="21" t="str">
        <f>"str_"&amp;CONTROL[[#This Row],[VEHIDCODE]]</f>
        <v>str_electric_GE_E44</v>
      </c>
      <c r="P420" s="7" t="b">
        <f>_xlfn.XLOOKUP(CONTROL[[#This Row],[VEHIDCODE]],PROPERTIES[VEHIDCODE],PROPERTIES[IS_CONCEPT])="IS_CONCEPT"</f>
        <v>0</v>
      </c>
      <c r="Q420" s="7" t="b">
        <f>_xlfn.XLOOKUP(CONTROL[[#This Row],[VEHIDCODE]],PROPERTIES[VEHIDCODE],PROPERTIES[EXCLUDE])</f>
        <v>0</v>
      </c>
      <c r="R420" t="str" cm="1">
        <f t="array" ref="R420">_xlfn.XLOOKUP(CONTROL[[#This Row],[VEHIDCODE]],GRAPHICS_PROPERTIES[VEHIDCODE],GRAPHICS_PROPERTIES[TEMPLATE_ID]&amp;GRAPHICS_PROPERTIES[TEMPLATE_AMENDMENT_CODE])</f>
        <v>TPL_01A</v>
      </c>
    </row>
    <row r="421" spans="1:18" x14ac:dyDescent="0.35">
      <c r="A421" s="2" t="s">
        <v>3055</v>
      </c>
      <c r="B421" s="21" t="str">
        <f>_xlfn.TEXTAFTER(CONTROL[[#This Row],[VEHIDCODE]],"_")</f>
        <v>ASEA_Koncar_Rb</v>
      </c>
      <c r="C421" t="str" cm="1">
        <f t="array" ref="C4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1" t="str" cm="1">
        <f t="array" ref="D4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1">
        <v>6031</v>
      </c>
      <c r="F421" s="32" t="s">
        <v>2285</v>
      </c>
      <c r="G421" t="s">
        <v>1442</v>
      </c>
      <c r="H421" s="2" t="b">
        <f>AND(CONTROL[[#This Row],[IS_WAGON_OR_COACH]]=TRUE,OR(RIGHT(CONTROL[[#This Row],[VEHIDCODE]],7)="Powered",RIGHT(CONTROL[[#This Row],[VEHIDCODE]],9)="Unpowered"))</f>
        <v>0</v>
      </c>
      <c r="I4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1" t="b">
        <f>ISNUMBER(_xlfn.XMATCH(CONTROL[[#This Row],[VEHIDCODE]],TRACK_TYPES[VEHIDCODE],0))</f>
        <v>1</v>
      </c>
      <c r="K421" t="b">
        <f>ISNUMBER(_xlfn.XMATCH(CONTROL[[#This Row],[VEHIDCODE]],PROPERTIES[VEHIDCODE],0))</f>
        <v>1</v>
      </c>
      <c r="L421" t="b">
        <f>ISNUMBER(_xlfn.XLOOKUP(CONTROL[[#This Row],[VEHIDCODE]],roster!A:A,roster!D:D))</f>
        <v>1</v>
      </c>
      <c r="M421" t="b">
        <f>ISNUMBER(_xlfn.XMATCH(CONTROL[[#This Row],[VEHIDCODE]],GRAPHICS_PROPERTIES[VEHIDCODE],0))</f>
        <v>1</v>
      </c>
      <c r="N421" s="21" t="str">
        <f>"item_"&amp;CONTROL[[#This Row],[VEHIDCODE]]</f>
        <v>item_electric_ASEA_Koncar_Rb</v>
      </c>
      <c r="O421" s="21" t="str">
        <f>"str_"&amp;CONTROL[[#This Row],[VEHIDCODE]]</f>
        <v>str_electric_ASEA_Koncar_Rb</v>
      </c>
      <c r="P421" s="7" t="b">
        <f>_xlfn.XLOOKUP(CONTROL[[#This Row],[VEHIDCODE]],PROPERTIES[VEHIDCODE],PROPERTIES[IS_CONCEPT])="IS_CONCEPT"</f>
        <v>0</v>
      </c>
      <c r="Q421" s="7" t="b">
        <f>_xlfn.XLOOKUP(CONTROL[[#This Row],[VEHIDCODE]],PROPERTIES[VEHIDCODE],PROPERTIES[EXCLUDE])</f>
        <v>0</v>
      </c>
      <c r="R421" t="str" cm="1">
        <f t="array" ref="R421">_xlfn.XLOOKUP(CONTROL[[#This Row],[VEHIDCODE]],GRAPHICS_PROPERTIES[VEHIDCODE],GRAPHICS_PROPERTIES[TEMPLATE_ID]&amp;GRAPHICS_PROPERTIES[TEMPLATE_AMENDMENT_CODE])</f>
        <v>TPL_01A</v>
      </c>
    </row>
    <row r="422" spans="1:18" x14ac:dyDescent="0.35">
      <c r="A422" s="2" t="s">
        <v>3056</v>
      </c>
      <c r="B422" s="21" t="str">
        <f>_xlfn.TEXTAFTER(CONTROL[[#This Row],[VEHIDCODE]],"_")</f>
        <v>Ganz_MAVAG_VM14_V43</v>
      </c>
      <c r="C422" t="str" cm="1">
        <f t="array" ref="C4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2" t="str" cm="1">
        <f t="array" ref="D4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2">
        <v>6085</v>
      </c>
      <c r="F422" s="32" t="s">
        <v>2611</v>
      </c>
      <c r="G422" t="s">
        <v>1443</v>
      </c>
      <c r="H422" s="2" t="b">
        <f>AND(CONTROL[[#This Row],[IS_WAGON_OR_COACH]]=TRUE,OR(RIGHT(CONTROL[[#This Row],[VEHIDCODE]],7)="Powered",RIGHT(CONTROL[[#This Row],[VEHIDCODE]],9)="Unpowered"))</f>
        <v>0</v>
      </c>
      <c r="I4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2" t="b">
        <f>ISNUMBER(_xlfn.XMATCH(CONTROL[[#This Row],[VEHIDCODE]],TRACK_TYPES[VEHIDCODE],0))</f>
        <v>1</v>
      </c>
      <c r="K422" t="b">
        <f>ISNUMBER(_xlfn.XMATCH(CONTROL[[#This Row],[VEHIDCODE]],PROPERTIES[VEHIDCODE],0))</f>
        <v>1</v>
      </c>
      <c r="L422" t="b">
        <f>ISNUMBER(_xlfn.XLOOKUP(CONTROL[[#This Row],[VEHIDCODE]],roster!A:A,roster!D:D))</f>
        <v>1</v>
      </c>
      <c r="M422" t="b">
        <f>ISNUMBER(_xlfn.XMATCH(CONTROL[[#This Row],[VEHIDCODE]],GRAPHICS_PROPERTIES[VEHIDCODE],0))</f>
        <v>1</v>
      </c>
      <c r="N422" s="21" t="str">
        <f>"item_"&amp;CONTROL[[#This Row],[VEHIDCODE]]</f>
        <v>item_electric_Ganz_MAVAG_VM14_V43</v>
      </c>
      <c r="O422" s="21" t="str">
        <f>"str_"&amp;CONTROL[[#This Row],[VEHIDCODE]]</f>
        <v>str_electric_Ganz_MAVAG_VM14_V43</v>
      </c>
      <c r="P422" s="7" t="b">
        <f>_xlfn.XLOOKUP(CONTROL[[#This Row],[VEHIDCODE]],PROPERTIES[VEHIDCODE],PROPERTIES[IS_CONCEPT])="IS_CONCEPT"</f>
        <v>0</v>
      </c>
      <c r="Q422" s="7" t="b">
        <f>_xlfn.XLOOKUP(CONTROL[[#This Row],[VEHIDCODE]],PROPERTIES[VEHIDCODE],PROPERTIES[EXCLUDE])</f>
        <v>0</v>
      </c>
      <c r="R422" t="str" cm="1">
        <f t="array" ref="R422">_xlfn.XLOOKUP(CONTROL[[#This Row],[VEHIDCODE]],GRAPHICS_PROPERTIES[VEHIDCODE],GRAPHICS_PROPERTIES[TEMPLATE_ID]&amp;GRAPHICS_PROPERTIES[TEMPLATE_AMENDMENT_CODE])</f>
        <v>TPL_01A</v>
      </c>
    </row>
    <row r="423" spans="1:18" x14ac:dyDescent="0.35">
      <c r="A423" s="2" t="s">
        <v>3057</v>
      </c>
      <c r="B423" s="21" t="str">
        <f>_xlfn.TEXTAFTER(CONTROL[[#This Row],[VEHIDCODE]],"_")</f>
        <v>Alsthom_CP_2500</v>
      </c>
      <c r="C423" t="str" cm="1">
        <f t="array" ref="C4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3" t="str" cm="1">
        <f t="array" ref="D4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3">
        <v>6025</v>
      </c>
      <c r="F423" s="32" t="s">
        <v>2612</v>
      </c>
      <c r="G423" t="s">
        <v>1444</v>
      </c>
      <c r="H423" s="2" t="b">
        <f>AND(CONTROL[[#This Row],[IS_WAGON_OR_COACH]]=TRUE,OR(RIGHT(CONTROL[[#This Row],[VEHIDCODE]],7)="Powered",RIGHT(CONTROL[[#This Row],[VEHIDCODE]],9)="Unpowered"))</f>
        <v>0</v>
      </c>
      <c r="I4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3" t="b">
        <f>ISNUMBER(_xlfn.XMATCH(CONTROL[[#This Row],[VEHIDCODE]],TRACK_TYPES[VEHIDCODE],0))</f>
        <v>1</v>
      </c>
      <c r="K423" t="b">
        <f>ISNUMBER(_xlfn.XMATCH(CONTROL[[#This Row],[VEHIDCODE]],PROPERTIES[VEHIDCODE],0))</f>
        <v>1</v>
      </c>
      <c r="L423" t="b">
        <f>ISNUMBER(_xlfn.XLOOKUP(CONTROL[[#This Row],[VEHIDCODE]],roster!A:A,roster!D:D))</f>
        <v>1</v>
      </c>
      <c r="M423" t="b">
        <f>ISNUMBER(_xlfn.XMATCH(CONTROL[[#This Row],[VEHIDCODE]],GRAPHICS_PROPERTIES[VEHIDCODE],0))</f>
        <v>1</v>
      </c>
      <c r="N423" s="21" t="str">
        <f>"item_"&amp;CONTROL[[#This Row],[VEHIDCODE]]</f>
        <v>item_electric_Alsthom_CP_2500</v>
      </c>
      <c r="O423" s="21" t="str">
        <f>"str_"&amp;CONTROL[[#This Row],[VEHIDCODE]]</f>
        <v>str_electric_Alsthom_CP_2500</v>
      </c>
      <c r="P423" s="7" t="b">
        <f>_xlfn.XLOOKUP(CONTROL[[#This Row],[VEHIDCODE]],PROPERTIES[VEHIDCODE],PROPERTIES[IS_CONCEPT])="IS_CONCEPT"</f>
        <v>0</v>
      </c>
      <c r="Q423" s="7" t="b">
        <f>_xlfn.XLOOKUP(CONTROL[[#This Row],[VEHIDCODE]],PROPERTIES[VEHIDCODE],PROPERTIES[EXCLUDE])</f>
        <v>0</v>
      </c>
      <c r="R423" t="str" cm="1">
        <f t="array" ref="R423">_xlfn.XLOOKUP(CONTROL[[#This Row],[VEHIDCODE]],GRAPHICS_PROPERTIES[VEHIDCODE],GRAPHICS_PROPERTIES[TEMPLATE_ID]&amp;GRAPHICS_PROPERTIES[TEMPLATE_AMENDMENT_CODE])</f>
        <v>TPL_01A</v>
      </c>
    </row>
    <row r="424" spans="1:18" x14ac:dyDescent="0.35">
      <c r="A424" s="2" t="s">
        <v>3058</v>
      </c>
      <c r="B424" s="21" t="str">
        <f>_xlfn.TEXTAFTER(CONTROL[[#This Row],[VEHIDCODE]],"_")</f>
        <v>Alsthom_CP_2600</v>
      </c>
      <c r="C424" t="str" cm="1">
        <f t="array" ref="C4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4" t="str" cm="1">
        <f t="array" ref="D4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4">
        <v>6103</v>
      </c>
      <c r="F424" s="32" t="s">
        <v>2548</v>
      </c>
      <c r="G424" t="s">
        <v>1445</v>
      </c>
      <c r="H424" s="2" t="b">
        <f>AND(CONTROL[[#This Row],[IS_WAGON_OR_COACH]]=TRUE,OR(RIGHT(CONTROL[[#This Row],[VEHIDCODE]],7)="Powered",RIGHT(CONTROL[[#This Row],[VEHIDCODE]],9)="Unpowered"))</f>
        <v>0</v>
      </c>
      <c r="I4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4" t="b">
        <f>ISNUMBER(_xlfn.XMATCH(CONTROL[[#This Row],[VEHIDCODE]],TRACK_TYPES[VEHIDCODE],0))</f>
        <v>1</v>
      </c>
      <c r="K424" t="b">
        <f>ISNUMBER(_xlfn.XMATCH(CONTROL[[#This Row],[VEHIDCODE]],PROPERTIES[VEHIDCODE],0))</f>
        <v>1</v>
      </c>
      <c r="L424" t="b">
        <f>ISNUMBER(_xlfn.XLOOKUP(CONTROL[[#This Row],[VEHIDCODE]],roster!A:A,roster!D:D))</f>
        <v>1</v>
      </c>
      <c r="M424" t="b">
        <f>ISNUMBER(_xlfn.XMATCH(CONTROL[[#This Row],[VEHIDCODE]],GRAPHICS_PROPERTIES[VEHIDCODE],0))</f>
        <v>1</v>
      </c>
      <c r="N424" s="21" t="str">
        <f>"item_"&amp;CONTROL[[#This Row],[VEHIDCODE]]</f>
        <v>item_electric_Alsthom_CP_2600</v>
      </c>
      <c r="O424" s="21" t="str">
        <f>"str_"&amp;CONTROL[[#This Row],[VEHIDCODE]]</f>
        <v>str_electric_Alsthom_CP_2600</v>
      </c>
      <c r="P424" s="7" t="b">
        <f>_xlfn.XLOOKUP(CONTROL[[#This Row],[VEHIDCODE]],PROPERTIES[VEHIDCODE],PROPERTIES[IS_CONCEPT])="IS_CONCEPT"</f>
        <v>0</v>
      </c>
      <c r="Q424" s="7" t="b">
        <f>_xlfn.XLOOKUP(CONTROL[[#This Row],[VEHIDCODE]],PROPERTIES[VEHIDCODE],PROPERTIES[EXCLUDE])</f>
        <v>0</v>
      </c>
      <c r="R424" t="str" cm="1">
        <f t="array" ref="R424">_xlfn.XLOOKUP(CONTROL[[#This Row],[VEHIDCODE]],GRAPHICS_PROPERTIES[VEHIDCODE],GRAPHICS_PROPERTIES[TEMPLATE_ID]&amp;GRAPHICS_PROPERTIES[TEMPLATE_AMENDMENT_CODE])</f>
        <v>TPL_01A</v>
      </c>
    </row>
    <row r="425" spans="1:18" x14ac:dyDescent="0.35">
      <c r="A425" s="2" t="s">
        <v>3059</v>
      </c>
      <c r="B425" s="21" t="str">
        <f>_xlfn.TEXTAFTER(CONTROL[[#This Row],[VEHIDCODE]],"_")</f>
        <v>ZELC_20E_China_Doll</v>
      </c>
      <c r="C425" t="str" cm="1">
        <f t="array" ref="C4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5" t="str" cm="1">
        <f t="array" ref="D4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5">
        <v>6094</v>
      </c>
      <c r="F425" s="32" t="s">
        <v>2283</v>
      </c>
      <c r="G425" t="s">
        <v>1446</v>
      </c>
      <c r="H425" s="2" t="b">
        <f>AND(CONTROL[[#This Row],[IS_WAGON_OR_COACH]]=TRUE,OR(RIGHT(CONTROL[[#This Row],[VEHIDCODE]],7)="Powered",RIGHT(CONTROL[[#This Row],[VEHIDCODE]],9)="Unpowered"))</f>
        <v>0</v>
      </c>
      <c r="I4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5" t="b">
        <f>ISNUMBER(_xlfn.XMATCH(CONTROL[[#This Row],[VEHIDCODE]],TRACK_TYPES[VEHIDCODE],0))</f>
        <v>1</v>
      </c>
      <c r="K425" t="b">
        <f>ISNUMBER(_xlfn.XMATCH(CONTROL[[#This Row],[VEHIDCODE]],PROPERTIES[VEHIDCODE],0))</f>
        <v>1</v>
      </c>
      <c r="L425" t="b">
        <f>ISNUMBER(_xlfn.XLOOKUP(CONTROL[[#This Row],[VEHIDCODE]],roster!A:A,roster!D:D))</f>
        <v>1</v>
      </c>
      <c r="M425" t="b">
        <f>ISNUMBER(_xlfn.XMATCH(CONTROL[[#This Row],[VEHIDCODE]],GRAPHICS_PROPERTIES[VEHIDCODE],0))</f>
        <v>1</v>
      </c>
      <c r="N425" s="21" t="str">
        <f>"item_"&amp;CONTROL[[#This Row],[VEHIDCODE]]</f>
        <v>item_electric_ZELC_20E_China_Doll</v>
      </c>
      <c r="O425" s="21" t="str">
        <f>"str_"&amp;CONTROL[[#This Row],[VEHIDCODE]]</f>
        <v>str_electric_ZELC_20E_China_Doll</v>
      </c>
      <c r="P425" s="7" t="b">
        <f>_xlfn.XLOOKUP(CONTROL[[#This Row],[VEHIDCODE]],PROPERTIES[VEHIDCODE],PROPERTIES[IS_CONCEPT])="IS_CONCEPT"</f>
        <v>0</v>
      </c>
      <c r="Q425" s="7" t="b">
        <f>_xlfn.XLOOKUP(CONTROL[[#This Row],[VEHIDCODE]],PROPERTIES[VEHIDCODE],PROPERTIES[EXCLUDE])</f>
        <v>0</v>
      </c>
      <c r="R425" t="str" cm="1">
        <f t="array" ref="R425">_xlfn.XLOOKUP(CONTROL[[#This Row],[VEHIDCODE]],GRAPHICS_PROPERTIES[VEHIDCODE],GRAPHICS_PROPERTIES[TEMPLATE_ID]&amp;GRAPHICS_PROPERTIES[TEMPLATE_AMENDMENT_CODE])</f>
        <v>TPL_01A</v>
      </c>
    </row>
    <row r="426" spans="1:18" x14ac:dyDescent="0.35">
      <c r="A426" s="2" t="s">
        <v>3456</v>
      </c>
      <c r="B426" s="21" t="str">
        <f>_xlfn.TEXTAFTER(CONTROL[[#This Row],[VEHIDCODE]],"_")</f>
        <v>Siemens_EuroSprinter_ES64F</v>
      </c>
      <c r="C426" t="str" cm="1">
        <f t="array" ref="C4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6" t="str" cm="1">
        <f t="array" ref="D4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6">
        <v>6055</v>
      </c>
      <c r="F426" s="32" t="s">
        <v>3486</v>
      </c>
      <c r="G426" t="s">
        <v>1447</v>
      </c>
      <c r="H426" s="2" t="b">
        <f>AND(CONTROL[[#This Row],[IS_WAGON_OR_COACH]]=TRUE,OR(RIGHT(CONTROL[[#This Row],[VEHIDCODE]],7)="Powered",RIGHT(CONTROL[[#This Row],[VEHIDCODE]],9)="Unpowered"))</f>
        <v>0</v>
      </c>
      <c r="I4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6" t="b">
        <f>ISNUMBER(_xlfn.XMATCH(CONTROL[[#This Row],[VEHIDCODE]],TRACK_TYPES[VEHIDCODE],0))</f>
        <v>1</v>
      </c>
      <c r="K426" t="b">
        <f>ISNUMBER(_xlfn.XMATCH(CONTROL[[#This Row],[VEHIDCODE]],PROPERTIES[VEHIDCODE],0))</f>
        <v>1</v>
      </c>
      <c r="L426" t="b">
        <f>ISNUMBER(_xlfn.XLOOKUP(CONTROL[[#This Row],[VEHIDCODE]],roster!A:A,roster!D:D))</f>
        <v>1</v>
      </c>
      <c r="M426" t="b">
        <f>ISNUMBER(_xlfn.XMATCH(CONTROL[[#This Row],[VEHIDCODE]],GRAPHICS_PROPERTIES[VEHIDCODE],0))</f>
        <v>1</v>
      </c>
      <c r="N426" s="21" t="str">
        <f>"item_"&amp;CONTROL[[#This Row],[VEHIDCODE]]</f>
        <v>item_electric_Siemens_EuroSprinter_ES64F</v>
      </c>
      <c r="O426" s="21" t="str">
        <f>"str_"&amp;CONTROL[[#This Row],[VEHIDCODE]]</f>
        <v>str_electric_Siemens_EuroSprinter_ES64F</v>
      </c>
      <c r="P426" s="7" t="b">
        <f>_xlfn.XLOOKUP(CONTROL[[#This Row],[VEHIDCODE]],PROPERTIES[VEHIDCODE],PROPERTIES[IS_CONCEPT])="IS_CONCEPT"</f>
        <v>0</v>
      </c>
      <c r="Q426" s="7" t="b">
        <f>_xlfn.XLOOKUP(CONTROL[[#This Row],[VEHIDCODE]],PROPERTIES[VEHIDCODE],PROPERTIES[EXCLUDE])</f>
        <v>0</v>
      </c>
      <c r="R426" t="str" cm="1">
        <f t="array" ref="R426">_xlfn.XLOOKUP(CONTROL[[#This Row],[VEHIDCODE]],GRAPHICS_PROPERTIES[VEHIDCODE],GRAPHICS_PROPERTIES[TEMPLATE_ID]&amp;GRAPHICS_PROPERTIES[TEMPLATE_AMENDMENT_CODE])</f>
        <v>TPL_01A</v>
      </c>
    </row>
    <row r="427" spans="1:18" x14ac:dyDescent="0.35">
      <c r="A427" s="2" t="s">
        <v>3060</v>
      </c>
      <c r="B427" s="21" t="str">
        <f>_xlfn.TEXTAFTER(CONTROL[[#This Row],[VEHIDCODE]],"_")</f>
        <v>DEVZ_DS3</v>
      </c>
      <c r="C427" t="str" cm="1">
        <f t="array" ref="C4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7" t="str" cm="1">
        <f t="array" ref="D4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7">
        <v>6056</v>
      </c>
      <c r="F427" s="32" t="s">
        <v>2039</v>
      </c>
      <c r="G427" t="s">
        <v>1448</v>
      </c>
      <c r="H427" s="2" t="b">
        <f>AND(CONTROL[[#This Row],[IS_WAGON_OR_COACH]]=TRUE,OR(RIGHT(CONTROL[[#This Row],[VEHIDCODE]],7)="Powered",RIGHT(CONTROL[[#This Row],[VEHIDCODE]],9)="Unpowered"))</f>
        <v>0</v>
      </c>
      <c r="I4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7" t="b">
        <f>ISNUMBER(_xlfn.XMATCH(CONTROL[[#This Row],[VEHIDCODE]],TRACK_TYPES[VEHIDCODE],0))</f>
        <v>1</v>
      </c>
      <c r="K427" t="b">
        <f>ISNUMBER(_xlfn.XMATCH(CONTROL[[#This Row],[VEHIDCODE]],PROPERTIES[VEHIDCODE],0))</f>
        <v>1</v>
      </c>
      <c r="L427" t="b">
        <f>ISNUMBER(_xlfn.XLOOKUP(CONTROL[[#This Row],[VEHIDCODE]],roster!A:A,roster!D:D))</f>
        <v>1</v>
      </c>
      <c r="M427" t="b">
        <f>ISNUMBER(_xlfn.XMATCH(CONTROL[[#This Row],[VEHIDCODE]],GRAPHICS_PROPERTIES[VEHIDCODE],0))</f>
        <v>1</v>
      </c>
      <c r="N427" s="21" t="str">
        <f>"item_"&amp;CONTROL[[#This Row],[VEHIDCODE]]</f>
        <v>item_electric_DEVZ_DS3</v>
      </c>
      <c r="O427" s="21" t="str">
        <f>"str_"&amp;CONTROL[[#This Row],[VEHIDCODE]]</f>
        <v>str_electric_DEVZ_DS3</v>
      </c>
      <c r="P427" s="7" t="b">
        <f>_xlfn.XLOOKUP(CONTROL[[#This Row],[VEHIDCODE]],PROPERTIES[VEHIDCODE],PROPERTIES[IS_CONCEPT])="IS_CONCEPT"</f>
        <v>0</v>
      </c>
      <c r="Q427" s="7" t="b">
        <f>_xlfn.XLOOKUP(CONTROL[[#This Row],[VEHIDCODE]],PROPERTIES[VEHIDCODE],PROPERTIES[EXCLUDE])</f>
        <v>0</v>
      </c>
      <c r="R427" t="str" cm="1">
        <f t="array" ref="R427">_xlfn.XLOOKUP(CONTROL[[#This Row],[VEHIDCODE]],GRAPHICS_PROPERTIES[VEHIDCODE],GRAPHICS_PROPERTIES[TEMPLATE_ID]&amp;GRAPHICS_PROPERTIES[TEMPLATE_AMENDMENT_CODE])</f>
        <v>TPL_01A</v>
      </c>
    </row>
    <row r="428" spans="1:18" x14ac:dyDescent="0.35">
      <c r="A428" s="2" t="s">
        <v>3061</v>
      </c>
      <c r="B428" s="21" t="str">
        <f>_xlfn.TEXTAFTER(CONTROL[[#This Row],[VEHIDCODE]],"_")</f>
        <v>Skoda_47E</v>
      </c>
      <c r="C428" t="str" cm="1">
        <f t="array" ref="C4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8" t="str" cm="1">
        <f t="array" ref="D4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8">
        <v>6089</v>
      </c>
      <c r="F428" s="32" t="s">
        <v>1954</v>
      </c>
      <c r="G428" t="s">
        <v>1449</v>
      </c>
      <c r="H428" s="2" t="b">
        <f>AND(CONTROL[[#This Row],[IS_WAGON_OR_COACH]]=TRUE,OR(RIGHT(CONTROL[[#This Row],[VEHIDCODE]],7)="Powered",RIGHT(CONTROL[[#This Row],[VEHIDCODE]],9)="Unpowered"))</f>
        <v>0</v>
      </c>
      <c r="I4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8" t="b">
        <f>ISNUMBER(_xlfn.XMATCH(CONTROL[[#This Row],[VEHIDCODE]],TRACK_TYPES[VEHIDCODE],0))</f>
        <v>1</v>
      </c>
      <c r="K428" t="b">
        <f>ISNUMBER(_xlfn.XMATCH(CONTROL[[#This Row],[VEHIDCODE]],PROPERTIES[VEHIDCODE],0))</f>
        <v>1</v>
      </c>
      <c r="L428" t="b">
        <f>ISNUMBER(_xlfn.XLOOKUP(CONTROL[[#This Row],[VEHIDCODE]],roster!A:A,roster!D:D))</f>
        <v>1</v>
      </c>
      <c r="M428" t="b">
        <f>ISNUMBER(_xlfn.XMATCH(CONTROL[[#This Row],[VEHIDCODE]],GRAPHICS_PROPERTIES[VEHIDCODE],0))</f>
        <v>1</v>
      </c>
      <c r="N428" s="21" t="str">
        <f>"item_"&amp;CONTROL[[#This Row],[VEHIDCODE]]</f>
        <v>item_electric_Skoda_47E</v>
      </c>
      <c r="O428" s="21" t="str">
        <f>"str_"&amp;CONTROL[[#This Row],[VEHIDCODE]]</f>
        <v>str_electric_Skoda_47E</v>
      </c>
      <c r="P428" s="7" t="b">
        <f>_xlfn.XLOOKUP(CONTROL[[#This Row],[VEHIDCODE]],PROPERTIES[VEHIDCODE],PROPERTIES[IS_CONCEPT])="IS_CONCEPT"</f>
        <v>0</v>
      </c>
      <c r="Q428" s="7" t="b">
        <f>_xlfn.XLOOKUP(CONTROL[[#This Row],[VEHIDCODE]],PROPERTIES[VEHIDCODE],PROPERTIES[EXCLUDE])</f>
        <v>0</v>
      </c>
      <c r="R428" t="str" cm="1">
        <f t="array" ref="R428">_xlfn.XLOOKUP(CONTROL[[#This Row],[VEHIDCODE]],GRAPHICS_PROPERTIES[VEHIDCODE],GRAPHICS_PROPERTIES[TEMPLATE_ID]&amp;GRAPHICS_PROPERTIES[TEMPLATE_AMENDMENT_CODE])</f>
        <v>TPL_01A</v>
      </c>
    </row>
    <row r="429" spans="1:18" x14ac:dyDescent="0.35">
      <c r="A429" s="2" t="s">
        <v>3062</v>
      </c>
      <c r="B429" s="21" t="str">
        <f>_xlfn.TEXTAFTER(CONTROL[[#This Row],[VEHIDCODE]],"_")</f>
        <v>Ansaldo___Breda_C_F_E_491</v>
      </c>
      <c r="C429" t="str" cm="1">
        <f t="array" ref="C4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9" t="str" cm="1">
        <f t="array" ref="D4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9">
        <v>6115</v>
      </c>
      <c r="F429" s="32" t="s">
        <v>2284</v>
      </c>
      <c r="G429" t="s">
        <v>1450</v>
      </c>
      <c r="H429" s="2" t="b">
        <f>AND(CONTROL[[#This Row],[IS_WAGON_OR_COACH]]=TRUE,OR(RIGHT(CONTROL[[#This Row],[VEHIDCODE]],7)="Powered",RIGHT(CONTROL[[#This Row],[VEHIDCODE]],9)="Unpowered"))</f>
        <v>0</v>
      </c>
      <c r="I4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9" t="b">
        <f>ISNUMBER(_xlfn.XMATCH(CONTROL[[#This Row],[VEHIDCODE]],TRACK_TYPES[VEHIDCODE],0))</f>
        <v>1</v>
      </c>
      <c r="K429" t="b">
        <f>ISNUMBER(_xlfn.XMATCH(CONTROL[[#This Row],[VEHIDCODE]],PROPERTIES[VEHIDCODE],0))</f>
        <v>1</v>
      </c>
      <c r="L429" t="b">
        <f>ISNUMBER(_xlfn.XLOOKUP(CONTROL[[#This Row],[VEHIDCODE]],roster!A:A,roster!D:D))</f>
        <v>1</v>
      </c>
      <c r="M429" t="b">
        <f>ISNUMBER(_xlfn.XMATCH(CONTROL[[#This Row],[VEHIDCODE]],GRAPHICS_PROPERTIES[VEHIDCODE],0))</f>
        <v>1</v>
      </c>
      <c r="N429" s="21" t="str">
        <f>"item_"&amp;CONTROL[[#This Row],[VEHIDCODE]]</f>
        <v>item_electric_Ansaldo___Breda_C_F_E_491</v>
      </c>
      <c r="O429" s="21" t="str">
        <f>"str_"&amp;CONTROL[[#This Row],[VEHIDCODE]]</f>
        <v>str_electric_Ansaldo___Breda_C_F_E_491</v>
      </c>
      <c r="P429" s="7" t="b">
        <f>_xlfn.XLOOKUP(CONTROL[[#This Row],[VEHIDCODE]],PROPERTIES[VEHIDCODE],PROPERTIES[IS_CONCEPT])="IS_CONCEPT"</f>
        <v>0</v>
      </c>
      <c r="Q429" s="7" t="b">
        <f>_xlfn.XLOOKUP(CONTROL[[#This Row],[VEHIDCODE]],PROPERTIES[VEHIDCODE],PROPERTIES[EXCLUDE])</f>
        <v>0</v>
      </c>
      <c r="R429" t="str" cm="1">
        <f t="array" ref="R429">_xlfn.XLOOKUP(CONTROL[[#This Row],[VEHIDCODE]],GRAPHICS_PROPERTIES[VEHIDCODE],GRAPHICS_PROPERTIES[TEMPLATE_ID]&amp;GRAPHICS_PROPERTIES[TEMPLATE_AMENDMENT_CODE])</f>
        <v>TPL_01A</v>
      </c>
    </row>
    <row r="430" spans="1:18" x14ac:dyDescent="0.35">
      <c r="A430" s="2" t="s">
        <v>3063</v>
      </c>
      <c r="B430" s="21" t="str">
        <f>_xlfn.TEXTAFTER(CONTROL[[#This Row],[VEHIDCODE]],"_")</f>
        <v>ASEA_Electroputere_Rb</v>
      </c>
      <c r="C430" t="str" cm="1">
        <f t="array" ref="C4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0" t="str" cm="1">
        <f t="array" ref="D4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0">
        <v>6105</v>
      </c>
      <c r="F430" s="32" t="s">
        <v>3483</v>
      </c>
      <c r="G430" t="s">
        <v>1451</v>
      </c>
      <c r="H430" s="2" t="b">
        <f>AND(CONTROL[[#This Row],[IS_WAGON_OR_COACH]]=TRUE,OR(RIGHT(CONTROL[[#This Row],[VEHIDCODE]],7)="Powered",RIGHT(CONTROL[[#This Row],[VEHIDCODE]],9)="Unpowered"))</f>
        <v>0</v>
      </c>
      <c r="I4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0" t="b">
        <f>ISNUMBER(_xlfn.XMATCH(CONTROL[[#This Row],[VEHIDCODE]],TRACK_TYPES[VEHIDCODE],0))</f>
        <v>1</v>
      </c>
      <c r="K430" t="b">
        <f>ISNUMBER(_xlfn.XMATCH(CONTROL[[#This Row],[VEHIDCODE]],PROPERTIES[VEHIDCODE],0))</f>
        <v>1</v>
      </c>
      <c r="L430" t="b">
        <f>ISNUMBER(_xlfn.XLOOKUP(CONTROL[[#This Row],[VEHIDCODE]],roster!A:A,roster!D:D))</f>
        <v>1</v>
      </c>
      <c r="M430" t="b">
        <f>ISNUMBER(_xlfn.XMATCH(CONTROL[[#This Row],[VEHIDCODE]],GRAPHICS_PROPERTIES[VEHIDCODE],0))</f>
        <v>1</v>
      </c>
      <c r="N430" s="21" t="str">
        <f>"item_"&amp;CONTROL[[#This Row],[VEHIDCODE]]</f>
        <v>item_electric_ASEA_Electroputere_Rb</v>
      </c>
      <c r="O430" s="21" t="str">
        <f>"str_"&amp;CONTROL[[#This Row],[VEHIDCODE]]</f>
        <v>str_electric_ASEA_Electroputere_Rb</v>
      </c>
      <c r="P430" s="7" t="b">
        <f>_xlfn.XLOOKUP(CONTROL[[#This Row],[VEHIDCODE]],PROPERTIES[VEHIDCODE],PROPERTIES[IS_CONCEPT])="IS_CONCEPT"</f>
        <v>0</v>
      </c>
      <c r="Q430" s="7" t="b">
        <f>_xlfn.XLOOKUP(CONTROL[[#This Row],[VEHIDCODE]],PROPERTIES[VEHIDCODE],PROPERTIES[EXCLUDE])</f>
        <v>0</v>
      </c>
      <c r="R430" t="str" cm="1">
        <f t="array" ref="R430">_xlfn.XLOOKUP(CONTROL[[#This Row],[VEHIDCODE]],GRAPHICS_PROPERTIES[VEHIDCODE],GRAPHICS_PROPERTIES[TEMPLATE_ID]&amp;GRAPHICS_PROPERTIES[TEMPLATE_AMENDMENT_CODE])</f>
        <v>TPL_01A</v>
      </c>
    </row>
    <row r="431" spans="1:18" x14ac:dyDescent="0.35">
      <c r="A431" s="2" t="s">
        <v>3064</v>
      </c>
      <c r="B431" s="21" t="str">
        <f>_xlfn.TEXTAFTER(CONTROL[[#This Row],[VEHIDCODE]],"_")</f>
        <v>CEF_BB_1600</v>
      </c>
      <c r="C431" t="str" cm="1">
        <f t="array" ref="C4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1" t="str" cm="1">
        <f t="array" ref="D4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1">
        <v>6122</v>
      </c>
      <c r="F431" s="32" t="s">
        <v>2286</v>
      </c>
      <c r="G431" t="s">
        <v>1452</v>
      </c>
      <c r="H431" s="2" t="b">
        <f>AND(CONTROL[[#This Row],[IS_WAGON_OR_COACH]]=TRUE,OR(RIGHT(CONTROL[[#This Row],[VEHIDCODE]],7)="Powered",RIGHT(CONTROL[[#This Row],[VEHIDCODE]],9)="Unpowered"))</f>
        <v>0</v>
      </c>
      <c r="I4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1" t="b">
        <f>ISNUMBER(_xlfn.XMATCH(CONTROL[[#This Row],[VEHIDCODE]],TRACK_TYPES[VEHIDCODE],0))</f>
        <v>1</v>
      </c>
      <c r="K431" t="b">
        <f>ISNUMBER(_xlfn.XMATCH(CONTROL[[#This Row],[VEHIDCODE]],PROPERTIES[VEHIDCODE],0))</f>
        <v>1</v>
      </c>
      <c r="L431" t="b">
        <f>ISNUMBER(_xlfn.XLOOKUP(CONTROL[[#This Row],[VEHIDCODE]],roster!A:A,roster!D:D))</f>
        <v>1</v>
      </c>
      <c r="M431" t="b">
        <f>ISNUMBER(_xlfn.XMATCH(CONTROL[[#This Row],[VEHIDCODE]],GRAPHICS_PROPERTIES[VEHIDCODE],0))</f>
        <v>1</v>
      </c>
      <c r="N431" s="21" t="str">
        <f>"item_"&amp;CONTROL[[#This Row],[VEHIDCODE]]</f>
        <v>item_electric_CEF_BB_1600</v>
      </c>
      <c r="O431" s="21" t="str">
        <f>"str_"&amp;CONTROL[[#This Row],[VEHIDCODE]]</f>
        <v>str_electric_CEF_BB_1600</v>
      </c>
      <c r="P431" s="7" t="b">
        <f>_xlfn.XLOOKUP(CONTROL[[#This Row],[VEHIDCODE]],PROPERTIES[VEHIDCODE],PROPERTIES[IS_CONCEPT])="IS_CONCEPT"</f>
        <v>0</v>
      </c>
      <c r="Q431" s="7" t="b">
        <f>_xlfn.XLOOKUP(CONTROL[[#This Row],[VEHIDCODE]],PROPERTIES[VEHIDCODE],PROPERTIES[EXCLUDE])</f>
        <v>0</v>
      </c>
      <c r="R431" t="str" cm="1">
        <f t="array" ref="R431">_xlfn.XLOOKUP(CONTROL[[#This Row],[VEHIDCODE]],GRAPHICS_PROPERTIES[VEHIDCODE],GRAPHICS_PROPERTIES[TEMPLATE_ID]&amp;GRAPHICS_PROPERTIES[TEMPLATE_AMENDMENT_CODE])</f>
        <v>TPL_01A</v>
      </c>
    </row>
    <row r="432" spans="1:18" x14ac:dyDescent="0.35">
      <c r="A432" s="2" t="s">
        <v>3065</v>
      </c>
      <c r="B432" s="21" t="str">
        <f>_xlfn.TEXTAFTER(CONTROL[[#This Row],[VEHIDCODE]],"_")</f>
        <v>BR_85</v>
      </c>
      <c r="C432" t="str" cm="1">
        <f t="array" ref="C4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2" t="str" cm="1">
        <f t="array" ref="D4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2">
        <v>6123</v>
      </c>
      <c r="F432" s="32" t="s">
        <v>3481</v>
      </c>
      <c r="G432" t="s">
        <v>1453</v>
      </c>
      <c r="H432" s="2" t="b">
        <f>AND(CONTROL[[#This Row],[IS_WAGON_OR_COACH]]=TRUE,OR(RIGHT(CONTROL[[#This Row],[VEHIDCODE]],7)="Powered",RIGHT(CONTROL[[#This Row],[VEHIDCODE]],9)="Unpowered"))</f>
        <v>0</v>
      </c>
      <c r="I4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2" t="b">
        <f>ISNUMBER(_xlfn.XMATCH(CONTROL[[#This Row],[VEHIDCODE]],TRACK_TYPES[VEHIDCODE],0))</f>
        <v>1</v>
      </c>
      <c r="K432" t="b">
        <f>ISNUMBER(_xlfn.XMATCH(CONTROL[[#This Row],[VEHIDCODE]],PROPERTIES[VEHIDCODE],0))</f>
        <v>1</v>
      </c>
      <c r="L432" t="b">
        <f>ISNUMBER(_xlfn.XLOOKUP(CONTROL[[#This Row],[VEHIDCODE]],roster!A:A,roster!D:D))</f>
        <v>1</v>
      </c>
      <c r="M432" t="b">
        <f>ISNUMBER(_xlfn.XMATCH(CONTROL[[#This Row],[VEHIDCODE]],GRAPHICS_PROPERTIES[VEHIDCODE],0))</f>
        <v>1</v>
      </c>
      <c r="N432" s="21" t="str">
        <f>"item_"&amp;CONTROL[[#This Row],[VEHIDCODE]]</f>
        <v>item_electric_BR_85</v>
      </c>
      <c r="O432" s="21" t="str">
        <f>"str_"&amp;CONTROL[[#This Row],[VEHIDCODE]]</f>
        <v>str_electric_BR_85</v>
      </c>
      <c r="P432" s="7" t="b">
        <f>_xlfn.XLOOKUP(CONTROL[[#This Row],[VEHIDCODE]],PROPERTIES[VEHIDCODE],PROPERTIES[IS_CONCEPT])="IS_CONCEPT"</f>
        <v>0</v>
      </c>
      <c r="Q432" s="7" t="b">
        <f>_xlfn.XLOOKUP(CONTROL[[#This Row],[VEHIDCODE]],PROPERTIES[VEHIDCODE],PROPERTIES[EXCLUDE])</f>
        <v>0</v>
      </c>
      <c r="R432" t="str" cm="1">
        <f t="array" ref="R432">_xlfn.XLOOKUP(CONTROL[[#This Row],[VEHIDCODE]],GRAPHICS_PROPERTIES[VEHIDCODE],GRAPHICS_PROPERTIES[TEMPLATE_ID]&amp;GRAPHICS_PROPERTIES[TEMPLATE_AMENDMENT_CODE])</f>
        <v>TPL_01A</v>
      </c>
    </row>
    <row r="433" spans="1:18" x14ac:dyDescent="0.35">
      <c r="A433" s="2" t="s">
        <v>3066</v>
      </c>
      <c r="B433" s="21" t="str">
        <f>_xlfn.TEXTAFTER(CONTROL[[#This Row],[VEHIDCODE]],"_")</f>
        <v>GE_E60C_2</v>
      </c>
      <c r="C433" t="str" cm="1">
        <f t="array" ref="C4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3" t="str" cm="1">
        <f t="array" ref="D4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3">
        <v>6109</v>
      </c>
      <c r="F433" s="32" t="s">
        <v>2040</v>
      </c>
      <c r="G433" t="s">
        <v>1454</v>
      </c>
      <c r="H433" s="2" t="b">
        <f>AND(CONTROL[[#This Row],[IS_WAGON_OR_COACH]]=TRUE,OR(RIGHT(CONTROL[[#This Row],[VEHIDCODE]],7)="Powered",RIGHT(CONTROL[[#This Row],[VEHIDCODE]],9)="Unpowered"))</f>
        <v>0</v>
      </c>
      <c r="I4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3" t="b">
        <f>ISNUMBER(_xlfn.XMATCH(CONTROL[[#This Row],[VEHIDCODE]],TRACK_TYPES[VEHIDCODE],0))</f>
        <v>1</v>
      </c>
      <c r="K433" t="b">
        <f>ISNUMBER(_xlfn.XMATCH(CONTROL[[#This Row],[VEHIDCODE]],PROPERTIES[VEHIDCODE],0))</f>
        <v>1</v>
      </c>
      <c r="L433" t="b">
        <f>ISNUMBER(_xlfn.XLOOKUP(CONTROL[[#This Row],[VEHIDCODE]],roster!A:A,roster!D:D))</f>
        <v>1</v>
      </c>
      <c r="M433" t="b">
        <f>ISNUMBER(_xlfn.XMATCH(CONTROL[[#This Row],[VEHIDCODE]],GRAPHICS_PROPERTIES[VEHIDCODE],0))</f>
        <v>1</v>
      </c>
      <c r="N433" s="21" t="str">
        <f>"item_"&amp;CONTROL[[#This Row],[VEHIDCODE]]</f>
        <v>item_electric_GE_E60C_2</v>
      </c>
      <c r="O433" s="21" t="str">
        <f>"str_"&amp;CONTROL[[#This Row],[VEHIDCODE]]</f>
        <v>str_electric_GE_E60C_2</v>
      </c>
      <c r="P433" s="7" t="b">
        <f>_xlfn.XLOOKUP(CONTROL[[#This Row],[VEHIDCODE]],PROPERTIES[VEHIDCODE],PROPERTIES[IS_CONCEPT])="IS_CONCEPT"</f>
        <v>0</v>
      </c>
      <c r="Q433" s="7" t="b">
        <f>_xlfn.XLOOKUP(CONTROL[[#This Row],[VEHIDCODE]],PROPERTIES[VEHIDCODE],PROPERTIES[EXCLUDE])</f>
        <v>0</v>
      </c>
      <c r="R433" t="str" cm="1">
        <f t="array" ref="R433">_xlfn.XLOOKUP(CONTROL[[#This Row],[VEHIDCODE]],GRAPHICS_PROPERTIES[VEHIDCODE],GRAPHICS_PROPERTIES[TEMPLATE_ID]&amp;GRAPHICS_PROPERTIES[TEMPLATE_AMENDMENT_CODE])</f>
        <v>TPL_01A</v>
      </c>
    </row>
    <row r="434" spans="1:18" x14ac:dyDescent="0.35">
      <c r="A434" s="2" t="s">
        <v>3067</v>
      </c>
      <c r="B434" s="21" t="str">
        <f>_xlfn.TEXTAFTER(CONTROL[[#This Row],[VEHIDCODE]],"_")</f>
        <v>Alstom_Prima_II</v>
      </c>
      <c r="C434" t="str" cm="1">
        <f t="array" ref="C4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4" t="str" cm="1">
        <f t="array" ref="D4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4">
        <v>6119</v>
      </c>
      <c r="F434" s="32" t="s">
        <v>3488</v>
      </c>
      <c r="G434" t="s">
        <v>1455</v>
      </c>
      <c r="H434" s="2" t="b">
        <f>AND(CONTROL[[#This Row],[IS_WAGON_OR_COACH]]=TRUE,OR(RIGHT(CONTROL[[#This Row],[VEHIDCODE]],7)="Powered",RIGHT(CONTROL[[#This Row],[VEHIDCODE]],9)="Unpowered"))</f>
        <v>0</v>
      </c>
      <c r="I4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4" t="b">
        <f>ISNUMBER(_xlfn.XMATCH(CONTROL[[#This Row],[VEHIDCODE]],TRACK_TYPES[VEHIDCODE],0))</f>
        <v>1</v>
      </c>
      <c r="K434" t="b">
        <f>ISNUMBER(_xlfn.XMATCH(CONTROL[[#This Row],[VEHIDCODE]],PROPERTIES[VEHIDCODE],0))</f>
        <v>1</v>
      </c>
      <c r="L434" t="b">
        <f>ISNUMBER(_xlfn.XLOOKUP(CONTROL[[#This Row],[VEHIDCODE]],roster!A:A,roster!D:D))</f>
        <v>1</v>
      </c>
      <c r="M434" t="b">
        <f>ISNUMBER(_xlfn.XMATCH(CONTROL[[#This Row],[VEHIDCODE]],GRAPHICS_PROPERTIES[VEHIDCODE],0))</f>
        <v>1</v>
      </c>
      <c r="N434" s="21" t="str">
        <f>"item_"&amp;CONTROL[[#This Row],[VEHIDCODE]]</f>
        <v>item_electric_Alstom_Prima_II</v>
      </c>
      <c r="O434" s="21" t="str">
        <f>"str_"&amp;CONTROL[[#This Row],[VEHIDCODE]]</f>
        <v>str_electric_Alstom_Prima_II</v>
      </c>
      <c r="P434" s="7" t="b">
        <f>_xlfn.XLOOKUP(CONTROL[[#This Row],[VEHIDCODE]],PROPERTIES[VEHIDCODE],PROPERTIES[IS_CONCEPT])="IS_CONCEPT"</f>
        <v>0</v>
      </c>
      <c r="Q434" s="7" t="b">
        <f>_xlfn.XLOOKUP(CONTROL[[#This Row],[VEHIDCODE]],PROPERTIES[VEHIDCODE],PROPERTIES[EXCLUDE])</f>
        <v>0</v>
      </c>
      <c r="R434" t="str" cm="1">
        <f t="array" ref="R434">_xlfn.XLOOKUP(CONTROL[[#This Row],[VEHIDCODE]],GRAPHICS_PROPERTIES[VEHIDCODE],GRAPHICS_PROPERTIES[TEMPLATE_ID]&amp;GRAPHICS_PROPERTIES[TEMPLATE_AMENDMENT_CODE])</f>
        <v>TPL_01A</v>
      </c>
    </row>
    <row r="435" spans="1:18" x14ac:dyDescent="0.35">
      <c r="A435" s="2" t="s">
        <v>3068</v>
      </c>
      <c r="B435" s="21" t="str">
        <f>_xlfn.TEXTAFTER(CONTROL[[#This Row],[VEHIDCODE]],"_")</f>
        <v>Toshiba_EA</v>
      </c>
      <c r="C435" t="str" cm="1">
        <f t="array" ref="C4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5" t="str" cm="1">
        <f t="array" ref="D4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5">
        <v>6102</v>
      </c>
      <c r="F435" s="32" t="s">
        <v>2287</v>
      </c>
      <c r="G435" t="s">
        <v>1456</v>
      </c>
      <c r="H435" s="2" t="b">
        <f>AND(CONTROL[[#This Row],[IS_WAGON_OR_COACH]]=TRUE,OR(RIGHT(CONTROL[[#This Row],[VEHIDCODE]],7)="Powered",RIGHT(CONTROL[[#This Row],[VEHIDCODE]],9)="Unpowered"))</f>
        <v>0</v>
      </c>
      <c r="I4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5" t="b">
        <f>ISNUMBER(_xlfn.XMATCH(CONTROL[[#This Row],[VEHIDCODE]],TRACK_TYPES[VEHIDCODE],0))</f>
        <v>1</v>
      </c>
      <c r="K435" t="b">
        <f>ISNUMBER(_xlfn.XMATCH(CONTROL[[#This Row],[VEHIDCODE]],PROPERTIES[VEHIDCODE],0))</f>
        <v>1</v>
      </c>
      <c r="L435" t="b">
        <f>ISNUMBER(_xlfn.XLOOKUP(CONTROL[[#This Row],[VEHIDCODE]],roster!A:A,roster!D:D))</f>
        <v>1</v>
      </c>
      <c r="M435" t="b">
        <f>ISNUMBER(_xlfn.XMATCH(CONTROL[[#This Row],[VEHIDCODE]],GRAPHICS_PROPERTIES[VEHIDCODE],0))</f>
        <v>1</v>
      </c>
      <c r="N435" s="21" t="str">
        <f>"item_"&amp;CONTROL[[#This Row],[VEHIDCODE]]</f>
        <v>item_electric_Toshiba_EA</v>
      </c>
      <c r="O435" s="21" t="str">
        <f>"str_"&amp;CONTROL[[#This Row],[VEHIDCODE]]</f>
        <v>str_electric_Toshiba_EA</v>
      </c>
      <c r="P435" s="7" t="b">
        <f>_xlfn.XLOOKUP(CONTROL[[#This Row],[VEHIDCODE]],PROPERTIES[VEHIDCODE],PROPERTIES[IS_CONCEPT])="IS_CONCEPT"</f>
        <v>0</v>
      </c>
      <c r="Q435" s="7" t="b">
        <f>_xlfn.XLOOKUP(CONTROL[[#This Row],[VEHIDCODE]],PROPERTIES[VEHIDCODE],PROPERTIES[EXCLUDE])</f>
        <v>0</v>
      </c>
      <c r="R435" t="str" cm="1">
        <f t="array" ref="R435">_xlfn.XLOOKUP(CONTROL[[#This Row],[VEHIDCODE]],GRAPHICS_PROPERTIES[VEHIDCODE],GRAPHICS_PROPERTIES[TEMPLATE_ID]&amp;GRAPHICS_PROPERTIES[TEMPLATE_AMENDMENT_CODE])</f>
        <v>TPL_01A</v>
      </c>
    </row>
    <row r="436" spans="1:18" x14ac:dyDescent="0.35">
      <c r="A436" s="2" t="s">
        <v>3069</v>
      </c>
      <c r="B436" s="21" t="str">
        <f>_xlfn.TEXTAFTER(CONTROL[[#This Row],[VEHIDCODE]],"_")</f>
        <v>ASEA_GMD_GF6C</v>
      </c>
      <c r="C436" t="str" cm="1">
        <f t="array" ref="C4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6" t="str" cm="1">
        <f t="array" ref="D4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6">
        <v>6111</v>
      </c>
      <c r="F436" s="32" t="s">
        <v>2041</v>
      </c>
      <c r="G436" t="s">
        <v>1457</v>
      </c>
      <c r="H436" s="2" t="b">
        <f>AND(CONTROL[[#This Row],[IS_WAGON_OR_COACH]]=TRUE,OR(RIGHT(CONTROL[[#This Row],[VEHIDCODE]],7)="Powered",RIGHT(CONTROL[[#This Row],[VEHIDCODE]],9)="Unpowered"))</f>
        <v>0</v>
      </c>
      <c r="I4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6" t="b">
        <f>ISNUMBER(_xlfn.XMATCH(CONTROL[[#This Row],[VEHIDCODE]],TRACK_TYPES[VEHIDCODE],0))</f>
        <v>1</v>
      </c>
      <c r="K436" t="b">
        <f>ISNUMBER(_xlfn.XMATCH(CONTROL[[#This Row],[VEHIDCODE]],PROPERTIES[VEHIDCODE],0))</f>
        <v>1</v>
      </c>
      <c r="L436" t="b">
        <f>ISNUMBER(_xlfn.XLOOKUP(CONTROL[[#This Row],[VEHIDCODE]],roster!A:A,roster!D:D))</f>
        <v>1</v>
      </c>
      <c r="M436" t="b">
        <f>ISNUMBER(_xlfn.XMATCH(CONTROL[[#This Row],[VEHIDCODE]],GRAPHICS_PROPERTIES[VEHIDCODE],0))</f>
        <v>1</v>
      </c>
      <c r="N436" s="21" t="str">
        <f>"item_"&amp;CONTROL[[#This Row],[VEHIDCODE]]</f>
        <v>item_electric_ASEA_GMD_GF6C</v>
      </c>
      <c r="O436" s="21" t="str">
        <f>"str_"&amp;CONTROL[[#This Row],[VEHIDCODE]]</f>
        <v>str_electric_ASEA_GMD_GF6C</v>
      </c>
      <c r="P436" s="7" t="b">
        <f>_xlfn.XLOOKUP(CONTROL[[#This Row],[VEHIDCODE]],PROPERTIES[VEHIDCODE],PROPERTIES[IS_CONCEPT])="IS_CONCEPT"</f>
        <v>0</v>
      </c>
      <c r="Q436" s="7" t="b">
        <f>_xlfn.XLOOKUP(CONTROL[[#This Row],[VEHIDCODE]],PROPERTIES[VEHIDCODE],PROPERTIES[EXCLUDE])</f>
        <v>0</v>
      </c>
      <c r="R436" t="str" cm="1">
        <f t="array" ref="R436">_xlfn.XLOOKUP(CONTROL[[#This Row],[VEHIDCODE]],GRAPHICS_PROPERTIES[VEHIDCODE],GRAPHICS_PROPERTIES[TEMPLATE_ID]&amp;GRAPHICS_PROPERTIES[TEMPLATE_AMENDMENT_CODE])</f>
        <v>TPL_01A</v>
      </c>
    </row>
    <row r="437" spans="1:18" x14ac:dyDescent="0.35">
      <c r="A437" s="2" t="s">
        <v>3070</v>
      </c>
      <c r="B437" s="21" t="str">
        <f>_xlfn.TEXTAFTER(CONTROL[[#This Row],[VEHIDCODE]],"_")</f>
        <v>Alsthom_BB_22200</v>
      </c>
      <c r="C437" t="str" cm="1">
        <f t="array" ref="C4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7" t="str" cm="1">
        <f t="array" ref="D4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7">
        <v>6036</v>
      </c>
      <c r="F437" s="32" t="s">
        <v>2549</v>
      </c>
      <c r="G437" t="s">
        <v>1459</v>
      </c>
      <c r="H437" s="2" t="b">
        <f>AND(CONTROL[[#This Row],[IS_WAGON_OR_COACH]]=TRUE,OR(RIGHT(CONTROL[[#This Row],[VEHIDCODE]],7)="Powered",RIGHT(CONTROL[[#This Row],[VEHIDCODE]],9)="Unpowered"))</f>
        <v>0</v>
      </c>
      <c r="I4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7" t="b">
        <f>ISNUMBER(_xlfn.XMATCH(CONTROL[[#This Row],[VEHIDCODE]],TRACK_TYPES[VEHIDCODE],0))</f>
        <v>1</v>
      </c>
      <c r="K437" t="b">
        <f>ISNUMBER(_xlfn.XMATCH(CONTROL[[#This Row],[VEHIDCODE]],PROPERTIES[VEHIDCODE],0))</f>
        <v>1</v>
      </c>
      <c r="L437" t="b">
        <f>ISNUMBER(_xlfn.XLOOKUP(CONTROL[[#This Row],[VEHIDCODE]],roster!A:A,roster!D:D))</f>
        <v>1</v>
      </c>
      <c r="M437" t="b">
        <f>ISNUMBER(_xlfn.XMATCH(CONTROL[[#This Row],[VEHIDCODE]],GRAPHICS_PROPERTIES[VEHIDCODE],0))</f>
        <v>1</v>
      </c>
      <c r="N437" s="21" t="str">
        <f>"item_"&amp;CONTROL[[#This Row],[VEHIDCODE]]</f>
        <v>item_electric_Alsthom_BB_22200</v>
      </c>
      <c r="O437" s="21" t="str">
        <f>"str_"&amp;CONTROL[[#This Row],[VEHIDCODE]]</f>
        <v>str_electric_Alsthom_BB_22200</v>
      </c>
      <c r="P437" s="7" t="b">
        <f>_xlfn.XLOOKUP(CONTROL[[#This Row],[VEHIDCODE]],PROPERTIES[VEHIDCODE],PROPERTIES[IS_CONCEPT])="IS_CONCEPT"</f>
        <v>0</v>
      </c>
      <c r="Q437" s="7" t="b">
        <f>_xlfn.XLOOKUP(CONTROL[[#This Row],[VEHIDCODE]],PROPERTIES[VEHIDCODE],PROPERTIES[EXCLUDE])</f>
        <v>0</v>
      </c>
      <c r="R437" t="str" cm="1">
        <f t="array" ref="R437">_xlfn.XLOOKUP(CONTROL[[#This Row],[VEHIDCODE]],GRAPHICS_PROPERTIES[VEHIDCODE],GRAPHICS_PROPERTIES[TEMPLATE_ID]&amp;GRAPHICS_PROPERTIES[TEMPLATE_AMENDMENT_CODE])</f>
        <v>TPL_01A</v>
      </c>
    </row>
    <row r="438" spans="1:18" x14ac:dyDescent="0.35">
      <c r="A438" s="2" t="s">
        <v>3071</v>
      </c>
      <c r="B438" s="21" t="str">
        <f>_xlfn.TEXTAFTER(CONTROL[[#This Row],[VEHIDCODE]],"_")</f>
        <v>GEC_Alsthom_BB_26000</v>
      </c>
      <c r="C438" t="str" cm="1">
        <f t="array" ref="C4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8" t="str" cm="1">
        <f t="array" ref="D4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8">
        <v>6043</v>
      </c>
      <c r="F438" s="32" t="s">
        <v>2288</v>
      </c>
      <c r="G438" t="s">
        <v>1458</v>
      </c>
      <c r="H438" s="2" t="b">
        <f>AND(CONTROL[[#This Row],[IS_WAGON_OR_COACH]]=TRUE,OR(RIGHT(CONTROL[[#This Row],[VEHIDCODE]],7)="Powered",RIGHT(CONTROL[[#This Row],[VEHIDCODE]],9)="Unpowered"))</f>
        <v>0</v>
      </c>
      <c r="I4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8" t="b">
        <f>ISNUMBER(_xlfn.XMATCH(CONTROL[[#This Row],[VEHIDCODE]],TRACK_TYPES[VEHIDCODE],0))</f>
        <v>1</v>
      </c>
      <c r="K438" t="b">
        <f>ISNUMBER(_xlfn.XMATCH(CONTROL[[#This Row],[VEHIDCODE]],PROPERTIES[VEHIDCODE],0))</f>
        <v>1</v>
      </c>
      <c r="L438" t="b">
        <f>ISNUMBER(_xlfn.XLOOKUP(CONTROL[[#This Row],[VEHIDCODE]],roster!A:A,roster!D:D))</f>
        <v>1</v>
      </c>
      <c r="M438" t="b">
        <f>ISNUMBER(_xlfn.XMATCH(CONTROL[[#This Row],[VEHIDCODE]],GRAPHICS_PROPERTIES[VEHIDCODE],0))</f>
        <v>1</v>
      </c>
      <c r="N438" s="21" t="str">
        <f>"item_"&amp;CONTROL[[#This Row],[VEHIDCODE]]</f>
        <v>item_electric_GEC_Alsthom_BB_26000</v>
      </c>
      <c r="O438" s="21" t="str">
        <f>"str_"&amp;CONTROL[[#This Row],[VEHIDCODE]]</f>
        <v>str_electric_GEC_Alsthom_BB_26000</v>
      </c>
      <c r="P438" s="7" t="b">
        <f>_xlfn.XLOOKUP(CONTROL[[#This Row],[VEHIDCODE]],PROPERTIES[VEHIDCODE],PROPERTIES[IS_CONCEPT])="IS_CONCEPT"</f>
        <v>0</v>
      </c>
      <c r="Q438" s="7" t="b">
        <f>_xlfn.XLOOKUP(CONTROL[[#This Row],[VEHIDCODE]],PROPERTIES[VEHIDCODE],PROPERTIES[EXCLUDE])</f>
        <v>0</v>
      </c>
      <c r="R438" t="str" cm="1">
        <f t="array" ref="R438">_xlfn.XLOOKUP(CONTROL[[#This Row],[VEHIDCODE]],GRAPHICS_PROPERTIES[VEHIDCODE],GRAPHICS_PROPERTIES[TEMPLATE_ID]&amp;GRAPHICS_PROPERTIES[TEMPLATE_AMENDMENT_CODE])</f>
        <v>TPL_01A</v>
      </c>
    </row>
    <row r="439" spans="1:18" x14ac:dyDescent="0.35">
      <c r="A439" s="2" t="s">
        <v>3072</v>
      </c>
      <c r="B439" s="21" t="str">
        <f>_xlfn.TEXTAFTER(CONTROL[[#This Row],[VEHIDCODE]],"_")</f>
        <v>Alsthom_BB_25500</v>
      </c>
      <c r="C439" t="str" cm="1">
        <f t="array" ref="C4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9" t="str" cm="1">
        <f t="array" ref="D4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9">
        <v>6087</v>
      </c>
      <c r="F439" s="32" t="s">
        <v>2550</v>
      </c>
      <c r="G439" t="s">
        <v>1460</v>
      </c>
      <c r="H439" s="2" t="b">
        <f>AND(CONTROL[[#This Row],[IS_WAGON_OR_COACH]]=TRUE,OR(RIGHT(CONTROL[[#This Row],[VEHIDCODE]],7)="Powered",RIGHT(CONTROL[[#This Row],[VEHIDCODE]],9)="Unpowered"))</f>
        <v>0</v>
      </c>
      <c r="I4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9" t="b">
        <f>ISNUMBER(_xlfn.XMATCH(CONTROL[[#This Row],[VEHIDCODE]],TRACK_TYPES[VEHIDCODE],0))</f>
        <v>1</v>
      </c>
      <c r="K439" t="b">
        <f>ISNUMBER(_xlfn.XMATCH(CONTROL[[#This Row],[VEHIDCODE]],PROPERTIES[VEHIDCODE],0))</f>
        <v>1</v>
      </c>
      <c r="L439" t="b">
        <f>ISNUMBER(_xlfn.XLOOKUP(CONTROL[[#This Row],[VEHIDCODE]],roster!A:A,roster!D:D))</f>
        <v>1</v>
      </c>
      <c r="M439" t="b">
        <f>ISNUMBER(_xlfn.XMATCH(CONTROL[[#This Row],[VEHIDCODE]],GRAPHICS_PROPERTIES[VEHIDCODE],0))</f>
        <v>1</v>
      </c>
      <c r="N439" s="21" t="str">
        <f>"item_"&amp;CONTROL[[#This Row],[VEHIDCODE]]</f>
        <v>item_electric_Alsthom_BB_25500</v>
      </c>
      <c r="O439" s="21" t="str">
        <f>"str_"&amp;CONTROL[[#This Row],[VEHIDCODE]]</f>
        <v>str_electric_Alsthom_BB_25500</v>
      </c>
      <c r="P439" s="7" t="b">
        <f>_xlfn.XLOOKUP(CONTROL[[#This Row],[VEHIDCODE]],PROPERTIES[VEHIDCODE],PROPERTIES[IS_CONCEPT])="IS_CONCEPT"</f>
        <v>0</v>
      </c>
      <c r="Q439" s="7" t="b">
        <f>_xlfn.XLOOKUP(CONTROL[[#This Row],[VEHIDCODE]],PROPERTIES[VEHIDCODE],PROPERTIES[EXCLUDE])</f>
        <v>0</v>
      </c>
      <c r="R439" t="str" cm="1">
        <f t="array" ref="R439">_xlfn.XLOOKUP(CONTROL[[#This Row],[VEHIDCODE]],GRAPHICS_PROPERTIES[VEHIDCODE],GRAPHICS_PROPERTIES[TEMPLATE_ID]&amp;GRAPHICS_PROPERTIES[TEMPLATE_AMENDMENT_CODE])</f>
        <v>TPL_01A</v>
      </c>
    </row>
    <row r="440" spans="1:18" x14ac:dyDescent="0.35">
      <c r="A440" s="2" t="s">
        <v>3073</v>
      </c>
      <c r="B440" s="21" t="str">
        <f>_xlfn.TEXTAFTER(CONTROL[[#This Row],[VEHIDCODE]],"_")</f>
        <v>Siemens_Eurosprinter_ES64U4</v>
      </c>
      <c r="C440" t="str" cm="1">
        <f t="array" ref="C4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0" t="str" cm="1">
        <f t="array" ref="D4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0">
        <v>6053</v>
      </c>
      <c r="F440" s="32" t="s">
        <v>3484</v>
      </c>
      <c r="G440" t="s">
        <v>1461</v>
      </c>
      <c r="H440" s="2" t="b">
        <f>AND(CONTROL[[#This Row],[IS_WAGON_OR_COACH]]=TRUE,OR(RIGHT(CONTROL[[#This Row],[VEHIDCODE]],7)="Powered",RIGHT(CONTROL[[#This Row],[VEHIDCODE]],9)="Unpowered"))</f>
        <v>0</v>
      </c>
      <c r="I4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0" t="b">
        <f>ISNUMBER(_xlfn.XMATCH(CONTROL[[#This Row],[VEHIDCODE]],TRACK_TYPES[VEHIDCODE],0))</f>
        <v>1</v>
      </c>
      <c r="K440" t="b">
        <f>ISNUMBER(_xlfn.XMATCH(CONTROL[[#This Row],[VEHIDCODE]],PROPERTIES[VEHIDCODE],0))</f>
        <v>1</v>
      </c>
      <c r="L440" t="b">
        <f>ISNUMBER(_xlfn.XLOOKUP(CONTROL[[#This Row],[VEHIDCODE]],roster!A:A,roster!D:D))</f>
        <v>1</v>
      </c>
      <c r="M440" t="b">
        <f>ISNUMBER(_xlfn.XMATCH(CONTROL[[#This Row],[VEHIDCODE]],GRAPHICS_PROPERTIES[VEHIDCODE],0))</f>
        <v>1</v>
      </c>
      <c r="N440" s="21" t="str">
        <f>"item_"&amp;CONTROL[[#This Row],[VEHIDCODE]]</f>
        <v>item_electric_Siemens_Eurosprinter_ES64U4</v>
      </c>
      <c r="O440" s="21" t="str">
        <f>"str_"&amp;CONTROL[[#This Row],[VEHIDCODE]]</f>
        <v>str_electric_Siemens_Eurosprinter_ES64U4</v>
      </c>
      <c r="P440" s="7" t="b">
        <f>_xlfn.XLOOKUP(CONTROL[[#This Row],[VEHIDCODE]],PROPERTIES[VEHIDCODE],PROPERTIES[IS_CONCEPT])="IS_CONCEPT"</f>
        <v>0</v>
      </c>
      <c r="Q440" s="7" t="b">
        <f>_xlfn.XLOOKUP(CONTROL[[#This Row],[VEHIDCODE]],PROPERTIES[VEHIDCODE],PROPERTIES[EXCLUDE])</f>
        <v>0</v>
      </c>
      <c r="R440" t="str" cm="1">
        <f t="array" ref="R440">_xlfn.XLOOKUP(CONTROL[[#This Row],[VEHIDCODE]],GRAPHICS_PROPERTIES[VEHIDCODE],GRAPHICS_PROPERTIES[TEMPLATE_ID]&amp;GRAPHICS_PROPERTIES[TEMPLATE_AMENDMENT_CODE])</f>
        <v>TPL_01A</v>
      </c>
    </row>
    <row r="441" spans="1:18" x14ac:dyDescent="0.35">
      <c r="A441" s="2" t="s">
        <v>3074</v>
      </c>
      <c r="B441" s="21" t="str">
        <f>_xlfn.TEXTAFTER(CONTROL[[#This Row],[VEHIDCODE]],"_")</f>
        <v>Toshiba_EH500</v>
      </c>
      <c r="C441" t="str" cm="1">
        <f t="array" ref="C4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1" t="str" cm="1">
        <f t="array" ref="D4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1">
        <v>6051</v>
      </c>
      <c r="F441" s="32" t="s">
        <v>2289</v>
      </c>
      <c r="G441" t="s">
        <v>1462</v>
      </c>
      <c r="H441" s="2" t="b">
        <f>AND(CONTROL[[#This Row],[IS_WAGON_OR_COACH]]=TRUE,OR(RIGHT(CONTROL[[#This Row],[VEHIDCODE]],7)="Powered",RIGHT(CONTROL[[#This Row],[VEHIDCODE]],9)="Unpowered"))</f>
        <v>0</v>
      </c>
      <c r="I4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1" t="b">
        <f>ISNUMBER(_xlfn.XMATCH(CONTROL[[#This Row],[VEHIDCODE]],TRACK_TYPES[VEHIDCODE],0))</f>
        <v>1</v>
      </c>
      <c r="K441" t="b">
        <f>ISNUMBER(_xlfn.XMATCH(CONTROL[[#This Row],[VEHIDCODE]],PROPERTIES[VEHIDCODE],0))</f>
        <v>1</v>
      </c>
      <c r="L441" t="b">
        <f>ISNUMBER(_xlfn.XLOOKUP(CONTROL[[#This Row],[VEHIDCODE]],roster!A:A,roster!D:D))</f>
        <v>1</v>
      </c>
      <c r="M441" t="b">
        <f>ISNUMBER(_xlfn.XMATCH(CONTROL[[#This Row],[VEHIDCODE]],GRAPHICS_PROPERTIES[VEHIDCODE],0))</f>
        <v>1</v>
      </c>
      <c r="N441" s="21" t="str">
        <f>"item_"&amp;CONTROL[[#This Row],[VEHIDCODE]]</f>
        <v>item_electric_Toshiba_EH500</v>
      </c>
      <c r="O441" s="21" t="str">
        <f>"str_"&amp;CONTROL[[#This Row],[VEHIDCODE]]</f>
        <v>str_electric_Toshiba_EH500</v>
      </c>
      <c r="P441" s="7" t="b">
        <f>_xlfn.XLOOKUP(CONTROL[[#This Row],[VEHIDCODE]],PROPERTIES[VEHIDCODE],PROPERTIES[IS_CONCEPT])="IS_CONCEPT"</f>
        <v>0</v>
      </c>
      <c r="Q441" s="7" t="b">
        <f>_xlfn.XLOOKUP(CONTROL[[#This Row],[VEHIDCODE]],PROPERTIES[VEHIDCODE],PROPERTIES[EXCLUDE])</f>
        <v>0</v>
      </c>
      <c r="R441" t="str" cm="1">
        <f t="array" ref="R441">_xlfn.XLOOKUP(CONTROL[[#This Row],[VEHIDCODE]],GRAPHICS_PROPERTIES[VEHIDCODE],GRAPHICS_PROPERTIES[TEMPLATE_ID]&amp;GRAPHICS_PROPERTIES[TEMPLATE_AMENDMENT_CODE])</f>
        <v>TPL_03D</v>
      </c>
    </row>
    <row r="442" spans="1:18" x14ac:dyDescent="0.35">
      <c r="A442" s="2" t="s">
        <v>3075</v>
      </c>
      <c r="B442" s="21" t="str">
        <f>_xlfn.TEXTAFTER(CONTROL[[#This Row],[VEHIDCODE]],"_")</f>
        <v>ASEA_EMD_AEM_7</v>
      </c>
      <c r="C442" t="str" cm="1">
        <f t="array" ref="C4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2" t="str" cm="1">
        <f t="array" ref="D4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2">
        <v>6104</v>
      </c>
      <c r="F442" s="32" t="s">
        <v>2042</v>
      </c>
      <c r="G442" t="s">
        <v>1463</v>
      </c>
      <c r="H442" s="2" t="b">
        <f>AND(CONTROL[[#This Row],[IS_WAGON_OR_COACH]]=TRUE,OR(RIGHT(CONTROL[[#This Row],[VEHIDCODE]],7)="Powered",RIGHT(CONTROL[[#This Row],[VEHIDCODE]],9)="Unpowered"))</f>
        <v>0</v>
      </c>
      <c r="I4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2" t="b">
        <f>ISNUMBER(_xlfn.XMATCH(CONTROL[[#This Row],[VEHIDCODE]],TRACK_TYPES[VEHIDCODE],0))</f>
        <v>1</v>
      </c>
      <c r="K442" t="b">
        <f>ISNUMBER(_xlfn.XMATCH(CONTROL[[#This Row],[VEHIDCODE]],PROPERTIES[VEHIDCODE],0))</f>
        <v>1</v>
      </c>
      <c r="L442" t="b">
        <f>ISNUMBER(_xlfn.XLOOKUP(CONTROL[[#This Row],[VEHIDCODE]],roster!A:A,roster!D:D))</f>
        <v>1</v>
      </c>
      <c r="M442" t="b">
        <f>ISNUMBER(_xlfn.XMATCH(CONTROL[[#This Row],[VEHIDCODE]],GRAPHICS_PROPERTIES[VEHIDCODE],0))</f>
        <v>1</v>
      </c>
      <c r="N442" s="21" t="str">
        <f>"item_"&amp;CONTROL[[#This Row],[VEHIDCODE]]</f>
        <v>item_electric_ASEA_EMD_AEM_7</v>
      </c>
      <c r="O442" s="21" t="str">
        <f>"str_"&amp;CONTROL[[#This Row],[VEHIDCODE]]</f>
        <v>str_electric_ASEA_EMD_AEM_7</v>
      </c>
      <c r="P442" s="7" t="b">
        <f>_xlfn.XLOOKUP(CONTROL[[#This Row],[VEHIDCODE]],PROPERTIES[VEHIDCODE],PROPERTIES[IS_CONCEPT])="IS_CONCEPT"</f>
        <v>0</v>
      </c>
      <c r="Q442" s="7" t="b">
        <f>_xlfn.XLOOKUP(CONTROL[[#This Row],[VEHIDCODE]],PROPERTIES[VEHIDCODE],PROPERTIES[EXCLUDE])</f>
        <v>0</v>
      </c>
      <c r="R442" t="str" cm="1">
        <f t="array" ref="R442">_xlfn.XLOOKUP(CONTROL[[#This Row],[VEHIDCODE]],GRAPHICS_PROPERTIES[VEHIDCODE],GRAPHICS_PROPERTIES[TEMPLATE_ID]&amp;GRAPHICS_PROPERTIES[TEMPLATE_AMENDMENT_CODE])</f>
        <v>TPL_01A</v>
      </c>
    </row>
    <row r="443" spans="1:18" x14ac:dyDescent="0.35">
      <c r="A443" s="2" t="s">
        <v>3076</v>
      </c>
      <c r="B443" s="21" t="str">
        <f>_xlfn.TEXTAFTER(CONTROL[[#This Row],[VEHIDCODE]],"_")</f>
        <v>Bombardier_Alstom_HHP_8</v>
      </c>
      <c r="C443" t="str" cm="1">
        <f t="array" ref="C4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3" t="str" cm="1">
        <f t="array" ref="D4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3">
        <v>6132</v>
      </c>
      <c r="F443" s="32" t="s">
        <v>2043</v>
      </c>
      <c r="G443" t="s">
        <v>1464</v>
      </c>
      <c r="H443" s="2" t="b">
        <f>AND(CONTROL[[#This Row],[IS_WAGON_OR_COACH]]=TRUE,OR(RIGHT(CONTROL[[#This Row],[VEHIDCODE]],7)="Powered",RIGHT(CONTROL[[#This Row],[VEHIDCODE]],9)="Unpowered"))</f>
        <v>0</v>
      </c>
      <c r="I4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3" t="b">
        <f>ISNUMBER(_xlfn.XMATCH(CONTROL[[#This Row],[VEHIDCODE]],TRACK_TYPES[VEHIDCODE],0))</f>
        <v>1</v>
      </c>
      <c r="K443" t="b">
        <f>ISNUMBER(_xlfn.XMATCH(CONTROL[[#This Row],[VEHIDCODE]],PROPERTIES[VEHIDCODE],0))</f>
        <v>1</v>
      </c>
      <c r="L443" t="b">
        <f>ISNUMBER(_xlfn.XLOOKUP(CONTROL[[#This Row],[VEHIDCODE]],roster!A:A,roster!D:D))</f>
        <v>1</v>
      </c>
      <c r="M443" t="b">
        <f>ISNUMBER(_xlfn.XMATCH(CONTROL[[#This Row],[VEHIDCODE]],GRAPHICS_PROPERTIES[VEHIDCODE],0))</f>
        <v>1</v>
      </c>
      <c r="N443" s="21" t="str">
        <f>"item_"&amp;CONTROL[[#This Row],[VEHIDCODE]]</f>
        <v>item_electric_Bombardier_Alstom_HHP_8</v>
      </c>
      <c r="O443" s="21" t="str">
        <f>"str_"&amp;CONTROL[[#This Row],[VEHIDCODE]]</f>
        <v>str_electric_Bombardier_Alstom_HHP_8</v>
      </c>
      <c r="P443" s="7" t="b">
        <f>_xlfn.XLOOKUP(CONTROL[[#This Row],[VEHIDCODE]],PROPERTIES[VEHIDCODE],PROPERTIES[IS_CONCEPT])="IS_CONCEPT"</f>
        <v>0</v>
      </c>
      <c r="Q443" s="7" t="b">
        <f>_xlfn.XLOOKUP(CONTROL[[#This Row],[VEHIDCODE]],PROPERTIES[VEHIDCODE],PROPERTIES[EXCLUDE])</f>
        <v>0</v>
      </c>
      <c r="R443" t="str" cm="1">
        <f t="array" ref="R443">_xlfn.XLOOKUP(CONTROL[[#This Row],[VEHIDCODE]],GRAPHICS_PROPERTIES[VEHIDCODE],GRAPHICS_PROPERTIES[TEMPLATE_ID]&amp;GRAPHICS_PROPERTIES[TEMPLATE_AMENDMENT_CODE])</f>
        <v>TPL_01A</v>
      </c>
    </row>
    <row r="444" spans="1:18" x14ac:dyDescent="0.35">
      <c r="A444" s="2" t="s">
        <v>3077</v>
      </c>
      <c r="B444" s="21" t="str">
        <f>_xlfn.TEXTAFTER(CONTROL[[#This Row],[VEHIDCODE]],"_")</f>
        <v>Skoda_109E</v>
      </c>
      <c r="C444" t="str" cm="1">
        <f t="array" ref="C4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4" t="str" cm="1">
        <f t="array" ref="D4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4">
        <v>6091</v>
      </c>
      <c r="F444" s="32" t="s">
        <v>1962</v>
      </c>
      <c r="G444" t="s">
        <v>1465</v>
      </c>
      <c r="H444" s="2" t="b">
        <f>AND(CONTROL[[#This Row],[IS_WAGON_OR_COACH]]=TRUE,OR(RIGHT(CONTROL[[#This Row],[VEHIDCODE]],7)="Powered",RIGHT(CONTROL[[#This Row],[VEHIDCODE]],9)="Unpowered"))</f>
        <v>0</v>
      </c>
      <c r="I4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4" t="b">
        <f>ISNUMBER(_xlfn.XMATCH(CONTROL[[#This Row],[VEHIDCODE]],TRACK_TYPES[VEHIDCODE],0))</f>
        <v>1</v>
      </c>
      <c r="K444" t="b">
        <f>ISNUMBER(_xlfn.XMATCH(CONTROL[[#This Row],[VEHIDCODE]],PROPERTIES[VEHIDCODE],0))</f>
        <v>1</v>
      </c>
      <c r="L444" t="b">
        <f>ISNUMBER(_xlfn.XLOOKUP(CONTROL[[#This Row],[VEHIDCODE]],roster!A:A,roster!D:D))</f>
        <v>1</v>
      </c>
      <c r="M444" t="b">
        <f>ISNUMBER(_xlfn.XMATCH(CONTROL[[#This Row],[VEHIDCODE]],GRAPHICS_PROPERTIES[VEHIDCODE],0))</f>
        <v>1</v>
      </c>
      <c r="N444" s="21" t="str">
        <f>"item_"&amp;CONTROL[[#This Row],[VEHIDCODE]]</f>
        <v>item_electric_Skoda_109E</v>
      </c>
      <c r="O444" s="21" t="str">
        <f>"str_"&amp;CONTROL[[#This Row],[VEHIDCODE]]</f>
        <v>str_electric_Skoda_109E</v>
      </c>
      <c r="P444" s="7" t="b">
        <f>_xlfn.XLOOKUP(CONTROL[[#This Row],[VEHIDCODE]],PROPERTIES[VEHIDCODE],PROPERTIES[IS_CONCEPT])="IS_CONCEPT"</f>
        <v>0</v>
      </c>
      <c r="Q444" s="7" t="b">
        <f>_xlfn.XLOOKUP(CONTROL[[#This Row],[VEHIDCODE]],PROPERTIES[VEHIDCODE],PROPERTIES[EXCLUDE])</f>
        <v>0</v>
      </c>
      <c r="R444" t="str" cm="1">
        <f t="array" ref="R444">_xlfn.XLOOKUP(CONTROL[[#This Row],[VEHIDCODE]],GRAPHICS_PROPERTIES[VEHIDCODE],GRAPHICS_PROPERTIES[TEMPLATE_ID]&amp;GRAPHICS_PROPERTIES[TEMPLATE_AMENDMENT_CODE])</f>
        <v>TPL_01A</v>
      </c>
    </row>
    <row r="445" spans="1:18" x14ac:dyDescent="0.35">
      <c r="A445" s="2" t="s">
        <v>3078</v>
      </c>
      <c r="B445" s="21" t="str">
        <f>_xlfn.TEXTAFTER(CONTROL[[#This Row],[VEHIDCODE]],"_")</f>
        <v>CAF_Macosa_252</v>
      </c>
      <c r="C445" t="str" cm="1">
        <f t="array" ref="C4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5" t="str" cm="1">
        <f t="array" ref="D4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5">
        <v>6046</v>
      </c>
      <c r="F445" s="32" t="s">
        <v>2290</v>
      </c>
      <c r="G445" t="s">
        <v>1466</v>
      </c>
      <c r="H445" s="2" t="b">
        <f>AND(CONTROL[[#This Row],[IS_WAGON_OR_COACH]]=TRUE,OR(RIGHT(CONTROL[[#This Row],[VEHIDCODE]],7)="Powered",RIGHT(CONTROL[[#This Row],[VEHIDCODE]],9)="Unpowered"))</f>
        <v>0</v>
      </c>
      <c r="I4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5" t="b">
        <f>ISNUMBER(_xlfn.XMATCH(CONTROL[[#This Row],[VEHIDCODE]],TRACK_TYPES[VEHIDCODE],0))</f>
        <v>1</v>
      </c>
      <c r="K445" t="b">
        <f>ISNUMBER(_xlfn.XMATCH(CONTROL[[#This Row],[VEHIDCODE]],PROPERTIES[VEHIDCODE],0))</f>
        <v>1</v>
      </c>
      <c r="L445" t="b">
        <f>ISNUMBER(_xlfn.XLOOKUP(CONTROL[[#This Row],[VEHIDCODE]],roster!A:A,roster!D:D))</f>
        <v>1</v>
      </c>
      <c r="M445" t="b">
        <f>ISNUMBER(_xlfn.XMATCH(CONTROL[[#This Row],[VEHIDCODE]],GRAPHICS_PROPERTIES[VEHIDCODE],0))</f>
        <v>1</v>
      </c>
      <c r="N445" s="21" t="str">
        <f>"item_"&amp;CONTROL[[#This Row],[VEHIDCODE]]</f>
        <v>item_electric_CAF_Macosa_252</v>
      </c>
      <c r="O445" s="21" t="str">
        <f>"str_"&amp;CONTROL[[#This Row],[VEHIDCODE]]</f>
        <v>str_electric_CAF_Macosa_252</v>
      </c>
      <c r="P445" s="7" t="b">
        <f>_xlfn.XLOOKUP(CONTROL[[#This Row],[VEHIDCODE]],PROPERTIES[VEHIDCODE],PROPERTIES[IS_CONCEPT])="IS_CONCEPT"</f>
        <v>0</v>
      </c>
      <c r="Q445" s="7" t="b">
        <f>_xlfn.XLOOKUP(CONTROL[[#This Row],[VEHIDCODE]],PROPERTIES[VEHIDCODE],PROPERTIES[EXCLUDE])</f>
        <v>0</v>
      </c>
      <c r="R445" t="str" cm="1">
        <f t="array" ref="R445">_xlfn.XLOOKUP(CONTROL[[#This Row],[VEHIDCODE]],GRAPHICS_PROPERTIES[VEHIDCODE],GRAPHICS_PROPERTIES[TEMPLATE_ID]&amp;GRAPHICS_PROPERTIES[TEMPLATE_AMENDMENT_CODE])</f>
        <v>TPL_01A</v>
      </c>
    </row>
    <row r="446" spans="1:18" x14ac:dyDescent="0.35">
      <c r="A446" s="2" t="s">
        <v>3079</v>
      </c>
      <c r="B446" s="21" t="str">
        <f>_xlfn.TEXTAFTER(CONTROL[[#This Row],[VEHIDCODE]],"_")</f>
        <v>Bombardier_Traxx_F140_MS</v>
      </c>
      <c r="C446" t="str" cm="1">
        <f t="array" ref="C4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6" t="str" cm="1">
        <f t="array" ref="D4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6">
        <v>6049</v>
      </c>
      <c r="F446" s="32" t="s">
        <v>2628</v>
      </c>
      <c r="G446" t="s">
        <v>1467</v>
      </c>
      <c r="H446" s="2" t="b">
        <f>AND(CONTROL[[#This Row],[IS_WAGON_OR_COACH]]=TRUE,OR(RIGHT(CONTROL[[#This Row],[VEHIDCODE]],7)="Powered",RIGHT(CONTROL[[#This Row],[VEHIDCODE]],9)="Unpowered"))</f>
        <v>0</v>
      </c>
      <c r="I4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6" t="b">
        <f>ISNUMBER(_xlfn.XMATCH(CONTROL[[#This Row],[VEHIDCODE]],TRACK_TYPES[VEHIDCODE],0))</f>
        <v>1</v>
      </c>
      <c r="K446" t="b">
        <f>ISNUMBER(_xlfn.XMATCH(CONTROL[[#This Row],[VEHIDCODE]],PROPERTIES[VEHIDCODE],0))</f>
        <v>1</v>
      </c>
      <c r="L446" t="b">
        <f>ISNUMBER(_xlfn.XLOOKUP(CONTROL[[#This Row],[VEHIDCODE]],roster!A:A,roster!D:D))</f>
        <v>1</v>
      </c>
      <c r="M446" t="b">
        <f>ISNUMBER(_xlfn.XMATCH(CONTROL[[#This Row],[VEHIDCODE]],GRAPHICS_PROPERTIES[VEHIDCODE],0))</f>
        <v>1</v>
      </c>
      <c r="N446" s="21" t="str">
        <f>"item_"&amp;CONTROL[[#This Row],[VEHIDCODE]]</f>
        <v>item_electric_Bombardier_Traxx_F140_MS</v>
      </c>
      <c r="O446" s="21" t="str">
        <f>"str_"&amp;CONTROL[[#This Row],[VEHIDCODE]]</f>
        <v>str_electric_Bombardier_Traxx_F140_MS</v>
      </c>
      <c r="P446" s="7" t="b">
        <f>_xlfn.XLOOKUP(CONTROL[[#This Row],[VEHIDCODE]],PROPERTIES[VEHIDCODE],PROPERTIES[IS_CONCEPT])="IS_CONCEPT"</f>
        <v>0</v>
      </c>
      <c r="Q446" s="7" t="b">
        <f>_xlfn.XLOOKUP(CONTROL[[#This Row],[VEHIDCODE]],PROPERTIES[VEHIDCODE],PROPERTIES[EXCLUDE])</f>
        <v>0</v>
      </c>
      <c r="R446" t="str" cm="1">
        <f t="array" ref="R446">_xlfn.XLOOKUP(CONTROL[[#This Row],[VEHIDCODE]],GRAPHICS_PROPERTIES[VEHIDCODE],GRAPHICS_PROPERTIES[TEMPLATE_ID]&amp;GRAPHICS_PROPERTIES[TEMPLATE_AMENDMENT_CODE])</f>
        <v>TPL_01A</v>
      </c>
    </row>
    <row r="447" spans="1:18" x14ac:dyDescent="0.35">
      <c r="A447" s="2" t="s">
        <v>3080</v>
      </c>
      <c r="B447" s="21" t="str">
        <f>_xlfn.TEXTAFTER(CONTROL[[#This Row],[VEHIDCODE]],"_")</f>
        <v>TIBB_E_550</v>
      </c>
      <c r="C447" t="str" cm="1">
        <f t="array" ref="C4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7" t="str" cm="1">
        <f t="array" ref="D4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7">
        <v>6068</v>
      </c>
      <c r="F447" s="32" t="s">
        <v>2291</v>
      </c>
      <c r="G447" t="s">
        <v>1468</v>
      </c>
      <c r="H447" s="2" t="b">
        <f>AND(CONTROL[[#This Row],[IS_WAGON_OR_COACH]]=TRUE,OR(RIGHT(CONTROL[[#This Row],[VEHIDCODE]],7)="Powered",RIGHT(CONTROL[[#This Row],[VEHIDCODE]],9)="Unpowered"))</f>
        <v>0</v>
      </c>
      <c r="I4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7" t="b">
        <f>ISNUMBER(_xlfn.XMATCH(CONTROL[[#This Row],[VEHIDCODE]],TRACK_TYPES[VEHIDCODE],0))</f>
        <v>1</v>
      </c>
      <c r="K447" t="b">
        <f>ISNUMBER(_xlfn.XMATCH(CONTROL[[#This Row],[VEHIDCODE]],PROPERTIES[VEHIDCODE],0))</f>
        <v>1</v>
      </c>
      <c r="L447" t="b">
        <f>ISNUMBER(_xlfn.XLOOKUP(CONTROL[[#This Row],[VEHIDCODE]],roster!A:A,roster!D:D))</f>
        <v>1</v>
      </c>
      <c r="M447" t="b">
        <f>ISNUMBER(_xlfn.XMATCH(CONTROL[[#This Row],[VEHIDCODE]],GRAPHICS_PROPERTIES[VEHIDCODE],0))</f>
        <v>1</v>
      </c>
      <c r="N447" s="21" t="str">
        <f>"item_"&amp;CONTROL[[#This Row],[VEHIDCODE]]</f>
        <v>item_electric_TIBB_E_550</v>
      </c>
      <c r="O447" s="21" t="str">
        <f>"str_"&amp;CONTROL[[#This Row],[VEHIDCODE]]</f>
        <v>str_electric_TIBB_E_550</v>
      </c>
      <c r="P447" s="7" t="b">
        <f>_xlfn.XLOOKUP(CONTROL[[#This Row],[VEHIDCODE]],PROPERTIES[VEHIDCODE],PROPERTIES[IS_CONCEPT])="IS_CONCEPT"</f>
        <v>0</v>
      </c>
      <c r="Q447" s="7" t="b">
        <f>_xlfn.XLOOKUP(CONTROL[[#This Row],[VEHIDCODE]],PROPERTIES[VEHIDCODE],PROPERTIES[EXCLUDE])</f>
        <v>0</v>
      </c>
      <c r="R447" t="str" cm="1">
        <f t="array" ref="R447">_xlfn.XLOOKUP(CONTROL[[#This Row],[VEHIDCODE]],GRAPHICS_PROPERTIES[VEHIDCODE],GRAPHICS_PROPERTIES[TEMPLATE_ID]&amp;GRAPHICS_PROPERTIES[TEMPLATE_AMENDMENT_CODE])</f>
        <v>TPL_03C</v>
      </c>
    </row>
    <row r="448" spans="1:18" x14ac:dyDescent="0.35">
      <c r="A448" s="2" t="s">
        <v>3081</v>
      </c>
      <c r="B448" s="21" t="str">
        <f>_xlfn.TEXTAFTER(CONTROL[[#This Row],[VEHIDCODE]],"_")</f>
        <v>Hitachi_EF81</v>
      </c>
      <c r="C448" t="str" cm="1">
        <f t="array" ref="C4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8" t="str" cm="1">
        <f t="array" ref="D4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8">
        <v>6125</v>
      </c>
      <c r="F448" s="32" t="s">
        <v>2292</v>
      </c>
      <c r="G448" t="s">
        <v>1469</v>
      </c>
      <c r="H448" s="2" t="b">
        <f>AND(CONTROL[[#This Row],[IS_WAGON_OR_COACH]]=TRUE,OR(RIGHT(CONTROL[[#This Row],[VEHIDCODE]],7)="Powered",RIGHT(CONTROL[[#This Row],[VEHIDCODE]],9)="Unpowered"))</f>
        <v>0</v>
      </c>
      <c r="I4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8" t="b">
        <f>ISNUMBER(_xlfn.XMATCH(CONTROL[[#This Row],[VEHIDCODE]],TRACK_TYPES[VEHIDCODE],0))</f>
        <v>1</v>
      </c>
      <c r="K448" t="b">
        <f>ISNUMBER(_xlfn.XMATCH(CONTROL[[#This Row],[VEHIDCODE]],PROPERTIES[VEHIDCODE],0))</f>
        <v>1</v>
      </c>
      <c r="L448" t="b">
        <f>ISNUMBER(_xlfn.XLOOKUP(CONTROL[[#This Row],[VEHIDCODE]],roster!A:A,roster!D:D))</f>
        <v>1</v>
      </c>
      <c r="M448" t="b">
        <f>ISNUMBER(_xlfn.XMATCH(CONTROL[[#This Row],[VEHIDCODE]],GRAPHICS_PROPERTIES[VEHIDCODE],0))</f>
        <v>1</v>
      </c>
      <c r="N448" s="21" t="str">
        <f>"item_"&amp;CONTROL[[#This Row],[VEHIDCODE]]</f>
        <v>item_electric_Hitachi_EF81</v>
      </c>
      <c r="O448" s="21" t="str">
        <f>"str_"&amp;CONTROL[[#This Row],[VEHIDCODE]]</f>
        <v>str_electric_Hitachi_EF81</v>
      </c>
      <c r="P448" s="7" t="b">
        <f>_xlfn.XLOOKUP(CONTROL[[#This Row],[VEHIDCODE]],PROPERTIES[VEHIDCODE],PROPERTIES[IS_CONCEPT])="IS_CONCEPT"</f>
        <v>0</v>
      </c>
      <c r="Q448" s="7" t="b">
        <f>_xlfn.XLOOKUP(CONTROL[[#This Row],[VEHIDCODE]],PROPERTIES[VEHIDCODE],PROPERTIES[EXCLUDE])</f>
        <v>0</v>
      </c>
      <c r="R448" t="str" cm="1">
        <f t="array" ref="R448">_xlfn.XLOOKUP(CONTROL[[#This Row],[VEHIDCODE]],GRAPHICS_PROPERTIES[VEHIDCODE],GRAPHICS_PROPERTIES[TEMPLATE_ID]&amp;GRAPHICS_PROPERTIES[TEMPLATE_AMENDMENT_CODE])</f>
        <v>TPL_01A</v>
      </c>
    </row>
    <row r="449" spans="1:18" x14ac:dyDescent="0.35">
      <c r="A449" s="2" t="s">
        <v>3082</v>
      </c>
      <c r="B449" s="21" t="str">
        <f>_xlfn.TEXTAFTER(CONTROL[[#This Row],[VEHIDCODE]],"_")</f>
        <v>ABB_Brush_Class_92</v>
      </c>
      <c r="C449" t="str" cm="1">
        <f t="array" ref="C4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9" t="str" cm="1">
        <f t="array" ref="D4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9">
        <v>6047</v>
      </c>
      <c r="F449" s="32" t="s">
        <v>2293</v>
      </c>
      <c r="G449" t="s">
        <v>1470</v>
      </c>
      <c r="H449" s="2" t="b">
        <f>AND(CONTROL[[#This Row],[IS_WAGON_OR_COACH]]=TRUE,OR(RIGHT(CONTROL[[#This Row],[VEHIDCODE]],7)="Powered",RIGHT(CONTROL[[#This Row],[VEHIDCODE]],9)="Unpowered"))</f>
        <v>0</v>
      </c>
      <c r="I4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9" t="b">
        <f>ISNUMBER(_xlfn.XMATCH(CONTROL[[#This Row],[VEHIDCODE]],TRACK_TYPES[VEHIDCODE],0))</f>
        <v>1</v>
      </c>
      <c r="K449" t="b">
        <f>ISNUMBER(_xlfn.XMATCH(CONTROL[[#This Row],[VEHIDCODE]],PROPERTIES[VEHIDCODE],0))</f>
        <v>1</v>
      </c>
      <c r="L449" t="b">
        <f>ISNUMBER(_xlfn.XLOOKUP(CONTROL[[#This Row],[VEHIDCODE]],roster!A:A,roster!D:D))</f>
        <v>1</v>
      </c>
      <c r="M449" t="b">
        <f>ISNUMBER(_xlfn.XMATCH(CONTROL[[#This Row],[VEHIDCODE]],GRAPHICS_PROPERTIES[VEHIDCODE],0))</f>
        <v>1</v>
      </c>
      <c r="N449" s="21" t="str">
        <f>"item_"&amp;CONTROL[[#This Row],[VEHIDCODE]]</f>
        <v>item_electric_ABB_Brush_Class_92</v>
      </c>
      <c r="O449" s="21" t="str">
        <f>"str_"&amp;CONTROL[[#This Row],[VEHIDCODE]]</f>
        <v>str_electric_ABB_Brush_Class_92</v>
      </c>
      <c r="P449" s="7" t="b">
        <f>_xlfn.XLOOKUP(CONTROL[[#This Row],[VEHIDCODE]],PROPERTIES[VEHIDCODE],PROPERTIES[IS_CONCEPT])="IS_CONCEPT"</f>
        <v>0</v>
      </c>
      <c r="Q449" s="7" t="b">
        <f>_xlfn.XLOOKUP(CONTROL[[#This Row],[VEHIDCODE]],PROPERTIES[VEHIDCODE],PROPERTIES[EXCLUDE])</f>
        <v>0</v>
      </c>
      <c r="R449" t="str" cm="1">
        <f t="array" ref="R449">_xlfn.XLOOKUP(CONTROL[[#This Row],[VEHIDCODE]],GRAPHICS_PROPERTIES[VEHIDCODE],GRAPHICS_PROPERTIES[TEMPLATE_ID]&amp;GRAPHICS_PROPERTIES[TEMPLATE_AMENDMENT_CODE])</f>
        <v>TPL_01A</v>
      </c>
    </row>
    <row r="450" spans="1:18" x14ac:dyDescent="0.35">
      <c r="A450" s="2" t="s">
        <v>3083</v>
      </c>
      <c r="B450" s="21" t="str">
        <f>_xlfn.TEXTAFTER(CONTROL[[#This Row],[VEHIDCODE]],"_")</f>
        <v>Siemens_ACS_64</v>
      </c>
      <c r="C450" t="str" cm="1">
        <f t="array" ref="C4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50" t="str" cm="1">
        <f t="array" ref="D4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50">
        <v>6120</v>
      </c>
      <c r="F450" s="32" t="s">
        <v>2044</v>
      </c>
      <c r="G450" t="s">
        <v>1471</v>
      </c>
      <c r="H450" s="2" t="b">
        <f>AND(CONTROL[[#This Row],[IS_WAGON_OR_COACH]]=TRUE,OR(RIGHT(CONTROL[[#This Row],[VEHIDCODE]],7)="Powered",RIGHT(CONTROL[[#This Row],[VEHIDCODE]],9)="Unpowered"))</f>
        <v>0</v>
      </c>
      <c r="I4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0" t="b">
        <f>ISNUMBER(_xlfn.XMATCH(CONTROL[[#This Row],[VEHIDCODE]],TRACK_TYPES[VEHIDCODE],0))</f>
        <v>1</v>
      </c>
      <c r="K450" t="b">
        <f>ISNUMBER(_xlfn.XMATCH(CONTROL[[#This Row],[VEHIDCODE]],PROPERTIES[VEHIDCODE],0))</f>
        <v>1</v>
      </c>
      <c r="L450" t="b">
        <f>ISNUMBER(_xlfn.XLOOKUP(CONTROL[[#This Row],[VEHIDCODE]],roster!A:A,roster!D:D))</f>
        <v>1</v>
      </c>
      <c r="M450" t="b">
        <f>ISNUMBER(_xlfn.XMATCH(CONTROL[[#This Row],[VEHIDCODE]],GRAPHICS_PROPERTIES[VEHIDCODE],0))</f>
        <v>1</v>
      </c>
      <c r="N450" s="21" t="str">
        <f>"item_"&amp;CONTROL[[#This Row],[VEHIDCODE]]</f>
        <v>item_electric_Siemens_ACS_64</v>
      </c>
      <c r="O450" s="21" t="str">
        <f>"str_"&amp;CONTROL[[#This Row],[VEHIDCODE]]</f>
        <v>str_electric_Siemens_ACS_64</v>
      </c>
      <c r="P450" s="7" t="b">
        <f>_xlfn.XLOOKUP(CONTROL[[#This Row],[VEHIDCODE]],PROPERTIES[VEHIDCODE],PROPERTIES[IS_CONCEPT])="IS_CONCEPT"</f>
        <v>0</v>
      </c>
      <c r="Q450" s="7" t="b">
        <f>_xlfn.XLOOKUP(CONTROL[[#This Row],[VEHIDCODE]],PROPERTIES[VEHIDCODE],PROPERTIES[EXCLUDE])</f>
        <v>0</v>
      </c>
      <c r="R450" t="str" cm="1">
        <f t="array" ref="R450">_xlfn.XLOOKUP(CONTROL[[#This Row],[VEHIDCODE]],GRAPHICS_PROPERTIES[VEHIDCODE],GRAPHICS_PROPERTIES[TEMPLATE_ID]&amp;GRAPHICS_PROPERTIES[TEMPLATE_AMENDMENT_CODE])</f>
        <v>TPL_01A</v>
      </c>
    </row>
    <row r="451" spans="1:18" x14ac:dyDescent="0.35">
      <c r="A451" s="2" t="s">
        <v>3084</v>
      </c>
      <c r="B451" s="21" t="str">
        <f>_xlfn.TEXTAFTER(CONTROL[[#This Row],[VEHIDCODE]],"_")</f>
        <v>Alsthom_CC_40101</v>
      </c>
      <c r="C451" t="str" cm="1">
        <f t="array" ref="C4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51" t="str" cm="1">
        <f t="array" ref="D4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51">
        <v>6030</v>
      </c>
      <c r="F451" s="32" t="s">
        <v>3482</v>
      </c>
      <c r="G451" t="s">
        <v>1472</v>
      </c>
      <c r="H451" s="2" t="b">
        <f>AND(CONTROL[[#This Row],[IS_WAGON_OR_COACH]]=TRUE,OR(RIGHT(CONTROL[[#This Row],[VEHIDCODE]],7)="Powered",RIGHT(CONTROL[[#This Row],[VEHIDCODE]],9)="Unpowered"))</f>
        <v>0</v>
      </c>
      <c r="I4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1" t="b">
        <f>ISNUMBER(_xlfn.XMATCH(CONTROL[[#This Row],[VEHIDCODE]],TRACK_TYPES[VEHIDCODE],0))</f>
        <v>1</v>
      </c>
      <c r="K451" t="b">
        <f>ISNUMBER(_xlfn.XMATCH(CONTROL[[#This Row],[VEHIDCODE]],PROPERTIES[VEHIDCODE],0))</f>
        <v>1</v>
      </c>
      <c r="L451" t="b">
        <f>ISNUMBER(_xlfn.XLOOKUP(CONTROL[[#This Row],[VEHIDCODE]],roster!A:A,roster!D:D))</f>
        <v>1</v>
      </c>
      <c r="M451" t="b">
        <f>ISNUMBER(_xlfn.XMATCH(CONTROL[[#This Row],[VEHIDCODE]],GRAPHICS_PROPERTIES[VEHIDCODE],0))</f>
        <v>1</v>
      </c>
      <c r="N451" s="21" t="str">
        <f>"item_"&amp;CONTROL[[#This Row],[VEHIDCODE]]</f>
        <v>item_electric_Alsthom_CC_40101</v>
      </c>
      <c r="O451" s="21" t="str">
        <f>"str_"&amp;CONTROL[[#This Row],[VEHIDCODE]]</f>
        <v>str_electric_Alsthom_CC_40101</v>
      </c>
      <c r="P451" s="7" t="b">
        <f>_xlfn.XLOOKUP(CONTROL[[#This Row],[VEHIDCODE]],PROPERTIES[VEHIDCODE],PROPERTIES[IS_CONCEPT])="IS_CONCEPT"</f>
        <v>0</v>
      </c>
      <c r="Q451" s="7" t="b">
        <f>_xlfn.XLOOKUP(CONTROL[[#This Row],[VEHIDCODE]],PROPERTIES[VEHIDCODE],PROPERTIES[EXCLUDE])</f>
        <v>0</v>
      </c>
      <c r="R451" t="str" cm="1">
        <f t="array" ref="R451">_xlfn.XLOOKUP(CONTROL[[#This Row],[VEHIDCODE]],GRAPHICS_PROPERTIES[VEHIDCODE],GRAPHICS_PROPERTIES[TEMPLATE_ID]&amp;GRAPHICS_PROPERTIES[TEMPLATE_AMENDMENT_CODE])</f>
        <v>TPL_01A</v>
      </c>
    </row>
    <row r="452" spans="1:18" x14ac:dyDescent="0.35">
      <c r="A452" s="2" t="s">
        <v>3085</v>
      </c>
      <c r="B452" s="21" t="str">
        <f>_xlfn.TEXTAFTER(CONTROL[[#This Row],[VEHIDCODE]],"_")</f>
        <v>Alsthom_Class_13_HLE</v>
      </c>
      <c r="C452" t="str" cm="1">
        <f t="array" ref="C4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52" t="str" cm="1">
        <f t="array" ref="D4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52">
        <v>6050</v>
      </c>
      <c r="F452" s="32" t="s">
        <v>2551</v>
      </c>
      <c r="G452" t="s">
        <v>1473</v>
      </c>
      <c r="H452" s="2" t="b">
        <f>AND(CONTROL[[#This Row],[IS_WAGON_OR_COACH]]=TRUE,OR(RIGHT(CONTROL[[#This Row],[VEHIDCODE]],7)="Powered",RIGHT(CONTROL[[#This Row],[VEHIDCODE]],9)="Unpowered"))</f>
        <v>0</v>
      </c>
      <c r="I4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2" t="b">
        <f>ISNUMBER(_xlfn.XMATCH(CONTROL[[#This Row],[VEHIDCODE]],TRACK_TYPES[VEHIDCODE],0))</f>
        <v>1</v>
      </c>
      <c r="K452" t="b">
        <f>ISNUMBER(_xlfn.XMATCH(CONTROL[[#This Row],[VEHIDCODE]],PROPERTIES[VEHIDCODE],0))</f>
        <v>1</v>
      </c>
      <c r="L452" t="b">
        <f>ISNUMBER(_xlfn.XLOOKUP(CONTROL[[#This Row],[VEHIDCODE]],roster!A:A,roster!D:D))</f>
        <v>1</v>
      </c>
      <c r="M452" t="b">
        <f>ISNUMBER(_xlfn.XMATCH(CONTROL[[#This Row],[VEHIDCODE]],GRAPHICS_PROPERTIES[VEHIDCODE],0))</f>
        <v>1</v>
      </c>
      <c r="N452" s="21" t="str">
        <f>"item_"&amp;CONTROL[[#This Row],[VEHIDCODE]]</f>
        <v>item_electric_Alsthom_Class_13_HLE</v>
      </c>
      <c r="O452" s="21" t="str">
        <f>"str_"&amp;CONTROL[[#This Row],[VEHIDCODE]]</f>
        <v>str_electric_Alsthom_Class_13_HLE</v>
      </c>
      <c r="P452" s="7" t="b">
        <f>_xlfn.XLOOKUP(CONTROL[[#This Row],[VEHIDCODE]],PROPERTIES[VEHIDCODE],PROPERTIES[IS_CONCEPT])="IS_CONCEPT"</f>
        <v>0</v>
      </c>
      <c r="Q452" s="7" t="b">
        <f>_xlfn.XLOOKUP(CONTROL[[#This Row],[VEHIDCODE]],PROPERTIES[VEHIDCODE],PROPERTIES[EXCLUDE])</f>
        <v>0</v>
      </c>
      <c r="R452" t="str" cm="1">
        <f t="array" ref="R452">_xlfn.XLOOKUP(CONTROL[[#This Row],[VEHIDCODE]],GRAPHICS_PROPERTIES[VEHIDCODE],GRAPHICS_PROPERTIES[TEMPLATE_ID]&amp;GRAPHICS_PROPERTIES[TEMPLATE_AMENDMENT_CODE])</f>
        <v>TPL_01A</v>
      </c>
    </row>
    <row r="453" spans="1:18" x14ac:dyDescent="0.35">
      <c r="A453" s="2" t="s">
        <v>3086</v>
      </c>
      <c r="B453" s="21" t="str">
        <f>_xlfn.TEXTAFTER(CONTROL[[#This Row],[VEHIDCODE]],"_")</f>
        <v>LHB_VT_04_0_Flying_Hamburger</v>
      </c>
      <c r="C453" t="str" cm="1">
        <f t="array" ref="C4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3" t="str" cm="1">
        <f t="array" ref="D4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3">
        <v>7002</v>
      </c>
      <c r="F453" s="32" t="s">
        <v>2294</v>
      </c>
      <c r="G453" t="s">
        <v>1481</v>
      </c>
      <c r="H453" s="2" t="b">
        <f>AND(CONTROL[[#This Row],[IS_WAGON_OR_COACH]]=TRUE,OR(RIGHT(CONTROL[[#This Row],[VEHIDCODE]],7)="Powered",RIGHT(CONTROL[[#This Row],[VEHIDCODE]],9)="Unpowered"))</f>
        <v>0</v>
      </c>
      <c r="I4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3" t="b">
        <f>ISNUMBER(_xlfn.XMATCH(CONTROL[[#This Row],[VEHIDCODE]],TRACK_TYPES[VEHIDCODE],0))</f>
        <v>1</v>
      </c>
      <c r="K453" t="b">
        <f>ISNUMBER(_xlfn.XMATCH(CONTROL[[#This Row],[VEHIDCODE]],PROPERTIES[VEHIDCODE],0))</f>
        <v>1</v>
      </c>
      <c r="L453" t="b">
        <f>ISNUMBER(_xlfn.XLOOKUP(CONTROL[[#This Row],[VEHIDCODE]],roster!A:A,roster!D:D))</f>
        <v>1</v>
      </c>
      <c r="M453" t="b">
        <f>ISNUMBER(_xlfn.XMATCH(CONTROL[[#This Row],[VEHIDCODE]],GRAPHICS_PROPERTIES[VEHIDCODE],0))</f>
        <v>1</v>
      </c>
      <c r="N453" s="21" t="str">
        <f>"item_"&amp;CONTROL[[#This Row],[VEHIDCODE]]</f>
        <v>item_dmu_LHB_VT_04_0_Flying_Hamburger</v>
      </c>
      <c r="O453" s="21" t="str">
        <f>"str_"&amp;CONTROL[[#This Row],[VEHIDCODE]]</f>
        <v>str_dmu_LHB_VT_04_0_Flying_Hamburger</v>
      </c>
      <c r="P453" s="7" t="b">
        <f>_xlfn.XLOOKUP(CONTROL[[#This Row],[VEHIDCODE]],PROPERTIES[VEHIDCODE],PROPERTIES[IS_CONCEPT])="IS_CONCEPT"</f>
        <v>0</v>
      </c>
      <c r="Q453" s="7" t="b">
        <f>_xlfn.XLOOKUP(CONTROL[[#This Row],[VEHIDCODE]],PROPERTIES[VEHIDCODE],PROPERTIES[EXCLUDE])</f>
        <v>0</v>
      </c>
      <c r="R453" t="str" cm="1">
        <f t="array" ref="R453">_xlfn.XLOOKUP(CONTROL[[#This Row],[VEHIDCODE]],GRAPHICS_PROPERTIES[VEHIDCODE],GRAPHICS_PROPERTIES[TEMPLATE_ID]&amp;GRAPHICS_PROPERTIES[TEMPLATE_AMENDMENT_CODE])</f>
        <v>TPL_02A</v>
      </c>
    </row>
    <row r="454" spans="1:18" x14ac:dyDescent="0.35">
      <c r="A454" s="2" t="s">
        <v>3087</v>
      </c>
      <c r="B454" s="21" t="str">
        <f>_xlfn.TEXTAFTER(CONTROL[[#This Row],[VEHIDCODE]],"_")</f>
        <v>Harland___Wolf_Silver_City_Comet</v>
      </c>
      <c r="C454" t="str" cm="1">
        <f t="array" ref="C4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4" t="str" cm="1">
        <f t="array" ref="D4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4">
        <v>7003</v>
      </c>
      <c r="F454" s="32" t="s">
        <v>2295</v>
      </c>
      <c r="G454" t="s">
        <v>1474</v>
      </c>
      <c r="H454" s="2" t="b">
        <f>AND(CONTROL[[#This Row],[IS_WAGON_OR_COACH]]=TRUE,OR(RIGHT(CONTROL[[#This Row],[VEHIDCODE]],7)="Powered",RIGHT(CONTROL[[#This Row],[VEHIDCODE]],9)="Unpowered"))</f>
        <v>0</v>
      </c>
      <c r="I4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4" t="b">
        <f>ISNUMBER(_xlfn.XMATCH(CONTROL[[#This Row],[VEHIDCODE]],TRACK_TYPES[VEHIDCODE],0))</f>
        <v>1</v>
      </c>
      <c r="K454" t="b">
        <f>ISNUMBER(_xlfn.XMATCH(CONTROL[[#This Row],[VEHIDCODE]],PROPERTIES[VEHIDCODE],0))</f>
        <v>1</v>
      </c>
      <c r="L454" t="b">
        <f>ISNUMBER(_xlfn.XLOOKUP(CONTROL[[#This Row],[VEHIDCODE]],roster!A:A,roster!D:D))</f>
        <v>1</v>
      </c>
      <c r="M454" t="b">
        <f>ISNUMBER(_xlfn.XMATCH(CONTROL[[#This Row],[VEHIDCODE]],GRAPHICS_PROPERTIES[VEHIDCODE],0))</f>
        <v>1</v>
      </c>
      <c r="N454" s="21" t="str">
        <f>"item_"&amp;CONTROL[[#This Row],[VEHIDCODE]]</f>
        <v>item_dmu_Harland___Wolf_Silver_City_Comet</v>
      </c>
      <c r="O454" s="21" t="str">
        <f>"str_"&amp;CONTROL[[#This Row],[VEHIDCODE]]</f>
        <v>str_dmu_Harland___Wolf_Silver_City_Comet</v>
      </c>
      <c r="P454" s="7" t="b">
        <f>_xlfn.XLOOKUP(CONTROL[[#This Row],[VEHIDCODE]],PROPERTIES[VEHIDCODE],PROPERTIES[IS_CONCEPT])="IS_CONCEPT"</f>
        <v>0</v>
      </c>
      <c r="Q454" s="7" t="b">
        <f>_xlfn.XLOOKUP(CONTROL[[#This Row],[VEHIDCODE]],PROPERTIES[VEHIDCODE],PROPERTIES[EXCLUDE])</f>
        <v>0</v>
      </c>
      <c r="R454" t="str" cm="1">
        <f t="array" ref="R454">_xlfn.XLOOKUP(CONTROL[[#This Row],[VEHIDCODE]],GRAPHICS_PROPERTIES[VEHIDCODE],GRAPHICS_PROPERTIES[TEMPLATE_ID]&amp;GRAPHICS_PROPERTIES[TEMPLATE_AMENDMENT_CODE])</f>
        <v>TPL_02A</v>
      </c>
    </row>
    <row r="455" spans="1:18" x14ac:dyDescent="0.35">
      <c r="A455" s="2" t="s">
        <v>3088</v>
      </c>
      <c r="B455" s="21" t="str">
        <f>_xlfn.TEXTAFTER(CONTROL[[#This Row],[VEHIDCODE]],"_")</f>
        <v>Tatra_M131</v>
      </c>
      <c r="C455" t="str" cm="1">
        <f t="array" ref="C4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5" t="str" cm="1">
        <f t="array" ref="D4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5">
        <v>7004</v>
      </c>
      <c r="F455" s="32" t="s">
        <v>2296</v>
      </c>
      <c r="G455" t="s">
        <v>1475</v>
      </c>
      <c r="H455" s="2" t="b">
        <f>AND(CONTROL[[#This Row],[IS_WAGON_OR_COACH]]=TRUE,OR(RIGHT(CONTROL[[#This Row],[VEHIDCODE]],7)="Powered",RIGHT(CONTROL[[#This Row],[VEHIDCODE]],9)="Unpowered"))</f>
        <v>0</v>
      </c>
      <c r="I4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5" t="b">
        <f>ISNUMBER(_xlfn.XMATCH(CONTROL[[#This Row],[VEHIDCODE]],TRACK_TYPES[VEHIDCODE],0))</f>
        <v>1</v>
      </c>
      <c r="K455" t="b">
        <f>ISNUMBER(_xlfn.XMATCH(CONTROL[[#This Row],[VEHIDCODE]],PROPERTIES[VEHIDCODE],0))</f>
        <v>1</v>
      </c>
      <c r="L455" t="b">
        <f>ISNUMBER(_xlfn.XLOOKUP(CONTROL[[#This Row],[VEHIDCODE]],roster!A:A,roster!D:D))</f>
        <v>1</v>
      </c>
      <c r="M455" t="b">
        <f>ISNUMBER(_xlfn.XMATCH(CONTROL[[#This Row],[VEHIDCODE]],GRAPHICS_PROPERTIES[VEHIDCODE],0))</f>
        <v>1</v>
      </c>
      <c r="N455" s="21" t="str">
        <f>"item_"&amp;CONTROL[[#This Row],[VEHIDCODE]]</f>
        <v>item_dmu_Tatra_M131</v>
      </c>
      <c r="O455" s="21" t="str">
        <f>"str_"&amp;CONTROL[[#This Row],[VEHIDCODE]]</f>
        <v>str_dmu_Tatra_M131</v>
      </c>
      <c r="P455" s="7" t="b">
        <f>_xlfn.XLOOKUP(CONTROL[[#This Row],[VEHIDCODE]],PROPERTIES[VEHIDCODE],PROPERTIES[IS_CONCEPT])="IS_CONCEPT"</f>
        <v>0</v>
      </c>
      <c r="Q455" s="7" t="b">
        <f>_xlfn.XLOOKUP(CONTROL[[#This Row],[VEHIDCODE]],PROPERTIES[VEHIDCODE],PROPERTIES[EXCLUDE])</f>
        <v>0</v>
      </c>
      <c r="R455" t="str" cm="1">
        <f t="array" ref="R455">_xlfn.XLOOKUP(CONTROL[[#This Row],[VEHIDCODE]],GRAPHICS_PROPERTIES[VEHIDCODE],GRAPHICS_PROPERTIES[TEMPLATE_ID]&amp;GRAPHICS_PROPERTIES[TEMPLATE_AMENDMENT_CODE])</f>
        <v>TPL_02A</v>
      </c>
    </row>
    <row r="456" spans="1:18" x14ac:dyDescent="0.35">
      <c r="A456" s="2" t="s">
        <v>3089</v>
      </c>
      <c r="B456" s="21" t="str">
        <f>_xlfn.TEXTAFTER(CONTROL[[#This Row],[VEHIDCODE]],"_")</f>
        <v>MAN_VT_08_5</v>
      </c>
      <c r="C456" t="str" cm="1">
        <f t="array" ref="C4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6" t="str" cm="1">
        <f t="array" ref="D4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6">
        <v>7005</v>
      </c>
      <c r="F456" s="32" t="s">
        <v>2297</v>
      </c>
      <c r="G456" t="s">
        <v>1476</v>
      </c>
      <c r="H456" s="2" t="b">
        <f>AND(CONTROL[[#This Row],[IS_WAGON_OR_COACH]]=TRUE,OR(RIGHT(CONTROL[[#This Row],[VEHIDCODE]],7)="Powered",RIGHT(CONTROL[[#This Row],[VEHIDCODE]],9)="Unpowered"))</f>
        <v>0</v>
      </c>
      <c r="I4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6" t="b">
        <f>ISNUMBER(_xlfn.XMATCH(CONTROL[[#This Row],[VEHIDCODE]],TRACK_TYPES[VEHIDCODE],0))</f>
        <v>1</v>
      </c>
      <c r="K456" t="b">
        <f>ISNUMBER(_xlfn.XMATCH(CONTROL[[#This Row],[VEHIDCODE]],PROPERTIES[VEHIDCODE],0))</f>
        <v>1</v>
      </c>
      <c r="L456" t="b">
        <f>ISNUMBER(_xlfn.XLOOKUP(CONTROL[[#This Row],[VEHIDCODE]],roster!A:A,roster!D:D))</f>
        <v>1</v>
      </c>
      <c r="M456" t="b">
        <f>ISNUMBER(_xlfn.XMATCH(CONTROL[[#This Row],[VEHIDCODE]],GRAPHICS_PROPERTIES[VEHIDCODE],0))</f>
        <v>1</v>
      </c>
      <c r="N456" s="21" t="str">
        <f>"item_"&amp;CONTROL[[#This Row],[VEHIDCODE]]</f>
        <v>item_dmu_MAN_VT_08_5</v>
      </c>
      <c r="O456" s="21" t="str">
        <f>"str_"&amp;CONTROL[[#This Row],[VEHIDCODE]]</f>
        <v>str_dmu_MAN_VT_08_5</v>
      </c>
      <c r="P456" s="7" t="b">
        <f>_xlfn.XLOOKUP(CONTROL[[#This Row],[VEHIDCODE]],PROPERTIES[VEHIDCODE],PROPERTIES[IS_CONCEPT])="IS_CONCEPT"</f>
        <v>0</v>
      </c>
      <c r="Q456" s="7" t="b">
        <f>_xlfn.XLOOKUP(CONTROL[[#This Row],[VEHIDCODE]],PROPERTIES[VEHIDCODE],PROPERTIES[EXCLUDE])</f>
        <v>0</v>
      </c>
      <c r="R456" t="str" cm="1">
        <f t="array" ref="R456">_xlfn.XLOOKUP(CONTROL[[#This Row],[VEHIDCODE]],GRAPHICS_PROPERTIES[VEHIDCODE],GRAPHICS_PROPERTIES[TEMPLATE_ID]&amp;GRAPHICS_PROPERTIES[TEMPLATE_AMENDMENT_CODE])</f>
        <v>TPL_02A</v>
      </c>
    </row>
    <row r="457" spans="1:18" x14ac:dyDescent="0.35">
      <c r="A457" s="2" t="s">
        <v>3090</v>
      </c>
      <c r="B457" s="21" t="str">
        <f>_xlfn.TEXTAFTER(CONTROL[[#This Row],[VEHIDCODE]],"_")</f>
        <v>South_Australian_Railways_400_Redhen</v>
      </c>
      <c r="C457" t="str" cm="1">
        <f t="array" ref="C4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7" t="str" cm="1">
        <f t="array" ref="D4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7">
        <v>7006</v>
      </c>
      <c r="F457" s="32" t="s">
        <v>526</v>
      </c>
      <c r="G457" t="s">
        <v>1477</v>
      </c>
      <c r="H457" s="2" t="b">
        <f>AND(CONTROL[[#This Row],[IS_WAGON_OR_COACH]]=TRUE,OR(RIGHT(CONTROL[[#This Row],[VEHIDCODE]],7)="Powered",RIGHT(CONTROL[[#This Row],[VEHIDCODE]],9)="Unpowered"))</f>
        <v>0</v>
      </c>
      <c r="I4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7" t="b">
        <f>ISNUMBER(_xlfn.XMATCH(CONTROL[[#This Row],[VEHIDCODE]],TRACK_TYPES[VEHIDCODE],0))</f>
        <v>1</v>
      </c>
      <c r="K457" t="b">
        <f>ISNUMBER(_xlfn.XMATCH(CONTROL[[#This Row],[VEHIDCODE]],PROPERTIES[VEHIDCODE],0))</f>
        <v>1</v>
      </c>
      <c r="L457" t="b">
        <f>ISNUMBER(_xlfn.XLOOKUP(CONTROL[[#This Row],[VEHIDCODE]],roster!A:A,roster!D:D))</f>
        <v>1</v>
      </c>
      <c r="M457" t="b">
        <f>ISNUMBER(_xlfn.XMATCH(CONTROL[[#This Row],[VEHIDCODE]],GRAPHICS_PROPERTIES[VEHIDCODE],0))</f>
        <v>1</v>
      </c>
      <c r="N457" s="21" t="str">
        <f>"item_"&amp;CONTROL[[#This Row],[VEHIDCODE]]</f>
        <v>item_dmu_South_Australian_Railways_400_Redhen</v>
      </c>
      <c r="O457" s="21" t="str">
        <f>"str_"&amp;CONTROL[[#This Row],[VEHIDCODE]]</f>
        <v>str_dmu_South_Australian_Railways_400_Redhen</v>
      </c>
      <c r="P457" s="7" t="b">
        <f>_xlfn.XLOOKUP(CONTROL[[#This Row],[VEHIDCODE]],PROPERTIES[VEHIDCODE],PROPERTIES[IS_CONCEPT])="IS_CONCEPT"</f>
        <v>0</v>
      </c>
      <c r="Q457" s="7" t="b">
        <f>_xlfn.XLOOKUP(CONTROL[[#This Row],[VEHIDCODE]],PROPERTIES[VEHIDCODE],PROPERTIES[EXCLUDE])</f>
        <v>0</v>
      </c>
      <c r="R457" t="str" cm="1">
        <f t="array" ref="R457">_xlfn.XLOOKUP(CONTROL[[#This Row],[VEHIDCODE]],GRAPHICS_PROPERTIES[VEHIDCODE],GRAPHICS_PROPERTIES[TEMPLATE_ID]&amp;GRAPHICS_PROPERTIES[TEMPLATE_AMENDMENT_CODE])</f>
        <v>TPL_02A</v>
      </c>
    </row>
    <row r="458" spans="1:18" x14ac:dyDescent="0.35">
      <c r="A458" s="2" t="s">
        <v>3091</v>
      </c>
      <c r="B458" s="21" t="str">
        <f>_xlfn.TEXTAFTER(CONTROL[[#This Row],[VEHIDCODE]],"_")</f>
        <v>MAN_LHB_VT11_5___DB_601_TEE</v>
      </c>
      <c r="C458" t="str" cm="1">
        <f t="array" ref="C4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8" t="str" cm="1">
        <f t="array" ref="D4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8">
        <v>7008</v>
      </c>
      <c r="F458" s="32" t="s">
        <v>3533</v>
      </c>
      <c r="G458" t="s">
        <v>1478</v>
      </c>
      <c r="H458" s="2" t="b">
        <f>AND(CONTROL[[#This Row],[IS_WAGON_OR_COACH]]=TRUE,OR(RIGHT(CONTROL[[#This Row],[VEHIDCODE]],7)="Powered",RIGHT(CONTROL[[#This Row],[VEHIDCODE]],9)="Unpowered"))</f>
        <v>0</v>
      </c>
      <c r="I4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8" t="b">
        <f>ISNUMBER(_xlfn.XMATCH(CONTROL[[#This Row],[VEHIDCODE]],TRACK_TYPES[VEHIDCODE],0))</f>
        <v>1</v>
      </c>
      <c r="K458" t="b">
        <f>ISNUMBER(_xlfn.XMATCH(CONTROL[[#This Row],[VEHIDCODE]],PROPERTIES[VEHIDCODE],0))</f>
        <v>1</v>
      </c>
      <c r="L458" t="b">
        <f>ISNUMBER(_xlfn.XLOOKUP(CONTROL[[#This Row],[VEHIDCODE]],roster!A:A,roster!D:D))</f>
        <v>1</v>
      </c>
      <c r="M458" t="b">
        <f>ISNUMBER(_xlfn.XMATCH(CONTROL[[#This Row],[VEHIDCODE]],GRAPHICS_PROPERTIES[VEHIDCODE],0))</f>
        <v>1</v>
      </c>
      <c r="N458" s="21" t="str">
        <f>"item_"&amp;CONTROL[[#This Row],[VEHIDCODE]]</f>
        <v>item_dmu_MAN_LHB_VT11_5___DB_601_TEE</v>
      </c>
      <c r="O458" s="21" t="str">
        <f>"str_"&amp;CONTROL[[#This Row],[VEHIDCODE]]</f>
        <v>str_dmu_MAN_LHB_VT11_5___DB_601_TEE</v>
      </c>
      <c r="P458" s="7" t="b">
        <f>_xlfn.XLOOKUP(CONTROL[[#This Row],[VEHIDCODE]],PROPERTIES[VEHIDCODE],PROPERTIES[IS_CONCEPT])="IS_CONCEPT"</f>
        <v>0</v>
      </c>
      <c r="Q458" s="7" t="b">
        <f>_xlfn.XLOOKUP(CONTROL[[#This Row],[VEHIDCODE]],PROPERTIES[VEHIDCODE],PROPERTIES[EXCLUDE])</f>
        <v>0</v>
      </c>
      <c r="R458" t="str" cm="1">
        <f t="array" ref="R458">_xlfn.XLOOKUP(CONTROL[[#This Row],[VEHIDCODE]],GRAPHICS_PROPERTIES[VEHIDCODE],GRAPHICS_PROPERTIES[TEMPLATE_ID]&amp;GRAPHICS_PROPERTIES[TEMPLATE_AMENDMENT_CODE])</f>
        <v>TPL_02A</v>
      </c>
    </row>
    <row r="459" spans="1:18" x14ac:dyDescent="0.35">
      <c r="A459" s="2" t="s">
        <v>3092</v>
      </c>
      <c r="B459" s="21" t="str">
        <f>_xlfn.TEXTAFTER(CONTROL[[#This Row],[VEHIDCODE]],"_")</f>
        <v>Werkspoor_Plan_U_DE_III</v>
      </c>
      <c r="C459" t="str" cm="1">
        <f t="array" ref="C4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9" t="str" cm="1">
        <f t="array" ref="D4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9">
        <v>7009</v>
      </c>
      <c r="F459" s="32" t="s">
        <v>2298</v>
      </c>
      <c r="G459" t="s">
        <v>1479</v>
      </c>
      <c r="H459" s="2" t="b">
        <f>AND(CONTROL[[#This Row],[IS_WAGON_OR_COACH]]=TRUE,OR(RIGHT(CONTROL[[#This Row],[VEHIDCODE]],7)="Powered",RIGHT(CONTROL[[#This Row],[VEHIDCODE]],9)="Unpowered"))</f>
        <v>0</v>
      </c>
      <c r="I4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9" t="b">
        <f>ISNUMBER(_xlfn.XMATCH(CONTROL[[#This Row],[VEHIDCODE]],TRACK_TYPES[VEHIDCODE],0))</f>
        <v>1</v>
      </c>
      <c r="K459" t="b">
        <f>ISNUMBER(_xlfn.XMATCH(CONTROL[[#This Row],[VEHIDCODE]],PROPERTIES[VEHIDCODE],0))</f>
        <v>1</v>
      </c>
      <c r="L459" t="b">
        <f>ISNUMBER(_xlfn.XLOOKUP(CONTROL[[#This Row],[VEHIDCODE]],roster!A:A,roster!D:D))</f>
        <v>1</v>
      </c>
      <c r="M459" t="b">
        <f>ISNUMBER(_xlfn.XMATCH(CONTROL[[#This Row],[VEHIDCODE]],GRAPHICS_PROPERTIES[VEHIDCODE],0))</f>
        <v>1</v>
      </c>
      <c r="N459" s="21" t="str">
        <f>"item_"&amp;CONTROL[[#This Row],[VEHIDCODE]]</f>
        <v>item_dmu_Werkspoor_Plan_U_DE_III</v>
      </c>
      <c r="O459" s="21" t="str">
        <f>"str_"&amp;CONTROL[[#This Row],[VEHIDCODE]]</f>
        <v>str_dmu_Werkspoor_Plan_U_DE_III</v>
      </c>
      <c r="P459" s="7" t="b">
        <f>_xlfn.XLOOKUP(CONTROL[[#This Row],[VEHIDCODE]],PROPERTIES[VEHIDCODE],PROPERTIES[IS_CONCEPT])="IS_CONCEPT"</f>
        <v>0</v>
      </c>
      <c r="Q459" s="7" t="b">
        <f>_xlfn.XLOOKUP(CONTROL[[#This Row],[VEHIDCODE]],PROPERTIES[VEHIDCODE],PROPERTIES[EXCLUDE])</f>
        <v>0</v>
      </c>
      <c r="R459" t="str" cm="1">
        <f t="array" ref="R459">_xlfn.XLOOKUP(CONTROL[[#This Row],[VEHIDCODE]],GRAPHICS_PROPERTIES[VEHIDCODE],GRAPHICS_PROPERTIES[TEMPLATE_ID]&amp;GRAPHICS_PROPERTIES[TEMPLATE_AMENDMENT_CODE])</f>
        <v>TPL_02A</v>
      </c>
    </row>
    <row r="460" spans="1:18" x14ac:dyDescent="0.35">
      <c r="A460" s="2" t="s">
        <v>3093</v>
      </c>
      <c r="B460" s="21" t="str">
        <f>_xlfn.TEXTAFTER(CONTROL[[#This Row],[VEHIDCODE]],"_")</f>
        <v>UAC_Turbo_Train</v>
      </c>
      <c r="C460" t="str" cm="1">
        <f t="array" ref="C4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0" t="str" cm="1">
        <f t="array" ref="D4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0">
        <v>7010</v>
      </c>
      <c r="F460" s="32" t="s">
        <v>2299</v>
      </c>
      <c r="G460" t="s">
        <v>1480</v>
      </c>
      <c r="H460" s="2" t="b">
        <f>AND(CONTROL[[#This Row],[IS_WAGON_OR_COACH]]=TRUE,OR(RIGHT(CONTROL[[#This Row],[VEHIDCODE]],7)="Powered",RIGHT(CONTROL[[#This Row],[VEHIDCODE]],9)="Unpowered"))</f>
        <v>0</v>
      </c>
      <c r="I4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0" t="b">
        <f>ISNUMBER(_xlfn.XMATCH(CONTROL[[#This Row],[VEHIDCODE]],TRACK_TYPES[VEHIDCODE],0))</f>
        <v>1</v>
      </c>
      <c r="K460" t="b">
        <f>ISNUMBER(_xlfn.XMATCH(CONTROL[[#This Row],[VEHIDCODE]],PROPERTIES[VEHIDCODE],0))</f>
        <v>1</v>
      </c>
      <c r="L460" t="b">
        <f>ISNUMBER(_xlfn.XLOOKUP(CONTROL[[#This Row],[VEHIDCODE]],roster!A:A,roster!D:D))</f>
        <v>1</v>
      </c>
      <c r="M460" t="b">
        <f>ISNUMBER(_xlfn.XMATCH(CONTROL[[#This Row],[VEHIDCODE]],GRAPHICS_PROPERTIES[VEHIDCODE],0))</f>
        <v>1</v>
      </c>
      <c r="N460" s="21" t="str">
        <f>"item_"&amp;CONTROL[[#This Row],[VEHIDCODE]]</f>
        <v>item_dmu_UAC_Turbo_Train</v>
      </c>
      <c r="O460" s="21" t="str">
        <f>"str_"&amp;CONTROL[[#This Row],[VEHIDCODE]]</f>
        <v>str_dmu_UAC_Turbo_Train</v>
      </c>
      <c r="P460" s="7" t="b">
        <f>_xlfn.XLOOKUP(CONTROL[[#This Row],[VEHIDCODE]],PROPERTIES[VEHIDCODE],PROPERTIES[IS_CONCEPT])="IS_CONCEPT"</f>
        <v>0</v>
      </c>
      <c r="Q460" s="7" t="b">
        <f>_xlfn.XLOOKUP(CONTROL[[#This Row],[VEHIDCODE]],PROPERTIES[VEHIDCODE],PROPERTIES[EXCLUDE])</f>
        <v>0</v>
      </c>
      <c r="R460" t="str" cm="1">
        <f t="array" ref="R460">_xlfn.XLOOKUP(CONTROL[[#This Row],[VEHIDCODE]],GRAPHICS_PROPERTIES[VEHIDCODE],GRAPHICS_PROPERTIES[TEMPLATE_ID]&amp;GRAPHICS_PROPERTIES[TEMPLATE_AMENDMENT_CODE])</f>
        <v>TPL_02A</v>
      </c>
    </row>
    <row r="461" spans="1:18" x14ac:dyDescent="0.35">
      <c r="A461" s="2" t="s">
        <v>3094</v>
      </c>
      <c r="B461" s="21" t="str">
        <f>_xlfn.TEXTAFTER(CONTROL[[#This Row],[VEHIDCODE]],"_")</f>
        <v>JZ_811</v>
      </c>
      <c r="C461" t="str" cm="1">
        <f t="array" ref="C4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1" t="str" cm="1">
        <f t="array" ref="D4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1">
        <v>7011</v>
      </c>
      <c r="F461" s="32" t="s">
        <v>3526</v>
      </c>
      <c r="G461" t="s">
        <v>3525</v>
      </c>
      <c r="H461" s="2" t="b">
        <f>AND(CONTROL[[#This Row],[IS_WAGON_OR_COACH]]=TRUE,OR(RIGHT(CONTROL[[#This Row],[VEHIDCODE]],7)="Powered",RIGHT(CONTROL[[#This Row],[VEHIDCODE]],9)="Unpowered"))</f>
        <v>0</v>
      </c>
      <c r="I4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1" t="b">
        <f>ISNUMBER(_xlfn.XMATCH(CONTROL[[#This Row],[VEHIDCODE]],TRACK_TYPES[VEHIDCODE],0))</f>
        <v>1</v>
      </c>
      <c r="K461" t="b">
        <f>ISNUMBER(_xlfn.XMATCH(CONTROL[[#This Row],[VEHIDCODE]],PROPERTIES[VEHIDCODE],0))</f>
        <v>1</v>
      </c>
      <c r="L461" t="b">
        <f>ISNUMBER(_xlfn.XLOOKUP(CONTROL[[#This Row],[VEHIDCODE]],roster!A:A,roster!D:D))</f>
        <v>1</v>
      </c>
      <c r="M461" t="b">
        <f>ISNUMBER(_xlfn.XMATCH(CONTROL[[#This Row],[VEHIDCODE]],GRAPHICS_PROPERTIES[VEHIDCODE],0))</f>
        <v>1</v>
      </c>
      <c r="N461" s="21" t="str">
        <f>"item_"&amp;CONTROL[[#This Row],[VEHIDCODE]]</f>
        <v>item_dmu_JZ_811</v>
      </c>
      <c r="O461" s="21" t="str">
        <f>"str_"&amp;CONTROL[[#This Row],[VEHIDCODE]]</f>
        <v>str_dmu_JZ_811</v>
      </c>
      <c r="P461" s="7" t="b">
        <f>_xlfn.XLOOKUP(CONTROL[[#This Row],[VEHIDCODE]],PROPERTIES[VEHIDCODE],PROPERTIES[IS_CONCEPT])="IS_CONCEPT"</f>
        <v>0</v>
      </c>
      <c r="Q461" s="7" t="b">
        <f>_xlfn.XLOOKUP(CONTROL[[#This Row],[VEHIDCODE]],PROPERTIES[VEHIDCODE],PROPERTIES[EXCLUDE])</f>
        <v>0</v>
      </c>
      <c r="R461" t="str" cm="1">
        <f t="array" ref="R461">_xlfn.XLOOKUP(CONTROL[[#This Row],[VEHIDCODE]],GRAPHICS_PROPERTIES[VEHIDCODE],GRAPHICS_PROPERTIES[TEMPLATE_ID]&amp;GRAPHICS_PROPERTIES[TEMPLATE_AMENDMENT_CODE])</f>
        <v>TPL_02A</v>
      </c>
    </row>
    <row r="462" spans="1:18" x14ac:dyDescent="0.35">
      <c r="A462" s="2" t="s">
        <v>3095</v>
      </c>
      <c r="B462" s="21" t="str">
        <f>_xlfn.TEXTAFTER(CONTROL[[#This Row],[VEHIDCODE]],"_")</f>
        <v>BREL_43_IC125</v>
      </c>
      <c r="C462" t="str" cm="1">
        <f t="array" ref="C4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2" t="str" cm="1">
        <f t="array" ref="D4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2">
        <v>7012</v>
      </c>
      <c r="F462" s="32" t="s">
        <v>2300</v>
      </c>
      <c r="G462" t="s">
        <v>1482</v>
      </c>
      <c r="H462" s="2" t="b">
        <f>AND(CONTROL[[#This Row],[IS_WAGON_OR_COACH]]=TRUE,OR(RIGHT(CONTROL[[#This Row],[VEHIDCODE]],7)="Powered",RIGHT(CONTROL[[#This Row],[VEHIDCODE]],9)="Unpowered"))</f>
        <v>0</v>
      </c>
      <c r="I4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2" t="b">
        <f>ISNUMBER(_xlfn.XMATCH(CONTROL[[#This Row],[VEHIDCODE]],TRACK_TYPES[VEHIDCODE],0))</f>
        <v>1</v>
      </c>
      <c r="K462" t="b">
        <f>ISNUMBER(_xlfn.XMATCH(CONTROL[[#This Row],[VEHIDCODE]],PROPERTIES[VEHIDCODE],0))</f>
        <v>1</v>
      </c>
      <c r="L462" t="b">
        <f>ISNUMBER(_xlfn.XLOOKUP(CONTROL[[#This Row],[VEHIDCODE]],roster!A:A,roster!D:D))</f>
        <v>1</v>
      </c>
      <c r="M462" t="b">
        <f>ISNUMBER(_xlfn.XMATCH(CONTROL[[#This Row],[VEHIDCODE]],GRAPHICS_PROPERTIES[VEHIDCODE],0))</f>
        <v>1</v>
      </c>
      <c r="N462" s="21" t="str">
        <f>"item_"&amp;CONTROL[[#This Row],[VEHIDCODE]]</f>
        <v>item_dmu_BREL_43_IC125</v>
      </c>
      <c r="O462" s="21" t="str">
        <f>"str_"&amp;CONTROL[[#This Row],[VEHIDCODE]]</f>
        <v>str_dmu_BREL_43_IC125</v>
      </c>
      <c r="P462" s="7" t="b">
        <f>_xlfn.XLOOKUP(CONTROL[[#This Row],[VEHIDCODE]],PROPERTIES[VEHIDCODE],PROPERTIES[IS_CONCEPT])="IS_CONCEPT"</f>
        <v>0</v>
      </c>
      <c r="Q462" s="7" t="b">
        <f>_xlfn.XLOOKUP(CONTROL[[#This Row],[VEHIDCODE]],PROPERTIES[VEHIDCODE],PROPERTIES[EXCLUDE])</f>
        <v>0</v>
      </c>
      <c r="R462" t="str" cm="1">
        <f t="array" ref="R462">_xlfn.XLOOKUP(CONTROL[[#This Row],[VEHIDCODE]],GRAPHICS_PROPERTIES[VEHIDCODE],GRAPHICS_PROPERTIES[TEMPLATE_ID]&amp;GRAPHICS_PROPERTIES[TEMPLATE_AMENDMENT_CODE])</f>
        <v>TPL_02A</v>
      </c>
    </row>
    <row r="463" spans="1:18" x14ac:dyDescent="0.35">
      <c r="A463" s="2" t="s">
        <v>3096</v>
      </c>
      <c r="B463" s="21" t="str">
        <f>_xlfn.TEXTAFTER(CONTROL[[#This Row],[VEHIDCODE]],"_")</f>
        <v>Bombardier_M6109</v>
      </c>
      <c r="C463" t="str" cm="1">
        <f t="array" ref="C4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3" t="str" cm="1">
        <f t="array" ref="D4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3">
        <v>7013</v>
      </c>
      <c r="F463" s="32" t="s">
        <v>2301</v>
      </c>
      <c r="G463" t="s">
        <v>1483</v>
      </c>
      <c r="H463" s="2" t="b">
        <f>AND(CONTROL[[#This Row],[IS_WAGON_OR_COACH]]=TRUE,OR(RIGHT(CONTROL[[#This Row],[VEHIDCODE]],7)="Powered",RIGHT(CONTROL[[#This Row],[VEHIDCODE]],9)="Unpowered"))</f>
        <v>0</v>
      </c>
      <c r="I4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3" t="b">
        <f>ISNUMBER(_xlfn.XMATCH(CONTROL[[#This Row],[VEHIDCODE]],TRACK_TYPES[VEHIDCODE],0))</f>
        <v>1</v>
      </c>
      <c r="K463" t="b">
        <f>ISNUMBER(_xlfn.XMATCH(CONTROL[[#This Row],[VEHIDCODE]],PROPERTIES[VEHIDCODE],0))</f>
        <v>1</v>
      </c>
      <c r="L463" t="b">
        <f>ISNUMBER(_xlfn.XLOOKUP(CONTROL[[#This Row],[VEHIDCODE]],roster!A:A,roster!D:D))</f>
        <v>1</v>
      </c>
      <c r="M463" t="b">
        <f>ISNUMBER(_xlfn.XMATCH(CONTROL[[#This Row],[VEHIDCODE]],GRAPHICS_PROPERTIES[VEHIDCODE],0))</f>
        <v>1</v>
      </c>
      <c r="N463" s="21" t="str">
        <f>"item_"&amp;CONTROL[[#This Row],[VEHIDCODE]]</f>
        <v>item_dmu_Bombardier_M6109</v>
      </c>
      <c r="O463" s="21" t="str">
        <f>"str_"&amp;CONTROL[[#This Row],[VEHIDCODE]]</f>
        <v>str_dmu_Bombardier_M6109</v>
      </c>
      <c r="P463" s="7" t="b">
        <f>_xlfn.XLOOKUP(CONTROL[[#This Row],[VEHIDCODE]],PROPERTIES[VEHIDCODE],PROPERTIES[IS_CONCEPT])="IS_CONCEPT"</f>
        <v>0</v>
      </c>
      <c r="Q463" s="7" t="b">
        <f>_xlfn.XLOOKUP(CONTROL[[#This Row],[VEHIDCODE]],PROPERTIES[VEHIDCODE],PROPERTIES[EXCLUDE])</f>
        <v>0</v>
      </c>
      <c r="R463" t="str" cm="1">
        <f t="array" ref="R463">_xlfn.XLOOKUP(CONTROL[[#This Row],[VEHIDCODE]],GRAPHICS_PROPERTIES[VEHIDCODE],GRAPHICS_PROPERTIES[TEMPLATE_ID]&amp;GRAPHICS_PROPERTIES[TEMPLATE_AMENDMENT_CODE])</f>
        <v>TPL_02A</v>
      </c>
    </row>
    <row r="464" spans="1:18" x14ac:dyDescent="0.35">
      <c r="A464" s="2" t="s">
        <v>3097</v>
      </c>
      <c r="B464" s="21" t="str">
        <f>_xlfn.TEXTAFTER(CONTROL[[#This Row],[VEHIDCODE]],"_")</f>
        <v>ABB_IC3_Y2</v>
      </c>
      <c r="C464" t="str" cm="1">
        <f t="array" ref="C4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4" t="str" cm="1">
        <f t="array" ref="D4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4">
        <v>7014</v>
      </c>
      <c r="F464" s="32" t="s">
        <v>2302</v>
      </c>
      <c r="G464" t="s">
        <v>1484</v>
      </c>
      <c r="H464" s="2" t="b">
        <f>AND(CONTROL[[#This Row],[IS_WAGON_OR_COACH]]=TRUE,OR(RIGHT(CONTROL[[#This Row],[VEHIDCODE]],7)="Powered",RIGHT(CONTROL[[#This Row],[VEHIDCODE]],9)="Unpowered"))</f>
        <v>0</v>
      </c>
      <c r="I4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4" t="b">
        <f>ISNUMBER(_xlfn.XMATCH(CONTROL[[#This Row],[VEHIDCODE]],TRACK_TYPES[VEHIDCODE],0))</f>
        <v>1</v>
      </c>
      <c r="K464" t="b">
        <f>ISNUMBER(_xlfn.XMATCH(CONTROL[[#This Row],[VEHIDCODE]],PROPERTIES[VEHIDCODE],0))</f>
        <v>1</v>
      </c>
      <c r="L464" t="b">
        <f>ISNUMBER(_xlfn.XLOOKUP(CONTROL[[#This Row],[VEHIDCODE]],roster!A:A,roster!D:D))</f>
        <v>1</v>
      </c>
      <c r="M464" t="b">
        <f>ISNUMBER(_xlfn.XMATCH(CONTROL[[#This Row],[VEHIDCODE]],GRAPHICS_PROPERTIES[VEHIDCODE],0))</f>
        <v>1</v>
      </c>
      <c r="N464" s="21" t="str">
        <f>"item_"&amp;CONTROL[[#This Row],[VEHIDCODE]]</f>
        <v>item_dmu_ABB_IC3_Y2</v>
      </c>
      <c r="O464" s="21" t="str">
        <f>"str_"&amp;CONTROL[[#This Row],[VEHIDCODE]]</f>
        <v>str_dmu_ABB_IC3_Y2</v>
      </c>
      <c r="P464" s="7" t="b">
        <f>_xlfn.XLOOKUP(CONTROL[[#This Row],[VEHIDCODE]],PROPERTIES[VEHIDCODE],PROPERTIES[IS_CONCEPT])="IS_CONCEPT"</f>
        <v>0</v>
      </c>
      <c r="Q464" s="7" t="b">
        <f>_xlfn.XLOOKUP(CONTROL[[#This Row],[VEHIDCODE]],PROPERTIES[VEHIDCODE],PROPERTIES[EXCLUDE])</f>
        <v>0</v>
      </c>
      <c r="R464" t="str" cm="1">
        <f t="array" ref="R464">_xlfn.XLOOKUP(CONTROL[[#This Row],[VEHIDCODE]],GRAPHICS_PROPERTIES[VEHIDCODE],GRAPHICS_PROPERTIES[TEMPLATE_ID]&amp;GRAPHICS_PROPERTIES[TEMPLATE_AMENDMENT_CODE])</f>
        <v>TPL_02A</v>
      </c>
    </row>
    <row r="465" spans="1:18" x14ac:dyDescent="0.35">
      <c r="A465" s="2" t="s">
        <v>3098</v>
      </c>
      <c r="B465" s="21" t="str">
        <f>_xlfn.TEXTAFTER(CONTROL[[#This Row],[VEHIDCODE]],"_")</f>
        <v>CAF_594_TRD</v>
      </c>
      <c r="C465" t="str" cm="1">
        <f t="array" ref="C4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5" t="str" cm="1">
        <f t="array" ref="D4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5">
        <v>7015</v>
      </c>
      <c r="F465" s="32" t="s">
        <v>2303</v>
      </c>
      <c r="G465" t="s">
        <v>1485</v>
      </c>
      <c r="H465" s="2" t="b">
        <f>AND(CONTROL[[#This Row],[IS_WAGON_OR_COACH]]=TRUE,OR(RIGHT(CONTROL[[#This Row],[VEHIDCODE]],7)="Powered",RIGHT(CONTROL[[#This Row],[VEHIDCODE]],9)="Unpowered"))</f>
        <v>0</v>
      </c>
      <c r="I4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5" t="b">
        <f>ISNUMBER(_xlfn.XMATCH(CONTROL[[#This Row],[VEHIDCODE]],TRACK_TYPES[VEHIDCODE],0))</f>
        <v>1</v>
      </c>
      <c r="K465" t="b">
        <f>ISNUMBER(_xlfn.XMATCH(CONTROL[[#This Row],[VEHIDCODE]],PROPERTIES[VEHIDCODE],0))</f>
        <v>1</v>
      </c>
      <c r="L465" t="b">
        <f>ISNUMBER(_xlfn.XLOOKUP(CONTROL[[#This Row],[VEHIDCODE]],roster!A:A,roster!D:D))</f>
        <v>1</v>
      </c>
      <c r="M465" t="b">
        <f>ISNUMBER(_xlfn.XMATCH(CONTROL[[#This Row],[VEHIDCODE]],GRAPHICS_PROPERTIES[VEHIDCODE],0))</f>
        <v>1</v>
      </c>
      <c r="N465" s="21" t="str">
        <f>"item_"&amp;CONTROL[[#This Row],[VEHIDCODE]]</f>
        <v>item_dmu_CAF_594_TRD</v>
      </c>
      <c r="O465" s="21" t="str">
        <f>"str_"&amp;CONTROL[[#This Row],[VEHIDCODE]]</f>
        <v>str_dmu_CAF_594_TRD</v>
      </c>
      <c r="P465" s="7" t="b">
        <f>_xlfn.XLOOKUP(CONTROL[[#This Row],[VEHIDCODE]],PROPERTIES[VEHIDCODE],PROPERTIES[IS_CONCEPT])="IS_CONCEPT"</f>
        <v>0</v>
      </c>
      <c r="Q465" s="7" t="b">
        <f>_xlfn.XLOOKUP(CONTROL[[#This Row],[VEHIDCODE]],PROPERTIES[VEHIDCODE],PROPERTIES[EXCLUDE])</f>
        <v>0</v>
      </c>
      <c r="R465" t="str" cm="1">
        <f t="array" ref="R465">_xlfn.XLOOKUP(CONTROL[[#This Row],[VEHIDCODE]],GRAPHICS_PROPERTIES[VEHIDCODE],GRAPHICS_PROPERTIES[TEMPLATE_ID]&amp;GRAPHICS_PROPERTIES[TEMPLATE_AMENDMENT_CODE])</f>
        <v>TPL_02A</v>
      </c>
    </row>
    <row r="466" spans="1:18" x14ac:dyDescent="0.35">
      <c r="A466" s="2" t="s">
        <v>3099</v>
      </c>
      <c r="B466" s="21" t="str">
        <f>_xlfn.TEXTAFTER(CONTROL[[#This Row],[VEHIDCODE]],"_")</f>
        <v>Adtranz_Class_168_Clubman</v>
      </c>
      <c r="C466" t="str" cm="1">
        <f t="array" ref="C4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6" t="str" cm="1">
        <f t="array" ref="D4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6">
        <v>7016</v>
      </c>
      <c r="F466" s="32" t="s">
        <v>2304</v>
      </c>
      <c r="G466" t="s">
        <v>1486</v>
      </c>
      <c r="H466" s="2" t="b">
        <f>AND(CONTROL[[#This Row],[IS_WAGON_OR_COACH]]=TRUE,OR(RIGHT(CONTROL[[#This Row],[VEHIDCODE]],7)="Powered",RIGHT(CONTROL[[#This Row],[VEHIDCODE]],9)="Unpowered"))</f>
        <v>0</v>
      </c>
      <c r="I4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6" t="b">
        <f>ISNUMBER(_xlfn.XMATCH(CONTROL[[#This Row],[VEHIDCODE]],TRACK_TYPES[VEHIDCODE],0))</f>
        <v>1</v>
      </c>
      <c r="K466" t="b">
        <f>ISNUMBER(_xlfn.XMATCH(CONTROL[[#This Row],[VEHIDCODE]],PROPERTIES[VEHIDCODE],0))</f>
        <v>1</v>
      </c>
      <c r="L466" t="b">
        <f>ISNUMBER(_xlfn.XLOOKUP(CONTROL[[#This Row],[VEHIDCODE]],roster!A:A,roster!D:D))</f>
        <v>1</v>
      </c>
      <c r="M466" t="b">
        <f>ISNUMBER(_xlfn.XMATCH(CONTROL[[#This Row],[VEHIDCODE]],GRAPHICS_PROPERTIES[VEHIDCODE],0))</f>
        <v>1</v>
      </c>
      <c r="N466" s="21" t="str">
        <f>"item_"&amp;CONTROL[[#This Row],[VEHIDCODE]]</f>
        <v>item_dmu_Adtranz_Class_168_Clubman</v>
      </c>
      <c r="O466" s="21" t="str">
        <f>"str_"&amp;CONTROL[[#This Row],[VEHIDCODE]]</f>
        <v>str_dmu_Adtranz_Class_168_Clubman</v>
      </c>
      <c r="P466" s="7" t="b">
        <f>_xlfn.XLOOKUP(CONTROL[[#This Row],[VEHIDCODE]],PROPERTIES[VEHIDCODE],PROPERTIES[IS_CONCEPT])="IS_CONCEPT"</f>
        <v>0</v>
      </c>
      <c r="Q466" s="7" t="b">
        <f>_xlfn.XLOOKUP(CONTROL[[#This Row],[VEHIDCODE]],PROPERTIES[VEHIDCODE],PROPERTIES[EXCLUDE])</f>
        <v>0</v>
      </c>
      <c r="R466" t="str" cm="1">
        <f t="array" ref="R466">_xlfn.XLOOKUP(CONTROL[[#This Row],[VEHIDCODE]],GRAPHICS_PROPERTIES[VEHIDCODE],GRAPHICS_PROPERTIES[TEMPLATE_ID]&amp;GRAPHICS_PROPERTIES[TEMPLATE_AMENDMENT_CODE])</f>
        <v>TPL_02A</v>
      </c>
    </row>
    <row r="467" spans="1:18" x14ac:dyDescent="0.35">
      <c r="A467" s="2" t="s">
        <v>3100</v>
      </c>
      <c r="B467" s="21" t="str">
        <f>_xlfn.TEXTAFTER(CONTROL[[#This Row],[VEHIDCODE]],"_")</f>
        <v>Adtranz_Class_612_Regio_Swinger</v>
      </c>
      <c r="C467" t="str" cm="1">
        <f t="array" ref="C4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7" t="str" cm="1">
        <f t="array" ref="D4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7">
        <v>7017</v>
      </c>
      <c r="F467" s="32" t="s">
        <v>2305</v>
      </c>
      <c r="G467" t="s">
        <v>1487</v>
      </c>
      <c r="H467" s="2" t="b">
        <f>AND(CONTROL[[#This Row],[IS_WAGON_OR_COACH]]=TRUE,OR(RIGHT(CONTROL[[#This Row],[VEHIDCODE]],7)="Powered",RIGHT(CONTROL[[#This Row],[VEHIDCODE]],9)="Unpowered"))</f>
        <v>0</v>
      </c>
      <c r="I4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7" t="b">
        <f>ISNUMBER(_xlfn.XMATCH(CONTROL[[#This Row],[VEHIDCODE]],TRACK_TYPES[VEHIDCODE],0))</f>
        <v>1</v>
      </c>
      <c r="K467" t="b">
        <f>ISNUMBER(_xlfn.XMATCH(CONTROL[[#This Row],[VEHIDCODE]],PROPERTIES[VEHIDCODE],0))</f>
        <v>1</v>
      </c>
      <c r="L467" t="b">
        <f>ISNUMBER(_xlfn.XLOOKUP(CONTROL[[#This Row],[VEHIDCODE]],roster!A:A,roster!D:D))</f>
        <v>1</v>
      </c>
      <c r="M467" t="b">
        <f>ISNUMBER(_xlfn.XMATCH(CONTROL[[#This Row],[VEHIDCODE]],GRAPHICS_PROPERTIES[VEHIDCODE],0))</f>
        <v>1</v>
      </c>
      <c r="N467" s="21" t="str">
        <f>"item_"&amp;CONTROL[[#This Row],[VEHIDCODE]]</f>
        <v>item_dmu_Adtranz_Class_612_Regio_Swinger</v>
      </c>
      <c r="O467" s="21" t="str">
        <f>"str_"&amp;CONTROL[[#This Row],[VEHIDCODE]]</f>
        <v>str_dmu_Adtranz_Class_612_Regio_Swinger</v>
      </c>
      <c r="P467" s="7" t="b">
        <f>_xlfn.XLOOKUP(CONTROL[[#This Row],[VEHIDCODE]],PROPERTIES[VEHIDCODE],PROPERTIES[IS_CONCEPT])="IS_CONCEPT"</f>
        <v>0</v>
      </c>
      <c r="Q467" s="7" t="b">
        <f>_xlfn.XLOOKUP(CONTROL[[#This Row],[VEHIDCODE]],PROPERTIES[VEHIDCODE],PROPERTIES[EXCLUDE])</f>
        <v>0</v>
      </c>
      <c r="R467" t="str" cm="1">
        <f t="array" ref="R467">_xlfn.XLOOKUP(CONTROL[[#This Row],[VEHIDCODE]],GRAPHICS_PROPERTIES[VEHIDCODE],GRAPHICS_PROPERTIES[TEMPLATE_ID]&amp;GRAPHICS_PROPERTIES[TEMPLATE_AMENDMENT_CODE])</f>
        <v>TPL_02A</v>
      </c>
    </row>
    <row r="468" spans="1:18" x14ac:dyDescent="0.35">
      <c r="A468" s="2" t="s">
        <v>3101</v>
      </c>
      <c r="B468" s="21" t="str">
        <f>_xlfn.TEXTAFTER(CONTROL[[#This Row],[VEHIDCODE]],"_")</f>
        <v>Siemens_Desiro</v>
      </c>
      <c r="C468" t="str" cm="1">
        <f t="array" ref="C4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8" t="str" cm="1">
        <f t="array" ref="D4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8">
        <v>7018</v>
      </c>
      <c r="F468" s="32" t="s">
        <v>2032</v>
      </c>
      <c r="G468" t="s">
        <v>1488</v>
      </c>
      <c r="H468" s="2" t="b">
        <f>AND(CONTROL[[#This Row],[IS_WAGON_OR_COACH]]=TRUE,OR(RIGHT(CONTROL[[#This Row],[VEHIDCODE]],7)="Powered",RIGHT(CONTROL[[#This Row],[VEHIDCODE]],9)="Unpowered"))</f>
        <v>0</v>
      </c>
      <c r="I4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8" t="b">
        <f>ISNUMBER(_xlfn.XMATCH(CONTROL[[#This Row],[VEHIDCODE]],TRACK_TYPES[VEHIDCODE],0))</f>
        <v>1</v>
      </c>
      <c r="K468" t="b">
        <f>ISNUMBER(_xlfn.XMATCH(CONTROL[[#This Row],[VEHIDCODE]],PROPERTIES[VEHIDCODE],0))</f>
        <v>1</v>
      </c>
      <c r="L468" t="b">
        <f>ISNUMBER(_xlfn.XLOOKUP(CONTROL[[#This Row],[VEHIDCODE]],roster!A:A,roster!D:D))</f>
        <v>1</v>
      </c>
      <c r="M468" t="b">
        <f>ISNUMBER(_xlfn.XMATCH(CONTROL[[#This Row],[VEHIDCODE]],GRAPHICS_PROPERTIES[VEHIDCODE],0))</f>
        <v>1</v>
      </c>
      <c r="N468" s="21" t="str">
        <f>"item_"&amp;CONTROL[[#This Row],[VEHIDCODE]]</f>
        <v>item_dmu_Siemens_Desiro</v>
      </c>
      <c r="O468" s="21" t="str">
        <f>"str_"&amp;CONTROL[[#This Row],[VEHIDCODE]]</f>
        <v>str_dmu_Siemens_Desiro</v>
      </c>
      <c r="P468" s="7" t="b">
        <f>_xlfn.XLOOKUP(CONTROL[[#This Row],[VEHIDCODE]],PROPERTIES[VEHIDCODE],PROPERTIES[IS_CONCEPT])="IS_CONCEPT"</f>
        <v>0</v>
      </c>
      <c r="Q468" s="7" t="b">
        <f>_xlfn.XLOOKUP(CONTROL[[#This Row],[VEHIDCODE]],PROPERTIES[VEHIDCODE],PROPERTIES[EXCLUDE])</f>
        <v>0</v>
      </c>
      <c r="R468" t="str" cm="1">
        <f t="array" ref="R468">_xlfn.XLOOKUP(CONTROL[[#This Row],[VEHIDCODE]],GRAPHICS_PROPERTIES[VEHIDCODE],GRAPHICS_PROPERTIES[TEMPLATE_ID]&amp;GRAPHICS_PROPERTIES[TEMPLATE_AMENDMENT_CODE])</f>
        <v>TPL_02A</v>
      </c>
    </row>
    <row r="469" spans="1:18" x14ac:dyDescent="0.35">
      <c r="A469" s="2" t="s">
        <v>3102</v>
      </c>
      <c r="B469" s="21" t="str">
        <f>_xlfn.TEXTAFTER(CONTROL[[#This Row],[VEHIDCODE]],"_")</f>
        <v>Alstom_Coradia_LINT</v>
      </c>
      <c r="C469" t="str" cm="1">
        <f t="array" ref="C4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9" t="str" cm="1">
        <f t="array" ref="D4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9">
        <v>7019</v>
      </c>
      <c r="F469" s="32" t="s">
        <v>2306</v>
      </c>
      <c r="G469" t="s">
        <v>1489</v>
      </c>
      <c r="H469" s="2" t="b">
        <f>AND(CONTROL[[#This Row],[IS_WAGON_OR_COACH]]=TRUE,OR(RIGHT(CONTROL[[#This Row],[VEHIDCODE]],7)="Powered",RIGHT(CONTROL[[#This Row],[VEHIDCODE]],9)="Unpowered"))</f>
        <v>0</v>
      </c>
      <c r="I4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9" t="b">
        <f>ISNUMBER(_xlfn.XMATCH(CONTROL[[#This Row],[VEHIDCODE]],TRACK_TYPES[VEHIDCODE],0))</f>
        <v>1</v>
      </c>
      <c r="K469" t="b">
        <f>ISNUMBER(_xlfn.XMATCH(CONTROL[[#This Row],[VEHIDCODE]],PROPERTIES[VEHIDCODE],0))</f>
        <v>1</v>
      </c>
      <c r="L469" t="b">
        <f>ISNUMBER(_xlfn.XLOOKUP(CONTROL[[#This Row],[VEHIDCODE]],roster!A:A,roster!D:D))</f>
        <v>1</v>
      </c>
      <c r="M469" t="b">
        <f>ISNUMBER(_xlfn.XMATCH(CONTROL[[#This Row],[VEHIDCODE]],GRAPHICS_PROPERTIES[VEHIDCODE],0))</f>
        <v>1</v>
      </c>
      <c r="N469" s="21" t="str">
        <f>"item_"&amp;CONTROL[[#This Row],[VEHIDCODE]]</f>
        <v>item_dmu_Alstom_Coradia_LINT</v>
      </c>
      <c r="O469" s="21" t="str">
        <f>"str_"&amp;CONTROL[[#This Row],[VEHIDCODE]]</f>
        <v>str_dmu_Alstom_Coradia_LINT</v>
      </c>
      <c r="P469" s="7" t="b">
        <f>_xlfn.XLOOKUP(CONTROL[[#This Row],[VEHIDCODE]],PROPERTIES[VEHIDCODE],PROPERTIES[IS_CONCEPT])="IS_CONCEPT"</f>
        <v>0</v>
      </c>
      <c r="Q469" s="7" t="b">
        <f>_xlfn.XLOOKUP(CONTROL[[#This Row],[VEHIDCODE]],PROPERTIES[VEHIDCODE],PROPERTIES[EXCLUDE])</f>
        <v>0</v>
      </c>
      <c r="R469" t="str" cm="1">
        <f t="array" ref="R469">_xlfn.XLOOKUP(CONTROL[[#This Row],[VEHIDCODE]],GRAPHICS_PROPERTIES[VEHIDCODE],GRAPHICS_PROPERTIES[TEMPLATE_ID]&amp;GRAPHICS_PROPERTIES[TEMPLATE_AMENDMENT_CODE])</f>
        <v>TPL_02A</v>
      </c>
    </row>
    <row r="470" spans="1:18" x14ac:dyDescent="0.35">
      <c r="A470" s="2" t="s">
        <v>3103</v>
      </c>
      <c r="B470" s="21" t="str">
        <f>_xlfn.TEXTAFTER(CONTROL[[#This Row],[VEHIDCODE]],"_")</f>
        <v>Bombardier_Talent_NSB_BM_93</v>
      </c>
      <c r="C470" t="str" cm="1">
        <f t="array" ref="C4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0" t="str" cm="1">
        <f t="array" ref="D4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0">
        <v>7020</v>
      </c>
      <c r="F470" s="32" t="s">
        <v>2307</v>
      </c>
      <c r="G470" t="s">
        <v>1490</v>
      </c>
      <c r="H470" s="2" t="b">
        <f>AND(CONTROL[[#This Row],[IS_WAGON_OR_COACH]]=TRUE,OR(RIGHT(CONTROL[[#This Row],[VEHIDCODE]],7)="Powered",RIGHT(CONTROL[[#This Row],[VEHIDCODE]],9)="Unpowered"))</f>
        <v>0</v>
      </c>
      <c r="I4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0" t="b">
        <f>ISNUMBER(_xlfn.XMATCH(CONTROL[[#This Row],[VEHIDCODE]],TRACK_TYPES[VEHIDCODE],0))</f>
        <v>1</v>
      </c>
      <c r="K470" t="b">
        <f>ISNUMBER(_xlfn.XMATCH(CONTROL[[#This Row],[VEHIDCODE]],PROPERTIES[VEHIDCODE],0))</f>
        <v>1</v>
      </c>
      <c r="L470" t="b">
        <f>ISNUMBER(_xlfn.XLOOKUP(CONTROL[[#This Row],[VEHIDCODE]],roster!A:A,roster!D:D))</f>
        <v>1</v>
      </c>
      <c r="M470" t="b">
        <f>ISNUMBER(_xlfn.XMATCH(CONTROL[[#This Row],[VEHIDCODE]],GRAPHICS_PROPERTIES[VEHIDCODE],0))</f>
        <v>1</v>
      </c>
      <c r="N470" s="21" t="str">
        <f>"item_"&amp;CONTROL[[#This Row],[VEHIDCODE]]</f>
        <v>item_dmu_Bombardier_Talent_NSB_BM_93</v>
      </c>
      <c r="O470" s="21" t="str">
        <f>"str_"&amp;CONTROL[[#This Row],[VEHIDCODE]]</f>
        <v>str_dmu_Bombardier_Talent_NSB_BM_93</v>
      </c>
      <c r="P470" s="7" t="b">
        <f>_xlfn.XLOOKUP(CONTROL[[#This Row],[VEHIDCODE]],PROPERTIES[VEHIDCODE],PROPERTIES[IS_CONCEPT])="IS_CONCEPT"</f>
        <v>0</v>
      </c>
      <c r="Q470" s="7" t="b">
        <f>_xlfn.XLOOKUP(CONTROL[[#This Row],[VEHIDCODE]],PROPERTIES[VEHIDCODE],PROPERTIES[EXCLUDE])</f>
        <v>0</v>
      </c>
      <c r="R470" t="str" cm="1">
        <f t="array" ref="R470">_xlfn.XLOOKUP(CONTROL[[#This Row],[VEHIDCODE]],GRAPHICS_PROPERTIES[VEHIDCODE],GRAPHICS_PROPERTIES[TEMPLATE_ID]&amp;GRAPHICS_PROPERTIES[TEMPLATE_AMENDMENT_CODE])</f>
        <v>TPL_02A</v>
      </c>
    </row>
    <row r="471" spans="1:18" x14ac:dyDescent="0.35">
      <c r="A471" s="2" t="s">
        <v>3104</v>
      </c>
      <c r="B471" s="21" t="str">
        <f>_xlfn.TEXTAFTER(CONTROL[[#This Row],[VEHIDCODE]],"_")</f>
        <v>UGL_WD_Prospector</v>
      </c>
      <c r="C471" t="str" cm="1">
        <f t="array" ref="C4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1" t="str" cm="1">
        <f t="array" ref="D4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1">
        <v>7021</v>
      </c>
      <c r="F471" s="32" t="s">
        <v>2308</v>
      </c>
      <c r="G471" t="s">
        <v>1491</v>
      </c>
      <c r="H471" s="2" t="b">
        <f>AND(CONTROL[[#This Row],[IS_WAGON_OR_COACH]]=TRUE,OR(RIGHT(CONTROL[[#This Row],[VEHIDCODE]],7)="Powered",RIGHT(CONTROL[[#This Row],[VEHIDCODE]],9)="Unpowered"))</f>
        <v>0</v>
      </c>
      <c r="I4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1" t="b">
        <f>ISNUMBER(_xlfn.XMATCH(CONTROL[[#This Row],[VEHIDCODE]],TRACK_TYPES[VEHIDCODE],0))</f>
        <v>1</v>
      </c>
      <c r="K471" t="b">
        <f>ISNUMBER(_xlfn.XMATCH(CONTROL[[#This Row],[VEHIDCODE]],PROPERTIES[VEHIDCODE],0))</f>
        <v>1</v>
      </c>
      <c r="L471" t="b">
        <f>ISNUMBER(_xlfn.XLOOKUP(CONTROL[[#This Row],[VEHIDCODE]],roster!A:A,roster!D:D))</f>
        <v>1</v>
      </c>
      <c r="M471" t="b">
        <f>ISNUMBER(_xlfn.XMATCH(CONTROL[[#This Row],[VEHIDCODE]],GRAPHICS_PROPERTIES[VEHIDCODE],0))</f>
        <v>1</v>
      </c>
      <c r="N471" s="21" t="str">
        <f>"item_"&amp;CONTROL[[#This Row],[VEHIDCODE]]</f>
        <v>item_dmu_UGL_WD_Prospector</v>
      </c>
      <c r="O471" s="21" t="str">
        <f>"str_"&amp;CONTROL[[#This Row],[VEHIDCODE]]</f>
        <v>str_dmu_UGL_WD_Prospector</v>
      </c>
      <c r="P471" s="7" t="b">
        <f>_xlfn.XLOOKUP(CONTROL[[#This Row],[VEHIDCODE]],PROPERTIES[VEHIDCODE],PROPERTIES[IS_CONCEPT])="IS_CONCEPT"</f>
        <v>0</v>
      </c>
      <c r="Q471" s="7" t="b">
        <f>_xlfn.XLOOKUP(CONTROL[[#This Row],[VEHIDCODE]],PROPERTIES[VEHIDCODE],PROPERTIES[EXCLUDE])</f>
        <v>0</v>
      </c>
      <c r="R471" t="str" cm="1">
        <f t="array" ref="R471">_xlfn.XLOOKUP(CONTROL[[#This Row],[VEHIDCODE]],GRAPHICS_PROPERTIES[VEHIDCODE],GRAPHICS_PROPERTIES[TEMPLATE_ID]&amp;GRAPHICS_PROPERTIES[TEMPLATE_AMENDMENT_CODE])</f>
        <v>TPL_02A</v>
      </c>
    </row>
    <row r="472" spans="1:18" x14ac:dyDescent="0.35">
      <c r="A472" s="2" t="s">
        <v>3105</v>
      </c>
      <c r="B472" s="21" t="str">
        <f>_xlfn.TEXTAFTER(CONTROL[[#This Row],[VEHIDCODE]],"_")</f>
        <v>UGL_Hunter_Railcar</v>
      </c>
      <c r="C472" t="str" cm="1">
        <f t="array" ref="C4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2" t="str" cm="1">
        <f t="array" ref="D4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2">
        <v>7022</v>
      </c>
      <c r="F472" s="32" t="s">
        <v>2309</v>
      </c>
      <c r="G472" t="s">
        <v>1492</v>
      </c>
      <c r="H472" s="2" t="b">
        <f>AND(CONTROL[[#This Row],[IS_WAGON_OR_COACH]]=TRUE,OR(RIGHT(CONTROL[[#This Row],[VEHIDCODE]],7)="Powered",RIGHT(CONTROL[[#This Row],[VEHIDCODE]],9)="Unpowered"))</f>
        <v>0</v>
      </c>
      <c r="I4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2" t="b">
        <f>ISNUMBER(_xlfn.XMATCH(CONTROL[[#This Row],[VEHIDCODE]],TRACK_TYPES[VEHIDCODE],0))</f>
        <v>1</v>
      </c>
      <c r="K472" t="b">
        <f>ISNUMBER(_xlfn.XMATCH(CONTROL[[#This Row],[VEHIDCODE]],PROPERTIES[VEHIDCODE],0))</f>
        <v>1</v>
      </c>
      <c r="L472" t="b">
        <f>ISNUMBER(_xlfn.XLOOKUP(CONTROL[[#This Row],[VEHIDCODE]],roster!A:A,roster!D:D))</f>
        <v>1</v>
      </c>
      <c r="M472" t="b">
        <f>ISNUMBER(_xlfn.XMATCH(CONTROL[[#This Row],[VEHIDCODE]],GRAPHICS_PROPERTIES[VEHIDCODE],0))</f>
        <v>1</v>
      </c>
      <c r="N472" s="21" t="str">
        <f>"item_"&amp;CONTROL[[#This Row],[VEHIDCODE]]</f>
        <v>item_dmu_UGL_Hunter_Railcar</v>
      </c>
      <c r="O472" s="21" t="str">
        <f>"str_"&amp;CONTROL[[#This Row],[VEHIDCODE]]</f>
        <v>str_dmu_UGL_Hunter_Railcar</v>
      </c>
      <c r="P472" s="7" t="b">
        <f>_xlfn.XLOOKUP(CONTROL[[#This Row],[VEHIDCODE]],PROPERTIES[VEHIDCODE],PROPERTIES[IS_CONCEPT])="IS_CONCEPT"</f>
        <v>0</v>
      </c>
      <c r="Q472" s="7" t="b">
        <f>_xlfn.XLOOKUP(CONTROL[[#This Row],[VEHIDCODE]],PROPERTIES[VEHIDCODE],PROPERTIES[EXCLUDE])</f>
        <v>0</v>
      </c>
      <c r="R472" t="str" cm="1">
        <f t="array" ref="R472">_xlfn.XLOOKUP(CONTROL[[#This Row],[VEHIDCODE]],GRAPHICS_PROPERTIES[VEHIDCODE],GRAPHICS_PROPERTIES[TEMPLATE_ID]&amp;GRAPHICS_PROPERTIES[TEMPLATE_AMENDMENT_CODE])</f>
        <v>TPL_02A</v>
      </c>
    </row>
    <row r="473" spans="1:18" x14ac:dyDescent="0.35">
      <c r="A473" s="2" t="s">
        <v>3106</v>
      </c>
      <c r="B473" s="21" t="str">
        <f>_xlfn.TEXTAFTER(CONTROL[[#This Row],[VEHIDCODE]],"_")</f>
        <v>MVM_RA2</v>
      </c>
      <c r="C473" t="str" cm="1">
        <f t="array" ref="C4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3" t="str" cm="1">
        <f t="array" ref="D4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3">
        <v>7023</v>
      </c>
      <c r="F473" s="32" t="s">
        <v>2033</v>
      </c>
      <c r="G473" t="s">
        <v>1493</v>
      </c>
      <c r="H473" s="2" t="b">
        <f>AND(CONTROL[[#This Row],[IS_WAGON_OR_COACH]]=TRUE,OR(RIGHT(CONTROL[[#This Row],[VEHIDCODE]],7)="Powered",RIGHT(CONTROL[[#This Row],[VEHIDCODE]],9)="Unpowered"))</f>
        <v>0</v>
      </c>
      <c r="I4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3" t="b">
        <f>ISNUMBER(_xlfn.XMATCH(CONTROL[[#This Row],[VEHIDCODE]],TRACK_TYPES[VEHIDCODE],0))</f>
        <v>1</v>
      </c>
      <c r="K473" t="b">
        <f>ISNUMBER(_xlfn.XMATCH(CONTROL[[#This Row],[VEHIDCODE]],PROPERTIES[VEHIDCODE],0))</f>
        <v>1</v>
      </c>
      <c r="L473" t="b">
        <f>ISNUMBER(_xlfn.XLOOKUP(CONTROL[[#This Row],[VEHIDCODE]],roster!A:A,roster!D:D))</f>
        <v>1</v>
      </c>
      <c r="M473" t="b">
        <f>ISNUMBER(_xlfn.XMATCH(CONTROL[[#This Row],[VEHIDCODE]],GRAPHICS_PROPERTIES[VEHIDCODE],0))</f>
        <v>1</v>
      </c>
      <c r="N473" s="21" t="str">
        <f>"item_"&amp;CONTROL[[#This Row],[VEHIDCODE]]</f>
        <v>item_dmu_MVM_RA2</v>
      </c>
      <c r="O473" s="21" t="str">
        <f>"str_"&amp;CONTROL[[#This Row],[VEHIDCODE]]</f>
        <v>str_dmu_MVM_RA2</v>
      </c>
      <c r="P473" s="7" t="b">
        <f>_xlfn.XLOOKUP(CONTROL[[#This Row],[VEHIDCODE]],PROPERTIES[VEHIDCODE],PROPERTIES[IS_CONCEPT])="IS_CONCEPT"</f>
        <v>0</v>
      </c>
      <c r="Q473" s="7" t="b">
        <f>_xlfn.XLOOKUP(CONTROL[[#This Row],[VEHIDCODE]],PROPERTIES[VEHIDCODE],PROPERTIES[EXCLUDE])</f>
        <v>0</v>
      </c>
      <c r="R473" t="str" cm="1">
        <f t="array" ref="R473">_xlfn.XLOOKUP(CONTROL[[#This Row],[VEHIDCODE]],GRAPHICS_PROPERTIES[VEHIDCODE],GRAPHICS_PROPERTIES[TEMPLATE_ID]&amp;GRAPHICS_PROPERTIES[TEMPLATE_AMENDMENT_CODE])</f>
        <v>TPL_02A</v>
      </c>
    </row>
    <row r="474" spans="1:18" x14ac:dyDescent="0.35">
      <c r="A474" s="2" t="s">
        <v>3107</v>
      </c>
      <c r="B474" s="21" t="str">
        <f>_xlfn.TEXTAFTER(CONTROL[[#This Row],[VEHIDCODE]],"_")</f>
        <v>AnsaldoBreda_IC4</v>
      </c>
      <c r="C474" t="str" cm="1">
        <f t="array" ref="C4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4" t="str" cm="1">
        <f t="array" ref="D4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4">
        <v>7000</v>
      </c>
      <c r="F474" s="32" t="s">
        <v>2310</v>
      </c>
      <c r="G474" t="s">
        <v>1494</v>
      </c>
      <c r="H474" s="2" t="b">
        <f>AND(CONTROL[[#This Row],[IS_WAGON_OR_COACH]]=TRUE,OR(RIGHT(CONTROL[[#This Row],[VEHIDCODE]],7)="Powered",RIGHT(CONTROL[[#This Row],[VEHIDCODE]],9)="Unpowered"))</f>
        <v>0</v>
      </c>
      <c r="I4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4" t="b">
        <f>ISNUMBER(_xlfn.XMATCH(CONTROL[[#This Row],[VEHIDCODE]],TRACK_TYPES[VEHIDCODE],0))</f>
        <v>1</v>
      </c>
      <c r="K474" t="b">
        <f>ISNUMBER(_xlfn.XMATCH(CONTROL[[#This Row],[VEHIDCODE]],PROPERTIES[VEHIDCODE],0))</f>
        <v>1</v>
      </c>
      <c r="L474" t="b">
        <f>ISNUMBER(_xlfn.XLOOKUP(CONTROL[[#This Row],[VEHIDCODE]],roster!A:A,roster!D:D))</f>
        <v>1</v>
      </c>
      <c r="M474" t="b">
        <f>ISNUMBER(_xlfn.XMATCH(CONTROL[[#This Row],[VEHIDCODE]],GRAPHICS_PROPERTIES[VEHIDCODE],0))</f>
        <v>1</v>
      </c>
      <c r="N474" s="21" t="str">
        <f>"item_"&amp;CONTROL[[#This Row],[VEHIDCODE]]</f>
        <v>item_dmu_AnsaldoBreda_IC4</v>
      </c>
      <c r="O474" s="21" t="str">
        <f>"str_"&amp;CONTROL[[#This Row],[VEHIDCODE]]</f>
        <v>str_dmu_AnsaldoBreda_IC4</v>
      </c>
      <c r="P474" s="7" t="b">
        <f>_xlfn.XLOOKUP(CONTROL[[#This Row],[VEHIDCODE]],PROPERTIES[VEHIDCODE],PROPERTIES[IS_CONCEPT])="IS_CONCEPT"</f>
        <v>0</v>
      </c>
      <c r="Q474" s="7" t="b">
        <f>_xlfn.XLOOKUP(CONTROL[[#This Row],[VEHIDCODE]],PROPERTIES[VEHIDCODE],PROPERTIES[EXCLUDE])</f>
        <v>0</v>
      </c>
      <c r="R474" t="str" cm="1">
        <f t="array" ref="R474">_xlfn.XLOOKUP(CONTROL[[#This Row],[VEHIDCODE]],GRAPHICS_PROPERTIES[VEHIDCODE],GRAPHICS_PROPERTIES[TEMPLATE_ID]&amp;GRAPHICS_PROPERTIES[TEMPLATE_AMENDMENT_CODE])</f>
        <v>TPL_02A</v>
      </c>
    </row>
    <row r="475" spans="1:18" x14ac:dyDescent="0.35">
      <c r="A475" s="2" t="s">
        <v>3108</v>
      </c>
      <c r="B475" s="21" t="str">
        <f>_xlfn.TEXTAFTER(CONTROL[[#This Row],[VEHIDCODE]],"_")</f>
        <v>TZV_Gredelj_7022</v>
      </c>
      <c r="C475" t="str" cm="1">
        <f t="array" ref="C4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5" t="str" cm="1">
        <f t="array" ref="D4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5">
        <v>7001</v>
      </c>
      <c r="F475" s="32" t="s">
        <v>2311</v>
      </c>
      <c r="G475" t="s">
        <v>1495</v>
      </c>
      <c r="H475" s="2" t="b">
        <f>AND(CONTROL[[#This Row],[IS_WAGON_OR_COACH]]=TRUE,OR(RIGHT(CONTROL[[#This Row],[VEHIDCODE]],7)="Powered",RIGHT(CONTROL[[#This Row],[VEHIDCODE]],9)="Unpowered"))</f>
        <v>0</v>
      </c>
      <c r="I4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5" t="b">
        <f>ISNUMBER(_xlfn.XMATCH(CONTROL[[#This Row],[VEHIDCODE]],TRACK_TYPES[VEHIDCODE],0))</f>
        <v>1</v>
      </c>
      <c r="K475" t="b">
        <f>ISNUMBER(_xlfn.XMATCH(CONTROL[[#This Row],[VEHIDCODE]],PROPERTIES[VEHIDCODE],0))</f>
        <v>1</v>
      </c>
      <c r="L475" t="b">
        <f>ISNUMBER(_xlfn.XLOOKUP(CONTROL[[#This Row],[VEHIDCODE]],roster!A:A,roster!D:D))</f>
        <v>1</v>
      </c>
      <c r="M475" t="b">
        <f>ISNUMBER(_xlfn.XMATCH(CONTROL[[#This Row],[VEHIDCODE]],GRAPHICS_PROPERTIES[VEHIDCODE],0))</f>
        <v>1</v>
      </c>
      <c r="N475" s="21" t="str">
        <f>"item_"&amp;CONTROL[[#This Row],[VEHIDCODE]]</f>
        <v>item_dmu_TZV_Gredelj_7022</v>
      </c>
      <c r="O475" s="21" t="str">
        <f>"str_"&amp;CONTROL[[#This Row],[VEHIDCODE]]</f>
        <v>str_dmu_TZV_Gredelj_7022</v>
      </c>
      <c r="P475" s="7" t="b">
        <f>_xlfn.XLOOKUP(CONTROL[[#This Row],[VEHIDCODE]],PROPERTIES[VEHIDCODE],PROPERTIES[IS_CONCEPT])="IS_CONCEPT"</f>
        <v>0</v>
      </c>
      <c r="Q475" s="7" t="b">
        <f>_xlfn.XLOOKUP(CONTROL[[#This Row],[VEHIDCODE]],PROPERTIES[VEHIDCODE],PROPERTIES[EXCLUDE])</f>
        <v>0</v>
      </c>
      <c r="R475" t="str" cm="1">
        <f t="array" ref="R475">_xlfn.XLOOKUP(CONTROL[[#This Row],[VEHIDCODE]],GRAPHICS_PROPERTIES[VEHIDCODE],GRAPHICS_PROPERTIES[TEMPLATE_ID]&amp;GRAPHICS_PROPERTIES[TEMPLATE_AMENDMENT_CODE])</f>
        <v>TPL_02A</v>
      </c>
    </row>
    <row r="476" spans="1:18" x14ac:dyDescent="0.35">
      <c r="A476" s="2" t="s">
        <v>3109</v>
      </c>
      <c r="B476" s="21" t="str">
        <f>_xlfn.TEXTAFTER(CONTROL[[#This Row],[VEHIDCODE]],"_")</f>
        <v>Fiat_TCDD_MT_5500</v>
      </c>
      <c r="C476" t="str" cm="1">
        <f t="array" ref="C4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6" t="str" cm="1">
        <f t="array" ref="D4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6">
        <v>7024</v>
      </c>
      <c r="F476" s="32" t="s">
        <v>2312</v>
      </c>
      <c r="G476" t="s">
        <v>1496</v>
      </c>
      <c r="H476" s="2" t="b">
        <f>AND(CONTROL[[#This Row],[IS_WAGON_OR_COACH]]=TRUE,OR(RIGHT(CONTROL[[#This Row],[VEHIDCODE]],7)="Powered",RIGHT(CONTROL[[#This Row],[VEHIDCODE]],9)="Unpowered"))</f>
        <v>0</v>
      </c>
      <c r="I4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6" t="b">
        <f>ISNUMBER(_xlfn.XMATCH(CONTROL[[#This Row],[VEHIDCODE]],TRACK_TYPES[VEHIDCODE],0))</f>
        <v>1</v>
      </c>
      <c r="K476" t="b">
        <f>ISNUMBER(_xlfn.XMATCH(CONTROL[[#This Row],[VEHIDCODE]],PROPERTIES[VEHIDCODE],0))</f>
        <v>1</v>
      </c>
      <c r="L476" t="b">
        <f>ISNUMBER(_xlfn.XLOOKUP(CONTROL[[#This Row],[VEHIDCODE]],roster!A:A,roster!D:D))</f>
        <v>1</v>
      </c>
      <c r="M476" t="b">
        <f>ISNUMBER(_xlfn.XMATCH(CONTROL[[#This Row],[VEHIDCODE]],GRAPHICS_PROPERTIES[VEHIDCODE],0))</f>
        <v>1</v>
      </c>
      <c r="N476" s="21" t="str">
        <f>"item_"&amp;CONTROL[[#This Row],[VEHIDCODE]]</f>
        <v>item_dmu_Fiat_TCDD_MT_5500</v>
      </c>
      <c r="O476" s="21" t="str">
        <f>"str_"&amp;CONTROL[[#This Row],[VEHIDCODE]]</f>
        <v>str_dmu_Fiat_TCDD_MT_5500</v>
      </c>
      <c r="P476" s="7" t="b">
        <f>_xlfn.XLOOKUP(CONTROL[[#This Row],[VEHIDCODE]],PROPERTIES[VEHIDCODE],PROPERTIES[IS_CONCEPT])="IS_CONCEPT"</f>
        <v>0</v>
      </c>
      <c r="Q476" s="7" t="b">
        <f>_xlfn.XLOOKUP(CONTROL[[#This Row],[VEHIDCODE]],PROPERTIES[VEHIDCODE],PROPERTIES[EXCLUDE])</f>
        <v>0</v>
      </c>
      <c r="R476" t="str" cm="1">
        <f t="array" ref="R476">_xlfn.XLOOKUP(CONTROL[[#This Row],[VEHIDCODE]],GRAPHICS_PROPERTIES[VEHIDCODE],GRAPHICS_PROPERTIES[TEMPLATE_ID]&amp;GRAPHICS_PROPERTIES[TEMPLATE_AMENDMENT_CODE])</f>
        <v>TPL_02A</v>
      </c>
    </row>
    <row r="477" spans="1:18" x14ac:dyDescent="0.35">
      <c r="A477" s="2" t="s">
        <v>3110</v>
      </c>
      <c r="B477" s="21" t="str">
        <f>_xlfn.TEXTAFTER(CONTROL[[#This Row],[VEHIDCODE]],"_")</f>
        <v>Fuji_KiHa_181</v>
      </c>
      <c r="C477" t="str" cm="1">
        <f t="array" ref="C4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7" t="str" cm="1">
        <f t="array" ref="D4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7">
        <v>7025</v>
      </c>
      <c r="F477" s="32" t="s">
        <v>2314</v>
      </c>
      <c r="G477" t="s">
        <v>2313</v>
      </c>
      <c r="H477" s="2" t="b">
        <f>AND(CONTROL[[#This Row],[IS_WAGON_OR_COACH]]=TRUE,OR(RIGHT(CONTROL[[#This Row],[VEHIDCODE]],7)="Powered",RIGHT(CONTROL[[#This Row],[VEHIDCODE]],9)="Unpowered"))</f>
        <v>0</v>
      </c>
      <c r="I4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7" t="b">
        <f>ISNUMBER(_xlfn.XMATCH(CONTROL[[#This Row],[VEHIDCODE]],TRACK_TYPES[VEHIDCODE],0))</f>
        <v>1</v>
      </c>
      <c r="K477" t="b">
        <f>ISNUMBER(_xlfn.XMATCH(CONTROL[[#This Row],[VEHIDCODE]],PROPERTIES[VEHIDCODE],0))</f>
        <v>1</v>
      </c>
      <c r="L477" t="b">
        <f>ISNUMBER(_xlfn.XLOOKUP(CONTROL[[#This Row],[VEHIDCODE]],roster!A:A,roster!D:D))</f>
        <v>1</v>
      </c>
      <c r="M477" t="b">
        <f>ISNUMBER(_xlfn.XMATCH(CONTROL[[#This Row],[VEHIDCODE]],GRAPHICS_PROPERTIES[VEHIDCODE],0))</f>
        <v>1</v>
      </c>
      <c r="N477" s="21" t="str">
        <f>"item_"&amp;CONTROL[[#This Row],[VEHIDCODE]]</f>
        <v>item_dmu_Fuji_KiHa_181</v>
      </c>
      <c r="O477" s="21" t="str">
        <f>"str_"&amp;CONTROL[[#This Row],[VEHIDCODE]]</f>
        <v>str_dmu_Fuji_KiHa_181</v>
      </c>
      <c r="P477" s="7" t="b">
        <f>_xlfn.XLOOKUP(CONTROL[[#This Row],[VEHIDCODE]],PROPERTIES[VEHIDCODE],PROPERTIES[IS_CONCEPT])="IS_CONCEPT"</f>
        <v>0</v>
      </c>
      <c r="Q477" s="7" t="b">
        <f>_xlfn.XLOOKUP(CONTROL[[#This Row],[VEHIDCODE]],PROPERTIES[VEHIDCODE],PROPERTIES[EXCLUDE])</f>
        <v>0</v>
      </c>
      <c r="R477" t="str" cm="1">
        <f t="array" ref="R477">_xlfn.XLOOKUP(CONTROL[[#This Row],[VEHIDCODE]],GRAPHICS_PROPERTIES[VEHIDCODE],GRAPHICS_PROPERTIES[TEMPLATE_ID]&amp;GRAPHICS_PROPERTIES[TEMPLATE_AMENDMENT_CODE])</f>
        <v>TPL_02A</v>
      </c>
    </row>
    <row r="478" spans="1:18" x14ac:dyDescent="0.35">
      <c r="A478" s="2" t="s">
        <v>3111</v>
      </c>
      <c r="B478" s="21" t="str">
        <f>_xlfn.TEXTAFTER(CONTROL[[#This Row],[VEHIDCODE]],"_")</f>
        <v>Vagonka_Studenka_814</v>
      </c>
      <c r="C478" t="str" cm="1">
        <f t="array" ref="C4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8" t="str" cm="1">
        <f t="array" ref="D4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8">
        <v>7026</v>
      </c>
      <c r="F478" s="32" t="s">
        <v>2315</v>
      </c>
      <c r="G478" t="s">
        <v>1497</v>
      </c>
      <c r="H478" s="2" t="b">
        <f>AND(CONTROL[[#This Row],[IS_WAGON_OR_COACH]]=TRUE,OR(RIGHT(CONTROL[[#This Row],[VEHIDCODE]],7)="Powered",RIGHT(CONTROL[[#This Row],[VEHIDCODE]],9)="Unpowered"))</f>
        <v>0</v>
      </c>
      <c r="I4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8" t="b">
        <f>ISNUMBER(_xlfn.XMATCH(CONTROL[[#This Row],[VEHIDCODE]],TRACK_TYPES[VEHIDCODE],0))</f>
        <v>1</v>
      </c>
      <c r="K478" t="b">
        <f>ISNUMBER(_xlfn.XMATCH(CONTROL[[#This Row],[VEHIDCODE]],PROPERTIES[VEHIDCODE],0))</f>
        <v>1</v>
      </c>
      <c r="L478" t="b">
        <f>ISNUMBER(_xlfn.XLOOKUP(CONTROL[[#This Row],[VEHIDCODE]],roster!A:A,roster!D:D))</f>
        <v>1</v>
      </c>
      <c r="M478" t="b">
        <f>ISNUMBER(_xlfn.XMATCH(CONTROL[[#This Row],[VEHIDCODE]],GRAPHICS_PROPERTIES[VEHIDCODE],0))</f>
        <v>1</v>
      </c>
      <c r="N478" s="21" t="str">
        <f>"item_"&amp;CONTROL[[#This Row],[VEHIDCODE]]</f>
        <v>item_dmu_Vagonka_Studenka_814</v>
      </c>
      <c r="O478" s="21" t="str">
        <f>"str_"&amp;CONTROL[[#This Row],[VEHIDCODE]]</f>
        <v>str_dmu_Vagonka_Studenka_814</v>
      </c>
      <c r="P478" s="7" t="b">
        <f>_xlfn.XLOOKUP(CONTROL[[#This Row],[VEHIDCODE]],PROPERTIES[VEHIDCODE],PROPERTIES[IS_CONCEPT])="IS_CONCEPT"</f>
        <v>0</v>
      </c>
      <c r="Q478" s="7" t="b">
        <f>_xlfn.XLOOKUP(CONTROL[[#This Row],[VEHIDCODE]],PROPERTIES[VEHIDCODE],PROPERTIES[EXCLUDE])</f>
        <v>0</v>
      </c>
      <c r="R478" t="str" cm="1">
        <f t="array" ref="R478">_xlfn.XLOOKUP(CONTROL[[#This Row],[VEHIDCODE]],GRAPHICS_PROPERTIES[VEHIDCODE],GRAPHICS_PROPERTIES[TEMPLATE_ID]&amp;GRAPHICS_PROPERTIES[TEMPLATE_AMENDMENT_CODE])</f>
        <v>TPL_02A</v>
      </c>
    </row>
    <row r="479" spans="1:18" x14ac:dyDescent="0.35">
      <c r="A479" s="2" t="s">
        <v>3112</v>
      </c>
      <c r="B479" s="21" t="str">
        <f>_xlfn.TEXTAFTER(CONTROL[[#This Row],[VEHIDCODE]],"_")</f>
        <v>BR_150_0_Sprinter</v>
      </c>
      <c r="C479" t="str" cm="1">
        <f t="array" ref="C4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9" t="str" cm="1">
        <f t="array" ref="D4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9">
        <v>7027</v>
      </c>
      <c r="F479" s="32" t="s">
        <v>381</v>
      </c>
      <c r="G479" t="s">
        <v>1498</v>
      </c>
      <c r="H479" s="2" t="b">
        <f>AND(CONTROL[[#This Row],[IS_WAGON_OR_COACH]]=TRUE,OR(RIGHT(CONTROL[[#This Row],[VEHIDCODE]],7)="Powered",RIGHT(CONTROL[[#This Row],[VEHIDCODE]],9)="Unpowered"))</f>
        <v>0</v>
      </c>
      <c r="I4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9" t="b">
        <f>ISNUMBER(_xlfn.XMATCH(CONTROL[[#This Row],[VEHIDCODE]],TRACK_TYPES[VEHIDCODE],0))</f>
        <v>1</v>
      </c>
      <c r="K479" t="b">
        <f>ISNUMBER(_xlfn.XMATCH(CONTROL[[#This Row],[VEHIDCODE]],PROPERTIES[VEHIDCODE],0))</f>
        <v>1</v>
      </c>
      <c r="L479" t="b">
        <f>ISNUMBER(_xlfn.XLOOKUP(CONTROL[[#This Row],[VEHIDCODE]],roster!A:A,roster!D:D))</f>
        <v>1</v>
      </c>
      <c r="M479" t="b">
        <f>ISNUMBER(_xlfn.XMATCH(CONTROL[[#This Row],[VEHIDCODE]],GRAPHICS_PROPERTIES[VEHIDCODE],0))</f>
        <v>1</v>
      </c>
      <c r="N479" s="21" t="str">
        <f>"item_"&amp;CONTROL[[#This Row],[VEHIDCODE]]</f>
        <v>item_dmu_BR_150_0_Sprinter</v>
      </c>
      <c r="O479" s="21" t="str">
        <f>"str_"&amp;CONTROL[[#This Row],[VEHIDCODE]]</f>
        <v>str_dmu_BR_150_0_Sprinter</v>
      </c>
      <c r="P479" s="7" t="b">
        <f>_xlfn.XLOOKUP(CONTROL[[#This Row],[VEHIDCODE]],PROPERTIES[VEHIDCODE],PROPERTIES[IS_CONCEPT])="IS_CONCEPT"</f>
        <v>0</v>
      </c>
      <c r="Q479" s="7" t="b">
        <f>_xlfn.XLOOKUP(CONTROL[[#This Row],[VEHIDCODE]],PROPERTIES[VEHIDCODE],PROPERTIES[EXCLUDE])</f>
        <v>0</v>
      </c>
      <c r="R479" t="str" cm="1">
        <f t="array" ref="R479">_xlfn.XLOOKUP(CONTROL[[#This Row],[VEHIDCODE]],GRAPHICS_PROPERTIES[VEHIDCODE],GRAPHICS_PROPERTIES[TEMPLATE_ID]&amp;GRAPHICS_PROPERTIES[TEMPLATE_AMENDMENT_CODE])</f>
        <v>TPL_02A</v>
      </c>
    </row>
    <row r="480" spans="1:18" x14ac:dyDescent="0.35">
      <c r="A480" s="2" t="s">
        <v>3113</v>
      </c>
      <c r="B480" s="21" t="str">
        <f>_xlfn.TEXTAFTER(CONTROL[[#This Row],[VEHIDCODE]],"_")</f>
        <v>BREL_141_Pacer</v>
      </c>
      <c r="C480" t="str" cm="1">
        <f t="array" ref="C4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0" t="str" cm="1">
        <f t="array" ref="D4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0">
        <v>7028</v>
      </c>
      <c r="F480" s="32" t="s">
        <v>2316</v>
      </c>
      <c r="G480" t="s">
        <v>1499</v>
      </c>
      <c r="H480" s="2" t="b">
        <f>AND(CONTROL[[#This Row],[IS_WAGON_OR_COACH]]=TRUE,OR(RIGHT(CONTROL[[#This Row],[VEHIDCODE]],7)="Powered",RIGHT(CONTROL[[#This Row],[VEHIDCODE]],9)="Unpowered"))</f>
        <v>0</v>
      </c>
      <c r="I4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0" t="b">
        <f>ISNUMBER(_xlfn.XMATCH(CONTROL[[#This Row],[VEHIDCODE]],TRACK_TYPES[VEHIDCODE],0))</f>
        <v>1</v>
      </c>
      <c r="K480" t="b">
        <f>ISNUMBER(_xlfn.XMATCH(CONTROL[[#This Row],[VEHIDCODE]],PROPERTIES[VEHIDCODE],0))</f>
        <v>1</v>
      </c>
      <c r="L480" t="b">
        <f>ISNUMBER(_xlfn.XLOOKUP(CONTROL[[#This Row],[VEHIDCODE]],roster!A:A,roster!D:D))</f>
        <v>1</v>
      </c>
      <c r="M480" t="b">
        <f>ISNUMBER(_xlfn.XMATCH(CONTROL[[#This Row],[VEHIDCODE]],GRAPHICS_PROPERTIES[VEHIDCODE],0))</f>
        <v>1</v>
      </c>
      <c r="N480" s="21" t="str">
        <f>"item_"&amp;CONTROL[[#This Row],[VEHIDCODE]]</f>
        <v>item_dmu_BREL_141_Pacer</v>
      </c>
      <c r="O480" s="21" t="str">
        <f>"str_"&amp;CONTROL[[#This Row],[VEHIDCODE]]</f>
        <v>str_dmu_BREL_141_Pacer</v>
      </c>
      <c r="P480" s="7" t="b">
        <f>_xlfn.XLOOKUP(CONTROL[[#This Row],[VEHIDCODE]],PROPERTIES[VEHIDCODE],PROPERTIES[IS_CONCEPT])="IS_CONCEPT"</f>
        <v>0</v>
      </c>
      <c r="Q480" s="7" t="b">
        <f>_xlfn.XLOOKUP(CONTROL[[#This Row],[VEHIDCODE]],PROPERTIES[VEHIDCODE],PROPERTIES[EXCLUDE])</f>
        <v>0</v>
      </c>
      <c r="R480" t="str" cm="1">
        <f t="array" ref="R480">_xlfn.XLOOKUP(CONTROL[[#This Row],[VEHIDCODE]],GRAPHICS_PROPERTIES[VEHIDCODE],GRAPHICS_PROPERTIES[TEMPLATE_ID]&amp;GRAPHICS_PROPERTIES[TEMPLATE_AMENDMENT_CODE])</f>
        <v>TPL_02A</v>
      </c>
    </row>
    <row r="481" spans="1:18" x14ac:dyDescent="0.35">
      <c r="A481" s="2" t="s">
        <v>3114</v>
      </c>
      <c r="B481" s="21" t="str">
        <f>_xlfn.TEXTAFTER(CONTROL[[#This Row],[VEHIDCODE]],"_")</f>
        <v>ABB_IC3__Israel_</v>
      </c>
      <c r="C481" t="str" cm="1">
        <f t="array" ref="C4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1" t="str" cm="1">
        <f t="array" ref="D4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1">
        <v>7029</v>
      </c>
      <c r="F481" s="32" t="s">
        <v>2317</v>
      </c>
      <c r="G481" t="s">
        <v>1500</v>
      </c>
      <c r="H481" s="2" t="b">
        <f>AND(CONTROL[[#This Row],[IS_WAGON_OR_COACH]]=TRUE,OR(RIGHT(CONTROL[[#This Row],[VEHIDCODE]],7)="Powered",RIGHT(CONTROL[[#This Row],[VEHIDCODE]],9)="Unpowered"))</f>
        <v>0</v>
      </c>
      <c r="I4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1" t="b">
        <f>ISNUMBER(_xlfn.XMATCH(CONTROL[[#This Row],[VEHIDCODE]],TRACK_TYPES[VEHIDCODE],0))</f>
        <v>1</v>
      </c>
      <c r="K481" t="b">
        <f>ISNUMBER(_xlfn.XMATCH(CONTROL[[#This Row],[VEHIDCODE]],PROPERTIES[VEHIDCODE],0))</f>
        <v>1</v>
      </c>
      <c r="L481" t="b">
        <f>ISNUMBER(_xlfn.XLOOKUP(CONTROL[[#This Row],[VEHIDCODE]],roster!A:A,roster!D:D))</f>
        <v>1</v>
      </c>
      <c r="M481" t="b">
        <f>ISNUMBER(_xlfn.XMATCH(CONTROL[[#This Row],[VEHIDCODE]],GRAPHICS_PROPERTIES[VEHIDCODE],0))</f>
        <v>1</v>
      </c>
      <c r="N481" s="21" t="str">
        <f>"item_"&amp;CONTROL[[#This Row],[VEHIDCODE]]</f>
        <v>item_dmu_ABB_IC3__Israel_</v>
      </c>
      <c r="O481" s="21" t="str">
        <f>"str_"&amp;CONTROL[[#This Row],[VEHIDCODE]]</f>
        <v>str_dmu_ABB_IC3__Israel_</v>
      </c>
      <c r="P481" s="7" t="b">
        <f>_xlfn.XLOOKUP(CONTROL[[#This Row],[VEHIDCODE]],PROPERTIES[VEHIDCODE],PROPERTIES[IS_CONCEPT])="IS_CONCEPT"</f>
        <v>0</v>
      </c>
      <c r="Q481" s="7" t="b">
        <f>_xlfn.XLOOKUP(CONTROL[[#This Row],[VEHIDCODE]],PROPERTIES[VEHIDCODE],PROPERTIES[EXCLUDE])</f>
        <v>1</v>
      </c>
      <c r="R481" t="str" cm="1">
        <f t="array" ref="R481">_xlfn.XLOOKUP(CONTROL[[#This Row],[VEHIDCODE]],GRAPHICS_PROPERTIES[VEHIDCODE],GRAPHICS_PROPERTIES[TEMPLATE_ID]&amp;GRAPHICS_PROPERTIES[TEMPLATE_AMENDMENT_CODE])</f>
        <v>TPL_02A</v>
      </c>
    </row>
    <row r="482" spans="1:18" x14ac:dyDescent="0.35">
      <c r="A482" s="2" t="s">
        <v>3115</v>
      </c>
      <c r="B482" s="21" t="str">
        <f>_xlfn.TEXTAFTER(CONTROL[[#This Row],[VEHIDCODE]],"_")</f>
        <v>Comeng_3100</v>
      </c>
      <c r="C482" t="str" cm="1">
        <f t="array" ref="C4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2" t="str" cm="1">
        <f t="array" ref="D4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2">
        <v>7030</v>
      </c>
      <c r="F482" s="32" t="s">
        <v>2318</v>
      </c>
      <c r="G482" t="s">
        <v>1501</v>
      </c>
      <c r="H482" s="2" t="b">
        <f>AND(CONTROL[[#This Row],[IS_WAGON_OR_COACH]]=TRUE,OR(RIGHT(CONTROL[[#This Row],[VEHIDCODE]],7)="Powered",RIGHT(CONTROL[[#This Row],[VEHIDCODE]],9)="Unpowered"))</f>
        <v>0</v>
      </c>
      <c r="I4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2" t="b">
        <f>ISNUMBER(_xlfn.XMATCH(CONTROL[[#This Row],[VEHIDCODE]],TRACK_TYPES[VEHIDCODE],0))</f>
        <v>1</v>
      </c>
      <c r="K482" t="b">
        <f>ISNUMBER(_xlfn.XMATCH(CONTROL[[#This Row],[VEHIDCODE]],PROPERTIES[VEHIDCODE],0))</f>
        <v>1</v>
      </c>
      <c r="L482" t="b">
        <f>ISNUMBER(_xlfn.XLOOKUP(CONTROL[[#This Row],[VEHIDCODE]],roster!A:A,roster!D:D))</f>
        <v>1</v>
      </c>
      <c r="M482" t="b">
        <f>ISNUMBER(_xlfn.XMATCH(CONTROL[[#This Row],[VEHIDCODE]],GRAPHICS_PROPERTIES[VEHIDCODE],0))</f>
        <v>1</v>
      </c>
      <c r="N482" s="21" t="str">
        <f>"item_"&amp;CONTROL[[#This Row],[VEHIDCODE]]</f>
        <v>item_dmu_Comeng_3100</v>
      </c>
      <c r="O482" s="21" t="str">
        <f>"str_"&amp;CONTROL[[#This Row],[VEHIDCODE]]</f>
        <v>str_dmu_Comeng_3100</v>
      </c>
      <c r="P482" s="7" t="b">
        <f>_xlfn.XLOOKUP(CONTROL[[#This Row],[VEHIDCODE]],PROPERTIES[VEHIDCODE],PROPERTIES[IS_CONCEPT])="IS_CONCEPT"</f>
        <v>0</v>
      </c>
      <c r="Q482" s="7" t="b">
        <f>_xlfn.XLOOKUP(CONTROL[[#This Row],[VEHIDCODE]],PROPERTIES[VEHIDCODE],PROPERTIES[EXCLUDE])</f>
        <v>0</v>
      </c>
      <c r="R482" t="str" cm="1">
        <f t="array" ref="R482">_xlfn.XLOOKUP(CONTROL[[#This Row],[VEHIDCODE]],GRAPHICS_PROPERTIES[VEHIDCODE],GRAPHICS_PROPERTIES[TEMPLATE_ID]&amp;GRAPHICS_PROPERTIES[TEMPLATE_AMENDMENT_CODE])</f>
        <v>TPL_02A</v>
      </c>
    </row>
    <row r="483" spans="1:18" x14ac:dyDescent="0.35">
      <c r="A483" s="2" t="s">
        <v>3116</v>
      </c>
      <c r="B483" s="21" t="str">
        <f>_xlfn.TEXTAFTER(CONTROL[[#This Row],[VEHIDCODE]],"_")</f>
        <v>ABB_Xplorer</v>
      </c>
      <c r="C483" t="str" cm="1">
        <f t="array" ref="C4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3" t="str" cm="1">
        <f t="array" ref="D4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3">
        <v>7031</v>
      </c>
      <c r="F483" s="32" t="s">
        <v>2319</v>
      </c>
      <c r="G483" t="s">
        <v>1502</v>
      </c>
      <c r="H483" s="2" t="b">
        <f>AND(CONTROL[[#This Row],[IS_WAGON_OR_COACH]]=TRUE,OR(RIGHT(CONTROL[[#This Row],[VEHIDCODE]],7)="Powered",RIGHT(CONTROL[[#This Row],[VEHIDCODE]],9)="Unpowered"))</f>
        <v>0</v>
      </c>
      <c r="I4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3" t="b">
        <f>ISNUMBER(_xlfn.XMATCH(CONTROL[[#This Row],[VEHIDCODE]],TRACK_TYPES[VEHIDCODE],0))</f>
        <v>1</v>
      </c>
      <c r="K483" t="b">
        <f>ISNUMBER(_xlfn.XMATCH(CONTROL[[#This Row],[VEHIDCODE]],PROPERTIES[VEHIDCODE],0))</f>
        <v>1</v>
      </c>
      <c r="L483" t="b">
        <f>ISNUMBER(_xlfn.XLOOKUP(CONTROL[[#This Row],[VEHIDCODE]],roster!A:A,roster!D:D))</f>
        <v>1</v>
      </c>
      <c r="M483" t="b">
        <f>ISNUMBER(_xlfn.XMATCH(CONTROL[[#This Row],[VEHIDCODE]],GRAPHICS_PROPERTIES[VEHIDCODE],0))</f>
        <v>1</v>
      </c>
      <c r="N483" s="21" t="str">
        <f>"item_"&amp;CONTROL[[#This Row],[VEHIDCODE]]</f>
        <v>item_dmu_ABB_Xplorer</v>
      </c>
      <c r="O483" s="21" t="str">
        <f>"str_"&amp;CONTROL[[#This Row],[VEHIDCODE]]</f>
        <v>str_dmu_ABB_Xplorer</v>
      </c>
      <c r="P483" s="7" t="b">
        <f>_xlfn.XLOOKUP(CONTROL[[#This Row],[VEHIDCODE]],PROPERTIES[VEHIDCODE],PROPERTIES[IS_CONCEPT])="IS_CONCEPT"</f>
        <v>0</v>
      </c>
      <c r="Q483" s="7" t="b">
        <f>_xlfn.XLOOKUP(CONTROL[[#This Row],[VEHIDCODE]],PROPERTIES[VEHIDCODE],PROPERTIES[EXCLUDE])</f>
        <v>0</v>
      </c>
      <c r="R483" t="str" cm="1">
        <f t="array" ref="R483">_xlfn.XLOOKUP(CONTROL[[#This Row],[VEHIDCODE]],GRAPHICS_PROPERTIES[VEHIDCODE],GRAPHICS_PROPERTIES[TEMPLATE_ID]&amp;GRAPHICS_PROPERTIES[TEMPLATE_AMENDMENT_CODE])</f>
        <v>TPL_02A</v>
      </c>
    </row>
    <row r="484" spans="1:18" x14ac:dyDescent="0.35">
      <c r="A484" s="2" t="s">
        <v>3117</v>
      </c>
      <c r="B484" s="21" t="str">
        <f>_xlfn.TEXTAFTER(CONTROL[[#This Row],[VEHIDCODE]],"_")</f>
        <v>Niigata_Transys_KiHa_189</v>
      </c>
      <c r="C484" t="str" cm="1">
        <f t="array" ref="C4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4" t="str" cm="1">
        <f t="array" ref="D4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4">
        <v>7032</v>
      </c>
      <c r="F484" s="32" t="s">
        <v>2320</v>
      </c>
      <c r="G484" t="s">
        <v>1503</v>
      </c>
      <c r="H484" s="2" t="b">
        <f>AND(CONTROL[[#This Row],[IS_WAGON_OR_COACH]]=TRUE,OR(RIGHT(CONTROL[[#This Row],[VEHIDCODE]],7)="Powered",RIGHT(CONTROL[[#This Row],[VEHIDCODE]],9)="Unpowered"))</f>
        <v>0</v>
      </c>
      <c r="I4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4" t="b">
        <f>ISNUMBER(_xlfn.XMATCH(CONTROL[[#This Row],[VEHIDCODE]],TRACK_TYPES[VEHIDCODE],0))</f>
        <v>1</v>
      </c>
      <c r="K484" t="b">
        <f>ISNUMBER(_xlfn.XMATCH(CONTROL[[#This Row],[VEHIDCODE]],PROPERTIES[VEHIDCODE],0))</f>
        <v>1</v>
      </c>
      <c r="L484" t="b">
        <f>ISNUMBER(_xlfn.XLOOKUP(CONTROL[[#This Row],[VEHIDCODE]],roster!A:A,roster!D:D))</f>
        <v>1</v>
      </c>
      <c r="M484" t="b">
        <f>ISNUMBER(_xlfn.XMATCH(CONTROL[[#This Row],[VEHIDCODE]],GRAPHICS_PROPERTIES[VEHIDCODE],0))</f>
        <v>1</v>
      </c>
      <c r="N484" s="21" t="str">
        <f>"item_"&amp;CONTROL[[#This Row],[VEHIDCODE]]</f>
        <v>item_dmu_Niigata_Transys_KiHa_189</v>
      </c>
      <c r="O484" s="21" t="str">
        <f>"str_"&amp;CONTROL[[#This Row],[VEHIDCODE]]</f>
        <v>str_dmu_Niigata_Transys_KiHa_189</v>
      </c>
      <c r="P484" s="7" t="b">
        <f>_xlfn.XLOOKUP(CONTROL[[#This Row],[VEHIDCODE]],PROPERTIES[VEHIDCODE],PROPERTIES[IS_CONCEPT])="IS_CONCEPT"</f>
        <v>0</v>
      </c>
      <c r="Q484" s="7" t="b">
        <f>_xlfn.XLOOKUP(CONTROL[[#This Row],[VEHIDCODE]],PROPERTIES[VEHIDCODE],PROPERTIES[EXCLUDE])</f>
        <v>0</v>
      </c>
      <c r="R484" t="str" cm="1">
        <f t="array" ref="R484">_xlfn.XLOOKUP(CONTROL[[#This Row],[VEHIDCODE]],GRAPHICS_PROPERTIES[VEHIDCODE],GRAPHICS_PROPERTIES[TEMPLATE_ID]&amp;GRAPHICS_PROPERTIES[TEMPLATE_AMENDMENT_CODE])</f>
        <v>TPL_02A</v>
      </c>
    </row>
    <row r="485" spans="1:18" x14ac:dyDescent="0.35">
      <c r="A485" s="2" t="s">
        <v>3118</v>
      </c>
      <c r="B485" s="21" t="str">
        <f>_xlfn.TEXTAFTER(CONTROL[[#This Row],[VEHIDCODE]],"_")</f>
        <v>Integral_Coach_Factory_S11</v>
      </c>
      <c r="C485" t="str" cm="1">
        <f t="array" ref="C4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5" t="str" cm="1">
        <f t="array" ref="D4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5">
        <v>7033</v>
      </c>
      <c r="F485" s="32" t="s">
        <v>2321</v>
      </c>
      <c r="G485" t="s">
        <v>1504</v>
      </c>
      <c r="H485" s="2" t="b">
        <f>AND(CONTROL[[#This Row],[IS_WAGON_OR_COACH]]=TRUE,OR(RIGHT(CONTROL[[#This Row],[VEHIDCODE]],7)="Powered",RIGHT(CONTROL[[#This Row],[VEHIDCODE]],9)="Unpowered"))</f>
        <v>0</v>
      </c>
      <c r="I4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5" t="b">
        <f>ISNUMBER(_xlfn.XMATCH(CONTROL[[#This Row],[VEHIDCODE]],TRACK_TYPES[VEHIDCODE],0))</f>
        <v>1</v>
      </c>
      <c r="K485" t="b">
        <f>ISNUMBER(_xlfn.XMATCH(CONTROL[[#This Row],[VEHIDCODE]],PROPERTIES[VEHIDCODE],0))</f>
        <v>1</v>
      </c>
      <c r="L485" t="b">
        <f>ISNUMBER(_xlfn.XLOOKUP(CONTROL[[#This Row],[VEHIDCODE]],roster!A:A,roster!D:D))</f>
        <v>1</v>
      </c>
      <c r="M485" t="b">
        <f>ISNUMBER(_xlfn.XMATCH(CONTROL[[#This Row],[VEHIDCODE]],GRAPHICS_PROPERTIES[VEHIDCODE],0))</f>
        <v>1</v>
      </c>
      <c r="N485" s="21" t="str">
        <f>"item_"&amp;CONTROL[[#This Row],[VEHIDCODE]]</f>
        <v>item_dmu_Integral_Coach_Factory_S11</v>
      </c>
      <c r="O485" s="21" t="str">
        <f>"str_"&amp;CONTROL[[#This Row],[VEHIDCODE]]</f>
        <v>str_dmu_Integral_Coach_Factory_S11</v>
      </c>
      <c r="P485" s="7" t="b">
        <f>_xlfn.XLOOKUP(CONTROL[[#This Row],[VEHIDCODE]],PROPERTIES[VEHIDCODE],PROPERTIES[IS_CONCEPT])="IS_CONCEPT"</f>
        <v>0</v>
      </c>
      <c r="Q485" s="7" t="b">
        <f>_xlfn.XLOOKUP(CONTROL[[#This Row],[VEHIDCODE]],PROPERTIES[VEHIDCODE],PROPERTIES[EXCLUDE])</f>
        <v>0</v>
      </c>
      <c r="R485" t="str" cm="1">
        <f t="array" ref="R485">_xlfn.XLOOKUP(CONTROL[[#This Row],[VEHIDCODE]],GRAPHICS_PROPERTIES[VEHIDCODE],GRAPHICS_PROPERTIES[TEMPLATE_ID]&amp;GRAPHICS_PROPERTIES[TEMPLATE_AMENDMENT_CODE])</f>
        <v>TPL_02A</v>
      </c>
    </row>
    <row r="486" spans="1:18" x14ac:dyDescent="0.35">
      <c r="A486" s="2" t="s">
        <v>3119</v>
      </c>
      <c r="B486" s="21" t="str">
        <f>_xlfn.TEXTAFTER(CONTROL[[#This Row],[VEHIDCODE]],"_")</f>
        <v>ZOS_Vrutky_861</v>
      </c>
      <c r="C486" t="str" cm="1">
        <f t="array" ref="C4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6" t="str" cm="1">
        <f t="array" ref="D4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6">
        <v>7035</v>
      </c>
      <c r="F486" s="32" t="s">
        <v>2322</v>
      </c>
      <c r="G486" t="s">
        <v>1505</v>
      </c>
      <c r="H486" s="2" t="b">
        <f>AND(CONTROL[[#This Row],[IS_WAGON_OR_COACH]]=TRUE,OR(RIGHT(CONTROL[[#This Row],[VEHIDCODE]],7)="Powered",RIGHT(CONTROL[[#This Row],[VEHIDCODE]],9)="Unpowered"))</f>
        <v>0</v>
      </c>
      <c r="I4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6" t="b">
        <f>ISNUMBER(_xlfn.XMATCH(CONTROL[[#This Row],[VEHIDCODE]],TRACK_TYPES[VEHIDCODE],0))</f>
        <v>1</v>
      </c>
      <c r="K486" t="b">
        <f>ISNUMBER(_xlfn.XMATCH(CONTROL[[#This Row],[VEHIDCODE]],PROPERTIES[VEHIDCODE],0))</f>
        <v>1</v>
      </c>
      <c r="L486" t="b">
        <f>ISNUMBER(_xlfn.XLOOKUP(CONTROL[[#This Row],[VEHIDCODE]],roster!A:A,roster!D:D))</f>
        <v>1</v>
      </c>
      <c r="M486" t="b">
        <f>ISNUMBER(_xlfn.XMATCH(CONTROL[[#This Row],[VEHIDCODE]],GRAPHICS_PROPERTIES[VEHIDCODE],0))</f>
        <v>1</v>
      </c>
      <c r="N486" s="21" t="str">
        <f>"item_"&amp;CONTROL[[#This Row],[VEHIDCODE]]</f>
        <v>item_dmu_ZOS_Vrutky_861</v>
      </c>
      <c r="O486" s="21" t="str">
        <f>"str_"&amp;CONTROL[[#This Row],[VEHIDCODE]]</f>
        <v>str_dmu_ZOS_Vrutky_861</v>
      </c>
      <c r="P486" s="7" t="b">
        <f>_xlfn.XLOOKUP(CONTROL[[#This Row],[VEHIDCODE]],PROPERTIES[VEHIDCODE],PROPERTIES[IS_CONCEPT])="IS_CONCEPT"</f>
        <v>0</v>
      </c>
      <c r="Q486" s="7" t="b">
        <f>_xlfn.XLOOKUP(CONTROL[[#This Row],[VEHIDCODE]],PROPERTIES[VEHIDCODE],PROPERTIES[EXCLUDE])</f>
        <v>0</v>
      </c>
      <c r="R486" t="str" cm="1">
        <f t="array" ref="R486">_xlfn.XLOOKUP(CONTROL[[#This Row],[VEHIDCODE]],GRAPHICS_PROPERTIES[VEHIDCODE],GRAPHICS_PROPERTIES[TEMPLATE_ID]&amp;GRAPHICS_PROPERTIES[TEMPLATE_AMENDMENT_CODE])</f>
        <v>TPL_02A</v>
      </c>
    </row>
    <row r="487" spans="1:18" x14ac:dyDescent="0.35">
      <c r="A487" s="2" t="s">
        <v>3120</v>
      </c>
      <c r="B487" s="21" t="str">
        <f>_xlfn.TEXTAFTER(CONTROL[[#This Row],[VEHIDCODE]],"_")</f>
        <v>CAF_TLD_500</v>
      </c>
      <c r="C487" t="str" cm="1">
        <f t="array" ref="C4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7" t="str" cm="1">
        <f t="array" ref="D4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7">
        <v>7036</v>
      </c>
      <c r="F487" s="32" t="s">
        <v>2323</v>
      </c>
      <c r="G487" t="s">
        <v>1506</v>
      </c>
      <c r="H487" s="2" t="b">
        <f>AND(CONTROL[[#This Row],[IS_WAGON_OR_COACH]]=TRUE,OR(RIGHT(CONTROL[[#This Row],[VEHIDCODE]],7)="Powered",RIGHT(CONTROL[[#This Row],[VEHIDCODE]],9)="Unpowered"))</f>
        <v>0</v>
      </c>
      <c r="I4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7" t="b">
        <f>ISNUMBER(_xlfn.XMATCH(CONTROL[[#This Row],[VEHIDCODE]],TRACK_TYPES[VEHIDCODE],0))</f>
        <v>1</v>
      </c>
      <c r="K487" t="b">
        <f>ISNUMBER(_xlfn.XMATCH(CONTROL[[#This Row],[VEHIDCODE]],PROPERTIES[VEHIDCODE],0))</f>
        <v>1</v>
      </c>
      <c r="L487" t="b">
        <f>ISNUMBER(_xlfn.XLOOKUP(CONTROL[[#This Row],[VEHIDCODE]],roster!A:A,roster!D:D))</f>
        <v>1</v>
      </c>
      <c r="M487" t="b">
        <f>ISNUMBER(_xlfn.XMATCH(CONTROL[[#This Row],[VEHIDCODE]],GRAPHICS_PROPERTIES[VEHIDCODE],0))</f>
        <v>1</v>
      </c>
      <c r="N487" s="21" t="str">
        <f>"item_"&amp;CONTROL[[#This Row],[VEHIDCODE]]</f>
        <v>item_dmu_CAF_TLD_500</v>
      </c>
      <c r="O487" s="21" t="str">
        <f>"str_"&amp;CONTROL[[#This Row],[VEHIDCODE]]</f>
        <v>str_dmu_CAF_TLD_500</v>
      </c>
      <c r="P487" s="7" t="b">
        <f>_xlfn.XLOOKUP(CONTROL[[#This Row],[VEHIDCODE]],PROPERTIES[VEHIDCODE],PROPERTIES[IS_CONCEPT])="IS_CONCEPT"</f>
        <v>0</v>
      </c>
      <c r="Q487" s="7" t="b">
        <f>_xlfn.XLOOKUP(CONTROL[[#This Row],[VEHIDCODE]],PROPERTIES[VEHIDCODE],PROPERTIES[EXCLUDE])</f>
        <v>0</v>
      </c>
      <c r="R487" t="str" cm="1">
        <f t="array" ref="R487">_xlfn.XLOOKUP(CONTROL[[#This Row],[VEHIDCODE]],GRAPHICS_PROPERTIES[VEHIDCODE],GRAPHICS_PROPERTIES[TEMPLATE_ID]&amp;GRAPHICS_PROPERTIES[TEMPLATE_AMENDMENT_CODE])</f>
        <v>TPL_02A</v>
      </c>
    </row>
    <row r="488" spans="1:18" x14ac:dyDescent="0.35">
      <c r="A488" s="2" t="s">
        <v>3121</v>
      </c>
      <c r="B488" s="21" t="str">
        <f>_xlfn.TEXTAFTER(CONTROL[[#This Row],[VEHIDCODE]],"_")</f>
        <v>Camrail_ZE_500</v>
      </c>
      <c r="C488" t="str" cm="1">
        <f t="array" ref="C4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8" t="str" cm="1">
        <f t="array" ref="D4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8">
        <v>7037</v>
      </c>
      <c r="F488" s="32" t="s">
        <v>382</v>
      </c>
      <c r="G488" t="s">
        <v>1507</v>
      </c>
      <c r="H488" s="2" t="b">
        <f>AND(CONTROL[[#This Row],[IS_WAGON_OR_COACH]]=TRUE,OR(RIGHT(CONTROL[[#This Row],[VEHIDCODE]],7)="Powered",RIGHT(CONTROL[[#This Row],[VEHIDCODE]],9)="Unpowered"))</f>
        <v>0</v>
      </c>
      <c r="I4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8" t="b">
        <f>ISNUMBER(_xlfn.XMATCH(CONTROL[[#This Row],[VEHIDCODE]],TRACK_TYPES[VEHIDCODE],0))</f>
        <v>1</v>
      </c>
      <c r="K488" t="b">
        <f>ISNUMBER(_xlfn.XMATCH(CONTROL[[#This Row],[VEHIDCODE]],PROPERTIES[VEHIDCODE],0))</f>
        <v>1</v>
      </c>
      <c r="L488" t="b">
        <f>ISNUMBER(_xlfn.XLOOKUP(CONTROL[[#This Row],[VEHIDCODE]],roster!A:A,roster!D:D))</f>
        <v>1</v>
      </c>
      <c r="M488" t="b">
        <f>ISNUMBER(_xlfn.XMATCH(CONTROL[[#This Row],[VEHIDCODE]],GRAPHICS_PROPERTIES[VEHIDCODE],0))</f>
        <v>1</v>
      </c>
      <c r="N488" s="21" t="str">
        <f>"item_"&amp;CONTROL[[#This Row],[VEHIDCODE]]</f>
        <v>item_dmu_Camrail_ZE_500</v>
      </c>
      <c r="O488" s="21" t="str">
        <f>"str_"&amp;CONTROL[[#This Row],[VEHIDCODE]]</f>
        <v>str_dmu_Camrail_ZE_500</v>
      </c>
      <c r="P488" s="7" t="b">
        <f>_xlfn.XLOOKUP(CONTROL[[#This Row],[VEHIDCODE]],PROPERTIES[VEHIDCODE],PROPERTIES[IS_CONCEPT])="IS_CONCEPT"</f>
        <v>0</v>
      </c>
      <c r="Q488" s="7" t="b">
        <f>_xlfn.XLOOKUP(CONTROL[[#This Row],[VEHIDCODE]],PROPERTIES[VEHIDCODE],PROPERTIES[EXCLUDE])</f>
        <v>0</v>
      </c>
      <c r="R488" t="str" cm="1">
        <f t="array" ref="R488">_xlfn.XLOOKUP(CONTROL[[#This Row],[VEHIDCODE]],GRAPHICS_PROPERTIES[VEHIDCODE],GRAPHICS_PROPERTIES[TEMPLATE_ID]&amp;GRAPHICS_PROPERTIES[TEMPLATE_AMENDMENT_CODE])</f>
        <v>TPL_02A</v>
      </c>
    </row>
    <row r="489" spans="1:18" x14ac:dyDescent="0.35">
      <c r="A489" s="2" t="s">
        <v>3122</v>
      </c>
      <c r="B489" s="21" t="str">
        <f>_xlfn.TEXTAFTER(CONTROL[[#This Row],[VEHIDCODE]],"_")</f>
        <v>Metro_Cammell_251_Blue_Pullman</v>
      </c>
      <c r="C489" t="str" cm="1">
        <f t="array" ref="C4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9" t="str" cm="1">
        <f t="array" ref="D4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9">
        <v>7039</v>
      </c>
      <c r="F489" s="32" t="s">
        <v>2324</v>
      </c>
      <c r="G489" t="s">
        <v>1508</v>
      </c>
      <c r="H489" s="2" t="b">
        <f>AND(CONTROL[[#This Row],[IS_WAGON_OR_COACH]]=TRUE,OR(RIGHT(CONTROL[[#This Row],[VEHIDCODE]],7)="Powered",RIGHT(CONTROL[[#This Row],[VEHIDCODE]],9)="Unpowered"))</f>
        <v>0</v>
      </c>
      <c r="I4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9" t="b">
        <f>ISNUMBER(_xlfn.XMATCH(CONTROL[[#This Row],[VEHIDCODE]],TRACK_TYPES[VEHIDCODE],0))</f>
        <v>1</v>
      </c>
      <c r="K489" t="b">
        <f>ISNUMBER(_xlfn.XMATCH(CONTROL[[#This Row],[VEHIDCODE]],PROPERTIES[VEHIDCODE],0))</f>
        <v>1</v>
      </c>
      <c r="L489" t="b">
        <f>ISNUMBER(_xlfn.XLOOKUP(CONTROL[[#This Row],[VEHIDCODE]],roster!A:A,roster!D:D))</f>
        <v>1</v>
      </c>
      <c r="M489" t="b">
        <f>ISNUMBER(_xlfn.XMATCH(CONTROL[[#This Row],[VEHIDCODE]],GRAPHICS_PROPERTIES[VEHIDCODE],0))</f>
        <v>1</v>
      </c>
      <c r="N489" s="21" t="str">
        <f>"item_"&amp;CONTROL[[#This Row],[VEHIDCODE]]</f>
        <v>item_dmu_Metro_Cammell_251_Blue_Pullman</v>
      </c>
      <c r="O489" s="21" t="str">
        <f>"str_"&amp;CONTROL[[#This Row],[VEHIDCODE]]</f>
        <v>str_dmu_Metro_Cammell_251_Blue_Pullman</v>
      </c>
      <c r="P489" s="7" t="b">
        <f>_xlfn.XLOOKUP(CONTROL[[#This Row],[VEHIDCODE]],PROPERTIES[VEHIDCODE],PROPERTIES[IS_CONCEPT])="IS_CONCEPT"</f>
        <v>0</v>
      </c>
      <c r="Q489" s="7" t="b">
        <f>_xlfn.XLOOKUP(CONTROL[[#This Row],[VEHIDCODE]],PROPERTIES[VEHIDCODE],PROPERTIES[EXCLUDE])</f>
        <v>0</v>
      </c>
      <c r="R489" t="str" cm="1">
        <f t="array" ref="R489">_xlfn.XLOOKUP(CONTROL[[#This Row],[VEHIDCODE]],GRAPHICS_PROPERTIES[VEHIDCODE],GRAPHICS_PROPERTIES[TEMPLATE_ID]&amp;GRAPHICS_PROPERTIES[TEMPLATE_AMENDMENT_CODE])</f>
        <v>TPL_02A</v>
      </c>
    </row>
    <row r="490" spans="1:18" x14ac:dyDescent="0.35">
      <c r="A490" s="2" t="s">
        <v>3123</v>
      </c>
      <c r="B490" s="21" t="str">
        <f>_xlfn.TEXTAFTER(CONTROL[[#This Row],[VEHIDCODE]],"_")</f>
        <v>Comeng_ADK</v>
      </c>
      <c r="C490" t="str" cm="1">
        <f t="array" ref="C4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0" t="str" cm="1">
        <f t="array" ref="D4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0">
        <v>7041</v>
      </c>
      <c r="F490" s="32" t="s">
        <v>2325</v>
      </c>
      <c r="G490" t="s">
        <v>1509</v>
      </c>
      <c r="H490" s="2" t="b">
        <f>AND(CONTROL[[#This Row],[IS_WAGON_OR_COACH]]=TRUE,OR(RIGHT(CONTROL[[#This Row],[VEHIDCODE]],7)="Powered",RIGHT(CONTROL[[#This Row],[VEHIDCODE]],9)="Unpowered"))</f>
        <v>0</v>
      </c>
      <c r="I4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0" t="b">
        <f>ISNUMBER(_xlfn.XMATCH(CONTROL[[#This Row],[VEHIDCODE]],TRACK_TYPES[VEHIDCODE],0))</f>
        <v>1</v>
      </c>
      <c r="K490" t="b">
        <f>ISNUMBER(_xlfn.XMATCH(CONTROL[[#This Row],[VEHIDCODE]],PROPERTIES[VEHIDCODE],0))</f>
        <v>1</v>
      </c>
      <c r="L490" t="b">
        <f>ISNUMBER(_xlfn.XLOOKUP(CONTROL[[#This Row],[VEHIDCODE]],roster!A:A,roster!D:D))</f>
        <v>1</v>
      </c>
      <c r="M490" t="b">
        <f>ISNUMBER(_xlfn.XMATCH(CONTROL[[#This Row],[VEHIDCODE]],GRAPHICS_PROPERTIES[VEHIDCODE],0))</f>
        <v>1</v>
      </c>
      <c r="N490" s="21" t="str">
        <f>"item_"&amp;CONTROL[[#This Row],[VEHIDCODE]]</f>
        <v>item_dmu_Comeng_ADK</v>
      </c>
      <c r="O490" s="21" t="str">
        <f>"str_"&amp;CONTROL[[#This Row],[VEHIDCODE]]</f>
        <v>str_dmu_Comeng_ADK</v>
      </c>
      <c r="P490" s="7" t="b">
        <f>_xlfn.XLOOKUP(CONTROL[[#This Row],[VEHIDCODE]],PROPERTIES[VEHIDCODE],PROPERTIES[IS_CONCEPT])="IS_CONCEPT"</f>
        <v>0</v>
      </c>
      <c r="Q490" s="7" t="b">
        <f>_xlfn.XLOOKUP(CONTROL[[#This Row],[VEHIDCODE]],PROPERTIES[VEHIDCODE],PROPERTIES[EXCLUDE])</f>
        <v>0</v>
      </c>
      <c r="R490" t="str" cm="1">
        <f t="array" ref="R490">_xlfn.XLOOKUP(CONTROL[[#This Row],[VEHIDCODE]],GRAPHICS_PROPERTIES[VEHIDCODE],GRAPHICS_PROPERTIES[TEMPLATE_ID]&amp;GRAPHICS_PROPERTIES[TEMPLATE_AMENDMENT_CODE])</f>
        <v>TPL_02A</v>
      </c>
    </row>
    <row r="491" spans="1:18" x14ac:dyDescent="0.35">
      <c r="A491" s="2" t="s">
        <v>3124</v>
      </c>
      <c r="B491" s="21" t="str">
        <f>_xlfn.TEXTAFTER(CONTROL[[#This Row],[VEHIDCODE]],"_")</f>
        <v>ANF_X_4630</v>
      </c>
      <c r="C491" t="str" cm="1">
        <f t="array" ref="C4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1" t="str" cm="1">
        <f t="array" ref="D4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1">
        <v>7042</v>
      </c>
      <c r="F491" s="32" t="s">
        <v>2326</v>
      </c>
      <c r="G491" t="s">
        <v>1510</v>
      </c>
      <c r="H491" s="2" t="b">
        <f>AND(CONTROL[[#This Row],[IS_WAGON_OR_COACH]]=TRUE,OR(RIGHT(CONTROL[[#This Row],[VEHIDCODE]],7)="Powered",RIGHT(CONTROL[[#This Row],[VEHIDCODE]],9)="Unpowered"))</f>
        <v>0</v>
      </c>
      <c r="I4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1" t="b">
        <f>ISNUMBER(_xlfn.XMATCH(CONTROL[[#This Row],[VEHIDCODE]],TRACK_TYPES[VEHIDCODE],0))</f>
        <v>1</v>
      </c>
      <c r="K491" t="b">
        <f>ISNUMBER(_xlfn.XMATCH(CONTROL[[#This Row],[VEHIDCODE]],PROPERTIES[VEHIDCODE],0))</f>
        <v>1</v>
      </c>
      <c r="L491" t="b">
        <f>ISNUMBER(_xlfn.XLOOKUP(CONTROL[[#This Row],[VEHIDCODE]],roster!A:A,roster!D:D))</f>
        <v>1</v>
      </c>
      <c r="M491" t="b">
        <f>ISNUMBER(_xlfn.XMATCH(CONTROL[[#This Row],[VEHIDCODE]],GRAPHICS_PROPERTIES[VEHIDCODE],0))</f>
        <v>1</v>
      </c>
      <c r="N491" s="21" t="str">
        <f>"item_"&amp;CONTROL[[#This Row],[VEHIDCODE]]</f>
        <v>item_dmu_ANF_X_4630</v>
      </c>
      <c r="O491" s="21" t="str">
        <f>"str_"&amp;CONTROL[[#This Row],[VEHIDCODE]]</f>
        <v>str_dmu_ANF_X_4630</v>
      </c>
      <c r="P491" s="7" t="b">
        <f>_xlfn.XLOOKUP(CONTROL[[#This Row],[VEHIDCODE]],PROPERTIES[VEHIDCODE],PROPERTIES[IS_CONCEPT])="IS_CONCEPT"</f>
        <v>0</v>
      </c>
      <c r="Q491" s="7" t="b">
        <f>_xlfn.XLOOKUP(CONTROL[[#This Row],[VEHIDCODE]],PROPERTIES[VEHIDCODE],PROPERTIES[EXCLUDE])</f>
        <v>0</v>
      </c>
      <c r="R491" t="str" cm="1">
        <f t="array" ref="R491">_xlfn.XLOOKUP(CONTROL[[#This Row],[VEHIDCODE]],GRAPHICS_PROPERTIES[VEHIDCODE],GRAPHICS_PROPERTIES[TEMPLATE_ID]&amp;GRAPHICS_PROPERTIES[TEMPLATE_AMENDMENT_CODE])</f>
        <v>TPL_02A</v>
      </c>
    </row>
    <row r="492" spans="1:18" x14ac:dyDescent="0.35">
      <c r="A492" s="2" t="s">
        <v>3125</v>
      </c>
      <c r="B492" s="21" t="str">
        <f>_xlfn.TEXTAFTER(CONTROL[[#This Row],[VEHIDCODE]],"_")</f>
        <v>ANF_T_2000</v>
      </c>
      <c r="C492" t="str" cm="1">
        <f t="array" ref="C4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2" t="str" cm="1">
        <f t="array" ref="D4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2">
        <v>7043</v>
      </c>
      <c r="F492" s="32" t="s">
        <v>2327</v>
      </c>
      <c r="G492" t="s">
        <v>1511</v>
      </c>
      <c r="H492" s="2" t="b">
        <f>AND(CONTROL[[#This Row],[IS_WAGON_OR_COACH]]=TRUE,OR(RIGHT(CONTROL[[#This Row],[VEHIDCODE]],7)="Powered",RIGHT(CONTROL[[#This Row],[VEHIDCODE]],9)="Unpowered"))</f>
        <v>0</v>
      </c>
      <c r="I4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2" t="b">
        <f>ISNUMBER(_xlfn.XMATCH(CONTROL[[#This Row],[VEHIDCODE]],TRACK_TYPES[VEHIDCODE],0))</f>
        <v>1</v>
      </c>
      <c r="K492" t="b">
        <f>ISNUMBER(_xlfn.XMATCH(CONTROL[[#This Row],[VEHIDCODE]],PROPERTIES[VEHIDCODE],0))</f>
        <v>1</v>
      </c>
      <c r="L492" t="b">
        <f>ISNUMBER(_xlfn.XLOOKUP(CONTROL[[#This Row],[VEHIDCODE]],roster!A:A,roster!D:D))</f>
        <v>1</v>
      </c>
      <c r="M492" t="b">
        <f>ISNUMBER(_xlfn.XMATCH(CONTROL[[#This Row],[VEHIDCODE]],GRAPHICS_PROPERTIES[VEHIDCODE],0))</f>
        <v>1</v>
      </c>
      <c r="N492" s="21" t="str">
        <f>"item_"&amp;CONTROL[[#This Row],[VEHIDCODE]]</f>
        <v>item_dmu_ANF_T_2000</v>
      </c>
      <c r="O492" s="21" t="str">
        <f>"str_"&amp;CONTROL[[#This Row],[VEHIDCODE]]</f>
        <v>str_dmu_ANF_T_2000</v>
      </c>
      <c r="P492" s="7" t="b">
        <f>_xlfn.XLOOKUP(CONTROL[[#This Row],[VEHIDCODE]],PROPERTIES[VEHIDCODE],PROPERTIES[IS_CONCEPT])="IS_CONCEPT"</f>
        <v>0</v>
      </c>
      <c r="Q492" s="7" t="b">
        <f>_xlfn.XLOOKUP(CONTROL[[#This Row],[VEHIDCODE]],PROPERTIES[VEHIDCODE],PROPERTIES[EXCLUDE])</f>
        <v>0</v>
      </c>
      <c r="R492" t="str" cm="1">
        <f t="array" ref="R492">_xlfn.XLOOKUP(CONTROL[[#This Row],[VEHIDCODE]],GRAPHICS_PROPERTIES[VEHIDCODE],GRAPHICS_PROPERTIES[TEMPLATE_ID]&amp;GRAPHICS_PROPERTIES[TEMPLATE_AMENDMENT_CODE])</f>
        <v>TPL_02A</v>
      </c>
    </row>
    <row r="493" spans="1:18" x14ac:dyDescent="0.35">
      <c r="A493" s="2" t="s">
        <v>3126</v>
      </c>
      <c r="B493" s="21" t="str">
        <f>_xlfn.TEXTAFTER(CONTROL[[#This Row],[VEHIDCODE]],"_")</f>
        <v>Duwag_Wadloper</v>
      </c>
      <c r="C493" t="str" cm="1">
        <f t="array" ref="C4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3" t="str" cm="1">
        <f t="array" ref="D4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3">
        <v>7045</v>
      </c>
      <c r="F493" s="32" t="s">
        <v>2328</v>
      </c>
      <c r="G493" t="s">
        <v>1512</v>
      </c>
      <c r="H493" s="2" t="b">
        <f>AND(CONTROL[[#This Row],[IS_WAGON_OR_COACH]]=TRUE,OR(RIGHT(CONTROL[[#This Row],[VEHIDCODE]],7)="Powered",RIGHT(CONTROL[[#This Row],[VEHIDCODE]],9)="Unpowered"))</f>
        <v>0</v>
      </c>
      <c r="I4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3" t="b">
        <f>ISNUMBER(_xlfn.XMATCH(CONTROL[[#This Row],[VEHIDCODE]],TRACK_TYPES[VEHIDCODE],0))</f>
        <v>1</v>
      </c>
      <c r="K493" t="b">
        <f>ISNUMBER(_xlfn.XMATCH(CONTROL[[#This Row],[VEHIDCODE]],PROPERTIES[VEHIDCODE],0))</f>
        <v>1</v>
      </c>
      <c r="L493" t="b">
        <f>ISNUMBER(_xlfn.XLOOKUP(CONTROL[[#This Row],[VEHIDCODE]],roster!A:A,roster!D:D))</f>
        <v>1</v>
      </c>
      <c r="M493" t="b">
        <f>ISNUMBER(_xlfn.XMATCH(CONTROL[[#This Row],[VEHIDCODE]],GRAPHICS_PROPERTIES[VEHIDCODE],0))</f>
        <v>1</v>
      </c>
      <c r="N493" s="21" t="str">
        <f>"item_"&amp;CONTROL[[#This Row],[VEHIDCODE]]</f>
        <v>item_dmu_Duwag_Wadloper</v>
      </c>
      <c r="O493" s="21" t="str">
        <f>"str_"&amp;CONTROL[[#This Row],[VEHIDCODE]]</f>
        <v>str_dmu_Duwag_Wadloper</v>
      </c>
      <c r="P493" s="7" t="b">
        <f>_xlfn.XLOOKUP(CONTROL[[#This Row],[VEHIDCODE]],PROPERTIES[VEHIDCODE],PROPERTIES[IS_CONCEPT])="IS_CONCEPT"</f>
        <v>0</v>
      </c>
      <c r="Q493" s="7" t="b">
        <f>_xlfn.XLOOKUP(CONTROL[[#This Row],[VEHIDCODE]],PROPERTIES[VEHIDCODE],PROPERTIES[EXCLUDE])</f>
        <v>0</v>
      </c>
      <c r="R493" t="str" cm="1">
        <f t="array" ref="R493">_xlfn.XLOOKUP(CONTROL[[#This Row],[VEHIDCODE]],GRAPHICS_PROPERTIES[VEHIDCODE],GRAPHICS_PROPERTIES[TEMPLATE_ID]&amp;GRAPHICS_PROPERTIES[TEMPLATE_AMENDMENT_CODE])</f>
        <v>TPL_02A</v>
      </c>
    </row>
    <row r="494" spans="1:18" x14ac:dyDescent="0.35">
      <c r="A494" s="2" t="s">
        <v>3127</v>
      </c>
      <c r="B494" s="21" t="str">
        <f>_xlfn.TEXTAFTER(CONTROL[[#This Row],[VEHIDCODE]],"_")</f>
        <v>Duwag_628_2</v>
      </c>
      <c r="C494" t="str" cm="1">
        <f t="array" ref="C4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4" t="str" cm="1">
        <f t="array" ref="D4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4">
        <v>7047</v>
      </c>
      <c r="F494" s="32" t="s">
        <v>2329</v>
      </c>
      <c r="G494" t="s">
        <v>1513</v>
      </c>
      <c r="H494" s="2" t="b">
        <f>AND(CONTROL[[#This Row],[IS_WAGON_OR_COACH]]=TRUE,OR(RIGHT(CONTROL[[#This Row],[VEHIDCODE]],7)="Powered",RIGHT(CONTROL[[#This Row],[VEHIDCODE]],9)="Unpowered"))</f>
        <v>0</v>
      </c>
      <c r="I4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4" t="b">
        <f>ISNUMBER(_xlfn.XMATCH(CONTROL[[#This Row],[VEHIDCODE]],TRACK_TYPES[VEHIDCODE],0))</f>
        <v>1</v>
      </c>
      <c r="K494" t="b">
        <f>ISNUMBER(_xlfn.XMATCH(CONTROL[[#This Row],[VEHIDCODE]],PROPERTIES[VEHIDCODE],0))</f>
        <v>1</v>
      </c>
      <c r="L494" t="b">
        <f>ISNUMBER(_xlfn.XLOOKUP(CONTROL[[#This Row],[VEHIDCODE]],roster!A:A,roster!D:D))</f>
        <v>1</v>
      </c>
      <c r="M494" t="b">
        <f>ISNUMBER(_xlfn.XMATCH(CONTROL[[#This Row],[VEHIDCODE]],GRAPHICS_PROPERTIES[VEHIDCODE],0))</f>
        <v>1</v>
      </c>
      <c r="N494" s="21" t="str">
        <f>"item_"&amp;CONTROL[[#This Row],[VEHIDCODE]]</f>
        <v>item_dmu_Duwag_628_2</v>
      </c>
      <c r="O494" s="21" t="str">
        <f>"str_"&amp;CONTROL[[#This Row],[VEHIDCODE]]</f>
        <v>str_dmu_Duwag_628_2</v>
      </c>
      <c r="P494" s="7" t="b">
        <f>_xlfn.XLOOKUP(CONTROL[[#This Row],[VEHIDCODE]],PROPERTIES[VEHIDCODE],PROPERTIES[IS_CONCEPT])="IS_CONCEPT"</f>
        <v>0</v>
      </c>
      <c r="Q494" s="7" t="b">
        <f>_xlfn.XLOOKUP(CONTROL[[#This Row],[VEHIDCODE]],PROPERTIES[VEHIDCODE],PROPERTIES[EXCLUDE])</f>
        <v>0</v>
      </c>
      <c r="R494" t="str" cm="1">
        <f t="array" ref="R494">_xlfn.XLOOKUP(CONTROL[[#This Row],[VEHIDCODE]],GRAPHICS_PROPERTIES[VEHIDCODE],GRAPHICS_PROPERTIES[TEMPLATE_ID]&amp;GRAPHICS_PROPERTIES[TEMPLATE_AMENDMENT_CODE])</f>
        <v>TPL_02A</v>
      </c>
    </row>
    <row r="495" spans="1:18" x14ac:dyDescent="0.35">
      <c r="A495" s="2" t="s">
        <v>3128</v>
      </c>
      <c r="B495" s="21" t="str">
        <f>_xlfn.TEXTAFTER(CONTROL[[#This Row],[VEHIDCODE]],"_")</f>
        <v>CAF_ZZ_2200_Autorail</v>
      </c>
      <c r="C495" t="str" cm="1">
        <f t="array" ref="C4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5" t="str" cm="1">
        <f t="array" ref="D4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5">
        <v>7048</v>
      </c>
      <c r="F495" s="32" t="s">
        <v>2330</v>
      </c>
      <c r="G495" t="s">
        <v>1305</v>
      </c>
      <c r="H495" s="2" t="b">
        <f>AND(CONTROL[[#This Row],[IS_WAGON_OR_COACH]]=TRUE,OR(RIGHT(CONTROL[[#This Row],[VEHIDCODE]],7)="Powered",RIGHT(CONTROL[[#This Row],[VEHIDCODE]],9)="Unpowered"))</f>
        <v>0</v>
      </c>
      <c r="I4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5" t="b">
        <f>ISNUMBER(_xlfn.XMATCH(CONTROL[[#This Row],[VEHIDCODE]],TRACK_TYPES[VEHIDCODE],0))</f>
        <v>1</v>
      </c>
      <c r="K495" t="b">
        <f>ISNUMBER(_xlfn.XMATCH(CONTROL[[#This Row],[VEHIDCODE]],PROPERTIES[VEHIDCODE],0))</f>
        <v>1</v>
      </c>
      <c r="L495" t="b">
        <f>ISNUMBER(_xlfn.XLOOKUP(CONTROL[[#This Row],[VEHIDCODE]],roster!A:A,roster!D:D))</f>
        <v>1</v>
      </c>
      <c r="M495" t="b">
        <f>ISNUMBER(_xlfn.XMATCH(CONTROL[[#This Row],[VEHIDCODE]],GRAPHICS_PROPERTIES[VEHIDCODE],0))</f>
        <v>1</v>
      </c>
      <c r="N495" s="21" t="str">
        <f>"item_"&amp;CONTROL[[#This Row],[VEHIDCODE]]</f>
        <v>item_dmu_CAF_ZZ_2200_Autorail</v>
      </c>
      <c r="O495" s="21" t="str">
        <f>"str_"&amp;CONTROL[[#This Row],[VEHIDCODE]]</f>
        <v>str_dmu_CAF_ZZ_2200_Autorail</v>
      </c>
      <c r="P495" s="7" t="b">
        <f>_xlfn.XLOOKUP(CONTROL[[#This Row],[VEHIDCODE]],PROPERTIES[VEHIDCODE],PROPERTIES[IS_CONCEPT])="IS_CONCEPT"</f>
        <v>0</v>
      </c>
      <c r="Q495" s="7" t="b">
        <f>_xlfn.XLOOKUP(CONTROL[[#This Row],[VEHIDCODE]],PROPERTIES[VEHIDCODE],PROPERTIES[EXCLUDE])</f>
        <v>0</v>
      </c>
      <c r="R495" t="str" cm="1">
        <f t="array" ref="R495">_xlfn.XLOOKUP(CONTROL[[#This Row],[VEHIDCODE]],GRAPHICS_PROPERTIES[VEHIDCODE],GRAPHICS_PROPERTIES[TEMPLATE_ID]&amp;GRAPHICS_PROPERTIES[TEMPLATE_AMENDMENT_CODE])</f>
        <v>TPL_02A</v>
      </c>
    </row>
    <row r="496" spans="1:18" x14ac:dyDescent="0.35">
      <c r="A496" s="2" t="s">
        <v>3129</v>
      </c>
      <c r="B496" s="21" t="str">
        <f>_xlfn.TEXTAFTER(CONTROL[[#This Row],[VEHIDCODE]],"_")</f>
        <v>CFD_AMT_800</v>
      </c>
      <c r="C496" t="str" cm="1">
        <f t="array" ref="C4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6" t="str" cm="1">
        <f t="array" ref="D4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6">
        <v>7049</v>
      </c>
      <c r="F496" s="32" t="s">
        <v>2331</v>
      </c>
      <c r="G496" t="s">
        <v>1514</v>
      </c>
      <c r="H496" s="2" t="b">
        <f>AND(CONTROL[[#This Row],[IS_WAGON_OR_COACH]]=TRUE,OR(RIGHT(CONTROL[[#This Row],[VEHIDCODE]],7)="Powered",RIGHT(CONTROL[[#This Row],[VEHIDCODE]],9)="Unpowered"))</f>
        <v>0</v>
      </c>
      <c r="I4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6" t="b">
        <f>ISNUMBER(_xlfn.XMATCH(CONTROL[[#This Row],[VEHIDCODE]],TRACK_TYPES[VEHIDCODE],0))</f>
        <v>1</v>
      </c>
      <c r="K496" t="b">
        <f>ISNUMBER(_xlfn.XMATCH(CONTROL[[#This Row],[VEHIDCODE]],PROPERTIES[VEHIDCODE],0))</f>
        <v>1</v>
      </c>
      <c r="L496" t="b">
        <f>ISNUMBER(_xlfn.XLOOKUP(CONTROL[[#This Row],[VEHIDCODE]],roster!A:A,roster!D:D))</f>
        <v>1</v>
      </c>
      <c r="M496" t="b">
        <f>ISNUMBER(_xlfn.XMATCH(CONTROL[[#This Row],[VEHIDCODE]],GRAPHICS_PROPERTIES[VEHIDCODE],0))</f>
        <v>1</v>
      </c>
      <c r="N496" s="21" t="str">
        <f>"item_"&amp;CONTROL[[#This Row],[VEHIDCODE]]</f>
        <v>item_dmu_CFD_AMT_800</v>
      </c>
      <c r="O496" s="21" t="str">
        <f>"str_"&amp;CONTROL[[#This Row],[VEHIDCODE]]</f>
        <v>str_dmu_CFD_AMT_800</v>
      </c>
      <c r="P496" s="7" t="b">
        <f>_xlfn.XLOOKUP(CONTROL[[#This Row],[VEHIDCODE]],PROPERTIES[VEHIDCODE],PROPERTIES[IS_CONCEPT])="IS_CONCEPT"</f>
        <v>0</v>
      </c>
      <c r="Q496" s="7" t="b">
        <f>_xlfn.XLOOKUP(CONTROL[[#This Row],[VEHIDCODE]],PROPERTIES[VEHIDCODE],PROPERTIES[EXCLUDE])</f>
        <v>0</v>
      </c>
      <c r="R496" t="str" cm="1">
        <f t="array" ref="R496">_xlfn.XLOOKUP(CONTROL[[#This Row],[VEHIDCODE]],GRAPHICS_PROPERTIES[VEHIDCODE],GRAPHICS_PROPERTIES[TEMPLATE_ID]&amp;GRAPHICS_PROPERTIES[TEMPLATE_AMENDMENT_CODE])</f>
        <v>TPL_02A</v>
      </c>
    </row>
    <row r="497" spans="1:18" x14ac:dyDescent="0.35">
      <c r="A497" s="2" t="s">
        <v>3130</v>
      </c>
      <c r="B497" s="21" t="str">
        <f>_xlfn.TEXTAFTER(CONTROL[[#This Row],[VEHIDCODE]],"_")</f>
        <v>CNR_Tangshan_Ghana_DEMU</v>
      </c>
      <c r="C497" t="str" cm="1">
        <f t="array" ref="C4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7" t="str" cm="1">
        <f t="array" ref="D4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7">
        <v>7050</v>
      </c>
      <c r="F497" s="32" t="s">
        <v>2332</v>
      </c>
      <c r="G497" t="s">
        <v>1515</v>
      </c>
      <c r="H497" s="2" t="b">
        <f>AND(CONTROL[[#This Row],[IS_WAGON_OR_COACH]]=TRUE,OR(RIGHT(CONTROL[[#This Row],[VEHIDCODE]],7)="Powered",RIGHT(CONTROL[[#This Row],[VEHIDCODE]],9)="Unpowered"))</f>
        <v>0</v>
      </c>
      <c r="I4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7" t="b">
        <f>ISNUMBER(_xlfn.XMATCH(CONTROL[[#This Row],[VEHIDCODE]],TRACK_TYPES[VEHIDCODE],0))</f>
        <v>1</v>
      </c>
      <c r="K497" t="b">
        <f>ISNUMBER(_xlfn.XMATCH(CONTROL[[#This Row],[VEHIDCODE]],PROPERTIES[VEHIDCODE],0))</f>
        <v>1</v>
      </c>
      <c r="L497" t="b">
        <f>ISNUMBER(_xlfn.XLOOKUP(CONTROL[[#This Row],[VEHIDCODE]],roster!A:A,roster!D:D))</f>
        <v>1</v>
      </c>
      <c r="M497" t="b">
        <f>ISNUMBER(_xlfn.XMATCH(CONTROL[[#This Row],[VEHIDCODE]],GRAPHICS_PROPERTIES[VEHIDCODE],0))</f>
        <v>1</v>
      </c>
      <c r="N497" s="21" t="str">
        <f>"item_"&amp;CONTROL[[#This Row],[VEHIDCODE]]</f>
        <v>item_dmu_CNR_Tangshan_Ghana_DEMU</v>
      </c>
      <c r="O497" s="21" t="str">
        <f>"str_"&amp;CONTROL[[#This Row],[VEHIDCODE]]</f>
        <v>str_dmu_CNR_Tangshan_Ghana_DEMU</v>
      </c>
      <c r="P497" s="7" t="b">
        <f>_xlfn.XLOOKUP(CONTROL[[#This Row],[VEHIDCODE]],PROPERTIES[VEHIDCODE],PROPERTIES[IS_CONCEPT])="IS_CONCEPT"</f>
        <v>0</v>
      </c>
      <c r="Q497" s="7" t="b">
        <f>_xlfn.XLOOKUP(CONTROL[[#This Row],[VEHIDCODE]],PROPERTIES[VEHIDCODE],PROPERTIES[EXCLUDE])</f>
        <v>0</v>
      </c>
      <c r="R497" t="str" cm="1">
        <f t="array" ref="R497">_xlfn.XLOOKUP(CONTROL[[#This Row],[VEHIDCODE]],GRAPHICS_PROPERTIES[VEHIDCODE],GRAPHICS_PROPERTIES[TEMPLATE_ID]&amp;GRAPHICS_PROPERTIES[TEMPLATE_AMENDMENT_CODE])</f>
        <v>TPL_02A</v>
      </c>
    </row>
    <row r="498" spans="1:18" x14ac:dyDescent="0.35">
      <c r="A498" s="2" t="s">
        <v>3131</v>
      </c>
      <c r="B498" s="21" t="str">
        <f>_xlfn.TEXTAFTER(CONTROL[[#This Row],[VEHIDCODE]],"_")</f>
        <v>Downer_EDI_Hitachi_Tilt_Train</v>
      </c>
      <c r="C498" t="str" cm="1">
        <f t="array" ref="C4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8" t="str" cm="1">
        <f t="array" ref="D4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8">
        <v>7051</v>
      </c>
      <c r="F498" s="32" t="s">
        <v>2333</v>
      </c>
      <c r="G498" t="s">
        <v>1516</v>
      </c>
      <c r="H498" s="2" t="b">
        <f>AND(CONTROL[[#This Row],[IS_WAGON_OR_COACH]]=TRUE,OR(RIGHT(CONTROL[[#This Row],[VEHIDCODE]],7)="Powered",RIGHT(CONTROL[[#This Row],[VEHIDCODE]],9)="Unpowered"))</f>
        <v>0</v>
      </c>
      <c r="I4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8" t="b">
        <f>ISNUMBER(_xlfn.XMATCH(CONTROL[[#This Row],[VEHIDCODE]],TRACK_TYPES[VEHIDCODE],0))</f>
        <v>1</v>
      </c>
      <c r="K498" t="b">
        <f>ISNUMBER(_xlfn.XMATCH(CONTROL[[#This Row],[VEHIDCODE]],PROPERTIES[VEHIDCODE],0))</f>
        <v>1</v>
      </c>
      <c r="L498" t="b">
        <f>ISNUMBER(_xlfn.XLOOKUP(CONTROL[[#This Row],[VEHIDCODE]],roster!A:A,roster!D:D))</f>
        <v>1</v>
      </c>
      <c r="M498" t="b">
        <f>ISNUMBER(_xlfn.XMATCH(CONTROL[[#This Row],[VEHIDCODE]],GRAPHICS_PROPERTIES[VEHIDCODE],0))</f>
        <v>1</v>
      </c>
      <c r="N498" s="21" t="str">
        <f>"item_"&amp;CONTROL[[#This Row],[VEHIDCODE]]</f>
        <v>item_dmu_Downer_EDI_Hitachi_Tilt_Train</v>
      </c>
      <c r="O498" s="21" t="str">
        <f>"str_"&amp;CONTROL[[#This Row],[VEHIDCODE]]</f>
        <v>str_dmu_Downer_EDI_Hitachi_Tilt_Train</v>
      </c>
      <c r="P498" s="7" t="b">
        <f>_xlfn.XLOOKUP(CONTROL[[#This Row],[VEHIDCODE]],PROPERTIES[VEHIDCODE],PROPERTIES[IS_CONCEPT])="IS_CONCEPT"</f>
        <v>0</v>
      </c>
      <c r="Q498" s="7" t="b">
        <f>_xlfn.XLOOKUP(CONTROL[[#This Row],[VEHIDCODE]],PROPERTIES[VEHIDCODE],PROPERTIES[EXCLUDE])</f>
        <v>0</v>
      </c>
      <c r="R498" t="str" cm="1">
        <f t="array" ref="R498">_xlfn.XLOOKUP(CONTROL[[#This Row],[VEHIDCODE]],GRAPHICS_PROPERTIES[VEHIDCODE],GRAPHICS_PROPERTIES[TEMPLATE_ID]&amp;GRAPHICS_PROPERTIES[TEMPLATE_AMENDMENT_CODE])</f>
        <v>TPL_02A</v>
      </c>
    </row>
    <row r="499" spans="1:18" x14ac:dyDescent="0.35">
      <c r="A499" s="2" t="s">
        <v>3132</v>
      </c>
      <c r="B499" s="21" t="str">
        <f>_xlfn.TEXTAFTER(CONTROL[[#This Row],[VEHIDCODE]],"_")</f>
        <v>Nippon_Sharyo_1000_Series</v>
      </c>
      <c r="C499" t="str" cm="1">
        <f t="array" ref="C4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9" t="str" cm="1">
        <f t="array" ref="D4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9">
        <v>7052</v>
      </c>
      <c r="F499" s="32" t="s">
        <v>3696</v>
      </c>
      <c r="G499" t="s">
        <v>1517</v>
      </c>
      <c r="H499" s="2" t="b">
        <f>AND(CONTROL[[#This Row],[IS_WAGON_OR_COACH]]=TRUE,OR(RIGHT(CONTROL[[#This Row],[VEHIDCODE]],7)="Powered",RIGHT(CONTROL[[#This Row],[VEHIDCODE]],9)="Unpowered"))</f>
        <v>0</v>
      </c>
      <c r="I4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9" t="b">
        <f>ISNUMBER(_xlfn.XMATCH(CONTROL[[#This Row],[VEHIDCODE]],TRACK_TYPES[VEHIDCODE],0))</f>
        <v>1</v>
      </c>
      <c r="K499" t="b">
        <f>ISNUMBER(_xlfn.XMATCH(CONTROL[[#This Row],[VEHIDCODE]],PROPERTIES[VEHIDCODE],0))</f>
        <v>1</v>
      </c>
      <c r="L499" t="b">
        <f>ISNUMBER(_xlfn.XLOOKUP(CONTROL[[#This Row],[VEHIDCODE]],roster!A:A,roster!D:D))</f>
        <v>1</v>
      </c>
      <c r="M499" t="b">
        <f>ISNUMBER(_xlfn.XMATCH(CONTROL[[#This Row],[VEHIDCODE]],GRAPHICS_PROPERTIES[VEHIDCODE],0))</f>
        <v>1</v>
      </c>
      <c r="N499" s="21" t="str">
        <f>"item_"&amp;CONTROL[[#This Row],[VEHIDCODE]]</f>
        <v>item_dmu_Nippon_Sharyo_1000_Series</v>
      </c>
      <c r="O499" s="21" t="str">
        <f>"str_"&amp;CONTROL[[#This Row],[VEHIDCODE]]</f>
        <v>str_dmu_Nippon_Sharyo_1000_Series</v>
      </c>
      <c r="P499" s="7" t="b">
        <f>_xlfn.XLOOKUP(CONTROL[[#This Row],[VEHIDCODE]],PROPERTIES[VEHIDCODE],PROPERTIES[IS_CONCEPT])="IS_CONCEPT"</f>
        <v>0</v>
      </c>
      <c r="Q499" s="7" t="b">
        <f>_xlfn.XLOOKUP(CONTROL[[#This Row],[VEHIDCODE]],PROPERTIES[VEHIDCODE],PROPERTIES[EXCLUDE])</f>
        <v>0</v>
      </c>
      <c r="R499" t="str" cm="1">
        <f t="array" ref="R499">_xlfn.XLOOKUP(CONTROL[[#This Row],[VEHIDCODE]],GRAPHICS_PROPERTIES[VEHIDCODE],GRAPHICS_PROPERTIES[TEMPLATE_ID]&amp;GRAPHICS_PROPERTIES[TEMPLATE_AMENDMENT_CODE])</f>
        <v>TPL_02A</v>
      </c>
    </row>
    <row r="500" spans="1:18" x14ac:dyDescent="0.35">
      <c r="A500" s="2" t="s">
        <v>3133</v>
      </c>
      <c r="B500" s="21" t="str">
        <f>_xlfn.TEXTAFTER(CONTROL[[#This Row],[VEHIDCODE]],"_")</f>
        <v>Materfer_CMM_400_2</v>
      </c>
      <c r="C500" t="str" cm="1">
        <f t="array" ref="C5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500" t="str" cm="1">
        <f t="array" ref="D5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500">
        <v>7053</v>
      </c>
      <c r="F500" s="32" t="s">
        <v>2334</v>
      </c>
      <c r="G500" t="s">
        <v>1518</v>
      </c>
      <c r="H500" s="2" t="b">
        <f>AND(CONTROL[[#This Row],[IS_WAGON_OR_COACH]]=TRUE,OR(RIGHT(CONTROL[[#This Row],[VEHIDCODE]],7)="Powered",RIGHT(CONTROL[[#This Row],[VEHIDCODE]],9)="Unpowered"))</f>
        <v>0</v>
      </c>
      <c r="I5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0" t="b">
        <f>ISNUMBER(_xlfn.XMATCH(CONTROL[[#This Row],[VEHIDCODE]],TRACK_TYPES[VEHIDCODE],0))</f>
        <v>1</v>
      </c>
      <c r="K500" t="b">
        <f>ISNUMBER(_xlfn.XMATCH(CONTROL[[#This Row],[VEHIDCODE]],PROPERTIES[VEHIDCODE],0))</f>
        <v>1</v>
      </c>
      <c r="L500" t="b">
        <f>ISNUMBER(_xlfn.XLOOKUP(CONTROL[[#This Row],[VEHIDCODE]],roster!A:A,roster!D:D))</f>
        <v>1</v>
      </c>
      <c r="M500" t="b">
        <f>ISNUMBER(_xlfn.XMATCH(CONTROL[[#This Row],[VEHIDCODE]],GRAPHICS_PROPERTIES[VEHIDCODE],0))</f>
        <v>1</v>
      </c>
      <c r="N500" s="21" t="str">
        <f>"item_"&amp;CONTROL[[#This Row],[VEHIDCODE]]</f>
        <v>item_dmu_Materfer_CMM_400_2</v>
      </c>
      <c r="O500" s="21" t="str">
        <f>"str_"&amp;CONTROL[[#This Row],[VEHIDCODE]]</f>
        <v>str_dmu_Materfer_CMM_400_2</v>
      </c>
      <c r="P500" s="7" t="b">
        <f>_xlfn.XLOOKUP(CONTROL[[#This Row],[VEHIDCODE]],PROPERTIES[VEHIDCODE],PROPERTIES[IS_CONCEPT])="IS_CONCEPT"</f>
        <v>0</v>
      </c>
      <c r="Q500" s="7" t="b">
        <f>_xlfn.XLOOKUP(CONTROL[[#This Row],[VEHIDCODE]],PROPERTIES[VEHIDCODE],PROPERTIES[EXCLUDE])</f>
        <v>0</v>
      </c>
      <c r="R500" t="str" cm="1">
        <f t="array" ref="R500">_xlfn.XLOOKUP(CONTROL[[#This Row],[VEHIDCODE]],GRAPHICS_PROPERTIES[VEHIDCODE],GRAPHICS_PROPERTIES[TEMPLATE_ID]&amp;GRAPHICS_PROPERTIES[TEMPLATE_AMENDMENT_CODE])</f>
        <v>TPL_02A</v>
      </c>
    </row>
    <row r="501" spans="1:18" x14ac:dyDescent="0.35">
      <c r="A501" s="2" t="s">
        <v>3134</v>
      </c>
      <c r="B501" s="21" t="str">
        <f>_xlfn.TEXTAFTER(CONTROL[[#This Row],[VEHIDCODE]],"_")</f>
        <v>Fiat_ALn_442_448</v>
      </c>
      <c r="C501" t="str" cm="1">
        <f t="array" ref="C5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501" t="str" cm="1">
        <f t="array" ref="D5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501">
        <v>7038</v>
      </c>
      <c r="F501" s="32" t="s">
        <v>2335</v>
      </c>
      <c r="G501" t="s">
        <v>1519</v>
      </c>
      <c r="H501" s="2" t="b">
        <f>AND(CONTROL[[#This Row],[IS_WAGON_OR_COACH]]=TRUE,OR(RIGHT(CONTROL[[#This Row],[VEHIDCODE]],7)="Powered",RIGHT(CONTROL[[#This Row],[VEHIDCODE]],9)="Unpowered"))</f>
        <v>0</v>
      </c>
      <c r="I5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1" t="b">
        <f>ISNUMBER(_xlfn.XMATCH(CONTROL[[#This Row],[VEHIDCODE]],TRACK_TYPES[VEHIDCODE],0))</f>
        <v>1</v>
      </c>
      <c r="K501" t="b">
        <f>ISNUMBER(_xlfn.XMATCH(CONTROL[[#This Row],[VEHIDCODE]],PROPERTIES[VEHIDCODE],0))</f>
        <v>1</v>
      </c>
      <c r="L501" t="b">
        <f>ISNUMBER(_xlfn.XLOOKUP(CONTROL[[#This Row],[VEHIDCODE]],roster!A:A,roster!D:D))</f>
        <v>1</v>
      </c>
      <c r="M501" t="b">
        <f>ISNUMBER(_xlfn.XMATCH(CONTROL[[#This Row],[VEHIDCODE]],GRAPHICS_PROPERTIES[VEHIDCODE],0))</f>
        <v>1</v>
      </c>
      <c r="N501" s="21" t="str">
        <f>"item_"&amp;CONTROL[[#This Row],[VEHIDCODE]]</f>
        <v>item_dmu_Fiat_ALn_442_448</v>
      </c>
      <c r="O501" s="21" t="str">
        <f>"str_"&amp;CONTROL[[#This Row],[VEHIDCODE]]</f>
        <v>str_dmu_Fiat_ALn_442_448</v>
      </c>
      <c r="P501" s="7" t="b">
        <f>_xlfn.XLOOKUP(CONTROL[[#This Row],[VEHIDCODE]],PROPERTIES[VEHIDCODE],PROPERTIES[IS_CONCEPT])="IS_CONCEPT"</f>
        <v>0</v>
      </c>
      <c r="Q501" s="7" t="b">
        <f>_xlfn.XLOOKUP(CONTROL[[#This Row],[VEHIDCODE]],PROPERTIES[VEHIDCODE],PROPERTIES[EXCLUDE])</f>
        <v>0</v>
      </c>
      <c r="R501" t="str" cm="1">
        <f t="array" ref="R501">_xlfn.XLOOKUP(CONTROL[[#This Row],[VEHIDCODE]],GRAPHICS_PROPERTIES[VEHIDCODE],GRAPHICS_PROPERTIES[TEMPLATE_ID]&amp;GRAPHICS_PROPERTIES[TEMPLATE_AMENDMENT_CODE])</f>
        <v>TPL_02A</v>
      </c>
    </row>
    <row r="502" spans="1:18" x14ac:dyDescent="0.35">
      <c r="A502" s="2" t="s">
        <v>3135</v>
      </c>
      <c r="B502" s="21" t="str">
        <f>_xlfn.TEXTAFTER(CONTROL[[#This Row],[VEHIDCODE]],"_")</f>
        <v>Sorefame_CP_0400</v>
      </c>
      <c r="C502" t="str" cm="1">
        <f t="array" ref="C5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502" t="str" cm="1">
        <f t="array" ref="D5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502">
        <v>7040</v>
      </c>
      <c r="F502" s="32" t="s">
        <v>2337</v>
      </c>
      <c r="G502" t="s">
        <v>1520</v>
      </c>
      <c r="H502" s="2" t="b">
        <f>AND(CONTROL[[#This Row],[IS_WAGON_OR_COACH]]=TRUE,OR(RIGHT(CONTROL[[#This Row],[VEHIDCODE]],7)="Powered",RIGHT(CONTROL[[#This Row],[VEHIDCODE]],9)="Unpowered"))</f>
        <v>0</v>
      </c>
      <c r="I5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2" t="b">
        <f>ISNUMBER(_xlfn.XMATCH(CONTROL[[#This Row],[VEHIDCODE]],TRACK_TYPES[VEHIDCODE],0))</f>
        <v>1</v>
      </c>
      <c r="K502" t="b">
        <f>ISNUMBER(_xlfn.XMATCH(CONTROL[[#This Row],[VEHIDCODE]],PROPERTIES[VEHIDCODE],0))</f>
        <v>1</v>
      </c>
      <c r="L502" t="b">
        <f>ISNUMBER(_xlfn.XLOOKUP(CONTROL[[#This Row],[VEHIDCODE]],roster!A:A,roster!D:D))</f>
        <v>1</v>
      </c>
      <c r="M502" t="b">
        <f>ISNUMBER(_xlfn.XMATCH(CONTROL[[#This Row],[VEHIDCODE]],GRAPHICS_PROPERTIES[VEHIDCODE],0))</f>
        <v>1</v>
      </c>
      <c r="N502" s="21" t="str">
        <f>"item_"&amp;CONTROL[[#This Row],[VEHIDCODE]]</f>
        <v>item_dmu_Sorefame_CP_0400</v>
      </c>
      <c r="O502" s="21" t="str">
        <f>"str_"&amp;CONTROL[[#This Row],[VEHIDCODE]]</f>
        <v>str_dmu_Sorefame_CP_0400</v>
      </c>
      <c r="P502" s="7" t="b">
        <f>_xlfn.XLOOKUP(CONTROL[[#This Row],[VEHIDCODE]],PROPERTIES[VEHIDCODE],PROPERTIES[IS_CONCEPT])="IS_CONCEPT"</f>
        <v>0</v>
      </c>
      <c r="Q502" s="7" t="b">
        <f>_xlfn.XLOOKUP(CONTROL[[#This Row],[VEHIDCODE]],PROPERTIES[VEHIDCODE],PROPERTIES[EXCLUDE])</f>
        <v>0</v>
      </c>
      <c r="R502" t="str" cm="1">
        <f t="array" ref="R502">_xlfn.XLOOKUP(CONTROL[[#This Row],[VEHIDCODE]],GRAPHICS_PROPERTIES[VEHIDCODE],GRAPHICS_PROPERTIES[TEMPLATE_ID]&amp;GRAPHICS_PROPERTIES[TEMPLATE_AMENDMENT_CODE])</f>
        <v>TPL_02A</v>
      </c>
    </row>
    <row r="503" spans="1:18" x14ac:dyDescent="0.35">
      <c r="A503" s="2" t="s">
        <v>3136</v>
      </c>
      <c r="B503" s="21" t="str">
        <f>_xlfn.TEXTAFTER(CONTROL[[#This Row],[VEHIDCODE]],"_")</f>
        <v>Sorefame_CP_0600</v>
      </c>
      <c r="C503" t="str" cm="1">
        <f t="array" ref="C5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503" t="str" cm="1">
        <f t="array" ref="D5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503">
        <v>7044</v>
      </c>
      <c r="F503" s="32" t="s">
        <v>2336</v>
      </c>
      <c r="G503" t="s">
        <v>1521</v>
      </c>
      <c r="H503" s="2" t="b">
        <f>AND(CONTROL[[#This Row],[IS_WAGON_OR_COACH]]=TRUE,OR(RIGHT(CONTROL[[#This Row],[VEHIDCODE]],7)="Powered",RIGHT(CONTROL[[#This Row],[VEHIDCODE]],9)="Unpowered"))</f>
        <v>0</v>
      </c>
      <c r="I5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3" t="b">
        <f>ISNUMBER(_xlfn.XMATCH(CONTROL[[#This Row],[VEHIDCODE]],TRACK_TYPES[VEHIDCODE],0))</f>
        <v>1</v>
      </c>
      <c r="K503" t="b">
        <f>ISNUMBER(_xlfn.XMATCH(CONTROL[[#This Row],[VEHIDCODE]],PROPERTIES[VEHIDCODE],0))</f>
        <v>1</v>
      </c>
      <c r="L503" t="b">
        <f>ISNUMBER(_xlfn.XLOOKUP(CONTROL[[#This Row],[VEHIDCODE]],roster!A:A,roster!D:D))</f>
        <v>1</v>
      </c>
      <c r="M503" t="b">
        <f>ISNUMBER(_xlfn.XMATCH(CONTROL[[#This Row],[VEHIDCODE]],GRAPHICS_PROPERTIES[VEHIDCODE],0))</f>
        <v>1</v>
      </c>
      <c r="N503" s="21" t="str">
        <f>"item_"&amp;CONTROL[[#This Row],[VEHIDCODE]]</f>
        <v>item_dmu_Sorefame_CP_0600</v>
      </c>
      <c r="O503" s="21" t="str">
        <f>"str_"&amp;CONTROL[[#This Row],[VEHIDCODE]]</f>
        <v>str_dmu_Sorefame_CP_0600</v>
      </c>
      <c r="P503" s="7" t="b">
        <f>_xlfn.XLOOKUP(CONTROL[[#This Row],[VEHIDCODE]],PROPERTIES[VEHIDCODE],PROPERTIES[IS_CONCEPT])="IS_CONCEPT"</f>
        <v>0</v>
      </c>
      <c r="Q503" s="7" t="b">
        <f>_xlfn.XLOOKUP(CONTROL[[#This Row],[VEHIDCODE]],PROPERTIES[VEHIDCODE],PROPERTIES[EXCLUDE])</f>
        <v>0</v>
      </c>
      <c r="R503" t="str" cm="1">
        <f t="array" ref="R503">_xlfn.XLOOKUP(CONTROL[[#This Row],[VEHIDCODE]],GRAPHICS_PROPERTIES[VEHIDCODE],GRAPHICS_PROPERTIES[TEMPLATE_ID]&amp;GRAPHICS_PROPERTIES[TEMPLATE_AMENDMENT_CODE])</f>
        <v>TPL_02A</v>
      </c>
    </row>
    <row r="504" spans="1:18" x14ac:dyDescent="0.35">
      <c r="A504" s="2" t="s">
        <v>3137</v>
      </c>
      <c r="B504" s="21" t="str">
        <f>_xlfn.TEXTAFTER(CONTROL[[#This Row],[VEHIDCODE]],"_")</f>
        <v>MTM_2400_Apollos</v>
      </c>
      <c r="C504" t="str" cm="1">
        <f t="array" ref="C5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504" t="str" cm="1">
        <f t="array" ref="D5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504">
        <v>7046</v>
      </c>
      <c r="F504" s="32" t="s">
        <v>2338</v>
      </c>
      <c r="G504" t="s">
        <v>1524</v>
      </c>
      <c r="H504" s="2" t="b">
        <f>AND(CONTROL[[#This Row],[IS_WAGON_OR_COACH]]=TRUE,OR(RIGHT(CONTROL[[#This Row],[VEHIDCODE]],7)="Powered",RIGHT(CONTROL[[#This Row],[VEHIDCODE]],9)="Unpowered"))</f>
        <v>0</v>
      </c>
      <c r="I5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4" t="b">
        <f>ISNUMBER(_xlfn.XMATCH(CONTROL[[#This Row],[VEHIDCODE]],TRACK_TYPES[VEHIDCODE],0))</f>
        <v>1</v>
      </c>
      <c r="K504" t="b">
        <f>ISNUMBER(_xlfn.XMATCH(CONTROL[[#This Row],[VEHIDCODE]],PROPERTIES[VEHIDCODE],0))</f>
        <v>1</v>
      </c>
      <c r="L504" t="b">
        <f>ISNUMBER(_xlfn.XLOOKUP(CONTROL[[#This Row],[VEHIDCODE]],roster!A:A,roster!D:D))</f>
        <v>1</v>
      </c>
      <c r="M504" t="b">
        <f>ISNUMBER(_xlfn.XMATCH(CONTROL[[#This Row],[VEHIDCODE]],GRAPHICS_PROPERTIES[VEHIDCODE],0))</f>
        <v>1</v>
      </c>
      <c r="N504" s="21" t="str">
        <f>"item_"&amp;CONTROL[[#This Row],[VEHIDCODE]]</f>
        <v>item_dmu_MTM_2400_Apollos</v>
      </c>
      <c r="O504" s="21" t="str">
        <f>"str_"&amp;CONTROL[[#This Row],[VEHIDCODE]]</f>
        <v>str_dmu_MTM_2400_Apollos</v>
      </c>
      <c r="P504" s="7" t="b">
        <f>_xlfn.XLOOKUP(CONTROL[[#This Row],[VEHIDCODE]],PROPERTIES[VEHIDCODE],PROPERTIES[IS_CONCEPT])="IS_CONCEPT"</f>
        <v>0</v>
      </c>
      <c r="Q504" s="7" t="b">
        <f>_xlfn.XLOOKUP(CONTROL[[#This Row],[VEHIDCODE]],PROPERTIES[VEHIDCODE],PROPERTIES[EXCLUDE])</f>
        <v>0</v>
      </c>
      <c r="R504" t="str" cm="1">
        <f t="array" ref="R504">_xlfn.XLOOKUP(CONTROL[[#This Row],[VEHIDCODE]],GRAPHICS_PROPERTIES[VEHIDCODE],GRAPHICS_PROPERTIES[TEMPLATE_ID]&amp;GRAPHICS_PROPERTIES[TEMPLATE_AMENDMENT_CODE])</f>
        <v>TPL_02A</v>
      </c>
    </row>
    <row r="505" spans="1:18" x14ac:dyDescent="0.35">
      <c r="A505" s="2" t="s">
        <v>3138</v>
      </c>
      <c r="B505" s="21" t="str">
        <f>_xlfn.TEXTAFTER(CONTROL[[#This Row],[VEHIDCODE]],"_")</f>
        <v>Windhoff_CargoSprinter</v>
      </c>
      <c r="C505" t="str" cm="1">
        <f t="array" ref="C5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src\CargoDMU</v>
      </c>
      <c r="D505" t="str" cm="1">
        <f t="array" ref="D5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ID_RANGE_CARGODMU</v>
      </c>
      <c r="E505">
        <v>15501</v>
      </c>
      <c r="F505" s="32" t="s">
        <v>2339</v>
      </c>
      <c r="G505" t="s">
        <v>1525</v>
      </c>
      <c r="H505" s="2" t="b">
        <f>AND(CONTROL[[#This Row],[IS_WAGON_OR_COACH]]=TRUE,OR(RIGHT(CONTROL[[#This Row],[VEHIDCODE]],7)="Powered",RIGHT(CONTROL[[#This Row],[VEHIDCODE]],9)="Unpowered"))</f>
        <v>0</v>
      </c>
      <c r="I5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5" t="b">
        <f>ISNUMBER(_xlfn.XMATCH(CONTROL[[#This Row],[VEHIDCODE]],TRACK_TYPES[VEHIDCODE],0))</f>
        <v>1</v>
      </c>
      <c r="K505" t="b">
        <f>ISNUMBER(_xlfn.XMATCH(CONTROL[[#This Row],[VEHIDCODE]],PROPERTIES[VEHIDCODE],0))</f>
        <v>1</v>
      </c>
      <c r="L505" t="b">
        <f>ISNUMBER(_xlfn.XLOOKUP(CONTROL[[#This Row],[VEHIDCODE]],roster!A:A,roster!D:D))</f>
        <v>1</v>
      </c>
      <c r="M505" t="b">
        <f>ISNUMBER(_xlfn.XMATCH(CONTROL[[#This Row],[VEHIDCODE]],GRAPHICS_PROPERTIES[VEHIDCODE],0))</f>
        <v>1</v>
      </c>
      <c r="N505" s="21" t="str">
        <f>"item_"&amp;CONTROL[[#This Row],[VEHIDCODE]]</f>
        <v>item_cargodmu_Windhoff_CargoSprinter</v>
      </c>
      <c r="O505" s="21" t="str">
        <f>"str_"&amp;CONTROL[[#This Row],[VEHIDCODE]]</f>
        <v>str_cargodmu_Windhoff_CargoSprinter</v>
      </c>
      <c r="P505" s="7" t="b">
        <f>_xlfn.XLOOKUP(CONTROL[[#This Row],[VEHIDCODE]],PROPERTIES[VEHIDCODE],PROPERTIES[IS_CONCEPT])="IS_CONCEPT"</f>
        <v>0</v>
      </c>
      <c r="Q505" s="7" t="b">
        <f>_xlfn.XLOOKUP(CONTROL[[#This Row],[VEHIDCODE]],PROPERTIES[VEHIDCODE],PROPERTIES[EXCLUDE])</f>
        <v>0</v>
      </c>
      <c r="R505" t="str" cm="1">
        <f t="array" ref="R505">_xlfn.XLOOKUP(CONTROL[[#This Row],[VEHIDCODE]],GRAPHICS_PROPERTIES[VEHIDCODE],GRAPHICS_PROPERTIES[TEMPLATE_ID]&amp;GRAPHICS_PROPERTIES[TEMPLATE_AMENDMENT_CODE])</f>
        <v>TPL_42A</v>
      </c>
    </row>
    <row r="506" spans="1:18" x14ac:dyDescent="0.35">
      <c r="A506" s="2" t="s">
        <v>3139</v>
      </c>
      <c r="B506" s="21" t="str">
        <f>_xlfn.TEXTAFTER(CONTROL[[#This Row],[VEHIDCODE]],"_")</f>
        <v>Downer_CRRC_Hitachi_Waratah</v>
      </c>
      <c r="C506" t="str" cm="1">
        <f t="array" ref="C5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06" t="str" cm="1">
        <f t="array" ref="D5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06">
        <v>8054</v>
      </c>
      <c r="F506" s="32" t="s">
        <v>2340</v>
      </c>
      <c r="G506" t="s">
        <v>1526</v>
      </c>
      <c r="H506" s="2" t="b">
        <f>AND(CONTROL[[#This Row],[IS_WAGON_OR_COACH]]=TRUE,OR(RIGHT(CONTROL[[#This Row],[VEHIDCODE]],7)="Powered",RIGHT(CONTROL[[#This Row],[VEHIDCODE]],9)="Unpowered"))</f>
        <v>0</v>
      </c>
      <c r="I5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6" t="b">
        <f>ISNUMBER(_xlfn.XMATCH(CONTROL[[#This Row],[VEHIDCODE]],TRACK_TYPES[VEHIDCODE],0))</f>
        <v>1</v>
      </c>
      <c r="K506" t="b">
        <f>ISNUMBER(_xlfn.XMATCH(CONTROL[[#This Row],[VEHIDCODE]],PROPERTIES[VEHIDCODE],0))</f>
        <v>1</v>
      </c>
      <c r="L506" t="b">
        <f>ISNUMBER(_xlfn.XLOOKUP(CONTROL[[#This Row],[VEHIDCODE]],roster!A:A,roster!D:D))</f>
        <v>1</v>
      </c>
      <c r="M506" t="b">
        <f>ISNUMBER(_xlfn.XMATCH(CONTROL[[#This Row],[VEHIDCODE]],GRAPHICS_PROPERTIES[VEHIDCODE],0))</f>
        <v>1</v>
      </c>
      <c r="N506" s="21" t="str">
        <f>"item_"&amp;CONTROL[[#This Row],[VEHIDCODE]]</f>
        <v>item_emu_Downer_CRRC_Hitachi_Waratah</v>
      </c>
      <c r="O506" s="21" t="str">
        <f>"str_"&amp;CONTROL[[#This Row],[VEHIDCODE]]</f>
        <v>str_emu_Downer_CRRC_Hitachi_Waratah</v>
      </c>
      <c r="P506" s="7" t="b">
        <f>_xlfn.XLOOKUP(CONTROL[[#This Row],[VEHIDCODE]],PROPERTIES[VEHIDCODE],PROPERTIES[IS_CONCEPT])="IS_CONCEPT"</f>
        <v>0</v>
      </c>
      <c r="Q506" s="7" t="b">
        <f>_xlfn.XLOOKUP(CONTROL[[#This Row],[VEHIDCODE]],PROPERTIES[VEHIDCODE],PROPERTIES[EXCLUDE])</f>
        <v>0</v>
      </c>
      <c r="R506" t="str" cm="1">
        <f t="array" ref="R506">_xlfn.XLOOKUP(CONTROL[[#This Row],[VEHIDCODE]],GRAPHICS_PROPERTIES[VEHIDCODE],GRAPHICS_PROPERTIES[TEMPLATE_ID]&amp;GRAPHICS_PROPERTIES[TEMPLATE_AMENDMENT_CODE])</f>
        <v>TPL_02A</v>
      </c>
    </row>
    <row r="507" spans="1:18" x14ac:dyDescent="0.35">
      <c r="A507" s="2" t="s">
        <v>3140</v>
      </c>
      <c r="B507" s="21" t="str">
        <f>_xlfn.TEXTAFTER(CONTROL[[#This Row],[VEHIDCODE]],"_")</f>
        <v>Frichs___Scandia_S_Tog_II</v>
      </c>
      <c r="C507" t="str" cm="1">
        <f t="array" ref="C5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07" t="str" cm="1">
        <f t="array" ref="D5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07">
        <v>8013</v>
      </c>
      <c r="F507" s="32" t="s">
        <v>2341</v>
      </c>
      <c r="G507" t="s">
        <v>1527</v>
      </c>
      <c r="H507" s="2" t="b">
        <f>AND(CONTROL[[#This Row],[IS_WAGON_OR_COACH]]=TRUE,OR(RIGHT(CONTROL[[#This Row],[VEHIDCODE]],7)="Powered",RIGHT(CONTROL[[#This Row],[VEHIDCODE]],9)="Unpowered"))</f>
        <v>0</v>
      </c>
      <c r="I5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7" t="b">
        <f>ISNUMBER(_xlfn.XMATCH(CONTROL[[#This Row],[VEHIDCODE]],TRACK_TYPES[VEHIDCODE],0))</f>
        <v>1</v>
      </c>
      <c r="K507" t="b">
        <f>ISNUMBER(_xlfn.XMATCH(CONTROL[[#This Row],[VEHIDCODE]],PROPERTIES[VEHIDCODE],0))</f>
        <v>1</v>
      </c>
      <c r="L507" t="b">
        <f>ISNUMBER(_xlfn.XLOOKUP(CONTROL[[#This Row],[VEHIDCODE]],roster!A:A,roster!D:D))</f>
        <v>1</v>
      </c>
      <c r="M507" t="b">
        <f>ISNUMBER(_xlfn.XMATCH(CONTROL[[#This Row],[VEHIDCODE]],GRAPHICS_PROPERTIES[VEHIDCODE],0))</f>
        <v>1</v>
      </c>
      <c r="N507" s="21" t="str">
        <f>"item_"&amp;CONTROL[[#This Row],[VEHIDCODE]]</f>
        <v>item_emu_Frichs___Scandia_S_Tog_II</v>
      </c>
      <c r="O507" s="21" t="str">
        <f>"str_"&amp;CONTROL[[#This Row],[VEHIDCODE]]</f>
        <v>str_emu_Frichs___Scandia_S_Tog_II</v>
      </c>
      <c r="P507" s="7" t="b">
        <f>_xlfn.XLOOKUP(CONTROL[[#This Row],[VEHIDCODE]],PROPERTIES[VEHIDCODE],PROPERTIES[IS_CONCEPT])="IS_CONCEPT"</f>
        <v>0</v>
      </c>
      <c r="Q507" s="7" t="b">
        <f>_xlfn.XLOOKUP(CONTROL[[#This Row],[VEHIDCODE]],PROPERTIES[VEHIDCODE],PROPERTIES[EXCLUDE])</f>
        <v>0</v>
      </c>
      <c r="R507" t="str" cm="1">
        <f t="array" ref="R507">_xlfn.XLOOKUP(CONTROL[[#This Row],[VEHIDCODE]],GRAPHICS_PROPERTIES[VEHIDCODE],GRAPHICS_PROPERTIES[TEMPLATE_ID]&amp;GRAPHICS_PROPERTIES[TEMPLATE_AMENDMENT_CODE])</f>
        <v>TPL_02D</v>
      </c>
    </row>
    <row r="508" spans="1:18" x14ac:dyDescent="0.35">
      <c r="A508" s="2" t="s">
        <v>3141</v>
      </c>
      <c r="B508" s="21" t="str">
        <f>_xlfn.TEXTAFTER(CONTROL[[#This Row],[VEHIDCODE]],"_")</f>
        <v>Alsthom_S_Tog_IV</v>
      </c>
      <c r="C508" t="str" cm="1">
        <f t="array" ref="C5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08" t="str" cm="1">
        <f t="array" ref="D5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08">
        <v>8028</v>
      </c>
      <c r="F508" s="32" t="s">
        <v>2552</v>
      </c>
      <c r="G508" t="s">
        <v>1528</v>
      </c>
      <c r="H508" s="2" t="b">
        <f>AND(CONTROL[[#This Row],[IS_WAGON_OR_COACH]]=TRUE,OR(RIGHT(CONTROL[[#This Row],[VEHIDCODE]],7)="Powered",RIGHT(CONTROL[[#This Row],[VEHIDCODE]],9)="Unpowered"))</f>
        <v>0</v>
      </c>
      <c r="I5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8" t="b">
        <f>ISNUMBER(_xlfn.XMATCH(CONTROL[[#This Row],[VEHIDCODE]],TRACK_TYPES[VEHIDCODE],0))</f>
        <v>1</v>
      </c>
      <c r="K508" t="b">
        <f>ISNUMBER(_xlfn.XMATCH(CONTROL[[#This Row],[VEHIDCODE]],PROPERTIES[VEHIDCODE],0))</f>
        <v>1</v>
      </c>
      <c r="L508" t="b">
        <f>ISNUMBER(_xlfn.XLOOKUP(CONTROL[[#This Row],[VEHIDCODE]],roster!A:A,roster!D:D))</f>
        <v>1</v>
      </c>
      <c r="M508" t="b">
        <f>ISNUMBER(_xlfn.XMATCH(CONTROL[[#This Row],[VEHIDCODE]],GRAPHICS_PROPERTIES[VEHIDCODE],0))</f>
        <v>1</v>
      </c>
      <c r="N508" s="21" t="str">
        <f>"item_"&amp;CONTROL[[#This Row],[VEHIDCODE]]</f>
        <v>item_emu_Alsthom_S_Tog_IV</v>
      </c>
      <c r="O508" s="21" t="str">
        <f>"str_"&amp;CONTROL[[#This Row],[VEHIDCODE]]</f>
        <v>str_emu_Alsthom_S_Tog_IV</v>
      </c>
      <c r="P508" s="7" t="b">
        <f>_xlfn.XLOOKUP(CONTROL[[#This Row],[VEHIDCODE]],PROPERTIES[VEHIDCODE],PROPERTIES[IS_CONCEPT])="IS_CONCEPT"</f>
        <v>0</v>
      </c>
      <c r="Q508" s="7" t="b">
        <f>_xlfn.XLOOKUP(CONTROL[[#This Row],[VEHIDCODE]],PROPERTIES[VEHIDCODE],PROPERTIES[EXCLUDE])</f>
        <v>0</v>
      </c>
      <c r="R508" t="str" cm="1">
        <f t="array" ref="R508">_xlfn.XLOOKUP(CONTROL[[#This Row],[VEHIDCODE]],GRAPHICS_PROPERTIES[VEHIDCODE],GRAPHICS_PROPERTIES[TEMPLATE_ID]&amp;GRAPHICS_PROPERTIES[TEMPLATE_AMENDMENT_CODE])</f>
        <v>TPL_02D</v>
      </c>
    </row>
    <row r="509" spans="1:18" x14ac:dyDescent="0.35">
      <c r="A509" s="2" t="s">
        <v>3142</v>
      </c>
      <c r="B509" s="21" t="str">
        <f>_xlfn.TEXTAFTER(CONTROL[[#This Row],[VEHIDCODE]],"_")</f>
        <v>TIBB_ECD_21_30</v>
      </c>
      <c r="C509" t="str" cm="1">
        <f t="array" ref="C5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09" t="str" cm="1">
        <f t="array" ref="D5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09">
        <v>8002</v>
      </c>
      <c r="F509" s="32" t="s">
        <v>2342</v>
      </c>
      <c r="G509" t="s">
        <v>1529</v>
      </c>
      <c r="H509" s="2" t="b">
        <f>AND(CONTROL[[#This Row],[IS_WAGON_OR_COACH]]=TRUE,OR(RIGHT(CONTROL[[#This Row],[VEHIDCODE]],7)="Powered",RIGHT(CONTROL[[#This Row],[VEHIDCODE]],9)="Unpowered"))</f>
        <v>0</v>
      </c>
      <c r="I5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9" t="b">
        <f>ISNUMBER(_xlfn.XMATCH(CONTROL[[#This Row],[VEHIDCODE]],TRACK_TYPES[VEHIDCODE],0))</f>
        <v>1</v>
      </c>
      <c r="K509" t="b">
        <f>ISNUMBER(_xlfn.XMATCH(CONTROL[[#This Row],[VEHIDCODE]],PROPERTIES[VEHIDCODE],0))</f>
        <v>1</v>
      </c>
      <c r="L509" t="b">
        <f>ISNUMBER(_xlfn.XLOOKUP(CONTROL[[#This Row],[VEHIDCODE]],roster!A:A,roster!D:D))</f>
        <v>1</v>
      </c>
      <c r="M509" t="b">
        <f>ISNUMBER(_xlfn.XMATCH(CONTROL[[#This Row],[VEHIDCODE]],GRAPHICS_PROPERTIES[VEHIDCODE],0))</f>
        <v>1</v>
      </c>
      <c r="N509" s="21" t="str">
        <f>"item_"&amp;CONTROL[[#This Row],[VEHIDCODE]]</f>
        <v>item_emu_TIBB_ECD_21_30</v>
      </c>
      <c r="O509" s="21" t="str">
        <f>"str_"&amp;CONTROL[[#This Row],[VEHIDCODE]]</f>
        <v>str_emu_TIBB_ECD_21_30</v>
      </c>
      <c r="P509" s="7" t="b">
        <f>_xlfn.XLOOKUP(CONTROL[[#This Row],[VEHIDCODE]],PROPERTIES[VEHIDCODE],PROPERTIES[IS_CONCEPT])="IS_CONCEPT"</f>
        <v>0</v>
      </c>
      <c r="Q509" s="7" t="b">
        <f>_xlfn.XLOOKUP(CONTROL[[#This Row],[VEHIDCODE]],PROPERTIES[VEHIDCODE],PROPERTIES[EXCLUDE])</f>
        <v>0</v>
      </c>
      <c r="R509" t="str" cm="1">
        <f t="array" ref="R509">_xlfn.XLOOKUP(CONTROL[[#This Row],[VEHIDCODE]],GRAPHICS_PROPERTIES[VEHIDCODE],GRAPHICS_PROPERTIES[TEMPLATE_ID]&amp;GRAPHICS_PROPERTIES[TEMPLATE_AMENDMENT_CODE])</f>
        <v>TPL_02A</v>
      </c>
    </row>
    <row r="510" spans="1:18" x14ac:dyDescent="0.35">
      <c r="A510" s="2" t="s">
        <v>3143</v>
      </c>
      <c r="B510" s="21" t="str">
        <f>_xlfn.TEXTAFTER(CONTROL[[#This Row],[VEHIDCODE]],"_")</f>
        <v>Werkspoor_Mat24</v>
      </c>
      <c r="C510" t="str" cm="1">
        <f t="array" ref="C5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0" t="str" cm="1">
        <f t="array" ref="D5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0">
        <v>8000</v>
      </c>
      <c r="F510" s="32" t="s">
        <v>2343</v>
      </c>
      <c r="G510" t="s">
        <v>1530</v>
      </c>
      <c r="H510" s="2" t="b">
        <f>AND(CONTROL[[#This Row],[IS_WAGON_OR_COACH]]=TRUE,OR(RIGHT(CONTROL[[#This Row],[VEHIDCODE]],7)="Powered",RIGHT(CONTROL[[#This Row],[VEHIDCODE]],9)="Unpowered"))</f>
        <v>0</v>
      </c>
      <c r="I5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0" t="b">
        <f>ISNUMBER(_xlfn.XMATCH(CONTROL[[#This Row],[VEHIDCODE]],TRACK_TYPES[VEHIDCODE],0))</f>
        <v>1</v>
      </c>
      <c r="K510" t="b">
        <f>ISNUMBER(_xlfn.XMATCH(CONTROL[[#This Row],[VEHIDCODE]],PROPERTIES[VEHIDCODE],0))</f>
        <v>1</v>
      </c>
      <c r="L510" t="b">
        <f>ISNUMBER(_xlfn.XLOOKUP(CONTROL[[#This Row],[VEHIDCODE]],roster!A:A,roster!D:D))</f>
        <v>1</v>
      </c>
      <c r="M510" t="b">
        <f>ISNUMBER(_xlfn.XMATCH(CONTROL[[#This Row],[VEHIDCODE]],GRAPHICS_PROPERTIES[VEHIDCODE],0))</f>
        <v>1</v>
      </c>
      <c r="N510" s="21" t="str">
        <f>"item_"&amp;CONTROL[[#This Row],[VEHIDCODE]]</f>
        <v>item_emu_Werkspoor_Mat24</v>
      </c>
      <c r="O510" s="21" t="str">
        <f>"str_"&amp;CONTROL[[#This Row],[VEHIDCODE]]</f>
        <v>str_emu_Werkspoor_Mat24</v>
      </c>
      <c r="P510" s="7" t="b">
        <f>_xlfn.XLOOKUP(CONTROL[[#This Row],[VEHIDCODE]],PROPERTIES[VEHIDCODE],PROPERTIES[IS_CONCEPT])="IS_CONCEPT"</f>
        <v>0</v>
      </c>
      <c r="Q510" s="7" t="b">
        <f>_xlfn.XLOOKUP(CONTROL[[#This Row],[VEHIDCODE]],PROPERTIES[VEHIDCODE],PROPERTIES[EXCLUDE])</f>
        <v>0</v>
      </c>
      <c r="R510" t="str" cm="1">
        <f t="array" ref="R510">_xlfn.XLOOKUP(CONTROL[[#This Row],[VEHIDCODE]],GRAPHICS_PROPERTIES[VEHIDCODE],GRAPHICS_PROPERTIES[TEMPLATE_ID]&amp;GRAPHICS_PROPERTIES[TEMPLATE_AMENDMENT_CODE])</f>
        <v>TPL_02A</v>
      </c>
    </row>
    <row r="511" spans="1:18" x14ac:dyDescent="0.35">
      <c r="A511" s="2" t="s">
        <v>3144</v>
      </c>
      <c r="B511" s="21" t="str">
        <f>_xlfn.TEXTAFTER(CONTROL[[#This Row],[VEHIDCODE]],"_")</f>
        <v>Werkspoor_Mat36</v>
      </c>
      <c r="C511" t="str" cm="1">
        <f t="array" ref="C5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1" t="str" cm="1">
        <f t="array" ref="D5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1">
        <v>8003</v>
      </c>
      <c r="F511" s="32" t="s">
        <v>2344</v>
      </c>
      <c r="G511" t="s">
        <v>1531</v>
      </c>
      <c r="H511" s="2" t="b">
        <f>AND(CONTROL[[#This Row],[IS_WAGON_OR_COACH]]=TRUE,OR(RIGHT(CONTROL[[#This Row],[VEHIDCODE]],7)="Powered",RIGHT(CONTROL[[#This Row],[VEHIDCODE]],9)="Unpowered"))</f>
        <v>0</v>
      </c>
      <c r="I5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1" t="b">
        <f>ISNUMBER(_xlfn.XMATCH(CONTROL[[#This Row],[VEHIDCODE]],TRACK_TYPES[VEHIDCODE],0))</f>
        <v>1</v>
      </c>
      <c r="K511" t="b">
        <f>ISNUMBER(_xlfn.XMATCH(CONTROL[[#This Row],[VEHIDCODE]],PROPERTIES[VEHIDCODE],0))</f>
        <v>1</v>
      </c>
      <c r="L511" t="b">
        <f>ISNUMBER(_xlfn.XLOOKUP(CONTROL[[#This Row],[VEHIDCODE]],roster!A:A,roster!D:D))</f>
        <v>1</v>
      </c>
      <c r="M511" t="b">
        <f>ISNUMBER(_xlfn.XMATCH(CONTROL[[#This Row],[VEHIDCODE]],GRAPHICS_PROPERTIES[VEHIDCODE],0))</f>
        <v>1</v>
      </c>
      <c r="N511" s="21" t="str">
        <f>"item_"&amp;CONTROL[[#This Row],[VEHIDCODE]]</f>
        <v>item_emu_Werkspoor_Mat36</v>
      </c>
      <c r="O511" s="21" t="str">
        <f>"str_"&amp;CONTROL[[#This Row],[VEHIDCODE]]</f>
        <v>str_emu_Werkspoor_Mat36</v>
      </c>
      <c r="P511" s="7" t="b">
        <f>_xlfn.XLOOKUP(CONTROL[[#This Row],[VEHIDCODE]],PROPERTIES[VEHIDCODE],PROPERTIES[IS_CONCEPT])="IS_CONCEPT"</f>
        <v>0</v>
      </c>
      <c r="Q511" s="7" t="b">
        <f>_xlfn.XLOOKUP(CONTROL[[#This Row],[VEHIDCODE]],PROPERTIES[VEHIDCODE],PROPERTIES[EXCLUDE])</f>
        <v>0</v>
      </c>
      <c r="R511" t="str" cm="1">
        <f t="array" ref="R511">_xlfn.XLOOKUP(CONTROL[[#This Row],[VEHIDCODE]],GRAPHICS_PROPERTIES[VEHIDCODE],GRAPHICS_PROPERTIES[TEMPLATE_ID]&amp;GRAPHICS_PROPERTIES[TEMPLATE_AMENDMENT_CODE])</f>
        <v>TPL_02A</v>
      </c>
    </row>
    <row r="512" spans="1:18" x14ac:dyDescent="0.35">
      <c r="A512" s="2" t="s">
        <v>3145</v>
      </c>
      <c r="B512" s="21" t="str">
        <f>_xlfn.TEXTAFTER(CONTROL[[#This Row],[VEHIDCODE]],"_")</f>
        <v>Werkspoor_Mat54</v>
      </c>
      <c r="C512" t="str" cm="1">
        <f t="array" ref="C5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2" t="str" cm="1">
        <f t="array" ref="D5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2">
        <v>8007</v>
      </c>
      <c r="F512" s="32" t="s">
        <v>2345</v>
      </c>
      <c r="G512" t="s">
        <v>1532</v>
      </c>
      <c r="H512" s="2" t="b">
        <f>AND(CONTROL[[#This Row],[IS_WAGON_OR_COACH]]=TRUE,OR(RIGHT(CONTROL[[#This Row],[VEHIDCODE]],7)="Powered",RIGHT(CONTROL[[#This Row],[VEHIDCODE]],9)="Unpowered"))</f>
        <v>0</v>
      </c>
      <c r="I5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2" t="b">
        <f>ISNUMBER(_xlfn.XMATCH(CONTROL[[#This Row],[VEHIDCODE]],TRACK_TYPES[VEHIDCODE],0))</f>
        <v>1</v>
      </c>
      <c r="K512" t="b">
        <f>ISNUMBER(_xlfn.XMATCH(CONTROL[[#This Row],[VEHIDCODE]],PROPERTIES[VEHIDCODE],0))</f>
        <v>1</v>
      </c>
      <c r="L512" t="b">
        <f>ISNUMBER(_xlfn.XLOOKUP(CONTROL[[#This Row],[VEHIDCODE]],roster!A:A,roster!D:D))</f>
        <v>1</v>
      </c>
      <c r="M512" t="b">
        <f>ISNUMBER(_xlfn.XMATCH(CONTROL[[#This Row],[VEHIDCODE]],GRAPHICS_PROPERTIES[VEHIDCODE],0))</f>
        <v>1</v>
      </c>
      <c r="N512" s="21" t="str">
        <f>"item_"&amp;CONTROL[[#This Row],[VEHIDCODE]]</f>
        <v>item_emu_Werkspoor_Mat54</v>
      </c>
      <c r="O512" s="21" t="str">
        <f>"str_"&amp;CONTROL[[#This Row],[VEHIDCODE]]</f>
        <v>str_emu_Werkspoor_Mat54</v>
      </c>
      <c r="P512" s="7" t="b">
        <f>_xlfn.XLOOKUP(CONTROL[[#This Row],[VEHIDCODE]],PROPERTIES[VEHIDCODE],PROPERTIES[IS_CONCEPT])="IS_CONCEPT"</f>
        <v>0</v>
      </c>
      <c r="Q512" s="7" t="b">
        <f>_xlfn.XLOOKUP(CONTROL[[#This Row],[VEHIDCODE]],PROPERTIES[VEHIDCODE],PROPERTIES[EXCLUDE])</f>
        <v>0</v>
      </c>
      <c r="R512" t="str" cm="1">
        <f t="array" ref="R512">_xlfn.XLOOKUP(CONTROL[[#This Row],[VEHIDCODE]],GRAPHICS_PROPERTIES[VEHIDCODE],GRAPHICS_PROPERTIES[TEMPLATE_ID]&amp;GRAPHICS_PROPERTIES[TEMPLATE_AMENDMENT_CODE])</f>
        <v>TPL_02A</v>
      </c>
    </row>
    <row r="513" spans="1:18" x14ac:dyDescent="0.35">
      <c r="A513" s="2" t="s">
        <v>3146</v>
      </c>
      <c r="B513" s="21" t="str">
        <f>_xlfn.TEXTAFTER(CONTROL[[#This Row],[VEHIDCODE]],"_")</f>
        <v>Talbot_Plan_Y</v>
      </c>
      <c r="C513" t="str" cm="1">
        <f t="array" ref="C5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3" t="str" cm="1">
        <f t="array" ref="D5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3">
        <v>8017</v>
      </c>
      <c r="F513" s="32" t="s">
        <v>2346</v>
      </c>
      <c r="G513" t="s">
        <v>1533</v>
      </c>
      <c r="H513" s="2" t="b">
        <f>AND(CONTROL[[#This Row],[IS_WAGON_OR_COACH]]=TRUE,OR(RIGHT(CONTROL[[#This Row],[VEHIDCODE]],7)="Powered",RIGHT(CONTROL[[#This Row],[VEHIDCODE]],9)="Unpowered"))</f>
        <v>0</v>
      </c>
      <c r="I5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3" t="b">
        <f>ISNUMBER(_xlfn.XMATCH(CONTROL[[#This Row],[VEHIDCODE]],TRACK_TYPES[VEHIDCODE],0))</f>
        <v>1</v>
      </c>
      <c r="K513" t="b">
        <f>ISNUMBER(_xlfn.XMATCH(CONTROL[[#This Row],[VEHIDCODE]],PROPERTIES[VEHIDCODE],0))</f>
        <v>1</v>
      </c>
      <c r="L513" t="b">
        <f>ISNUMBER(_xlfn.XLOOKUP(CONTROL[[#This Row],[VEHIDCODE]],roster!A:A,roster!D:D))</f>
        <v>1</v>
      </c>
      <c r="M513" t="b">
        <f>ISNUMBER(_xlfn.XMATCH(CONTROL[[#This Row],[VEHIDCODE]],GRAPHICS_PROPERTIES[VEHIDCODE],0))</f>
        <v>1</v>
      </c>
      <c r="N513" s="21" t="str">
        <f>"item_"&amp;CONTROL[[#This Row],[VEHIDCODE]]</f>
        <v>item_emu_Talbot_Plan_Y</v>
      </c>
      <c r="O513" s="21" t="str">
        <f>"str_"&amp;CONTROL[[#This Row],[VEHIDCODE]]</f>
        <v>str_emu_Talbot_Plan_Y</v>
      </c>
      <c r="P513" s="7" t="b">
        <f>_xlfn.XLOOKUP(CONTROL[[#This Row],[VEHIDCODE]],PROPERTIES[VEHIDCODE],PROPERTIES[IS_CONCEPT])="IS_CONCEPT"</f>
        <v>0</v>
      </c>
      <c r="Q513" s="7" t="b">
        <f>_xlfn.XLOOKUP(CONTROL[[#This Row],[VEHIDCODE]],PROPERTIES[VEHIDCODE],PROPERTIES[EXCLUDE])</f>
        <v>0</v>
      </c>
      <c r="R513" t="str" cm="1">
        <f t="array" ref="R513">_xlfn.XLOOKUP(CONTROL[[#This Row],[VEHIDCODE]],GRAPHICS_PROPERTIES[VEHIDCODE],GRAPHICS_PROPERTIES[TEMPLATE_ID]&amp;GRAPHICS_PROPERTIES[TEMPLATE_AMENDMENT_CODE])</f>
        <v>TPL_02A</v>
      </c>
    </row>
    <row r="514" spans="1:18" x14ac:dyDescent="0.35">
      <c r="A514" s="2" t="s">
        <v>3147</v>
      </c>
      <c r="B514" s="21" t="str">
        <f>_xlfn.TEXTAFTER(CONTROL[[#This Row],[VEHIDCODE]],"_")</f>
        <v>Talbot_ICM_4000</v>
      </c>
      <c r="C514" t="str" cm="1">
        <f t="array" ref="C5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4" t="str" cm="1">
        <f t="array" ref="D5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4">
        <v>8018</v>
      </c>
      <c r="F514" s="32" t="s">
        <v>2347</v>
      </c>
      <c r="G514" t="s">
        <v>1534</v>
      </c>
      <c r="H514" s="2" t="b">
        <f>AND(CONTROL[[#This Row],[IS_WAGON_OR_COACH]]=TRUE,OR(RIGHT(CONTROL[[#This Row],[VEHIDCODE]],7)="Powered",RIGHT(CONTROL[[#This Row],[VEHIDCODE]],9)="Unpowered"))</f>
        <v>0</v>
      </c>
      <c r="I5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4" t="b">
        <f>ISNUMBER(_xlfn.XMATCH(CONTROL[[#This Row],[VEHIDCODE]],TRACK_TYPES[VEHIDCODE],0))</f>
        <v>1</v>
      </c>
      <c r="K514" t="b">
        <f>ISNUMBER(_xlfn.XMATCH(CONTROL[[#This Row],[VEHIDCODE]],PROPERTIES[VEHIDCODE],0))</f>
        <v>1</v>
      </c>
      <c r="L514" t="b">
        <f>ISNUMBER(_xlfn.XLOOKUP(CONTROL[[#This Row],[VEHIDCODE]],roster!A:A,roster!D:D))</f>
        <v>1</v>
      </c>
      <c r="M514" t="b">
        <f>ISNUMBER(_xlfn.XMATCH(CONTROL[[#This Row],[VEHIDCODE]],GRAPHICS_PROPERTIES[VEHIDCODE],0))</f>
        <v>1</v>
      </c>
      <c r="N514" s="21" t="str">
        <f>"item_"&amp;CONTROL[[#This Row],[VEHIDCODE]]</f>
        <v>item_emu_Talbot_ICM_4000</v>
      </c>
      <c r="O514" s="21" t="str">
        <f>"str_"&amp;CONTROL[[#This Row],[VEHIDCODE]]</f>
        <v>str_emu_Talbot_ICM_4000</v>
      </c>
      <c r="P514" s="7" t="b">
        <f>_xlfn.XLOOKUP(CONTROL[[#This Row],[VEHIDCODE]],PROPERTIES[VEHIDCODE],PROPERTIES[IS_CONCEPT])="IS_CONCEPT"</f>
        <v>0</v>
      </c>
      <c r="Q514" s="7" t="b">
        <f>_xlfn.XLOOKUP(CONTROL[[#This Row],[VEHIDCODE]],PROPERTIES[VEHIDCODE],PROPERTIES[EXCLUDE])</f>
        <v>0</v>
      </c>
      <c r="R514" t="str" cm="1">
        <f t="array" ref="R514">_xlfn.XLOOKUP(CONTROL[[#This Row],[VEHIDCODE]],GRAPHICS_PROPERTIES[VEHIDCODE],GRAPHICS_PROPERTIES[TEMPLATE_ID]&amp;GRAPHICS_PROPERTIES[TEMPLATE_AMENDMENT_CODE])</f>
        <v>TPL_02A</v>
      </c>
    </row>
    <row r="515" spans="1:18" x14ac:dyDescent="0.35">
      <c r="A515" s="2" t="s">
        <v>3148</v>
      </c>
      <c r="B515" s="21" t="str">
        <f>_xlfn.TEXTAFTER(CONTROL[[#This Row],[VEHIDCODE]],"_")</f>
        <v>Talbot_DD_IRM_VIRM_8000</v>
      </c>
      <c r="C515" t="str" cm="1">
        <f t="array" ref="C5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5" t="str" cm="1">
        <f t="array" ref="D5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5">
        <v>8025</v>
      </c>
      <c r="F515" s="32" t="s">
        <v>2348</v>
      </c>
      <c r="G515" t="s">
        <v>1535</v>
      </c>
      <c r="H515" s="2" t="b">
        <f>AND(CONTROL[[#This Row],[IS_WAGON_OR_COACH]]=TRUE,OR(RIGHT(CONTROL[[#This Row],[VEHIDCODE]],7)="Powered",RIGHT(CONTROL[[#This Row],[VEHIDCODE]],9)="Unpowered"))</f>
        <v>0</v>
      </c>
      <c r="I5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5" t="b">
        <f>ISNUMBER(_xlfn.XMATCH(CONTROL[[#This Row],[VEHIDCODE]],TRACK_TYPES[VEHIDCODE],0))</f>
        <v>1</v>
      </c>
      <c r="K515" t="b">
        <f>ISNUMBER(_xlfn.XMATCH(CONTROL[[#This Row],[VEHIDCODE]],PROPERTIES[VEHIDCODE],0))</f>
        <v>1</v>
      </c>
      <c r="L515" t="b">
        <f>ISNUMBER(_xlfn.XLOOKUP(CONTROL[[#This Row],[VEHIDCODE]],roster!A:A,roster!D:D))</f>
        <v>1</v>
      </c>
      <c r="M515" t="b">
        <f>ISNUMBER(_xlfn.XMATCH(CONTROL[[#This Row],[VEHIDCODE]],GRAPHICS_PROPERTIES[VEHIDCODE],0))</f>
        <v>1</v>
      </c>
      <c r="N515" s="21" t="str">
        <f>"item_"&amp;CONTROL[[#This Row],[VEHIDCODE]]</f>
        <v>item_emu_Talbot_DD_IRM_VIRM_8000</v>
      </c>
      <c r="O515" s="21" t="str">
        <f>"str_"&amp;CONTROL[[#This Row],[VEHIDCODE]]</f>
        <v>str_emu_Talbot_DD_IRM_VIRM_8000</v>
      </c>
      <c r="P515" s="7" t="b">
        <f>_xlfn.XLOOKUP(CONTROL[[#This Row],[VEHIDCODE]],PROPERTIES[VEHIDCODE],PROPERTIES[IS_CONCEPT])="IS_CONCEPT"</f>
        <v>0</v>
      </c>
      <c r="Q515" s="7" t="b">
        <f>_xlfn.XLOOKUP(CONTROL[[#This Row],[VEHIDCODE]],PROPERTIES[VEHIDCODE],PROPERTIES[EXCLUDE])</f>
        <v>0</v>
      </c>
      <c r="R515" t="str" cm="1">
        <f t="array" ref="R515">_xlfn.XLOOKUP(CONTROL[[#This Row],[VEHIDCODE]],GRAPHICS_PROPERTIES[VEHIDCODE],GRAPHICS_PROPERTIES[TEMPLATE_ID]&amp;GRAPHICS_PROPERTIES[TEMPLATE_AMENDMENT_CODE])</f>
        <v>TPL_02A</v>
      </c>
    </row>
    <row r="516" spans="1:18" x14ac:dyDescent="0.35">
      <c r="A516" s="2" t="s">
        <v>3149</v>
      </c>
      <c r="B516" s="21" t="str">
        <f>_xlfn.TEXTAFTER(CONTROL[[#This Row],[VEHIDCODE]],"_")</f>
        <v>De_Dietrich_Adtranz_mDDm_390</v>
      </c>
      <c r="C516" t="str" cm="1">
        <f t="array" ref="C5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6" t="str" cm="1">
        <f t="array" ref="D5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6">
        <v>8031</v>
      </c>
      <c r="F516" s="32" t="s">
        <v>2349</v>
      </c>
      <c r="G516" t="s">
        <v>1538</v>
      </c>
      <c r="H516" s="2" t="b">
        <f>AND(CONTROL[[#This Row],[IS_WAGON_OR_COACH]]=TRUE,OR(RIGHT(CONTROL[[#This Row],[VEHIDCODE]],7)="Powered",RIGHT(CONTROL[[#This Row],[VEHIDCODE]],9)="Unpowered"))</f>
        <v>0</v>
      </c>
      <c r="I5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6" t="b">
        <f>ISNUMBER(_xlfn.XMATCH(CONTROL[[#This Row],[VEHIDCODE]],TRACK_TYPES[VEHIDCODE],0))</f>
        <v>1</v>
      </c>
      <c r="K516" t="b">
        <f>ISNUMBER(_xlfn.XMATCH(CONTROL[[#This Row],[VEHIDCODE]],PROPERTIES[VEHIDCODE],0))</f>
        <v>1</v>
      </c>
      <c r="L516" t="b">
        <f>ISNUMBER(_xlfn.XLOOKUP(CONTROL[[#This Row],[VEHIDCODE]],roster!A:A,roster!D:D))</f>
        <v>1</v>
      </c>
      <c r="M516" t="b">
        <f>ISNUMBER(_xlfn.XMATCH(CONTROL[[#This Row],[VEHIDCODE]],GRAPHICS_PROPERTIES[VEHIDCODE],0))</f>
        <v>1</v>
      </c>
      <c r="N516" s="21" t="str">
        <f>"item_"&amp;CONTROL[[#This Row],[VEHIDCODE]]</f>
        <v>item_emu_De_Dietrich_Adtranz_mDDm_390</v>
      </c>
      <c r="O516" s="21" t="str">
        <f>"str_"&amp;CONTROL[[#This Row],[VEHIDCODE]]</f>
        <v>str_emu_De_Dietrich_Adtranz_mDDm_390</v>
      </c>
      <c r="P516" s="7" t="b">
        <f>_xlfn.XLOOKUP(CONTROL[[#This Row],[VEHIDCODE]],PROPERTIES[VEHIDCODE],PROPERTIES[IS_CONCEPT])="IS_CONCEPT"</f>
        <v>0</v>
      </c>
      <c r="Q516" s="7" t="b">
        <f>_xlfn.XLOOKUP(CONTROL[[#This Row],[VEHIDCODE]],PROPERTIES[VEHIDCODE],PROPERTIES[EXCLUDE])</f>
        <v>0</v>
      </c>
      <c r="R516" t="str" cm="1">
        <f t="array" ref="R516">_xlfn.XLOOKUP(CONTROL[[#This Row],[VEHIDCODE]],GRAPHICS_PROPERTIES[VEHIDCODE],GRAPHICS_PROPERTIES[TEMPLATE_ID]&amp;GRAPHICS_PROPERTIES[TEMPLATE_AMENDMENT_CODE])</f>
        <v>TPL_02A</v>
      </c>
    </row>
    <row r="517" spans="1:18" x14ac:dyDescent="0.35">
      <c r="A517" s="2" t="s">
        <v>3150</v>
      </c>
      <c r="B517" s="21" t="str">
        <f>_xlfn.TEXTAFTER(CONTROL[[#This Row],[VEHIDCODE]],"_")</f>
        <v>AEG_EW90</v>
      </c>
      <c r="C517" t="str" cm="1">
        <f t="array" ref="C5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7" t="str" cm="1">
        <f t="array" ref="D5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7">
        <v>8047</v>
      </c>
      <c r="F517" s="32" t="s">
        <v>3489</v>
      </c>
      <c r="G517" t="s">
        <v>1536</v>
      </c>
      <c r="H517" s="2" t="b">
        <f>AND(CONTROL[[#This Row],[IS_WAGON_OR_COACH]]=TRUE,OR(RIGHT(CONTROL[[#This Row],[VEHIDCODE]],7)="Powered",RIGHT(CONTROL[[#This Row],[VEHIDCODE]],9)="Unpowered"))</f>
        <v>0</v>
      </c>
      <c r="I5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7" t="b">
        <f>ISNUMBER(_xlfn.XMATCH(CONTROL[[#This Row],[VEHIDCODE]],TRACK_TYPES[VEHIDCODE],0))</f>
        <v>1</v>
      </c>
      <c r="K517" t="b">
        <f>ISNUMBER(_xlfn.XMATCH(CONTROL[[#This Row],[VEHIDCODE]],PROPERTIES[VEHIDCODE],0))</f>
        <v>1</v>
      </c>
      <c r="L517" t="b">
        <f>ISNUMBER(_xlfn.XLOOKUP(CONTROL[[#This Row],[VEHIDCODE]],roster!A:A,roster!D:D))</f>
        <v>1</v>
      </c>
      <c r="M517" t="b">
        <f>ISNUMBER(_xlfn.XMATCH(CONTROL[[#This Row],[VEHIDCODE]],GRAPHICS_PROPERTIES[VEHIDCODE],0))</f>
        <v>1</v>
      </c>
      <c r="N517" s="21" t="str">
        <f>"item_"&amp;CONTROL[[#This Row],[VEHIDCODE]]</f>
        <v>item_emu_AEG_EW90</v>
      </c>
      <c r="O517" s="21" t="str">
        <f>"str_"&amp;CONTROL[[#This Row],[VEHIDCODE]]</f>
        <v>str_emu_AEG_EW90</v>
      </c>
      <c r="P517" s="7" t="b">
        <f>_xlfn.XLOOKUP(CONTROL[[#This Row],[VEHIDCODE]],PROPERTIES[VEHIDCODE],PROPERTIES[IS_CONCEPT])="IS_CONCEPT"</f>
        <v>0</v>
      </c>
      <c r="Q517" s="7" t="b">
        <f>_xlfn.XLOOKUP(CONTROL[[#This Row],[VEHIDCODE]],PROPERTIES[VEHIDCODE],PROPERTIES[EXCLUDE])</f>
        <v>0</v>
      </c>
      <c r="R517" t="str" cm="1">
        <f t="array" ref="R517">_xlfn.XLOOKUP(CONTROL[[#This Row],[VEHIDCODE]],GRAPHICS_PROPERTIES[VEHIDCODE],GRAPHICS_PROPERTIES[TEMPLATE_ID]&amp;GRAPHICS_PROPERTIES[TEMPLATE_AMENDMENT_CODE])</f>
        <v>TPL_02A</v>
      </c>
    </row>
    <row r="518" spans="1:18" x14ac:dyDescent="0.35">
      <c r="A518" s="2" t="s">
        <v>3151</v>
      </c>
      <c r="B518" s="21" t="str">
        <f>_xlfn.TEXTAFTER(CONTROL[[#This Row],[VEHIDCODE]],"_")</f>
        <v>Breda_ETR_200</v>
      </c>
      <c r="C518" t="str" cm="1">
        <f t="array" ref="C5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8" t="str" cm="1">
        <f t="array" ref="D5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8">
        <v>8004</v>
      </c>
      <c r="F518" s="32" t="s">
        <v>2350</v>
      </c>
      <c r="G518" t="s">
        <v>1537</v>
      </c>
      <c r="H518" s="2" t="b">
        <f>AND(CONTROL[[#This Row],[IS_WAGON_OR_COACH]]=TRUE,OR(RIGHT(CONTROL[[#This Row],[VEHIDCODE]],7)="Powered",RIGHT(CONTROL[[#This Row],[VEHIDCODE]],9)="Unpowered"))</f>
        <v>0</v>
      </c>
      <c r="I5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8" t="b">
        <f>ISNUMBER(_xlfn.XMATCH(CONTROL[[#This Row],[VEHIDCODE]],TRACK_TYPES[VEHIDCODE],0))</f>
        <v>1</v>
      </c>
      <c r="K518" t="b">
        <f>ISNUMBER(_xlfn.XMATCH(CONTROL[[#This Row],[VEHIDCODE]],PROPERTIES[VEHIDCODE],0))</f>
        <v>1</v>
      </c>
      <c r="L518" t="b">
        <f>ISNUMBER(_xlfn.XLOOKUP(CONTROL[[#This Row],[VEHIDCODE]],roster!A:A,roster!D:D))</f>
        <v>1</v>
      </c>
      <c r="M518" t="b">
        <f>ISNUMBER(_xlfn.XMATCH(CONTROL[[#This Row],[VEHIDCODE]],GRAPHICS_PROPERTIES[VEHIDCODE],0))</f>
        <v>1</v>
      </c>
      <c r="N518" s="21" t="str">
        <f>"item_"&amp;CONTROL[[#This Row],[VEHIDCODE]]</f>
        <v>item_emu_Breda_ETR_200</v>
      </c>
      <c r="O518" s="21" t="str">
        <f>"str_"&amp;CONTROL[[#This Row],[VEHIDCODE]]</f>
        <v>str_emu_Breda_ETR_200</v>
      </c>
      <c r="P518" s="7" t="b">
        <f>_xlfn.XLOOKUP(CONTROL[[#This Row],[VEHIDCODE]],PROPERTIES[VEHIDCODE],PROPERTIES[IS_CONCEPT])="IS_CONCEPT"</f>
        <v>0</v>
      </c>
      <c r="Q518" s="7" t="b">
        <f>_xlfn.XLOOKUP(CONTROL[[#This Row],[VEHIDCODE]],PROPERTIES[VEHIDCODE],PROPERTIES[EXCLUDE])</f>
        <v>0</v>
      </c>
      <c r="R518" t="str" cm="1">
        <f t="array" ref="R518">_xlfn.XLOOKUP(CONTROL[[#This Row],[VEHIDCODE]],GRAPHICS_PROPERTIES[VEHIDCODE],GRAPHICS_PROPERTIES[TEMPLATE_ID]&amp;GRAPHICS_PROPERTIES[TEMPLATE_AMENDMENT_CODE])</f>
        <v>TPL_02A</v>
      </c>
    </row>
    <row r="519" spans="1:18" x14ac:dyDescent="0.35">
      <c r="A519" s="2" t="s">
        <v>3152</v>
      </c>
      <c r="B519" s="21" t="str">
        <f>_xlfn.TEXTAFTER(CONTROL[[#This Row],[VEHIDCODE]],"_")</f>
        <v>Breda_ETR_300_Settebello</v>
      </c>
      <c r="C519" t="str" cm="1">
        <f t="array" ref="C5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9" t="str" cm="1">
        <f t="array" ref="D5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9">
        <v>8006</v>
      </c>
      <c r="F519" s="32" t="s">
        <v>2351</v>
      </c>
      <c r="G519" t="s">
        <v>1539</v>
      </c>
      <c r="H519" s="2" t="b">
        <f>AND(CONTROL[[#This Row],[IS_WAGON_OR_COACH]]=TRUE,OR(RIGHT(CONTROL[[#This Row],[VEHIDCODE]],7)="Powered",RIGHT(CONTROL[[#This Row],[VEHIDCODE]],9)="Unpowered"))</f>
        <v>0</v>
      </c>
      <c r="I5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9" t="b">
        <f>ISNUMBER(_xlfn.XMATCH(CONTROL[[#This Row],[VEHIDCODE]],TRACK_TYPES[VEHIDCODE],0))</f>
        <v>1</v>
      </c>
      <c r="K519" t="b">
        <f>ISNUMBER(_xlfn.XMATCH(CONTROL[[#This Row],[VEHIDCODE]],PROPERTIES[VEHIDCODE],0))</f>
        <v>1</v>
      </c>
      <c r="L519" t="b">
        <f>ISNUMBER(_xlfn.XLOOKUP(CONTROL[[#This Row],[VEHIDCODE]],roster!A:A,roster!D:D))</f>
        <v>1</v>
      </c>
      <c r="M519" t="b">
        <f>ISNUMBER(_xlfn.XMATCH(CONTROL[[#This Row],[VEHIDCODE]],GRAPHICS_PROPERTIES[VEHIDCODE],0))</f>
        <v>1</v>
      </c>
      <c r="N519" s="21" t="str">
        <f>"item_"&amp;CONTROL[[#This Row],[VEHIDCODE]]</f>
        <v>item_emu_Breda_ETR_300_Settebello</v>
      </c>
      <c r="O519" s="21" t="str">
        <f>"str_"&amp;CONTROL[[#This Row],[VEHIDCODE]]</f>
        <v>str_emu_Breda_ETR_300_Settebello</v>
      </c>
      <c r="P519" s="7" t="b">
        <f>_xlfn.XLOOKUP(CONTROL[[#This Row],[VEHIDCODE]],PROPERTIES[VEHIDCODE],PROPERTIES[IS_CONCEPT])="IS_CONCEPT"</f>
        <v>0</v>
      </c>
      <c r="Q519" s="7" t="b">
        <f>_xlfn.XLOOKUP(CONTROL[[#This Row],[VEHIDCODE]],PROPERTIES[VEHIDCODE],PROPERTIES[EXCLUDE])</f>
        <v>0</v>
      </c>
      <c r="R519" t="str" cm="1">
        <f t="array" ref="R519">_xlfn.XLOOKUP(CONTROL[[#This Row],[VEHIDCODE]],GRAPHICS_PROPERTIES[VEHIDCODE],GRAPHICS_PROPERTIES[TEMPLATE_ID]&amp;GRAPHICS_PROPERTIES[TEMPLATE_AMENDMENT_CODE])</f>
        <v>TPL_02D</v>
      </c>
    </row>
    <row r="520" spans="1:18" x14ac:dyDescent="0.35">
      <c r="A520" s="2" t="s">
        <v>3153</v>
      </c>
      <c r="B520" s="21" t="str">
        <f>_xlfn.TEXTAFTER(CONTROL[[#This Row],[VEHIDCODE]],"_")</f>
        <v>TREVI_ETR_500_Frecciarossa</v>
      </c>
      <c r="C520" t="str" cm="1">
        <f t="array" ref="C5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0" t="str" cm="1">
        <f t="array" ref="D5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0">
        <v>8024</v>
      </c>
      <c r="F520" s="32" t="s">
        <v>2352</v>
      </c>
      <c r="G520" t="s">
        <v>1540</v>
      </c>
      <c r="H520" s="2" t="b">
        <f>AND(CONTROL[[#This Row],[IS_WAGON_OR_COACH]]=TRUE,OR(RIGHT(CONTROL[[#This Row],[VEHIDCODE]],7)="Powered",RIGHT(CONTROL[[#This Row],[VEHIDCODE]],9)="Unpowered"))</f>
        <v>0</v>
      </c>
      <c r="I5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0" t="b">
        <f>ISNUMBER(_xlfn.XMATCH(CONTROL[[#This Row],[VEHIDCODE]],TRACK_TYPES[VEHIDCODE],0))</f>
        <v>1</v>
      </c>
      <c r="K520" t="b">
        <f>ISNUMBER(_xlfn.XMATCH(CONTROL[[#This Row],[VEHIDCODE]],PROPERTIES[VEHIDCODE],0))</f>
        <v>1</v>
      </c>
      <c r="L520" t="b">
        <f>ISNUMBER(_xlfn.XLOOKUP(CONTROL[[#This Row],[VEHIDCODE]],roster!A:A,roster!D:D))</f>
        <v>1</v>
      </c>
      <c r="M520" t="b">
        <f>ISNUMBER(_xlfn.XMATCH(CONTROL[[#This Row],[VEHIDCODE]],GRAPHICS_PROPERTIES[VEHIDCODE],0))</f>
        <v>1</v>
      </c>
      <c r="N520" s="21" t="str">
        <f>"item_"&amp;CONTROL[[#This Row],[VEHIDCODE]]</f>
        <v>item_emu_TREVI_ETR_500_Frecciarossa</v>
      </c>
      <c r="O520" s="21" t="str">
        <f>"str_"&amp;CONTROL[[#This Row],[VEHIDCODE]]</f>
        <v>str_emu_TREVI_ETR_500_Frecciarossa</v>
      </c>
      <c r="P520" s="7" t="b">
        <f>_xlfn.XLOOKUP(CONTROL[[#This Row],[VEHIDCODE]],PROPERTIES[VEHIDCODE],PROPERTIES[IS_CONCEPT])="IS_CONCEPT"</f>
        <v>0</v>
      </c>
      <c r="Q520" s="7" t="b">
        <f>_xlfn.XLOOKUP(CONTROL[[#This Row],[VEHIDCODE]],PROPERTIES[VEHIDCODE],PROPERTIES[EXCLUDE])</f>
        <v>0</v>
      </c>
      <c r="R520" t="str" cm="1">
        <f t="array" ref="R520">_xlfn.XLOOKUP(CONTROL[[#This Row],[VEHIDCODE]],GRAPHICS_PROPERTIES[VEHIDCODE],GRAPHICS_PROPERTIES[TEMPLATE_ID]&amp;GRAPHICS_PROPERTIES[TEMPLATE_AMENDMENT_CODE])</f>
        <v>TPL_02A</v>
      </c>
    </row>
    <row r="521" spans="1:18" x14ac:dyDescent="0.35">
      <c r="A521" s="2" t="s">
        <v>3154</v>
      </c>
      <c r="B521" s="21" t="str">
        <f>_xlfn.TEXTAFTER(CONTROL[[#This Row],[VEHIDCODE]],"_")</f>
        <v>AnsaldoBreda_ALe_426</v>
      </c>
      <c r="C521" t="str" cm="1">
        <f t="array" ref="C5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1" t="str" cm="1">
        <f t="array" ref="D5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1">
        <v>8029</v>
      </c>
      <c r="F521" s="32" t="s">
        <v>2353</v>
      </c>
      <c r="G521" t="s">
        <v>1541</v>
      </c>
      <c r="H521" s="2" t="b">
        <f>AND(CONTROL[[#This Row],[IS_WAGON_OR_COACH]]=TRUE,OR(RIGHT(CONTROL[[#This Row],[VEHIDCODE]],7)="Powered",RIGHT(CONTROL[[#This Row],[VEHIDCODE]],9)="Unpowered"))</f>
        <v>0</v>
      </c>
      <c r="I5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1" t="b">
        <f>ISNUMBER(_xlfn.XMATCH(CONTROL[[#This Row],[VEHIDCODE]],TRACK_TYPES[VEHIDCODE],0))</f>
        <v>1</v>
      </c>
      <c r="K521" t="b">
        <f>ISNUMBER(_xlfn.XMATCH(CONTROL[[#This Row],[VEHIDCODE]],PROPERTIES[VEHIDCODE],0))</f>
        <v>1</v>
      </c>
      <c r="L521" t="b">
        <f>ISNUMBER(_xlfn.XLOOKUP(CONTROL[[#This Row],[VEHIDCODE]],roster!A:A,roster!D:D))</f>
        <v>1</v>
      </c>
      <c r="M521" t="b">
        <f>ISNUMBER(_xlfn.XMATCH(CONTROL[[#This Row],[VEHIDCODE]],GRAPHICS_PROPERTIES[VEHIDCODE],0))</f>
        <v>1</v>
      </c>
      <c r="N521" s="21" t="str">
        <f>"item_"&amp;CONTROL[[#This Row],[VEHIDCODE]]</f>
        <v>item_emu_AnsaldoBreda_ALe_426</v>
      </c>
      <c r="O521" s="21" t="str">
        <f>"str_"&amp;CONTROL[[#This Row],[VEHIDCODE]]</f>
        <v>str_emu_AnsaldoBreda_ALe_426</v>
      </c>
      <c r="P521" s="7" t="b">
        <f>_xlfn.XLOOKUP(CONTROL[[#This Row],[VEHIDCODE]],PROPERTIES[VEHIDCODE],PROPERTIES[IS_CONCEPT])="IS_CONCEPT"</f>
        <v>0</v>
      </c>
      <c r="Q521" s="7" t="b">
        <f>_xlfn.XLOOKUP(CONTROL[[#This Row],[VEHIDCODE]],PROPERTIES[VEHIDCODE],PROPERTIES[EXCLUDE])</f>
        <v>0</v>
      </c>
      <c r="R521" t="str" cm="1">
        <f t="array" ref="R521">_xlfn.XLOOKUP(CONTROL[[#This Row],[VEHIDCODE]],GRAPHICS_PROPERTIES[VEHIDCODE],GRAPHICS_PROPERTIES[TEMPLATE_ID]&amp;GRAPHICS_PROPERTIES[TEMPLATE_AMENDMENT_CODE])</f>
        <v>TPL_02A</v>
      </c>
    </row>
    <row r="522" spans="1:18" x14ac:dyDescent="0.35">
      <c r="A522" s="2" t="s">
        <v>3155</v>
      </c>
      <c r="B522" s="21" t="str">
        <f>_xlfn.TEXTAFTER(CONTROL[[#This Row],[VEHIDCODE]],"_")</f>
        <v>BN_ACEC_ZMC</v>
      </c>
      <c r="C522" t="str" cm="1">
        <f t="array" ref="C5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2" t="str" cm="1">
        <f t="array" ref="D5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2">
        <v>8064</v>
      </c>
      <c r="F522" s="32" t="s">
        <v>2354</v>
      </c>
      <c r="G522" t="s">
        <v>1542</v>
      </c>
      <c r="H522" s="2" t="b">
        <f>AND(CONTROL[[#This Row],[IS_WAGON_OR_COACH]]=TRUE,OR(RIGHT(CONTROL[[#This Row],[VEHIDCODE]],7)="Powered",RIGHT(CONTROL[[#This Row],[VEHIDCODE]],9)="Unpowered"))</f>
        <v>0</v>
      </c>
      <c r="I5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2" t="b">
        <f>ISNUMBER(_xlfn.XMATCH(CONTROL[[#This Row],[VEHIDCODE]],TRACK_TYPES[VEHIDCODE],0))</f>
        <v>1</v>
      </c>
      <c r="K522" t="b">
        <f>ISNUMBER(_xlfn.XMATCH(CONTROL[[#This Row],[VEHIDCODE]],PROPERTIES[VEHIDCODE],0))</f>
        <v>1</v>
      </c>
      <c r="L522" t="b">
        <f>ISNUMBER(_xlfn.XLOOKUP(CONTROL[[#This Row],[VEHIDCODE]],roster!A:A,roster!D:D))</f>
        <v>1</v>
      </c>
      <c r="M522" t="b">
        <f>ISNUMBER(_xlfn.XMATCH(CONTROL[[#This Row],[VEHIDCODE]],GRAPHICS_PROPERTIES[VEHIDCODE],0))</f>
        <v>1</v>
      </c>
      <c r="N522" s="21" t="str">
        <f>"item_"&amp;CONTROL[[#This Row],[VEHIDCODE]]</f>
        <v>item_emu_BN_ACEC_ZMC</v>
      </c>
      <c r="O522" s="21" t="str">
        <f>"str_"&amp;CONTROL[[#This Row],[VEHIDCODE]]</f>
        <v>str_emu_BN_ACEC_ZMC</v>
      </c>
      <c r="P522" s="7" t="b">
        <f>_xlfn.XLOOKUP(CONTROL[[#This Row],[VEHIDCODE]],PROPERTIES[VEHIDCODE],PROPERTIES[IS_CONCEPT])="IS_CONCEPT"</f>
        <v>0</v>
      </c>
      <c r="Q522" s="7" t="b">
        <f>_xlfn.XLOOKUP(CONTROL[[#This Row],[VEHIDCODE]],PROPERTIES[VEHIDCODE],PROPERTIES[EXCLUDE])</f>
        <v>0</v>
      </c>
      <c r="R522" t="str" cm="1">
        <f t="array" ref="R522">_xlfn.XLOOKUP(CONTROL[[#This Row],[VEHIDCODE]],GRAPHICS_PROPERTIES[VEHIDCODE],GRAPHICS_PROPERTIES[TEMPLATE_ID]&amp;GRAPHICS_PROPERTIES[TEMPLATE_AMENDMENT_CODE])</f>
        <v>TPL_02A</v>
      </c>
    </row>
    <row r="523" spans="1:18" x14ac:dyDescent="0.35">
      <c r="A523" s="2" t="s">
        <v>3156</v>
      </c>
      <c r="B523" s="21" t="str">
        <f>_xlfn.TEXTAFTER(CONTROL[[#This Row],[VEHIDCODE]],"_")</f>
        <v>ASEA_EW54</v>
      </c>
      <c r="C523" t="str" cm="1">
        <f t="array" ref="C5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3" t="str" cm="1">
        <f t="array" ref="D5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3">
        <v>8060</v>
      </c>
      <c r="F523" s="32" t="s">
        <v>2355</v>
      </c>
      <c r="G523" t="s">
        <v>1543</v>
      </c>
      <c r="H523" s="2" t="b">
        <f>AND(CONTROL[[#This Row],[IS_WAGON_OR_COACH]]=TRUE,OR(RIGHT(CONTROL[[#This Row],[VEHIDCODE]],7)="Powered",RIGHT(CONTROL[[#This Row],[VEHIDCODE]],9)="Unpowered"))</f>
        <v>0</v>
      </c>
      <c r="I5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3" t="b">
        <f>ISNUMBER(_xlfn.XMATCH(CONTROL[[#This Row],[VEHIDCODE]],TRACK_TYPES[VEHIDCODE],0))</f>
        <v>1</v>
      </c>
      <c r="K523" t="b">
        <f>ISNUMBER(_xlfn.XMATCH(CONTROL[[#This Row],[VEHIDCODE]],PROPERTIES[VEHIDCODE],0))</f>
        <v>1</v>
      </c>
      <c r="L523" t="b">
        <f>ISNUMBER(_xlfn.XLOOKUP(CONTROL[[#This Row],[VEHIDCODE]],roster!A:A,roster!D:D))</f>
        <v>1</v>
      </c>
      <c r="M523" t="b">
        <f>ISNUMBER(_xlfn.XMATCH(CONTROL[[#This Row],[VEHIDCODE]],GRAPHICS_PROPERTIES[VEHIDCODE],0))</f>
        <v>1</v>
      </c>
      <c r="N523" s="21" t="str">
        <f>"item_"&amp;CONTROL[[#This Row],[VEHIDCODE]]</f>
        <v>item_emu_ASEA_EW54</v>
      </c>
      <c r="O523" s="21" t="str">
        <f>"str_"&amp;CONTROL[[#This Row],[VEHIDCODE]]</f>
        <v>str_emu_ASEA_EW54</v>
      </c>
      <c r="P523" s="7" t="b">
        <f>_xlfn.XLOOKUP(CONTROL[[#This Row],[VEHIDCODE]],PROPERTIES[VEHIDCODE],PROPERTIES[IS_CONCEPT])="IS_CONCEPT"</f>
        <v>0</v>
      </c>
      <c r="Q523" s="7" t="b">
        <f>_xlfn.XLOOKUP(CONTROL[[#This Row],[VEHIDCODE]],PROPERTIES[VEHIDCODE],PROPERTIES[EXCLUDE])</f>
        <v>0</v>
      </c>
      <c r="R523" t="str" cm="1">
        <f t="array" ref="R523">_xlfn.XLOOKUP(CONTROL[[#This Row],[VEHIDCODE]],GRAPHICS_PROPERTIES[VEHIDCODE],GRAPHICS_PROPERTIES[TEMPLATE_ID]&amp;GRAPHICS_PROPERTIES[TEMPLATE_AMENDMENT_CODE])</f>
        <v>TPL_02D</v>
      </c>
    </row>
    <row r="524" spans="1:18" x14ac:dyDescent="0.35">
      <c r="A524" s="2" t="s">
        <v>3157</v>
      </c>
      <c r="B524" s="21" t="str">
        <f>_xlfn.TEXTAFTER(CONTROL[[#This Row],[VEHIDCODE]],"_")</f>
        <v>Breda_ALe_801</v>
      </c>
      <c r="C524" t="str" cm="1">
        <f t="array" ref="C5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4" t="str" cm="1">
        <f t="array" ref="D5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4">
        <v>8051</v>
      </c>
      <c r="F524" s="32" t="s">
        <v>2356</v>
      </c>
      <c r="G524" t="s">
        <v>1544</v>
      </c>
      <c r="H524" s="2" t="b">
        <f>AND(CONTROL[[#This Row],[IS_WAGON_OR_COACH]]=TRUE,OR(RIGHT(CONTROL[[#This Row],[VEHIDCODE]],7)="Powered",RIGHT(CONTROL[[#This Row],[VEHIDCODE]],9)="Unpowered"))</f>
        <v>0</v>
      </c>
      <c r="I5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4" t="b">
        <f>ISNUMBER(_xlfn.XMATCH(CONTROL[[#This Row],[VEHIDCODE]],TRACK_TYPES[VEHIDCODE],0))</f>
        <v>1</v>
      </c>
      <c r="K524" t="b">
        <f>ISNUMBER(_xlfn.XMATCH(CONTROL[[#This Row],[VEHIDCODE]],PROPERTIES[VEHIDCODE],0))</f>
        <v>1</v>
      </c>
      <c r="L524" t="b">
        <f>ISNUMBER(_xlfn.XLOOKUP(CONTROL[[#This Row],[VEHIDCODE]],roster!A:A,roster!D:D))</f>
        <v>1</v>
      </c>
      <c r="M524" t="b">
        <f>ISNUMBER(_xlfn.XMATCH(CONTROL[[#This Row],[VEHIDCODE]],GRAPHICS_PROPERTIES[VEHIDCODE],0))</f>
        <v>1</v>
      </c>
      <c r="N524" s="21" t="str">
        <f>"item_"&amp;CONTROL[[#This Row],[VEHIDCODE]]</f>
        <v>item_emu_Breda_ALe_801</v>
      </c>
      <c r="O524" s="21" t="str">
        <f>"str_"&amp;CONTROL[[#This Row],[VEHIDCODE]]</f>
        <v>str_emu_Breda_ALe_801</v>
      </c>
      <c r="P524" s="7" t="b">
        <f>_xlfn.XLOOKUP(CONTROL[[#This Row],[VEHIDCODE]],PROPERTIES[VEHIDCODE],PROPERTIES[IS_CONCEPT])="IS_CONCEPT"</f>
        <v>0</v>
      </c>
      <c r="Q524" s="7" t="b">
        <f>_xlfn.XLOOKUP(CONTROL[[#This Row],[VEHIDCODE]],PROPERTIES[VEHIDCODE],PROPERTIES[EXCLUDE])</f>
        <v>0</v>
      </c>
      <c r="R524" t="str" cm="1">
        <f t="array" ref="R524">_xlfn.XLOOKUP(CONTROL[[#This Row],[VEHIDCODE]],GRAPHICS_PROPERTIES[VEHIDCODE],GRAPHICS_PROPERTIES[TEMPLATE_ID]&amp;GRAPHICS_PROPERTIES[TEMPLATE_AMENDMENT_CODE])</f>
        <v>TPL_02A</v>
      </c>
    </row>
    <row r="525" spans="1:18" x14ac:dyDescent="0.35">
      <c r="A525" s="2" t="s">
        <v>3158</v>
      </c>
      <c r="B525" s="21" t="str">
        <f>_xlfn.TEXTAFTER(CONTROL[[#This Row],[VEHIDCODE]],"_")</f>
        <v>SGP_AEG_BBC_4030</v>
      </c>
      <c r="C525" t="str" cm="1">
        <f t="array" ref="C5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5" t="str" cm="1">
        <f t="array" ref="D5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5">
        <v>8050</v>
      </c>
      <c r="F525" s="32" t="s">
        <v>2357</v>
      </c>
      <c r="G525" t="s">
        <v>1545</v>
      </c>
      <c r="H525" s="2" t="b">
        <f>AND(CONTROL[[#This Row],[IS_WAGON_OR_COACH]]=TRUE,OR(RIGHT(CONTROL[[#This Row],[VEHIDCODE]],7)="Powered",RIGHT(CONTROL[[#This Row],[VEHIDCODE]],9)="Unpowered"))</f>
        <v>0</v>
      </c>
      <c r="I5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5" t="b">
        <f>ISNUMBER(_xlfn.XMATCH(CONTROL[[#This Row],[VEHIDCODE]],TRACK_TYPES[VEHIDCODE],0))</f>
        <v>1</v>
      </c>
      <c r="K525" t="b">
        <f>ISNUMBER(_xlfn.XMATCH(CONTROL[[#This Row],[VEHIDCODE]],PROPERTIES[VEHIDCODE],0))</f>
        <v>1</v>
      </c>
      <c r="L525" t="b">
        <f>ISNUMBER(_xlfn.XLOOKUP(CONTROL[[#This Row],[VEHIDCODE]],roster!A:A,roster!D:D))</f>
        <v>1</v>
      </c>
      <c r="M525" t="b">
        <f>ISNUMBER(_xlfn.XMATCH(CONTROL[[#This Row],[VEHIDCODE]],GRAPHICS_PROPERTIES[VEHIDCODE],0))</f>
        <v>1</v>
      </c>
      <c r="N525" s="21" t="str">
        <f>"item_"&amp;CONTROL[[#This Row],[VEHIDCODE]]</f>
        <v>item_emu_SGP_AEG_BBC_4030</v>
      </c>
      <c r="O525" s="21" t="str">
        <f>"str_"&amp;CONTROL[[#This Row],[VEHIDCODE]]</f>
        <v>str_emu_SGP_AEG_BBC_4030</v>
      </c>
      <c r="P525" s="7" t="b">
        <f>_xlfn.XLOOKUP(CONTROL[[#This Row],[VEHIDCODE]],PROPERTIES[VEHIDCODE],PROPERTIES[IS_CONCEPT])="IS_CONCEPT"</f>
        <v>0</v>
      </c>
      <c r="Q525" s="7" t="b">
        <f>_xlfn.XLOOKUP(CONTROL[[#This Row],[VEHIDCODE]],PROPERTIES[VEHIDCODE],PROPERTIES[EXCLUDE])</f>
        <v>0</v>
      </c>
      <c r="R525" t="str" cm="1">
        <f t="array" ref="R525">_xlfn.XLOOKUP(CONTROL[[#This Row],[VEHIDCODE]],GRAPHICS_PROPERTIES[VEHIDCODE],GRAPHICS_PROPERTIES[TEMPLATE_ID]&amp;GRAPHICS_PROPERTIES[TEMPLATE_AMENDMENT_CODE])</f>
        <v>TPL_02A</v>
      </c>
    </row>
    <row r="526" spans="1:18" x14ac:dyDescent="0.35">
      <c r="A526" s="2" t="s">
        <v>3159</v>
      </c>
      <c r="B526" s="21" t="str">
        <f>_xlfn.TEXTAFTER(CONTROL[[#This Row],[VEHIDCODE]],"_")</f>
        <v>ELIN_ET_10</v>
      </c>
      <c r="C526" t="str" cm="1">
        <f t="array" ref="C5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6" t="str" cm="1">
        <f t="array" ref="D5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6">
        <v>8001</v>
      </c>
      <c r="F526" s="32" t="s">
        <v>2358</v>
      </c>
      <c r="G526" t="s">
        <v>1546</v>
      </c>
      <c r="H526" s="2" t="b">
        <f>AND(CONTROL[[#This Row],[IS_WAGON_OR_COACH]]=TRUE,OR(RIGHT(CONTROL[[#This Row],[VEHIDCODE]],7)="Powered",RIGHT(CONTROL[[#This Row],[VEHIDCODE]],9)="Unpowered"))</f>
        <v>0</v>
      </c>
      <c r="I5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6" t="b">
        <f>ISNUMBER(_xlfn.XMATCH(CONTROL[[#This Row],[VEHIDCODE]],TRACK_TYPES[VEHIDCODE],0))</f>
        <v>1</v>
      </c>
      <c r="K526" t="b">
        <f>ISNUMBER(_xlfn.XMATCH(CONTROL[[#This Row],[VEHIDCODE]],PROPERTIES[VEHIDCODE],0))</f>
        <v>1</v>
      </c>
      <c r="L526" t="b">
        <f>ISNUMBER(_xlfn.XLOOKUP(CONTROL[[#This Row],[VEHIDCODE]],roster!A:A,roster!D:D))</f>
        <v>1</v>
      </c>
      <c r="M526" t="b">
        <f>ISNUMBER(_xlfn.XMATCH(CONTROL[[#This Row],[VEHIDCODE]],GRAPHICS_PROPERTIES[VEHIDCODE],0))</f>
        <v>1</v>
      </c>
      <c r="N526" s="21" t="str">
        <f>"item_"&amp;CONTROL[[#This Row],[VEHIDCODE]]</f>
        <v>item_emu_ELIN_ET_10</v>
      </c>
      <c r="O526" s="21" t="str">
        <f>"str_"&amp;CONTROL[[#This Row],[VEHIDCODE]]</f>
        <v>str_emu_ELIN_ET_10</v>
      </c>
      <c r="P526" s="7" t="b">
        <f>_xlfn.XLOOKUP(CONTROL[[#This Row],[VEHIDCODE]],PROPERTIES[VEHIDCODE],PROPERTIES[IS_CONCEPT])="IS_CONCEPT"</f>
        <v>0</v>
      </c>
      <c r="Q526" s="7" t="b">
        <f>_xlfn.XLOOKUP(CONTROL[[#This Row],[VEHIDCODE]],PROPERTIES[VEHIDCODE],PROPERTIES[EXCLUDE])</f>
        <v>0</v>
      </c>
      <c r="R526" t="str" cm="1">
        <f t="array" ref="R526">_xlfn.XLOOKUP(CONTROL[[#This Row],[VEHIDCODE]],GRAPHICS_PROPERTIES[VEHIDCODE],GRAPHICS_PROPERTIES[TEMPLATE_ID]&amp;GRAPHICS_PROPERTIES[TEMPLATE_AMENDMENT_CODE])</f>
        <v>TPL_02A</v>
      </c>
    </row>
    <row r="527" spans="1:18" x14ac:dyDescent="0.35">
      <c r="A527" s="2" t="s">
        <v>3160</v>
      </c>
      <c r="B527" s="21" t="str">
        <f>_xlfn.TEXTAFTER(CONTROL[[#This Row],[VEHIDCODE]],"_")</f>
        <v>Stadler_4010_KISS</v>
      </c>
      <c r="C527" t="str" cm="1">
        <f t="array" ref="C5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7" t="str" cm="1">
        <f t="array" ref="D5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7">
        <v>8069</v>
      </c>
      <c r="F527" s="32" t="s">
        <v>3490</v>
      </c>
      <c r="G527" t="s">
        <v>1547</v>
      </c>
      <c r="H527" s="2" t="b">
        <f>AND(CONTROL[[#This Row],[IS_WAGON_OR_COACH]]=TRUE,OR(RIGHT(CONTROL[[#This Row],[VEHIDCODE]],7)="Powered",RIGHT(CONTROL[[#This Row],[VEHIDCODE]],9)="Unpowered"))</f>
        <v>0</v>
      </c>
      <c r="I5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7" t="b">
        <f>ISNUMBER(_xlfn.XMATCH(CONTROL[[#This Row],[VEHIDCODE]],TRACK_TYPES[VEHIDCODE],0))</f>
        <v>1</v>
      </c>
      <c r="K527" t="b">
        <f>ISNUMBER(_xlfn.XMATCH(CONTROL[[#This Row],[VEHIDCODE]],PROPERTIES[VEHIDCODE],0))</f>
        <v>1</v>
      </c>
      <c r="L527" t="b">
        <f>ISNUMBER(_xlfn.XLOOKUP(CONTROL[[#This Row],[VEHIDCODE]],roster!A:A,roster!D:D))</f>
        <v>1</v>
      </c>
      <c r="M527" t="b">
        <f>ISNUMBER(_xlfn.XMATCH(CONTROL[[#This Row],[VEHIDCODE]],GRAPHICS_PROPERTIES[VEHIDCODE],0))</f>
        <v>1</v>
      </c>
      <c r="N527" s="21" t="str">
        <f>"item_"&amp;CONTROL[[#This Row],[VEHIDCODE]]</f>
        <v>item_emu_Stadler_4010_KISS</v>
      </c>
      <c r="O527" s="21" t="str">
        <f>"str_"&amp;CONTROL[[#This Row],[VEHIDCODE]]</f>
        <v>str_emu_Stadler_4010_KISS</v>
      </c>
      <c r="P527" s="7" t="b">
        <f>_xlfn.XLOOKUP(CONTROL[[#This Row],[VEHIDCODE]],PROPERTIES[VEHIDCODE],PROPERTIES[IS_CONCEPT])="IS_CONCEPT"</f>
        <v>0</v>
      </c>
      <c r="Q527" s="7" t="b">
        <f>_xlfn.XLOOKUP(CONTROL[[#This Row],[VEHIDCODE]],PROPERTIES[VEHIDCODE],PROPERTIES[EXCLUDE])</f>
        <v>0</v>
      </c>
      <c r="R527" t="str" cm="1">
        <f t="array" ref="R527">_xlfn.XLOOKUP(CONTROL[[#This Row],[VEHIDCODE]],GRAPHICS_PROPERTIES[VEHIDCODE],GRAPHICS_PROPERTIES[TEMPLATE_ID]&amp;GRAPHICS_PROPERTIES[TEMPLATE_AMENDMENT_CODE])</f>
        <v>TPL_02A</v>
      </c>
    </row>
    <row r="528" spans="1:18" x14ac:dyDescent="0.35">
      <c r="A528" s="2" t="s">
        <v>3161</v>
      </c>
      <c r="B528" s="21" t="str">
        <f>_xlfn.TEXTAFTER(CONTROL[[#This Row],[VEHIDCODE]],"_")</f>
        <v>LHB_420</v>
      </c>
      <c r="C528" t="str" cm="1">
        <f t="array" ref="C5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8" t="str" cm="1">
        <f t="array" ref="D5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8">
        <v>8014</v>
      </c>
      <c r="F528" s="32" t="s">
        <v>2359</v>
      </c>
      <c r="G528" t="s">
        <v>1548</v>
      </c>
      <c r="H528" s="2" t="b">
        <f>AND(CONTROL[[#This Row],[IS_WAGON_OR_COACH]]=TRUE,OR(RIGHT(CONTROL[[#This Row],[VEHIDCODE]],7)="Powered",RIGHT(CONTROL[[#This Row],[VEHIDCODE]],9)="Unpowered"))</f>
        <v>0</v>
      </c>
      <c r="I5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8" t="b">
        <f>ISNUMBER(_xlfn.XMATCH(CONTROL[[#This Row],[VEHIDCODE]],TRACK_TYPES[VEHIDCODE],0))</f>
        <v>1</v>
      </c>
      <c r="K528" t="b">
        <f>ISNUMBER(_xlfn.XMATCH(CONTROL[[#This Row],[VEHIDCODE]],PROPERTIES[VEHIDCODE],0))</f>
        <v>1</v>
      </c>
      <c r="L528" t="b">
        <f>ISNUMBER(_xlfn.XLOOKUP(CONTROL[[#This Row],[VEHIDCODE]],roster!A:A,roster!D:D))</f>
        <v>1</v>
      </c>
      <c r="M528" t="b">
        <f>ISNUMBER(_xlfn.XMATCH(CONTROL[[#This Row],[VEHIDCODE]],GRAPHICS_PROPERTIES[VEHIDCODE],0))</f>
        <v>1</v>
      </c>
      <c r="N528" s="21" t="str">
        <f>"item_"&amp;CONTROL[[#This Row],[VEHIDCODE]]</f>
        <v>item_emu_LHB_420</v>
      </c>
      <c r="O528" s="21" t="str">
        <f>"str_"&amp;CONTROL[[#This Row],[VEHIDCODE]]</f>
        <v>str_emu_LHB_420</v>
      </c>
      <c r="P528" s="7" t="b">
        <f>_xlfn.XLOOKUP(CONTROL[[#This Row],[VEHIDCODE]],PROPERTIES[VEHIDCODE],PROPERTIES[IS_CONCEPT])="IS_CONCEPT"</f>
        <v>0</v>
      </c>
      <c r="Q528" s="7" t="b">
        <f>_xlfn.XLOOKUP(CONTROL[[#This Row],[VEHIDCODE]],PROPERTIES[VEHIDCODE],PROPERTIES[EXCLUDE])</f>
        <v>0</v>
      </c>
      <c r="R528" t="str" cm="1">
        <f t="array" ref="R528">_xlfn.XLOOKUP(CONTROL[[#This Row],[VEHIDCODE]],GRAPHICS_PROPERTIES[VEHIDCODE],GRAPHICS_PROPERTIES[TEMPLATE_ID]&amp;GRAPHICS_PROPERTIES[TEMPLATE_AMENDMENT_CODE])</f>
        <v>TPL_02D</v>
      </c>
    </row>
    <row r="529" spans="1:18" x14ac:dyDescent="0.35">
      <c r="A529" s="2" t="s">
        <v>3162</v>
      </c>
      <c r="B529" s="21" t="str">
        <f>_xlfn.TEXTAFTER(CONTROL[[#This Row],[VEHIDCODE]],"_")</f>
        <v>Adtranz_BM73</v>
      </c>
      <c r="C529" t="str" cm="1">
        <f t="array" ref="C5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9" t="str" cm="1">
        <f t="array" ref="D5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9">
        <v>8032</v>
      </c>
      <c r="F529" s="32" t="s">
        <v>2360</v>
      </c>
      <c r="G529" t="s">
        <v>1549</v>
      </c>
      <c r="H529" s="2" t="b">
        <f>AND(CONTROL[[#This Row],[IS_WAGON_OR_COACH]]=TRUE,OR(RIGHT(CONTROL[[#This Row],[VEHIDCODE]],7)="Powered",RIGHT(CONTROL[[#This Row],[VEHIDCODE]],9)="Unpowered"))</f>
        <v>0</v>
      </c>
      <c r="I5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9" t="b">
        <f>ISNUMBER(_xlfn.XMATCH(CONTROL[[#This Row],[VEHIDCODE]],TRACK_TYPES[VEHIDCODE],0))</f>
        <v>1</v>
      </c>
      <c r="K529" t="b">
        <f>ISNUMBER(_xlfn.XMATCH(CONTROL[[#This Row],[VEHIDCODE]],PROPERTIES[VEHIDCODE],0))</f>
        <v>1</v>
      </c>
      <c r="L529" t="b">
        <f>ISNUMBER(_xlfn.XLOOKUP(CONTROL[[#This Row],[VEHIDCODE]],roster!A:A,roster!D:D))</f>
        <v>1</v>
      </c>
      <c r="M529" t="b">
        <f>ISNUMBER(_xlfn.XMATCH(CONTROL[[#This Row],[VEHIDCODE]],GRAPHICS_PROPERTIES[VEHIDCODE],0))</f>
        <v>1</v>
      </c>
      <c r="N529" s="21" t="str">
        <f>"item_"&amp;CONTROL[[#This Row],[VEHIDCODE]]</f>
        <v>item_emu_Adtranz_BM73</v>
      </c>
      <c r="O529" s="21" t="str">
        <f>"str_"&amp;CONTROL[[#This Row],[VEHIDCODE]]</f>
        <v>str_emu_Adtranz_BM73</v>
      </c>
      <c r="P529" s="7" t="b">
        <f>_xlfn.XLOOKUP(CONTROL[[#This Row],[VEHIDCODE]],PROPERTIES[VEHIDCODE],PROPERTIES[IS_CONCEPT])="IS_CONCEPT"</f>
        <v>0</v>
      </c>
      <c r="Q529" s="7" t="b">
        <f>_xlfn.XLOOKUP(CONTROL[[#This Row],[VEHIDCODE]],PROPERTIES[VEHIDCODE],PROPERTIES[EXCLUDE])</f>
        <v>0</v>
      </c>
      <c r="R529" t="str" cm="1">
        <f t="array" ref="R529">_xlfn.XLOOKUP(CONTROL[[#This Row],[VEHIDCODE]],GRAPHICS_PROPERTIES[VEHIDCODE],GRAPHICS_PROPERTIES[TEMPLATE_ID]&amp;GRAPHICS_PROPERTIES[TEMPLATE_AMENDMENT_CODE])</f>
        <v>TPL_02D</v>
      </c>
    </row>
    <row r="530" spans="1:18" x14ac:dyDescent="0.35">
      <c r="A530" s="2" t="s">
        <v>3163</v>
      </c>
      <c r="B530" s="21" t="str">
        <f>_xlfn.TEXTAFTER(CONTROL[[#This Row],[VEHIDCODE]],"_")</f>
        <v>NEBB_M65</v>
      </c>
      <c r="C530" t="str" cm="1">
        <f t="array" ref="C5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0" t="str" cm="1">
        <f t="array" ref="D5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0">
        <v>8005</v>
      </c>
      <c r="F530" s="32" t="s">
        <v>2361</v>
      </c>
      <c r="G530" t="s">
        <v>1550</v>
      </c>
      <c r="H530" s="2" t="b">
        <f>AND(CONTROL[[#This Row],[IS_WAGON_OR_COACH]]=TRUE,OR(RIGHT(CONTROL[[#This Row],[VEHIDCODE]],7)="Powered",RIGHT(CONTROL[[#This Row],[VEHIDCODE]],9)="Unpowered"))</f>
        <v>0</v>
      </c>
      <c r="I5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0" t="b">
        <f>ISNUMBER(_xlfn.XMATCH(CONTROL[[#This Row],[VEHIDCODE]],TRACK_TYPES[VEHIDCODE],0))</f>
        <v>1</v>
      </c>
      <c r="K530" t="b">
        <f>ISNUMBER(_xlfn.XMATCH(CONTROL[[#This Row],[VEHIDCODE]],PROPERTIES[VEHIDCODE],0))</f>
        <v>1</v>
      </c>
      <c r="L530" t="b">
        <f>ISNUMBER(_xlfn.XLOOKUP(CONTROL[[#This Row],[VEHIDCODE]],roster!A:A,roster!D:D))</f>
        <v>1</v>
      </c>
      <c r="M530" t="b">
        <f>ISNUMBER(_xlfn.XMATCH(CONTROL[[#This Row],[VEHIDCODE]],GRAPHICS_PROPERTIES[VEHIDCODE],0))</f>
        <v>1</v>
      </c>
      <c r="N530" s="21" t="str">
        <f>"item_"&amp;CONTROL[[#This Row],[VEHIDCODE]]</f>
        <v>item_emu_NEBB_M65</v>
      </c>
      <c r="O530" s="21" t="str">
        <f>"str_"&amp;CONTROL[[#This Row],[VEHIDCODE]]</f>
        <v>str_emu_NEBB_M65</v>
      </c>
      <c r="P530" s="7" t="b">
        <f>_xlfn.XLOOKUP(CONTROL[[#This Row],[VEHIDCODE]],PROPERTIES[VEHIDCODE],PROPERTIES[IS_CONCEPT])="IS_CONCEPT"</f>
        <v>0</v>
      </c>
      <c r="Q530" s="7" t="b">
        <f>_xlfn.XLOOKUP(CONTROL[[#This Row],[VEHIDCODE]],PROPERTIES[VEHIDCODE],PROPERTIES[EXCLUDE])</f>
        <v>0</v>
      </c>
      <c r="R530" t="str" cm="1">
        <f t="array" ref="R530">_xlfn.XLOOKUP(CONTROL[[#This Row],[VEHIDCODE]],GRAPHICS_PROPERTIES[VEHIDCODE],GRAPHICS_PROPERTIES[TEMPLATE_ID]&amp;GRAPHICS_PROPERTIES[TEMPLATE_AMENDMENT_CODE])</f>
        <v>TPL_02A</v>
      </c>
    </row>
    <row r="531" spans="1:18" x14ac:dyDescent="0.35">
      <c r="A531" s="2" t="s">
        <v>3164</v>
      </c>
      <c r="B531" s="21" t="str">
        <f>_xlfn.TEXTAFTER(CONTROL[[#This Row],[VEHIDCODE]],"_")</f>
        <v>ASEA_X2000</v>
      </c>
      <c r="C531" t="str" cm="1">
        <f t="array" ref="C5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1" t="str" cm="1">
        <f t="array" ref="D5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1">
        <v>8023</v>
      </c>
      <c r="F531" s="32" t="s">
        <v>2362</v>
      </c>
      <c r="G531" t="s">
        <v>1551</v>
      </c>
      <c r="H531" s="2" t="b">
        <f>AND(CONTROL[[#This Row],[IS_WAGON_OR_COACH]]=TRUE,OR(RIGHT(CONTROL[[#This Row],[VEHIDCODE]],7)="Powered",RIGHT(CONTROL[[#This Row],[VEHIDCODE]],9)="Unpowered"))</f>
        <v>0</v>
      </c>
      <c r="I5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1" t="b">
        <f>ISNUMBER(_xlfn.XMATCH(CONTROL[[#This Row],[VEHIDCODE]],TRACK_TYPES[VEHIDCODE],0))</f>
        <v>1</v>
      </c>
      <c r="K531" t="b">
        <f>ISNUMBER(_xlfn.XMATCH(CONTROL[[#This Row],[VEHIDCODE]],PROPERTIES[VEHIDCODE],0))</f>
        <v>1</v>
      </c>
      <c r="L531" t="b">
        <f>ISNUMBER(_xlfn.XLOOKUP(CONTROL[[#This Row],[VEHIDCODE]],roster!A:A,roster!D:D))</f>
        <v>1</v>
      </c>
      <c r="M531" t="b">
        <f>ISNUMBER(_xlfn.XMATCH(CONTROL[[#This Row],[VEHIDCODE]],GRAPHICS_PROPERTIES[VEHIDCODE],0))</f>
        <v>1</v>
      </c>
      <c r="N531" s="21" t="str">
        <f>"item_"&amp;CONTROL[[#This Row],[VEHIDCODE]]</f>
        <v>item_emu_ASEA_X2000</v>
      </c>
      <c r="O531" s="21" t="str">
        <f>"str_"&amp;CONTROL[[#This Row],[VEHIDCODE]]</f>
        <v>str_emu_ASEA_X2000</v>
      </c>
      <c r="P531" s="7" t="b">
        <f>_xlfn.XLOOKUP(CONTROL[[#This Row],[VEHIDCODE]],PROPERTIES[VEHIDCODE],PROPERTIES[IS_CONCEPT])="IS_CONCEPT"</f>
        <v>0</v>
      </c>
      <c r="Q531" s="7" t="b">
        <f>_xlfn.XLOOKUP(CONTROL[[#This Row],[VEHIDCODE]],PROPERTIES[VEHIDCODE],PROPERTIES[EXCLUDE])</f>
        <v>0</v>
      </c>
      <c r="R531" t="str" cm="1">
        <f t="array" ref="R531">_xlfn.XLOOKUP(CONTROL[[#This Row],[VEHIDCODE]],GRAPHICS_PROPERTIES[VEHIDCODE],GRAPHICS_PROPERTIES[TEMPLATE_ID]&amp;GRAPHICS_PROPERTIES[TEMPLATE_AMENDMENT_CODE])</f>
        <v>TPL_02A</v>
      </c>
    </row>
    <row r="532" spans="1:18" x14ac:dyDescent="0.35">
      <c r="A532" s="2" t="s">
        <v>3165</v>
      </c>
      <c r="B532" s="21" t="str">
        <f>_xlfn.TEXTAFTER(CONTROL[[#This Row],[VEHIDCODE]],"_")</f>
        <v>SWP_RABDe_510</v>
      </c>
      <c r="C532" t="str" cm="1">
        <f t="array" ref="C5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2" t="str" cm="1">
        <f t="array" ref="D5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2">
        <v>8012</v>
      </c>
      <c r="F532" s="32" t="s">
        <v>2363</v>
      </c>
      <c r="G532" t="s">
        <v>1552</v>
      </c>
      <c r="H532" s="2" t="b">
        <f>AND(CONTROL[[#This Row],[IS_WAGON_OR_COACH]]=TRUE,OR(RIGHT(CONTROL[[#This Row],[VEHIDCODE]],7)="Powered",RIGHT(CONTROL[[#This Row],[VEHIDCODE]],9)="Unpowered"))</f>
        <v>0</v>
      </c>
      <c r="I5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2" t="b">
        <f>ISNUMBER(_xlfn.XMATCH(CONTROL[[#This Row],[VEHIDCODE]],TRACK_TYPES[VEHIDCODE],0))</f>
        <v>1</v>
      </c>
      <c r="K532" t="b">
        <f>ISNUMBER(_xlfn.XMATCH(CONTROL[[#This Row],[VEHIDCODE]],PROPERTIES[VEHIDCODE],0))</f>
        <v>1</v>
      </c>
      <c r="L532" t="b">
        <f>ISNUMBER(_xlfn.XLOOKUP(CONTROL[[#This Row],[VEHIDCODE]],roster!A:A,roster!D:D))</f>
        <v>1</v>
      </c>
      <c r="M532" t="b">
        <f>ISNUMBER(_xlfn.XMATCH(CONTROL[[#This Row],[VEHIDCODE]],GRAPHICS_PROPERTIES[VEHIDCODE],0))</f>
        <v>1</v>
      </c>
      <c r="N532" s="21" t="str">
        <f>"item_"&amp;CONTROL[[#This Row],[VEHIDCODE]]</f>
        <v>item_emu_SWP_RABDe_510</v>
      </c>
      <c r="O532" s="21" t="str">
        <f>"str_"&amp;CONTROL[[#This Row],[VEHIDCODE]]</f>
        <v>str_emu_SWP_RABDe_510</v>
      </c>
      <c r="P532" s="7" t="b">
        <f>_xlfn.XLOOKUP(CONTROL[[#This Row],[VEHIDCODE]],PROPERTIES[VEHIDCODE],PROPERTIES[IS_CONCEPT])="IS_CONCEPT"</f>
        <v>0</v>
      </c>
      <c r="Q532" s="7" t="b">
        <f>_xlfn.XLOOKUP(CONTROL[[#This Row],[VEHIDCODE]],PROPERTIES[VEHIDCODE],PROPERTIES[EXCLUDE])</f>
        <v>0</v>
      </c>
      <c r="R532" t="str" cm="1">
        <f t="array" ref="R532">_xlfn.XLOOKUP(CONTROL[[#This Row],[VEHIDCODE]],GRAPHICS_PROPERTIES[VEHIDCODE],GRAPHICS_PROPERTIES[TEMPLATE_ID]&amp;GRAPHICS_PROPERTIES[TEMPLATE_AMENDMENT_CODE])</f>
        <v>TPL_02D</v>
      </c>
    </row>
    <row r="533" spans="1:18" x14ac:dyDescent="0.35">
      <c r="A533" s="2" t="s">
        <v>3166</v>
      </c>
      <c r="B533" s="21" t="str">
        <f>_xlfn.TEXTAFTER(CONTROL[[#This Row],[VEHIDCODE]],"_")</f>
        <v>Schindler_RBDe_560</v>
      </c>
      <c r="C533" t="str" cm="1">
        <f t="array" ref="C5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3" t="str" cm="1">
        <f t="array" ref="D5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3">
        <v>8020</v>
      </c>
      <c r="F533" s="32" t="s">
        <v>2364</v>
      </c>
      <c r="G533" t="s">
        <v>1553</v>
      </c>
      <c r="H533" s="2" t="b">
        <f>AND(CONTROL[[#This Row],[IS_WAGON_OR_COACH]]=TRUE,OR(RIGHT(CONTROL[[#This Row],[VEHIDCODE]],7)="Powered",RIGHT(CONTROL[[#This Row],[VEHIDCODE]],9)="Unpowered"))</f>
        <v>0</v>
      </c>
      <c r="I5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3" t="b">
        <f>ISNUMBER(_xlfn.XMATCH(CONTROL[[#This Row],[VEHIDCODE]],TRACK_TYPES[VEHIDCODE],0))</f>
        <v>1</v>
      </c>
      <c r="K533" t="b">
        <f>ISNUMBER(_xlfn.XMATCH(CONTROL[[#This Row],[VEHIDCODE]],PROPERTIES[VEHIDCODE],0))</f>
        <v>1</v>
      </c>
      <c r="L533" t="b">
        <f>ISNUMBER(_xlfn.XLOOKUP(CONTROL[[#This Row],[VEHIDCODE]],roster!A:A,roster!D:D))</f>
        <v>1</v>
      </c>
      <c r="M533" t="b">
        <f>ISNUMBER(_xlfn.XMATCH(CONTROL[[#This Row],[VEHIDCODE]],GRAPHICS_PROPERTIES[VEHIDCODE],0))</f>
        <v>1</v>
      </c>
      <c r="N533" s="21" t="str">
        <f>"item_"&amp;CONTROL[[#This Row],[VEHIDCODE]]</f>
        <v>item_emu_Schindler_RBDe_560</v>
      </c>
      <c r="O533" s="21" t="str">
        <f>"str_"&amp;CONTROL[[#This Row],[VEHIDCODE]]</f>
        <v>str_emu_Schindler_RBDe_560</v>
      </c>
      <c r="P533" s="7" t="b">
        <f>_xlfn.XLOOKUP(CONTROL[[#This Row],[VEHIDCODE]],PROPERTIES[VEHIDCODE],PROPERTIES[IS_CONCEPT])="IS_CONCEPT"</f>
        <v>0</v>
      </c>
      <c r="Q533" s="7" t="b">
        <f>_xlfn.XLOOKUP(CONTROL[[#This Row],[VEHIDCODE]],PROPERTIES[VEHIDCODE],PROPERTIES[EXCLUDE])</f>
        <v>0</v>
      </c>
      <c r="R533" t="str" cm="1">
        <f t="array" ref="R533">_xlfn.XLOOKUP(CONTROL[[#This Row],[VEHIDCODE]],GRAPHICS_PROPERTIES[VEHIDCODE],GRAPHICS_PROPERTIES[TEMPLATE_ID]&amp;GRAPHICS_PROPERTIES[TEMPLATE_AMENDMENT_CODE])</f>
        <v>TPL_02A</v>
      </c>
    </row>
    <row r="534" spans="1:18" x14ac:dyDescent="0.35">
      <c r="A534" s="2" t="s">
        <v>3167</v>
      </c>
      <c r="B534" s="21" t="str">
        <f>_xlfn.TEXTAFTER(CONTROL[[#This Row],[VEHIDCODE]],"_")</f>
        <v>Stadler_RABe_523_Flirt</v>
      </c>
      <c r="C534" t="str" cm="1">
        <f t="array" ref="C5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4" t="str" cm="1">
        <f t="array" ref="D5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4">
        <v>8038</v>
      </c>
      <c r="F534" s="32" t="s">
        <v>2365</v>
      </c>
      <c r="G534" t="s">
        <v>1554</v>
      </c>
      <c r="H534" s="2" t="b">
        <f>AND(CONTROL[[#This Row],[IS_WAGON_OR_COACH]]=TRUE,OR(RIGHT(CONTROL[[#This Row],[VEHIDCODE]],7)="Powered",RIGHT(CONTROL[[#This Row],[VEHIDCODE]],9)="Unpowered"))</f>
        <v>0</v>
      </c>
      <c r="I5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4" t="b">
        <f>ISNUMBER(_xlfn.XMATCH(CONTROL[[#This Row],[VEHIDCODE]],TRACK_TYPES[VEHIDCODE],0))</f>
        <v>1</v>
      </c>
      <c r="K534" t="b">
        <f>ISNUMBER(_xlfn.XMATCH(CONTROL[[#This Row],[VEHIDCODE]],PROPERTIES[VEHIDCODE],0))</f>
        <v>1</v>
      </c>
      <c r="L534" t="b">
        <f>ISNUMBER(_xlfn.XLOOKUP(CONTROL[[#This Row],[VEHIDCODE]],roster!A:A,roster!D:D))</f>
        <v>1</v>
      </c>
      <c r="M534" t="b">
        <f>ISNUMBER(_xlfn.XMATCH(CONTROL[[#This Row],[VEHIDCODE]],GRAPHICS_PROPERTIES[VEHIDCODE],0))</f>
        <v>1</v>
      </c>
      <c r="N534" s="21" t="str">
        <f>"item_"&amp;CONTROL[[#This Row],[VEHIDCODE]]</f>
        <v>item_emu_Stadler_RABe_523_Flirt</v>
      </c>
      <c r="O534" s="21" t="str">
        <f>"str_"&amp;CONTROL[[#This Row],[VEHIDCODE]]</f>
        <v>str_emu_Stadler_RABe_523_Flirt</v>
      </c>
      <c r="P534" s="7" t="b">
        <f>_xlfn.XLOOKUP(CONTROL[[#This Row],[VEHIDCODE]],PROPERTIES[VEHIDCODE],PROPERTIES[IS_CONCEPT])="IS_CONCEPT"</f>
        <v>0</v>
      </c>
      <c r="Q534" s="7" t="b">
        <f>_xlfn.XLOOKUP(CONTROL[[#This Row],[VEHIDCODE]],PROPERTIES[VEHIDCODE],PROPERTIES[EXCLUDE])</f>
        <v>0</v>
      </c>
      <c r="R534" t="str" cm="1">
        <f t="array" ref="R534">_xlfn.XLOOKUP(CONTROL[[#This Row],[VEHIDCODE]],GRAPHICS_PROPERTIES[VEHIDCODE],GRAPHICS_PROPERTIES[TEMPLATE_ID]&amp;GRAPHICS_PROPERTIES[TEMPLATE_AMENDMENT_CODE])</f>
        <v>TPL_02A</v>
      </c>
    </row>
    <row r="535" spans="1:18" x14ac:dyDescent="0.35">
      <c r="A535" s="2" t="s">
        <v>3168</v>
      </c>
      <c r="B535" s="21" t="str">
        <f>_xlfn.TEXTAFTER(CONTROL[[#This Row],[VEHIDCODE]],"_")</f>
        <v>Budd_Metroliner</v>
      </c>
      <c r="C535" t="str" cm="1">
        <f t="array" ref="C5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5" t="str" cm="1">
        <f t="array" ref="D5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5">
        <v>8062</v>
      </c>
      <c r="F535" s="32" t="s">
        <v>2366</v>
      </c>
      <c r="G535" t="s">
        <v>1555</v>
      </c>
      <c r="H535" s="2" t="b">
        <f>AND(CONTROL[[#This Row],[IS_WAGON_OR_COACH]]=TRUE,OR(RIGHT(CONTROL[[#This Row],[VEHIDCODE]],7)="Powered",RIGHT(CONTROL[[#This Row],[VEHIDCODE]],9)="Unpowered"))</f>
        <v>0</v>
      </c>
      <c r="I5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5" t="b">
        <f>ISNUMBER(_xlfn.XMATCH(CONTROL[[#This Row],[VEHIDCODE]],TRACK_TYPES[VEHIDCODE],0))</f>
        <v>1</v>
      </c>
      <c r="K535" t="b">
        <f>ISNUMBER(_xlfn.XMATCH(CONTROL[[#This Row],[VEHIDCODE]],PROPERTIES[VEHIDCODE],0))</f>
        <v>1</v>
      </c>
      <c r="L535" t="b">
        <f>ISNUMBER(_xlfn.XLOOKUP(CONTROL[[#This Row],[VEHIDCODE]],roster!A:A,roster!D:D))</f>
        <v>1</v>
      </c>
      <c r="M535" t="b">
        <f>ISNUMBER(_xlfn.XMATCH(CONTROL[[#This Row],[VEHIDCODE]],GRAPHICS_PROPERTIES[VEHIDCODE],0))</f>
        <v>1</v>
      </c>
      <c r="N535" s="21" t="str">
        <f>"item_"&amp;CONTROL[[#This Row],[VEHIDCODE]]</f>
        <v>item_emu_Budd_Metroliner</v>
      </c>
      <c r="O535" s="21" t="str">
        <f>"str_"&amp;CONTROL[[#This Row],[VEHIDCODE]]</f>
        <v>str_emu_Budd_Metroliner</v>
      </c>
      <c r="P535" s="7" t="b">
        <f>_xlfn.XLOOKUP(CONTROL[[#This Row],[VEHIDCODE]],PROPERTIES[VEHIDCODE],PROPERTIES[IS_CONCEPT])="IS_CONCEPT"</f>
        <v>0</v>
      </c>
      <c r="Q535" s="7" t="b">
        <f>_xlfn.XLOOKUP(CONTROL[[#This Row],[VEHIDCODE]],PROPERTIES[VEHIDCODE],PROPERTIES[EXCLUDE])</f>
        <v>0</v>
      </c>
      <c r="R535" t="str" cm="1">
        <f t="array" ref="R535">_xlfn.XLOOKUP(CONTROL[[#This Row],[VEHIDCODE]],GRAPHICS_PROPERTIES[VEHIDCODE],GRAPHICS_PROPERTIES[TEMPLATE_ID]&amp;GRAPHICS_PROPERTIES[TEMPLATE_AMENDMENT_CODE])</f>
        <v>TPL_02A</v>
      </c>
    </row>
    <row r="536" spans="1:18" x14ac:dyDescent="0.35">
      <c r="A536" s="2" t="s">
        <v>3169</v>
      </c>
      <c r="B536" s="21" t="str">
        <f>_xlfn.TEXTAFTER(CONTROL[[#This Row],[VEHIDCODE]],"_")</f>
        <v>Siemens_Velero</v>
      </c>
      <c r="C536" t="str" cm="1">
        <f t="array" ref="C5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6" t="str" cm="1">
        <f t="array" ref="D5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6">
        <v>8036</v>
      </c>
      <c r="F536" s="32" t="s">
        <v>2386</v>
      </c>
      <c r="G536" t="s">
        <v>1556</v>
      </c>
      <c r="H536" s="2" t="b">
        <f>AND(CONTROL[[#This Row],[IS_WAGON_OR_COACH]]=TRUE,OR(RIGHT(CONTROL[[#This Row],[VEHIDCODE]],7)="Powered",RIGHT(CONTROL[[#This Row],[VEHIDCODE]],9)="Unpowered"))</f>
        <v>0</v>
      </c>
      <c r="I5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6" t="b">
        <f>ISNUMBER(_xlfn.XMATCH(CONTROL[[#This Row],[VEHIDCODE]],TRACK_TYPES[VEHIDCODE],0))</f>
        <v>1</v>
      </c>
      <c r="K536" t="b">
        <f>ISNUMBER(_xlfn.XMATCH(CONTROL[[#This Row],[VEHIDCODE]],PROPERTIES[VEHIDCODE],0))</f>
        <v>1</v>
      </c>
      <c r="L536" t="b">
        <f>ISNUMBER(_xlfn.XLOOKUP(CONTROL[[#This Row],[VEHIDCODE]],roster!A:A,roster!D:D))</f>
        <v>1</v>
      </c>
      <c r="M536" t="b">
        <f>ISNUMBER(_xlfn.XMATCH(CONTROL[[#This Row],[VEHIDCODE]],GRAPHICS_PROPERTIES[VEHIDCODE],0))</f>
        <v>1</v>
      </c>
      <c r="N536" s="21" t="str">
        <f>"item_"&amp;CONTROL[[#This Row],[VEHIDCODE]]</f>
        <v>item_emu_Siemens_Velero</v>
      </c>
      <c r="O536" s="21" t="str">
        <f>"str_"&amp;CONTROL[[#This Row],[VEHIDCODE]]</f>
        <v>str_emu_Siemens_Velero</v>
      </c>
      <c r="P536" s="7" t="b">
        <f>_xlfn.XLOOKUP(CONTROL[[#This Row],[VEHIDCODE]],PROPERTIES[VEHIDCODE],PROPERTIES[IS_CONCEPT])="IS_CONCEPT"</f>
        <v>0</v>
      </c>
      <c r="Q536" s="7" t="b">
        <f>_xlfn.XLOOKUP(CONTROL[[#This Row],[VEHIDCODE]],PROPERTIES[VEHIDCODE],PROPERTIES[EXCLUDE])</f>
        <v>0</v>
      </c>
      <c r="R536" t="str" cm="1">
        <f t="array" ref="R536">_xlfn.XLOOKUP(CONTROL[[#This Row],[VEHIDCODE]],GRAPHICS_PROPERTIES[VEHIDCODE],GRAPHICS_PROPERTIES[TEMPLATE_ID]&amp;GRAPHICS_PROPERTIES[TEMPLATE_AMENDMENT_CODE])</f>
        <v>TPL_02D</v>
      </c>
    </row>
    <row r="537" spans="1:18" x14ac:dyDescent="0.35">
      <c r="A537" s="2" t="s">
        <v>3170</v>
      </c>
      <c r="B537" s="21" t="str">
        <f>_xlfn.TEXTAFTER(CONTROL[[#This Row],[VEHIDCODE]],"_")</f>
        <v>Siemens_Desiro_BDZ</v>
      </c>
      <c r="C537" t="str" cm="1">
        <f t="array" ref="C5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7" t="str" cm="1">
        <f t="array" ref="D5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7">
        <v>8039</v>
      </c>
      <c r="F537" s="32" t="s">
        <v>2367</v>
      </c>
      <c r="G537" t="s">
        <v>1557</v>
      </c>
      <c r="H537" s="2" t="b">
        <f>AND(CONTROL[[#This Row],[IS_WAGON_OR_COACH]]=TRUE,OR(RIGHT(CONTROL[[#This Row],[VEHIDCODE]],7)="Powered",RIGHT(CONTROL[[#This Row],[VEHIDCODE]],9)="Unpowered"))</f>
        <v>0</v>
      </c>
      <c r="I5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7" t="b">
        <f>ISNUMBER(_xlfn.XMATCH(CONTROL[[#This Row],[VEHIDCODE]],TRACK_TYPES[VEHIDCODE],0))</f>
        <v>1</v>
      </c>
      <c r="K537" t="b">
        <f>ISNUMBER(_xlfn.XMATCH(CONTROL[[#This Row],[VEHIDCODE]],PROPERTIES[VEHIDCODE],0))</f>
        <v>1</v>
      </c>
      <c r="L537" t="b">
        <f>ISNUMBER(_xlfn.XLOOKUP(CONTROL[[#This Row],[VEHIDCODE]],roster!A:A,roster!D:D))</f>
        <v>1</v>
      </c>
      <c r="M537" t="b">
        <f>ISNUMBER(_xlfn.XMATCH(CONTROL[[#This Row],[VEHIDCODE]],GRAPHICS_PROPERTIES[VEHIDCODE],0))</f>
        <v>1</v>
      </c>
      <c r="N537" s="21" t="str">
        <f>"item_"&amp;CONTROL[[#This Row],[VEHIDCODE]]</f>
        <v>item_emu_Siemens_Desiro_BDZ</v>
      </c>
      <c r="O537" s="21" t="str">
        <f>"str_"&amp;CONTROL[[#This Row],[VEHIDCODE]]</f>
        <v>str_emu_Siemens_Desiro_BDZ</v>
      </c>
      <c r="P537" s="7" t="b">
        <f>_xlfn.XLOOKUP(CONTROL[[#This Row],[VEHIDCODE]],PROPERTIES[VEHIDCODE],PROPERTIES[IS_CONCEPT])="IS_CONCEPT"</f>
        <v>0</v>
      </c>
      <c r="Q537" s="7" t="b">
        <f>_xlfn.XLOOKUP(CONTROL[[#This Row],[VEHIDCODE]],PROPERTIES[VEHIDCODE],PROPERTIES[EXCLUDE])</f>
        <v>0</v>
      </c>
      <c r="R537" t="str" cm="1">
        <f t="array" ref="R537">_xlfn.XLOOKUP(CONTROL[[#This Row],[VEHIDCODE]],GRAPHICS_PROPERTIES[VEHIDCODE],GRAPHICS_PROPERTIES[TEMPLATE_ID]&amp;GRAPHICS_PROPERTIES[TEMPLATE_AMENDMENT_CODE])</f>
        <v>TPL_02A</v>
      </c>
    </row>
    <row r="538" spans="1:18" x14ac:dyDescent="0.35">
      <c r="A538" s="2" t="s">
        <v>3171</v>
      </c>
      <c r="B538" s="21" t="str">
        <f>_xlfn.TEXTAFTER(CONTROL[[#This Row],[VEHIDCODE]],"_")</f>
        <v>Valmet_Sm2</v>
      </c>
      <c r="C538" t="str" cm="1">
        <f t="array" ref="C5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8" t="str" cm="1">
        <f t="array" ref="D5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8">
        <v>8016</v>
      </c>
      <c r="F538" s="32" t="s">
        <v>2368</v>
      </c>
      <c r="G538" t="s">
        <v>1558</v>
      </c>
      <c r="H538" s="2" t="b">
        <f>AND(CONTROL[[#This Row],[IS_WAGON_OR_COACH]]=TRUE,OR(RIGHT(CONTROL[[#This Row],[VEHIDCODE]],7)="Powered",RIGHT(CONTROL[[#This Row],[VEHIDCODE]],9)="Unpowered"))</f>
        <v>0</v>
      </c>
      <c r="I5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8" t="b">
        <f>ISNUMBER(_xlfn.XMATCH(CONTROL[[#This Row],[VEHIDCODE]],TRACK_TYPES[VEHIDCODE],0))</f>
        <v>1</v>
      </c>
      <c r="K538" t="b">
        <f>ISNUMBER(_xlfn.XMATCH(CONTROL[[#This Row],[VEHIDCODE]],PROPERTIES[VEHIDCODE],0))</f>
        <v>1</v>
      </c>
      <c r="L538" t="b">
        <f>ISNUMBER(_xlfn.XLOOKUP(CONTROL[[#This Row],[VEHIDCODE]],roster!A:A,roster!D:D))</f>
        <v>1</v>
      </c>
      <c r="M538" t="b">
        <f>ISNUMBER(_xlfn.XMATCH(CONTROL[[#This Row],[VEHIDCODE]],GRAPHICS_PROPERTIES[VEHIDCODE],0))</f>
        <v>1</v>
      </c>
      <c r="N538" s="21" t="str">
        <f>"item_"&amp;CONTROL[[#This Row],[VEHIDCODE]]</f>
        <v>item_emu_Valmet_Sm2</v>
      </c>
      <c r="O538" s="21" t="str">
        <f>"str_"&amp;CONTROL[[#This Row],[VEHIDCODE]]</f>
        <v>str_emu_Valmet_Sm2</v>
      </c>
      <c r="P538" s="7" t="b">
        <f>_xlfn.XLOOKUP(CONTROL[[#This Row],[VEHIDCODE]],PROPERTIES[VEHIDCODE],PROPERTIES[IS_CONCEPT])="IS_CONCEPT"</f>
        <v>0</v>
      </c>
      <c r="Q538" s="7" t="b">
        <f>_xlfn.XLOOKUP(CONTROL[[#This Row],[VEHIDCODE]],PROPERTIES[VEHIDCODE],PROPERTIES[EXCLUDE])</f>
        <v>0</v>
      </c>
      <c r="R538" t="str" cm="1">
        <f t="array" ref="R538">_xlfn.XLOOKUP(CONTROL[[#This Row],[VEHIDCODE]],GRAPHICS_PROPERTIES[VEHIDCODE],GRAPHICS_PROPERTIES[TEMPLATE_ID]&amp;GRAPHICS_PROPERTIES[TEMPLATE_AMENDMENT_CODE])</f>
        <v>TPL_02A</v>
      </c>
    </row>
    <row r="539" spans="1:18" x14ac:dyDescent="0.35">
      <c r="A539" s="2" t="s">
        <v>3172</v>
      </c>
      <c r="B539" s="21" t="str">
        <f>_xlfn.TEXTAFTER(CONTROL[[#This Row],[VEHIDCODE]],"_")</f>
        <v>Fiat_CAF_Sm4</v>
      </c>
      <c r="C539" t="str" cm="1">
        <f t="array" ref="C5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9" t="str" cm="1">
        <f t="array" ref="D5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9">
        <v>8034</v>
      </c>
      <c r="F539" s="32" t="s">
        <v>2369</v>
      </c>
      <c r="G539" t="s">
        <v>1559</v>
      </c>
      <c r="H539" s="2" t="b">
        <f>AND(CONTROL[[#This Row],[IS_WAGON_OR_COACH]]=TRUE,OR(RIGHT(CONTROL[[#This Row],[VEHIDCODE]],7)="Powered",RIGHT(CONTROL[[#This Row],[VEHIDCODE]],9)="Unpowered"))</f>
        <v>0</v>
      </c>
      <c r="I5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9" t="b">
        <f>ISNUMBER(_xlfn.XMATCH(CONTROL[[#This Row],[VEHIDCODE]],TRACK_TYPES[VEHIDCODE],0))</f>
        <v>1</v>
      </c>
      <c r="K539" t="b">
        <f>ISNUMBER(_xlfn.XMATCH(CONTROL[[#This Row],[VEHIDCODE]],PROPERTIES[VEHIDCODE],0))</f>
        <v>1</v>
      </c>
      <c r="L539" t="b">
        <f>ISNUMBER(_xlfn.XLOOKUP(CONTROL[[#This Row],[VEHIDCODE]],roster!A:A,roster!D:D))</f>
        <v>1</v>
      </c>
      <c r="M539" t="b">
        <f>ISNUMBER(_xlfn.XMATCH(CONTROL[[#This Row],[VEHIDCODE]],GRAPHICS_PROPERTIES[VEHIDCODE],0))</f>
        <v>1</v>
      </c>
      <c r="N539" s="21" t="str">
        <f>"item_"&amp;CONTROL[[#This Row],[VEHIDCODE]]</f>
        <v>item_emu_Fiat_CAF_Sm4</v>
      </c>
      <c r="O539" s="21" t="str">
        <f>"str_"&amp;CONTROL[[#This Row],[VEHIDCODE]]</f>
        <v>str_emu_Fiat_CAF_Sm4</v>
      </c>
      <c r="P539" s="7" t="b">
        <f>_xlfn.XLOOKUP(CONTROL[[#This Row],[VEHIDCODE]],PROPERTIES[VEHIDCODE],PROPERTIES[IS_CONCEPT])="IS_CONCEPT"</f>
        <v>0</v>
      </c>
      <c r="Q539" s="7" t="b">
        <f>_xlfn.XLOOKUP(CONTROL[[#This Row],[VEHIDCODE]],PROPERTIES[VEHIDCODE],PROPERTIES[EXCLUDE])</f>
        <v>0</v>
      </c>
      <c r="R539" t="str" cm="1">
        <f t="array" ref="R539">_xlfn.XLOOKUP(CONTROL[[#This Row],[VEHIDCODE]],GRAPHICS_PROPERTIES[VEHIDCODE],GRAPHICS_PROPERTIES[TEMPLATE_ID]&amp;GRAPHICS_PROPERTIES[TEMPLATE_AMENDMENT_CODE])</f>
        <v>TPL_02A</v>
      </c>
    </row>
    <row r="540" spans="1:18" x14ac:dyDescent="0.35">
      <c r="A540" s="2" t="s">
        <v>3173</v>
      </c>
      <c r="B540" s="21" t="str">
        <f>_xlfn.TEXTAFTER(CONTROL[[#This Row],[VEHIDCODE]],"_")</f>
        <v>Ganz_MAVAG_VM17_BDVmot</v>
      </c>
      <c r="C540" t="str" cm="1">
        <f t="array" ref="C5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0" t="str" cm="1">
        <f t="array" ref="D5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0">
        <v>8022</v>
      </c>
      <c r="F540" s="32" t="s">
        <v>2613</v>
      </c>
      <c r="G540" t="s">
        <v>1560</v>
      </c>
      <c r="H540" s="2" t="b">
        <f>AND(CONTROL[[#This Row],[IS_WAGON_OR_COACH]]=TRUE,OR(RIGHT(CONTROL[[#This Row],[VEHIDCODE]],7)="Powered",RIGHT(CONTROL[[#This Row],[VEHIDCODE]],9)="Unpowered"))</f>
        <v>0</v>
      </c>
      <c r="I5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0" t="b">
        <f>ISNUMBER(_xlfn.XMATCH(CONTROL[[#This Row],[VEHIDCODE]],TRACK_TYPES[VEHIDCODE],0))</f>
        <v>1</v>
      </c>
      <c r="K540" t="b">
        <f>ISNUMBER(_xlfn.XMATCH(CONTROL[[#This Row],[VEHIDCODE]],PROPERTIES[VEHIDCODE],0))</f>
        <v>1</v>
      </c>
      <c r="L540" t="b">
        <f>ISNUMBER(_xlfn.XLOOKUP(CONTROL[[#This Row],[VEHIDCODE]],roster!A:A,roster!D:D))</f>
        <v>1</v>
      </c>
      <c r="M540" t="b">
        <f>ISNUMBER(_xlfn.XMATCH(CONTROL[[#This Row],[VEHIDCODE]],GRAPHICS_PROPERTIES[VEHIDCODE],0))</f>
        <v>1</v>
      </c>
      <c r="N540" s="21" t="str">
        <f>"item_"&amp;CONTROL[[#This Row],[VEHIDCODE]]</f>
        <v>item_emu_Ganz_MAVAG_VM17_BDVmot</v>
      </c>
      <c r="O540" s="21" t="str">
        <f>"str_"&amp;CONTROL[[#This Row],[VEHIDCODE]]</f>
        <v>str_emu_Ganz_MAVAG_VM17_BDVmot</v>
      </c>
      <c r="P540" s="7" t="b">
        <f>_xlfn.XLOOKUP(CONTROL[[#This Row],[VEHIDCODE]],PROPERTIES[VEHIDCODE],PROPERTIES[IS_CONCEPT])="IS_CONCEPT"</f>
        <v>0</v>
      </c>
      <c r="Q540" s="7" t="b">
        <f>_xlfn.XLOOKUP(CONTROL[[#This Row],[VEHIDCODE]],PROPERTIES[VEHIDCODE],PROPERTIES[EXCLUDE])</f>
        <v>0</v>
      </c>
      <c r="R540" t="str" cm="1">
        <f t="array" ref="R540">_xlfn.XLOOKUP(CONTROL[[#This Row],[VEHIDCODE]],GRAPHICS_PROPERTIES[VEHIDCODE],GRAPHICS_PROPERTIES[TEMPLATE_ID]&amp;GRAPHICS_PROPERTIES[TEMPLATE_AMENDMENT_CODE])</f>
        <v>TPL_02A</v>
      </c>
    </row>
    <row r="541" spans="1:18" x14ac:dyDescent="0.35">
      <c r="A541" s="2" t="s">
        <v>3174</v>
      </c>
      <c r="B541" s="21" t="str">
        <f>_xlfn.TEXTAFTER(CONTROL[[#This Row],[VEHIDCODE]],"_")</f>
        <v>ACME_Corp__Sureot</v>
      </c>
      <c r="C541" t="str" cm="1">
        <f t="array" ref="C5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1" t="str" cm="1">
        <f t="array" ref="D5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1">
        <v>8072</v>
      </c>
      <c r="F541" s="32" t="s">
        <v>2599</v>
      </c>
      <c r="G541" t="s">
        <v>523</v>
      </c>
      <c r="H541" s="2" t="b">
        <f>AND(CONTROL[[#This Row],[IS_WAGON_OR_COACH]]=TRUE,OR(RIGHT(CONTROL[[#This Row],[VEHIDCODE]],7)="Powered",RIGHT(CONTROL[[#This Row],[VEHIDCODE]],9)="Unpowered"))</f>
        <v>0</v>
      </c>
      <c r="I5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1" t="b">
        <f>ISNUMBER(_xlfn.XMATCH(CONTROL[[#This Row],[VEHIDCODE]],TRACK_TYPES[VEHIDCODE],0))</f>
        <v>1</v>
      </c>
      <c r="K541" t="b">
        <f>ISNUMBER(_xlfn.XMATCH(CONTROL[[#This Row],[VEHIDCODE]],PROPERTIES[VEHIDCODE],0))</f>
        <v>1</v>
      </c>
      <c r="L541" t="b">
        <f>ISNUMBER(_xlfn.XLOOKUP(CONTROL[[#This Row],[VEHIDCODE]],roster!A:A,roster!D:D))</f>
        <v>1</v>
      </c>
      <c r="M541" t="b">
        <f>ISNUMBER(_xlfn.XMATCH(CONTROL[[#This Row],[VEHIDCODE]],GRAPHICS_PROPERTIES[VEHIDCODE],0))</f>
        <v>1</v>
      </c>
      <c r="N541" s="21" t="str">
        <f>"item_"&amp;CONTROL[[#This Row],[VEHIDCODE]]</f>
        <v>item_emu_ACME_Corp__Sureot</v>
      </c>
      <c r="O541" s="21" t="str">
        <f>"str_"&amp;CONTROL[[#This Row],[VEHIDCODE]]</f>
        <v>str_emu_ACME_Corp__Sureot</v>
      </c>
      <c r="P541" s="7" t="b">
        <f>_xlfn.XLOOKUP(CONTROL[[#This Row],[VEHIDCODE]],PROPERTIES[VEHIDCODE],PROPERTIES[IS_CONCEPT])="IS_CONCEPT"</f>
        <v>1</v>
      </c>
      <c r="Q541" s="7" t="b">
        <f>_xlfn.XLOOKUP(CONTROL[[#This Row],[VEHIDCODE]],PROPERTIES[VEHIDCODE],PROPERTIES[EXCLUDE])</f>
        <v>0</v>
      </c>
      <c r="R541" t="str" cm="1">
        <f t="array" ref="R541">_xlfn.XLOOKUP(CONTROL[[#This Row],[VEHIDCODE]],GRAPHICS_PROPERTIES[VEHIDCODE],GRAPHICS_PROPERTIES[TEMPLATE_ID]&amp;GRAPHICS_PROPERTIES[TEMPLATE_AMENDMENT_CODE])</f>
        <v>TPL_02A</v>
      </c>
    </row>
    <row r="542" spans="1:18" x14ac:dyDescent="0.35">
      <c r="A542" s="2" t="s">
        <v>3175</v>
      </c>
      <c r="B542" s="21" t="str">
        <f>_xlfn.TEXTAFTER(CONTROL[[#This Row],[VEHIDCODE]],"_")</f>
        <v>Hitachi_Shinkansen_Series_0</v>
      </c>
      <c r="C542" t="str" cm="1">
        <f t="array" ref="C5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2" t="str" cm="1">
        <f t="array" ref="D5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2">
        <v>8011</v>
      </c>
      <c r="F542" s="32" t="s">
        <v>2370</v>
      </c>
      <c r="G542" t="s">
        <v>1561</v>
      </c>
      <c r="H542" s="2" t="b">
        <f>AND(CONTROL[[#This Row],[IS_WAGON_OR_COACH]]=TRUE,OR(RIGHT(CONTROL[[#This Row],[VEHIDCODE]],7)="Powered",RIGHT(CONTROL[[#This Row],[VEHIDCODE]],9)="Unpowered"))</f>
        <v>0</v>
      </c>
      <c r="I5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2" t="b">
        <f>ISNUMBER(_xlfn.XMATCH(CONTROL[[#This Row],[VEHIDCODE]],TRACK_TYPES[VEHIDCODE],0))</f>
        <v>1</v>
      </c>
      <c r="K542" t="b">
        <f>ISNUMBER(_xlfn.XMATCH(CONTROL[[#This Row],[VEHIDCODE]],PROPERTIES[VEHIDCODE],0))</f>
        <v>1</v>
      </c>
      <c r="L542" t="b">
        <f>ISNUMBER(_xlfn.XLOOKUP(CONTROL[[#This Row],[VEHIDCODE]],roster!A:A,roster!D:D))</f>
        <v>1</v>
      </c>
      <c r="M542" t="b">
        <f>ISNUMBER(_xlfn.XMATCH(CONTROL[[#This Row],[VEHIDCODE]],GRAPHICS_PROPERTIES[VEHIDCODE],0))</f>
        <v>1</v>
      </c>
      <c r="N542" s="21" t="str">
        <f>"item_"&amp;CONTROL[[#This Row],[VEHIDCODE]]</f>
        <v>item_emu_Hitachi_Shinkansen_Series_0</v>
      </c>
      <c r="O542" s="21" t="str">
        <f>"str_"&amp;CONTROL[[#This Row],[VEHIDCODE]]</f>
        <v>str_emu_Hitachi_Shinkansen_Series_0</v>
      </c>
      <c r="P542" s="7" t="b">
        <f>_xlfn.XLOOKUP(CONTROL[[#This Row],[VEHIDCODE]],PROPERTIES[VEHIDCODE],PROPERTIES[IS_CONCEPT])="IS_CONCEPT"</f>
        <v>0</v>
      </c>
      <c r="Q542" s="7" t="b">
        <f>_xlfn.XLOOKUP(CONTROL[[#This Row],[VEHIDCODE]],PROPERTIES[VEHIDCODE],PROPERTIES[EXCLUDE])</f>
        <v>0</v>
      </c>
      <c r="R542" t="str" cm="1">
        <f t="array" ref="R542">_xlfn.XLOOKUP(CONTROL[[#This Row],[VEHIDCODE]],GRAPHICS_PROPERTIES[VEHIDCODE],GRAPHICS_PROPERTIES[TEMPLATE_ID]&amp;GRAPHICS_PROPERTIES[TEMPLATE_AMENDMENT_CODE])</f>
        <v>TPL_02D</v>
      </c>
    </row>
    <row r="543" spans="1:18" x14ac:dyDescent="0.35">
      <c r="A543" s="2" t="s">
        <v>3176</v>
      </c>
      <c r="B543" s="21" t="str">
        <f>_xlfn.TEXTAFTER(CONTROL[[#This Row],[VEHIDCODE]],"_")</f>
        <v>Hitachi_Shinkansen_Series_700</v>
      </c>
      <c r="C543" t="str" cm="1">
        <f t="array" ref="C5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3" t="str" cm="1">
        <f t="array" ref="D5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3">
        <v>8030</v>
      </c>
      <c r="F543" s="32" t="s">
        <v>2371</v>
      </c>
      <c r="G543" t="s">
        <v>1562</v>
      </c>
      <c r="H543" s="2" t="b">
        <f>AND(CONTROL[[#This Row],[IS_WAGON_OR_COACH]]=TRUE,OR(RIGHT(CONTROL[[#This Row],[VEHIDCODE]],7)="Powered",RIGHT(CONTROL[[#This Row],[VEHIDCODE]],9)="Unpowered"))</f>
        <v>0</v>
      </c>
      <c r="I5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3" t="b">
        <f>ISNUMBER(_xlfn.XMATCH(CONTROL[[#This Row],[VEHIDCODE]],TRACK_TYPES[VEHIDCODE],0))</f>
        <v>1</v>
      </c>
      <c r="K543" t="b">
        <f>ISNUMBER(_xlfn.XMATCH(CONTROL[[#This Row],[VEHIDCODE]],PROPERTIES[VEHIDCODE],0))</f>
        <v>1</v>
      </c>
      <c r="L543" t="b">
        <f>ISNUMBER(_xlfn.XLOOKUP(CONTROL[[#This Row],[VEHIDCODE]],roster!A:A,roster!D:D))</f>
        <v>1</v>
      </c>
      <c r="M543" t="b">
        <f>ISNUMBER(_xlfn.XMATCH(CONTROL[[#This Row],[VEHIDCODE]],GRAPHICS_PROPERTIES[VEHIDCODE],0))</f>
        <v>1</v>
      </c>
      <c r="N543" s="21" t="str">
        <f>"item_"&amp;CONTROL[[#This Row],[VEHIDCODE]]</f>
        <v>item_emu_Hitachi_Shinkansen_Series_700</v>
      </c>
      <c r="O543" s="21" t="str">
        <f>"str_"&amp;CONTROL[[#This Row],[VEHIDCODE]]</f>
        <v>str_emu_Hitachi_Shinkansen_Series_700</v>
      </c>
      <c r="P543" s="7" t="b">
        <f>_xlfn.XLOOKUP(CONTROL[[#This Row],[VEHIDCODE]],PROPERTIES[VEHIDCODE],PROPERTIES[IS_CONCEPT])="IS_CONCEPT"</f>
        <v>0</v>
      </c>
      <c r="Q543" s="7" t="b">
        <f>_xlfn.XLOOKUP(CONTROL[[#This Row],[VEHIDCODE]],PROPERTIES[VEHIDCODE],PROPERTIES[EXCLUDE])</f>
        <v>0</v>
      </c>
      <c r="R543" t="str" cm="1">
        <f t="array" ref="R543">_xlfn.XLOOKUP(CONTROL[[#This Row],[VEHIDCODE]],GRAPHICS_PROPERTIES[VEHIDCODE],GRAPHICS_PROPERTIES[TEMPLATE_ID]&amp;GRAPHICS_PROPERTIES[TEMPLATE_AMENDMENT_CODE])</f>
        <v>TPL_02D</v>
      </c>
    </row>
    <row r="544" spans="1:18" x14ac:dyDescent="0.35">
      <c r="A544" s="2" t="s">
        <v>3177</v>
      </c>
      <c r="B544" s="21" t="str">
        <f>_xlfn.TEXTAFTER(CONTROL[[#This Row],[VEHIDCODE]],"_")</f>
        <v>Hitachi_Kawasaki_Shinkansen_Series_E1_Max</v>
      </c>
      <c r="C544" t="str" cm="1">
        <f t="array" ref="C5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4" t="str" cm="1">
        <f t="array" ref="D5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4">
        <v>8065</v>
      </c>
      <c r="F544" s="32" t="s">
        <v>2372</v>
      </c>
      <c r="G544" s="34" t="s">
        <v>3537</v>
      </c>
      <c r="H544" s="2" t="b">
        <f>AND(CONTROL[[#This Row],[IS_WAGON_OR_COACH]]=TRUE,OR(RIGHT(CONTROL[[#This Row],[VEHIDCODE]],7)="Powered",RIGHT(CONTROL[[#This Row],[VEHIDCODE]],9)="Unpowered"))</f>
        <v>0</v>
      </c>
      <c r="I5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4" t="b">
        <f>ISNUMBER(_xlfn.XMATCH(CONTROL[[#This Row],[VEHIDCODE]],TRACK_TYPES[VEHIDCODE],0))</f>
        <v>1</v>
      </c>
      <c r="K544" t="b">
        <f>ISNUMBER(_xlfn.XMATCH(CONTROL[[#This Row],[VEHIDCODE]],PROPERTIES[VEHIDCODE],0))</f>
        <v>1</v>
      </c>
      <c r="L544" t="b">
        <f>ISNUMBER(_xlfn.XLOOKUP(CONTROL[[#This Row],[VEHIDCODE]],roster!A:A,roster!D:D))</f>
        <v>1</v>
      </c>
      <c r="M544" t="b">
        <f>ISNUMBER(_xlfn.XMATCH(CONTROL[[#This Row],[VEHIDCODE]],GRAPHICS_PROPERTIES[VEHIDCODE],0))</f>
        <v>1</v>
      </c>
      <c r="N544" s="21" t="str">
        <f>"item_"&amp;CONTROL[[#This Row],[VEHIDCODE]]</f>
        <v>item_emu_Hitachi_Kawasaki_Shinkansen_Series_E1_Max</v>
      </c>
      <c r="O544" s="21" t="str">
        <f>"str_"&amp;CONTROL[[#This Row],[VEHIDCODE]]</f>
        <v>str_emu_Hitachi_Kawasaki_Shinkansen_Series_E1_Max</v>
      </c>
      <c r="P544" s="7" t="b">
        <f>_xlfn.XLOOKUP(CONTROL[[#This Row],[VEHIDCODE]],PROPERTIES[VEHIDCODE],PROPERTIES[IS_CONCEPT])="IS_CONCEPT"</f>
        <v>0</v>
      </c>
      <c r="Q544" s="7" t="b">
        <f>_xlfn.XLOOKUP(CONTROL[[#This Row],[VEHIDCODE]],PROPERTIES[VEHIDCODE],PROPERTIES[EXCLUDE])</f>
        <v>0</v>
      </c>
      <c r="R544" t="str" cm="1">
        <f t="array" ref="R544">_xlfn.XLOOKUP(CONTROL[[#This Row],[VEHIDCODE]],GRAPHICS_PROPERTIES[VEHIDCODE],GRAPHICS_PROPERTIES[TEMPLATE_ID]&amp;GRAPHICS_PROPERTIES[TEMPLATE_AMENDMENT_CODE])</f>
        <v>TPL_02D</v>
      </c>
    </row>
    <row r="545" spans="1:18" x14ac:dyDescent="0.35">
      <c r="A545" s="2" t="s">
        <v>3178</v>
      </c>
      <c r="B545" s="21" t="str">
        <f>_xlfn.TEXTAFTER(CONTROL[[#This Row],[VEHIDCODE]],"_")</f>
        <v>Alstom_Coradia_Duplex</v>
      </c>
      <c r="C545" t="str" cm="1">
        <f t="array" ref="C5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5" t="str" cm="1">
        <f t="array" ref="D5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5">
        <v>8035</v>
      </c>
      <c r="F545" s="32" t="s">
        <v>3678</v>
      </c>
      <c r="G545" t="s">
        <v>1563</v>
      </c>
      <c r="H545" s="2" t="b">
        <f>AND(CONTROL[[#This Row],[IS_WAGON_OR_COACH]]=TRUE,OR(RIGHT(CONTROL[[#This Row],[VEHIDCODE]],7)="Powered",RIGHT(CONTROL[[#This Row],[VEHIDCODE]],9)="Unpowered"))</f>
        <v>0</v>
      </c>
      <c r="I5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5" t="b">
        <f>ISNUMBER(_xlfn.XMATCH(CONTROL[[#This Row],[VEHIDCODE]],TRACK_TYPES[VEHIDCODE],0))</f>
        <v>1</v>
      </c>
      <c r="K545" t="b">
        <f>ISNUMBER(_xlfn.XMATCH(CONTROL[[#This Row],[VEHIDCODE]],PROPERTIES[VEHIDCODE],0))</f>
        <v>1</v>
      </c>
      <c r="L545" t="b">
        <f>ISNUMBER(_xlfn.XLOOKUP(CONTROL[[#This Row],[VEHIDCODE]],roster!A:A,roster!D:D))</f>
        <v>1</v>
      </c>
      <c r="M545" t="b">
        <f>ISNUMBER(_xlfn.XMATCH(CONTROL[[#This Row],[VEHIDCODE]],GRAPHICS_PROPERTIES[VEHIDCODE],0))</f>
        <v>1</v>
      </c>
      <c r="N545" s="21" t="str">
        <f>"item_"&amp;CONTROL[[#This Row],[VEHIDCODE]]</f>
        <v>item_emu_Alstom_Coradia_Duplex</v>
      </c>
      <c r="O545" s="21" t="str">
        <f>"str_"&amp;CONTROL[[#This Row],[VEHIDCODE]]</f>
        <v>str_emu_Alstom_Coradia_Duplex</v>
      </c>
      <c r="P545" s="7" t="b">
        <f>_xlfn.XLOOKUP(CONTROL[[#This Row],[VEHIDCODE]],PROPERTIES[VEHIDCODE],PROPERTIES[IS_CONCEPT])="IS_CONCEPT"</f>
        <v>0</v>
      </c>
      <c r="Q545" s="7" t="b">
        <f>_xlfn.XLOOKUP(CONTROL[[#This Row],[VEHIDCODE]],PROPERTIES[VEHIDCODE],PROPERTIES[EXCLUDE])</f>
        <v>0</v>
      </c>
      <c r="R545" t="str" cm="1">
        <f t="array" ref="R545">_xlfn.XLOOKUP(CONTROL[[#This Row],[VEHIDCODE]],GRAPHICS_PROPERTIES[VEHIDCODE],GRAPHICS_PROPERTIES[TEMPLATE_ID]&amp;GRAPHICS_PROPERTIES[TEMPLATE_AMENDMENT_CODE])</f>
        <v>TPL_02A</v>
      </c>
    </row>
    <row r="546" spans="1:18" x14ac:dyDescent="0.35">
      <c r="A546" s="2" t="s">
        <v>3179</v>
      </c>
      <c r="B546" s="21" t="str">
        <f>_xlfn.TEXTAFTER(CONTROL[[#This Row],[VEHIDCODE]],"_")</f>
        <v>RVR_ER31</v>
      </c>
      <c r="C546" t="str" cm="1">
        <f t="array" ref="C5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6" t="str" cm="1">
        <f t="array" ref="D5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6">
        <v>8053</v>
      </c>
      <c r="F546" s="32" t="s">
        <v>2373</v>
      </c>
      <c r="G546" t="s">
        <v>1564</v>
      </c>
      <c r="H546" s="2" t="b">
        <f>AND(CONTROL[[#This Row],[IS_WAGON_OR_COACH]]=TRUE,OR(RIGHT(CONTROL[[#This Row],[VEHIDCODE]],7)="Powered",RIGHT(CONTROL[[#This Row],[VEHIDCODE]],9)="Unpowered"))</f>
        <v>0</v>
      </c>
      <c r="I5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6" t="b">
        <f>ISNUMBER(_xlfn.XMATCH(CONTROL[[#This Row],[VEHIDCODE]],TRACK_TYPES[VEHIDCODE],0))</f>
        <v>1</v>
      </c>
      <c r="K546" t="b">
        <f>ISNUMBER(_xlfn.XMATCH(CONTROL[[#This Row],[VEHIDCODE]],PROPERTIES[VEHIDCODE],0))</f>
        <v>1</v>
      </c>
      <c r="L546" t="b">
        <f>ISNUMBER(_xlfn.XLOOKUP(CONTROL[[#This Row],[VEHIDCODE]],roster!A:A,roster!D:D))</f>
        <v>1</v>
      </c>
      <c r="M546" t="b">
        <f>ISNUMBER(_xlfn.XMATCH(CONTROL[[#This Row],[VEHIDCODE]],GRAPHICS_PROPERTIES[VEHIDCODE],0))</f>
        <v>1</v>
      </c>
      <c r="N546" s="21" t="str">
        <f>"item_"&amp;CONTROL[[#This Row],[VEHIDCODE]]</f>
        <v>item_emu_RVR_ER31</v>
      </c>
      <c r="O546" s="21" t="str">
        <f>"str_"&amp;CONTROL[[#This Row],[VEHIDCODE]]</f>
        <v>str_emu_RVR_ER31</v>
      </c>
      <c r="P546" s="7" t="b">
        <f>_xlfn.XLOOKUP(CONTROL[[#This Row],[VEHIDCODE]],PROPERTIES[VEHIDCODE],PROPERTIES[IS_CONCEPT])="IS_CONCEPT"</f>
        <v>0</v>
      </c>
      <c r="Q546" s="7" t="b">
        <f>_xlfn.XLOOKUP(CONTROL[[#This Row],[VEHIDCODE]],PROPERTIES[VEHIDCODE],PROPERTIES[EXCLUDE])</f>
        <v>0</v>
      </c>
      <c r="R546" t="str" cm="1">
        <f t="array" ref="R546">_xlfn.XLOOKUP(CONTROL[[#This Row],[VEHIDCODE]],GRAPHICS_PROPERTIES[VEHIDCODE],GRAPHICS_PROPERTIES[TEMPLATE_ID]&amp;GRAPHICS_PROPERTIES[TEMPLATE_AMENDMENT_CODE])</f>
        <v>TPL_02A</v>
      </c>
    </row>
    <row r="547" spans="1:18" x14ac:dyDescent="0.35">
      <c r="A547" s="2" t="s">
        <v>3444</v>
      </c>
      <c r="B547" s="21" t="str">
        <f>_xlfn.TEXTAFTER(CONTROL[[#This Row],[VEHIDCODE]],"_")</f>
        <v>Carel_et_Fouche_Alsthom_Z_6100</v>
      </c>
      <c r="C547" t="str" cm="1">
        <f t="array" ref="C5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7" t="str" cm="1">
        <f t="array" ref="D5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7">
        <v>8061</v>
      </c>
      <c r="F547" s="32" t="s">
        <v>3445</v>
      </c>
      <c r="G547" t="s">
        <v>1565</v>
      </c>
      <c r="H547" s="2" t="b">
        <f>AND(CONTROL[[#This Row],[IS_WAGON_OR_COACH]]=TRUE,OR(RIGHT(CONTROL[[#This Row],[VEHIDCODE]],7)="Powered",RIGHT(CONTROL[[#This Row],[VEHIDCODE]],9)="Unpowered"))</f>
        <v>0</v>
      </c>
      <c r="I5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7" t="b">
        <f>ISNUMBER(_xlfn.XMATCH(CONTROL[[#This Row],[VEHIDCODE]],TRACK_TYPES[VEHIDCODE],0))</f>
        <v>1</v>
      </c>
      <c r="K547" t="b">
        <f>ISNUMBER(_xlfn.XMATCH(CONTROL[[#This Row],[VEHIDCODE]],PROPERTIES[VEHIDCODE],0))</f>
        <v>1</v>
      </c>
      <c r="L547" t="b">
        <f>ISNUMBER(_xlfn.XLOOKUP(CONTROL[[#This Row],[VEHIDCODE]],roster!A:A,roster!D:D))</f>
        <v>1</v>
      </c>
      <c r="M547" t="b">
        <f>ISNUMBER(_xlfn.XMATCH(CONTROL[[#This Row],[VEHIDCODE]],GRAPHICS_PROPERTIES[VEHIDCODE],0))</f>
        <v>1</v>
      </c>
      <c r="N547" s="21" t="str">
        <f>"item_"&amp;CONTROL[[#This Row],[VEHIDCODE]]</f>
        <v>item_emu_Carel_et_Fouche_Alsthom_Z_6100</v>
      </c>
      <c r="O547" s="21" t="str">
        <f>"str_"&amp;CONTROL[[#This Row],[VEHIDCODE]]</f>
        <v>str_emu_Carel_et_Fouche_Alsthom_Z_6100</v>
      </c>
      <c r="P547" s="7" t="b">
        <f>_xlfn.XLOOKUP(CONTROL[[#This Row],[VEHIDCODE]],PROPERTIES[VEHIDCODE],PROPERTIES[IS_CONCEPT])="IS_CONCEPT"</f>
        <v>0</v>
      </c>
      <c r="Q547" s="7" t="b">
        <f>_xlfn.XLOOKUP(CONTROL[[#This Row],[VEHIDCODE]],PROPERTIES[VEHIDCODE],PROPERTIES[EXCLUDE])</f>
        <v>0</v>
      </c>
      <c r="R547" t="str" cm="1">
        <f t="array" ref="R547">_xlfn.XLOOKUP(CONTROL[[#This Row],[VEHIDCODE]],GRAPHICS_PROPERTIES[VEHIDCODE],GRAPHICS_PROPERTIES[TEMPLATE_ID]&amp;GRAPHICS_PROPERTIES[TEMPLATE_AMENDMENT_CODE])</f>
        <v>TPL_02A</v>
      </c>
    </row>
    <row r="548" spans="1:18" x14ac:dyDescent="0.35">
      <c r="A548" s="2" t="s">
        <v>3180</v>
      </c>
      <c r="B548" s="21" t="str">
        <f>_xlfn.TEXTAFTER(CONTROL[[#This Row],[VEHIDCODE]],"_")</f>
        <v>Bombardier_UCW_Electrostar_Gautrain</v>
      </c>
      <c r="C548" t="str" cm="1">
        <f t="array" ref="C5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8" t="str" cm="1">
        <f t="array" ref="D5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8">
        <v>8041</v>
      </c>
      <c r="F548" s="32" t="s">
        <v>2374</v>
      </c>
      <c r="G548" t="s">
        <v>1566</v>
      </c>
      <c r="H548" s="2" t="b">
        <f>AND(CONTROL[[#This Row],[IS_WAGON_OR_COACH]]=TRUE,OR(RIGHT(CONTROL[[#This Row],[VEHIDCODE]],7)="Powered",RIGHT(CONTROL[[#This Row],[VEHIDCODE]],9)="Unpowered"))</f>
        <v>0</v>
      </c>
      <c r="I5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8" t="b">
        <f>ISNUMBER(_xlfn.XMATCH(CONTROL[[#This Row],[VEHIDCODE]],TRACK_TYPES[VEHIDCODE],0))</f>
        <v>1</v>
      </c>
      <c r="K548" t="b">
        <f>ISNUMBER(_xlfn.XMATCH(CONTROL[[#This Row],[VEHIDCODE]],PROPERTIES[VEHIDCODE],0))</f>
        <v>1</v>
      </c>
      <c r="L548" t="b">
        <f>ISNUMBER(_xlfn.XLOOKUP(CONTROL[[#This Row],[VEHIDCODE]],roster!A:A,roster!D:D))</f>
        <v>1</v>
      </c>
      <c r="M548" t="b">
        <f>ISNUMBER(_xlfn.XMATCH(CONTROL[[#This Row],[VEHIDCODE]],GRAPHICS_PROPERTIES[VEHIDCODE],0))</f>
        <v>1</v>
      </c>
      <c r="N548" s="21" t="str">
        <f>"item_"&amp;CONTROL[[#This Row],[VEHIDCODE]]</f>
        <v>item_emu_Bombardier_UCW_Electrostar_Gautrain</v>
      </c>
      <c r="O548" s="21" t="str">
        <f>"str_"&amp;CONTROL[[#This Row],[VEHIDCODE]]</f>
        <v>str_emu_Bombardier_UCW_Electrostar_Gautrain</v>
      </c>
      <c r="P548" s="7" t="b">
        <f>_xlfn.XLOOKUP(CONTROL[[#This Row],[VEHIDCODE]],PROPERTIES[VEHIDCODE],PROPERTIES[IS_CONCEPT])="IS_CONCEPT"</f>
        <v>0</v>
      </c>
      <c r="Q548" s="7" t="b">
        <f>_xlfn.XLOOKUP(CONTROL[[#This Row],[VEHIDCODE]],PROPERTIES[VEHIDCODE],PROPERTIES[EXCLUDE])</f>
        <v>0</v>
      </c>
      <c r="R548" t="str" cm="1">
        <f t="array" ref="R548">_xlfn.XLOOKUP(CONTROL[[#This Row],[VEHIDCODE]],GRAPHICS_PROPERTIES[VEHIDCODE],GRAPHICS_PROPERTIES[TEMPLATE_ID]&amp;GRAPHICS_PROPERTIES[TEMPLATE_AMENDMENT_CODE])</f>
        <v>TPL_02A</v>
      </c>
    </row>
    <row r="549" spans="1:18" x14ac:dyDescent="0.35">
      <c r="A549" s="2" t="s">
        <v>3181</v>
      </c>
      <c r="B549" s="21" t="str">
        <f>_xlfn.TEXTAFTER(CONTROL[[#This Row],[VEHIDCODE]],"_")</f>
        <v>Alsthom_Jeumont_TCDD_E8000</v>
      </c>
      <c r="C549" t="str" cm="1">
        <f t="array" ref="C5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9" t="str" cm="1">
        <f t="array" ref="D5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9">
        <v>8008</v>
      </c>
      <c r="F549" s="32" t="s">
        <v>2553</v>
      </c>
      <c r="G549" t="s">
        <v>1567</v>
      </c>
      <c r="H549" s="2" t="b">
        <f>AND(CONTROL[[#This Row],[IS_WAGON_OR_COACH]]=TRUE,OR(RIGHT(CONTROL[[#This Row],[VEHIDCODE]],7)="Powered",RIGHT(CONTROL[[#This Row],[VEHIDCODE]],9)="Unpowered"))</f>
        <v>0</v>
      </c>
      <c r="I5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9" t="b">
        <f>ISNUMBER(_xlfn.XMATCH(CONTROL[[#This Row],[VEHIDCODE]],TRACK_TYPES[VEHIDCODE],0))</f>
        <v>1</v>
      </c>
      <c r="K549" t="b">
        <f>ISNUMBER(_xlfn.XMATCH(CONTROL[[#This Row],[VEHIDCODE]],PROPERTIES[VEHIDCODE],0))</f>
        <v>1</v>
      </c>
      <c r="L549" t="b">
        <f>ISNUMBER(_xlfn.XLOOKUP(CONTROL[[#This Row],[VEHIDCODE]],roster!A:A,roster!D:D))</f>
        <v>1</v>
      </c>
      <c r="M549" t="b">
        <f>ISNUMBER(_xlfn.XMATCH(CONTROL[[#This Row],[VEHIDCODE]],GRAPHICS_PROPERTIES[VEHIDCODE],0))</f>
        <v>1</v>
      </c>
      <c r="N549" s="21" t="str">
        <f>"item_"&amp;CONTROL[[#This Row],[VEHIDCODE]]</f>
        <v>item_emu_Alsthom_Jeumont_TCDD_E8000</v>
      </c>
      <c r="O549" s="21" t="str">
        <f>"str_"&amp;CONTROL[[#This Row],[VEHIDCODE]]</f>
        <v>str_emu_Alsthom_Jeumont_TCDD_E8000</v>
      </c>
      <c r="P549" s="7" t="b">
        <f>_xlfn.XLOOKUP(CONTROL[[#This Row],[VEHIDCODE]],PROPERTIES[VEHIDCODE],PROPERTIES[IS_CONCEPT])="IS_CONCEPT"</f>
        <v>0</v>
      </c>
      <c r="Q549" s="7" t="b">
        <f>_xlfn.XLOOKUP(CONTROL[[#This Row],[VEHIDCODE]],PROPERTIES[VEHIDCODE],PROPERTIES[EXCLUDE])</f>
        <v>0</v>
      </c>
      <c r="R549" t="str" cm="1">
        <f t="array" ref="R549">_xlfn.XLOOKUP(CONTROL[[#This Row],[VEHIDCODE]],GRAPHICS_PROPERTIES[VEHIDCODE],GRAPHICS_PROPERTIES[TEMPLATE_ID]&amp;GRAPHICS_PROPERTIES[TEMPLATE_AMENDMENT_CODE])</f>
        <v>TPL_02A</v>
      </c>
    </row>
    <row r="550" spans="1:18" x14ac:dyDescent="0.35">
      <c r="A550" s="2" t="s">
        <v>3182</v>
      </c>
      <c r="B550" s="21" t="str">
        <f>_xlfn.TEXTAFTER(CONTROL[[#This Row],[VEHIDCODE]],"_")</f>
        <v>CSR_Qingdao_CHR380A</v>
      </c>
      <c r="C550" t="str" cm="1">
        <f t="array" ref="C5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0" t="str" cm="1">
        <f t="array" ref="D5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0">
        <v>8071</v>
      </c>
      <c r="F550" s="32" t="s">
        <v>2375</v>
      </c>
      <c r="G550" t="s">
        <v>1568</v>
      </c>
      <c r="H550" s="2" t="b">
        <f>AND(CONTROL[[#This Row],[IS_WAGON_OR_COACH]]=TRUE,OR(RIGHT(CONTROL[[#This Row],[VEHIDCODE]],7)="Powered",RIGHT(CONTROL[[#This Row],[VEHIDCODE]],9)="Unpowered"))</f>
        <v>0</v>
      </c>
      <c r="I5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0" t="b">
        <f>ISNUMBER(_xlfn.XMATCH(CONTROL[[#This Row],[VEHIDCODE]],TRACK_TYPES[VEHIDCODE],0))</f>
        <v>1</v>
      </c>
      <c r="K550" t="b">
        <f>ISNUMBER(_xlfn.XMATCH(CONTROL[[#This Row],[VEHIDCODE]],PROPERTIES[VEHIDCODE],0))</f>
        <v>1</v>
      </c>
      <c r="L550" t="b">
        <f>ISNUMBER(_xlfn.XLOOKUP(CONTROL[[#This Row],[VEHIDCODE]],roster!A:A,roster!D:D))</f>
        <v>1</v>
      </c>
      <c r="M550" t="b">
        <f>ISNUMBER(_xlfn.XMATCH(CONTROL[[#This Row],[VEHIDCODE]],GRAPHICS_PROPERTIES[VEHIDCODE],0))</f>
        <v>1</v>
      </c>
      <c r="N550" s="21" t="str">
        <f>"item_"&amp;CONTROL[[#This Row],[VEHIDCODE]]</f>
        <v>item_emu_CSR_Qingdao_CHR380A</v>
      </c>
      <c r="O550" s="21" t="str">
        <f>"str_"&amp;CONTROL[[#This Row],[VEHIDCODE]]</f>
        <v>str_emu_CSR_Qingdao_CHR380A</v>
      </c>
      <c r="P550" s="7" t="b">
        <f>_xlfn.XLOOKUP(CONTROL[[#This Row],[VEHIDCODE]],PROPERTIES[VEHIDCODE],PROPERTIES[IS_CONCEPT])="IS_CONCEPT"</f>
        <v>0</v>
      </c>
      <c r="Q550" s="7" t="b">
        <f>_xlfn.XLOOKUP(CONTROL[[#This Row],[VEHIDCODE]],PROPERTIES[VEHIDCODE],PROPERTIES[EXCLUDE])</f>
        <v>0</v>
      </c>
      <c r="R550" t="str" cm="1">
        <f t="array" ref="R550">_xlfn.XLOOKUP(CONTROL[[#This Row],[VEHIDCODE]],GRAPHICS_PROPERTIES[VEHIDCODE],GRAPHICS_PROPERTIES[TEMPLATE_ID]&amp;GRAPHICS_PROPERTIES[TEMPLATE_AMENDMENT_CODE])</f>
        <v>TPL_02D</v>
      </c>
    </row>
    <row r="551" spans="1:18" x14ac:dyDescent="0.35">
      <c r="A551" s="2" t="s">
        <v>3183</v>
      </c>
      <c r="B551" s="21" t="str">
        <f>_xlfn.TEXTAFTER(CONTROL[[#This Row],[VEHIDCODE]],"_")</f>
        <v>PRR_MP54</v>
      </c>
      <c r="C551" t="str" cm="1">
        <f t="array" ref="C5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1" t="str" cm="1">
        <f t="array" ref="D5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1">
        <v>8045</v>
      </c>
      <c r="F551" s="32" t="s">
        <v>383</v>
      </c>
      <c r="G551" t="s">
        <v>1569</v>
      </c>
      <c r="H551" s="2" t="b">
        <f>AND(CONTROL[[#This Row],[IS_WAGON_OR_COACH]]=TRUE,OR(RIGHT(CONTROL[[#This Row],[VEHIDCODE]],7)="Powered",RIGHT(CONTROL[[#This Row],[VEHIDCODE]],9)="Unpowered"))</f>
        <v>0</v>
      </c>
      <c r="I5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1" t="b">
        <f>ISNUMBER(_xlfn.XMATCH(CONTROL[[#This Row],[VEHIDCODE]],TRACK_TYPES[VEHIDCODE],0))</f>
        <v>1</v>
      </c>
      <c r="K551" t="b">
        <f>ISNUMBER(_xlfn.XMATCH(CONTROL[[#This Row],[VEHIDCODE]],PROPERTIES[VEHIDCODE],0))</f>
        <v>1</v>
      </c>
      <c r="L551" t="b">
        <f>ISNUMBER(_xlfn.XLOOKUP(CONTROL[[#This Row],[VEHIDCODE]],roster!A:A,roster!D:D))</f>
        <v>1</v>
      </c>
      <c r="M551" t="b">
        <f>ISNUMBER(_xlfn.XMATCH(CONTROL[[#This Row],[VEHIDCODE]],GRAPHICS_PROPERTIES[VEHIDCODE],0))</f>
        <v>1</v>
      </c>
      <c r="N551" s="21" t="str">
        <f>"item_"&amp;CONTROL[[#This Row],[VEHIDCODE]]</f>
        <v>item_emu_PRR_MP54</v>
      </c>
      <c r="O551" s="21" t="str">
        <f>"str_"&amp;CONTROL[[#This Row],[VEHIDCODE]]</f>
        <v>str_emu_PRR_MP54</v>
      </c>
      <c r="P551" s="7" t="b">
        <f>_xlfn.XLOOKUP(CONTROL[[#This Row],[VEHIDCODE]],PROPERTIES[VEHIDCODE],PROPERTIES[IS_CONCEPT])="IS_CONCEPT"</f>
        <v>0</v>
      </c>
      <c r="Q551" s="7" t="b">
        <f>_xlfn.XLOOKUP(CONTROL[[#This Row],[VEHIDCODE]],PROPERTIES[VEHIDCODE],PROPERTIES[EXCLUDE])</f>
        <v>1</v>
      </c>
      <c r="R551" t="str" cm="1">
        <f t="array" ref="R551">_xlfn.XLOOKUP(CONTROL[[#This Row],[VEHIDCODE]],GRAPHICS_PROPERTIES[VEHIDCODE],GRAPHICS_PROPERTIES[TEMPLATE_ID]&amp;GRAPHICS_PROPERTIES[TEMPLATE_AMENDMENT_CODE])</f>
        <v>TPL_02A</v>
      </c>
    </row>
    <row r="552" spans="1:18" x14ac:dyDescent="0.35">
      <c r="A552" s="2" t="s">
        <v>3184</v>
      </c>
      <c r="B552" s="21" t="str">
        <f>_xlfn.TEXTAFTER(CONTROL[[#This Row],[VEHIDCODE]],"_")</f>
        <v>Alstom_AGV</v>
      </c>
      <c r="C552" t="str" cm="1">
        <f t="array" ref="C5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2" t="str" cm="1">
        <f t="array" ref="D5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2">
        <v>8042</v>
      </c>
      <c r="F552" s="32" t="s">
        <v>2376</v>
      </c>
      <c r="G552" t="s">
        <v>1570</v>
      </c>
      <c r="H552" s="2" t="b">
        <f>AND(CONTROL[[#This Row],[IS_WAGON_OR_COACH]]=TRUE,OR(RIGHT(CONTROL[[#This Row],[VEHIDCODE]],7)="Powered",RIGHT(CONTROL[[#This Row],[VEHIDCODE]],9)="Unpowered"))</f>
        <v>0</v>
      </c>
      <c r="I5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2" t="b">
        <f>ISNUMBER(_xlfn.XMATCH(CONTROL[[#This Row],[VEHIDCODE]],TRACK_TYPES[VEHIDCODE],0))</f>
        <v>1</v>
      </c>
      <c r="K552" t="b">
        <f>ISNUMBER(_xlfn.XMATCH(CONTROL[[#This Row],[VEHIDCODE]],PROPERTIES[VEHIDCODE],0))</f>
        <v>1</v>
      </c>
      <c r="L552" t="b">
        <f>ISNUMBER(_xlfn.XLOOKUP(CONTROL[[#This Row],[VEHIDCODE]],roster!A:A,roster!D:D))</f>
        <v>1</v>
      </c>
      <c r="M552" t="b">
        <f>ISNUMBER(_xlfn.XMATCH(CONTROL[[#This Row],[VEHIDCODE]],GRAPHICS_PROPERTIES[VEHIDCODE],0))</f>
        <v>1</v>
      </c>
      <c r="N552" s="21" t="str">
        <f>"item_"&amp;CONTROL[[#This Row],[VEHIDCODE]]</f>
        <v>item_emu_Alstom_AGV</v>
      </c>
      <c r="O552" s="21" t="str">
        <f>"str_"&amp;CONTROL[[#This Row],[VEHIDCODE]]</f>
        <v>str_emu_Alstom_AGV</v>
      </c>
      <c r="P552" s="7" t="b">
        <f>_xlfn.XLOOKUP(CONTROL[[#This Row],[VEHIDCODE]],PROPERTIES[VEHIDCODE],PROPERTIES[IS_CONCEPT])="IS_CONCEPT"</f>
        <v>0</v>
      </c>
      <c r="Q552" s="7" t="b">
        <f>_xlfn.XLOOKUP(CONTROL[[#This Row],[VEHIDCODE]],PROPERTIES[VEHIDCODE],PROPERTIES[EXCLUDE])</f>
        <v>0</v>
      </c>
      <c r="R552" t="str" cm="1">
        <f t="array" ref="R552">_xlfn.XLOOKUP(CONTROL[[#This Row],[VEHIDCODE]],GRAPHICS_PROPERTIES[VEHIDCODE],GRAPHICS_PROPERTIES[TEMPLATE_ID]&amp;GRAPHICS_PROPERTIES[TEMPLATE_AMENDMENT_CODE])</f>
        <v>TPL_02E</v>
      </c>
    </row>
    <row r="553" spans="1:18" x14ac:dyDescent="0.35">
      <c r="A553" s="2" t="s">
        <v>3185</v>
      </c>
      <c r="B553" s="21" t="str">
        <f>_xlfn.TEXTAFTER(CONTROL[[#This Row],[VEHIDCODE]],"_")</f>
        <v>Alstom_Avelia_Horizon</v>
      </c>
      <c r="C553" t="str" cm="1">
        <f t="array" ref="C5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3" t="str" cm="1">
        <f t="array" ref="D5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3">
        <v>8044</v>
      </c>
      <c r="F553" s="32" t="s">
        <v>2377</v>
      </c>
      <c r="G553" t="s">
        <v>1571</v>
      </c>
      <c r="H553" s="2" t="b">
        <f>AND(CONTROL[[#This Row],[IS_WAGON_OR_COACH]]=TRUE,OR(RIGHT(CONTROL[[#This Row],[VEHIDCODE]],7)="Powered",RIGHT(CONTROL[[#This Row],[VEHIDCODE]],9)="Unpowered"))</f>
        <v>0</v>
      </c>
      <c r="I5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3" t="b">
        <f>ISNUMBER(_xlfn.XMATCH(CONTROL[[#This Row],[VEHIDCODE]],TRACK_TYPES[VEHIDCODE],0))</f>
        <v>1</v>
      </c>
      <c r="K553" t="b">
        <f>ISNUMBER(_xlfn.XMATCH(CONTROL[[#This Row],[VEHIDCODE]],PROPERTIES[VEHIDCODE],0))</f>
        <v>1</v>
      </c>
      <c r="L553" t="b">
        <f>ISNUMBER(_xlfn.XLOOKUP(CONTROL[[#This Row],[VEHIDCODE]],roster!A:A,roster!D:D))</f>
        <v>1</v>
      </c>
      <c r="M553" t="b">
        <f>ISNUMBER(_xlfn.XMATCH(CONTROL[[#This Row],[VEHIDCODE]],GRAPHICS_PROPERTIES[VEHIDCODE],0))</f>
        <v>1</v>
      </c>
      <c r="N553" s="21" t="str">
        <f>"item_"&amp;CONTROL[[#This Row],[VEHIDCODE]]</f>
        <v>item_emu_Alstom_Avelia_Horizon</v>
      </c>
      <c r="O553" s="21" t="str">
        <f>"str_"&amp;CONTROL[[#This Row],[VEHIDCODE]]</f>
        <v>str_emu_Alstom_Avelia_Horizon</v>
      </c>
      <c r="P553" s="7" t="b">
        <f>_xlfn.XLOOKUP(CONTROL[[#This Row],[VEHIDCODE]],PROPERTIES[VEHIDCODE],PROPERTIES[IS_CONCEPT])="IS_CONCEPT"</f>
        <v>1</v>
      </c>
      <c r="Q553" s="7" t="b">
        <f>_xlfn.XLOOKUP(CONTROL[[#This Row],[VEHIDCODE]],PROPERTIES[VEHIDCODE],PROPERTIES[EXCLUDE])</f>
        <v>0</v>
      </c>
      <c r="R553" t="str" cm="1">
        <f t="array" ref="R553">_xlfn.XLOOKUP(CONTROL[[#This Row],[VEHIDCODE]],GRAPHICS_PROPERTIES[VEHIDCODE],GRAPHICS_PROPERTIES[TEMPLATE_ID]&amp;GRAPHICS_PROPERTIES[TEMPLATE_AMENDMENT_CODE])</f>
        <v>TPL_02E</v>
      </c>
    </row>
    <row r="554" spans="1:18" x14ac:dyDescent="0.35">
      <c r="A554" s="2" t="s">
        <v>3186</v>
      </c>
      <c r="B554" s="21" t="str">
        <f>_xlfn.TEXTAFTER(CONTROL[[#This Row],[VEHIDCODE]],"_")</f>
        <v>AnsaldoBreda_V250_Albatros</v>
      </c>
      <c r="C554" t="str" cm="1">
        <f t="array" ref="C5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4" t="str" cm="1">
        <f t="array" ref="D5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4">
        <v>8055</v>
      </c>
      <c r="F554" s="32" t="s">
        <v>2378</v>
      </c>
      <c r="G554" t="s">
        <v>1572</v>
      </c>
      <c r="H554" s="2" t="b">
        <f>AND(CONTROL[[#This Row],[IS_WAGON_OR_COACH]]=TRUE,OR(RIGHT(CONTROL[[#This Row],[VEHIDCODE]],7)="Powered",RIGHT(CONTROL[[#This Row],[VEHIDCODE]],9)="Unpowered"))</f>
        <v>0</v>
      </c>
      <c r="I5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4" t="b">
        <f>ISNUMBER(_xlfn.XMATCH(CONTROL[[#This Row],[VEHIDCODE]],TRACK_TYPES[VEHIDCODE],0))</f>
        <v>1</v>
      </c>
      <c r="K554" t="b">
        <f>ISNUMBER(_xlfn.XMATCH(CONTROL[[#This Row],[VEHIDCODE]],PROPERTIES[VEHIDCODE],0))</f>
        <v>1</v>
      </c>
      <c r="L554" t="b">
        <f>ISNUMBER(_xlfn.XLOOKUP(CONTROL[[#This Row],[VEHIDCODE]],roster!A:A,roster!D:D))</f>
        <v>1</v>
      </c>
      <c r="M554" t="b">
        <f>ISNUMBER(_xlfn.XMATCH(CONTROL[[#This Row],[VEHIDCODE]],GRAPHICS_PROPERTIES[VEHIDCODE],0))</f>
        <v>1</v>
      </c>
      <c r="N554" s="21" t="str">
        <f>"item_"&amp;CONTROL[[#This Row],[VEHIDCODE]]</f>
        <v>item_emu_AnsaldoBreda_V250_Albatros</v>
      </c>
      <c r="O554" s="21" t="str">
        <f>"str_"&amp;CONTROL[[#This Row],[VEHIDCODE]]</f>
        <v>str_emu_AnsaldoBreda_V250_Albatros</v>
      </c>
      <c r="P554" s="7" t="b">
        <f>_xlfn.XLOOKUP(CONTROL[[#This Row],[VEHIDCODE]],PROPERTIES[VEHIDCODE],PROPERTIES[IS_CONCEPT])="IS_CONCEPT"</f>
        <v>0</v>
      </c>
      <c r="Q554" s="7" t="b">
        <f>_xlfn.XLOOKUP(CONTROL[[#This Row],[VEHIDCODE]],PROPERTIES[VEHIDCODE],PROPERTIES[EXCLUDE])</f>
        <v>0</v>
      </c>
      <c r="R554" t="str" cm="1">
        <f t="array" ref="R554">_xlfn.XLOOKUP(CONTROL[[#This Row],[VEHIDCODE]],GRAPHICS_PROPERTIES[VEHIDCODE],GRAPHICS_PROPERTIES[TEMPLATE_ID]&amp;GRAPHICS_PROPERTIES[TEMPLATE_AMENDMENT_CODE])</f>
        <v>TPL_02D</v>
      </c>
    </row>
    <row r="555" spans="1:18" x14ac:dyDescent="0.35">
      <c r="A555" s="2" t="s">
        <v>3187</v>
      </c>
      <c r="B555" s="21" t="str">
        <f>_xlfn.TEXTAFTER(CONTROL[[#This Row],[VEHIDCODE]],"_")</f>
        <v>NS_4800_HSA_Fyra</v>
      </c>
      <c r="C555" t="str" cm="1">
        <f t="array" ref="C5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5" t="str" cm="1">
        <f t="array" ref="D5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5">
        <v>8043</v>
      </c>
      <c r="F555" s="32" t="s">
        <v>1575</v>
      </c>
      <c r="G555" t="s">
        <v>523</v>
      </c>
      <c r="H555" s="2" t="b">
        <f>AND(CONTROL[[#This Row],[IS_WAGON_OR_COACH]]=TRUE,OR(RIGHT(CONTROL[[#This Row],[VEHIDCODE]],7)="Powered",RIGHT(CONTROL[[#This Row],[VEHIDCODE]],9)="Unpowered"))</f>
        <v>0</v>
      </c>
      <c r="I5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5" t="b">
        <f>ISNUMBER(_xlfn.XMATCH(CONTROL[[#This Row],[VEHIDCODE]],TRACK_TYPES[VEHIDCODE],0))</f>
        <v>1</v>
      </c>
      <c r="K555" t="b">
        <f>ISNUMBER(_xlfn.XMATCH(CONTROL[[#This Row],[VEHIDCODE]],PROPERTIES[VEHIDCODE],0))</f>
        <v>1</v>
      </c>
      <c r="L555" t="b">
        <f>ISNUMBER(_xlfn.XLOOKUP(CONTROL[[#This Row],[VEHIDCODE]],roster!A:A,roster!D:D))</f>
        <v>1</v>
      </c>
      <c r="M555" t="b">
        <f>ISNUMBER(_xlfn.XMATCH(CONTROL[[#This Row],[VEHIDCODE]],GRAPHICS_PROPERTIES[VEHIDCODE],0))</f>
        <v>1</v>
      </c>
      <c r="N555" s="21" t="str">
        <f>"item_"&amp;CONTROL[[#This Row],[VEHIDCODE]]</f>
        <v>item_emu_NS_4800_HSA_Fyra</v>
      </c>
      <c r="O555" s="21" t="str">
        <f>"str_"&amp;CONTROL[[#This Row],[VEHIDCODE]]</f>
        <v>str_emu_NS_4800_HSA_Fyra</v>
      </c>
      <c r="P555" s="7" t="b">
        <f>_xlfn.XLOOKUP(CONTROL[[#This Row],[VEHIDCODE]],PROPERTIES[VEHIDCODE],PROPERTIES[IS_CONCEPT])="IS_CONCEPT"</f>
        <v>1</v>
      </c>
      <c r="Q555" s="7" t="b">
        <f>_xlfn.XLOOKUP(CONTROL[[#This Row],[VEHIDCODE]],PROPERTIES[VEHIDCODE],PROPERTIES[EXCLUDE])</f>
        <v>0</v>
      </c>
      <c r="R555" t="str" cm="1">
        <f t="array" ref="R555">_xlfn.XLOOKUP(CONTROL[[#This Row],[VEHIDCODE]],GRAPHICS_PROPERTIES[VEHIDCODE],GRAPHICS_PROPERTIES[TEMPLATE_ID]&amp;GRAPHICS_PROPERTIES[TEMPLATE_AMENDMENT_CODE])</f>
        <v>TPL_02E</v>
      </c>
    </row>
    <row r="556" spans="1:18" x14ac:dyDescent="0.35">
      <c r="A556" s="2" t="s">
        <v>3188</v>
      </c>
      <c r="B556" s="21" t="str">
        <f>_xlfn.TEXTAFTER(CONTROL[[#This Row],[VEHIDCODE]],"_")</f>
        <v>SIG_Rae_TEE_II</v>
      </c>
      <c r="C556" t="str" cm="1">
        <f t="array" ref="C5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6" t="str" cm="1">
        <f t="array" ref="D5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6">
        <v>8009</v>
      </c>
      <c r="F556" s="32" t="s">
        <v>2379</v>
      </c>
      <c r="G556" t="s">
        <v>1573</v>
      </c>
      <c r="H556" s="2" t="b">
        <f>AND(CONTROL[[#This Row],[IS_WAGON_OR_COACH]]=TRUE,OR(RIGHT(CONTROL[[#This Row],[VEHIDCODE]],7)="Powered",RIGHT(CONTROL[[#This Row],[VEHIDCODE]],9)="Unpowered"))</f>
        <v>0</v>
      </c>
      <c r="I5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6" t="b">
        <f>ISNUMBER(_xlfn.XMATCH(CONTROL[[#This Row],[VEHIDCODE]],TRACK_TYPES[VEHIDCODE],0))</f>
        <v>1</v>
      </c>
      <c r="K556" t="b">
        <f>ISNUMBER(_xlfn.XMATCH(CONTROL[[#This Row],[VEHIDCODE]],PROPERTIES[VEHIDCODE],0))</f>
        <v>1</v>
      </c>
      <c r="L556" t="b">
        <f>ISNUMBER(_xlfn.XLOOKUP(CONTROL[[#This Row],[VEHIDCODE]],roster!A:A,roster!D:D))</f>
        <v>1</v>
      </c>
      <c r="M556" t="b">
        <f>ISNUMBER(_xlfn.XMATCH(CONTROL[[#This Row],[VEHIDCODE]],GRAPHICS_PROPERTIES[VEHIDCODE],0))</f>
        <v>1</v>
      </c>
      <c r="N556" s="21" t="str">
        <f>"item_"&amp;CONTROL[[#This Row],[VEHIDCODE]]</f>
        <v>item_emu_SIG_Rae_TEE_II</v>
      </c>
      <c r="O556" s="21" t="str">
        <f>"str_"&amp;CONTROL[[#This Row],[VEHIDCODE]]</f>
        <v>str_emu_SIG_Rae_TEE_II</v>
      </c>
      <c r="P556" s="7" t="b">
        <f>_xlfn.XLOOKUP(CONTROL[[#This Row],[VEHIDCODE]],PROPERTIES[VEHIDCODE],PROPERTIES[IS_CONCEPT])="IS_CONCEPT"</f>
        <v>0</v>
      </c>
      <c r="Q556" s="7" t="b">
        <f>_xlfn.XLOOKUP(CONTROL[[#This Row],[VEHIDCODE]],PROPERTIES[VEHIDCODE],PROPERTIES[EXCLUDE])</f>
        <v>0</v>
      </c>
      <c r="R556" t="str" cm="1">
        <f t="array" ref="R556">_xlfn.XLOOKUP(CONTROL[[#This Row],[VEHIDCODE]],GRAPHICS_PROPERTIES[VEHIDCODE],GRAPHICS_PROPERTIES[TEMPLATE_ID]&amp;GRAPHICS_PROPERTIES[TEMPLATE_AMENDMENT_CODE])</f>
        <v>TPL_02D</v>
      </c>
    </row>
    <row r="557" spans="1:18" x14ac:dyDescent="0.35">
      <c r="A557" s="2" t="s">
        <v>3189</v>
      </c>
      <c r="B557" s="21" t="str">
        <f>_xlfn.TEXTAFTER(CONTROL[[#This Row],[VEHIDCODE]],"_")</f>
        <v>Pullman_Erie_Lackawanna_2500_Series</v>
      </c>
      <c r="C557" t="str" cm="1">
        <f t="array" ref="C5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7" t="str" cm="1">
        <f t="array" ref="D5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7">
        <v>8048</v>
      </c>
      <c r="F557" s="32" t="s">
        <v>2562</v>
      </c>
      <c r="G557" t="s">
        <v>1574</v>
      </c>
      <c r="H557" s="2" t="b">
        <f>AND(CONTROL[[#This Row],[IS_WAGON_OR_COACH]]=TRUE,OR(RIGHT(CONTROL[[#This Row],[VEHIDCODE]],7)="Powered",RIGHT(CONTROL[[#This Row],[VEHIDCODE]],9)="Unpowered"))</f>
        <v>0</v>
      </c>
      <c r="I5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7" t="b">
        <f>ISNUMBER(_xlfn.XMATCH(CONTROL[[#This Row],[VEHIDCODE]],TRACK_TYPES[VEHIDCODE],0))</f>
        <v>1</v>
      </c>
      <c r="K557" t="b">
        <f>ISNUMBER(_xlfn.XMATCH(CONTROL[[#This Row],[VEHIDCODE]],PROPERTIES[VEHIDCODE],0))</f>
        <v>1</v>
      </c>
      <c r="L557" t="b">
        <f>ISNUMBER(_xlfn.XLOOKUP(CONTROL[[#This Row],[VEHIDCODE]],roster!A:A,roster!D:D))</f>
        <v>1</v>
      </c>
      <c r="M557" t="b">
        <f>ISNUMBER(_xlfn.XMATCH(CONTROL[[#This Row],[VEHIDCODE]],GRAPHICS_PROPERTIES[VEHIDCODE],0))</f>
        <v>1</v>
      </c>
      <c r="N557" s="21" t="str">
        <f>"item_"&amp;CONTROL[[#This Row],[VEHIDCODE]]</f>
        <v>item_emu_Pullman_Erie_Lackawanna_2500_Series</v>
      </c>
      <c r="O557" s="21" t="str">
        <f>"str_"&amp;CONTROL[[#This Row],[VEHIDCODE]]</f>
        <v>str_emu_Pullman_Erie_Lackawanna_2500_Series</v>
      </c>
      <c r="P557" s="7" t="b">
        <f>_xlfn.XLOOKUP(CONTROL[[#This Row],[VEHIDCODE]],PROPERTIES[VEHIDCODE],PROPERTIES[IS_CONCEPT])="IS_CONCEPT"</f>
        <v>0</v>
      </c>
      <c r="Q557" s="7" t="b">
        <f>_xlfn.XLOOKUP(CONTROL[[#This Row],[VEHIDCODE]],PROPERTIES[VEHIDCODE],PROPERTIES[EXCLUDE])</f>
        <v>0</v>
      </c>
      <c r="R557" t="str" cm="1">
        <f t="array" ref="R557">_xlfn.XLOOKUP(CONTROL[[#This Row],[VEHIDCODE]],GRAPHICS_PROPERTIES[VEHIDCODE],GRAPHICS_PROPERTIES[TEMPLATE_ID]&amp;GRAPHICS_PROPERTIES[TEMPLATE_AMENDMENT_CODE])</f>
        <v>TPL_02A</v>
      </c>
    </row>
    <row r="558" spans="1:18" x14ac:dyDescent="0.35">
      <c r="A558" s="2" t="s">
        <v>3190</v>
      </c>
      <c r="B558" s="21" t="str">
        <f>_xlfn.TEXTAFTER(CONTROL[[#This Row],[VEHIDCODE]],"_")</f>
        <v>Alsthom_TGV_23000</v>
      </c>
      <c r="C558" t="str" cm="1">
        <f t="array" ref="C5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8" t="str" cm="1">
        <f t="array" ref="D5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8">
        <v>8019</v>
      </c>
      <c r="F558" s="32" t="s">
        <v>2554</v>
      </c>
      <c r="G558" t="s">
        <v>1576</v>
      </c>
      <c r="H558" s="2" t="b">
        <f>AND(CONTROL[[#This Row],[IS_WAGON_OR_COACH]]=TRUE,OR(RIGHT(CONTROL[[#This Row],[VEHIDCODE]],7)="Powered",RIGHT(CONTROL[[#This Row],[VEHIDCODE]],9)="Unpowered"))</f>
        <v>0</v>
      </c>
      <c r="I5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8" t="b">
        <f>ISNUMBER(_xlfn.XMATCH(CONTROL[[#This Row],[VEHIDCODE]],TRACK_TYPES[VEHIDCODE],0))</f>
        <v>1</v>
      </c>
      <c r="K558" t="b">
        <f>ISNUMBER(_xlfn.XMATCH(CONTROL[[#This Row],[VEHIDCODE]],PROPERTIES[VEHIDCODE],0))</f>
        <v>1</v>
      </c>
      <c r="L558" t="b">
        <f>ISNUMBER(_xlfn.XLOOKUP(CONTROL[[#This Row],[VEHIDCODE]],roster!A:A,roster!D:D))</f>
        <v>1</v>
      </c>
      <c r="M558" t="b">
        <f>ISNUMBER(_xlfn.XMATCH(CONTROL[[#This Row],[VEHIDCODE]],GRAPHICS_PROPERTIES[VEHIDCODE],0))</f>
        <v>1</v>
      </c>
      <c r="N558" s="21" t="str">
        <f>"item_"&amp;CONTROL[[#This Row],[VEHIDCODE]]</f>
        <v>item_emu_Alsthom_TGV_23000</v>
      </c>
      <c r="O558" s="21" t="str">
        <f>"str_"&amp;CONTROL[[#This Row],[VEHIDCODE]]</f>
        <v>str_emu_Alsthom_TGV_23000</v>
      </c>
      <c r="P558" s="7" t="b">
        <f>_xlfn.XLOOKUP(CONTROL[[#This Row],[VEHIDCODE]],PROPERTIES[VEHIDCODE],PROPERTIES[IS_CONCEPT])="IS_CONCEPT"</f>
        <v>0</v>
      </c>
      <c r="Q558" s="7" t="b">
        <f>_xlfn.XLOOKUP(CONTROL[[#This Row],[VEHIDCODE]],PROPERTIES[VEHIDCODE],PROPERTIES[EXCLUDE])</f>
        <v>0</v>
      </c>
      <c r="R558" t="str" cm="1">
        <f t="array" ref="R558">_xlfn.XLOOKUP(CONTROL[[#This Row],[VEHIDCODE]],GRAPHICS_PROPERTIES[VEHIDCODE],GRAPHICS_PROPERTIES[TEMPLATE_ID]&amp;GRAPHICS_PROPERTIES[TEMPLATE_AMENDMENT_CODE])</f>
        <v>TPL_02E</v>
      </c>
    </row>
    <row r="559" spans="1:18" x14ac:dyDescent="0.35">
      <c r="A559" s="2" t="s">
        <v>3191</v>
      </c>
      <c r="B559" s="21" t="str">
        <f>_xlfn.TEXTAFTER(CONTROL[[#This Row],[VEHIDCODE]],"_")</f>
        <v>Alsthom_TGV_Duplex</v>
      </c>
      <c r="C559" t="str" cm="1">
        <f t="array" ref="C5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9" t="str" cm="1">
        <f t="array" ref="D5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9">
        <v>8026</v>
      </c>
      <c r="F559" s="32" t="s">
        <v>2555</v>
      </c>
      <c r="G559" t="s">
        <v>1577</v>
      </c>
      <c r="H559" s="2" t="b">
        <f>AND(CONTROL[[#This Row],[IS_WAGON_OR_COACH]]=TRUE,OR(RIGHT(CONTROL[[#This Row],[VEHIDCODE]],7)="Powered",RIGHT(CONTROL[[#This Row],[VEHIDCODE]],9)="Unpowered"))</f>
        <v>0</v>
      </c>
      <c r="I5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9" t="b">
        <f>ISNUMBER(_xlfn.XMATCH(CONTROL[[#This Row],[VEHIDCODE]],TRACK_TYPES[VEHIDCODE],0))</f>
        <v>1</v>
      </c>
      <c r="K559" t="b">
        <f>ISNUMBER(_xlfn.XMATCH(CONTROL[[#This Row],[VEHIDCODE]],PROPERTIES[VEHIDCODE],0))</f>
        <v>1</v>
      </c>
      <c r="L559" t="b">
        <f>ISNUMBER(_xlfn.XLOOKUP(CONTROL[[#This Row],[VEHIDCODE]],roster!A:A,roster!D:D))</f>
        <v>1</v>
      </c>
      <c r="M559" t="b">
        <f>ISNUMBER(_xlfn.XMATCH(CONTROL[[#This Row],[VEHIDCODE]],GRAPHICS_PROPERTIES[VEHIDCODE],0))</f>
        <v>1</v>
      </c>
      <c r="N559" s="21" t="str">
        <f>"item_"&amp;CONTROL[[#This Row],[VEHIDCODE]]</f>
        <v>item_emu_Alsthom_TGV_Duplex</v>
      </c>
      <c r="O559" s="21" t="str">
        <f>"str_"&amp;CONTROL[[#This Row],[VEHIDCODE]]</f>
        <v>str_emu_Alsthom_TGV_Duplex</v>
      </c>
      <c r="P559" s="7" t="b">
        <f>_xlfn.XLOOKUP(CONTROL[[#This Row],[VEHIDCODE]],PROPERTIES[VEHIDCODE],PROPERTIES[IS_CONCEPT])="IS_CONCEPT"</f>
        <v>0</v>
      </c>
      <c r="Q559" s="7" t="b">
        <f>_xlfn.XLOOKUP(CONTROL[[#This Row],[VEHIDCODE]],PROPERTIES[VEHIDCODE],PROPERTIES[EXCLUDE])</f>
        <v>0</v>
      </c>
      <c r="R559" t="str" cm="1">
        <f t="array" ref="R559">_xlfn.XLOOKUP(CONTROL[[#This Row],[VEHIDCODE]],GRAPHICS_PROPERTIES[VEHIDCODE],GRAPHICS_PROPERTIES[TEMPLATE_ID]&amp;GRAPHICS_PROPERTIES[TEMPLATE_AMENDMENT_CODE])</f>
        <v>TPL_02A</v>
      </c>
    </row>
    <row r="560" spans="1:18" x14ac:dyDescent="0.35">
      <c r="A560" s="2" t="s">
        <v>3192</v>
      </c>
      <c r="B560" s="21" t="str">
        <f>_xlfn.TEXTAFTER(CONTROL[[#This Row],[VEHIDCODE]],"_")</f>
        <v>GEC_Alsthom_Thalys_PBKA</v>
      </c>
      <c r="C560" t="str" cm="1">
        <f t="array" ref="C5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60" t="str" cm="1">
        <f t="array" ref="D5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60">
        <v>8027</v>
      </c>
      <c r="F560" s="32" t="s">
        <v>2556</v>
      </c>
      <c r="G560" t="s">
        <v>1578</v>
      </c>
      <c r="H560" s="2" t="b">
        <f>AND(CONTROL[[#This Row],[IS_WAGON_OR_COACH]]=TRUE,OR(RIGHT(CONTROL[[#This Row],[VEHIDCODE]],7)="Powered",RIGHT(CONTROL[[#This Row],[VEHIDCODE]],9)="Unpowered"))</f>
        <v>0</v>
      </c>
      <c r="I5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0" t="b">
        <f>ISNUMBER(_xlfn.XMATCH(CONTROL[[#This Row],[VEHIDCODE]],TRACK_TYPES[VEHIDCODE],0))</f>
        <v>1</v>
      </c>
      <c r="K560" t="b">
        <f>ISNUMBER(_xlfn.XMATCH(CONTROL[[#This Row],[VEHIDCODE]],PROPERTIES[VEHIDCODE],0))</f>
        <v>1</v>
      </c>
      <c r="L560" t="b">
        <f>ISNUMBER(_xlfn.XLOOKUP(CONTROL[[#This Row],[VEHIDCODE]],roster!A:A,roster!D:D))</f>
        <v>1</v>
      </c>
      <c r="M560" t="b">
        <f>ISNUMBER(_xlfn.XMATCH(CONTROL[[#This Row],[VEHIDCODE]],GRAPHICS_PROPERTIES[VEHIDCODE],0))</f>
        <v>1</v>
      </c>
      <c r="N560" s="21" t="str">
        <f>"item_"&amp;CONTROL[[#This Row],[VEHIDCODE]]</f>
        <v>item_emu_GEC_Alsthom_Thalys_PBKA</v>
      </c>
      <c r="O560" s="21" t="str">
        <f>"str_"&amp;CONTROL[[#This Row],[VEHIDCODE]]</f>
        <v>str_emu_GEC_Alsthom_Thalys_PBKA</v>
      </c>
      <c r="P560" s="7" t="b">
        <f>_xlfn.XLOOKUP(CONTROL[[#This Row],[VEHIDCODE]],PROPERTIES[VEHIDCODE],PROPERTIES[IS_CONCEPT])="IS_CONCEPT"</f>
        <v>0</v>
      </c>
      <c r="Q560" s="7" t="b">
        <f>_xlfn.XLOOKUP(CONTROL[[#This Row],[VEHIDCODE]],PROPERTIES[VEHIDCODE],PROPERTIES[EXCLUDE])</f>
        <v>0</v>
      </c>
      <c r="R560" t="str" cm="1">
        <f t="array" ref="R560">_xlfn.XLOOKUP(CONTROL[[#This Row],[VEHIDCODE]],GRAPHICS_PROPERTIES[VEHIDCODE],GRAPHICS_PROPERTIES[TEMPLATE_ID]&amp;GRAPHICS_PROPERTIES[TEMPLATE_AMENDMENT_CODE])</f>
        <v>TPL_02E</v>
      </c>
    </row>
    <row r="561" spans="1:18" x14ac:dyDescent="0.35">
      <c r="A561" s="2" t="s">
        <v>3193</v>
      </c>
      <c r="B561" s="21" t="str">
        <f>_xlfn.TEXTAFTER(CONTROL[[#This Row],[VEHIDCODE]],"_")</f>
        <v>Alsthom_Pendolino_680</v>
      </c>
      <c r="C561" t="str" cm="1">
        <f t="array" ref="C5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61" t="str" cm="1">
        <f t="array" ref="D5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61">
        <v>8033</v>
      </c>
      <c r="F561" s="32" t="s">
        <v>2557</v>
      </c>
      <c r="G561" t="s">
        <v>1579</v>
      </c>
      <c r="H561" s="2" t="b">
        <f>AND(CONTROL[[#This Row],[IS_WAGON_OR_COACH]]=TRUE,OR(RIGHT(CONTROL[[#This Row],[VEHIDCODE]],7)="Powered",RIGHT(CONTROL[[#This Row],[VEHIDCODE]],9)="Unpowered"))</f>
        <v>0</v>
      </c>
      <c r="I5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1" t="b">
        <f>ISNUMBER(_xlfn.XMATCH(CONTROL[[#This Row],[VEHIDCODE]],TRACK_TYPES[VEHIDCODE],0))</f>
        <v>1</v>
      </c>
      <c r="K561" t="b">
        <f>ISNUMBER(_xlfn.XMATCH(CONTROL[[#This Row],[VEHIDCODE]],PROPERTIES[VEHIDCODE],0))</f>
        <v>1</v>
      </c>
      <c r="L561" t="b">
        <f>ISNUMBER(_xlfn.XLOOKUP(CONTROL[[#This Row],[VEHIDCODE]],roster!A:A,roster!D:D))</f>
        <v>1</v>
      </c>
      <c r="M561" t="b">
        <f>ISNUMBER(_xlfn.XMATCH(CONTROL[[#This Row],[VEHIDCODE]],GRAPHICS_PROPERTIES[VEHIDCODE],0))</f>
        <v>1</v>
      </c>
      <c r="N561" s="21" t="str">
        <f>"item_"&amp;CONTROL[[#This Row],[VEHIDCODE]]</f>
        <v>item_emu_Alsthom_Pendolino_680</v>
      </c>
      <c r="O561" s="21" t="str">
        <f>"str_"&amp;CONTROL[[#This Row],[VEHIDCODE]]</f>
        <v>str_emu_Alsthom_Pendolino_680</v>
      </c>
      <c r="P561" s="7" t="b">
        <f>_xlfn.XLOOKUP(CONTROL[[#This Row],[VEHIDCODE]],PROPERTIES[VEHIDCODE],PROPERTIES[IS_CONCEPT])="IS_CONCEPT"</f>
        <v>0</v>
      </c>
      <c r="Q561" s="7" t="b">
        <f>_xlfn.XLOOKUP(CONTROL[[#This Row],[VEHIDCODE]],PROPERTIES[VEHIDCODE],PROPERTIES[EXCLUDE])</f>
        <v>0</v>
      </c>
      <c r="R561" t="str" cm="1">
        <f t="array" ref="R561">_xlfn.XLOOKUP(CONTROL[[#This Row],[VEHIDCODE]],GRAPHICS_PROPERTIES[VEHIDCODE],GRAPHICS_PROPERTIES[TEMPLATE_ID]&amp;GRAPHICS_PROPERTIES[TEMPLATE_AMENDMENT_CODE])</f>
        <v>TPL_02A</v>
      </c>
    </row>
    <row r="562" spans="1:18" x14ac:dyDescent="0.35">
      <c r="A562" s="2" t="s">
        <v>3194</v>
      </c>
      <c r="B562" s="21" t="str">
        <f>_xlfn.TEXTAFTER(CONTROL[[#This Row],[VEHIDCODE]],"_")</f>
        <v>CAF_Alstom_Class_120</v>
      </c>
      <c r="C562" t="str" cm="1">
        <f t="array" ref="C5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62" t="str" cm="1">
        <f t="array" ref="D5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62">
        <v>8037</v>
      </c>
      <c r="F562" s="32" t="s">
        <v>2380</v>
      </c>
      <c r="G562" t="s">
        <v>1580</v>
      </c>
      <c r="H562" s="2" t="b">
        <f>AND(CONTROL[[#This Row],[IS_WAGON_OR_COACH]]=TRUE,OR(RIGHT(CONTROL[[#This Row],[VEHIDCODE]],7)="Powered",RIGHT(CONTROL[[#This Row],[VEHIDCODE]],9)="Unpowered"))</f>
        <v>0</v>
      </c>
      <c r="I5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2" t="b">
        <f>ISNUMBER(_xlfn.XMATCH(CONTROL[[#This Row],[VEHIDCODE]],TRACK_TYPES[VEHIDCODE],0))</f>
        <v>1</v>
      </c>
      <c r="K562" t="b">
        <f>ISNUMBER(_xlfn.XMATCH(CONTROL[[#This Row],[VEHIDCODE]],PROPERTIES[VEHIDCODE],0))</f>
        <v>1</v>
      </c>
      <c r="L562" t="b">
        <f>ISNUMBER(_xlfn.XLOOKUP(CONTROL[[#This Row],[VEHIDCODE]],roster!A:A,roster!D:D))</f>
        <v>1</v>
      </c>
      <c r="M562" t="b">
        <f>ISNUMBER(_xlfn.XMATCH(CONTROL[[#This Row],[VEHIDCODE]],GRAPHICS_PROPERTIES[VEHIDCODE],0))</f>
        <v>1</v>
      </c>
      <c r="N562" s="21" t="str">
        <f>"item_"&amp;CONTROL[[#This Row],[VEHIDCODE]]</f>
        <v>item_emu_CAF_Alstom_Class_120</v>
      </c>
      <c r="O562" s="21" t="str">
        <f>"str_"&amp;CONTROL[[#This Row],[VEHIDCODE]]</f>
        <v>str_emu_CAF_Alstom_Class_120</v>
      </c>
      <c r="P562" s="7" t="b">
        <f>_xlfn.XLOOKUP(CONTROL[[#This Row],[VEHIDCODE]],PROPERTIES[VEHIDCODE],PROPERTIES[IS_CONCEPT])="IS_CONCEPT"</f>
        <v>0</v>
      </c>
      <c r="Q562" s="7" t="b">
        <f>_xlfn.XLOOKUP(CONTROL[[#This Row],[VEHIDCODE]],PROPERTIES[VEHIDCODE],PROPERTIES[EXCLUDE])</f>
        <v>0</v>
      </c>
      <c r="R562" t="str" cm="1">
        <f t="array" ref="R562">_xlfn.XLOOKUP(CONTROL[[#This Row],[VEHIDCODE]],GRAPHICS_PROPERTIES[VEHIDCODE],GRAPHICS_PROPERTIES[TEMPLATE_ID]&amp;GRAPHICS_PROPERTIES[TEMPLATE_AMENDMENT_CODE])</f>
        <v>TPL_02A</v>
      </c>
    </row>
    <row r="563" spans="1:18" x14ac:dyDescent="0.35">
      <c r="A563" s="2" t="s">
        <v>3195</v>
      </c>
      <c r="B563" s="21" t="str">
        <f>_xlfn.TEXTAFTER(CONTROL[[#This Row],[VEHIDCODE]],"_")</f>
        <v>Bombarier_Alstom_Acela_Express</v>
      </c>
      <c r="C563" t="str" cm="1">
        <f t="array" ref="C5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63" t="str" cm="1">
        <f t="array" ref="D5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63">
        <v>8067</v>
      </c>
      <c r="F563" s="32" t="s">
        <v>2388</v>
      </c>
      <c r="G563" t="s">
        <v>1581</v>
      </c>
      <c r="H563" s="2" t="b">
        <f>AND(CONTROL[[#This Row],[IS_WAGON_OR_COACH]]=TRUE,OR(RIGHT(CONTROL[[#This Row],[VEHIDCODE]],7)="Powered",RIGHT(CONTROL[[#This Row],[VEHIDCODE]],9)="Unpowered"))</f>
        <v>0</v>
      </c>
      <c r="I5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3" t="b">
        <f>ISNUMBER(_xlfn.XMATCH(CONTROL[[#This Row],[VEHIDCODE]],TRACK_TYPES[VEHIDCODE],0))</f>
        <v>1</v>
      </c>
      <c r="K563" t="b">
        <f>ISNUMBER(_xlfn.XMATCH(CONTROL[[#This Row],[VEHIDCODE]],PROPERTIES[VEHIDCODE],0))</f>
        <v>1</v>
      </c>
      <c r="L563" t="b">
        <f>ISNUMBER(_xlfn.XLOOKUP(CONTROL[[#This Row],[VEHIDCODE]],roster!A:A,roster!D:D))</f>
        <v>1</v>
      </c>
      <c r="M563" t="b">
        <f>ISNUMBER(_xlfn.XMATCH(CONTROL[[#This Row],[VEHIDCODE]],GRAPHICS_PROPERTIES[VEHIDCODE],0))</f>
        <v>1</v>
      </c>
      <c r="N563" s="21" t="str">
        <f>"item_"&amp;CONTROL[[#This Row],[VEHIDCODE]]</f>
        <v>item_emu_Bombarier_Alstom_Acela_Express</v>
      </c>
      <c r="O563" s="21" t="str">
        <f>"str_"&amp;CONTROL[[#This Row],[VEHIDCODE]]</f>
        <v>str_emu_Bombarier_Alstom_Acela_Express</v>
      </c>
      <c r="P563" s="7" t="b">
        <f>_xlfn.XLOOKUP(CONTROL[[#This Row],[VEHIDCODE]],PROPERTIES[VEHIDCODE],PROPERTIES[IS_CONCEPT])="IS_CONCEPT"</f>
        <v>0</v>
      </c>
      <c r="Q563" s="7" t="b">
        <f>_xlfn.XLOOKUP(CONTROL[[#This Row],[VEHIDCODE]],PROPERTIES[VEHIDCODE],PROPERTIES[EXCLUDE])</f>
        <v>0</v>
      </c>
      <c r="R563" t="str" cm="1">
        <f t="array" ref="R563">_xlfn.XLOOKUP(CONTROL[[#This Row],[VEHIDCODE]],GRAPHICS_PROPERTIES[VEHIDCODE],GRAPHICS_PROPERTIES[TEMPLATE_ID]&amp;GRAPHICS_PROPERTIES[TEMPLATE_AMENDMENT_CODE])</f>
        <v>TPL_02A</v>
      </c>
    </row>
    <row r="564" spans="1:18" x14ac:dyDescent="0.35">
      <c r="A564" s="2" t="s">
        <v>3196</v>
      </c>
      <c r="B564" s="21" t="str">
        <f>_xlfn.TEXTAFTER(CONTROL[[#This Row],[VEHIDCODE]],"_")</f>
        <v>Brooklyn_Union_Gate_1300</v>
      </c>
      <c r="C564" t="str" cm="1">
        <f t="array" ref="C5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src\Single_Metro</v>
      </c>
      <c r="D564" t="str" cm="1">
        <f t="array" ref="D5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ID_RANGE_SINGLEMETRO</v>
      </c>
      <c r="E564">
        <v>14000</v>
      </c>
      <c r="F564" s="32" t="s">
        <v>1667</v>
      </c>
      <c r="G564" t="s">
        <v>1643</v>
      </c>
      <c r="H564" s="2" t="b">
        <f>AND(CONTROL[[#This Row],[IS_WAGON_OR_COACH]]=TRUE,OR(RIGHT(CONTROL[[#This Row],[VEHIDCODE]],7)="Powered",RIGHT(CONTROL[[#This Row],[VEHIDCODE]],9)="Unpowered"))</f>
        <v>0</v>
      </c>
      <c r="I5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4" t="b">
        <f>ISNUMBER(_xlfn.XMATCH(CONTROL[[#This Row],[VEHIDCODE]],TRACK_TYPES[VEHIDCODE],0))</f>
        <v>1</v>
      </c>
      <c r="K564" t="b">
        <f>ISNUMBER(_xlfn.XMATCH(CONTROL[[#This Row],[VEHIDCODE]],PROPERTIES[VEHIDCODE],0))</f>
        <v>1</v>
      </c>
      <c r="L564" t="b">
        <f>ISNUMBER(_xlfn.XLOOKUP(CONTROL[[#This Row],[VEHIDCODE]],roster!A:A,roster!D:D))</f>
        <v>1</v>
      </c>
      <c r="M564" t="b">
        <f>ISNUMBER(_xlfn.XMATCH(CONTROL[[#This Row],[VEHIDCODE]],GRAPHICS_PROPERTIES[VEHIDCODE],0))</f>
        <v>1</v>
      </c>
      <c r="N564" s="21" t="str">
        <f>"item_"&amp;CONTROL[[#This Row],[VEHIDCODE]]</f>
        <v>item_singlemtro_Brooklyn_Union_Gate_1300</v>
      </c>
      <c r="O564" s="21" t="str">
        <f>"str_"&amp;CONTROL[[#This Row],[VEHIDCODE]]</f>
        <v>str_singlemtro_Brooklyn_Union_Gate_1300</v>
      </c>
      <c r="P564" s="7" t="b">
        <f>_xlfn.XLOOKUP(CONTROL[[#This Row],[VEHIDCODE]],PROPERTIES[VEHIDCODE],PROPERTIES[IS_CONCEPT])="IS_CONCEPT"</f>
        <v>0</v>
      </c>
      <c r="Q564" s="7" t="b">
        <f>_xlfn.XLOOKUP(CONTROL[[#This Row],[VEHIDCODE]],PROPERTIES[VEHIDCODE],PROPERTIES[EXCLUDE])</f>
        <v>0</v>
      </c>
      <c r="R564" t="str" cm="1">
        <f t="array" ref="R564">_xlfn.XLOOKUP(CONTROL[[#This Row],[VEHIDCODE]],GRAPHICS_PROPERTIES[VEHIDCODE],GRAPHICS_PROPERTIES[TEMPLATE_ID]&amp;GRAPHICS_PROPERTIES[TEMPLATE_AMENDMENT_CODE])</f>
        <v>TPL_01B</v>
      </c>
    </row>
    <row r="565" spans="1:18" x14ac:dyDescent="0.35">
      <c r="A565" s="2" t="s">
        <v>3197</v>
      </c>
      <c r="B565" s="21" t="str">
        <f>_xlfn.TEXTAFTER(CONTROL[[#This Row],[VEHIDCODE]],"_")</f>
        <v>Siemens___Halske_Budapest_1894_Stock</v>
      </c>
      <c r="C565" t="str" cm="1">
        <f t="array" ref="C5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src\Single_Metro</v>
      </c>
      <c r="D565" t="str" cm="1">
        <f t="array" ref="D5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ID_RANGE_SINGLEMETRO</v>
      </c>
      <c r="E565">
        <v>14001</v>
      </c>
      <c r="F565" s="32" t="s">
        <v>2389</v>
      </c>
      <c r="G565" t="s">
        <v>1644</v>
      </c>
      <c r="H565" s="2" t="b">
        <f>AND(CONTROL[[#This Row],[IS_WAGON_OR_COACH]]=TRUE,OR(RIGHT(CONTROL[[#This Row],[VEHIDCODE]],7)="Powered",RIGHT(CONTROL[[#This Row],[VEHIDCODE]],9)="Unpowered"))</f>
        <v>0</v>
      </c>
      <c r="I5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5" t="b">
        <f>ISNUMBER(_xlfn.XMATCH(CONTROL[[#This Row],[VEHIDCODE]],TRACK_TYPES[VEHIDCODE],0))</f>
        <v>1</v>
      </c>
      <c r="K565" t="b">
        <f>ISNUMBER(_xlfn.XMATCH(CONTROL[[#This Row],[VEHIDCODE]],PROPERTIES[VEHIDCODE],0))</f>
        <v>1</v>
      </c>
      <c r="L565" t="b">
        <f>ISNUMBER(_xlfn.XLOOKUP(CONTROL[[#This Row],[VEHIDCODE]],roster!A:A,roster!D:D))</f>
        <v>1</v>
      </c>
      <c r="M565" t="b">
        <f>ISNUMBER(_xlfn.XMATCH(CONTROL[[#This Row],[VEHIDCODE]],GRAPHICS_PROPERTIES[VEHIDCODE],0))</f>
        <v>1</v>
      </c>
      <c r="N565" s="21" t="str">
        <f>"item_"&amp;CONTROL[[#This Row],[VEHIDCODE]]</f>
        <v>item_singlemtro_Siemens___Halske_Budapest_1894_Stock</v>
      </c>
      <c r="O565" s="21" t="str">
        <f>"str_"&amp;CONTROL[[#This Row],[VEHIDCODE]]</f>
        <v>str_singlemtro_Siemens___Halske_Budapest_1894_Stock</v>
      </c>
      <c r="P565" s="7" t="b">
        <f>_xlfn.XLOOKUP(CONTROL[[#This Row],[VEHIDCODE]],PROPERTIES[VEHIDCODE],PROPERTIES[IS_CONCEPT])="IS_CONCEPT"</f>
        <v>0</v>
      </c>
      <c r="Q565" s="7" t="b">
        <f>_xlfn.XLOOKUP(CONTROL[[#This Row],[VEHIDCODE]],PROPERTIES[VEHIDCODE],PROPERTIES[EXCLUDE])</f>
        <v>0</v>
      </c>
      <c r="R565" t="str" cm="1">
        <f t="array" ref="R565">_xlfn.XLOOKUP(CONTROL[[#This Row],[VEHIDCODE]],GRAPHICS_PROPERTIES[VEHIDCODE],GRAPHICS_PROPERTIES[TEMPLATE_ID]&amp;GRAPHICS_PROPERTIES[TEMPLATE_AMENDMENT_CODE])</f>
        <v>TPL_01B</v>
      </c>
    </row>
    <row r="566" spans="1:18" x14ac:dyDescent="0.35">
      <c r="A566" s="2" t="s">
        <v>3198</v>
      </c>
      <c r="B566" s="21" t="str">
        <f>_xlfn.TEXTAFTER(CONTROL[[#This Row],[VEHIDCODE]],"_")</f>
        <v>Chicago_L_Northwest_Elevated_1907_Stock</v>
      </c>
      <c r="C566" t="str" cm="1">
        <f t="array" ref="C5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src\Single_Metro</v>
      </c>
      <c r="D566" t="str" cm="1">
        <f t="array" ref="D5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ID_RANGE_SINGLEMETRO</v>
      </c>
      <c r="E566">
        <v>14002</v>
      </c>
      <c r="F566" s="32" t="s">
        <v>384</v>
      </c>
      <c r="G566" t="s">
        <v>1645</v>
      </c>
      <c r="H566" s="2" t="b">
        <f>AND(CONTROL[[#This Row],[IS_WAGON_OR_COACH]]=TRUE,OR(RIGHT(CONTROL[[#This Row],[VEHIDCODE]],7)="Powered",RIGHT(CONTROL[[#This Row],[VEHIDCODE]],9)="Unpowered"))</f>
        <v>0</v>
      </c>
      <c r="I5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6" t="b">
        <f>ISNUMBER(_xlfn.XMATCH(CONTROL[[#This Row],[VEHIDCODE]],TRACK_TYPES[VEHIDCODE],0))</f>
        <v>1</v>
      </c>
      <c r="K566" t="b">
        <f>ISNUMBER(_xlfn.XMATCH(CONTROL[[#This Row],[VEHIDCODE]],PROPERTIES[VEHIDCODE],0))</f>
        <v>1</v>
      </c>
      <c r="L566" t="b">
        <f>ISNUMBER(_xlfn.XLOOKUP(CONTROL[[#This Row],[VEHIDCODE]],roster!A:A,roster!D:D))</f>
        <v>1</v>
      </c>
      <c r="M566" t="b">
        <f>ISNUMBER(_xlfn.XMATCH(CONTROL[[#This Row],[VEHIDCODE]],GRAPHICS_PROPERTIES[VEHIDCODE],0))</f>
        <v>1</v>
      </c>
      <c r="N566" s="21" t="str">
        <f>"item_"&amp;CONTROL[[#This Row],[VEHIDCODE]]</f>
        <v>item_singlemtro_Chicago_L_Northwest_Elevated_1907_Stock</v>
      </c>
      <c r="O566" s="21" t="str">
        <f>"str_"&amp;CONTROL[[#This Row],[VEHIDCODE]]</f>
        <v>str_singlemtro_Chicago_L_Northwest_Elevated_1907_Stock</v>
      </c>
      <c r="P566" s="7" t="b">
        <f>_xlfn.XLOOKUP(CONTROL[[#This Row],[VEHIDCODE]],PROPERTIES[VEHIDCODE],PROPERTIES[IS_CONCEPT])="IS_CONCEPT"</f>
        <v>0</v>
      </c>
      <c r="Q566" s="7" t="b">
        <f>_xlfn.XLOOKUP(CONTROL[[#This Row],[VEHIDCODE]],PROPERTIES[VEHIDCODE],PROPERTIES[EXCLUDE])</f>
        <v>0</v>
      </c>
      <c r="R566" t="str" cm="1">
        <f t="array" ref="R566">_xlfn.XLOOKUP(CONTROL[[#This Row],[VEHIDCODE]],GRAPHICS_PROPERTIES[VEHIDCODE],GRAPHICS_PROPERTIES[TEMPLATE_ID]&amp;GRAPHICS_PROPERTIES[TEMPLATE_AMENDMENT_CODE])</f>
        <v>TPL_01A</v>
      </c>
    </row>
    <row r="567" spans="1:18" x14ac:dyDescent="0.35">
      <c r="A567" s="2" t="s">
        <v>3199</v>
      </c>
      <c r="B567" s="21" t="str">
        <f>_xlfn.TEXTAFTER(CONTROL[[#This Row],[VEHIDCODE]],"_")</f>
        <v>Berlin_U_Bahn_C_II</v>
      </c>
      <c r="C567" t="str" cm="1">
        <f t="array" ref="C5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src\Single_Metro</v>
      </c>
      <c r="D567" t="str" cm="1">
        <f t="array" ref="D5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ID_RANGE_SINGLEMETRO</v>
      </c>
      <c r="E567">
        <v>14003</v>
      </c>
      <c r="F567" s="32" t="s">
        <v>385</v>
      </c>
      <c r="G567" t="s">
        <v>1646</v>
      </c>
      <c r="H567" s="2" t="b">
        <f>AND(CONTROL[[#This Row],[IS_WAGON_OR_COACH]]=TRUE,OR(RIGHT(CONTROL[[#This Row],[VEHIDCODE]],7)="Powered",RIGHT(CONTROL[[#This Row],[VEHIDCODE]],9)="Unpowered"))</f>
        <v>0</v>
      </c>
      <c r="I5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7" t="b">
        <f>ISNUMBER(_xlfn.XMATCH(CONTROL[[#This Row],[VEHIDCODE]],TRACK_TYPES[VEHIDCODE],0))</f>
        <v>1</v>
      </c>
      <c r="K567" t="b">
        <f>ISNUMBER(_xlfn.XMATCH(CONTROL[[#This Row],[VEHIDCODE]],PROPERTIES[VEHIDCODE],0))</f>
        <v>1</v>
      </c>
      <c r="L567" t="b">
        <f>ISNUMBER(_xlfn.XLOOKUP(CONTROL[[#This Row],[VEHIDCODE]],roster!A:A,roster!D:D))</f>
        <v>1</v>
      </c>
      <c r="M567" t="b">
        <f>ISNUMBER(_xlfn.XMATCH(CONTROL[[#This Row],[VEHIDCODE]],GRAPHICS_PROPERTIES[VEHIDCODE],0))</f>
        <v>1</v>
      </c>
      <c r="N567" s="21" t="str">
        <f>"item_"&amp;CONTROL[[#This Row],[VEHIDCODE]]</f>
        <v>item_singlemtro_Berlin_U_Bahn_C_II</v>
      </c>
      <c r="O567" s="21" t="str">
        <f>"str_"&amp;CONTROL[[#This Row],[VEHIDCODE]]</f>
        <v>str_singlemtro_Berlin_U_Bahn_C_II</v>
      </c>
      <c r="P567" s="7" t="b">
        <f>_xlfn.XLOOKUP(CONTROL[[#This Row],[VEHIDCODE]],PROPERTIES[VEHIDCODE],PROPERTIES[IS_CONCEPT])="IS_CONCEPT"</f>
        <v>0</v>
      </c>
      <c r="Q567" s="7" t="b">
        <f>_xlfn.XLOOKUP(CONTROL[[#This Row],[VEHIDCODE]],PROPERTIES[VEHIDCODE],PROPERTIES[EXCLUDE])</f>
        <v>0</v>
      </c>
      <c r="R567" t="str" cm="1">
        <f t="array" ref="R567">_xlfn.XLOOKUP(CONTROL[[#This Row],[VEHIDCODE]],GRAPHICS_PROPERTIES[VEHIDCODE],GRAPHICS_PROPERTIES[TEMPLATE_ID]&amp;GRAPHICS_PROPERTIES[TEMPLATE_AMENDMENT_CODE])</f>
        <v>TPL_01B</v>
      </c>
    </row>
    <row r="568" spans="1:18" x14ac:dyDescent="0.35">
      <c r="A568" s="2" t="s">
        <v>3200</v>
      </c>
      <c r="B568" s="21" t="str">
        <f>_xlfn.TEXTAFTER(CONTROL[[#This Row],[VEHIDCODE]],"_")</f>
        <v>ACME_Corp__Turbobus</v>
      </c>
      <c r="C568" t="str" cm="1">
        <f t="array" ref="C5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src\Railbus\Railbus_Maglev</v>
      </c>
      <c r="D568" t="str" cm="1">
        <f t="array" ref="D5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ID_RANGE_RBM</v>
      </c>
      <c r="E56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16000</v>
      </c>
      <c r="F568" s="32" t="s">
        <v>2577</v>
      </c>
      <c r="G568" t="s">
        <v>523</v>
      </c>
      <c r="H568" s="2" t="b">
        <f>AND(CONTROL[[#This Row],[IS_WAGON_OR_COACH]]=TRUE,OR(RIGHT(CONTROL[[#This Row],[VEHIDCODE]],7)="Powered",RIGHT(CONTROL[[#This Row],[VEHIDCODE]],9)="Unpowered"))</f>
        <v>0</v>
      </c>
      <c r="I5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8" t="b">
        <f>ISNUMBER(_xlfn.XMATCH(CONTROL[[#This Row],[VEHIDCODE]],TRACK_TYPES[VEHIDCODE],0))</f>
        <v>1</v>
      </c>
      <c r="K568" t="b">
        <f>ISNUMBER(_xlfn.XMATCH(CONTROL[[#This Row],[VEHIDCODE]],PROPERTIES[VEHIDCODE],0))</f>
        <v>1</v>
      </c>
      <c r="L568" t="b">
        <f>ISNUMBER(_xlfn.XLOOKUP(CONTROL[[#This Row],[VEHIDCODE]],roster!A:A,roster!D:D))</f>
        <v>1</v>
      </c>
      <c r="M568" t="b">
        <f>ISNUMBER(_xlfn.XMATCH(CONTROL[[#This Row],[VEHIDCODE]],GRAPHICS_PROPERTIES[VEHIDCODE],0))</f>
        <v>1</v>
      </c>
      <c r="N568" s="21" t="str">
        <f>"item_"&amp;CONTROL[[#This Row],[VEHIDCODE]]</f>
        <v>item_rbm_ACME_Corp__Turbobus</v>
      </c>
      <c r="O568" s="21" t="str">
        <f>"str_"&amp;CONTROL[[#This Row],[VEHIDCODE]]</f>
        <v>str_rbm_ACME_Corp__Turbobus</v>
      </c>
      <c r="P568" s="7" t="b">
        <f>_xlfn.XLOOKUP(CONTROL[[#This Row],[VEHIDCODE]],PROPERTIES[VEHIDCODE],PROPERTIES[IS_CONCEPT])="IS_CONCEPT"</f>
        <v>1</v>
      </c>
      <c r="Q568" s="7" t="b">
        <f>_xlfn.XLOOKUP(CONTROL[[#This Row],[VEHIDCODE]],PROPERTIES[VEHIDCODE],PROPERTIES[EXCLUDE])</f>
        <v>0</v>
      </c>
      <c r="R568" t="str" cm="1">
        <f t="array" ref="R568">_xlfn.XLOOKUP(CONTROL[[#This Row],[VEHIDCODE]],GRAPHICS_PROPERTIES[VEHIDCODE],GRAPHICS_PROPERTIES[TEMPLATE_ID]&amp;GRAPHICS_PROPERTIES[TEMPLATE_AMENDMENT_CODE])</f>
        <v>TPL_16B</v>
      </c>
    </row>
    <row r="569" spans="1:18" x14ac:dyDescent="0.35">
      <c r="A569" s="2" t="s">
        <v>3201</v>
      </c>
      <c r="B569" s="21" t="str">
        <f>_xlfn.TEXTAFTER(CONTROL[[#This Row],[VEHIDCODE]],"_")</f>
        <v>Siemens_Eurosprinter_ES64U4M</v>
      </c>
      <c r="C569" t="str" cm="1">
        <f t="array" ref="C5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src\Maglev</v>
      </c>
      <c r="D569" t="str" cm="1">
        <f t="array" ref="D5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ID_RANGE_MAGLEV</v>
      </c>
      <c r="E569">
        <v>15001</v>
      </c>
      <c r="F569" s="32" t="s">
        <v>3485</v>
      </c>
      <c r="G569" t="s">
        <v>523</v>
      </c>
      <c r="H569" s="2" t="b">
        <f>AND(CONTROL[[#This Row],[IS_WAGON_OR_COACH]]=TRUE,OR(RIGHT(CONTROL[[#This Row],[VEHIDCODE]],7)="Powered",RIGHT(CONTROL[[#This Row],[VEHIDCODE]],9)="Unpowered"))</f>
        <v>0</v>
      </c>
      <c r="I5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9" t="b">
        <f>ISNUMBER(_xlfn.XMATCH(CONTROL[[#This Row],[VEHIDCODE]],TRACK_TYPES[VEHIDCODE],0))</f>
        <v>1</v>
      </c>
      <c r="K569" t="b">
        <f>ISNUMBER(_xlfn.XMATCH(CONTROL[[#This Row],[VEHIDCODE]],PROPERTIES[VEHIDCODE],0))</f>
        <v>1</v>
      </c>
      <c r="L569" t="b">
        <f>ISNUMBER(_xlfn.XLOOKUP(CONTROL[[#This Row],[VEHIDCODE]],roster!A:A,roster!D:D))</f>
        <v>1</v>
      </c>
      <c r="M569" t="b">
        <f>ISNUMBER(_xlfn.XMATCH(CONTROL[[#This Row],[VEHIDCODE]],GRAPHICS_PROPERTIES[VEHIDCODE],0))</f>
        <v>1</v>
      </c>
      <c r="N569" s="21" t="str">
        <f>"item_"&amp;CONTROL[[#This Row],[VEHIDCODE]]</f>
        <v>item_mglv_Siemens_Eurosprinter_ES64U4M</v>
      </c>
      <c r="O569" s="21" t="str">
        <f>"str_"&amp;CONTROL[[#This Row],[VEHIDCODE]]</f>
        <v>str_mglv_Siemens_Eurosprinter_ES64U4M</v>
      </c>
      <c r="P569" s="7" t="b">
        <f>_xlfn.XLOOKUP(CONTROL[[#This Row],[VEHIDCODE]],PROPERTIES[VEHIDCODE],PROPERTIES[IS_CONCEPT])="IS_CONCEPT"</f>
        <v>1</v>
      </c>
      <c r="Q569" s="7" t="b">
        <f>_xlfn.XLOOKUP(CONTROL[[#This Row],[VEHIDCODE]],PROPERTIES[VEHIDCODE],PROPERTIES[EXCLUDE])</f>
        <v>0</v>
      </c>
      <c r="R569" t="str" cm="1">
        <f t="array" ref="R569">_xlfn.XLOOKUP(CONTROL[[#This Row],[VEHIDCODE]],GRAPHICS_PROPERTIES[VEHIDCODE],GRAPHICS_PROPERTIES[TEMPLATE_ID]&amp;GRAPHICS_PROPERTIES[TEMPLATE_AMENDMENT_CODE])</f>
        <v>TPL_01A</v>
      </c>
    </row>
    <row r="570" spans="1:18" x14ac:dyDescent="0.35">
      <c r="A570" s="2" t="s">
        <v>3202</v>
      </c>
      <c r="B570" s="21" t="str">
        <f>_xlfn.TEXTAFTER(CONTROL[[#This Row],[VEHIDCODE]],"_")</f>
        <v>Siemens_Thyssenkrupp_Transrapid</v>
      </c>
      <c r="C570" t="str" cm="1">
        <f t="array" ref="C5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src\MMU</v>
      </c>
      <c r="D570" t="str" cm="1">
        <f t="array" ref="D5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ID_RANGE_MMU</v>
      </c>
      <c r="E57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10000</v>
      </c>
      <c r="F570" s="32" t="s">
        <v>2390</v>
      </c>
      <c r="G570" t="s">
        <v>1582</v>
      </c>
      <c r="H570" s="2" t="b">
        <f>AND(CONTROL[[#This Row],[IS_WAGON_OR_COACH]]=TRUE,OR(RIGHT(CONTROL[[#This Row],[VEHIDCODE]],7)="Powered",RIGHT(CONTROL[[#This Row],[VEHIDCODE]],9)="Unpowered"))</f>
        <v>0</v>
      </c>
      <c r="I5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70" t="b">
        <f>ISNUMBER(_xlfn.XMATCH(CONTROL[[#This Row],[VEHIDCODE]],TRACK_TYPES[VEHIDCODE],0))</f>
        <v>1</v>
      </c>
      <c r="K570" t="b">
        <f>ISNUMBER(_xlfn.XMATCH(CONTROL[[#This Row],[VEHIDCODE]],PROPERTIES[VEHIDCODE],0))</f>
        <v>1</v>
      </c>
      <c r="L570" t="b">
        <f>ISNUMBER(_xlfn.XLOOKUP(CONTROL[[#This Row],[VEHIDCODE]],roster!A:A,roster!D:D))</f>
        <v>1</v>
      </c>
      <c r="M570" t="b">
        <f>ISNUMBER(_xlfn.XMATCH(CONTROL[[#This Row],[VEHIDCODE]],GRAPHICS_PROPERTIES[VEHIDCODE],0))</f>
        <v>1</v>
      </c>
      <c r="N570" s="21" t="str">
        <f>"item_"&amp;CONTROL[[#This Row],[VEHIDCODE]]</f>
        <v>item_mmu_Siemens_Thyssenkrupp_Transrapid</v>
      </c>
      <c r="O570" s="21" t="str">
        <f>"str_"&amp;CONTROL[[#This Row],[VEHIDCODE]]</f>
        <v>str_mmu_Siemens_Thyssenkrupp_Transrapid</v>
      </c>
      <c r="P570" s="7" t="b">
        <f>_xlfn.XLOOKUP(CONTROL[[#This Row],[VEHIDCODE]],PROPERTIES[VEHIDCODE],PROPERTIES[IS_CONCEPT])="IS_CONCEPT"</f>
        <v>0</v>
      </c>
      <c r="Q570" s="7" t="b">
        <f>_xlfn.XLOOKUP(CONTROL[[#This Row],[VEHIDCODE]],PROPERTIES[VEHIDCODE],PROPERTIES[EXCLUDE])</f>
        <v>0</v>
      </c>
      <c r="R570" t="str" cm="1">
        <f t="array" ref="R570">_xlfn.XLOOKUP(CONTROL[[#This Row],[VEHIDCODE]],GRAPHICS_PROPERTIES[VEHIDCODE],GRAPHICS_PROPERTIES[TEMPLATE_ID]&amp;GRAPHICS_PROPERTIES[TEMPLATE_AMENDMENT_CODE])</f>
        <v>TPL_02A</v>
      </c>
    </row>
    <row r="571" spans="1:18" x14ac:dyDescent="0.35">
      <c r="A571" s="2" t="s">
        <v>3203</v>
      </c>
      <c r="B571" s="21" t="str">
        <f>_xlfn.TEXTAFTER(CONTROL[[#This Row],[VEHIDCODE]],"_")</f>
        <v>Mistubishi_Nippon_Sharyo_MLX01_901</v>
      </c>
      <c r="C571" t="str" cm="1">
        <f t="array" ref="C5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src\MMU</v>
      </c>
      <c r="D571" t="str" cm="1">
        <f t="array" ref="D5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ID_RANGE_MMU</v>
      </c>
      <c r="E57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10001</v>
      </c>
      <c r="F571" s="32" t="s">
        <v>2391</v>
      </c>
      <c r="G571" t="s">
        <v>1583</v>
      </c>
      <c r="H571" s="2" t="b">
        <f>AND(CONTROL[[#This Row],[IS_WAGON_OR_COACH]]=TRUE,OR(RIGHT(CONTROL[[#This Row],[VEHIDCODE]],7)="Powered",RIGHT(CONTROL[[#This Row],[VEHIDCODE]],9)="Unpowered"))</f>
        <v>0</v>
      </c>
      <c r="I5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71" t="b">
        <f>ISNUMBER(_xlfn.XMATCH(CONTROL[[#This Row],[VEHIDCODE]],TRACK_TYPES[VEHIDCODE],0))</f>
        <v>1</v>
      </c>
      <c r="K571" t="b">
        <f>ISNUMBER(_xlfn.XMATCH(CONTROL[[#This Row],[VEHIDCODE]],PROPERTIES[VEHIDCODE],0))</f>
        <v>1</v>
      </c>
      <c r="L571" t="b">
        <f>ISNUMBER(_xlfn.XLOOKUP(CONTROL[[#This Row],[VEHIDCODE]],roster!A:A,roster!D:D))</f>
        <v>1</v>
      </c>
      <c r="M571" t="b">
        <f>ISNUMBER(_xlfn.XMATCH(CONTROL[[#This Row],[VEHIDCODE]],GRAPHICS_PROPERTIES[VEHIDCODE],0))</f>
        <v>1</v>
      </c>
      <c r="N571" s="21" t="str">
        <f>"item_"&amp;CONTROL[[#This Row],[VEHIDCODE]]</f>
        <v>item_mmu_Mistubishi_Nippon_Sharyo_MLX01_901</v>
      </c>
      <c r="O571" s="21" t="str">
        <f>"str_"&amp;CONTROL[[#This Row],[VEHIDCODE]]</f>
        <v>str_mmu_Mistubishi_Nippon_Sharyo_MLX01_901</v>
      </c>
      <c r="P571" s="7" t="b">
        <f>_xlfn.XLOOKUP(CONTROL[[#This Row],[VEHIDCODE]],PROPERTIES[VEHIDCODE],PROPERTIES[IS_CONCEPT])="IS_CONCEPT"</f>
        <v>1</v>
      </c>
      <c r="Q571" s="7" t="b">
        <f>_xlfn.XLOOKUP(CONTROL[[#This Row],[VEHIDCODE]],PROPERTIES[VEHIDCODE],PROPERTIES[EXCLUDE])</f>
        <v>0</v>
      </c>
      <c r="R571" t="str" cm="1">
        <f t="array" ref="R571">_xlfn.XLOOKUP(CONTROL[[#This Row],[VEHIDCODE]],GRAPHICS_PROPERTIES[VEHIDCODE],GRAPHICS_PROPERTIES[TEMPLATE_ID]&amp;GRAPHICS_PROPERTIES[TEMPLATE_AMENDMENT_CODE])</f>
        <v>TPL_02A</v>
      </c>
    </row>
    <row r="572" spans="1:18" x14ac:dyDescent="0.35">
      <c r="A572" s="2" t="s">
        <v>227</v>
      </c>
      <c r="B572" s="21" t="str">
        <f>_xlfn.TEXTAFTER(CONTROL[[#This Row],[VEHIDCODE]],"_")</f>
        <v>Wagon_Gen7M_Boxcar_Type1</v>
      </c>
      <c r="C572" t="str" cm="1">
        <f t="array" ref="C5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2" t="str" cm="1">
        <f t="array" ref="D5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10500</v>
      </c>
      <c r="F572" s="32" t="s">
        <v>1670</v>
      </c>
      <c r="G572" t="s">
        <v>523</v>
      </c>
      <c r="H572" s="2" t="b">
        <f>AND(CONTROL[[#This Row],[IS_WAGON_OR_COACH]]=TRUE,OR(RIGHT(CONTROL[[#This Row],[VEHIDCODE]],7)="Powered",RIGHT(CONTROL[[#This Row],[VEHIDCODE]],9)="Unpowered"))</f>
        <v>0</v>
      </c>
      <c r="I5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2" t="b">
        <f>ISNUMBER(_xlfn.XMATCH(CONTROL[[#This Row],[VEHIDCODE]],TRACK_TYPES[VEHIDCODE],0))</f>
        <v>1</v>
      </c>
      <c r="K572" t="b">
        <f>ISNUMBER(_xlfn.XMATCH(CONTROL[[#This Row],[VEHIDCODE]],PROPERTIES[VEHIDCODE],0))</f>
        <v>1</v>
      </c>
      <c r="L572" t="b">
        <f>ISNUMBER(_xlfn.XLOOKUP(CONTROL[[#This Row],[VEHIDCODE]],roster!A:A,roster!D:D))</f>
        <v>1</v>
      </c>
      <c r="M572" t="b">
        <f>ISNUMBER(_xlfn.XMATCH(CONTROL[[#This Row],[VEHIDCODE]],GRAPHICS_PROPERTIES[VEHIDCODE],0))</f>
        <v>1</v>
      </c>
      <c r="N572" s="21" t="str">
        <f>"item_"&amp;CONTROL[[#This Row],[VEHIDCODE]]</f>
        <v>item_mglv_Wagon_Gen7M_Boxcar_Type1</v>
      </c>
      <c r="O572" s="21" t="str">
        <f>"str_"&amp;CONTROL[[#This Row],[VEHIDCODE]]</f>
        <v>str_mglv_Wagon_Gen7M_Boxcar_Type1</v>
      </c>
      <c r="P572" s="7" t="b">
        <f>_xlfn.XLOOKUP(CONTROL[[#This Row],[VEHIDCODE]],PROPERTIES[VEHIDCODE],PROPERTIES[IS_CONCEPT])="IS_CONCEPT"</f>
        <v>1</v>
      </c>
      <c r="Q572" s="7" t="b">
        <f>_xlfn.XLOOKUP(CONTROL[[#This Row],[VEHIDCODE]],PROPERTIES[VEHIDCODE],PROPERTIES[EXCLUDE])</f>
        <v>0</v>
      </c>
      <c r="R572" t="str" cm="1">
        <f t="array" ref="R572">_xlfn.XLOOKUP(CONTROL[[#This Row],[VEHIDCODE]],GRAPHICS_PROPERTIES[VEHIDCODE],GRAPHICS_PROPERTIES[TEMPLATE_ID]&amp;GRAPHICS_PROPERTIES[TEMPLATE_AMENDMENT_CODE])</f>
        <v>TPL_04B</v>
      </c>
    </row>
    <row r="573" spans="1:18" x14ac:dyDescent="0.35">
      <c r="A573" s="2" t="s">
        <v>211</v>
      </c>
      <c r="B573" s="21" t="str">
        <f>_xlfn.TEXTAFTER(CONTROL[[#This Row],[VEHIDCODE]],"_")</f>
        <v>Wagon_Gen7M_Boxcar_Type2</v>
      </c>
      <c r="C573" t="str" cm="1">
        <f t="array" ref="C5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3" t="str" cm="1">
        <f t="array" ref="D5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10501</v>
      </c>
      <c r="F573" s="32" t="s">
        <v>1685</v>
      </c>
      <c r="G573" t="s">
        <v>523</v>
      </c>
      <c r="H573" s="2" t="b">
        <f>AND(CONTROL[[#This Row],[IS_WAGON_OR_COACH]]=TRUE,OR(RIGHT(CONTROL[[#This Row],[VEHIDCODE]],7)="Powered",RIGHT(CONTROL[[#This Row],[VEHIDCODE]],9)="Unpowered"))</f>
        <v>0</v>
      </c>
      <c r="I5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3" t="b">
        <f>ISNUMBER(_xlfn.XMATCH(CONTROL[[#This Row],[VEHIDCODE]],TRACK_TYPES[VEHIDCODE],0))</f>
        <v>1</v>
      </c>
      <c r="K573" t="b">
        <f>ISNUMBER(_xlfn.XMATCH(CONTROL[[#This Row],[VEHIDCODE]],PROPERTIES[VEHIDCODE],0))</f>
        <v>1</v>
      </c>
      <c r="L573" t="b">
        <f>ISNUMBER(_xlfn.XLOOKUP(CONTROL[[#This Row],[VEHIDCODE]],roster!A:A,roster!D:D))</f>
        <v>1</v>
      </c>
      <c r="M573" t="b">
        <f>ISNUMBER(_xlfn.XMATCH(CONTROL[[#This Row],[VEHIDCODE]],GRAPHICS_PROPERTIES[VEHIDCODE],0))</f>
        <v>1</v>
      </c>
      <c r="N573" s="21" t="str">
        <f>"item_"&amp;CONTROL[[#This Row],[VEHIDCODE]]</f>
        <v>item_mglv_Wagon_Gen7M_Boxcar_Type2</v>
      </c>
      <c r="O573" s="21" t="str">
        <f>"str_"&amp;CONTROL[[#This Row],[VEHIDCODE]]</f>
        <v>str_mglv_Wagon_Gen7M_Boxcar_Type2</v>
      </c>
      <c r="P573" s="7" t="b">
        <f>_xlfn.XLOOKUP(CONTROL[[#This Row],[VEHIDCODE]],PROPERTIES[VEHIDCODE],PROPERTIES[IS_CONCEPT])="IS_CONCEPT"</f>
        <v>1</v>
      </c>
      <c r="Q573" s="7" t="b">
        <f>_xlfn.XLOOKUP(CONTROL[[#This Row],[VEHIDCODE]],PROPERTIES[VEHIDCODE],PROPERTIES[EXCLUDE])</f>
        <v>0</v>
      </c>
      <c r="R573" t="str" cm="1">
        <f t="array" ref="R573">_xlfn.XLOOKUP(CONTROL[[#This Row],[VEHIDCODE]],GRAPHICS_PROPERTIES[VEHIDCODE],GRAPHICS_PROPERTIES[TEMPLATE_ID]&amp;GRAPHICS_PROPERTIES[TEMPLATE_AMENDMENT_CODE])</f>
        <v>TPL_04B</v>
      </c>
    </row>
    <row r="574" spans="1:18" x14ac:dyDescent="0.35">
      <c r="A574" s="2" t="s">
        <v>212</v>
      </c>
      <c r="B574" s="21" t="str">
        <f>_xlfn.TEXTAFTER(CONTROL[[#This Row],[VEHIDCODE]],"_")</f>
        <v>Wagon_Gen7M_Car_Transporter</v>
      </c>
      <c r="C574" t="str" cm="1">
        <f t="array" ref="C5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4" t="str" cm="1">
        <f t="array" ref="D5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10502</v>
      </c>
      <c r="F574" s="32" t="s">
        <v>386</v>
      </c>
      <c r="G574" t="s">
        <v>523</v>
      </c>
      <c r="H574" s="2" t="b">
        <f>AND(CONTROL[[#This Row],[IS_WAGON_OR_COACH]]=TRUE,OR(RIGHT(CONTROL[[#This Row],[VEHIDCODE]],7)="Powered",RIGHT(CONTROL[[#This Row],[VEHIDCODE]],9)="Unpowered"))</f>
        <v>0</v>
      </c>
      <c r="I5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4" t="b">
        <f>ISNUMBER(_xlfn.XMATCH(CONTROL[[#This Row],[VEHIDCODE]],TRACK_TYPES[VEHIDCODE],0))</f>
        <v>1</v>
      </c>
      <c r="K574" t="b">
        <f>ISNUMBER(_xlfn.XMATCH(CONTROL[[#This Row],[VEHIDCODE]],PROPERTIES[VEHIDCODE],0))</f>
        <v>1</v>
      </c>
      <c r="L574" t="b">
        <f>ISNUMBER(_xlfn.XLOOKUP(CONTROL[[#This Row],[VEHIDCODE]],roster!A:A,roster!D:D))</f>
        <v>1</v>
      </c>
      <c r="M574" t="b">
        <f>ISNUMBER(_xlfn.XMATCH(CONTROL[[#This Row],[VEHIDCODE]],GRAPHICS_PROPERTIES[VEHIDCODE],0))</f>
        <v>1</v>
      </c>
      <c r="N574" s="21" t="str">
        <f>"item_"&amp;CONTROL[[#This Row],[VEHIDCODE]]</f>
        <v>item_mglv_Wagon_Gen7M_Car_Transporter</v>
      </c>
      <c r="O574" s="21" t="str">
        <f>"str_"&amp;CONTROL[[#This Row],[VEHIDCODE]]</f>
        <v>str_mglv_Wagon_Gen7M_Car_Transporter</v>
      </c>
      <c r="P574" s="7" t="b">
        <f>_xlfn.XLOOKUP(CONTROL[[#This Row],[VEHIDCODE]],PROPERTIES[VEHIDCODE],PROPERTIES[IS_CONCEPT])="IS_CONCEPT"</f>
        <v>1</v>
      </c>
      <c r="Q574" s="7" t="b">
        <f>_xlfn.XLOOKUP(CONTROL[[#This Row],[VEHIDCODE]],PROPERTIES[VEHIDCODE],PROPERTIES[EXCLUDE])</f>
        <v>0</v>
      </c>
      <c r="R574" t="str" cm="1">
        <f t="array" ref="R574">_xlfn.XLOOKUP(CONTROL[[#This Row],[VEHIDCODE]],GRAPHICS_PROPERTIES[VEHIDCODE],GRAPHICS_PROPERTIES[TEMPLATE_ID]&amp;GRAPHICS_PROPERTIES[TEMPLATE_AMENDMENT_CODE])</f>
        <v>TPL_04B</v>
      </c>
    </row>
    <row r="575" spans="1:18" x14ac:dyDescent="0.35">
      <c r="A575" s="2" t="s">
        <v>213</v>
      </c>
      <c r="B575" s="21" t="str">
        <f>_xlfn.TEXTAFTER(CONTROL[[#This Row],[VEHIDCODE]],"_")</f>
        <v>Wagon_Gen7M_Centerbeam</v>
      </c>
      <c r="C575" t="str" cm="1">
        <f t="array" ref="C5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5" t="str" cm="1">
        <f t="array" ref="D5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10503</v>
      </c>
      <c r="F575" s="32" t="s">
        <v>387</v>
      </c>
      <c r="G575" t="s">
        <v>523</v>
      </c>
      <c r="H575" s="2" t="b">
        <f>AND(CONTROL[[#This Row],[IS_WAGON_OR_COACH]]=TRUE,OR(RIGHT(CONTROL[[#This Row],[VEHIDCODE]],7)="Powered",RIGHT(CONTROL[[#This Row],[VEHIDCODE]],9)="Unpowered"))</f>
        <v>0</v>
      </c>
      <c r="I5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5" t="b">
        <f>ISNUMBER(_xlfn.XMATCH(CONTROL[[#This Row],[VEHIDCODE]],TRACK_TYPES[VEHIDCODE],0))</f>
        <v>1</v>
      </c>
      <c r="K575" t="b">
        <f>ISNUMBER(_xlfn.XMATCH(CONTROL[[#This Row],[VEHIDCODE]],PROPERTIES[VEHIDCODE],0))</f>
        <v>1</v>
      </c>
      <c r="L575" t="b">
        <f>ISNUMBER(_xlfn.XLOOKUP(CONTROL[[#This Row],[VEHIDCODE]],roster!A:A,roster!D:D))</f>
        <v>1</v>
      </c>
      <c r="M575" t="b">
        <f>ISNUMBER(_xlfn.XMATCH(CONTROL[[#This Row],[VEHIDCODE]],GRAPHICS_PROPERTIES[VEHIDCODE],0))</f>
        <v>1</v>
      </c>
      <c r="N575" s="21" t="str">
        <f>"item_"&amp;CONTROL[[#This Row],[VEHIDCODE]]</f>
        <v>item_mglv_Wagon_Gen7M_Centerbeam</v>
      </c>
      <c r="O575" s="21" t="str">
        <f>"str_"&amp;CONTROL[[#This Row],[VEHIDCODE]]</f>
        <v>str_mglv_Wagon_Gen7M_Centerbeam</v>
      </c>
      <c r="P575" s="7" t="b">
        <f>_xlfn.XLOOKUP(CONTROL[[#This Row],[VEHIDCODE]],PROPERTIES[VEHIDCODE],PROPERTIES[IS_CONCEPT])="IS_CONCEPT"</f>
        <v>1</v>
      </c>
      <c r="Q575" s="7" t="b">
        <f>_xlfn.XLOOKUP(CONTROL[[#This Row],[VEHIDCODE]],PROPERTIES[VEHIDCODE],PROPERTIES[EXCLUDE])</f>
        <v>0</v>
      </c>
      <c r="R575" t="str" cm="1">
        <f t="array" ref="R575">_xlfn.XLOOKUP(CONTROL[[#This Row],[VEHIDCODE]],GRAPHICS_PROPERTIES[VEHIDCODE],GRAPHICS_PROPERTIES[TEMPLATE_ID]&amp;GRAPHICS_PROPERTIES[TEMPLATE_AMENDMENT_CODE])</f>
        <v>TPL_04B</v>
      </c>
    </row>
    <row r="576" spans="1:18" x14ac:dyDescent="0.35">
      <c r="A576" s="2" t="s">
        <v>214</v>
      </c>
      <c r="B576" s="21" t="str">
        <f>_xlfn.TEXTAFTER(CONTROL[[#This Row],[VEHIDCODE]],"_")</f>
        <v>Wagon_Gen7M_Container_Carrier</v>
      </c>
      <c r="C576" t="str" cm="1">
        <f t="array" ref="C5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6" t="str" cm="1">
        <f t="array" ref="D5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10504</v>
      </c>
      <c r="F576" s="32" t="s">
        <v>388</v>
      </c>
      <c r="G576" t="s">
        <v>523</v>
      </c>
      <c r="H576" s="2" t="b">
        <f>AND(CONTROL[[#This Row],[IS_WAGON_OR_COACH]]=TRUE,OR(RIGHT(CONTROL[[#This Row],[VEHIDCODE]],7)="Powered",RIGHT(CONTROL[[#This Row],[VEHIDCODE]],9)="Unpowered"))</f>
        <v>0</v>
      </c>
      <c r="I5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6" t="b">
        <f>ISNUMBER(_xlfn.XMATCH(CONTROL[[#This Row],[VEHIDCODE]],TRACK_TYPES[VEHIDCODE],0))</f>
        <v>1</v>
      </c>
      <c r="K576" t="b">
        <f>ISNUMBER(_xlfn.XMATCH(CONTROL[[#This Row],[VEHIDCODE]],PROPERTIES[VEHIDCODE],0))</f>
        <v>1</v>
      </c>
      <c r="L576" t="b">
        <f>ISNUMBER(_xlfn.XLOOKUP(CONTROL[[#This Row],[VEHIDCODE]],roster!A:A,roster!D:D))</f>
        <v>1</v>
      </c>
      <c r="M576" t="b">
        <f>ISNUMBER(_xlfn.XMATCH(CONTROL[[#This Row],[VEHIDCODE]],GRAPHICS_PROPERTIES[VEHIDCODE],0))</f>
        <v>1</v>
      </c>
      <c r="N576" s="21" t="str">
        <f>"item_"&amp;CONTROL[[#This Row],[VEHIDCODE]]</f>
        <v>item_mglv_Wagon_Gen7M_Container_Carrier</v>
      </c>
      <c r="O576" s="21" t="str">
        <f>"str_"&amp;CONTROL[[#This Row],[VEHIDCODE]]</f>
        <v>str_mglv_Wagon_Gen7M_Container_Carrier</v>
      </c>
      <c r="P576" s="7" t="b">
        <f>_xlfn.XLOOKUP(CONTROL[[#This Row],[VEHIDCODE]],PROPERTIES[VEHIDCODE],PROPERTIES[IS_CONCEPT])="IS_CONCEPT"</f>
        <v>1</v>
      </c>
      <c r="Q576" s="7" t="b">
        <f>_xlfn.XLOOKUP(CONTROL[[#This Row],[VEHIDCODE]],PROPERTIES[VEHIDCODE],PROPERTIES[EXCLUDE])</f>
        <v>0</v>
      </c>
      <c r="R576" t="str" cm="1">
        <f t="array" ref="R576">_xlfn.XLOOKUP(CONTROL[[#This Row],[VEHIDCODE]],GRAPHICS_PROPERTIES[VEHIDCODE],GRAPHICS_PROPERTIES[TEMPLATE_ID]&amp;GRAPHICS_PROPERTIES[TEMPLATE_AMENDMENT_CODE])</f>
        <v>TPL_04B</v>
      </c>
    </row>
    <row r="577" spans="1:18" x14ac:dyDescent="0.35">
      <c r="A577" s="2" t="s">
        <v>215</v>
      </c>
      <c r="B577" s="21" t="str">
        <f>_xlfn.TEXTAFTER(CONTROL[[#This Row],[VEHIDCODE]],"_")</f>
        <v>Wagon_Gen7M_Container_Doublestack</v>
      </c>
      <c r="C577" t="str" cm="1">
        <f t="array" ref="C5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7" t="str" cm="1">
        <f t="array" ref="D5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10505</v>
      </c>
      <c r="F577" s="32" t="s">
        <v>389</v>
      </c>
      <c r="G577" t="s">
        <v>523</v>
      </c>
      <c r="H577" s="2" t="b">
        <f>AND(CONTROL[[#This Row],[IS_WAGON_OR_COACH]]=TRUE,OR(RIGHT(CONTROL[[#This Row],[VEHIDCODE]],7)="Powered",RIGHT(CONTROL[[#This Row],[VEHIDCODE]],9)="Unpowered"))</f>
        <v>0</v>
      </c>
      <c r="I5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7" t="b">
        <f>ISNUMBER(_xlfn.XMATCH(CONTROL[[#This Row],[VEHIDCODE]],TRACK_TYPES[VEHIDCODE],0))</f>
        <v>1</v>
      </c>
      <c r="K577" t="b">
        <f>ISNUMBER(_xlfn.XMATCH(CONTROL[[#This Row],[VEHIDCODE]],PROPERTIES[VEHIDCODE],0))</f>
        <v>1</v>
      </c>
      <c r="L577" t="b">
        <f>ISNUMBER(_xlfn.XLOOKUP(CONTROL[[#This Row],[VEHIDCODE]],roster!A:A,roster!D:D))</f>
        <v>1</v>
      </c>
      <c r="M577" t="b">
        <f>ISNUMBER(_xlfn.XMATCH(CONTROL[[#This Row],[VEHIDCODE]],GRAPHICS_PROPERTIES[VEHIDCODE],0))</f>
        <v>1</v>
      </c>
      <c r="N577" s="21" t="str">
        <f>"item_"&amp;CONTROL[[#This Row],[VEHIDCODE]]</f>
        <v>item_mglv_Wagon_Gen7M_Container_Doublestack</v>
      </c>
      <c r="O577" s="21" t="str">
        <f>"str_"&amp;CONTROL[[#This Row],[VEHIDCODE]]</f>
        <v>str_mglv_Wagon_Gen7M_Container_Doublestack</v>
      </c>
      <c r="P577" s="7" t="b">
        <f>_xlfn.XLOOKUP(CONTROL[[#This Row],[VEHIDCODE]],PROPERTIES[VEHIDCODE],PROPERTIES[IS_CONCEPT])="IS_CONCEPT"</f>
        <v>1</v>
      </c>
      <c r="Q577" s="7" t="b">
        <f>_xlfn.XLOOKUP(CONTROL[[#This Row],[VEHIDCODE]],PROPERTIES[VEHIDCODE],PROPERTIES[EXCLUDE])</f>
        <v>0</v>
      </c>
      <c r="R577" t="str" cm="1">
        <f t="array" ref="R577">_xlfn.XLOOKUP(CONTROL[[#This Row],[VEHIDCODE]],GRAPHICS_PROPERTIES[VEHIDCODE],GRAPHICS_PROPERTIES[TEMPLATE_ID]&amp;GRAPHICS_PROPERTIES[TEMPLATE_AMENDMENT_CODE])</f>
        <v>TPL_04B</v>
      </c>
    </row>
    <row r="578" spans="1:18" x14ac:dyDescent="0.35">
      <c r="A578" s="2" t="s">
        <v>216</v>
      </c>
      <c r="B578" s="21" t="str">
        <f>_xlfn.TEXTAFTER(CONTROL[[#This Row],[VEHIDCODE]],"_")</f>
        <v>Wagon_Gen7M_Flatcar</v>
      </c>
      <c r="C578" t="str" cm="1">
        <f t="array" ref="C5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8" t="str" cm="1">
        <f t="array" ref="D5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10506</v>
      </c>
      <c r="F578" s="32" t="s">
        <v>390</v>
      </c>
      <c r="G578" t="s">
        <v>523</v>
      </c>
      <c r="H578" s="2" t="b">
        <f>AND(CONTROL[[#This Row],[IS_WAGON_OR_COACH]]=TRUE,OR(RIGHT(CONTROL[[#This Row],[VEHIDCODE]],7)="Powered",RIGHT(CONTROL[[#This Row],[VEHIDCODE]],9)="Unpowered"))</f>
        <v>0</v>
      </c>
      <c r="I5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8" t="b">
        <f>ISNUMBER(_xlfn.XMATCH(CONTROL[[#This Row],[VEHIDCODE]],TRACK_TYPES[VEHIDCODE],0))</f>
        <v>1</v>
      </c>
      <c r="K578" t="b">
        <f>ISNUMBER(_xlfn.XMATCH(CONTROL[[#This Row],[VEHIDCODE]],PROPERTIES[VEHIDCODE],0))</f>
        <v>1</v>
      </c>
      <c r="L578" t="b">
        <f>ISNUMBER(_xlfn.XLOOKUP(CONTROL[[#This Row],[VEHIDCODE]],roster!A:A,roster!D:D))</f>
        <v>1</v>
      </c>
      <c r="M578" t="b">
        <f>ISNUMBER(_xlfn.XMATCH(CONTROL[[#This Row],[VEHIDCODE]],GRAPHICS_PROPERTIES[VEHIDCODE],0))</f>
        <v>1</v>
      </c>
      <c r="N578" s="21" t="str">
        <f>"item_"&amp;CONTROL[[#This Row],[VEHIDCODE]]</f>
        <v>item_mglv_Wagon_Gen7M_Flatcar</v>
      </c>
      <c r="O578" s="21" t="str">
        <f>"str_"&amp;CONTROL[[#This Row],[VEHIDCODE]]</f>
        <v>str_mglv_Wagon_Gen7M_Flatcar</v>
      </c>
      <c r="P578" s="7" t="b">
        <f>_xlfn.XLOOKUP(CONTROL[[#This Row],[VEHIDCODE]],PROPERTIES[VEHIDCODE],PROPERTIES[IS_CONCEPT])="IS_CONCEPT"</f>
        <v>1</v>
      </c>
      <c r="Q578" s="7" t="b">
        <f>_xlfn.XLOOKUP(CONTROL[[#This Row],[VEHIDCODE]],PROPERTIES[VEHIDCODE],PROPERTIES[EXCLUDE])</f>
        <v>0</v>
      </c>
      <c r="R578" t="str" cm="1">
        <f t="array" ref="R578">_xlfn.XLOOKUP(CONTROL[[#This Row],[VEHIDCODE]],GRAPHICS_PROPERTIES[VEHIDCODE],GRAPHICS_PROPERTIES[TEMPLATE_ID]&amp;GRAPHICS_PROPERTIES[TEMPLATE_AMENDMENT_CODE])</f>
        <v>TPL_04B</v>
      </c>
    </row>
    <row r="579" spans="1:18" x14ac:dyDescent="0.35">
      <c r="A579" s="2" t="s">
        <v>217</v>
      </c>
      <c r="B579" s="21" t="str">
        <f>_xlfn.TEXTAFTER(CONTROL[[#This Row],[VEHIDCODE]],"_")</f>
        <v>Wagon_Gen7M_Gondola</v>
      </c>
      <c r="C579" t="str" cm="1">
        <f t="array" ref="C5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9" t="str" cm="1">
        <f t="array" ref="D5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10507</v>
      </c>
      <c r="F579" s="32" t="s">
        <v>391</v>
      </c>
      <c r="G579" t="s">
        <v>523</v>
      </c>
      <c r="H579" s="2" t="b">
        <f>AND(CONTROL[[#This Row],[IS_WAGON_OR_COACH]]=TRUE,OR(RIGHT(CONTROL[[#This Row],[VEHIDCODE]],7)="Powered",RIGHT(CONTROL[[#This Row],[VEHIDCODE]],9)="Unpowered"))</f>
        <v>0</v>
      </c>
      <c r="I5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9" t="b">
        <f>ISNUMBER(_xlfn.XMATCH(CONTROL[[#This Row],[VEHIDCODE]],TRACK_TYPES[VEHIDCODE],0))</f>
        <v>1</v>
      </c>
      <c r="K579" t="b">
        <f>ISNUMBER(_xlfn.XMATCH(CONTROL[[#This Row],[VEHIDCODE]],PROPERTIES[VEHIDCODE],0))</f>
        <v>1</v>
      </c>
      <c r="L579" t="b">
        <f>ISNUMBER(_xlfn.XLOOKUP(CONTROL[[#This Row],[VEHIDCODE]],roster!A:A,roster!D:D))</f>
        <v>1</v>
      </c>
      <c r="M579" t="b">
        <f>ISNUMBER(_xlfn.XMATCH(CONTROL[[#This Row],[VEHIDCODE]],GRAPHICS_PROPERTIES[VEHIDCODE],0))</f>
        <v>1</v>
      </c>
      <c r="N579" s="21" t="str">
        <f>"item_"&amp;CONTROL[[#This Row],[VEHIDCODE]]</f>
        <v>item_mglv_Wagon_Gen7M_Gondola</v>
      </c>
      <c r="O579" s="21" t="str">
        <f>"str_"&amp;CONTROL[[#This Row],[VEHIDCODE]]</f>
        <v>str_mglv_Wagon_Gen7M_Gondola</v>
      </c>
      <c r="P579" s="7" t="b">
        <f>_xlfn.XLOOKUP(CONTROL[[#This Row],[VEHIDCODE]],PROPERTIES[VEHIDCODE],PROPERTIES[IS_CONCEPT])="IS_CONCEPT"</f>
        <v>1</v>
      </c>
      <c r="Q579" s="7" t="b">
        <f>_xlfn.XLOOKUP(CONTROL[[#This Row],[VEHIDCODE]],PROPERTIES[VEHIDCODE],PROPERTIES[EXCLUDE])</f>
        <v>0</v>
      </c>
      <c r="R579" t="str" cm="1">
        <f t="array" ref="R579">_xlfn.XLOOKUP(CONTROL[[#This Row],[VEHIDCODE]],GRAPHICS_PROPERTIES[VEHIDCODE],GRAPHICS_PROPERTIES[TEMPLATE_ID]&amp;GRAPHICS_PROPERTIES[TEMPLATE_AMENDMENT_CODE])</f>
        <v>TPL_04B</v>
      </c>
    </row>
    <row r="580" spans="1:18" x14ac:dyDescent="0.35">
      <c r="A580" s="2" t="s">
        <v>218</v>
      </c>
      <c r="B580" s="21" t="str">
        <f>_xlfn.TEXTAFTER(CONTROL[[#This Row],[VEHIDCODE]],"_")</f>
        <v>Wagon_Gen7M_Heavy_Flatcar</v>
      </c>
      <c r="C580" t="str" cm="1">
        <f t="array" ref="C5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0" t="str" cm="1">
        <f t="array" ref="D5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10508</v>
      </c>
      <c r="F580" s="32" t="s">
        <v>392</v>
      </c>
      <c r="G580" t="s">
        <v>523</v>
      </c>
      <c r="H580" s="2" t="b">
        <f>AND(CONTROL[[#This Row],[IS_WAGON_OR_COACH]]=TRUE,OR(RIGHT(CONTROL[[#This Row],[VEHIDCODE]],7)="Powered",RIGHT(CONTROL[[#This Row],[VEHIDCODE]],9)="Unpowered"))</f>
        <v>0</v>
      </c>
      <c r="I5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0" t="b">
        <f>ISNUMBER(_xlfn.XMATCH(CONTROL[[#This Row],[VEHIDCODE]],TRACK_TYPES[VEHIDCODE],0))</f>
        <v>1</v>
      </c>
      <c r="K580" t="b">
        <f>ISNUMBER(_xlfn.XMATCH(CONTROL[[#This Row],[VEHIDCODE]],PROPERTIES[VEHIDCODE],0))</f>
        <v>1</v>
      </c>
      <c r="L580" t="b">
        <f>ISNUMBER(_xlfn.XLOOKUP(CONTROL[[#This Row],[VEHIDCODE]],roster!A:A,roster!D:D))</f>
        <v>1</v>
      </c>
      <c r="M580" t="b">
        <f>ISNUMBER(_xlfn.XMATCH(CONTROL[[#This Row],[VEHIDCODE]],GRAPHICS_PROPERTIES[VEHIDCODE],0))</f>
        <v>1</v>
      </c>
      <c r="N580" s="21" t="str">
        <f>"item_"&amp;CONTROL[[#This Row],[VEHIDCODE]]</f>
        <v>item_mglv_Wagon_Gen7M_Heavy_Flatcar</v>
      </c>
      <c r="O580" s="21" t="str">
        <f>"str_"&amp;CONTROL[[#This Row],[VEHIDCODE]]</f>
        <v>str_mglv_Wagon_Gen7M_Heavy_Flatcar</v>
      </c>
      <c r="P580" s="7" t="b">
        <f>_xlfn.XLOOKUP(CONTROL[[#This Row],[VEHIDCODE]],PROPERTIES[VEHIDCODE],PROPERTIES[IS_CONCEPT])="IS_CONCEPT"</f>
        <v>1</v>
      </c>
      <c r="Q580" s="7" t="b">
        <f>_xlfn.XLOOKUP(CONTROL[[#This Row],[VEHIDCODE]],PROPERTIES[VEHIDCODE],PROPERTIES[EXCLUDE])</f>
        <v>0</v>
      </c>
      <c r="R580" t="str" cm="1">
        <f t="array" ref="R580">_xlfn.XLOOKUP(CONTROL[[#This Row],[VEHIDCODE]],GRAPHICS_PROPERTIES[VEHIDCODE],GRAPHICS_PROPERTIES[TEMPLATE_ID]&amp;GRAPHICS_PROPERTIES[TEMPLATE_AMENDMENT_CODE])</f>
        <v>TPL_04B</v>
      </c>
    </row>
    <row r="581" spans="1:18" x14ac:dyDescent="0.35">
      <c r="A581" s="2" t="s">
        <v>219</v>
      </c>
      <c r="B581" s="21" t="str">
        <f>_xlfn.TEXTAFTER(CONTROL[[#This Row],[VEHIDCODE]],"_")</f>
        <v>Wagon_Gen7M_Hopper_Type1</v>
      </c>
      <c r="C581" t="str" cm="1">
        <f t="array" ref="C5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1" t="str" cm="1">
        <f t="array" ref="D5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10509</v>
      </c>
      <c r="F581" s="32" t="s">
        <v>1671</v>
      </c>
      <c r="G581" t="s">
        <v>523</v>
      </c>
      <c r="H581" s="2" t="b">
        <f>AND(CONTROL[[#This Row],[IS_WAGON_OR_COACH]]=TRUE,OR(RIGHT(CONTROL[[#This Row],[VEHIDCODE]],7)="Powered",RIGHT(CONTROL[[#This Row],[VEHIDCODE]],9)="Unpowered"))</f>
        <v>0</v>
      </c>
      <c r="I5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1" t="b">
        <f>ISNUMBER(_xlfn.XMATCH(CONTROL[[#This Row],[VEHIDCODE]],TRACK_TYPES[VEHIDCODE],0))</f>
        <v>1</v>
      </c>
      <c r="K581" t="b">
        <f>ISNUMBER(_xlfn.XMATCH(CONTROL[[#This Row],[VEHIDCODE]],PROPERTIES[VEHIDCODE],0))</f>
        <v>1</v>
      </c>
      <c r="L581" t="b">
        <f>ISNUMBER(_xlfn.XLOOKUP(CONTROL[[#This Row],[VEHIDCODE]],roster!A:A,roster!D:D))</f>
        <v>1</v>
      </c>
      <c r="M581" t="b">
        <f>ISNUMBER(_xlfn.XMATCH(CONTROL[[#This Row],[VEHIDCODE]],GRAPHICS_PROPERTIES[VEHIDCODE],0))</f>
        <v>1</v>
      </c>
      <c r="N581" s="21" t="str">
        <f>"item_"&amp;CONTROL[[#This Row],[VEHIDCODE]]</f>
        <v>item_mglv_Wagon_Gen7M_Hopper_Type1</v>
      </c>
      <c r="O581" s="21" t="str">
        <f>"str_"&amp;CONTROL[[#This Row],[VEHIDCODE]]</f>
        <v>str_mglv_Wagon_Gen7M_Hopper_Type1</v>
      </c>
      <c r="P581" s="7" t="b">
        <f>_xlfn.XLOOKUP(CONTROL[[#This Row],[VEHIDCODE]],PROPERTIES[VEHIDCODE],PROPERTIES[IS_CONCEPT])="IS_CONCEPT"</f>
        <v>1</v>
      </c>
      <c r="Q581" s="7" t="b">
        <f>_xlfn.XLOOKUP(CONTROL[[#This Row],[VEHIDCODE]],PROPERTIES[VEHIDCODE],PROPERTIES[EXCLUDE])</f>
        <v>0</v>
      </c>
      <c r="R581" t="str" cm="1">
        <f t="array" ref="R581">_xlfn.XLOOKUP(CONTROL[[#This Row],[VEHIDCODE]],GRAPHICS_PROPERTIES[VEHIDCODE],GRAPHICS_PROPERTIES[TEMPLATE_ID]&amp;GRAPHICS_PROPERTIES[TEMPLATE_AMENDMENT_CODE])</f>
        <v>TPL_04B</v>
      </c>
    </row>
    <row r="582" spans="1:18" x14ac:dyDescent="0.35">
      <c r="A582" s="2" t="s">
        <v>220</v>
      </c>
      <c r="B582" s="21" t="str">
        <f>_xlfn.TEXTAFTER(CONTROL[[#This Row],[VEHIDCODE]],"_")</f>
        <v>Wagon_Gen7M_Hopper_Type2</v>
      </c>
      <c r="C582" t="str" cm="1">
        <f t="array" ref="C5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2" t="str" cm="1">
        <f t="array" ref="D5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10510</v>
      </c>
      <c r="F582" s="32" t="s">
        <v>1686</v>
      </c>
      <c r="G582" t="s">
        <v>523</v>
      </c>
      <c r="H582" s="2" t="b">
        <f>AND(CONTROL[[#This Row],[IS_WAGON_OR_COACH]]=TRUE,OR(RIGHT(CONTROL[[#This Row],[VEHIDCODE]],7)="Powered",RIGHT(CONTROL[[#This Row],[VEHIDCODE]],9)="Unpowered"))</f>
        <v>0</v>
      </c>
      <c r="I5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2" t="b">
        <f>ISNUMBER(_xlfn.XMATCH(CONTROL[[#This Row],[VEHIDCODE]],TRACK_TYPES[VEHIDCODE],0))</f>
        <v>1</v>
      </c>
      <c r="K582" t="b">
        <f>ISNUMBER(_xlfn.XMATCH(CONTROL[[#This Row],[VEHIDCODE]],PROPERTIES[VEHIDCODE],0))</f>
        <v>1</v>
      </c>
      <c r="L582" t="b">
        <f>ISNUMBER(_xlfn.XLOOKUP(CONTROL[[#This Row],[VEHIDCODE]],roster!A:A,roster!D:D))</f>
        <v>1</v>
      </c>
      <c r="M582" t="b">
        <f>ISNUMBER(_xlfn.XMATCH(CONTROL[[#This Row],[VEHIDCODE]],GRAPHICS_PROPERTIES[VEHIDCODE],0))</f>
        <v>1</v>
      </c>
      <c r="N582" s="21" t="str">
        <f>"item_"&amp;CONTROL[[#This Row],[VEHIDCODE]]</f>
        <v>item_mglv_Wagon_Gen7M_Hopper_Type2</v>
      </c>
      <c r="O582" s="21" t="str">
        <f>"str_"&amp;CONTROL[[#This Row],[VEHIDCODE]]</f>
        <v>str_mglv_Wagon_Gen7M_Hopper_Type2</v>
      </c>
      <c r="P582" s="7" t="b">
        <f>_xlfn.XLOOKUP(CONTROL[[#This Row],[VEHIDCODE]],PROPERTIES[VEHIDCODE],PROPERTIES[IS_CONCEPT])="IS_CONCEPT"</f>
        <v>1</v>
      </c>
      <c r="Q582" s="7" t="b">
        <f>_xlfn.XLOOKUP(CONTROL[[#This Row],[VEHIDCODE]],PROPERTIES[VEHIDCODE],PROPERTIES[EXCLUDE])</f>
        <v>0</v>
      </c>
      <c r="R582" t="str" cm="1">
        <f t="array" ref="R582">_xlfn.XLOOKUP(CONTROL[[#This Row],[VEHIDCODE]],GRAPHICS_PROPERTIES[VEHIDCODE],GRAPHICS_PROPERTIES[TEMPLATE_ID]&amp;GRAPHICS_PROPERTIES[TEMPLATE_AMENDMENT_CODE])</f>
        <v>TPL_04B</v>
      </c>
    </row>
    <row r="583" spans="1:18" x14ac:dyDescent="0.35">
      <c r="A583" s="2" t="s">
        <v>221</v>
      </c>
      <c r="B583" s="21" t="str">
        <f>_xlfn.TEXTAFTER(CONTROL[[#This Row],[VEHIDCODE]],"_")</f>
        <v>Wagon_Gen7M_Silo_Type1</v>
      </c>
      <c r="C583" t="str" cm="1">
        <f t="array" ref="C5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3" t="str" cm="1">
        <f t="array" ref="D5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10511</v>
      </c>
      <c r="F583" s="32" t="s">
        <v>1672</v>
      </c>
      <c r="G583" t="s">
        <v>523</v>
      </c>
      <c r="H583" s="2" t="b">
        <f>AND(CONTROL[[#This Row],[IS_WAGON_OR_COACH]]=TRUE,OR(RIGHT(CONTROL[[#This Row],[VEHIDCODE]],7)="Powered",RIGHT(CONTROL[[#This Row],[VEHIDCODE]],9)="Unpowered"))</f>
        <v>0</v>
      </c>
      <c r="I5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3" t="b">
        <f>ISNUMBER(_xlfn.XMATCH(CONTROL[[#This Row],[VEHIDCODE]],TRACK_TYPES[VEHIDCODE],0))</f>
        <v>1</v>
      </c>
      <c r="K583" t="b">
        <f>ISNUMBER(_xlfn.XMATCH(CONTROL[[#This Row],[VEHIDCODE]],PROPERTIES[VEHIDCODE],0))</f>
        <v>1</v>
      </c>
      <c r="L583" t="b">
        <f>ISNUMBER(_xlfn.XLOOKUP(CONTROL[[#This Row],[VEHIDCODE]],roster!A:A,roster!D:D))</f>
        <v>1</v>
      </c>
      <c r="M583" t="b">
        <f>ISNUMBER(_xlfn.XMATCH(CONTROL[[#This Row],[VEHIDCODE]],GRAPHICS_PROPERTIES[VEHIDCODE],0))</f>
        <v>1</v>
      </c>
      <c r="N583" s="21" t="str">
        <f>"item_"&amp;CONTROL[[#This Row],[VEHIDCODE]]</f>
        <v>item_mglv_Wagon_Gen7M_Silo_Type1</v>
      </c>
      <c r="O583" s="21" t="str">
        <f>"str_"&amp;CONTROL[[#This Row],[VEHIDCODE]]</f>
        <v>str_mglv_Wagon_Gen7M_Silo_Type1</v>
      </c>
      <c r="P583" s="7" t="b">
        <f>_xlfn.XLOOKUP(CONTROL[[#This Row],[VEHIDCODE]],PROPERTIES[VEHIDCODE],PROPERTIES[IS_CONCEPT])="IS_CONCEPT"</f>
        <v>1</v>
      </c>
      <c r="Q583" s="7" t="b">
        <f>_xlfn.XLOOKUP(CONTROL[[#This Row],[VEHIDCODE]],PROPERTIES[VEHIDCODE],PROPERTIES[EXCLUDE])</f>
        <v>0</v>
      </c>
      <c r="R583" t="str" cm="1">
        <f t="array" ref="R583">_xlfn.XLOOKUP(CONTROL[[#This Row],[VEHIDCODE]],GRAPHICS_PROPERTIES[VEHIDCODE],GRAPHICS_PROPERTIES[TEMPLATE_ID]&amp;GRAPHICS_PROPERTIES[TEMPLATE_AMENDMENT_CODE])</f>
        <v>TPL_04B</v>
      </c>
    </row>
    <row r="584" spans="1:18" x14ac:dyDescent="0.35">
      <c r="A584" s="2" t="s">
        <v>222</v>
      </c>
      <c r="B584" s="21" t="str">
        <f>_xlfn.TEXTAFTER(CONTROL[[#This Row],[VEHIDCODE]],"_")</f>
        <v>Wagon_Gen7M_Silo_Type2</v>
      </c>
      <c r="C584" t="str" cm="1">
        <f t="array" ref="C5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4" t="str" cm="1">
        <f t="array" ref="D5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10512</v>
      </c>
      <c r="F584" s="32" t="s">
        <v>1687</v>
      </c>
      <c r="G584" t="s">
        <v>523</v>
      </c>
      <c r="H584" s="2" t="b">
        <f>AND(CONTROL[[#This Row],[IS_WAGON_OR_COACH]]=TRUE,OR(RIGHT(CONTROL[[#This Row],[VEHIDCODE]],7)="Powered",RIGHT(CONTROL[[#This Row],[VEHIDCODE]],9)="Unpowered"))</f>
        <v>0</v>
      </c>
      <c r="I5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4" t="b">
        <f>ISNUMBER(_xlfn.XMATCH(CONTROL[[#This Row],[VEHIDCODE]],TRACK_TYPES[VEHIDCODE],0))</f>
        <v>1</v>
      </c>
      <c r="K584" t="b">
        <f>ISNUMBER(_xlfn.XMATCH(CONTROL[[#This Row],[VEHIDCODE]],PROPERTIES[VEHIDCODE],0))</f>
        <v>1</v>
      </c>
      <c r="L584" t="b">
        <f>ISNUMBER(_xlfn.XLOOKUP(CONTROL[[#This Row],[VEHIDCODE]],roster!A:A,roster!D:D))</f>
        <v>1</v>
      </c>
      <c r="M584" t="b">
        <f>ISNUMBER(_xlfn.XMATCH(CONTROL[[#This Row],[VEHIDCODE]],GRAPHICS_PROPERTIES[VEHIDCODE],0))</f>
        <v>1</v>
      </c>
      <c r="N584" s="21" t="str">
        <f>"item_"&amp;CONTROL[[#This Row],[VEHIDCODE]]</f>
        <v>item_mglv_Wagon_Gen7M_Silo_Type2</v>
      </c>
      <c r="O584" s="21" t="str">
        <f>"str_"&amp;CONTROL[[#This Row],[VEHIDCODE]]</f>
        <v>str_mglv_Wagon_Gen7M_Silo_Type2</v>
      </c>
      <c r="P584" s="7" t="b">
        <f>_xlfn.XLOOKUP(CONTROL[[#This Row],[VEHIDCODE]],PROPERTIES[VEHIDCODE],PROPERTIES[IS_CONCEPT])="IS_CONCEPT"</f>
        <v>1</v>
      </c>
      <c r="Q584" s="7" t="b">
        <f>_xlfn.XLOOKUP(CONTROL[[#This Row],[VEHIDCODE]],PROPERTIES[VEHIDCODE],PROPERTIES[EXCLUDE])</f>
        <v>0</v>
      </c>
      <c r="R584" t="str" cm="1">
        <f t="array" ref="R584">_xlfn.XLOOKUP(CONTROL[[#This Row],[VEHIDCODE]],GRAPHICS_PROPERTIES[VEHIDCODE],GRAPHICS_PROPERTIES[TEMPLATE_ID]&amp;GRAPHICS_PROPERTIES[TEMPLATE_AMENDMENT_CODE])</f>
        <v>TPL_04B</v>
      </c>
    </row>
    <row r="585" spans="1:18" x14ac:dyDescent="0.35">
      <c r="A585" s="2" t="s">
        <v>223</v>
      </c>
      <c r="B585" s="21" t="str">
        <f>_xlfn.TEXTAFTER(CONTROL[[#This Row],[VEHIDCODE]],"_")</f>
        <v>Wagon_Gen7M_Superheavy_Flatcar</v>
      </c>
      <c r="C585" t="str" cm="1">
        <f t="array" ref="C5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5" t="str" cm="1">
        <f t="array" ref="D5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10513</v>
      </c>
      <c r="F585" s="32" t="s">
        <v>393</v>
      </c>
      <c r="G585" t="s">
        <v>523</v>
      </c>
      <c r="H585" s="2" t="b">
        <f>AND(CONTROL[[#This Row],[IS_WAGON_OR_COACH]]=TRUE,OR(RIGHT(CONTROL[[#This Row],[VEHIDCODE]],7)="Powered",RIGHT(CONTROL[[#This Row],[VEHIDCODE]],9)="Unpowered"))</f>
        <v>0</v>
      </c>
      <c r="I5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5" t="b">
        <f>ISNUMBER(_xlfn.XMATCH(CONTROL[[#This Row],[VEHIDCODE]],TRACK_TYPES[VEHIDCODE],0))</f>
        <v>1</v>
      </c>
      <c r="K585" t="b">
        <f>ISNUMBER(_xlfn.XMATCH(CONTROL[[#This Row],[VEHIDCODE]],PROPERTIES[VEHIDCODE],0))</f>
        <v>1</v>
      </c>
      <c r="L585" t="b">
        <f>ISNUMBER(_xlfn.XLOOKUP(CONTROL[[#This Row],[VEHIDCODE]],roster!A:A,roster!D:D))</f>
        <v>1</v>
      </c>
      <c r="M585" t="b">
        <f>ISNUMBER(_xlfn.XMATCH(CONTROL[[#This Row],[VEHIDCODE]],GRAPHICS_PROPERTIES[VEHIDCODE],0))</f>
        <v>1</v>
      </c>
      <c r="N585" s="21" t="str">
        <f>"item_"&amp;CONTROL[[#This Row],[VEHIDCODE]]</f>
        <v>item_mglv_Wagon_Gen7M_Superheavy_Flatcar</v>
      </c>
      <c r="O585" s="21" t="str">
        <f>"str_"&amp;CONTROL[[#This Row],[VEHIDCODE]]</f>
        <v>str_mglv_Wagon_Gen7M_Superheavy_Flatcar</v>
      </c>
      <c r="P585" s="7" t="b">
        <f>_xlfn.XLOOKUP(CONTROL[[#This Row],[VEHIDCODE]],PROPERTIES[VEHIDCODE],PROPERTIES[IS_CONCEPT])="IS_CONCEPT"</f>
        <v>1</v>
      </c>
      <c r="Q585" s="7" t="b">
        <f>_xlfn.XLOOKUP(CONTROL[[#This Row],[VEHIDCODE]],PROPERTIES[VEHIDCODE],PROPERTIES[EXCLUDE])</f>
        <v>0</v>
      </c>
      <c r="R585" t="str" cm="1">
        <f t="array" ref="R585">_xlfn.XLOOKUP(CONTROL[[#This Row],[VEHIDCODE]],GRAPHICS_PROPERTIES[VEHIDCODE],GRAPHICS_PROPERTIES[TEMPLATE_ID]&amp;GRAPHICS_PROPERTIES[TEMPLATE_AMENDMENT_CODE])</f>
        <v>TPL_25A</v>
      </c>
    </row>
    <row r="586" spans="1:18" x14ac:dyDescent="0.35">
      <c r="A586" s="2" t="s">
        <v>224</v>
      </c>
      <c r="B586" s="21" t="str">
        <f>_xlfn.TEXTAFTER(CONTROL[[#This Row],[VEHIDCODE]],"_")</f>
        <v>Wagon_Gen7M_Tanker</v>
      </c>
      <c r="C586" t="str" cm="1">
        <f t="array" ref="C5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6" t="str" cm="1">
        <f t="array" ref="D5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10514</v>
      </c>
      <c r="F586" s="32" t="s">
        <v>394</v>
      </c>
      <c r="G586" t="s">
        <v>523</v>
      </c>
      <c r="H586" s="2" t="b">
        <f>AND(CONTROL[[#This Row],[IS_WAGON_OR_COACH]]=TRUE,OR(RIGHT(CONTROL[[#This Row],[VEHIDCODE]],7)="Powered",RIGHT(CONTROL[[#This Row],[VEHIDCODE]],9)="Unpowered"))</f>
        <v>0</v>
      </c>
      <c r="I5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6" t="b">
        <f>ISNUMBER(_xlfn.XMATCH(CONTROL[[#This Row],[VEHIDCODE]],TRACK_TYPES[VEHIDCODE],0))</f>
        <v>1</v>
      </c>
      <c r="K586" t="b">
        <f>ISNUMBER(_xlfn.XMATCH(CONTROL[[#This Row],[VEHIDCODE]],PROPERTIES[VEHIDCODE],0))</f>
        <v>1</v>
      </c>
      <c r="L586" t="b">
        <f>ISNUMBER(_xlfn.XLOOKUP(CONTROL[[#This Row],[VEHIDCODE]],roster!A:A,roster!D:D))</f>
        <v>1</v>
      </c>
      <c r="M586" t="b">
        <f>ISNUMBER(_xlfn.XMATCH(CONTROL[[#This Row],[VEHIDCODE]],GRAPHICS_PROPERTIES[VEHIDCODE],0))</f>
        <v>1</v>
      </c>
      <c r="N586" s="21" t="str">
        <f>"item_"&amp;CONTROL[[#This Row],[VEHIDCODE]]</f>
        <v>item_mglv_Wagon_Gen7M_Tanker</v>
      </c>
      <c r="O586" s="21" t="str">
        <f>"str_"&amp;CONTROL[[#This Row],[VEHIDCODE]]</f>
        <v>str_mglv_Wagon_Gen7M_Tanker</v>
      </c>
      <c r="P586" s="7" t="b">
        <f>_xlfn.XLOOKUP(CONTROL[[#This Row],[VEHIDCODE]],PROPERTIES[VEHIDCODE],PROPERTIES[IS_CONCEPT])="IS_CONCEPT"</f>
        <v>1</v>
      </c>
      <c r="Q586" s="7" t="b">
        <f>_xlfn.XLOOKUP(CONTROL[[#This Row],[VEHIDCODE]],PROPERTIES[VEHIDCODE],PROPERTIES[EXCLUDE])</f>
        <v>0</v>
      </c>
      <c r="R586" t="str" cm="1">
        <f t="array" ref="R586">_xlfn.XLOOKUP(CONTROL[[#This Row],[VEHIDCODE]],GRAPHICS_PROPERTIES[VEHIDCODE],GRAPHICS_PROPERTIES[TEMPLATE_ID]&amp;GRAPHICS_PROPERTIES[TEMPLATE_AMENDMENT_CODE])</f>
        <v>TPL_04B</v>
      </c>
    </row>
    <row r="587" spans="1:18" x14ac:dyDescent="0.35">
      <c r="A587" s="2" t="s">
        <v>3204</v>
      </c>
      <c r="B587" s="21" t="str">
        <f>_xlfn.TEXTAFTER(CONTROL[[#This Row],[VEHIDCODE]],"_")</f>
        <v>Niigata_Transys_Shikoku_1000</v>
      </c>
      <c r="C587" t="str" cm="1">
        <f t="array" ref="C5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587" t="str" cm="1">
        <f t="array" ref="D5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587">
        <v>2038</v>
      </c>
      <c r="F587" s="32" t="s">
        <v>2392</v>
      </c>
      <c r="G587" t="s">
        <v>1615</v>
      </c>
      <c r="H587" s="2" t="b">
        <f>AND(CONTROL[[#This Row],[IS_WAGON_OR_COACH]]=TRUE,OR(RIGHT(CONTROL[[#This Row],[VEHIDCODE]],7)="Powered",RIGHT(CONTROL[[#This Row],[VEHIDCODE]],9)="Unpowered"))</f>
        <v>0</v>
      </c>
      <c r="I5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87" t="b">
        <f>ISNUMBER(_xlfn.XMATCH(CONTROL[[#This Row],[VEHIDCODE]],TRACK_TYPES[VEHIDCODE],0))</f>
        <v>1</v>
      </c>
      <c r="K587" t="b">
        <f>ISNUMBER(_xlfn.XMATCH(CONTROL[[#This Row],[VEHIDCODE]],PROPERTIES[VEHIDCODE],0))</f>
        <v>1</v>
      </c>
      <c r="L587" t="b">
        <f>ISNUMBER(_xlfn.XLOOKUP(CONTROL[[#This Row],[VEHIDCODE]],roster!A:A,roster!D:D))</f>
        <v>1</v>
      </c>
      <c r="M587" t="b">
        <f>ISNUMBER(_xlfn.XMATCH(CONTROL[[#This Row],[VEHIDCODE]],GRAPHICS_PROPERTIES[VEHIDCODE],0))</f>
        <v>1</v>
      </c>
      <c r="N587" s="21" t="str">
        <f>"item_"&amp;CONTROL[[#This Row],[VEHIDCODE]]</f>
        <v>item_rbd_Niigata_Transys_Shikoku_1000</v>
      </c>
      <c r="O587" s="21" t="str">
        <f>"str_"&amp;CONTROL[[#This Row],[VEHIDCODE]]</f>
        <v>str_rbd_Niigata_Transys_Shikoku_1000</v>
      </c>
      <c r="P587" s="7" t="b">
        <f>_xlfn.XLOOKUP(CONTROL[[#This Row],[VEHIDCODE]],PROPERTIES[VEHIDCODE],PROPERTIES[IS_CONCEPT])="IS_CONCEPT"</f>
        <v>0</v>
      </c>
      <c r="Q587" s="7" t="b">
        <f>_xlfn.XLOOKUP(CONTROL[[#This Row],[VEHIDCODE]],PROPERTIES[VEHIDCODE],PROPERTIES[EXCLUDE])</f>
        <v>0</v>
      </c>
      <c r="R587" t="str" cm="1">
        <f t="array" ref="R587">_xlfn.XLOOKUP(CONTROL[[#This Row],[VEHIDCODE]],GRAPHICS_PROPERTIES[VEHIDCODE],GRAPHICS_PROPERTIES[TEMPLATE_ID]&amp;GRAPHICS_PROPERTIES[TEMPLATE_AMENDMENT_CODE])</f>
        <v>TPL_01B</v>
      </c>
    </row>
    <row r="588" spans="1:18" x14ac:dyDescent="0.35">
      <c r="A588" s="2" t="s">
        <v>3205</v>
      </c>
      <c r="B588" s="21" t="str">
        <f>_xlfn.TEXTAFTER(CONTROL[[#This Row],[VEHIDCODE]],"_")</f>
        <v>Niigata_Transys_KiHa_E120</v>
      </c>
      <c r="C588" t="str" cm="1">
        <f t="array" ref="C5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588" t="str" cm="1">
        <f t="array" ref="D5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588">
        <v>2040</v>
      </c>
      <c r="F588" s="32" t="s">
        <v>2393</v>
      </c>
      <c r="G588" t="s">
        <v>1616</v>
      </c>
      <c r="H588" s="2" t="b">
        <f>AND(CONTROL[[#This Row],[IS_WAGON_OR_COACH]]=TRUE,OR(RIGHT(CONTROL[[#This Row],[VEHIDCODE]],7)="Powered",RIGHT(CONTROL[[#This Row],[VEHIDCODE]],9)="Unpowered"))</f>
        <v>0</v>
      </c>
      <c r="I5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88" t="b">
        <f>ISNUMBER(_xlfn.XMATCH(CONTROL[[#This Row],[VEHIDCODE]],TRACK_TYPES[VEHIDCODE],0))</f>
        <v>1</v>
      </c>
      <c r="K588" t="b">
        <f>ISNUMBER(_xlfn.XMATCH(CONTROL[[#This Row],[VEHIDCODE]],PROPERTIES[VEHIDCODE],0))</f>
        <v>1</v>
      </c>
      <c r="L588" t="b">
        <f>ISNUMBER(_xlfn.XLOOKUP(CONTROL[[#This Row],[VEHIDCODE]],roster!A:A,roster!D:D))</f>
        <v>1</v>
      </c>
      <c r="M588" t="b">
        <f>ISNUMBER(_xlfn.XMATCH(CONTROL[[#This Row],[VEHIDCODE]],GRAPHICS_PROPERTIES[VEHIDCODE],0))</f>
        <v>1</v>
      </c>
      <c r="N588" s="21" t="str">
        <f>"item_"&amp;CONTROL[[#This Row],[VEHIDCODE]]</f>
        <v>item_rbd_Niigata_Transys_KiHa_E120</v>
      </c>
      <c r="O588" s="21" t="str">
        <f>"str_"&amp;CONTROL[[#This Row],[VEHIDCODE]]</f>
        <v>str_rbd_Niigata_Transys_KiHa_E120</v>
      </c>
      <c r="P588" s="7" t="b">
        <f>_xlfn.XLOOKUP(CONTROL[[#This Row],[VEHIDCODE]],PROPERTIES[VEHIDCODE],PROPERTIES[IS_CONCEPT])="IS_CONCEPT"</f>
        <v>0</v>
      </c>
      <c r="Q588" s="7" t="b">
        <f>_xlfn.XLOOKUP(CONTROL[[#This Row],[VEHIDCODE]],PROPERTIES[VEHIDCODE],PROPERTIES[EXCLUDE])</f>
        <v>0</v>
      </c>
      <c r="R588" t="str" cm="1">
        <f t="array" ref="R588">_xlfn.XLOOKUP(CONTROL[[#This Row],[VEHIDCODE]],GRAPHICS_PROPERTIES[VEHIDCODE],GRAPHICS_PROPERTIES[TEMPLATE_ID]&amp;GRAPHICS_PROPERTIES[TEMPLATE_AMENDMENT_CODE])</f>
        <v>TPL_01B</v>
      </c>
    </row>
    <row r="589" spans="1:18" x14ac:dyDescent="0.35">
      <c r="A589" s="2" t="s">
        <v>3206</v>
      </c>
      <c r="B589" s="21" t="str">
        <f>_xlfn.TEXTAFTER(CONTROL[[#This Row],[VEHIDCODE]],"_")</f>
        <v>EFE_SB_56_Buscarril</v>
      </c>
      <c r="C589" t="str" cm="1">
        <f t="array" ref="C5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589" t="str" cm="1">
        <f t="array" ref="D5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589">
        <v>2042</v>
      </c>
      <c r="F589" s="32" t="s">
        <v>3536</v>
      </c>
      <c r="G589" t="s">
        <v>3535</v>
      </c>
      <c r="H589" s="2" t="b">
        <f>AND(CONTROL[[#This Row],[IS_WAGON_OR_COACH]]=TRUE,OR(RIGHT(CONTROL[[#This Row],[VEHIDCODE]],7)="Powered",RIGHT(CONTROL[[#This Row],[VEHIDCODE]],9)="Unpowered"))</f>
        <v>0</v>
      </c>
      <c r="I5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89" t="b">
        <f>ISNUMBER(_xlfn.XMATCH(CONTROL[[#This Row],[VEHIDCODE]],TRACK_TYPES[VEHIDCODE],0))</f>
        <v>1</v>
      </c>
      <c r="K589" t="b">
        <f>ISNUMBER(_xlfn.XMATCH(CONTROL[[#This Row],[VEHIDCODE]],PROPERTIES[VEHIDCODE],0))</f>
        <v>1</v>
      </c>
      <c r="L589" t="b">
        <f>ISNUMBER(_xlfn.XLOOKUP(CONTROL[[#This Row],[VEHIDCODE]],roster!A:A,roster!D:D))</f>
        <v>1</v>
      </c>
      <c r="M589" t="b">
        <f>ISNUMBER(_xlfn.XMATCH(CONTROL[[#This Row],[VEHIDCODE]],GRAPHICS_PROPERTIES[VEHIDCODE],0))</f>
        <v>1</v>
      </c>
      <c r="N589" s="21" t="str">
        <f>"item_"&amp;CONTROL[[#This Row],[VEHIDCODE]]</f>
        <v>item_rbd_EFE_SB_56_Buscarril</v>
      </c>
      <c r="O589" s="21" t="str">
        <f>"str_"&amp;CONTROL[[#This Row],[VEHIDCODE]]</f>
        <v>str_rbd_EFE_SB_56_Buscarril</v>
      </c>
      <c r="P589" s="7" t="b">
        <f>_xlfn.XLOOKUP(CONTROL[[#This Row],[VEHIDCODE]],PROPERTIES[VEHIDCODE],PROPERTIES[IS_CONCEPT])="IS_CONCEPT"</f>
        <v>0</v>
      </c>
      <c r="Q589" s="7" t="b">
        <f>_xlfn.XLOOKUP(CONTROL[[#This Row],[VEHIDCODE]],PROPERTIES[VEHIDCODE],PROPERTIES[EXCLUDE])</f>
        <v>0</v>
      </c>
      <c r="R589" t="str" cm="1">
        <f t="array" ref="R589">_xlfn.XLOOKUP(CONTROL[[#This Row],[VEHIDCODE]],GRAPHICS_PROPERTIES[VEHIDCODE],GRAPHICS_PROPERTIES[TEMPLATE_ID]&amp;GRAPHICS_PROPERTIES[TEMPLATE_AMENDMENT_CODE])</f>
        <v>TPL_01B</v>
      </c>
    </row>
    <row r="590" spans="1:18" x14ac:dyDescent="0.35">
      <c r="A590" s="2" t="s">
        <v>3207</v>
      </c>
      <c r="B590" s="21" t="str">
        <f>_xlfn.TEXTAFTER(CONTROL[[#This Row],[VEHIDCODE]],"_")</f>
        <v>Sulzer_M_Railcar</v>
      </c>
      <c r="C590" t="str" cm="1">
        <f t="array" ref="C5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590" t="str" cm="1">
        <f t="array" ref="D5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590">
        <v>2043</v>
      </c>
      <c r="F590" s="32" t="s">
        <v>2394</v>
      </c>
      <c r="G590" t="s">
        <v>1618</v>
      </c>
      <c r="H590" s="2" t="b">
        <f>AND(CONTROL[[#This Row],[IS_WAGON_OR_COACH]]=TRUE,OR(RIGHT(CONTROL[[#This Row],[VEHIDCODE]],7)="Powered",RIGHT(CONTROL[[#This Row],[VEHIDCODE]],9)="Unpowered"))</f>
        <v>0</v>
      </c>
      <c r="I5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0" t="b">
        <f>ISNUMBER(_xlfn.XMATCH(CONTROL[[#This Row],[VEHIDCODE]],TRACK_TYPES[VEHIDCODE],0))</f>
        <v>1</v>
      </c>
      <c r="K590" t="b">
        <f>ISNUMBER(_xlfn.XMATCH(CONTROL[[#This Row],[VEHIDCODE]],PROPERTIES[VEHIDCODE],0))</f>
        <v>1</v>
      </c>
      <c r="L590" t="b">
        <f>ISNUMBER(_xlfn.XLOOKUP(CONTROL[[#This Row],[VEHIDCODE]],roster!A:A,roster!D:D))</f>
        <v>1</v>
      </c>
      <c r="M590" t="b">
        <f>ISNUMBER(_xlfn.XMATCH(CONTROL[[#This Row],[VEHIDCODE]],GRAPHICS_PROPERTIES[VEHIDCODE],0))</f>
        <v>1</v>
      </c>
      <c r="N590" s="21" t="str">
        <f>"item_"&amp;CONTROL[[#This Row],[VEHIDCODE]]</f>
        <v>item_rbd_Sulzer_M_Railcar</v>
      </c>
      <c r="O590" s="21" t="str">
        <f>"str_"&amp;CONTROL[[#This Row],[VEHIDCODE]]</f>
        <v>str_rbd_Sulzer_M_Railcar</v>
      </c>
      <c r="P590" s="7" t="b">
        <f>_xlfn.XLOOKUP(CONTROL[[#This Row],[VEHIDCODE]],PROPERTIES[VEHIDCODE],PROPERTIES[IS_CONCEPT])="IS_CONCEPT"</f>
        <v>0</v>
      </c>
      <c r="Q590" s="7" t="b">
        <f>_xlfn.XLOOKUP(CONTROL[[#This Row],[VEHIDCODE]],PROPERTIES[VEHIDCODE],PROPERTIES[EXCLUDE])</f>
        <v>0</v>
      </c>
      <c r="R590" t="str" cm="1">
        <f t="array" ref="R590">_xlfn.XLOOKUP(CONTROL[[#This Row],[VEHIDCODE]],GRAPHICS_PROPERTIES[VEHIDCODE],GRAPHICS_PROPERTIES[TEMPLATE_ID]&amp;GRAPHICS_PROPERTIES[TEMPLATE_AMENDMENT_CODE])</f>
        <v>TPL_01B</v>
      </c>
    </row>
    <row r="591" spans="1:18" x14ac:dyDescent="0.35">
      <c r="A591" s="2" t="s">
        <v>3208</v>
      </c>
      <c r="B591" s="21" t="str">
        <f>_xlfn.TEXTAFTER(CONTROL[[#This Row],[VEHIDCODE]],"_")</f>
        <v>Eritrean_Railway_A_62_70_Littorina</v>
      </c>
      <c r="C591" t="str" cm="1">
        <f t="array" ref="C5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591" t="str" cm="1">
        <f t="array" ref="D5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591">
        <v>2045</v>
      </c>
      <c r="F591" s="32" t="s">
        <v>395</v>
      </c>
      <c r="G591" t="s">
        <v>1617</v>
      </c>
      <c r="H591" s="2" t="b">
        <f>AND(CONTROL[[#This Row],[IS_WAGON_OR_COACH]]=TRUE,OR(RIGHT(CONTROL[[#This Row],[VEHIDCODE]],7)="Powered",RIGHT(CONTROL[[#This Row],[VEHIDCODE]],9)="Unpowered"))</f>
        <v>0</v>
      </c>
      <c r="I5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1" t="b">
        <f>ISNUMBER(_xlfn.XMATCH(CONTROL[[#This Row],[VEHIDCODE]],TRACK_TYPES[VEHIDCODE],0))</f>
        <v>1</v>
      </c>
      <c r="K591" t="b">
        <f>ISNUMBER(_xlfn.XMATCH(CONTROL[[#This Row],[VEHIDCODE]],PROPERTIES[VEHIDCODE],0))</f>
        <v>1</v>
      </c>
      <c r="L591" t="b">
        <f>ISNUMBER(_xlfn.XLOOKUP(CONTROL[[#This Row],[VEHIDCODE]],roster!A:A,roster!D:D))</f>
        <v>1</v>
      </c>
      <c r="M591" t="b">
        <f>ISNUMBER(_xlfn.XMATCH(CONTROL[[#This Row],[VEHIDCODE]],GRAPHICS_PROPERTIES[VEHIDCODE],0))</f>
        <v>1</v>
      </c>
      <c r="N591" s="21" t="str">
        <f>"item_"&amp;CONTROL[[#This Row],[VEHIDCODE]]</f>
        <v>item_rbd_Eritrean_Railway_A_62_70_Littorina</v>
      </c>
      <c r="O591" s="21" t="str">
        <f>"str_"&amp;CONTROL[[#This Row],[VEHIDCODE]]</f>
        <v>str_rbd_Eritrean_Railway_A_62_70_Littorina</v>
      </c>
      <c r="P591" s="7" t="b">
        <f>_xlfn.XLOOKUP(CONTROL[[#This Row],[VEHIDCODE]],PROPERTIES[VEHIDCODE],PROPERTIES[IS_CONCEPT])="IS_CONCEPT"</f>
        <v>0</v>
      </c>
      <c r="Q591" s="7" t="b">
        <f>_xlfn.XLOOKUP(CONTROL[[#This Row],[VEHIDCODE]],PROPERTIES[VEHIDCODE],PROPERTIES[EXCLUDE])</f>
        <v>0</v>
      </c>
      <c r="R591" t="str" cm="1">
        <f t="array" ref="R591">_xlfn.XLOOKUP(CONTROL[[#This Row],[VEHIDCODE]],GRAPHICS_PROPERTIES[VEHIDCODE],GRAPHICS_PROPERTIES[TEMPLATE_ID]&amp;GRAPHICS_PROPERTIES[TEMPLATE_AMENDMENT_CODE])</f>
        <v>TPL_01B</v>
      </c>
    </row>
    <row r="592" spans="1:18" x14ac:dyDescent="0.35">
      <c r="A592" s="2" t="s">
        <v>3209</v>
      </c>
      <c r="B592" s="21" t="str">
        <f>_xlfn.TEXTAFTER(CONTROL[[#This Row],[VEHIDCODE]],"_")</f>
        <v>SLM_CFe_3_3</v>
      </c>
      <c r="C592" t="str" cm="1">
        <f t="array" ref="C5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2" t="str" cm="1">
        <f t="array" ref="D5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2">
        <v>3000</v>
      </c>
      <c r="F592" s="32" t="s">
        <v>2395</v>
      </c>
      <c r="G592" t="s">
        <v>1619</v>
      </c>
      <c r="H592" s="2" t="b">
        <f>AND(CONTROL[[#This Row],[IS_WAGON_OR_COACH]]=TRUE,OR(RIGHT(CONTROL[[#This Row],[VEHIDCODE]],7)="Powered",RIGHT(CONTROL[[#This Row],[VEHIDCODE]],9)="Unpowered"))</f>
        <v>0</v>
      </c>
      <c r="I5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2" t="b">
        <f>ISNUMBER(_xlfn.XMATCH(CONTROL[[#This Row],[VEHIDCODE]],TRACK_TYPES[VEHIDCODE],0))</f>
        <v>1</v>
      </c>
      <c r="K592" t="b">
        <f>ISNUMBER(_xlfn.XMATCH(CONTROL[[#This Row],[VEHIDCODE]],PROPERTIES[VEHIDCODE],0))</f>
        <v>1</v>
      </c>
      <c r="L592" t="b">
        <f>ISNUMBER(_xlfn.XLOOKUP(CONTROL[[#This Row],[VEHIDCODE]],roster!A:A,roster!D:D))</f>
        <v>1</v>
      </c>
      <c r="M592" t="b">
        <f>ISNUMBER(_xlfn.XMATCH(CONTROL[[#This Row],[VEHIDCODE]],GRAPHICS_PROPERTIES[VEHIDCODE],0))</f>
        <v>1</v>
      </c>
      <c r="N592" s="21" t="str">
        <f>"item_"&amp;CONTROL[[#This Row],[VEHIDCODE]]</f>
        <v>item_rbe_SLM_CFe_3_3</v>
      </c>
      <c r="O592" s="21" t="str">
        <f>"str_"&amp;CONTROL[[#This Row],[VEHIDCODE]]</f>
        <v>str_rbe_SLM_CFe_3_3</v>
      </c>
      <c r="P592" s="7" t="b">
        <f>_xlfn.XLOOKUP(CONTROL[[#This Row],[VEHIDCODE]],PROPERTIES[VEHIDCODE],PROPERTIES[IS_CONCEPT])="IS_CONCEPT"</f>
        <v>0</v>
      </c>
      <c r="Q592" s="7" t="b">
        <f>_xlfn.XLOOKUP(CONTROL[[#This Row],[VEHIDCODE]],PROPERTIES[VEHIDCODE],PROPERTIES[EXCLUDE])</f>
        <v>0</v>
      </c>
      <c r="R592" t="str" cm="1">
        <f t="array" ref="R592">_xlfn.XLOOKUP(CONTROL[[#This Row],[VEHIDCODE]],GRAPHICS_PROPERTIES[VEHIDCODE],GRAPHICS_PROPERTIES[TEMPLATE_ID]&amp;GRAPHICS_PROPERTIES[TEMPLATE_AMENDMENT_CODE])</f>
        <v>TPL_01B</v>
      </c>
    </row>
    <row r="593" spans="1:18" x14ac:dyDescent="0.35">
      <c r="A593" s="2" t="s">
        <v>3210</v>
      </c>
      <c r="B593" s="21" t="str">
        <f>_xlfn.TEXTAFTER(CONTROL[[#This Row],[VEHIDCODE]],"_")</f>
        <v>TPC_BVB_Be_2_2</v>
      </c>
      <c r="C593" t="str" cm="1">
        <f t="array" ref="C5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3" t="str" cm="1">
        <f t="array" ref="D5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3">
        <v>3006</v>
      </c>
      <c r="F593" s="32" t="s">
        <v>396</v>
      </c>
      <c r="G593" t="s">
        <v>3534</v>
      </c>
      <c r="H593" s="2" t="b">
        <f>AND(CONTROL[[#This Row],[IS_WAGON_OR_COACH]]=TRUE,OR(RIGHT(CONTROL[[#This Row],[VEHIDCODE]],7)="Powered",RIGHT(CONTROL[[#This Row],[VEHIDCODE]],9)="Unpowered"))</f>
        <v>0</v>
      </c>
      <c r="I5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3" t="b">
        <f>ISNUMBER(_xlfn.XMATCH(CONTROL[[#This Row],[VEHIDCODE]],TRACK_TYPES[VEHIDCODE],0))</f>
        <v>1</v>
      </c>
      <c r="K593" t="b">
        <f>ISNUMBER(_xlfn.XMATCH(CONTROL[[#This Row],[VEHIDCODE]],PROPERTIES[VEHIDCODE],0))</f>
        <v>1</v>
      </c>
      <c r="L593" t="b">
        <f>ISNUMBER(_xlfn.XLOOKUP(CONTROL[[#This Row],[VEHIDCODE]],roster!A:A,roster!D:D))</f>
        <v>1</v>
      </c>
      <c r="M593" t="b">
        <f>ISNUMBER(_xlfn.XMATCH(CONTROL[[#This Row],[VEHIDCODE]],GRAPHICS_PROPERTIES[VEHIDCODE],0))</f>
        <v>1</v>
      </c>
      <c r="N593" s="21" t="str">
        <f>"item_"&amp;CONTROL[[#This Row],[VEHIDCODE]]</f>
        <v>item_rbe_TPC_BVB_Be_2_2</v>
      </c>
      <c r="O593" s="21" t="str">
        <f>"str_"&amp;CONTROL[[#This Row],[VEHIDCODE]]</f>
        <v>str_rbe_TPC_BVB_Be_2_2</v>
      </c>
      <c r="P593" s="7" t="b">
        <f>_xlfn.XLOOKUP(CONTROL[[#This Row],[VEHIDCODE]],PROPERTIES[VEHIDCODE],PROPERTIES[IS_CONCEPT])="IS_CONCEPT"</f>
        <v>0</v>
      </c>
      <c r="Q593" s="7" t="b">
        <f>_xlfn.XLOOKUP(CONTROL[[#This Row],[VEHIDCODE]],PROPERTIES[VEHIDCODE],PROPERTIES[EXCLUDE])</f>
        <v>0</v>
      </c>
      <c r="R593" t="str" cm="1">
        <f t="array" ref="R593">_xlfn.XLOOKUP(CONTROL[[#This Row],[VEHIDCODE]],GRAPHICS_PROPERTIES[VEHIDCODE],GRAPHICS_PROPERTIES[TEMPLATE_ID]&amp;GRAPHICS_PROPERTIES[TEMPLATE_AMENDMENT_CODE])</f>
        <v>TPL_01B</v>
      </c>
    </row>
    <row r="594" spans="1:18" x14ac:dyDescent="0.35">
      <c r="A594" s="2" t="s">
        <v>3211</v>
      </c>
      <c r="B594" s="21" t="str">
        <f>_xlfn.TEXTAFTER(CONTROL[[#This Row],[VEHIDCODE]],"_")</f>
        <v>MVR_Beh_2_4</v>
      </c>
      <c r="C594" t="str" cm="1">
        <f t="array" ref="C5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4" t="str" cm="1">
        <f t="array" ref="D5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4">
        <v>3016</v>
      </c>
      <c r="F594" s="32" t="s">
        <v>397</v>
      </c>
      <c r="G594" t="s">
        <v>1620</v>
      </c>
      <c r="H594" s="2" t="b">
        <f>AND(CONTROL[[#This Row],[IS_WAGON_OR_COACH]]=TRUE,OR(RIGHT(CONTROL[[#This Row],[VEHIDCODE]],7)="Powered",RIGHT(CONTROL[[#This Row],[VEHIDCODE]],9)="Unpowered"))</f>
        <v>0</v>
      </c>
      <c r="I5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4" t="b">
        <f>ISNUMBER(_xlfn.XMATCH(CONTROL[[#This Row],[VEHIDCODE]],TRACK_TYPES[VEHIDCODE],0))</f>
        <v>1</v>
      </c>
      <c r="K594" t="b">
        <f>ISNUMBER(_xlfn.XMATCH(CONTROL[[#This Row],[VEHIDCODE]],PROPERTIES[VEHIDCODE],0))</f>
        <v>1</v>
      </c>
      <c r="L594" t="b">
        <f>ISNUMBER(_xlfn.XLOOKUP(CONTROL[[#This Row],[VEHIDCODE]],roster!A:A,roster!D:D))</f>
        <v>1</v>
      </c>
      <c r="M594" t="b">
        <f>ISNUMBER(_xlfn.XMATCH(CONTROL[[#This Row],[VEHIDCODE]],GRAPHICS_PROPERTIES[VEHIDCODE],0))</f>
        <v>1</v>
      </c>
      <c r="N594" s="21" t="str">
        <f>"item_"&amp;CONTROL[[#This Row],[VEHIDCODE]]</f>
        <v>item_rbe_MVR_Beh_2_4</v>
      </c>
      <c r="O594" s="21" t="str">
        <f>"str_"&amp;CONTROL[[#This Row],[VEHIDCODE]]</f>
        <v>str_rbe_MVR_Beh_2_4</v>
      </c>
      <c r="P594" s="7" t="b">
        <f>_xlfn.XLOOKUP(CONTROL[[#This Row],[VEHIDCODE]],PROPERTIES[VEHIDCODE],PROPERTIES[IS_CONCEPT])="IS_CONCEPT"</f>
        <v>0</v>
      </c>
      <c r="Q594" s="7" t="b">
        <f>_xlfn.XLOOKUP(CONTROL[[#This Row],[VEHIDCODE]],PROPERTIES[VEHIDCODE],PROPERTIES[EXCLUDE])</f>
        <v>0</v>
      </c>
      <c r="R594" t="str" cm="1">
        <f t="array" ref="R594">_xlfn.XLOOKUP(CONTROL[[#This Row],[VEHIDCODE]],GRAPHICS_PROPERTIES[VEHIDCODE],GRAPHICS_PROPERTIES[TEMPLATE_ID]&amp;GRAPHICS_PROPERTIES[TEMPLATE_AMENDMENT_CODE])</f>
        <v>TPL_01B</v>
      </c>
    </row>
    <row r="595" spans="1:18" x14ac:dyDescent="0.35">
      <c r="A595" s="2" t="s">
        <v>3212</v>
      </c>
      <c r="B595" s="21" t="str">
        <f>_xlfn.TEXTAFTER(CONTROL[[#This Row],[VEHIDCODE]],"_")</f>
        <v>Ferrocarril_de_Soller_1_3</v>
      </c>
      <c r="C595" t="str" cm="1">
        <f t="array" ref="C5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5" t="str" cm="1">
        <f t="array" ref="D5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5">
        <v>3007</v>
      </c>
      <c r="F595" s="32" t="s">
        <v>398</v>
      </c>
      <c r="G595" t="s">
        <v>1621</v>
      </c>
      <c r="H595" s="2" t="b">
        <f>AND(CONTROL[[#This Row],[IS_WAGON_OR_COACH]]=TRUE,OR(RIGHT(CONTROL[[#This Row],[VEHIDCODE]],7)="Powered",RIGHT(CONTROL[[#This Row],[VEHIDCODE]],9)="Unpowered"))</f>
        <v>0</v>
      </c>
      <c r="I5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5" t="b">
        <f>ISNUMBER(_xlfn.XMATCH(CONTROL[[#This Row],[VEHIDCODE]],TRACK_TYPES[VEHIDCODE],0))</f>
        <v>1</v>
      </c>
      <c r="K595" t="b">
        <f>ISNUMBER(_xlfn.XMATCH(CONTROL[[#This Row],[VEHIDCODE]],PROPERTIES[VEHIDCODE],0))</f>
        <v>1</v>
      </c>
      <c r="L595" t="b">
        <f>ISNUMBER(_xlfn.XLOOKUP(CONTROL[[#This Row],[VEHIDCODE]],roster!A:A,roster!D:D))</f>
        <v>1</v>
      </c>
      <c r="M595" t="b">
        <f>ISNUMBER(_xlfn.XMATCH(CONTROL[[#This Row],[VEHIDCODE]],GRAPHICS_PROPERTIES[VEHIDCODE],0))</f>
        <v>1</v>
      </c>
      <c r="N595" s="21" t="str">
        <f>"item_"&amp;CONTROL[[#This Row],[VEHIDCODE]]</f>
        <v>item_rbe_Ferrocarril_de_Soller_1_3</v>
      </c>
      <c r="O595" s="21" t="str">
        <f>"str_"&amp;CONTROL[[#This Row],[VEHIDCODE]]</f>
        <v>str_rbe_Ferrocarril_de_Soller_1_3</v>
      </c>
      <c r="P595" s="7" t="b">
        <f>_xlfn.XLOOKUP(CONTROL[[#This Row],[VEHIDCODE]],PROPERTIES[VEHIDCODE],PROPERTIES[IS_CONCEPT])="IS_CONCEPT"</f>
        <v>0</v>
      </c>
      <c r="Q595" s="7" t="b">
        <f>_xlfn.XLOOKUP(CONTROL[[#This Row],[VEHIDCODE]],PROPERTIES[VEHIDCODE],PROPERTIES[EXCLUDE])</f>
        <v>0</v>
      </c>
      <c r="R595" t="str" cm="1">
        <f t="array" ref="R595">_xlfn.XLOOKUP(CONTROL[[#This Row],[VEHIDCODE]],GRAPHICS_PROPERTIES[VEHIDCODE],GRAPHICS_PROPERTIES[TEMPLATE_ID]&amp;GRAPHICS_PROPERTIES[TEMPLATE_AMENDMENT_CODE])</f>
        <v>TPL_01B</v>
      </c>
    </row>
    <row r="596" spans="1:18" x14ac:dyDescent="0.35">
      <c r="A596" s="2" t="s">
        <v>3213</v>
      </c>
      <c r="B596" s="21" t="str">
        <f>_xlfn.TEXTAFTER(CONTROL[[#This Row],[VEHIDCODE]],"_")</f>
        <v>Hitachi_Choshi_DeHa_1000</v>
      </c>
      <c r="C596" t="str" cm="1">
        <f t="array" ref="C5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6" t="str" cm="1">
        <f t="array" ref="D5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6">
        <v>3011</v>
      </c>
      <c r="F596" s="32" t="s">
        <v>2396</v>
      </c>
      <c r="G596" t="s">
        <v>1622</v>
      </c>
      <c r="H596" s="2" t="b">
        <f>AND(CONTROL[[#This Row],[IS_WAGON_OR_COACH]]=TRUE,OR(RIGHT(CONTROL[[#This Row],[VEHIDCODE]],7)="Powered",RIGHT(CONTROL[[#This Row],[VEHIDCODE]],9)="Unpowered"))</f>
        <v>0</v>
      </c>
      <c r="I5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6" t="b">
        <f>ISNUMBER(_xlfn.XMATCH(CONTROL[[#This Row],[VEHIDCODE]],TRACK_TYPES[VEHIDCODE],0))</f>
        <v>1</v>
      </c>
      <c r="K596" t="b">
        <f>ISNUMBER(_xlfn.XMATCH(CONTROL[[#This Row],[VEHIDCODE]],PROPERTIES[VEHIDCODE],0))</f>
        <v>1</v>
      </c>
      <c r="L596" t="b">
        <f>ISNUMBER(_xlfn.XLOOKUP(CONTROL[[#This Row],[VEHIDCODE]],roster!A:A,roster!D:D))</f>
        <v>1</v>
      </c>
      <c r="M596" t="b">
        <f>ISNUMBER(_xlfn.XMATCH(CONTROL[[#This Row],[VEHIDCODE]],GRAPHICS_PROPERTIES[VEHIDCODE],0))</f>
        <v>1</v>
      </c>
      <c r="N596" s="21" t="str">
        <f>"item_"&amp;CONTROL[[#This Row],[VEHIDCODE]]</f>
        <v>item_rbe_Hitachi_Choshi_DeHa_1000</v>
      </c>
      <c r="O596" s="21" t="str">
        <f>"str_"&amp;CONTROL[[#This Row],[VEHIDCODE]]</f>
        <v>str_rbe_Hitachi_Choshi_DeHa_1000</v>
      </c>
      <c r="P596" s="7" t="b">
        <f>_xlfn.XLOOKUP(CONTROL[[#This Row],[VEHIDCODE]],PROPERTIES[VEHIDCODE],PROPERTIES[IS_CONCEPT])="IS_CONCEPT"</f>
        <v>0</v>
      </c>
      <c r="Q596" s="7" t="b">
        <f>_xlfn.XLOOKUP(CONTROL[[#This Row],[VEHIDCODE]],PROPERTIES[VEHIDCODE],PROPERTIES[EXCLUDE])</f>
        <v>0</v>
      </c>
      <c r="R596" t="str" cm="1">
        <f t="array" ref="R596">_xlfn.XLOOKUP(CONTROL[[#This Row],[VEHIDCODE]],GRAPHICS_PROPERTIES[VEHIDCODE],GRAPHICS_PROPERTIES[TEMPLATE_ID]&amp;GRAPHICS_PROPERTIES[TEMPLATE_AMENDMENT_CODE])</f>
        <v>TPL_01B</v>
      </c>
    </row>
    <row r="597" spans="1:18" x14ac:dyDescent="0.35">
      <c r="A597" s="2" t="s">
        <v>3214</v>
      </c>
      <c r="B597" s="21" t="str">
        <f>_xlfn.TEXTAFTER(CONTROL[[#This Row],[VEHIDCODE]],"_")</f>
        <v>SLM_G_3_4</v>
      </c>
      <c r="C597" t="str" cm="1">
        <f t="array" ref="C5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597" t="str" cm="1">
        <f t="array" ref="D5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597">
        <v>4049</v>
      </c>
      <c r="F597" s="32" t="s">
        <v>2397</v>
      </c>
      <c r="G597" t="s">
        <v>1623</v>
      </c>
      <c r="H597" s="2" t="b">
        <f>AND(CONTROL[[#This Row],[IS_WAGON_OR_COACH]]=TRUE,OR(RIGHT(CONTROL[[#This Row],[VEHIDCODE]],7)="Powered",RIGHT(CONTROL[[#This Row],[VEHIDCODE]],9)="Unpowered"))</f>
        <v>0</v>
      </c>
      <c r="I5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7" t="b">
        <f>ISNUMBER(_xlfn.XMATCH(CONTROL[[#This Row],[VEHIDCODE]],TRACK_TYPES[VEHIDCODE],0))</f>
        <v>1</v>
      </c>
      <c r="K597" t="b">
        <f>ISNUMBER(_xlfn.XMATCH(CONTROL[[#This Row],[VEHIDCODE]],PROPERTIES[VEHIDCODE],0))</f>
        <v>1</v>
      </c>
      <c r="L597" t="b">
        <f>ISNUMBER(_xlfn.XLOOKUP(CONTROL[[#This Row],[VEHIDCODE]],roster!A:A,roster!D:D))</f>
        <v>1</v>
      </c>
      <c r="M597" t="b">
        <f>ISNUMBER(_xlfn.XMATCH(CONTROL[[#This Row],[VEHIDCODE]],GRAPHICS_PROPERTIES[VEHIDCODE],0))</f>
        <v>1</v>
      </c>
      <c r="N597" s="21" t="str">
        <f>"item_"&amp;CONTROL[[#This Row],[VEHIDCODE]]</f>
        <v>item_steam_SLM_G_3_4</v>
      </c>
      <c r="O597" s="21" t="str">
        <f>"str_"&amp;CONTROL[[#This Row],[VEHIDCODE]]</f>
        <v>str_steam_SLM_G_3_4</v>
      </c>
      <c r="P597" s="7" t="b">
        <f>_xlfn.XLOOKUP(CONTROL[[#This Row],[VEHIDCODE]],PROPERTIES[VEHIDCODE],PROPERTIES[IS_CONCEPT])="IS_CONCEPT"</f>
        <v>0</v>
      </c>
      <c r="Q597" s="7" t="b">
        <f>_xlfn.XLOOKUP(CONTROL[[#This Row],[VEHIDCODE]],PROPERTIES[VEHIDCODE],PROPERTIES[EXCLUDE])</f>
        <v>0</v>
      </c>
      <c r="R597" t="str" cm="1">
        <f t="array" ref="R597">_xlfn.XLOOKUP(CONTROL[[#This Row],[VEHIDCODE]],GRAPHICS_PROPERTIES[VEHIDCODE],GRAPHICS_PROPERTIES[TEMPLATE_ID]&amp;GRAPHICS_PROPERTIES[TEMPLATE_AMENDMENT_CODE])</f>
        <v>TPL_03C</v>
      </c>
    </row>
    <row r="598" spans="1:18" x14ac:dyDescent="0.35">
      <c r="A598" s="2" t="s">
        <v>3215</v>
      </c>
      <c r="B598" s="21" t="str">
        <f>_xlfn.TEXTAFTER(CONTROL[[#This Row],[VEHIDCODE]],"_")</f>
        <v>Kisha_Seizo_2_10_4T_E10</v>
      </c>
      <c r="C598" t="str" cm="1">
        <f t="array" ref="C5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598" t="str" cm="1">
        <f t="array" ref="D5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598">
        <v>4067</v>
      </c>
      <c r="F598" s="32" t="s">
        <v>2398</v>
      </c>
      <c r="G598" t="s">
        <v>1624</v>
      </c>
      <c r="H598" s="2" t="b">
        <f>AND(CONTROL[[#This Row],[IS_WAGON_OR_COACH]]=TRUE,OR(RIGHT(CONTROL[[#This Row],[VEHIDCODE]],7)="Powered",RIGHT(CONTROL[[#This Row],[VEHIDCODE]],9)="Unpowered"))</f>
        <v>0</v>
      </c>
      <c r="I5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8" t="b">
        <f>ISNUMBER(_xlfn.XMATCH(CONTROL[[#This Row],[VEHIDCODE]],TRACK_TYPES[VEHIDCODE],0))</f>
        <v>1</v>
      </c>
      <c r="K598" t="b">
        <f>ISNUMBER(_xlfn.XMATCH(CONTROL[[#This Row],[VEHIDCODE]],PROPERTIES[VEHIDCODE],0))</f>
        <v>1</v>
      </c>
      <c r="L598" t="b">
        <f>ISNUMBER(_xlfn.XLOOKUP(CONTROL[[#This Row],[VEHIDCODE]],roster!A:A,roster!D:D))</f>
        <v>1</v>
      </c>
      <c r="M598" t="b">
        <f>ISNUMBER(_xlfn.XMATCH(CONTROL[[#This Row],[VEHIDCODE]],GRAPHICS_PROPERTIES[VEHIDCODE],0))</f>
        <v>1</v>
      </c>
      <c r="N598" s="21" t="str">
        <f>"item_"&amp;CONTROL[[#This Row],[VEHIDCODE]]</f>
        <v>item_steam_Kisha_Seizo_2_10_4T_E10</v>
      </c>
      <c r="O598" s="21" t="str">
        <f>"str_"&amp;CONTROL[[#This Row],[VEHIDCODE]]</f>
        <v>str_steam_Kisha_Seizo_2_10_4T_E10</v>
      </c>
      <c r="P598" s="7" t="b">
        <f>_xlfn.XLOOKUP(CONTROL[[#This Row],[VEHIDCODE]],PROPERTIES[VEHIDCODE],PROPERTIES[IS_CONCEPT])="IS_CONCEPT"</f>
        <v>0</v>
      </c>
      <c r="Q598" s="7" t="b">
        <f>_xlfn.XLOOKUP(CONTROL[[#This Row],[VEHIDCODE]],PROPERTIES[VEHIDCODE],PROPERTIES[EXCLUDE])</f>
        <v>0</v>
      </c>
      <c r="R598" t="str" cm="1">
        <f t="array" ref="R598">_xlfn.XLOOKUP(CONTROL[[#This Row],[VEHIDCODE]],GRAPHICS_PROPERTIES[VEHIDCODE],GRAPHICS_PROPERTIES[TEMPLATE_ID]&amp;GRAPHICS_PROPERTIES[TEMPLATE_AMENDMENT_CODE])</f>
        <v>TPL_03C</v>
      </c>
    </row>
    <row r="599" spans="1:18" x14ac:dyDescent="0.35">
      <c r="A599" s="2" t="s">
        <v>3216</v>
      </c>
      <c r="B599" s="21" t="str">
        <f>_xlfn.TEXTAFTER(CONTROL[[#This Row],[VEHIDCODE]],"_")</f>
        <v>H__K__Porter__Inc_2_6_0_7100</v>
      </c>
      <c r="C599" t="str" cm="1">
        <f t="array" ref="C5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599" t="str" cm="1">
        <f t="array" ref="D5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599">
        <v>4075</v>
      </c>
      <c r="F599" s="32" t="s">
        <v>2568</v>
      </c>
      <c r="G599" t="s">
        <v>1625</v>
      </c>
      <c r="H599" s="2" t="b">
        <f>AND(CONTROL[[#This Row],[IS_WAGON_OR_COACH]]=TRUE,OR(RIGHT(CONTROL[[#This Row],[VEHIDCODE]],7)="Powered",RIGHT(CONTROL[[#This Row],[VEHIDCODE]],9)="Unpowered"))</f>
        <v>0</v>
      </c>
      <c r="I5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9" t="b">
        <f>ISNUMBER(_xlfn.XMATCH(CONTROL[[#This Row],[VEHIDCODE]],TRACK_TYPES[VEHIDCODE],0))</f>
        <v>1</v>
      </c>
      <c r="K599" t="b">
        <f>ISNUMBER(_xlfn.XMATCH(CONTROL[[#This Row],[VEHIDCODE]],PROPERTIES[VEHIDCODE],0))</f>
        <v>1</v>
      </c>
      <c r="L599" t="b">
        <f>ISNUMBER(_xlfn.XLOOKUP(CONTROL[[#This Row],[VEHIDCODE]],roster!A:A,roster!D:D))</f>
        <v>1</v>
      </c>
      <c r="M599" t="b">
        <f>ISNUMBER(_xlfn.XMATCH(CONTROL[[#This Row],[VEHIDCODE]],GRAPHICS_PROPERTIES[VEHIDCODE],0))</f>
        <v>1</v>
      </c>
      <c r="N599" s="21" t="str">
        <f>"item_"&amp;CONTROL[[#This Row],[VEHIDCODE]]</f>
        <v>item_steam_H__K__Porter__Inc_2_6_0_7100</v>
      </c>
      <c r="O599" s="21" t="str">
        <f>"str_"&amp;CONTROL[[#This Row],[VEHIDCODE]]</f>
        <v>str_steam_H__K__Porter__Inc_2_6_0_7100</v>
      </c>
      <c r="P599" s="7" t="b">
        <f>_xlfn.XLOOKUP(CONTROL[[#This Row],[VEHIDCODE]],PROPERTIES[VEHIDCODE],PROPERTIES[IS_CONCEPT])="IS_CONCEPT"</f>
        <v>0</v>
      </c>
      <c r="Q599" s="7" t="b">
        <f>_xlfn.XLOOKUP(CONTROL[[#This Row],[VEHIDCODE]],PROPERTIES[VEHIDCODE],PROPERTIES[EXCLUDE])</f>
        <v>0</v>
      </c>
      <c r="R599" t="str" cm="1">
        <f t="array" ref="R599">_xlfn.XLOOKUP(CONTROL[[#This Row],[VEHIDCODE]],GRAPHICS_PROPERTIES[VEHIDCODE],GRAPHICS_PROPERTIES[TEMPLATE_ID]&amp;GRAPHICS_PROPERTIES[TEMPLATE_AMENDMENT_CODE])</f>
        <v>TPL_03A</v>
      </c>
    </row>
    <row r="600" spans="1:18" x14ac:dyDescent="0.35">
      <c r="A600" s="2" t="s">
        <v>3217</v>
      </c>
      <c r="B600" s="21" t="str">
        <f>_xlfn.TEXTAFTER(CONTROL[[#This Row],[VEHIDCODE]],"_")</f>
        <v>Richard_Francis_Trevithick_2_4_2T_860</v>
      </c>
      <c r="C600" t="str" cm="1">
        <f t="array" ref="C6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00" t="str" cm="1">
        <f t="array" ref="D6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00">
        <v>4077</v>
      </c>
      <c r="F600" s="32" t="s">
        <v>2399</v>
      </c>
      <c r="G600" t="s">
        <v>1626</v>
      </c>
      <c r="H600" s="2" t="b">
        <f>AND(CONTROL[[#This Row],[IS_WAGON_OR_COACH]]=TRUE,OR(RIGHT(CONTROL[[#This Row],[VEHIDCODE]],7)="Powered",RIGHT(CONTROL[[#This Row],[VEHIDCODE]],9)="Unpowered"))</f>
        <v>0</v>
      </c>
      <c r="I6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0" t="b">
        <f>ISNUMBER(_xlfn.XMATCH(CONTROL[[#This Row],[VEHIDCODE]],TRACK_TYPES[VEHIDCODE],0))</f>
        <v>1</v>
      </c>
      <c r="K600" t="b">
        <f>ISNUMBER(_xlfn.XMATCH(CONTROL[[#This Row],[VEHIDCODE]],PROPERTIES[VEHIDCODE],0))</f>
        <v>1</v>
      </c>
      <c r="L600" t="b">
        <f>ISNUMBER(_xlfn.XLOOKUP(CONTROL[[#This Row],[VEHIDCODE]],roster!A:A,roster!D:D))</f>
        <v>1</v>
      </c>
      <c r="M600" t="b">
        <f>ISNUMBER(_xlfn.XMATCH(CONTROL[[#This Row],[VEHIDCODE]],GRAPHICS_PROPERTIES[VEHIDCODE],0))</f>
        <v>1</v>
      </c>
      <c r="N600" s="21" t="str">
        <f>"item_"&amp;CONTROL[[#This Row],[VEHIDCODE]]</f>
        <v>item_steam_Richard_Francis_Trevithick_2_4_2T_860</v>
      </c>
      <c r="O600" s="21" t="str">
        <f>"str_"&amp;CONTROL[[#This Row],[VEHIDCODE]]</f>
        <v>str_steam_Richard_Francis_Trevithick_2_4_2T_860</v>
      </c>
      <c r="P600" s="7" t="b">
        <f>_xlfn.XLOOKUP(CONTROL[[#This Row],[VEHIDCODE]],PROPERTIES[VEHIDCODE],PROPERTIES[IS_CONCEPT])="IS_CONCEPT"</f>
        <v>0</v>
      </c>
      <c r="Q600" s="7" t="b">
        <f>_xlfn.XLOOKUP(CONTROL[[#This Row],[VEHIDCODE]],PROPERTIES[VEHIDCODE],PROPERTIES[EXCLUDE])</f>
        <v>0</v>
      </c>
      <c r="R600" t="str" cm="1">
        <f t="array" ref="R600">_xlfn.XLOOKUP(CONTROL[[#This Row],[VEHIDCODE]],GRAPHICS_PROPERTIES[VEHIDCODE],GRAPHICS_PROPERTIES[TEMPLATE_ID]&amp;GRAPHICS_PROPERTIES[TEMPLATE_AMENDMENT_CODE])</f>
        <v>TPL_03C</v>
      </c>
    </row>
    <row r="601" spans="1:18" x14ac:dyDescent="0.35">
      <c r="A601" s="2" t="s">
        <v>3218</v>
      </c>
      <c r="B601" s="21" t="str">
        <f>_xlfn.TEXTAFTER(CONTROL[[#This Row],[VEHIDCODE]],"_")</f>
        <v>Kawasaki_2_8_0_9600</v>
      </c>
      <c r="C601" t="str" cm="1">
        <f t="array" ref="C6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01" t="str" cm="1">
        <f t="array" ref="D6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01">
        <v>4086</v>
      </c>
      <c r="F601" s="32" t="s">
        <v>2400</v>
      </c>
      <c r="G601" t="s">
        <v>1627</v>
      </c>
      <c r="H601" s="2" t="b">
        <f>AND(CONTROL[[#This Row],[IS_WAGON_OR_COACH]]=TRUE,OR(RIGHT(CONTROL[[#This Row],[VEHIDCODE]],7)="Powered",RIGHT(CONTROL[[#This Row],[VEHIDCODE]],9)="Unpowered"))</f>
        <v>0</v>
      </c>
      <c r="I6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1" t="b">
        <f>ISNUMBER(_xlfn.XMATCH(CONTROL[[#This Row],[VEHIDCODE]],TRACK_TYPES[VEHIDCODE],0))</f>
        <v>1</v>
      </c>
      <c r="K601" t="b">
        <f>ISNUMBER(_xlfn.XMATCH(CONTROL[[#This Row],[VEHIDCODE]],PROPERTIES[VEHIDCODE],0))</f>
        <v>1</v>
      </c>
      <c r="L601" t="b">
        <f>ISNUMBER(_xlfn.XLOOKUP(CONTROL[[#This Row],[VEHIDCODE]],roster!A:A,roster!D:D))</f>
        <v>1</v>
      </c>
      <c r="M601" t="b">
        <f>ISNUMBER(_xlfn.XMATCH(CONTROL[[#This Row],[VEHIDCODE]],GRAPHICS_PROPERTIES[VEHIDCODE],0))</f>
        <v>1</v>
      </c>
      <c r="N601" s="21" t="str">
        <f>"item_"&amp;CONTROL[[#This Row],[VEHIDCODE]]</f>
        <v>item_steam_Kawasaki_2_8_0_9600</v>
      </c>
      <c r="O601" s="21" t="str">
        <f>"str_"&amp;CONTROL[[#This Row],[VEHIDCODE]]</f>
        <v>str_steam_Kawasaki_2_8_0_9600</v>
      </c>
      <c r="P601" s="7" t="b">
        <f>_xlfn.XLOOKUP(CONTROL[[#This Row],[VEHIDCODE]],PROPERTIES[VEHIDCODE],PROPERTIES[IS_CONCEPT])="IS_CONCEPT"</f>
        <v>0</v>
      </c>
      <c r="Q601" s="7" t="b">
        <f>_xlfn.XLOOKUP(CONTROL[[#This Row],[VEHIDCODE]],PROPERTIES[VEHIDCODE],PROPERTIES[EXCLUDE])</f>
        <v>0</v>
      </c>
      <c r="R601" t="str" cm="1">
        <f t="array" ref="R601">_xlfn.XLOOKUP(CONTROL[[#This Row],[VEHIDCODE]],GRAPHICS_PROPERTIES[VEHIDCODE],GRAPHICS_PROPERTIES[TEMPLATE_ID]&amp;GRAPHICS_PROPERTIES[TEMPLATE_AMENDMENT_CODE])</f>
        <v>TPL_03A</v>
      </c>
    </row>
    <row r="602" spans="1:18" x14ac:dyDescent="0.35">
      <c r="A602" s="2" t="s">
        <v>3219</v>
      </c>
      <c r="B602" s="21" t="str">
        <f>_xlfn.TEXTAFTER(CONTROL[[#This Row],[VEHIDCODE]],"_")</f>
        <v>Kawasaki_2_8_2_D50</v>
      </c>
      <c r="C602" t="str" cm="1">
        <f t="array" ref="C6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02" t="str" cm="1">
        <f t="array" ref="D6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02">
        <v>4111</v>
      </c>
      <c r="F602" s="32" t="s">
        <v>2401</v>
      </c>
      <c r="G602" t="s">
        <v>1628</v>
      </c>
      <c r="H602" s="2" t="b">
        <f>AND(CONTROL[[#This Row],[IS_WAGON_OR_COACH]]=TRUE,OR(RIGHT(CONTROL[[#This Row],[VEHIDCODE]],7)="Powered",RIGHT(CONTROL[[#This Row],[VEHIDCODE]],9)="Unpowered"))</f>
        <v>0</v>
      </c>
      <c r="I6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2" t="b">
        <f>ISNUMBER(_xlfn.XMATCH(CONTROL[[#This Row],[VEHIDCODE]],TRACK_TYPES[VEHIDCODE],0))</f>
        <v>1</v>
      </c>
      <c r="K602" t="b">
        <f>ISNUMBER(_xlfn.XMATCH(CONTROL[[#This Row],[VEHIDCODE]],PROPERTIES[VEHIDCODE],0))</f>
        <v>1</v>
      </c>
      <c r="L602" t="b">
        <f>ISNUMBER(_xlfn.XLOOKUP(CONTROL[[#This Row],[VEHIDCODE]],roster!A:A,roster!D:D))</f>
        <v>1</v>
      </c>
      <c r="M602" t="b">
        <f>ISNUMBER(_xlfn.XMATCH(CONTROL[[#This Row],[VEHIDCODE]],GRAPHICS_PROPERTIES[VEHIDCODE],0))</f>
        <v>1</v>
      </c>
      <c r="N602" s="21" t="str">
        <f>"item_"&amp;CONTROL[[#This Row],[VEHIDCODE]]</f>
        <v>item_steam_Kawasaki_2_8_2_D50</v>
      </c>
      <c r="O602" s="21" t="str">
        <f>"str_"&amp;CONTROL[[#This Row],[VEHIDCODE]]</f>
        <v>str_steam_Kawasaki_2_8_2_D50</v>
      </c>
      <c r="P602" s="7" t="b">
        <f>_xlfn.XLOOKUP(CONTROL[[#This Row],[VEHIDCODE]],PROPERTIES[VEHIDCODE],PROPERTIES[IS_CONCEPT])="IS_CONCEPT"</f>
        <v>0</v>
      </c>
      <c r="Q602" s="7" t="b">
        <f>_xlfn.XLOOKUP(CONTROL[[#This Row],[VEHIDCODE]],PROPERTIES[VEHIDCODE],PROPERTIES[EXCLUDE])</f>
        <v>0</v>
      </c>
      <c r="R602" t="str" cm="1">
        <f t="array" ref="R602">_xlfn.XLOOKUP(CONTROL[[#This Row],[VEHIDCODE]],GRAPHICS_PROPERTIES[VEHIDCODE],GRAPHICS_PROPERTIES[TEMPLATE_ID]&amp;GRAPHICS_PROPERTIES[TEMPLATE_AMENDMENT_CODE])</f>
        <v>TPL_03A</v>
      </c>
    </row>
    <row r="603" spans="1:18" x14ac:dyDescent="0.35">
      <c r="A603" s="2" t="s">
        <v>3220</v>
      </c>
      <c r="B603" s="21" t="str">
        <f>_xlfn.TEXTAFTER(CONTROL[[#This Row],[VEHIDCODE]],"_")</f>
        <v>Kisha_Mitsubishi_NS_DF50</v>
      </c>
      <c r="C603" t="str" cm="1">
        <f t="array" ref="C6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603" t="str" cm="1">
        <f t="array" ref="D6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603">
        <v>5082</v>
      </c>
      <c r="F603" s="32" t="s">
        <v>2402</v>
      </c>
      <c r="G603" t="s">
        <v>1629</v>
      </c>
      <c r="H603" s="2" t="b">
        <f>AND(CONTROL[[#This Row],[IS_WAGON_OR_COACH]]=TRUE,OR(RIGHT(CONTROL[[#This Row],[VEHIDCODE]],7)="Powered",RIGHT(CONTROL[[#This Row],[VEHIDCODE]],9)="Unpowered"))</f>
        <v>0</v>
      </c>
      <c r="I6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3" t="b">
        <f>ISNUMBER(_xlfn.XMATCH(CONTROL[[#This Row],[VEHIDCODE]],TRACK_TYPES[VEHIDCODE],0))</f>
        <v>1</v>
      </c>
      <c r="K603" t="b">
        <f>ISNUMBER(_xlfn.XMATCH(CONTROL[[#This Row],[VEHIDCODE]],PROPERTIES[VEHIDCODE],0))</f>
        <v>1</v>
      </c>
      <c r="L603" t="b">
        <f>ISNUMBER(_xlfn.XLOOKUP(CONTROL[[#This Row],[VEHIDCODE]],roster!A:A,roster!D:D))</f>
        <v>1</v>
      </c>
      <c r="M603" t="b">
        <f>ISNUMBER(_xlfn.XMATCH(CONTROL[[#This Row],[VEHIDCODE]],GRAPHICS_PROPERTIES[VEHIDCODE],0))</f>
        <v>1</v>
      </c>
      <c r="N603" s="21" t="str">
        <f>"item_"&amp;CONTROL[[#This Row],[VEHIDCODE]]</f>
        <v>item_diesel_Kisha_Mitsubishi_NS_DF50</v>
      </c>
      <c r="O603" s="21" t="str">
        <f>"str_"&amp;CONTROL[[#This Row],[VEHIDCODE]]</f>
        <v>str_diesel_Kisha_Mitsubishi_NS_DF50</v>
      </c>
      <c r="P603" s="7" t="b">
        <f>_xlfn.XLOOKUP(CONTROL[[#This Row],[VEHIDCODE]],PROPERTIES[VEHIDCODE],PROPERTIES[IS_CONCEPT])="IS_CONCEPT"</f>
        <v>0</v>
      </c>
      <c r="Q603" s="7" t="b">
        <f>_xlfn.XLOOKUP(CONTROL[[#This Row],[VEHIDCODE]],PROPERTIES[VEHIDCODE],PROPERTIES[EXCLUDE])</f>
        <v>0</v>
      </c>
      <c r="R603" t="str" cm="1">
        <f t="array" ref="R603">_xlfn.XLOOKUP(CONTROL[[#This Row],[VEHIDCODE]],GRAPHICS_PROPERTIES[VEHIDCODE],GRAPHICS_PROPERTIES[TEMPLATE_ID]&amp;GRAPHICS_PROPERTIES[TEMPLATE_AMENDMENT_CODE])</f>
        <v>TPL_01A</v>
      </c>
    </row>
    <row r="604" spans="1:18" x14ac:dyDescent="0.35">
      <c r="A604" s="2" t="s">
        <v>3221</v>
      </c>
      <c r="B604" s="21" t="str">
        <f>_xlfn.TEXTAFTER(CONTROL[[#This Row],[VEHIDCODE]],"_")</f>
        <v>SIG_Alioth_De_2_2</v>
      </c>
      <c r="C604" t="str" cm="1">
        <f t="array" ref="C6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4" t="str" cm="1">
        <f t="array" ref="D6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4">
        <v>6000</v>
      </c>
      <c r="F604" s="32" t="s">
        <v>2403</v>
      </c>
      <c r="G604" t="s">
        <v>1630</v>
      </c>
      <c r="H604" s="2" t="b">
        <f>AND(CONTROL[[#This Row],[IS_WAGON_OR_COACH]]=TRUE,OR(RIGHT(CONTROL[[#This Row],[VEHIDCODE]],7)="Powered",RIGHT(CONTROL[[#This Row],[VEHIDCODE]],9)="Unpowered"))</f>
        <v>0</v>
      </c>
      <c r="I6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4" t="b">
        <f>ISNUMBER(_xlfn.XMATCH(CONTROL[[#This Row],[VEHIDCODE]],TRACK_TYPES[VEHIDCODE],0))</f>
        <v>1</v>
      </c>
      <c r="K604" t="b">
        <f>ISNUMBER(_xlfn.XMATCH(CONTROL[[#This Row],[VEHIDCODE]],PROPERTIES[VEHIDCODE],0))</f>
        <v>1</v>
      </c>
      <c r="L604" t="b">
        <f>ISNUMBER(_xlfn.XLOOKUP(CONTROL[[#This Row],[VEHIDCODE]],roster!A:A,roster!D:D))</f>
        <v>1</v>
      </c>
      <c r="M604" t="b">
        <f>ISNUMBER(_xlfn.XMATCH(CONTROL[[#This Row],[VEHIDCODE]],GRAPHICS_PROPERTIES[VEHIDCODE],0))</f>
        <v>1</v>
      </c>
      <c r="N604" s="21" t="str">
        <f>"item_"&amp;CONTROL[[#This Row],[VEHIDCODE]]</f>
        <v>item_electric_SIG_Alioth_De_2_2</v>
      </c>
      <c r="O604" s="21" t="str">
        <f>"str_"&amp;CONTROL[[#This Row],[VEHIDCODE]]</f>
        <v>str_electric_SIG_Alioth_De_2_2</v>
      </c>
      <c r="P604" s="7" t="b">
        <f>_xlfn.XLOOKUP(CONTROL[[#This Row],[VEHIDCODE]],PROPERTIES[VEHIDCODE],PROPERTIES[IS_CONCEPT])="IS_CONCEPT"</f>
        <v>0</v>
      </c>
      <c r="Q604" s="7" t="b">
        <f>_xlfn.XLOOKUP(CONTROL[[#This Row],[VEHIDCODE]],PROPERTIES[VEHIDCODE],PROPERTIES[EXCLUDE])</f>
        <v>0</v>
      </c>
      <c r="R604" t="str" cm="1">
        <f t="array" ref="R604">_xlfn.XLOOKUP(CONTROL[[#This Row],[VEHIDCODE]],GRAPHICS_PROPERTIES[VEHIDCODE],GRAPHICS_PROPERTIES[TEMPLATE_ID]&amp;GRAPHICS_PROPERTIES[TEMPLATE_AMENDMENT_CODE])</f>
        <v>TPL_01A</v>
      </c>
    </row>
    <row r="605" spans="1:18" x14ac:dyDescent="0.35">
      <c r="A605" s="2" t="s">
        <v>3222</v>
      </c>
      <c r="B605" s="21" t="str">
        <f>_xlfn.TEXTAFTER(CONTROL[[#This Row],[VEHIDCODE]],"_")</f>
        <v>Toshiba_EH10</v>
      </c>
      <c r="C605" t="str" cm="1">
        <f t="array" ref="C6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5" t="str" cm="1">
        <f t="array" ref="D6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5">
        <v>6081</v>
      </c>
      <c r="F605" s="32" t="s">
        <v>2404</v>
      </c>
      <c r="G605" t="s">
        <v>1631</v>
      </c>
      <c r="H605" s="2" t="b">
        <f>AND(CONTROL[[#This Row],[IS_WAGON_OR_COACH]]=TRUE,OR(RIGHT(CONTROL[[#This Row],[VEHIDCODE]],7)="Powered",RIGHT(CONTROL[[#This Row],[VEHIDCODE]],9)="Unpowered"))</f>
        <v>0</v>
      </c>
      <c r="I6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5" t="b">
        <f>ISNUMBER(_xlfn.XMATCH(CONTROL[[#This Row],[VEHIDCODE]],TRACK_TYPES[VEHIDCODE],0))</f>
        <v>1</v>
      </c>
      <c r="K605" t="b">
        <f>ISNUMBER(_xlfn.XMATCH(CONTROL[[#This Row],[VEHIDCODE]],PROPERTIES[VEHIDCODE],0))</f>
        <v>1</v>
      </c>
      <c r="L605" t="b">
        <f>ISNUMBER(_xlfn.XLOOKUP(CONTROL[[#This Row],[VEHIDCODE]],roster!A:A,roster!D:D))</f>
        <v>1</v>
      </c>
      <c r="M605" t="b">
        <f>ISNUMBER(_xlfn.XMATCH(CONTROL[[#This Row],[VEHIDCODE]],GRAPHICS_PROPERTIES[VEHIDCODE],0))</f>
        <v>1</v>
      </c>
      <c r="N605" s="21" t="str">
        <f>"item_"&amp;CONTROL[[#This Row],[VEHIDCODE]]</f>
        <v>item_electric_Toshiba_EH10</v>
      </c>
      <c r="O605" s="21" t="str">
        <f>"str_"&amp;CONTROL[[#This Row],[VEHIDCODE]]</f>
        <v>str_electric_Toshiba_EH10</v>
      </c>
      <c r="P605" s="7" t="b">
        <f>_xlfn.XLOOKUP(CONTROL[[#This Row],[VEHIDCODE]],PROPERTIES[VEHIDCODE],PROPERTIES[IS_CONCEPT])="IS_CONCEPT"</f>
        <v>0</v>
      </c>
      <c r="Q605" s="7" t="b">
        <f>_xlfn.XLOOKUP(CONTROL[[#This Row],[VEHIDCODE]],PROPERTIES[VEHIDCODE],PROPERTIES[EXCLUDE])</f>
        <v>0</v>
      </c>
      <c r="R605" t="str" cm="1">
        <f t="array" ref="R605">_xlfn.XLOOKUP(CONTROL[[#This Row],[VEHIDCODE]],GRAPHICS_PROPERTIES[VEHIDCODE],GRAPHICS_PROPERTIES[TEMPLATE_ID]&amp;GRAPHICS_PROPERTIES[TEMPLATE_AMENDMENT_CODE])</f>
        <v>TPL_03D</v>
      </c>
    </row>
    <row r="606" spans="1:18" x14ac:dyDescent="0.35">
      <c r="A606" s="2" t="s">
        <v>3223</v>
      </c>
      <c r="B606" s="21" t="str">
        <f>_xlfn.TEXTAFTER(CONTROL[[#This Row],[VEHIDCODE]],"_")</f>
        <v>Kawasaki_Toshiba_EF64</v>
      </c>
      <c r="C606" t="str" cm="1">
        <f t="array" ref="C6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6" t="str" cm="1">
        <f t="array" ref="D6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6">
        <v>6029</v>
      </c>
      <c r="F606" s="32" t="s">
        <v>2405</v>
      </c>
      <c r="G606" t="s">
        <v>1632</v>
      </c>
      <c r="H606" s="2" t="b">
        <f>AND(CONTROL[[#This Row],[IS_WAGON_OR_COACH]]=TRUE,OR(RIGHT(CONTROL[[#This Row],[VEHIDCODE]],7)="Powered",RIGHT(CONTROL[[#This Row],[VEHIDCODE]],9)="Unpowered"))</f>
        <v>0</v>
      </c>
      <c r="I6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6" t="b">
        <f>ISNUMBER(_xlfn.XMATCH(CONTROL[[#This Row],[VEHIDCODE]],TRACK_TYPES[VEHIDCODE],0))</f>
        <v>1</v>
      </c>
      <c r="K606" t="b">
        <f>ISNUMBER(_xlfn.XMATCH(CONTROL[[#This Row],[VEHIDCODE]],PROPERTIES[VEHIDCODE],0))</f>
        <v>1</v>
      </c>
      <c r="L606" t="b">
        <f>ISNUMBER(_xlfn.XLOOKUP(CONTROL[[#This Row],[VEHIDCODE]],roster!A:A,roster!D:D))</f>
        <v>1</v>
      </c>
      <c r="M606" t="b">
        <f>ISNUMBER(_xlfn.XMATCH(CONTROL[[#This Row],[VEHIDCODE]],GRAPHICS_PROPERTIES[VEHIDCODE],0))</f>
        <v>1</v>
      </c>
      <c r="N606" s="21" t="str">
        <f>"item_"&amp;CONTROL[[#This Row],[VEHIDCODE]]</f>
        <v>item_electric_Kawasaki_Toshiba_EF64</v>
      </c>
      <c r="O606" s="21" t="str">
        <f>"str_"&amp;CONTROL[[#This Row],[VEHIDCODE]]</f>
        <v>str_electric_Kawasaki_Toshiba_EF64</v>
      </c>
      <c r="P606" s="7" t="b">
        <f>_xlfn.XLOOKUP(CONTROL[[#This Row],[VEHIDCODE]],PROPERTIES[VEHIDCODE],PROPERTIES[IS_CONCEPT])="IS_CONCEPT"</f>
        <v>0</v>
      </c>
      <c r="Q606" s="7" t="b">
        <f>_xlfn.XLOOKUP(CONTROL[[#This Row],[VEHIDCODE]],PROPERTIES[VEHIDCODE],PROPERTIES[EXCLUDE])</f>
        <v>0</v>
      </c>
      <c r="R606" t="str" cm="1">
        <f t="array" ref="R606">_xlfn.XLOOKUP(CONTROL[[#This Row],[VEHIDCODE]],GRAPHICS_PROPERTIES[VEHIDCODE],GRAPHICS_PROPERTIES[TEMPLATE_ID]&amp;GRAPHICS_PROPERTIES[TEMPLATE_AMENDMENT_CODE])</f>
        <v>TPL_01A</v>
      </c>
    </row>
    <row r="607" spans="1:18" x14ac:dyDescent="0.35">
      <c r="A607" s="2" t="s">
        <v>3224</v>
      </c>
      <c r="B607" s="21" t="str">
        <f>_xlfn.TEXTAFTER(CONTROL[[#This Row],[VEHIDCODE]],"_")</f>
        <v>EEC_EO_Class</v>
      </c>
      <c r="C607" t="str" cm="1">
        <f t="array" ref="C6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7" t="str" cm="1">
        <f t="array" ref="D6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7">
        <v>6073</v>
      </c>
      <c r="F607" s="32" t="s">
        <v>2406</v>
      </c>
      <c r="G607" t="s">
        <v>1633</v>
      </c>
      <c r="H607" s="2" t="b">
        <f>AND(CONTROL[[#This Row],[IS_WAGON_OR_COACH]]=TRUE,OR(RIGHT(CONTROL[[#This Row],[VEHIDCODE]],7)="Powered",RIGHT(CONTROL[[#This Row],[VEHIDCODE]],9)="Unpowered"))</f>
        <v>0</v>
      </c>
      <c r="I6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7" t="b">
        <f>ISNUMBER(_xlfn.XMATCH(CONTROL[[#This Row],[VEHIDCODE]],TRACK_TYPES[VEHIDCODE],0))</f>
        <v>1</v>
      </c>
      <c r="K607" t="b">
        <f>ISNUMBER(_xlfn.XMATCH(CONTROL[[#This Row],[VEHIDCODE]],PROPERTIES[VEHIDCODE],0))</f>
        <v>1</v>
      </c>
      <c r="L607" t="b">
        <f>ISNUMBER(_xlfn.XLOOKUP(CONTROL[[#This Row],[VEHIDCODE]],roster!A:A,roster!D:D))</f>
        <v>1</v>
      </c>
      <c r="M607" t="b">
        <f>ISNUMBER(_xlfn.XMATCH(CONTROL[[#This Row],[VEHIDCODE]],GRAPHICS_PROPERTIES[VEHIDCODE],0))</f>
        <v>1</v>
      </c>
      <c r="N607" s="21" t="str">
        <f>"item_"&amp;CONTROL[[#This Row],[VEHIDCODE]]</f>
        <v>item_electric_EEC_EO_Class</v>
      </c>
      <c r="O607" s="21" t="str">
        <f>"str_"&amp;CONTROL[[#This Row],[VEHIDCODE]]</f>
        <v>str_electric_EEC_EO_Class</v>
      </c>
      <c r="P607" s="7" t="b">
        <f>_xlfn.XLOOKUP(CONTROL[[#This Row],[VEHIDCODE]],PROPERTIES[VEHIDCODE],PROPERTIES[IS_CONCEPT])="IS_CONCEPT"</f>
        <v>0</v>
      </c>
      <c r="Q607" s="7" t="b">
        <f>_xlfn.XLOOKUP(CONTROL[[#This Row],[VEHIDCODE]],PROPERTIES[VEHIDCODE],PROPERTIES[EXCLUDE])</f>
        <v>0</v>
      </c>
      <c r="R607" t="str" cm="1">
        <f t="array" ref="R607">_xlfn.XLOOKUP(CONTROL[[#This Row],[VEHIDCODE]],GRAPHICS_PROPERTIES[VEHIDCODE],GRAPHICS_PROPERTIES[TEMPLATE_ID]&amp;GRAPHICS_PROPERTIES[TEMPLATE_AMENDMENT_CODE])</f>
        <v>TPL_01A</v>
      </c>
    </row>
    <row r="608" spans="1:18" x14ac:dyDescent="0.35">
      <c r="A608" s="2" t="s">
        <v>3225</v>
      </c>
      <c r="B608" s="21" t="str">
        <f>_xlfn.TEXTAFTER(CONTROL[[#This Row],[VEHIDCODE]],"_")</f>
        <v>Tulloch_0_6_0DM_W_Class</v>
      </c>
      <c r="C608" t="str" cm="1">
        <f t="array" ref="C6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8" t="str" cm="1">
        <f t="array" ref="D6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8">
        <v>6079</v>
      </c>
      <c r="F608" s="32" t="s">
        <v>3480</v>
      </c>
      <c r="G608" t="s">
        <v>1634</v>
      </c>
      <c r="H608" s="2" t="b">
        <f>AND(CONTROL[[#This Row],[IS_WAGON_OR_COACH]]=TRUE,OR(RIGHT(CONTROL[[#This Row],[VEHIDCODE]],7)="Powered",RIGHT(CONTROL[[#This Row],[VEHIDCODE]],9)="Unpowered"))</f>
        <v>0</v>
      </c>
      <c r="I6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8" t="b">
        <f>ISNUMBER(_xlfn.XMATCH(CONTROL[[#This Row],[VEHIDCODE]],TRACK_TYPES[VEHIDCODE],0))</f>
        <v>1</v>
      </c>
      <c r="K608" t="b">
        <f>ISNUMBER(_xlfn.XMATCH(CONTROL[[#This Row],[VEHIDCODE]],PROPERTIES[VEHIDCODE],0))</f>
        <v>1</v>
      </c>
      <c r="L608" t="b">
        <f>ISNUMBER(_xlfn.XLOOKUP(CONTROL[[#This Row],[VEHIDCODE]],roster!A:A,roster!D:D))</f>
        <v>1</v>
      </c>
      <c r="M608" t="b">
        <f>ISNUMBER(_xlfn.XMATCH(CONTROL[[#This Row],[VEHIDCODE]],GRAPHICS_PROPERTIES[VEHIDCODE],0))</f>
        <v>1</v>
      </c>
      <c r="N608" s="21" t="str">
        <f>"item_"&amp;CONTROL[[#This Row],[VEHIDCODE]]</f>
        <v>item_electric_Tulloch_0_6_0DM_W_Class</v>
      </c>
      <c r="O608" s="21" t="str">
        <f>"str_"&amp;CONTROL[[#This Row],[VEHIDCODE]]</f>
        <v>str_electric_Tulloch_0_6_0DM_W_Class</v>
      </c>
      <c r="P608" s="7" t="b">
        <f>_xlfn.XLOOKUP(CONTROL[[#This Row],[VEHIDCODE]],PROPERTIES[VEHIDCODE],PROPERTIES[IS_CONCEPT])="IS_CONCEPT"</f>
        <v>0</v>
      </c>
      <c r="Q608" s="7" t="b">
        <f>_xlfn.XLOOKUP(CONTROL[[#This Row],[VEHIDCODE]],PROPERTIES[VEHIDCODE],PROPERTIES[EXCLUDE])</f>
        <v>1</v>
      </c>
      <c r="R608" t="str" cm="1">
        <f t="array" ref="R608">_xlfn.XLOOKUP(CONTROL[[#This Row],[VEHIDCODE]],GRAPHICS_PROPERTIES[VEHIDCODE],GRAPHICS_PROPERTIES[TEMPLATE_ID]&amp;GRAPHICS_PROPERTIES[TEMPLATE_AMENDMENT_CODE])</f>
        <v>TPL_01A</v>
      </c>
    </row>
    <row r="609" spans="1:18" x14ac:dyDescent="0.35">
      <c r="A609" s="2" t="s">
        <v>3226</v>
      </c>
      <c r="B609" s="21" t="str">
        <f>_xlfn.TEXTAFTER(CONTROL[[#This Row],[VEHIDCODE]],"_")</f>
        <v>GEC_NBLC_SAR_4E_</v>
      </c>
      <c r="C609" t="str" cm="1">
        <f t="array" ref="C6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9" t="str" cm="1">
        <f t="array" ref="D6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9">
        <v>6080</v>
      </c>
      <c r="F609" s="32" t="s">
        <v>2408</v>
      </c>
      <c r="G609" t="s">
        <v>1635</v>
      </c>
      <c r="H609" s="2" t="b">
        <f>AND(CONTROL[[#This Row],[IS_WAGON_OR_COACH]]=TRUE,OR(RIGHT(CONTROL[[#This Row],[VEHIDCODE]],7)="Powered",RIGHT(CONTROL[[#This Row],[VEHIDCODE]],9)="Unpowered"))</f>
        <v>0</v>
      </c>
      <c r="I6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9" t="b">
        <f>ISNUMBER(_xlfn.XMATCH(CONTROL[[#This Row],[VEHIDCODE]],TRACK_TYPES[VEHIDCODE],0))</f>
        <v>1</v>
      </c>
      <c r="K609" t="b">
        <f>ISNUMBER(_xlfn.XMATCH(CONTROL[[#This Row],[VEHIDCODE]],PROPERTIES[VEHIDCODE],0))</f>
        <v>1</v>
      </c>
      <c r="L609" t="b">
        <f>ISNUMBER(_xlfn.XLOOKUP(CONTROL[[#This Row],[VEHIDCODE]],roster!A:A,roster!D:D))</f>
        <v>1</v>
      </c>
      <c r="M609" t="b">
        <f>ISNUMBER(_xlfn.XMATCH(CONTROL[[#This Row],[VEHIDCODE]],GRAPHICS_PROPERTIES[VEHIDCODE],0))</f>
        <v>1</v>
      </c>
      <c r="N609" s="21" t="str">
        <f>"item_"&amp;CONTROL[[#This Row],[VEHIDCODE]]</f>
        <v>item_electric_GEC_NBLC_SAR_4E_</v>
      </c>
      <c r="O609" s="21" t="str">
        <f>"str_"&amp;CONTROL[[#This Row],[VEHIDCODE]]</f>
        <v>str_electric_GEC_NBLC_SAR_4E_</v>
      </c>
      <c r="P609" s="7" t="b">
        <f>_xlfn.XLOOKUP(CONTROL[[#This Row],[VEHIDCODE]],PROPERTIES[VEHIDCODE],PROPERTIES[IS_CONCEPT])="IS_CONCEPT"</f>
        <v>0</v>
      </c>
      <c r="Q609" s="7" t="b">
        <f>_xlfn.XLOOKUP(CONTROL[[#This Row],[VEHIDCODE]],PROPERTIES[VEHIDCODE],PROPERTIES[EXCLUDE])</f>
        <v>0</v>
      </c>
      <c r="R609" t="str" cm="1">
        <f t="array" ref="R609">_xlfn.XLOOKUP(CONTROL[[#This Row],[VEHIDCODE]],GRAPHICS_PROPERTIES[VEHIDCODE],GRAPHICS_PROPERTIES[TEMPLATE_ID]&amp;GRAPHICS_PROPERTIES[TEMPLATE_AMENDMENT_CODE])</f>
        <v>TPL_01A</v>
      </c>
    </row>
    <row r="610" spans="1:18" x14ac:dyDescent="0.35">
      <c r="A610" s="2" t="s">
        <v>3227</v>
      </c>
      <c r="B610" s="21" t="str">
        <f>_xlfn.TEXTAFTER(CONTROL[[#This Row],[VEHIDCODE]],"_")</f>
        <v>Metrowick_MV_5E1</v>
      </c>
      <c r="C610" t="str" cm="1">
        <f t="array" ref="C6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0" t="str" cm="1">
        <f t="array" ref="D6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0">
        <v>6088</v>
      </c>
      <c r="F610" s="32" t="s">
        <v>2409</v>
      </c>
      <c r="G610" t="s">
        <v>1636</v>
      </c>
      <c r="H610" s="2" t="b">
        <f>AND(CONTROL[[#This Row],[IS_WAGON_OR_COACH]]=TRUE,OR(RIGHT(CONTROL[[#This Row],[VEHIDCODE]],7)="Powered",RIGHT(CONTROL[[#This Row],[VEHIDCODE]],9)="Unpowered"))</f>
        <v>0</v>
      </c>
      <c r="I6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0" t="b">
        <f>ISNUMBER(_xlfn.XMATCH(CONTROL[[#This Row],[VEHIDCODE]],TRACK_TYPES[VEHIDCODE],0))</f>
        <v>1</v>
      </c>
      <c r="K610" t="b">
        <f>ISNUMBER(_xlfn.XMATCH(CONTROL[[#This Row],[VEHIDCODE]],PROPERTIES[VEHIDCODE],0))</f>
        <v>1</v>
      </c>
      <c r="L610" t="b">
        <f>ISNUMBER(_xlfn.XLOOKUP(CONTROL[[#This Row],[VEHIDCODE]],roster!A:A,roster!D:D))</f>
        <v>1</v>
      </c>
      <c r="M610" t="b">
        <f>ISNUMBER(_xlfn.XMATCH(CONTROL[[#This Row],[VEHIDCODE]],GRAPHICS_PROPERTIES[VEHIDCODE],0))</f>
        <v>1</v>
      </c>
      <c r="N610" s="21" t="str">
        <f>"item_"&amp;CONTROL[[#This Row],[VEHIDCODE]]</f>
        <v>item_electric_Metrowick_MV_5E1</v>
      </c>
      <c r="O610" s="21" t="str">
        <f>"str_"&amp;CONTROL[[#This Row],[VEHIDCODE]]</f>
        <v>str_electric_Metrowick_MV_5E1</v>
      </c>
      <c r="P610" s="7" t="b">
        <f>_xlfn.XLOOKUP(CONTROL[[#This Row],[VEHIDCODE]],PROPERTIES[VEHIDCODE],PROPERTIES[IS_CONCEPT])="IS_CONCEPT"</f>
        <v>0</v>
      </c>
      <c r="Q610" s="7" t="b">
        <f>_xlfn.XLOOKUP(CONTROL[[#This Row],[VEHIDCODE]],PROPERTIES[VEHIDCODE],PROPERTIES[EXCLUDE])</f>
        <v>0</v>
      </c>
      <c r="R610" t="str" cm="1">
        <f t="array" ref="R610">_xlfn.XLOOKUP(CONTROL[[#This Row],[VEHIDCODE]],GRAPHICS_PROPERTIES[VEHIDCODE],GRAPHICS_PROPERTIES[TEMPLATE_ID]&amp;GRAPHICS_PROPERTIES[TEMPLATE_AMENDMENT_CODE])</f>
        <v>TPL_01A</v>
      </c>
    </row>
    <row r="611" spans="1:18" x14ac:dyDescent="0.35">
      <c r="A611" s="2" t="s">
        <v>3228</v>
      </c>
      <c r="B611" s="21" t="str">
        <f>_xlfn.TEXTAFTER(CONTROL[[#This Row],[VEHIDCODE]],"_")</f>
        <v>UCW_6E</v>
      </c>
      <c r="C611" t="str" cm="1">
        <f t="array" ref="C6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1" t="str" cm="1">
        <f t="array" ref="D6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1">
        <v>6033</v>
      </c>
      <c r="F611" s="32" t="s">
        <v>2410</v>
      </c>
      <c r="G611" t="s">
        <v>1637</v>
      </c>
      <c r="H611" s="2" t="b">
        <f>AND(CONTROL[[#This Row],[IS_WAGON_OR_COACH]]=TRUE,OR(RIGHT(CONTROL[[#This Row],[VEHIDCODE]],7)="Powered",RIGHT(CONTROL[[#This Row],[VEHIDCODE]],9)="Unpowered"))</f>
        <v>0</v>
      </c>
      <c r="I6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1" t="b">
        <f>ISNUMBER(_xlfn.XMATCH(CONTROL[[#This Row],[VEHIDCODE]],TRACK_TYPES[VEHIDCODE],0))</f>
        <v>1</v>
      </c>
      <c r="K611" t="b">
        <f>ISNUMBER(_xlfn.XMATCH(CONTROL[[#This Row],[VEHIDCODE]],PROPERTIES[VEHIDCODE],0))</f>
        <v>1</v>
      </c>
      <c r="L611" t="b">
        <f>ISNUMBER(_xlfn.XLOOKUP(CONTROL[[#This Row],[VEHIDCODE]],roster!A:A,roster!D:D))</f>
        <v>1</v>
      </c>
      <c r="M611" t="b">
        <f>ISNUMBER(_xlfn.XMATCH(CONTROL[[#This Row],[VEHIDCODE]],GRAPHICS_PROPERTIES[VEHIDCODE],0))</f>
        <v>1</v>
      </c>
      <c r="N611" s="21" t="str">
        <f>"item_"&amp;CONTROL[[#This Row],[VEHIDCODE]]</f>
        <v>item_electric_UCW_6E</v>
      </c>
      <c r="O611" s="21" t="str">
        <f>"str_"&amp;CONTROL[[#This Row],[VEHIDCODE]]</f>
        <v>str_electric_UCW_6E</v>
      </c>
      <c r="P611" s="7" t="b">
        <f>_xlfn.XLOOKUP(CONTROL[[#This Row],[VEHIDCODE]],PROPERTIES[VEHIDCODE],PROPERTIES[IS_CONCEPT])="IS_CONCEPT"</f>
        <v>0</v>
      </c>
      <c r="Q611" s="7" t="b">
        <f>_xlfn.XLOOKUP(CONTROL[[#This Row],[VEHIDCODE]],PROPERTIES[VEHIDCODE],PROPERTIES[EXCLUDE])</f>
        <v>0</v>
      </c>
      <c r="R611" t="str" cm="1">
        <f t="array" ref="R611">_xlfn.XLOOKUP(CONTROL[[#This Row],[VEHIDCODE]],GRAPHICS_PROPERTIES[VEHIDCODE],GRAPHICS_PROPERTIES[TEMPLATE_ID]&amp;GRAPHICS_PROPERTIES[TEMPLATE_AMENDMENT_CODE])</f>
        <v>TPL_01A</v>
      </c>
    </row>
    <row r="612" spans="1:18" x14ac:dyDescent="0.35">
      <c r="A612" s="2" t="s">
        <v>3229</v>
      </c>
      <c r="B612" s="21" t="str">
        <f>_xlfn.TEXTAFTER(CONTROL[[#This Row],[VEHIDCODE]],"_")</f>
        <v>SLM_BBC_MFO_Ge_4_4_I</v>
      </c>
      <c r="C612" t="str" cm="1">
        <f t="array" ref="C6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2" t="str" cm="1">
        <f t="array" ref="D6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2">
        <v>6078</v>
      </c>
      <c r="F612" s="32" t="s">
        <v>2411</v>
      </c>
      <c r="G612" t="s">
        <v>1640</v>
      </c>
      <c r="H612" s="2" t="b">
        <f>AND(CONTROL[[#This Row],[IS_WAGON_OR_COACH]]=TRUE,OR(RIGHT(CONTROL[[#This Row],[VEHIDCODE]],7)="Powered",RIGHT(CONTROL[[#This Row],[VEHIDCODE]],9)="Unpowered"))</f>
        <v>0</v>
      </c>
      <c r="I6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2" t="b">
        <f>ISNUMBER(_xlfn.XMATCH(CONTROL[[#This Row],[VEHIDCODE]],TRACK_TYPES[VEHIDCODE],0))</f>
        <v>1</v>
      </c>
      <c r="K612" t="b">
        <f>ISNUMBER(_xlfn.XMATCH(CONTROL[[#This Row],[VEHIDCODE]],PROPERTIES[VEHIDCODE],0))</f>
        <v>1</v>
      </c>
      <c r="L612" t="b">
        <f>ISNUMBER(_xlfn.XLOOKUP(CONTROL[[#This Row],[VEHIDCODE]],roster!A:A,roster!D:D))</f>
        <v>1</v>
      </c>
      <c r="M612" t="b">
        <f>ISNUMBER(_xlfn.XMATCH(CONTROL[[#This Row],[VEHIDCODE]],GRAPHICS_PROPERTIES[VEHIDCODE],0))</f>
        <v>1</v>
      </c>
      <c r="N612" s="21" t="str">
        <f>"item_"&amp;CONTROL[[#This Row],[VEHIDCODE]]</f>
        <v>item_electric_SLM_BBC_MFO_Ge_4_4_I</v>
      </c>
      <c r="O612" s="21" t="str">
        <f>"str_"&amp;CONTROL[[#This Row],[VEHIDCODE]]</f>
        <v>str_electric_SLM_BBC_MFO_Ge_4_4_I</v>
      </c>
      <c r="P612" s="7" t="b">
        <f>_xlfn.XLOOKUP(CONTROL[[#This Row],[VEHIDCODE]],PROPERTIES[VEHIDCODE],PROPERTIES[IS_CONCEPT])="IS_CONCEPT"</f>
        <v>0</v>
      </c>
      <c r="Q612" s="7" t="b">
        <f>_xlfn.XLOOKUP(CONTROL[[#This Row],[VEHIDCODE]],PROPERTIES[VEHIDCODE],PROPERTIES[EXCLUDE])</f>
        <v>0</v>
      </c>
      <c r="R612" t="str" cm="1">
        <f t="array" ref="R612">_xlfn.XLOOKUP(CONTROL[[#This Row],[VEHIDCODE]],GRAPHICS_PROPERTIES[VEHIDCODE],GRAPHICS_PROPERTIES[TEMPLATE_ID]&amp;GRAPHICS_PROPERTIES[TEMPLATE_AMENDMENT_CODE])</f>
        <v>TPL_01A</v>
      </c>
    </row>
    <row r="613" spans="1:18" x14ac:dyDescent="0.35">
      <c r="A613" s="2" t="s">
        <v>3230</v>
      </c>
      <c r="B613" s="21" t="str">
        <f>_xlfn.TEXTAFTER(CONTROL[[#This Row],[VEHIDCODE]],"_")</f>
        <v>SLM_BBC_MFO_Ge_6_6_Krokodil</v>
      </c>
      <c r="C613" t="str" cm="1">
        <f t="array" ref="C6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3" t="str" cm="1">
        <f t="array" ref="D6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3">
        <v>6070</v>
      </c>
      <c r="F613" s="32" t="s">
        <v>2412</v>
      </c>
      <c r="G613" t="s">
        <v>1641</v>
      </c>
      <c r="H613" s="2" t="b">
        <f>AND(CONTROL[[#This Row],[IS_WAGON_OR_COACH]]=TRUE,OR(RIGHT(CONTROL[[#This Row],[VEHIDCODE]],7)="Powered",RIGHT(CONTROL[[#This Row],[VEHIDCODE]],9)="Unpowered"))</f>
        <v>0</v>
      </c>
      <c r="I6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3" t="b">
        <f>ISNUMBER(_xlfn.XMATCH(CONTROL[[#This Row],[VEHIDCODE]],TRACK_TYPES[VEHIDCODE],0))</f>
        <v>1</v>
      </c>
      <c r="K613" t="b">
        <f>ISNUMBER(_xlfn.XMATCH(CONTROL[[#This Row],[VEHIDCODE]],PROPERTIES[VEHIDCODE],0))</f>
        <v>1</v>
      </c>
      <c r="L613" t="b">
        <f>ISNUMBER(_xlfn.XLOOKUP(CONTROL[[#This Row],[VEHIDCODE]],roster!A:A,roster!D:D))</f>
        <v>1</v>
      </c>
      <c r="M613" t="b">
        <f>ISNUMBER(_xlfn.XMATCH(CONTROL[[#This Row],[VEHIDCODE]],GRAPHICS_PROPERTIES[VEHIDCODE],0))</f>
        <v>1</v>
      </c>
      <c r="N613" s="21" t="str">
        <f>"item_"&amp;CONTROL[[#This Row],[VEHIDCODE]]</f>
        <v>item_electric_SLM_BBC_MFO_Ge_6_6_Krokodil</v>
      </c>
      <c r="O613" s="21" t="str">
        <f>"str_"&amp;CONTROL[[#This Row],[VEHIDCODE]]</f>
        <v>str_electric_SLM_BBC_MFO_Ge_6_6_Krokodil</v>
      </c>
      <c r="P613" s="7" t="b">
        <f>_xlfn.XLOOKUP(CONTROL[[#This Row],[VEHIDCODE]],PROPERTIES[VEHIDCODE],PROPERTIES[IS_CONCEPT])="IS_CONCEPT"</f>
        <v>0</v>
      </c>
      <c r="Q613" s="7" t="b">
        <f>_xlfn.XLOOKUP(CONTROL[[#This Row],[VEHIDCODE]],PROPERTIES[VEHIDCODE],PROPERTIES[EXCLUDE])</f>
        <v>0</v>
      </c>
      <c r="R613" t="str" cm="1">
        <f t="array" ref="R613">_xlfn.XLOOKUP(CONTROL[[#This Row],[VEHIDCODE]],GRAPHICS_PROPERTIES[VEHIDCODE],GRAPHICS_PROPERTIES[TEMPLATE_ID]&amp;GRAPHICS_PROPERTIES[TEMPLATE_AMENDMENT_CODE])</f>
        <v>TPL_03C</v>
      </c>
    </row>
    <row r="614" spans="1:18" x14ac:dyDescent="0.35">
      <c r="A614" s="2" t="s">
        <v>3231</v>
      </c>
      <c r="B614" s="21" t="str">
        <f>_xlfn.TEXTAFTER(CONTROL[[#This Row],[VEHIDCODE]],"_")</f>
        <v>Stadler_He_4_4</v>
      </c>
      <c r="C614" t="str" cm="1">
        <f t="array" ref="C6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4" t="str" cm="1">
        <f t="array" ref="D6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4">
        <v>6133</v>
      </c>
      <c r="F614" s="32" t="s">
        <v>1963</v>
      </c>
      <c r="G614" t="s">
        <v>1964</v>
      </c>
      <c r="H614" s="2" t="b">
        <f>AND(CONTROL[[#This Row],[IS_WAGON_OR_COACH]]=TRUE,OR(RIGHT(CONTROL[[#This Row],[VEHIDCODE]],7)="Powered",RIGHT(CONTROL[[#This Row],[VEHIDCODE]],9)="Unpowered"))</f>
        <v>0</v>
      </c>
      <c r="I6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4" t="b">
        <f>ISNUMBER(_xlfn.XMATCH(CONTROL[[#This Row],[VEHIDCODE]],TRACK_TYPES[VEHIDCODE],0))</f>
        <v>1</v>
      </c>
      <c r="K614" t="b">
        <f>ISNUMBER(_xlfn.XMATCH(CONTROL[[#This Row],[VEHIDCODE]],PROPERTIES[VEHIDCODE],0))</f>
        <v>1</v>
      </c>
      <c r="L614" t="b">
        <f>ISNUMBER(_xlfn.XLOOKUP(CONTROL[[#This Row],[VEHIDCODE]],roster!A:A,roster!D:D))</f>
        <v>1</v>
      </c>
      <c r="M614" t="b">
        <f>ISNUMBER(_xlfn.XMATCH(CONTROL[[#This Row],[VEHIDCODE]],GRAPHICS_PROPERTIES[VEHIDCODE],0))</f>
        <v>1</v>
      </c>
      <c r="N614" s="21" t="str">
        <f>"item_"&amp;CONTROL[[#This Row],[VEHIDCODE]]</f>
        <v>item_electric_Stadler_He_4_4</v>
      </c>
      <c r="O614" s="21" t="str">
        <f>"str_"&amp;CONTROL[[#This Row],[VEHIDCODE]]</f>
        <v>str_electric_Stadler_He_4_4</v>
      </c>
      <c r="P614" s="7" t="b">
        <f>_xlfn.XLOOKUP(CONTROL[[#This Row],[VEHIDCODE]],PROPERTIES[VEHIDCODE],PROPERTIES[IS_CONCEPT])="IS_CONCEPT"</f>
        <v>0</v>
      </c>
      <c r="Q614" s="7" t="b">
        <f>_xlfn.XLOOKUP(CONTROL[[#This Row],[VEHIDCODE]],PROPERTIES[VEHIDCODE],PROPERTIES[EXCLUDE])</f>
        <v>0</v>
      </c>
      <c r="R614" t="str" cm="1">
        <f t="array" ref="R614">_xlfn.XLOOKUP(CONTROL[[#This Row],[VEHIDCODE]],GRAPHICS_PROPERTIES[VEHIDCODE],GRAPHICS_PROPERTIES[TEMPLATE_ID]&amp;GRAPHICS_PROPERTIES[TEMPLATE_AMENDMENT_CODE])</f>
        <v>TPL_01A</v>
      </c>
    </row>
    <row r="615" spans="1:18" x14ac:dyDescent="0.35">
      <c r="A615" s="2" t="s">
        <v>3232</v>
      </c>
      <c r="B615" s="21" t="str">
        <f>_xlfn.TEXTAFTER(CONTROL[[#This Row],[VEHIDCODE]],"_")</f>
        <v>UCW_50_c_s_Group_7E</v>
      </c>
      <c r="C615" t="str" cm="1">
        <f t="array" ref="C6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5" t="str" cm="1">
        <f t="array" ref="D6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5">
        <v>6128</v>
      </c>
      <c r="F615" s="32" t="s">
        <v>2413</v>
      </c>
      <c r="G615" t="s">
        <v>1638</v>
      </c>
      <c r="H615" s="2" t="b">
        <f>AND(CONTROL[[#This Row],[IS_WAGON_OR_COACH]]=TRUE,OR(RIGHT(CONTROL[[#This Row],[VEHIDCODE]],7)="Powered",RIGHT(CONTROL[[#This Row],[VEHIDCODE]],9)="Unpowered"))</f>
        <v>0</v>
      </c>
      <c r="I6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5" t="b">
        <f>ISNUMBER(_xlfn.XMATCH(CONTROL[[#This Row],[VEHIDCODE]],TRACK_TYPES[VEHIDCODE],0))</f>
        <v>1</v>
      </c>
      <c r="K615" t="b">
        <f>ISNUMBER(_xlfn.XMATCH(CONTROL[[#This Row],[VEHIDCODE]],PROPERTIES[VEHIDCODE],0))</f>
        <v>1</v>
      </c>
      <c r="L615" t="b">
        <f>ISNUMBER(_xlfn.XLOOKUP(CONTROL[[#This Row],[VEHIDCODE]],roster!A:A,roster!D:D))</f>
        <v>1</v>
      </c>
      <c r="M615" t="b">
        <f>ISNUMBER(_xlfn.XMATCH(CONTROL[[#This Row],[VEHIDCODE]],GRAPHICS_PROPERTIES[VEHIDCODE],0))</f>
        <v>1</v>
      </c>
      <c r="N615" s="21" t="str">
        <f>"item_"&amp;CONTROL[[#This Row],[VEHIDCODE]]</f>
        <v>item_electric_UCW_50_c_s_Group_7E</v>
      </c>
      <c r="O615" s="21" t="str">
        <f>"str_"&amp;CONTROL[[#This Row],[VEHIDCODE]]</f>
        <v>str_electric_UCW_50_c_s_Group_7E</v>
      </c>
      <c r="P615" s="7" t="b">
        <f>_xlfn.XLOOKUP(CONTROL[[#This Row],[VEHIDCODE]],PROPERTIES[VEHIDCODE],PROPERTIES[IS_CONCEPT])="IS_CONCEPT"</f>
        <v>0</v>
      </c>
      <c r="Q615" s="7" t="b">
        <f>_xlfn.XLOOKUP(CONTROL[[#This Row],[VEHIDCODE]],PROPERTIES[VEHIDCODE],PROPERTIES[EXCLUDE])</f>
        <v>0</v>
      </c>
      <c r="R615" t="str" cm="1">
        <f t="array" ref="R615">_xlfn.XLOOKUP(CONTROL[[#This Row],[VEHIDCODE]],GRAPHICS_PROPERTIES[VEHIDCODE],GRAPHICS_PROPERTIES[TEMPLATE_ID]&amp;GRAPHICS_PROPERTIES[TEMPLATE_AMENDMENT_CODE])</f>
        <v>TPL_01A</v>
      </c>
    </row>
    <row r="616" spans="1:18" x14ac:dyDescent="0.35">
      <c r="A616" s="2" t="s">
        <v>3233</v>
      </c>
      <c r="B616" s="21" t="str">
        <f>_xlfn.TEXTAFTER(CONTROL[[#This Row],[VEHIDCODE]],"_")</f>
        <v>General_Motors_GM5FC</v>
      </c>
      <c r="C616" t="str" cm="1">
        <f t="array" ref="C6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6" t="str" cm="1">
        <f t="array" ref="D6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6">
        <v>6130</v>
      </c>
      <c r="F616" s="32" t="s">
        <v>2414</v>
      </c>
      <c r="G616" t="s">
        <v>1639</v>
      </c>
      <c r="H616" s="2" t="b">
        <f>AND(CONTROL[[#This Row],[IS_WAGON_OR_COACH]]=TRUE,OR(RIGHT(CONTROL[[#This Row],[VEHIDCODE]],7)="Powered",RIGHT(CONTROL[[#This Row],[VEHIDCODE]],9)="Unpowered"))</f>
        <v>0</v>
      </c>
      <c r="I6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6" t="b">
        <f>ISNUMBER(_xlfn.XMATCH(CONTROL[[#This Row],[VEHIDCODE]],TRACK_TYPES[VEHIDCODE],0))</f>
        <v>1</v>
      </c>
      <c r="K616" t="b">
        <f>ISNUMBER(_xlfn.XMATCH(CONTROL[[#This Row],[VEHIDCODE]],PROPERTIES[VEHIDCODE],0))</f>
        <v>1</v>
      </c>
      <c r="L616" t="b">
        <f>ISNUMBER(_xlfn.XLOOKUP(CONTROL[[#This Row],[VEHIDCODE]],roster!A:A,roster!D:D))</f>
        <v>1</v>
      </c>
      <c r="M616" t="b">
        <f>ISNUMBER(_xlfn.XMATCH(CONTROL[[#This Row],[VEHIDCODE]],GRAPHICS_PROPERTIES[VEHIDCODE],0))</f>
        <v>1</v>
      </c>
      <c r="N616" s="21" t="str">
        <f>"item_"&amp;CONTROL[[#This Row],[VEHIDCODE]]</f>
        <v>item_electric_General_Motors_GM5FC</v>
      </c>
      <c r="O616" s="21" t="str">
        <f>"str_"&amp;CONTROL[[#This Row],[VEHIDCODE]]</f>
        <v>str_electric_General_Motors_GM5FC</v>
      </c>
      <c r="P616" s="7" t="b">
        <f>_xlfn.XLOOKUP(CONTROL[[#This Row],[VEHIDCODE]],PROPERTIES[VEHIDCODE],PROPERTIES[IS_CONCEPT])="IS_CONCEPT"</f>
        <v>0</v>
      </c>
      <c r="Q616" s="7" t="b">
        <f>_xlfn.XLOOKUP(CONTROL[[#This Row],[VEHIDCODE]],PROPERTIES[VEHIDCODE],PROPERTIES[EXCLUDE])</f>
        <v>0</v>
      </c>
      <c r="R616" t="str" cm="1">
        <f t="array" ref="R616">_xlfn.XLOOKUP(CONTROL[[#This Row],[VEHIDCODE]],GRAPHICS_PROPERTIES[VEHIDCODE],GRAPHICS_PROPERTIES[TEMPLATE_ID]&amp;GRAPHICS_PROPERTIES[TEMPLATE_AMENDMENT_CODE])</f>
        <v>TPL_01A</v>
      </c>
    </row>
    <row r="617" spans="1:18" x14ac:dyDescent="0.35">
      <c r="A617" s="2" t="s">
        <v>3234</v>
      </c>
      <c r="B617" s="21" t="str">
        <f>_xlfn.TEXTAFTER(CONTROL[[#This Row],[VEHIDCODE]],"_")</f>
        <v>Brush_EF_Class</v>
      </c>
      <c r="C617" t="str" cm="1">
        <f t="array" ref="C6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7" t="str" cm="1">
        <f t="array" ref="D6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7">
        <v>6113</v>
      </c>
      <c r="F617" s="32" t="s">
        <v>2415</v>
      </c>
      <c r="G617" t="s">
        <v>1642</v>
      </c>
      <c r="H617" s="2" t="b">
        <f>AND(CONTROL[[#This Row],[IS_WAGON_OR_COACH]]=TRUE,OR(RIGHT(CONTROL[[#This Row],[VEHIDCODE]],7)="Powered",RIGHT(CONTROL[[#This Row],[VEHIDCODE]],9)="Unpowered"))</f>
        <v>0</v>
      </c>
      <c r="I6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7" t="b">
        <f>ISNUMBER(_xlfn.XMATCH(CONTROL[[#This Row],[VEHIDCODE]],TRACK_TYPES[VEHIDCODE],0))</f>
        <v>1</v>
      </c>
      <c r="K617" t="b">
        <f>ISNUMBER(_xlfn.XMATCH(CONTROL[[#This Row],[VEHIDCODE]],PROPERTIES[VEHIDCODE],0))</f>
        <v>1</v>
      </c>
      <c r="L617" t="b">
        <f>ISNUMBER(_xlfn.XLOOKUP(CONTROL[[#This Row],[VEHIDCODE]],roster!A:A,roster!D:D))</f>
        <v>1</v>
      </c>
      <c r="M617" t="b">
        <f>ISNUMBER(_xlfn.XMATCH(CONTROL[[#This Row],[VEHIDCODE]],GRAPHICS_PROPERTIES[VEHIDCODE],0))</f>
        <v>1</v>
      </c>
      <c r="N617" s="21" t="str">
        <f>"item_"&amp;CONTROL[[#This Row],[VEHIDCODE]]</f>
        <v>item_electric_Brush_EF_Class</v>
      </c>
      <c r="O617" s="21" t="str">
        <f>"str_"&amp;CONTROL[[#This Row],[VEHIDCODE]]</f>
        <v>str_electric_Brush_EF_Class</v>
      </c>
      <c r="P617" s="7" t="b">
        <f>_xlfn.XLOOKUP(CONTROL[[#This Row],[VEHIDCODE]],PROPERTIES[VEHIDCODE],PROPERTIES[IS_CONCEPT])="IS_CONCEPT"</f>
        <v>0</v>
      </c>
      <c r="Q617" s="7" t="b">
        <f>_xlfn.XLOOKUP(CONTROL[[#This Row],[VEHIDCODE]],PROPERTIES[VEHIDCODE],PROPERTIES[EXCLUDE])</f>
        <v>0</v>
      </c>
      <c r="R617" t="str" cm="1">
        <f t="array" ref="R617">_xlfn.XLOOKUP(CONTROL[[#This Row],[VEHIDCODE]],GRAPHICS_PROPERTIES[VEHIDCODE],GRAPHICS_PROPERTIES[TEMPLATE_ID]&amp;GRAPHICS_PROPERTIES[TEMPLATE_AMENDMENT_CODE])</f>
        <v>TPL_01A</v>
      </c>
    </row>
    <row r="618" spans="1:18" x14ac:dyDescent="0.35">
      <c r="A618" s="2" t="s">
        <v>3235</v>
      </c>
      <c r="B618" s="21" t="str">
        <f>_xlfn.TEXTAFTER(CONTROL[[#This Row],[VEHIDCODE]],"_")</f>
        <v>Nippon_Sharyo_Odakyu_3100_series_NSE</v>
      </c>
      <c r="C618" t="str" cm="1">
        <f t="array" ref="C6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18" t="str" cm="1">
        <f t="array" ref="D6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18">
        <v>8010</v>
      </c>
      <c r="F618" s="32" t="s">
        <v>2416</v>
      </c>
      <c r="G618" t="s">
        <v>1584</v>
      </c>
      <c r="H618" s="2" t="b">
        <f>AND(CONTROL[[#This Row],[IS_WAGON_OR_COACH]]=TRUE,OR(RIGHT(CONTROL[[#This Row],[VEHIDCODE]],7)="Powered",RIGHT(CONTROL[[#This Row],[VEHIDCODE]],9)="Unpowered"))</f>
        <v>0</v>
      </c>
      <c r="I6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8" t="b">
        <f>ISNUMBER(_xlfn.XMATCH(CONTROL[[#This Row],[VEHIDCODE]],TRACK_TYPES[VEHIDCODE],0))</f>
        <v>1</v>
      </c>
      <c r="K618" t="b">
        <f>ISNUMBER(_xlfn.XMATCH(CONTROL[[#This Row],[VEHIDCODE]],PROPERTIES[VEHIDCODE],0))</f>
        <v>1</v>
      </c>
      <c r="L618" t="b">
        <f>ISNUMBER(_xlfn.XLOOKUP(CONTROL[[#This Row],[VEHIDCODE]],roster!A:A,roster!D:D))</f>
        <v>1</v>
      </c>
      <c r="M618" t="b">
        <f>ISNUMBER(_xlfn.XMATCH(CONTROL[[#This Row],[VEHIDCODE]],GRAPHICS_PROPERTIES[VEHIDCODE],0))</f>
        <v>1</v>
      </c>
      <c r="N618" s="21" t="str">
        <f>"item_"&amp;CONTROL[[#This Row],[VEHIDCODE]]</f>
        <v>item_emu_Nippon_Sharyo_Odakyu_3100_series_NSE</v>
      </c>
      <c r="O618" s="21" t="str">
        <f>"str_"&amp;CONTROL[[#This Row],[VEHIDCODE]]</f>
        <v>str_emu_Nippon_Sharyo_Odakyu_3100_series_NSE</v>
      </c>
      <c r="P618" s="7" t="b">
        <f>_xlfn.XLOOKUP(CONTROL[[#This Row],[VEHIDCODE]],PROPERTIES[VEHIDCODE],PROPERTIES[IS_CONCEPT])="IS_CONCEPT"</f>
        <v>0</v>
      </c>
      <c r="Q618" s="7" t="b">
        <f>_xlfn.XLOOKUP(CONTROL[[#This Row],[VEHIDCODE]],PROPERTIES[VEHIDCODE],PROPERTIES[EXCLUDE])</f>
        <v>0</v>
      </c>
      <c r="R618" t="str" cm="1">
        <f t="array" ref="R618">_xlfn.XLOOKUP(CONTROL[[#This Row],[VEHIDCODE]],GRAPHICS_PROPERTIES[VEHIDCODE],GRAPHICS_PROPERTIES[TEMPLATE_ID]&amp;GRAPHICS_PROPERTIES[TEMPLATE_AMENDMENT_CODE])</f>
        <v>TPL_02D</v>
      </c>
    </row>
    <row r="619" spans="1:18" x14ac:dyDescent="0.35">
      <c r="A619" s="2" t="s">
        <v>3236</v>
      </c>
      <c r="B619" s="21" t="str">
        <f>_xlfn.TEXTAFTER(CONTROL[[#This Row],[VEHIDCODE]],"_")</f>
        <v>Nippon_Sharyo_Odakyu_10000_series_HiSE</v>
      </c>
      <c r="C619" t="str" cm="1">
        <f t="array" ref="C6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19" t="str" cm="1">
        <f t="array" ref="D6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19">
        <v>8021</v>
      </c>
      <c r="F619" s="32" t="s">
        <v>2417</v>
      </c>
      <c r="G619" t="s">
        <v>1585</v>
      </c>
      <c r="H619" s="2" t="b">
        <f>AND(CONTROL[[#This Row],[IS_WAGON_OR_COACH]]=TRUE,OR(RIGHT(CONTROL[[#This Row],[VEHIDCODE]],7)="Powered",RIGHT(CONTROL[[#This Row],[VEHIDCODE]],9)="Unpowered"))</f>
        <v>0</v>
      </c>
      <c r="I6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9" t="b">
        <f>ISNUMBER(_xlfn.XMATCH(CONTROL[[#This Row],[VEHIDCODE]],TRACK_TYPES[VEHIDCODE],0))</f>
        <v>1</v>
      </c>
      <c r="K619" t="b">
        <f>ISNUMBER(_xlfn.XMATCH(CONTROL[[#This Row],[VEHIDCODE]],PROPERTIES[VEHIDCODE],0))</f>
        <v>1</v>
      </c>
      <c r="L619" t="b">
        <f>ISNUMBER(_xlfn.XLOOKUP(CONTROL[[#This Row],[VEHIDCODE]],roster!A:A,roster!D:D))</f>
        <v>1</v>
      </c>
      <c r="M619" t="b">
        <f>ISNUMBER(_xlfn.XMATCH(CONTROL[[#This Row],[VEHIDCODE]],GRAPHICS_PROPERTIES[VEHIDCODE],0))</f>
        <v>1</v>
      </c>
      <c r="N619" s="21" t="str">
        <f>"item_"&amp;CONTROL[[#This Row],[VEHIDCODE]]</f>
        <v>item_emu_Nippon_Sharyo_Odakyu_10000_series_HiSE</v>
      </c>
      <c r="O619" s="21" t="str">
        <f>"str_"&amp;CONTROL[[#This Row],[VEHIDCODE]]</f>
        <v>str_emu_Nippon_Sharyo_Odakyu_10000_series_HiSE</v>
      </c>
      <c r="P619" s="7" t="b">
        <f>_xlfn.XLOOKUP(CONTROL[[#This Row],[VEHIDCODE]],PROPERTIES[VEHIDCODE],PROPERTIES[IS_CONCEPT])="IS_CONCEPT"</f>
        <v>0</v>
      </c>
      <c r="Q619" s="7" t="b">
        <f>_xlfn.XLOOKUP(CONTROL[[#This Row],[VEHIDCODE]],PROPERTIES[VEHIDCODE],PROPERTIES[EXCLUDE])</f>
        <v>0</v>
      </c>
      <c r="R619" t="str" cm="1">
        <f t="array" ref="R619">_xlfn.XLOOKUP(CONTROL[[#This Row],[VEHIDCODE]],GRAPHICS_PROPERTIES[VEHIDCODE],GRAPHICS_PROPERTIES[TEMPLATE_ID]&amp;GRAPHICS_PROPERTIES[TEMPLATE_AMENDMENT_CODE])</f>
        <v>TPL_02D</v>
      </c>
    </row>
    <row r="620" spans="1:18" x14ac:dyDescent="0.35">
      <c r="A620" s="2" t="s">
        <v>3237</v>
      </c>
      <c r="B620" s="21" t="str">
        <f>_xlfn.TEXTAFTER(CONTROL[[#This Row],[VEHIDCODE]],"_")</f>
        <v>Comeng_Goninan_S_set</v>
      </c>
      <c r="C620" t="str" cm="1">
        <f t="array" ref="C6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0" t="str" cm="1">
        <f t="array" ref="D6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0">
        <v>8015</v>
      </c>
      <c r="F620" s="32" t="s">
        <v>2418</v>
      </c>
      <c r="G620" t="s">
        <v>1586</v>
      </c>
      <c r="H620" s="2" t="b">
        <f>AND(CONTROL[[#This Row],[IS_WAGON_OR_COACH]]=TRUE,OR(RIGHT(CONTROL[[#This Row],[VEHIDCODE]],7)="Powered",RIGHT(CONTROL[[#This Row],[VEHIDCODE]],9)="Unpowered"))</f>
        <v>0</v>
      </c>
      <c r="I6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0" t="b">
        <f>ISNUMBER(_xlfn.XMATCH(CONTROL[[#This Row],[VEHIDCODE]],TRACK_TYPES[VEHIDCODE],0))</f>
        <v>1</v>
      </c>
      <c r="K620" t="b">
        <f>ISNUMBER(_xlfn.XMATCH(CONTROL[[#This Row],[VEHIDCODE]],PROPERTIES[VEHIDCODE],0))</f>
        <v>1</v>
      </c>
      <c r="L620" t="b">
        <f>ISNUMBER(_xlfn.XLOOKUP(CONTROL[[#This Row],[VEHIDCODE]],roster!A:A,roster!D:D))</f>
        <v>1</v>
      </c>
      <c r="M620" t="b">
        <f>ISNUMBER(_xlfn.XMATCH(CONTROL[[#This Row],[VEHIDCODE]],GRAPHICS_PROPERTIES[VEHIDCODE],0))</f>
        <v>1</v>
      </c>
      <c r="N620" s="21" t="str">
        <f>"item_"&amp;CONTROL[[#This Row],[VEHIDCODE]]</f>
        <v>item_emu_Comeng_Goninan_S_set</v>
      </c>
      <c r="O620" s="21" t="str">
        <f>"str_"&amp;CONTROL[[#This Row],[VEHIDCODE]]</f>
        <v>str_emu_Comeng_Goninan_S_set</v>
      </c>
      <c r="P620" s="7" t="b">
        <f>_xlfn.XLOOKUP(CONTROL[[#This Row],[VEHIDCODE]],PROPERTIES[VEHIDCODE],PROPERTIES[IS_CONCEPT])="IS_CONCEPT"</f>
        <v>0</v>
      </c>
      <c r="Q620" s="7" t="b">
        <f>_xlfn.XLOOKUP(CONTROL[[#This Row],[VEHIDCODE]],PROPERTIES[VEHIDCODE],PROPERTIES[EXCLUDE])</f>
        <v>0</v>
      </c>
      <c r="R620" t="str" cm="1">
        <f t="array" ref="R620">_xlfn.XLOOKUP(CONTROL[[#This Row],[VEHIDCODE]],GRAPHICS_PROPERTIES[VEHIDCODE],GRAPHICS_PROPERTIES[TEMPLATE_ID]&amp;GRAPHICS_PROPERTIES[TEMPLATE_AMENDMENT_CODE])</f>
        <v>TPL_02A</v>
      </c>
    </row>
    <row r="621" spans="1:18" x14ac:dyDescent="0.35">
      <c r="A621" s="2" t="s">
        <v>3238</v>
      </c>
      <c r="B621" s="21" t="str">
        <f>_xlfn.TEXTAFTER(CONTROL[[#This Row],[VEHIDCODE]],"_")</f>
        <v>UGL_Rail_H_set_OSCAR</v>
      </c>
      <c r="C621" t="str" cm="1">
        <f t="array" ref="C6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1" t="str" cm="1">
        <f t="array" ref="D6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1">
        <v>8040</v>
      </c>
      <c r="F621" s="32" t="s">
        <v>2419</v>
      </c>
      <c r="G621" t="s">
        <v>1587</v>
      </c>
      <c r="H621" s="2" t="b">
        <f>AND(CONTROL[[#This Row],[IS_WAGON_OR_COACH]]=TRUE,OR(RIGHT(CONTROL[[#This Row],[VEHIDCODE]],7)="Powered",RIGHT(CONTROL[[#This Row],[VEHIDCODE]],9)="Unpowered"))</f>
        <v>0</v>
      </c>
      <c r="I6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1" t="b">
        <f>ISNUMBER(_xlfn.XMATCH(CONTROL[[#This Row],[VEHIDCODE]],TRACK_TYPES[VEHIDCODE],0))</f>
        <v>1</v>
      </c>
      <c r="K621" t="b">
        <f>ISNUMBER(_xlfn.XMATCH(CONTROL[[#This Row],[VEHIDCODE]],PROPERTIES[VEHIDCODE],0))</f>
        <v>1</v>
      </c>
      <c r="L621" t="b">
        <f>ISNUMBER(_xlfn.XLOOKUP(CONTROL[[#This Row],[VEHIDCODE]],roster!A:A,roster!D:D))</f>
        <v>1</v>
      </c>
      <c r="M621" t="b">
        <f>ISNUMBER(_xlfn.XMATCH(CONTROL[[#This Row],[VEHIDCODE]],GRAPHICS_PROPERTIES[VEHIDCODE],0))</f>
        <v>1</v>
      </c>
      <c r="N621" s="21" t="str">
        <f>"item_"&amp;CONTROL[[#This Row],[VEHIDCODE]]</f>
        <v>item_emu_UGL_Rail_H_set_OSCAR</v>
      </c>
      <c r="O621" s="21" t="str">
        <f>"str_"&amp;CONTROL[[#This Row],[VEHIDCODE]]</f>
        <v>str_emu_UGL_Rail_H_set_OSCAR</v>
      </c>
      <c r="P621" s="7" t="b">
        <f>_xlfn.XLOOKUP(CONTROL[[#This Row],[VEHIDCODE]],PROPERTIES[VEHIDCODE],PROPERTIES[IS_CONCEPT])="IS_CONCEPT"</f>
        <v>0</v>
      </c>
      <c r="Q621" s="7" t="b">
        <f>_xlfn.XLOOKUP(CONTROL[[#This Row],[VEHIDCODE]],PROPERTIES[VEHIDCODE],PROPERTIES[EXCLUDE])</f>
        <v>0</v>
      </c>
      <c r="R621" t="str" cm="1">
        <f t="array" ref="R621">_xlfn.XLOOKUP(CONTROL[[#This Row],[VEHIDCODE]],GRAPHICS_PROPERTIES[VEHIDCODE],GRAPHICS_PROPERTIES[TEMPLATE_ID]&amp;GRAPHICS_PROPERTIES[TEMPLATE_AMENDMENT_CODE])</f>
        <v>TPL_02A</v>
      </c>
    </row>
    <row r="622" spans="1:18" x14ac:dyDescent="0.35">
      <c r="A622" s="2" t="s">
        <v>3239</v>
      </c>
      <c r="B622" s="21" t="str">
        <f>_xlfn.TEXTAFTER(CONTROL[[#This Row],[VEHIDCODE]],"_")</f>
        <v>Victorian_Railways_Swing_Door</v>
      </c>
      <c r="C622" t="str" cm="1">
        <f t="array" ref="C6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2" t="str" cm="1">
        <f t="array" ref="D6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2">
        <v>8046</v>
      </c>
      <c r="F622" s="32" t="s">
        <v>399</v>
      </c>
      <c r="G622" t="s">
        <v>1588</v>
      </c>
      <c r="H622" s="2" t="b">
        <f>AND(CONTROL[[#This Row],[IS_WAGON_OR_COACH]]=TRUE,OR(RIGHT(CONTROL[[#This Row],[VEHIDCODE]],7)="Powered",RIGHT(CONTROL[[#This Row],[VEHIDCODE]],9)="Unpowered"))</f>
        <v>0</v>
      </c>
      <c r="I6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2" t="b">
        <f>ISNUMBER(_xlfn.XMATCH(CONTROL[[#This Row],[VEHIDCODE]],TRACK_TYPES[VEHIDCODE],0))</f>
        <v>1</v>
      </c>
      <c r="K622" t="b">
        <f>ISNUMBER(_xlfn.XMATCH(CONTROL[[#This Row],[VEHIDCODE]],PROPERTIES[VEHIDCODE],0))</f>
        <v>1</v>
      </c>
      <c r="L622" t="b">
        <f>ISNUMBER(_xlfn.XLOOKUP(CONTROL[[#This Row],[VEHIDCODE]],roster!A:A,roster!D:D))</f>
        <v>1</v>
      </c>
      <c r="M622" t="b">
        <f>ISNUMBER(_xlfn.XMATCH(CONTROL[[#This Row],[VEHIDCODE]],GRAPHICS_PROPERTIES[VEHIDCODE],0))</f>
        <v>1</v>
      </c>
      <c r="N622" s="21" t="str">
        <f>"item_"&amp;CONTROL[[#This Row],[VEHIDCODE]]</f>
        <v>item_emu_Victorian_Railways_Swing_Door</v>
      </c>
      <c r="O622" s="21" t="str">
        <f>"str_"&amp;CONTROL[[#This Row],[VEHIDCODE]]</f>
        <v>str_emu_Victorian_Railways_Swing_Door</v>
      </c>
      <c r="P622" s="7" t="b">
        <f>_xlfn.XLOOKUP(CONTROL[[#This Row],[VEHIDCODE]],PROPERTIES[VEHIDCODE],PROPERTIES[IS_CONCEPT])="IS_CONCEPT"</f>
        <v>0</v>
      </c>
      <c r="Q622" s="7" t="b">
        <f>_xlfn.XLOOKUP(CONTROL[[#This Row],[VEHIDCODE]],PROPERTIES[VEHIDCODE],PROPERTIES[EXCLUDE])</f>
        <v>0</v>
      </c>
      <c r="R622" t="str" cm="1">
        <f t="array" ref="R622">_xlfn.XLOOKUP(CONTROL[[#This Row],[VEHIDCODE]],GRAPHICS_PROPERTIES[VEHIDCODE],GRAPHICS_PROPERTIES[TEMPLATE_ID]&amp;GRAPHICS_PROPERTIES[TEMPLATE_AMENDMENT_CODE])</f>
        <v>TPL_02A</v>
      </c>
    </row>
    <row r="623" spans="1:18" x14ac:dyDescent="0.35">
      <c r="A623" s="2" t="s">
        <v>3478</v>
      </c>
      <c r="B623" s="21" t="str">
        <f>_xlfn.TEXTAFTER(CONTROL[[#This Row],[VEHIDCODE]],"_")</f>
        <v>Ganz_MAVAG_EM_ET_DNU</v>
      </c>
      <c r="C623" t="str" cm="1">
        <f t="array" ref="C6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3" t="str" cm="1">
        <f t="array" ref="D6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3">
        <v>8052</v>
      </c>
      <c r="F623" s="32" t="s">
        <v>2420</v>
      </c>
      <c r="G623" t="s">
        <v>1589</v>
      </c>
      <c r="H623" s="2" t="b">
        <f>AND(CONTROL[[#This Row],[IS_WAGON_OR_COACH]]=TRUE,OR(RIGHT(CONTROL[[#This Row],[VEHIDCODE]],7)="Powered",RIGHT(CONTROL[[#This Row],[VEHIDCODE]],9)="Unpowered"))</f>
        <v>0</v>
      </c>
      <c r="I6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3" t="b">
        <f>ISNUMBER(_xlfn.XMATCH(CONTROL[[#This Row],[VEHIDCODE]],TRACK_TYPES[VEHIDCODE],0))</f>
        <v>1</v>
      </c>
      <c r="K623" t="b">
        <f>ISNUMBER(_xlfn.XMATCH(CONTROL[[#This Row],[VEHIDCODE]],PROPERTIES[VEHIDCODE],0))</f>
        <v>1</v>
      </c>
      <c r="L623" t="b">
        <f>ISNUMBER(_xlfn.XLOOKUP(CONTROL[[#This Row],[VEHIDCODE]],roster!A:A,roster!D:D))</f>
        <v>1</v>
      </c>
      <c r="M623" t="b">
        <f>ISNUMBER(_xlfn.XMATCH(CONTROL[[#This Row],[VEHIDCODE]],GRAPHICS_PROPERTIES[VEHIDCODE],0))</f>
        <v>1</v>
      </c>
      <c r="N623" s="21" t="str">
        <f>"item_"&amp;CONTROL[[#This Row],[VEHIDCODE]]</f>
        <v>item_emu_Ganz_MAVAG_EM_ET_DNU</v>
      </c>
      <c r="O623" s="21" t="str">
        <f>"str_"&amp;CONTROL[[#This Row],[VEHIDCODE]]</f>
        <v>str_emu_Ganz_MAVAG_EM_ET_DNU</v>
      </c>
      <c r="P623" s="7" t="b">
        <f>_xlfn.XLOOKUP(CONTROL[[#This Row],[VEHIDCODE]],PROPERTIES[VEHIDCODE],PROPERTIES[IS_CONCEPT])="IS_CONCEPT"</f>
        <v>0</v>
      </c>
      <c r="Q623" s="7" t="b">
        <f>_xlfn.XLOOKUP(CONTROL[[#This Row],[VEHIDCODE]],PROPERTIES[VEHIDCODE],PROPERTIES[EXCLUDE])</f>
        <v>1</v>
      </c>
      <c r="R623" t="str" cm="1">
        <f t="array" ref="R623">_xlfn.XLOOKUP(CONTROL[[#This Row],[VEHIDCODE]],GRAPHICS_PROPERTIES[VEHIDCODE],GRAPHICS_PROPERTIES[TEMPLATE_ID]&amp;GRAPHICS_PROPERTIES[TEMPLATE_AMENDMENT_CODE])</f>
        <v>TPL_02A</v>
      </c>
    </row>
    <row r="624" spans="1:18" x14ac:dyDescent="0.35">
      <c r="A624" s="2" t="s">
        <v>3241</v>
      </c>
      <c r="B624" s="21" t="str">
        <f>_xlfn.TEXTAFTER(CONTROL[[#This Row],[VEHIDCODE]],"_")</f>
        <v>Metro_Cammell_5M2</v>
      </c>
      <c r="C624" t="str" cm="1">
        <f t="array" ref="C6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4" t="str" cm="1">
        <f t="array" ref="D6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4">
        <v>8049</v>
      </c>
      <c r="F624" s="32" t="s">
        <v>2421</v>
      </c>
      <c r="G624" t="s">
        <v>1590</v>
      </c>
      <c r="H624" s="2" t="b">
        <f>AND(CONTROL[[#This Row],[IS_WAGON_OR_COACH]]=TRUE,OR(RIGHT(CONTROL[[#This Row],[VEHIDCODE]],7)="Powered",RIGHT(CONTROL[[#This Row],[VEHIDCODE]],9)="Unpowered"))</f>
        <v>0</v>
      </c>
      <c r="I6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4" t="b">
        <f>ISNUMBER(_xlfn.XMATCH(CONTROL[[#This Row],[VEHIDCODE]],TRACK_TYPES[VEHIDCODE],0))</f>
        <v>1</v>
      </c>
      <c r="K624" t="b">
        <f>ISNUMBER(_xlfn.XMATCH(CONTROL[[#This Row],[VEHIDCODE]],PROPERTIES[VEHIDCODE],0))</f>
        <v>1</v>
      </c>
      <c r="L624" t="b">
        <f>ISNUMBER(_xlfn.XLOOKUP(CONTROL[[#This Row],[VEHIDCODE]],roster!A:A,roster!D:D))</f>
        <v>1</v>
      </c>
      <c r="M624" t="b">
        <f>ISNUMBER(_xlfn.XMATCH(CONTROL[[#This Row],[VEHIDCODE]],GRAPHICS_PROPERTIES[VEHIDCODE],0))</f>
        <v>1</v>
      </c>
      <c r="N624" s="21" t="str">
        <f>"item_"&amp;CONTROL[[#This Row],[VEHIDCODE]]</f>
        <v>item_emu_Metro_Cammell_5M2</v>
      </c>
      <c r="O624" s="21" t="str">
        <f>"str_"&amp;CONTROL[[#This Row],[VEHIDCODE]]</f>
        <v>str_emu_Metro_Cammell_5M2</v>
      </c>
      <c r="P624" s="7" t="b">
        <f>_xlfn.XLOOKUP(CONTROL[[#This Row],[VEHIDCODE]],PROPERTIES[VEHIDCODE],PROPERTIES[IS_CONCEPT])="IS_CONCEPT"</f>
        <v>0</v>
      </c>
      <c r="Q624" s="7" t="b">
        <f>_xlfn.XLOOKUP(CONTROL[[#This Row],[VEHIDCODE]],PROPERTIES[VEHIDCODE],PROPERTIES[EXCLUDE])</f>
        <v>0</v>
      </c>
      <c r="R624" t="str" cm="1">
        <f t="array" ref="R624">_xlfn.XLOOKUP(CONTROL[[#This Row],[VEHIDCODE]],GRAPHICS_PROPERTIES[VEHIDCODE],GRAPHICS_PROPERTIES[TEMPLATE_ID]&amp;GRAPHICS_PROPERTIES[TEMPLATE_AMENDMENT_CODE])</f>
        <v>TPL_02A</v>
      </c>
    </row>
    <row r="625" spans="1:18" x14ac:dyDescent="0.35">
      <c r="A625" s="2" t="s">
        <v>3242</v>
      </c>
      <c r="B625" s="21" t="str">
        <f>_xlfn.TEXTAFTER(CONTROL[[#This Row],[VEHIDCODE]],"_")</f>
        <v>Alstom_XTrapolis_100</v>
      </c>
      <c r="C625" t="str" cm="1">
        <f t="array" ref="C6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5" t="str" cm="1">
        <f t="array" ref="D6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5">
        <v>8057</v>
      </c>
      <c r="F625" s="32" t="s">
        <v>2422</v>
      </c>
      <c r="G625" t="s">
        <v>1591</v>
      </c>
      <c r="H625" s="2" t="b">
        <f>AND(CONTROL[[#This Row],[IS_WAGON_OR_COACH]]=TRUE,OR(RIGHT(CONTROL[[#This Row],[VEHIDCODE]],7)="Powered",RIGHT(CONTROL[[#This Row],[VEHIDCODE]],9)="Unpowered"))</f>
        <v>0</v>
      </c>
      <c r="I6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5" t="b">
        <f>ISNUMBER(_xlfn.XMATCH(CONTROL[[#This Row],[VEHIDCODE]],TRACK_TYPES[VEHIDCODE],0))</f>
        <v>1</v>
      </c>
      <c r="K625" t="b">
        <f>ISNUMBER(_xlfn.XMATCH(CONTROL[[#This Row],[VEHIDCODE]],PROPERTIES[VEHIDCODE],0))</f>
        <v>1</v>
      </c>
      <c r="L625" t="b">
        <f>ISNUMBER(_xlfn.XLOOKUP(CONTROL[[#This Row],[VEHIDCODE]],roster!A:A,roster!D:D))</f>
        <v>1</v>
      </c>
      <c r="M625" t="b">
        <f>ISNUMBER(_xlfn.XMATCH(CONTROL[[#This Row],[VEHIDCODE]],GRAPHICS_PROPERTIES[VEHIDCODE],0))</f>
        <v>1</v>
      </c>
      <c r="N625" s="21" t="str">
        <f>"item_"&amp;CONTROL[[#This Row],[VEHIDCODE]]</f>
        <v>item_emu_Alstom_XTrapolis_100</v>
      </c>
      <c r="O625" s="21" t="str">
        <f>"str_"&amp;CONTROL[[#This Row],[VEHIDCODE]]</f>
        <v>str_emu_Alstom_XTrapolis_100</v>
      </c>
      <c r="P625" s="7" t="b">
        <f>_xlfn.XLOOKUP(CONTROL[[#This Row],[VEHIDCODE]],PROPERTIES[VEHIDCODE],PROPERTIES[IS_CONCEPT])="IS_CONCEPT"</f>
        <v>0</v>
      </c>
      <c r="Q625" s="7" t="b">
        <f>_xlfn.XLOOKUP(CONTROL[[#This Row],[VEHIDCODE]],PROPERTIES[VEHIDCODE],PROPERTIES[EXCLUDE])</f>
        <v>0</v>
      </c>
      <c r="R625" t="str" cm="1">
        <f t="array" ref="R625">_xlfn.XLOOKUP(CONTROL[[#This Row],[VEHIDCODE]],GRAPHICS_PROPERTIES[VEHIDCODE],GRAPHICS_PROPERTIES[TEMPLATE_ID]&amp;GRAPHICS_PROPERTIES[TEMPLATE_AMENDMENT_CODE])</f>
        <v>TPL_02A</v>
      </c>
    </row>
    <row r="626" spans="1:18" x14ac:dyDescent="0.35">
      <c r="A626" s="2" t="s">
        <v>3243</v>
      </c>
      <c r="B626" s="21" t="str">
        <f>_xlfn.TEXTAFTER(CONTROL[[#This Row],[VEHIDCODE]],"_")</f>
        <v>GEC_Fiat_AES_Railcar</v>
      </c>
      <c r="C626" t="str" cm="1">
        <f t="array" ref="C6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6" t="str" cm="1">
        <f t="array" ref="D6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6">
        <v>8056</v>
      </c>
      <c r="F626" s="32" t="s">
        <v>2423</v>
      </c>
      <c r="G626" t="s">
        <v>1592</v>
      </c>
      <c r="H626" s="2" t="b">
        <f>AND(CONTROL[[#This Row],[IS_WAGON_OR_COACH]]=TRUE,OR(RIGHT(CONTROL[[#This Row],[VEHIDCODE]],7)="Powered",RIGHT(CONTROL[[#This Row],[VEHIDCODE]],9)="Unpowered"))</f>
        <v>0</v>
      </c>
      <c r="I6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6" t="b">
        <f>ISNUMBER(_xlfn.XMATCH(CONTROL[[#This Row],[VEHIDCODE]],TRACK_TYPES[VEHIDCODE],0))</f>
        <v>1</v>
      </c>
      <c r="K626" t="b">
        <f>ISNUMBER(_xlfn.XMATCH(CONTROL[[#This Row],[VEHIDCODE]],PROPERTIES[VEHIDCODE],0))</f>
        <v>1</v>
      </c>
      <c r="L626" t="b">
        <f>ISNUMBER(_xlfn.XLOOKUP(CONTROL[[#This Row],[VEHIDCODE]],roster!A:A,roster!D:D))</f>
        <v>1</v>
      </c>
      <c r="M626" t="b">
        <f>ISNUMBER(_xlfn.XMATCH(CONTROL[[#This Row],[VEHIDCODE]],GRAPHICS_PROPERTIES[VEHIDCODE],0))</f>
        <v>1</v>
      </c>
      <c r="N626" s="21" t="str">
        <f>"item_"&amp;CONTROL[[#This Row],[VEHIDCODE]]</f>
        <v>item_emu_GEC_Fiat_AES_Railcar</v>
      </c>
      <c r="O626" s="21" t="str">
        <f>"str_"&amp;CONTROL[[#This Row],[VEHIDCODE]]</f>
        <v>str_emu_GEC_Fiat_AES_Railcar</v>
      </c>
      <c r="P626" s="7" t="b">
        <f>_xlfn.XLOOKUP(CONTROL[[#This Row],[VEHIDCODE]],PROPERTIES[VEHIDCODE],PROPERTIES[IS_CONCEPT])="IS_CONCEPT"</f>
        <v>0</v>
      </c>
      <c r="Q626" s="7" t="b">
        <f>_xlfn.XLOOKUP(CONTROL[[#This Row],[VEHIDCODE]],PROPERTIES[VEHIDCODE],PROPERTIES[EXCLUDE])</f>
        <v>1</v>
      </c>
      <c r="R626" t="str" cm="1">
        <f t="array" ref="R626">_xlfn.XLOOKUP(CONTROL[[#This Row],[VEHIDCODE]],GRAPHICS_PROPERTIES[VEHIDCODE],GRAPHICS_PROPERTIES[TEMPLATE_ID]&amp;GRAPHICS_PROPERTIES[TEMPLATE_AMENDMENT_CODE])</f>
        <v>TPL_02A</v>
      </c>
    </row>
    <row r="627" spans="1:18" x14ac:dyDescent="0.35">
      <c r="A627" s="2" t="s">
        <v>3244</v>
      </c>
      <c r="B627" s="21" t="str">
        <f>_xlfn.TEXTAFTER(CONTROL[[#This Row],[VEHIDCODE]],"_")</f>
        <v>Ganz_MAVAG_YZ_E</v>
      </c>
      <c r="C627" t="str" cm="1">
        <f t="array" ref="C6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7" t="str" cm="1">
        <f t="array" ref="D6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7">
        <v>8058</v>
      </c>
      <c r="F627" s="32" t="s">
        <v>2424</v>
      </c>
      <c r="G627" t="s">
        <v>2425</v>
      </c>
      <c r="H627" s="2" t="b">
        <f>AND(CONTROL[[#This Row],[IS_WAGON_OR_COACH]]=TRUE,OR(RIGHT(CONTROL[[#This Row],[VEHIDCODE]],7)="Powered",RIGHT(CONTROL[[#This Row],[VEHIDCODE]],9)="Unpowered"))</f>
        <v>0</v>
      </c>
      <c r="I6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7" t="b">
        <f>ISNUMBER(_xlfn.XMATCH(CONTROL[[#This Row],[VEHIDCODE]],TRACK_TYPES[VEHIDCODE],0))</f>
        <v>1</v>
      </c>
      <c r="K627" t="b">
        <f>ISNUMBER(_xlfn.XMATCH(CONTROL[[#This Row],[VEHIDCODE]],PROPERTIES[VEHIDCODE],0))</f>
        <v>1</v>
      </c>
      <c r="L627" t="b">
        <f>ISNUMBER(_xlfn.XLOOKUP(CONTROL[[#This Row],[VEHIDCODE]],roster!A:A,roster!D:D))</f>
        <v>1</v>
      </c>
      <c r="M627" t="b">
        <f>ISNUMBER(_xlfn.XMATCH(CONTROL[[#This Row],[VEHIDCODE]],GRAPHICS_PROPERTIES[VEHIDCODE],0))</f>
        <v>1</v>
      </c>
      <c r="N627" s="21" t="str">
        <f>"item_"&amp;CONTROL[[#This Row],[VEHIDCODE]]</f>
        <v>item_emu_Ganz_MAVAG_YZ_E</v>
      </c>
      <c r="O627" s="21" t="str">
        <f>"str_"&amp;CONTROL[[#This Row],[VEHIDCODE]]</f>
        <v>str_emu_Ganz_MAVAG_YZ_E</v>
      </c>
      <c r="P627" s="7" t="b">
        <f>_xlfn.XLOOKUP(CONTROL[[#This Row],[VEHIDCODE]],PROPERTIES[VEHIDCODE],PROPERTIES[IS_CONCEPT])="IS_CONCEPT"</f>
        <v>0</v>
      </c>
      <c r="Q627" s="7" t="b">
        <f>_xlfn.XLOOKUP(CONTROL[[#This Row],[VEHIDCODE]],PROPERTIES[VEHIDCODE],PROPERTIES[EXCLUDE])</f>
        <v>0</v>
      </c>
      <c r="R627" t="str" cm="1">
        <f t="array" ref="R627">_xlfn.XLOOKUP(CONTROL[[#This Row],[VEHIDCODE]],GRAPHICS_PROPERTIES[VEHIDCODE],GRAPHICS_PROPERTIES[TEMPLATE_ID]&amp;GRAPHICS_PROPERTIES[TEMPLATE_AMENDMENT_CODE])</f>
        <v>TPL_02D</v>
      </c>
    </row>
    <row r="628" spans="1:18" x14ac:dyDescent="0.35">
      <c r="A628" s="2" t="s">
        <v>3245</v>
      </c>
      <c r="B628" s="21" t="str">
        <f>_xlfn.TEXTAFTER(CONTROL[[#This Row],[VEHIDCODE]],"_")</f>
        <v>Walkers_Tilt_Train_ETT</v>
      </c>
      <c r="C628" t="str" cm="1">
        <f t="array" ref="C6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8" t="str" cm="1">
        <f t="array" ref="D6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8">
        <v>8066</v>
      </c>
      <c r="F628" s="32" t="s">
        <v>2426</v>
      </c>
      <c r="G628" t="s">
        <v>1593</v>
      </c>
      <c r="H628" s="2" t="b">
        <f>AND(CONTROL[[#This Row],[IS_WAGON_OR_COACH]]=TRUE,OR(RIGHT(CONTROL[[#This Row],[VEHIDCODE]],7)="Powered",RIGHT(CONTROL[[#This Row],[VEHIDCODE]],9)="Unpowered"))</f>
        <v>0</v>
      </c>
      <c r="I6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8" t="b">
        <f>ISNUMBER(_xlfn.XMATCH(CONTROL[[#This Row],[VEHIDCODE]],TRACK_TYPES[VEHIDCODE],0))</f>
        <v>1</v>
      </c>
      <c r="K628" t="b">
        <f>ISNUMBER(_xlfn.XMATCH(CONTROL[[#This Row],[VEHIDCODE]],PROPERTIES[VEHIDCODE],0))</f>
        <v>1</v>
      </c>
      <c r="L628" t="b">
        <f>ISNUMBER(_xlfn.XLOOKUP(CONTROL[[#This Row],[VEHIDCODE]],roster!A:A,roster!D:D))</f>
        <v>1</v>
      </c>
      <c r="M628" t="b">
        <f>ISNUMBER(_xlfn.XMATCH(CONTROL[[#This Row],[VEHIDCODE]],GRAPHICS_PROPERTIES[VEHIDCODE],0))</f>
        <v>1</v>
      </c>
      <c r="N628" s="21" t="str">
        <f>"item_"&amp;CONTROL[[#This Row],[VEHIDCODE]]</f>
        <v>item_emu_Walkers_Tilt_Train_ETT</v>
      </c>
      <c r="O628" s="21" t="str">
        <f>"str_"&amp;CONTROL[[#This Row],[VEHIDCODE]]</f>
        <v>str_emu_Walkers_Tilt_Train_ETT</v>
      </c>
      <c r="P628" s="7" t="b">
        <f>_xlfn.XLOOKUP(CONTROL[[#This Row],[VEHIDCODE]],PROPERTIES[VEHIDCODE],PROPERTIES[IS_CONCEPT])="IS_CONCEPT"</f>
        <v>0</v>
      </c>
      <c r="Q628" s="7" t="b">
        <f>_xlfn.XLOOKUP(CONTROL[[#This Row],[VEHIDCODE]],PROPERTIES[VEHIDCODE],PROPERTIES[EXCLUDE])</f>
        <v>0</v>
      </c>
      <c r="R628" t="str" cm="1">
        <f t="array" ref="R628">_xlfn.XLOOKUP(CONTROL[[#This Row],[VEHIDCODE]],GRAPHICS_PROPERTIES[VEHIDCODE],GRAPHICS_PROPERTIES[TEMPLATE_ID]&amp;GRAPHICS_PROPERTIES[TEMPLATE_AMENDMENT_CODE])</f>
        <v>TPL_02D</v>
      </c>
    </row>
    <row r="629" spans="1:18" x14ac:dyDescent="0.35">
      <c r="A629" s="2" t="s">
        <v>3246</v>
      </c>
      <c r="B629" s="21" t="str">
        <f>_xlfn.TEXTAFTER(CONTROL[[#This Row],[VEHIDCODE]],"_")</f>
        <v>NEVZ_TEVZ_VL15</v>
      </c>
      <c r="C629" t="str" cm="1">
        <f t="array" ref="C6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29" t="str" cm="1">
        <f t="array" ref="D6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29">
        <v>6041</v>
      </c>
      <c r="F629" s="32" t="s">
        <v>2045</v>
      </c>
      <c r="G629" t="s">
        <v>1599</v>
      </c>
      <c r="H629" s="2" t="b">
        <f>AND(CONTROL[[#This Row],[IS_WAGON_OR_COACH]]=TRUE,OR(RIGHT(CONTROL[[#This Row],[VEHIDCODE]],7)="Powered",RIGHT(CONTROL[[#This Row],[VEHIDCODE]],9)="Unpowered"))</f>
        <v>0</v>
      </c>
      <c r="I6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9" t="b">
        <f>ISNUMBER(_xlfn.XMATCH(CONTROL[[#This Row],[VEHIDCODE]],TRACK_TYPES[VEHIDCODE],0))</f>
        <v>1</v>
      </c>
      <c r="K629" t="b">
        <f>ISNUMBER(_xlfn.XMATCH(CONTROL[[#This Row],[VEHIDCODE]],PROPERTIES[VEHIDCODE],0))</f>
        <v>1</v>
      </c>
      <c r="L629" t="b">
        <f>ISNUMBER(_xlfn.XLOOKUP(CONTROL[[#This Row],[VEHIDCODE]],roster!A:A,roster!D:D))</f>
        <v>1</v>
      </c>
      <c r="M629" t="b">
        <f>ISNUMBER(_xlfn.XMATCH(CONTROL[[#This Row],[VEHIDCODE]],GRAPHICS_PROPERTIES[VEHIDCODE],0))</f>
        <v>1</v>
      </c>
      <c r="N629" s="21" t="str">
        <f>"item_"&amp;CONTROL[[#This Row],[VEHIDCODE]]</f>
        <v>item_electric_NEVZ_TEVZ_VL15</v>
      </c>
      <c r="O629" s="21" t="str">
        <f>"str_"&amp;CONTROL[[#This Row],[VEHIDCODE]]</f>
        <v>str_electric_NEVZ_TEVZ_VL15</v>
      </c>
      <c r="P629" s="7" t="b">
        <f>_xlfn.XLOOKUP(CONTROL[[#This Row],[VEHIDCODE]],PROPERTIES[VEHIDCODE],PROPERTIES[IS_CONCEPT])="IS_CONCEPT"</f>
        <v>0</v>
      </c>
      <c r="Q629" s="7" t="b">
        <f>_xlfn.XLOOKUP(CONTROL[[#This Row],[VEHIDCODE]],PROPERTIES[VEHIDCODE],PROPERTIES[EXCLUDE])</f>
        <v>0</v>
      </c>
      <c r="R629" t="str" cm="1">
        <f t="array" ref="R629">_xlfn.XLOOKUP(CONTROL[[#This Row],[VEHIDCODE]],GRAPHICS_PROPERTIES[VEHIDCODE],GRAPHICS_PROPERTIES[TEMPLATE_ID]&amp;GRAPHICS_PROPERTIES[TEMPLATE_AMENDMENT_CODE])</f>
        <v>TPL_03D</v>
      </c>
    </row>
    <row r="630" spans="1:18" x14ac:dyDescent="0.35">
      <c r="A630" s="2" t="s">
        <v>3247</v>
      </c>
      <c r="B630" s="21" t="str">
        <f>_xlfn.TEXTAFTER(CONTROL[[#This Row],[VEHIDCODE]],"_")</f>
        <v>TEVZ_VL11</v>
      </c>
      <c r="C630" t="str" cm="1">
        <f t="array" ref="C6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0" t="str" cm="1">
        <f t="array" ref="D6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0">
        <v>6134</v>
      </c>
      <c r="F630" s="32" t="s">
        <v>2046</v>
      </c>
      <c r="G630" t="s">
        <v>1600</v>
      </c>
      <c r="H630" s="2" t="b">
        <f>AND(CONTROL[[#This Row],[IS_WAGON_OR_COACH]]=TRUE,OR(RIGHT(CONTROL[[#This Row],[VEHIDCODE]],7)="Powered",RIGHT(CONTROL[[#This Row],[VEHIDCODE]],9)="Unpowered"))</f>
        <v>0</v>
      </c>
      <c r="I6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0" t="b">
        <f>ISNUMBER(_xlfn.XMATCH(CONTROL[[#This Row],[VEHIDCODE]],TRACK_TYPES[VEHIDCODE],0))</f>
        <v>1</v>
      </c>
      <c r="K630" t="b">
        <f>ISNUMBER(_xlfn.XMATCH(CONTROL[[#This Row],[VEHIDCODE]],PROPERTIES[VEHIDCODE],0))</f>
        <v>1</v>
      </c>
      <c r="L630" t="b">
        <f>ISNUMBER(_xlfn.XLOOKUP(CONTROL[[#This Row],[VEHIDCODE]],roster!A:A,roster!D:D))</f>
        <v>1</v>
      </c>
      <c r="M630" t="b">
        <f>ISNUMBER(_xlfn.XMATCH(CONTROL[[#This Row],[VEHIDCODE]],GRAPHICS_PROPERTIES[VEHIDCODE],0))</f>
        <v>1</v>
      </c>
      <c r="N630" s="21" t="str">
        <f>"item_"&amp;CONTROL[[#This Row],[VEHIDCODE]]</f>
        <v>item_electric_TEVZ_VL11</v>
      </c>
      <c r="O630" s="21" t="str">
        <f>"str_"&amp;CONTROL[[#This Row],[VEHIDCODE]]</f>
        <v>str_electric_TEVZ_VL11</v>
      </c>
      <c r="P630" s="7" t="b">
        <f>_xlfn.XLOOKUP(CONTROL[[#This Row],[VEHIDCODE]],PROPERTIES[VEHIDCODE],PROPERTIES[IS_CONCEPT])="IS_CONCEPT"</f>
        <v>0</v>
      </c>
      <c r="Q630" s="7" t="b">
        <f>_xlfn.XLOOKUP(CONTROL[[#This Row],[VEHIDCODE]],PROPERTIES[VEHIDCODE],PROPERTIES[EXCLUDE])</f>
        <v>0</v>
      </c>
      <c r="R630" t="str" cm="1">
        <f t="array" ref="R630">_xlfn.XLOOKUP(CONTROL[[#This Row],[VEHIDCODE]],GRAPHICS_PROPERTIES[VEHIDCODE],GRAPHICS_PROPERTIES[TEMPLATE_ID]&amp;GRAPHICS_PROPERTIES[TEMPLATE_AMENDMENT_CODE])</f>
        <v>TPL_03D</v>
      </c>
    </row>
    <row r="631" spans="1:18" x14ac:dyDescent="0.35">
      <c r="A631" s="2" t="s">
        <v>3248</v>
      </c>
      <c r="B631" s="21" t="str">
        <f>_xlfn.TEXTAFTER(CONTROL[[#This Row],[VEHIDCODE]],"_")</f>
        <v>NEVZ_VL22M</v>
      </c>
      <c r="C631" t="str" cm="1">
        <f t="array" ref="C6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1" t="str" cm="1">
        <f t="array" ref="D6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1">
        <v>6018</v>
      </c>
      <c r="F631" s="32" t="s">
        <v>2034</v>
      </c>
      <c r="G631" t="s">
        <v>1601</v>
      </c>
      <c r="H631" s="2" t="b">
        <f>AND(CONTROL[[#This Row],[IS_WAGON_OR_COACH]]=TRUE,OR(RIGHT(CONTROL[[#This Row],[VEHIDCODE]],7)="Powered",RIGHT(CONTROL[[#This Row],[VEHIDCODE]],9)="Unpowered"))</f>
        <v>0</v>
      </c>
      <c r="I6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1" t="b">
        <f>ISNUMBER(_xlfn.XMATCH(CONTROL[[#This Row],[VEHIDCODE]],TRACK_TYPES[VEHIDCODE],0))</f>
        <v>1</v>
      </c>
      <c r="K631" t="b">
        <f>ISNUMBER(_xlfn.XMATCH(CONTROL[[#This Row],[VEHIDCODE]],PROPERTIES[VEHIDCODE],0))</f>
        <v>1</v>
      </c>
      <c r="L631" t="b">
        <f>ISNUMBER(_xlfn.XLOOKUP(CONTROL[[#This Row],[VEHIDCODE]],roster!A:A,roster!D:D))</f>
        <v>1</v>
      </c>
      <c r="M631" t="b">
        <f>ISNUMBER(_xlfn.XMATCH(CONTROL[[#This Row],[VEHIDCODE]],GRAPHICS_PROPERTIES[VEHIDCODE],0))</f>
        <v>1</v>
      </c>
      <c r="N631" s="21" t="str">
        <f>"item_"&amp;CONTROL[[#This Row],[VEHIDCODE]]</f>
        <v>item_electric_NEVZ_VL22M</v>
      </c>
      <c r="O631" s="21" t="str">
        <f>"str_"&amp;CONTROL[[#This Row],[VEHIDCODE]]</f>
        <v>str_electric_NEVZ_VL22M</v>
      </c>
      <c r="P631" s="7" t="b">
        <f>_xlfn.XLOOKUP(CONTROL[[#This Row],[VEHIDCODE]],PROPERTIES[VEHIDCODE],PROPERTIES[IS_CONCEPT])="IS_CONCEPT"</f>
        <v>0</v>
      </c>
      <c r="Q631" s="7" t="b">
        <f>_xlfn.XLOOKUP(CONTROL[[#This Row],[VEHIDCODE]],PROPERTIES[VEHIDCODE],PROPERTIES[EXCLUDE])</f>
        <v>0</v>
      </c>
      <c r="R631" t="str" cm="1">
        <f t="array" ref="R631">_xlfn.XLOOKUP(CONTROL[[#This Row],[VEHIDCODE]],GRAPHICS_PROPERTIES[VEHIDCODE],GRAPHICS_PROPERTIES[TEMPLATE_ID]&amp;GRAPHICS_PROPERTIES[TEMPLATE_AMENDMENT_CODE])</f>
        <v>TPL_01A</v>
      </c>
    </row>
    <row r="632" spans="1:18" x14ac:dyDescent="0.35">
      <c r="A632" s="2" t="s">
        <v>3249</v>
      </c>
      <c r="B632" s="21" t="str">
        <f>_xlfn.TEXTAFTER(CONTROL[[#This Row],[VEHIDCODE]],"_")</f>
        <v>DEVZ_DE1</v>
      </c>
      <c r="C632" t="str" cm="1">
        <f t="array" ref="C6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2" t="str" cm="1">
        <f t="array" ref="D6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2">
        <v>6117</v>
      </c>
      <c r="F632" s="32" t="s">
        <v>2047</v>
      </c>
      <c r="G632" t="s">
        <v>1602</v>
      </c>
      <c r="H632" s="2" t="b">
        <f>AND(CONTROL[[#This Row],[IS_WAGON_OR_COACH]]=TRUE,OR(RIGHT(CONTROL[[#This Row],[VEHIDCODE]],7)="Powered",RIGHT(CONTROL[[#This Row],[VEHIDCODE]],9)="Unpowered"))</f>
        <v>0</v>
      </c>
      <c r="I6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2" t="b">
        <f>ISNUMBER(_xlfn.XMATCH(CONTROL[[#This Row],[VEHIDCODE]],TRACK_TYPES[VEHIDCODE],0))</f>
        <v>1</v>
      </c>
      <c r="K632" t="b">
        <f>ISNUMBER(_xlfn.XMATCH(CONTROL[[#This Row],[VEHIDCODE]],PROPERTIES[VEHIDCODE],0))</f>
        <v>1</v>
      </c>
      <c r="L632" t="b">
        <f>ISNUMBER(_xlfn.XLOOKUP(CONTROL[[#This Row],[VEHIDCODE]],roster!A:A,roster!D:D))</f>
        <v>1</v>
      </c>
      <c r="M632" t="b">
        <f>ISNUMBER(_xlfn.XMATCH(CONTROL[[#This Row],[VEHIDCODE]],GRAPHICS_PROPERTIES[VEHIDCODE],0))</f>
        <v>1</v>
      </c>
      <c r="N632" s="21" t="str">
        <f>"item_"&amp;CONTROL[[#This Row],[VEHIDCODE]]</f>
        <v>item_electric_DEVZ_DE1</v>
      </c>
      <c r="O632" s="21" t="str">
        <f>"str_"&amp;CONTROL[[#This Row],[VEHIDCODE]]</f>
        <v>str_electric_DEVZ_DE1</v>
      </c>
      <c r="P632" s="7" t="b">
        <f>_xlfn.XLOOKUP(CONTROL[[#This Row],[VEHIDCODE]],PROPERTIES[VEHIDCODE],PROPERTIES[IS_CONCEPT])="IS_CONCEPT"</f>
        <v>0</v>
      </c>
      <c r="Q632" s="7" t="b">
        <f>_xlfn.XLOOKUP(CONTROL[[#This Row],[VEHIDCODE]],PROPERTIES[VEHIDCODE],PROPERTIES[EXCLUDE])</f>
        <v>0</v>
      </c>
      <c r="R632" t="str" cm="1">
        <f t="array" ref="R632">_xlfn.XLOOKUP(CONTROL[[#This Row],[VEHIDCODE]],GRAPHICS_PROPERTIES[VEHIDCODE],GRAPHICS_PROPERTIES[TEMPLATE_ID]&amp;GRAPHICS_PROPERTIES[TEMPLATE_AMENDMENT_CODE])</f>
        <v>TPL_03D</v>
      </c>
    </row>
    <row r="633" spans="1:18" x14ac:dyDescent="0.35">
      <c r="A633" s="2" t="s">
        <v>3250</v>
      </c>
      <c r="B633" s="21" t="str">
        <f>_xlfn.TEXTAFTER(CONTROL[[#This Row],[VEHIDCODE]],"_")</f>
        <v>Skoda_29E</v>
      </c>
      <c r="C633" t="str" cm="1">
        <f t="array" ref="C6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3" t="str" cm="1">
        <f t="array" ref="D6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3">
        <v>6083</v>
      </c>
      <c r="F633" s="32" t="s">
        <v>3636</v>
      </c>
      <c r="G633" t="s">
        <v>1603</v>
      </c>
      <c r="H633" s="2" t="b">
        <f>AND(CONTROL[[#This Row],[IS_WAGON_OR_COACH]]=TRUE,OR(RIGHT(CONTROL[[#This Row],[VEHIDCODE]],7)="Powered",RIGHT(CONTROL[[#This Row],[VEHIDCODE]],9)="Unpowered"))</f>
        <v>0</v>
      </c>
      <c r="I6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3" t="b">
        <f>ISNUMBER(_xlfn.XMATCH(CONTROL[[#This Row],[VEHIDCODE]],TRACK_TYPES[VEHIDCODE],0))</f>
        <v>1</v>
      </c>
      <c r="K633" t="b">
        <f>ISNUMBER(_xlfn.XMATCH(CONTROL[[#This Row],[VEHIDCODE]],PROPERTIES[VEHIDCODE],0))</f>
        <v>1</v>
      </c>
      <c r="L633" t="b">
        <f>ISNUMBER(_xlfn.XLOOKUP(CONTROL[[#This Row],[VEHIDCODE]],roster!A:A,roster!D:D))</f>
        <v>1</v>
      </c>
      <c r="M633" t="b">
        <f>ISNUMBER(_xlfn.XMATCH(CONTROL[[#This Row],[VEHIDCODE]],GRAPHICS_PROPERTIES[VEHIDCODE],0))</f>
        <v>1</v>
      </c>
      <c r="N633" s="21" t="str">
        <f>"item_"&amp;CONTROL[[#This Row],[VEHIDCODE]]</f>
        <v>item_electric_Skoda_29E</v>
      </c>
      <c r="O633" s="21" t="str">
        <f>"str_"&amp;CONTROL[[#This Row],[VEHIDCODE]]</f>
        <v>str_electric_Skoda_29E</v>
      </c>
      <c r="P633" s="7" t="b">
        <f>_xlfn.XLOOKUP(CONTROL[[#This Row],[VEHIDCODE]],PROPERTIES[VEHIDCODE],PROPERTIES[IS_CONCEPT])="IS_CONCEPT"</f>
        <v>0</v>
      </c>
      <c r="Q633" s="7" t="b">
        <f>_xlfn.XLOOKUP(CONTROL[[#This Row],[VEHIDCODE]],PROPERTIES[VEHIDCODE],PROPERTIES[EXCLUDE])</f>
        <v>0</v>
      </c>
      <c r="R633" t="str" cm="1">
        <f t="array" ref="R633">_xlfn.XLOOKUP(CONTROL[[#This Row],[VEHIDCODE]],GRAPHICS_PROPERTIES[VEHIDCODE],GRAPHICS_PROPERTIES[TEMPLATE_ID]&amp;GRAPHICS_PROPERTIES[TEMPLATE_AMENDMENT_CODE])</f>
        <v>TPL_01A</v>
      </c>
    </row>
    <row r="634" spans="1:18" x14ac:dyDescent="0.35">
      <c r="A634" s="2" t="s">
        <v>3251</v>
      </c>
      <c r="B634" s="21" t="str">
        <f>_xlfn.TEXTAFTER(CONTROL[[#This Row],[VEHIDCODE]],"_")</f>
        <v>Skoda_82E</v>
      </c>
      <c r="C634" t="str" cm="1">
        <f t="array" ref="C6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4" t="str" cm="1">
        <f t="array" ref="D6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4">
        <v>6112</v>
      </c>
      <c r="F634" s="32" t="s">
        <v>2048</v>
      </c>
      <c r="G634" t="s">
        <v>1604</v>
      </c>
      <c r="H634" s="2" t="b">
        <f>AND(CONTROL[[#This Row],[IS_WAGON_OR_COACH]]=TRUE,OR(RIGHT(CONTROL[[#This Row],[VEHIDCODE]],7)="Powered",RIGHT(CONTROL[[#This Row],[VEHIDCODE]],9)="Unpowered"))</f>
        <v>0</v>
      </c>
      <c r="I6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4" t="b">
        <f>ISNUMBER(_xlfn.XMATCH(CONTROL[[#This Row],[VEHIDCODE]],TRACK_TYPES[VEHIDCODE],0))</f>
        <v>1</v>
      </c>
      <c r="K634" t="b">
        <f>ISNUMBER(_xlfn.XMATCH(CONTROL[[#This Row],[VEHIDCODE]],PROPERTIES[VEHIDCODE],0))</f>
        <v>1</v>
      </c>
      <c r="L634" t="b">
        <f>ISNUMBER(_xlfn.XLOOKUP(CONTROL[[#This Row],[VEHIDCODE]],roster!A:A,roster!D:D))</f>
        <v>1</v>
      </c>
      <c r="M634" t="b">
        <f>ISNUMBER(_xlfn.XMATCH(CONTROL[[#This Row],[VEHIDCODE]],GRAPHICS_PROPERTIES[VEHIDCODE],0))</f>
        <v>1</v>
      </c>
      <c r="N634" s="21" t="str">
        <f>"item_"&amp;CONTROL[[#This Row],[VEHIDCODE]]</f>
        <v>item_electric_Skoda_82E</v>
      </c>
      <c r="O634" s="21" t="str">
        <f>"str_"&amp;CONTROL[[#This Row],[VEHIDCODE]]</f>
        <v>str_electric_Skoda_82E</v>
      </c>
      <c r="P634" s="7" t="b">
        <f>_xlfn.XLOOKUP(CONTROL[[#This Row],[VEHIDCODE]],PROPERTIES[VEHIDCODE],PROPERTIES[IS_CONCEPT])="IS_CONCEPT"</f>
        <v>0</v>
      </c>
      <c r="Q634" s="7" t="b">
        <f>_xlfn.XLOOKUP(CONTROL[[#This Row],[VEHIDCODE]],PROPERTIES[VEHIDCODE],PROPERTIES[EXCLUDE])</f>
        <v>0</v>
      </c>
      <c r="R634" t="str" cm="1">
        <f t="array" ref="R634">_xlfn.XLOOKUP(CONTROL[[#This Row],[VEHIDCODE]],GRAPHICS_PROPERTIES[VEHIDCODE],GRAPHICS_PROPERTIES[TEMPLATE_ID]&amp;GRAPHICS_PROPERTIES[TEMPLATE_AMENDMENT_CODE])</f>
        <v>TPL_03D</v>
      </c>
    </row>
    <row r="635" spans="1:18" x14ac:dyDescent="0.35">
      <c r="A635" s="2" t="s">
        <v>3252</v>
      </c>
      <c r="B635" s="21" t="str">
        <f>_xlfn.TEXTAFTER(CONTROL[[#This Row],[VEHIDCODE]],"_")</f>
        <v>GE_C_C_4400_RFFSA</v>
      </c>
      <c r="C635" t="str" cm="1">
        <f t="array" ref="C6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5" t="str" cm="1">
        <f t="array" ref="D6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5">
        <v>6124</v>
      </c>
      <c r="F635" s="32" t="s">
        <v>2427</v>
      </c>
      <c r="G635" t="s">
        <v>1605</v>
      </c>
      <c r="H635" s="2" t="b">
        <f>AND(CONTROL[[#This Row],[IS_WAGON_OR_COACH]]=TRUE,OR(RIGHT(CONTROL[[#This Row],[VEHIDCODE]],7)="Powered",RIGHT(CONTROL[[#This Row],[VEHIDCODE]],9)="Unpowered"))</f>
        <v>0</v>
      </c>
      <c r="I6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5" t="b">
        <f>ISNUMBER(_xlfn.XMATCH(CONTROL[[#This Row],[VEHIDCODE]],TRACK_TYPES[VEHIDCODE],0))</f>
        <v>1</v>
      </c>
      <c r="K635" t="b">
        <f>ISNUMBER(_xlfn.XMATCH(CONTROL[[#This Row],[VEHIDCODE]],PROPERTIES[VEHIDCODE],0))</f>
        <v>1</v>
      </c>
      <c r="L635" t="b">
        <f>ISNUMBER(_xlfn.XLOOKUP(CONTROL[[#This Row],[VEHIDCODE]],roster!A:A,roster!D:D))</f>
        <v>1</v>
      </c>
      <c r="M635" t="b">
        <f>ISNUMBER(_xlfn.XMATCH(CONTROL[[#This Row],[VEHIDCODE]],GRAPHICS_PROPERTIES[VEHIDCODE],0))</f>
        <v>1</v>
      </c>
      <c r="N635" s="21" t="str">
        <f>"item_"&amp;CONTROL[[#This Row],[VEHIDCODE]]</f>
        <v>item_electric_GE_C_C_4400_RFFSA</v>
      </c>
      <c r="O635" s="21" t="str">
        <f>"str_"&amp;CONTROL[[#This Row],[VEHIDCODE]]</f>
        <v>str_electric_GE_C_C_4400_RFFSA</v>
      </c>
      <c r="P635" s="7" t="b">
        <f>_xlfn.XLOOKUP(CONTROL[[#This Row],[VEHIDCODE]],PROPERTIES[VEHIDCODE],PROPERTIES[IS_CONCEPT])="IS_CONCEPT"</f>
        <v>0</v>
      </c>
      <c r="Q635" s="7" t="b">
        <f>_xlfn.XLOOKUP(CONTROL[[#This Row],[VEHIDCODE]],PROPERTIES[VEHIDCODE],PROPERTIES[EXCLUDE])</f>
        <v>0</v>
      </c>
      <c r="R635" t="str" cm="1">
        <f t="array" ref="R635">_xlfn.XLOOKUP(CONTROL[[#This Row],[VEHIDCODE]],GRAPHICS_PROPERTIES[VEHIDCODE],GRAPHICS_PROPERTIES[TEMPLATE_ID]&amp;GRAPHICS_PROPERTIES[TEMPLATE_AMENDMENT_CODE])</f>
        <v>TPL_03D</v>
      </c>
    </row>
    <row r="636" spans="1:18" x14ac:dyDescent="0.35">
      <c r="A636" s="2" t="s">
        <v>3253</v>
      </c>
      <c r="B636" s="21" t="str">
        <f>_xlfn.TEXTAFTER(CONTROL[[#This Row],[VEHIDCODE]],"_")</f>
        <v>NEVZ_VL85</v>
      </c>
      <c r="C636" t="str" cm="1">
        <f t="array" ref="C6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6" t="str" cm="1">
        <f t="array" ref="D6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6">
        <v>6040</v>
      </c>
      <c r="F636" s="32" t="s">
        <v>2049</v>
      </c>
      <c r="G636" t="s">
        <v>1606</v>
      </c>
      <c r="H636" s="2" t="b">
        <f>AND(CONTROL[[#This Row],[IS_WAGON_OR_COACH]]=TRUE,OR(RIGHT(CONTROL[[#This Row],[VEHIDCODE]],7)="Powered",RIGHT(CONTROL[[#This Row],[VEHIDCODE]],9)="Unpowered"))</f>
        <v>0</v>
      </c>
      <c r="I6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6" t="b">
        <f>ISNUMBER(_xlfn.XMATCH(CONTROL[[#This Row],[VEHIDCODE]],TRACK_TYPES[VEHIDCODE],0))</f>
        <v>1</v>
      </c>
      <c r="K636" t="b">
        <f>ISNUMBER(_xlfn.XMATCH(CONTROL[[#This Row],[VEHIDCODE]],PROPERTIES[VEHIDCODE],0))</f>
        <v>1</v>
      </c>
      <c r="L636" t="b">
        <f>ISNUMBER(_xlfn.XLOOKUP(CONTROL[[#This Row],[VEHIDCODE]],roster!A:A,roster!D:D))</f>
        <v>1</v>
      </c>
      <c r="M636" t="b">
        <f>ISNUMBER(_xlfn.XMATCH(CONTROL[[#This Row],[VEHIDCODE]],GRAPHICS_PROPERTIES[VEHIDCODE],0))</f>
        <v>1</v>
      </c>
      <c r="N636" s="21" t="str">
        <f>"item_"&amp;CONTROL[[#This Row],[VEHIDCODE]]</f>
        <v>item_electric_NEVZ_VL85</v>
      </c>
      <c r="O636" s="21" t="str">
        <f>"str_"&amp;CONTROL[[#This Row],[VEHIDCODE]]</f>
        <v>str_electric_NEVZ_VL85</v>
      </c>
      <c r="P636" s="7" t="b">
        <f>_xlfn.XLOOKUP(CONTROL[[#This Row],[VEHIDCODE]],PROPERTIES[VEHIDCODE],PROPERTIES[IS_CONCEPT])="IS_CONCEPT"</f>
        <v>0</v>
      </c>
      <c r="Q636" s="7" t="b">
        <f>_xlfn.XLOOKUP(CONTROL[[#This Row],[VEHIDCODE]],PROPERTIES[VEHIDCODE],PROPERTIES[EXCLUDE])</f>
        <v>0</v>
      </c>
      <c r="R636" t="str" cm="1">
        <f t="array" ref="R636">_xlfn.XLOOKUP(CONTROL[[#This Row],[VEHIDCODE]],GRAPHICS_PROPERTIES[VEHIDCODE],GRAPHICS_PROPERTIES[TEMPLATE_ID]&amp;GRAPHICS_PROPERTIES[TEMPLATE_AMENDMENT_CODE])</f>
        <v>TPL_03D</v>
      </c>
    </row>
    <row r="637" spans="1:18" x14ac:dyDescent="0.35">
      <c r="A637" s="2" t="s">
        <v>3254</v>
      </c>
      <c r="B637" s="21" t="str">
        <f>_xlfn.TEXTAFTER(CONTROL[[#This Row],[VEHIDCODE]],"_")</f>
        <v>DEVZ_VL41</v>
      </c>
      <c r="C637" t="str" cm="1">
        <f t="array" ref="C6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7" t="str" cm="1">
        <f t="array" ref="D6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7">
        <v>6028</v>
      </c>
      <c r="F637" s="32" t="s">
        <v>2050</v>
      </c>
      <c r="G637" t="s">
        <v>1607</v>
      </c>
      <c r="H637" s="2" t="b">
        <f>AND(CONTROL[[#This Row],[IS_WAGON_OR_COACH]]=TRUE,OR(RIGHT(CONTROL[[#This Row],[VEHIDCODE]],7)="Powered",RIGHT(CONTROL[[#This Row],[VEHIDCODE]],9)="Unpowered"))</f>
        <v>0</v>
      </c>
      <c r="I6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7" t="b">
        <f>ISNUMBER(_xlfn.XMATCH(CONTROL[[#This Row],[VEHIDCODE]],TRACK_TYPES[VEHIDCODE],0))</f>
        <v>1</v>
      </c>
      <c r="K637" t="b">
        <f>ISNUMBER(_xlfn.XMATCH(CONTROL[[#This Row],[VEHIDCODE]],PROPERTIES[VEHIDCODE],0))</f>
        <v>1</v>
      </c>
      <c r="L637" t="b">
        <f>ISNUMBER(_xlfn.XLOOKUP(CONTROL[[#This Row],[VEHIDCODE]],roster!A:A,roster!D:D))</f>
        <v>1</v>
      </c>
      <c r="M637" t="b">
        <f>ISNUMBER(_xlfn.XMATCH(CONTROL[[#This Row],[VEHIDCODE]],GRAPHICS_PROPERTIES[VEHIDCODE],0))</f>
        <v>1</v>
      </c>
      <c r="N637" s="21" t="str">
        <f>"item_"&amp;CONTROL[[#This Row],[VEHIDCODE]]</f>
        <v>item_electric_DEVZ_VL41</v>
      </c>
      <c r="O637" s="21" t="str">
        <f>"str_"&amp;CONTROL[[#This Row],[VEHIDCODE]]</f>
        <v>str_electric_DEVZ_VL41</v>
      </c>
      <c r="P637" s="7" t="b">
        <f>_xlfn.XLOOKUP(CONTROL[[#This Row],[VEHIDCODE]],PROPERTIES[VEHIDCODE],PROPERTIES[IS_CONCEPT])="IS_CONCEPT"</f>
        <v>0</v>
      </c>
      <c r="Q637" s="7" t="b">
        <f>_xlfn.XLOOKUP(CONTROL[[#This Row],[VEHIDCODE]],PROPERTIES[VEHIDCODE],PROPERTIES[EXCLUDE])</f>
        <v>0</v>
      </c>
      <c r="R637" t="str" cm="1">
        <f t="array" ref="R637">_xlfn.XLOOKUP(CONTROL[[#This Row],[VEHIDCODE]],GRAPHICS_PROPERTIES[VEHIDCODE],GRAPHICS_PROPERTIES[TEMPLATE_ID]&amp;GRAPHICS_PROPERTIES[TEMPLATE_AMENDMENT_CODE])</f>
        <v>TPL_01A</v>
      </c>
    </row>
    <row r="638" spans="1:18" x14ac:dyDescent="0.35">
      <c r="A638" s="2" t="s">
        <v>3255</v>
      </c>
      <c r="B638" s="21" t="str">
        <f>_xlfn.TEXTAFTER(CONTROL[[#This Row],[VEHIDCODE]],"_")</f>
        <v>CLW_WAP_4</v>
      </c>
      <c r="C638" t="str" cm="1">
        <f t="array" ref="C6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8" t="str" cm="1">
        <f t="array" ref="D6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8">
        <v>6048</v>
      </c>
      <c r="F638" s="32" t="s">
        <v>2428</v>
      </c>
      <c r="G638" t="s">
        <v>1608</v>
      </c>
      <c r="H638" s="2" t="b">
        <f>AND(CONTROL[[#This Row],[IS_WAGON_OR_COACH]]=TRUE,OR(RIGHT(CONTROL[[#This Row],[VEHIDCODE]],7)="Powered",RIGHT(CONTROL[[#This Row],[VEHIDCODE]],9)="Unpowered"))</f>
        <v>0</v>
      </c>
      <c r="I6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8" t="b">
        <f>ISNUMBER(_xlfn.XMATCH(CONTROL[[#This Row],[VEHIDCODE]],TRACK_TYPES[VEHIDCODE],0))</f>
        <v>1</v>
      </c>
      <c r="K638" t="b">
        <f>ISNUMBER(_xlfn.XMATCH(CONTROL[[#This Row],[VEHIDCODE]],PROPERTIES[VEHIDCODE],0))</f>
        <v>1</v>
      </c>
      <c r="L638" t="b">
        <f>ISNUMBER(_xlfn.XLOOKUP(CONTROL[[#This Row],[VEHIDCODE]],roster!A:A,roster!D:D))</f>
        <v>1</v>
      </c>
      <c r="M638" t="b">
        <f>ISNUMBER(_xlfn.XMATCH(CONTROL[[#This Row],[VEHIDCODE]],GRAPHICS_PROPERTIES[VEHIDCODE],0))</f>
        <v>1</v>
      </c>
      <c r="N638" s="21" t="str">
        <f>"item_"&amp;CONTROL[[#This Row],[VEHIDCODE]]</f>
        <v>item_electric_CLW_WAP_4</v>
      </c>
      <c r="O638" s="21" t="str">
        <f>"str_"&amp;CONTROL[[#This Row],[VEHIDCODE]]</f>
        <v>str_electric_CLW_WAP_4</v>
      </c>
      <c r="P638" s="7" t="b">
        <f>_xlfn.XLOOKUP(CONTROL[[#This Row],[VEHIDCODE]],PROPERTIES[VEHIDCODE],PROPERTIES[IS_CONCEPT])="IS_CONCEPT"</f>
        <v>0</v>
      </c>
      <c r="Q638" s="7" t="b">
        <f>_xlfn.XLOOKUP(CONTROL[[#This Row],[VEHIDCODE]],PROPERTIES[VEHIDCODE],PROPERTIES[EXCLUDE])</f>
        <v>0</v>
      </c>
      <c r="R638" t="str" cm="1">
        <f t="array" ref="R638">_xlfn.XLOOKUP(CONTROL[[#This Row],[VEHIDCODE]],GRAPHICS_PROPERTIES[VEHIDCODE],GRAPHICS_PROPERTIES[TEMPLATE_ID]&amp;GRAPHICS_PROPERTIES[TEMPLATE_AMENDMENT_CODE])</f>
        <v>TPL_01A</v>
      </c>
    </row>
    <row r="639" spans="1:18" x14ac:dyDescent="0.35">
      <c r="A639" s="2" t="s">
        <v>3256</v>
      </c>
      <c r="B639" s="21" t="str">
        <f>_xlfn.TEXTAFTER(CONTROL[[#This Row],[VEHIDCODE]],"_")</f>
        <v>NEVZ_ES40</v>
      </c>
      <c r="C639" t="str" cm="1">
        <f t="array" ref="C6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9" t="str" cm="1">
        <f t="array" ref="D6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9">
        <v>6034</v>
      </c>
      <c r="F639" s="32" t="s">
        <v>1955</v>
      </c>
      <c r="G639" t="s">
        <v>1609</v>
      </c>
      <c r="H639" s="2" t="b">
        <f>AND(CONTROL[[#This Row],[IS_WAGON_OR_COACH]]=TRUE,OR(RIGHT(CONTROL[[#This Row],[VEHIDCODE]],7)="Powered",RIGHT(CONTROL[[#This Row],[VEHIDCODE]],9)="Unpowered"))</f>
        <v>0</v>
      </c>
      <c r="I6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9" t="b">
        <f>ISNUMBER(_xlfn.XMATCH(CONTROL[[#This Row],[VEHIDCODE]],TRACK_TYPES[VEHIDCODE],0))</f>
        <v>1</v>
      </c>
      <c r="K639" t="b">
        <f>ISNUMBER(_xlfn.XMATCH(CONTROL[[#This Row],[VEHIDCODE]],PROPERTIES[VEHIDCODE],0))</f>
        <v>1</v>
      </c>
      <c r="L639" t="b">
        <f>ISNUMBER(_xlfn.XLOOKUP(CONTROL[[#This Row],[VEHIDCODE]],roster!A:A,roster!D:D))</f>
        <v>1</v>
      </c>
      <c r="M639" t="b">
        <f>ISNUMBER(_xlfn.XMATCH(CONTROL[[#This Row],[VEHIDCODE]],GRAPHICS_PROPERTIES[VEHIDCODE],0))</f>
        <v>1</v>
      </c>
      <c r="N639" s="21" t="str">
        <f>"item_"&amp;CONTROL[[#This Row],[VEHIDCODE]]</f>
        <v>item_electric_NEVZ_ES40</v>
      </c>
      <c r="O639" s="21" t="str">
        <f>"str_"&amp;CONTROL[[#This Row],[VEHIDCODE]]</f>
        <v>str_electric_NEVZ_ES40</v>
      </c>
      <c r="P639" s="7" t="b">
        <f>_xlfn.XLOOKUP(CONTROL[[#This Row],[VEHIDCODE]],PROPERTIES[VEHIDCODE],PROPERTIES[IS_CONCEPT])="IS_CONCEPT"</f>
        <v>0</v>
      </c>
      <c r="Q639" s="7" t="b">
        <f>_xlfn.XLOOKUP(CONTROL[[#This Row],[VEHIDCODE]],PROPERTIES[VEHIDCODE],PROPERTIES[EXCLUDE])</f>
        <v>0</v>
      </c>
      <c r="R639" t="str" cm="1">
        <f t="array" ref="R639">_xlfn.XLOOKUP(CONTROL[[#This Row],[VEHIDCODE]],GRAPHICS_PROPERTIES[VEHIDCODE],GRAPHICS_PROPERTIES[TEMPLATE_ID]&amp;GRAPHICS_PROPERTIES[TEMPLATE_AMENDMENT_CODE])</f>
        <v>TPL_01A</v>
      </c>
    </row>
    <row r="640" spans="1:18" x14ac:dyDescent="0.35">
      <c r="A640" s="2" t="s">
        <v>3257</v>
      </c>
      <c r="B640" s="21" t="str">
        <f>_xlfn.TEXTAFTER(CONTROL[[#This Row],[VEHIDCODE]],"_")</f>
        <v>Zuzhou_KZ4A</v>
      </c>
      <c r="C640" t="str" cm="1">
        <f t="array" ref="C6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40" t="str" cm="1">
        <f t="array" ref="D6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40">
        <v>6057</v>
      </c>
      <c r="F640" s="32" t="s">
        <v>2384</v>
      </c>
      <c r="G640" t="s">
        <v>1610</v>
      </c>
      <c r="H640" s="2" t="b">
        <f>AND(CONTROL[[#This Row],[IS_WAGON_OR_COACH]]=TRUE,OR(RIGHT(CONTROL[[#This Row],[VEHIDCODE]],7)="Powered",RIGHT(CONTROL[[#This Row],[VEHIDCODE]],9)="Unpowered"))</f>
        <v>0</v>
      </c>
      <c r="I6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0" t="b">
        <f>ISNUMBER(_xlfn.XMATCH(CONTROL[[#This Row],[VEHIDCODE]],TRACK_TYPES[VEHIDCODE],0))</f>
        <v>1</v>
      </c>
      <c r="K640" t="b">
        <f>ISNUMBER(_xlfn.XMATCH(CONTROL[[#This Row],[VEHIDCODE]],PROPERTIES[VEHIDCODE],0))</f>
        <v>1</v>
      </c>
      <c r="L640" t="b">
        <f>ISNUMBER(_xlfn.XLOOKUP(CONTROL[[#This Row],[VEHIDCODE]],roster!A:A,roster!D:D))</f>
        <v>1</v>
      </c>
      <c r="M640" t="b">
        <f>ISNUMBER(_xlfn.XMATCH(CONTROL[[#This Row],[VEHIDCODE]],GRAPHICS_PROPERTIES[VEHIDCODE],0))</f>
        <v>1</v>
      </c>
      <c r="N640" s="21" t="str">
        <f>"item_"&amp;CONTROL[[#This Row],[VEHIDCODE]]</f>
        <v>item_electric_Zuzhou_KZ4A</v>
      </c>
      <c r="O640" s="21" t="str">
        <f>"str_"&amp;CONTROL[[#This Row],[VEHIDCODE]]</f>
        <v>str_electric_Zuzhou_KZ4A</v>
      </c>
      <c r="P640" s="7" t="b">
        <f>_xlfn.XLOOKUP(CONTROL[[#This Row],[VEHIDCODE]],PROPERTIES[VEHIDCODE],PROPERTIES[IS_CONCEPT])="IS_CONCEPT"</f>
        <v>0</v>
      </c>
      <c r="Q640" s="7" t="b">
        <f>_xlfn.XLOOKUP(CONTROL[[#This Row],[VEHIDCODE]],PROPERTIES[VEHIDCODE],PROPERTIES[EXCLUDE])</f>
        <v>0</v>
      </c>
      <c r="R640" t="str" cm="1">
        <f t="array" ref="R640">_xlfn.XLOOKUP(CONTROL[[#This Row],[VEHIDCODE]],GRAPHICS_PROPERTIES[VEHIDCODE],GRAPHICS_PROPERTIES[TEMPLATE_ID]&amp;GRAPHICS_PROPERTIES[TEMPLATE_AMENDMENT_CODE])</f>
        <v>TPL_01A</v>
      </c>
    </row>
    <row r="641" spans="1:18" x14ac:dyDescent="0.35">
      <c r="A641" s="2" t="s">
        <v>3258</v>
      </c>
      <c r="B641" s="21" t="str">
        <f>_xlfn.TEXTAFTER(CONTROL[[#This Row],[VEHIDCODE]],"_")</f>
        <v>Alstom_KZ8A</v>
      </c>
      <c r="C641" t="str" cm="1">
        <f t="array" ref="C6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41" t="str" cm="1">
        <f t="array" ref="D6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41">
        <v>6095</v>
      </c>
      <c r="F641" s="32" t="s">
        <v>2383</v>
      </c>
      <c r="G641" t="s">
        <v>1611</v>
      </c>
      <c r="H641" s="2" t="b">
        <f>AND(CONTROL[[#This Row],[IS_WAGON_OR_COACH]]=TRUE,OR(RIGHT(CONTROL[[#This Row],[VEHIDCODE]],7)="Powered",RIGHT(CONTROL[[#This Row],[VEHIDCODE]],9)="Unpowered"))</f>
        <v>0</v>
      </c>
      <c r="I6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1" t="b">
        <f>ISNUMBER(_xlfn.XMATCH(CONTROL[[#This Row],[VEHIDCODE]],TRACK_TYPES[VEHIDCODE],0))</f>
        <v>1</v>
      </c>
      <c r="K641" t="b">
        <f>ISNUMBER(_xlfn.XMATCH(CONTROL[[#This Row],[VEHIDCODE]],PROPERTIES[VEHIDCODE],0))</f>
        <v>1</v>
      </c>
      <c r="L641" t="b">
        <f>ISNUMBER(_xlfn.XLOOKUP(CONTROL[[#This Row],[VEHIDCODE]],roster!A:A,roster!D:D))</f>
        <v>1</v>
      </c>
      <c r="M641" t="b">
        <f>ISNUMBER(_xlfn.XMATCH(CONTROL[[#This Row],[VEHIDCODE]],GRAPHICS_PROPERTIES[VEHIDCODE],0))</f>
        <v>1</v>
      </c>
      <c r="N641" s="21" t="str">
        <f>"item_"&amp;CONTROL[[#This Row],[VEHIDCODE]]</f>
        <v>item_electric_Alstom_KZ8A</v>
      </c>
      <c r="O641" s="21" t="str">
        <f>"str_"&amp;CONTROL[[#This Row],[VEHIDCODE]]</f>
        <v>str_electric_Alstom_KZ8A</v>
      </c>
      <c r="P641" s="7" t="b">
        <f>_xlfn.XLOOKUP(CONTROL[[#This Row],[VEHIDCODE]],PROPERTIES[VEHIDCODE],PROPERTIES[IS_CONCEPT])="IS_CONCEPT"</f>
        <v>0</v>
      </c>
      <c r="Q641" s="7" t="b">
        <f>_xlfn.XLOOKUP(CONTROL[[#This Row],[VEHIDCODE]],PROPERTIES[VEHIDCODE],PROPERTIES[EXCLUDE])</f>
        <v>0</v>
      </c>
      <c r="R641" t="str" cm="1">
        <f t="array" ref="R641">_xlfn.XLOOKUP(CONTROL[[#This Row],[VEHIDCODE]],GRAPHICS_PROPERTIES[VEHIDCODE],GRAPHICS_PROPERTIES[TEMPLATE_ID]&amp;GRAPHICS_PROPERTIES[TEMPLATE_AMENDMENT_CODE])</f>
        <v>TPL_03D</v>
      </c>
    </row>
    <row r="642" spans="1:18" x14ac:dyDescent="0.35">
      <c r="A642" s="2" t="s">
        <v>3259</v>
      </c>
      <c r="B642" s="21" t="str">
        <f>_xlfn.TEXTAFTER(CONTROL[[#This Row],[VEHIDCODE]],"_")</f>
        <v>TRTrans_NEVZ_EP20</v>
      </c>
      <c r="C642" t="str" cm="1">
        <f t="array" ref="C6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42" t="str" cm="1">
        <f t="array" ref="D6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42">
        <v>6092</v>
      </c>
      <c r="F642" s="32" t="s">
        <v>2429</v>
      </c>
      <c r="G642" t="s">
        <v>1612</v>
      </c>
      <c r="H642" s="2" t="b">
        <f>AND(CONTROL[[#This Row],[IS_WAGON_OR_COACH]]=TRUE,OR(RIGHT(CONTROL[[#This Row],[VEHIDCODE]],7)="Powered",RIGHT(CONTROL[[#This Row],[VEHIDCODE]],9)="Unpowered"))</f>
        <v>0</v>
      </c>
      <c r="I6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2" t="b">
        <f>ISNUMBER(_xlfn.XMATCH(CONTROL[[#This Row],[VEHIDCODE]],TRACK_TYPES[VEHIDCODE],0))</f>
        <v>1</v>
      </c>
      <c r="K642" t="b">
        <f>ISNUMBER(_xlfn.XMATCH(CONTROL[[#This Row],[VEHIDCODE]],PROPERTIES[VEHIDCODE],0))</f>
        <v>1</v>
      </c>
      <c r="L642" t="b">
        <f>ISNUMBER(_xlfn.XLOOKUP(CONTROL[[#This Row],[VEHIDCODE]],roster!A:A,roster!D:D))</f>
        <v>1</v>
      </c>
      <c r="M642" t="b">
        <f>ISNUMBER(_xlfn.XMATCH(CONTROL[[#This Row],[VEHIDCODE]],GRAPHICS_PROPERTIES[VEHIDCODE],0))</f>
        <v>1</v>
      </c>
      <c r="N642" s="21" t="str">
        <f>"item_"&amp;CONTROL[[#This Row],[VEHIDCODE]]</f>
        <v>item_electric_TRTrans_NEVZ_EP20</v>
      </c>
      <c r="O642" s="21" t="str">
        <f>"str_"&amp;CONTROL[[#This Row],[VEHIDCODE]]</f>
        <v>str_electric_TRTrans_NEVZ_EP20</v>
      </c>
      <c r="P642" s="7" t="b">
        <f>_xlfn.XLOOKUP(CONTROL[[#This Row],[VEHIDCODE]],PROPERTIES[VEHIDCODE],PROPERTIES[IS_CONCEPT])="IS_CONCEPT"</f>
        <v>0</v>
      </c>
      <c r="Q642" s="7" t="b">
        <f>_xlfn.XLOOKUP(CONTROL[[#This Row],[VEHIDCODE]],PROPERTIES[VEHIDCODE],PROPERTIES[EXCLUDE])</f>
        <v>0</v>
      </c>
      <c r="R642" t="str" cm="1">
        <f t="array" ref="R642">_xlfn.XLOOKUP(CONTROL[[#This Row],[VEHIDCODE]],GRAPHICS_PROPERTIES[VEHIDCODE],GRAPHICS_PROPERTIES[TEMPLATE_ID]&amp;GRAPHICS_PROPERTIES[TEMPLATE_AMENDMENT_CODE])</f>
        <v>TPL_01A</v>
      </c>
    </row>
    <row r="643" spans="1:18" x14ac:dyDescent="0.35">
      <c r="A643" s="2" t="s">
        <v>3260</v>
      </c>
      <c r="B643" s="21" t="str">
        <f>_xlfn.TEXTAFTER(CONTROL[[#This Row],[VEHIDCODE]],"_")</f>
        <v>Valmet_Dm7</v>
      </c>
      <c r="C643" t="str" cm="1">
        <f t="array" ref="C6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643" t="str" cm="1">
        <f t="array" ref="D6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643">
        <v>2010</v>
      </c>
      <c r="F643" s="32" t="s">
        <v>2430</v>
      </c>
      <c r="G643" t="s">
        <v>1613</v>
      </c>
      <c r="H643" s="2" t="b">
        <f>AND(CONTROL[[#This Row],[IS_WAGON_OR_COACH]]=TRUE,OR(RIGHT(CONTROL[[#This Row],[VEHIDCODE]],7)="Powered",RIGHT(CONTROL[[#This Row],[VEHIDCODE]],9)="Unpowered"))</f>
        <v>0</v>
      </c>
      <c r="I6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3" t="b">
        <f>ISNUMBER(_xlfn.XMATCH(CONTROL[[#This Row],[VEHIDCODE]],TRACK_TYPES[VEHIDCODE],0))</f>
        <v>1</v>
      </c>
      <c r="K643" t="b">
        <f>ISNUMBER(_xlfn.XMATCH(CONTROL[[#This Row],[VEHIDCODE]],PROPERTIES[VEHIDCODE],0))</f>
        <v>1</v>
      </c>
      <c r="L643" t="b">
        <f>ISNUMBER(_xlfn.XLOOKUP(CONTROL[[#This Row],[VEHIDCODE]],roster!A:A,roster!D:D))</f>
        <v>1</v>
      </c>
      <c r="M643" t="b">
        <f>ISNUMBER(_xlfn.XMATCH(CONTROL[[#This Row],[VEHIDCODE]],GRAPHICS_PROPERTIES[VEHIDCODE],0))</f>
        <v>1</v>
      </c>
      <c r="N643" s="21" t="str">
        <f>"item_"&amp;CONTROL[[#This Row],[VEHIDCODE]]</f>
        <v>item_rbd_Valmet_Dm7</v>
      </c>
      <c r="O643" s="21" t="str">
        <f>"str_"&amp;CONTROL[[#This Row],[VEHIDCODE]]</f>
        <v>str_rbd_Valmet_Dm7</v>
      </c>
      <c r="P643" s="7" t="b">
        <f>_xlfn.XLOOKUP(CONTROL[[#This Row],[VEHIDCODE]],PROPERTIES[VEHIDCODE],PROPERTIES[IS_CONCEPT])="IS_CONCEPT"</f>
        <v>0</v>
      </c>
      <c r="Q643" s="7" t="b">
        <f>_xlfn.XLOOKUP(CONTROL[[#This Row],[VEHIDCODE]],PROPERTIES[VEHIDCODE],PROPERTIES[EXCLUDE])</f>
        <v>0</v>
      </c>
      <c r="R643" t="str" cm="1">
        <f t="array" ref="R643">_xlfn.XLOOKUP(CONTROL[[#This Row],[VEHIDCODE]],GRAPHICS_PROPERTIES[VEHIDCODE],GRAPHICS_PROPERTIES[TEMPLATE_ID]&amp;GRAPHICS_PROPERTIES[TEMPLATE_AMENDMENT_CODE])</f>
        <v>TPL_01B</v>
      </c>
    </row>
    <row r="644" spans="1:18" x14ac:dyDescent="0.35">
      <c r="A644" s="2" t="s">
        <v>3261</v>
      </c>
      <c r="B644" s="21" t="str">
        <f>_xlfn.TEXTAFTER(CONTROL[[#This Row],[VEHIDCODE]],"_")</f>
        <v>Vagonka_Studenka_91M0_</v>
      </c>
      <c r="C644" t="str" cm="1">
        <f t="array" ref="C6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644" t="str" cm="1">
        <f t="array" ref="D6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644">
        <v>2011</v>
      </c>
      <c r="F644" s="32" t="s">
        <v>1974</v>
      </c>
      <c r="G644" t="s">
        <v>1614</v>
      </c>
      <c r="H644" s="2" t="b">
        <f>AND(CONTROL[[#This Row],[IS_WAGON_OR_COACH]]=TRUE,OR(RIGHT(CONTROL[[#This Row],[VEHIDCODE]],7)="Powered",RIGHT(CONTROL[[#This Row],[VEHIDCODE]],9)="Unpowered"))</f>
        <v>0</v>
      </c>
      <c r="I6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4" t="b">
        <f>ISNUMBER(_xlfn.XMATCH(CONTROL[[#This Row],[VEHIDCODE]],TRACK_TYPES[VEHIDCODE],0))</f>
        <v>1</v>
      </c>
      <c r="K644" t="b">
        <f>ISNUMBER(_xlfn.XMATCH(CONTROL[[#This Row],[VEHIDCODE]],PROPERTIES[VEHIDCODE],0))</f>
        <v>1</v>
      </c>
      <c r="L644" t="b">
        <f>ISNUMBER(_xlfn.XLOOKUP(CONTROL[[#This Row],[VEHIDCODE]],roster!A:A,roster!D:D))</f>
        <v>1</v>
      </c>
      <c r="M644" t="b">
        <f>ISNUMBER(_xlfn.XMATCH(CONTROL[[#This Row],[VEHIDCODE]],GRAPHICS_PROPERTIES[VEHIDCODE],0))</f>
        <v>1</v>
      </c>
      <c r="N644" s="21" t="str">
        <f>"item_"&amp;CONTROL[[#This Row],[VEHIDCODE]]</f>
        <v>item_rbd_Vagonka_Studenka_91M0_</v>
      </c>
      <c r="O644" s="21" t="str">
        <f>"str_"&amp;CONTROL[[#This Row],[VEHIDCODE]]</f>
        <v>str_rbd_Vagonka_Studenka_91M0_</v>
      </c>
      <c r="P644" s="7" t="b">
        <f>_xlfn.XLOOKUP(CONTROL[[#This Row],[VEHIDCODE]],PROPERTIES[VEHIDCODE],PROPERTIES[IS_CONCEPT])="IS_CONCEPT"</f>
        <v>0</v>
      </c>
      <c r="Q644" s="7" t="b">
        <f>_xlfn.XLOOKUP(CONTROL[[#This Row],[VEHIDCODE]],PROPERTIES[VEHIDCODE],PROPERTIES[EXCLUDE])</f>
        <v>0</v>
      </c>
      <c r="R644" t="str" cm="1">
        <f t="array" ref="R644">_xlfn.XLOOKUP(CONTROL[[#This Row],[VEHIDCODE]],GRAPHICS_PROPERTIES[VEHIDCODE],GRAPHICS_PROPERTIES[TEMPLATE_ID]&amp;GRAPHICS_PROPERTIES[TEMPLATE_AMENDMENT_CODE])</f>
        <v>TPL_01B</v>
      </c>
    </row>
    <row r="645" spans="1:18" x14ac:dyDescent="0.35">
      <c r="A645" s="2" t="s">
        <v>3262</v>
      </c>
      <c r="B645" s="21" t="str">
        <f>_xlfn.TEXTAFTER(CONTROL[[#This Row],[VEHIDCODE]],"_")</f>
        <v>RVR_ER200</v>
      </c>
      <c r="C645" t="str" cm="1">
        <f t="array" ref="C6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45" t="str" cm="1">
        <f t="array" ref="D6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45">
        <v>8063</v>
      </c>
      <c r="F645" s="32" t="s">
        <v>2387</v>
      </c>
      <c r="G645" t="s">
        <v>1594</v>
      </c>
      <c r="H645" s="2" t="b">
        <f>AND(CONTROL[[#This Row],[IS_WAGON_OR_COACH]]=TRUE,OR(RIGHT(CONTROL[[#This Row],[VEHIDCODE]],7)="Powered",RIGHT(CONTROL[[#This Row],[VEHIDCODE]],9)="Unpowered"))</f>
        <v>0</v>
      </c>
      <c r="I6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5" t="b">
        <f>ISNUMBER(_xlfn.XMATCH(CONTROL[[#This Row],[VEHIDCODE]],TRACK_TYPES[VEHIDCODE],0))</f>
        <v>1</v>
      </c>
      <c r="K645" t="b">
        <f>ISNUMBER(_xlfn.XMATCH(CONTROL[[#This Row],[VEHIDCODE]],PROPERTIES[VEHIDCODE],0))</f>
        <v>1</v>
      </c>
      <c r="L645" t="b">
        <f>ISNUMBER(_xlfn.XLOOKUP(CONTROL[[#This Row],[VEHIDCODE]],roster!A:A,roster!D:D))</f>
        <v>1</v>
      </c>
      <c r="M645" t="b">
        <f>ISNUMBER(_xlfn.XMATCH(CONTROL[[#This Row],[VEHIDCODE]],GRAPHICS_PROPERTIES[VEHIDCODE],0))</f>
        <v>1</v>
      </c>
      <c r="N645" s="21" t="str">
        <f>"item_"&amp;CONTROL[[#This Row],[VEHIDCODE]]</f>
        <v>item_emu_RVR_ER200</v>
      </c>
      <c r="O645" s="21" t="str">
        <f>"str_"&amp;CONTROL[[#This Row],[VEHIDCODE]]</f>
        <v>str_emu_RVR_ER200</v>
      </c>
      <c r="P645" s="7" t="b">
        <f>_xlfn.XLOOKUP(CONTROL[[#This Row],[VEHIDCODE]],PROPERTIES[VEHIDCODE],PROPERTIES[IS_CONCEPT])="IS_CONCEPT"</f>
        <v>0</v>
      </c>
      <c r="Q645" s="7" t="b">
        <f>_xlfn.XLOOKUP(CONTROL[[#This Row],[VEHIDCODE]],PROPERTIES[VEHIDCODE],PROPERTIES[EXCLUDE])</f>
        <v>0</v>
      </c>
      <c r="R645" t="str" cm="1">
        <f t="array" ref="R645">_xlfn.XLOOKUP(CONTROL[[#This Row],[VEHIDCODE]],GRAPHICS_PROPERTIES[VEHIDCODE],GRAPHICS_PROPERTIES[TEMPLATE_ID]&amp;GRAPHICS_PROPERTIES[TEMPLATE_AMENDMENT_CODE])</f>
        <v>TPL_02D</v>
      </c>
    </row>
    <row r="646" spans="1:18" x14ac:dyDescent="0.35">
      <c r="A646" s="2" t="s">
        <v>3263</v>
      </c>
      <c r="B646" s="21" t="str">
        <f>_xlfn.TEXTAFTER(CONTROL[[#This Row],[VEHIDCODE]],"_")</f>
        <v>MMZ_S</v>
      </c>
      <c r="C646" t="str" cm="1">
        <f t="array" ref="C6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46" t="str" cm="1">
        <f t="array" ref="D6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46">
        <v>8059</v>
      </c>
      <c r="F646" s="32" t="s">
        <v>2431</v>
      </c>
      <c r="G646" t="s">
        <v>1595</v>
      </c>
      <c r="H646" s="2" t="b">
        <f>AND(CONTROL[[#This Row],[IS_WAGON_OR_COACH]]=TRUE,OR(RIGHT(CONTROL[[#This Row],[VEHIDCODE]],7)="Powered",RIGHT(CONTROL[[#This Row],[VEHIDCODE]],9)="Unpowered"))</f>
        <v>0</v>
      </c>
      <c r="I6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6" t="b">
        <f>ISNUMBER(_xlfn.XMATCH(CONTROL[[#This Row],[VEHIDCODE]],TRACK_TYPES[VEHIDCODE],0))</f>
        <v>1</v>
      </c>
      <c r="K646" t="b">
        <f>ISNUMBER(_xlfn.XMATCH(CONTROL[[#This Row],[VEHIDCODE]],PROPERTIES[VEHIDCODE],0))</f>
        <v>1</v>
      </c>
      <c r="L646" t="b">
        <f>ISNUMBER(_xlfn.XLOOKUP(CONTROL[[#This Row],[VEHIDCODE]],roster!A:A,roster!D:D))</f>
        <v>1</v>
      </c>
      <c r="M646" t="b">
        <f>ISNUMBER(_xlfn.XMATCH(CONTROL[[#This Row],[VEHIDCODE]],GRAPHICS_PROPERTIES[VEHIDCODE],0))</f>
        <v>1</v>
      </c>
      <c r="N646" s="21" t="str">
        <f>"item_"&amp;CONTROL[[#This Row],[VEHIDCODE]]</f>
        <v>item_emu_MMZ_S</v>
      </c>
      <c r="O646" s="21" t="str">
        <f>"str_"&amp;CONTROL[[#This Row],[VEHIDCODE]]</f>
        <v>str_emu_MMZ_S</v>
      </c>
      <c r="P646" s="7" t="b">
        <f>_xlfn.XLOOKUP(CONTROL[[#This Row],[VEHIDCODE]],PROPERTIES[VEHIDCODE],PROPERTIES[IS_CONCEPT])="IS_CONCEPT"</f>
        <v>0</v>
      </c>
      <c r="Q646" s="7" t="b">
        <f>_xlfn.XLOOKUP(CONTROL[[#This Row],[VEHIDCODE]],PROPERTIES[VEHIDCODE],PROPERTIES[EXCLUDE])</f>
        <v>0</v>
      </c>
      <c r="R646" t="str" cm="1">
        <f t="array" ref="R646">_xlfn.XLOOKUP(CONTROL[[#This Row],[VEHIDCODE]],GRAPHICS_PROPERTIES[VEHIDCODE],GRAPHICS_PROPERTIES[TEMPLATE_ID]&amp;GRAPHICS_PROPERTIES[TEMPLATE_AMENDMENT_CODE])</f>
        <v>TPL_02D</v>
      </c>
    </row>
    <row r="647" spans="1:18" x14ac:dyDescent="0.35">
      <c r="A647" s="2" t="s">
        <v>3264</v>
      </c>
      <c r="B647" s="21" t="str">
        <f>_xlfn.TEXTAFTER(CONTROL[[#This Row],[VEHIDCODE]],"_")</f>
        <v>Koncar_6112</v>
      </c>
      <c r="C647" t="str" cm="1">
        <f t="array" ref="C6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47" t="str" cm="1">
        <f t="array" ref="D6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47">
        <v>8070</v>
      </c>
      <c r="F647" s="32" t="s">
        <v>2432</v>
      </c>
      <c r="G647" t="s">
        <v>1596</v>
      </c>
      <c r="H647" s="2" t="b">
        <f>AND(CONTROL[[#This Row],[IS_WAGON_OR_COACH]]=TRUE,OR(RIGHT(CONTROL[[#This Row],[VEHIDCODE]],7)="Powered",RIGHT(CONTROL[[#This Row],[VEHIDCODE]],9)="Unpowered"))</f>
        <v>0</v>
      </c>
      <c r="I6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7" t="b">
        <f>ISNUMBER(_xlfn.XMATCH(CONTROL[[#This Row],[VEHIDCODE]],TRACK_TYPES[VEHIDCODE],0))</f>
        <v>1</v>
      </c>
      <c r="K647" t="b">
        <f>ISNUMBER(_xlfn.XMATCH(CONTROL[[#This Row],[VEHIDCODE]],PROPERTIES[VEHIDCODE],0))</f>
        <v>1</v>
      </c>
      <c r="L647" t="b">
        <f>ISNUMBER(_xlfn.XLOOKUP(CONTROL[[#This Row],[VEHIDCODE]],roster!A:A,roster!D:D))</f>
        <v>1</v>
      </c>
      <c r="M647" t="b">
        <f>ISNUMBER(_xlfn.XMATCH(CONTROL[[#This Row],[VEHIDCODE]],GRAPHICS_PROPERTIES[VEHIDCODE],0))</f>
        <v>1</v>
      </c>
      <c r="N647" s="21" t="str">
        <f>"item_"&amp;CONTROL[[#This Row],[VEHIDCODE]]</f>
        <v>item_emu_Koncar_6112</v>
      </c>
      <c r="O647" s="21" t="str">
        <f>"str_"&amp;CONTROL[[#This Row],[VEHIDCODE]]</f>
        <v>str_emu_Koncar_6112</v>
      </c>
      <c r="P647" s="7" t="b">
        <f>_xlfn.XLOOKUP(CONTROL[[#This Row],[VEHIDCODE]],PROPERTIES[VEHIDCODE],PROPERTIES[IS_CONCEPT])="IS_CONCEPT"</f>
        <v>0</v>
      </c>
      <c r="Q647" s="7" t="b">
        <f>_xlfn.XLOOKUP(CONTROL[[#This Row],[VEHIDCODE]],PROPERTIES[VEHIDCODE],PROPERTIES[EXCLUDE])</f>
        <v>0</v>
      </c>
      <c r="R647" t="str" cm="1">
        <f t="array" ref="R647">_xlfn.XLOOKUP(CONTROL[[#This Row],[VEHIDCODE]],GRAPHICS_PROPERTIES[VEHIDCODE],GRAPHICS_PROPERTIES[TEMPLATE_ID]&amp;GRAPHICS_PROPERTIES[TEMPLATE_AMENDMENT_CODE])</f>
        <v>TPL_02A</v>
      </c>
    </row>
    <row r="648" spans="1:18" x14ac:dyDescent="0.35">
      <c r="A648" s="2" t="s">
        <v>3265</v>
      </c>
      <c r="B648" s="21" t="str">
        <f>_xlfn.TEXTAFTER(CONTROL[[#This Row],[VEHIDCODE]],"_")</f>
        <v>Siemens_Desiro_ES1_Lastochka</v>
      </c>
      <c r="C648" t="str" cm="1">
        <f t="array" ref="C6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48" t="str" cm="1">
        <f t="array" ref="D6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48">
        <v>8068</v>
      </c>
      <c r="F648" s="32" t="s">
        <v>2433</v>
      </c>
      <c r="G648" t="s">
        <v>1597</v>
      </c>
      <c r="H648" s="2" t="b">
        <f>AND(CONTROL[[#This Row],[IS_WAGON_OR_COACH]]=TRUE,OR(RIGHT(CONTROL[[#This Row],[VEHIDCODE]],7)="Powered",RIGHT(CONTROL[[#This Row],[VEHIDCODE]],9)="Unpowered"))</f>
        <v>0</v>
      </c>
      <c r="I6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8" t="b">
        <f>ISNUMBER(_xlfn.XMATCH(CONTROL[[#This Row],[VEHIDCODE]],TRACK_TYPES[VEHIDCODE],0))</f>
        <v>1</v>
      </c>
      <c r="K648" t="b">
        <f>ISNUMBER(_xlfn.XMATCH(CONTROL[[#This Row],[VEHIDCODE]],PROPERTIES[VEHIDCODE],0))</f>
        <v>1</v>
      </c>
      <c r="L648" t="b">
        <f>ISNUMBER(_xlfn.XLOOKUP(CONTROL[[#This Row],[VEHIDCODE]],roster!A:A,roster!D:D))</f>
        <v>1</v>
      </c>
      <c r="M648" t="b">
        <f>ISNUMBER(_xlfn.XMATCH(CONTROL[[#This Row],[VEHIDCODE]],GRAPHICS_PROPERTIES[VEHIDCODE],0))</f>
        <v>1</v>
      </c>
      <c r="N648" s="21" t="str">
        <f>"item_"&amp;CONTROL[[#This Row],[VEHIDCODE]]</f>
        <v>item_emu_Siemens_Desiro_ES1_Lastochka</v>
      </c>
      <c r="O648" s="21" t="str">
        <f>"str_"&amp;CONTROL[[#This Row],[VEHIDCODE]]</f>
        <v>str_emu_Siemens_Desiro_ES1_Lastochka</v>
      </c>
      <c r="P648" s="7" t="b">
        <f>_xlfn.XLOOKUP(CONTROL[[#This Row],[VEHIDCODE]],PROPERTIES[VEHIDCODE],PROPERTIES[IS_CONCEPT])="IS_CONCEPT"</f>
        <v>0</v>
      </c>
      <c r="Q648" s="7" t="b">
        <f>_xlfn.XLOOKUP(CONTROL[[#This Row],[VEHIDCODE]],PROPERTIES[VEHIDCODE],PROPERTIES[EXCLUDE])</f>
        <v>0</v>
      </c>
      <c r="R648" t="str" cm="1">
        <f t="array" ref="R648">_xlfn.XLOOKUP(CONTROL[[#This Row],[VEHIDCODE]],GRAPHICS_PROPERTIES[VEHIDCODE],GRAPHICS_PROPERTIES[TEMPLATE_ID]&amp;GRAPHICS_PROPERTIES[TEMPLATE_AMENDMENT_CODE])</f>
        <v>TPL_02D</v>
      </c>
    </row>
    <row r="649" spans="1:18" x14ac:dyDescent="0.35">
      <c r="A649" s="2" t="s">
        <v>74</v>
      </c>
      <c r="B649" s="21" t="str">
        <f>_xlfn.TEXTAFTER(CONTROL[[#This Row],[VEHIDCODE]],"_")</f>
        <v>Metro_Wagon_Powered</v>
      </c>
      <c r="C649" t="str" cm="1">
        <f t="array" ref="C6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49" t="str" cm="1">
        <f t="array" ref="D6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ID_RANGE_UNIT_WAGONS_MTRO</v>
      </c>
      <c r="E649">
        <v>13003</v>
      </c>
      <c r="F649" s="32" t="s">
        <v>400</v>
      </c>
      <c r="G649" t="s">
        <v>523</v>
      </c>
      <c r="H649" s="2" t="b">
        <f>AND(CONTROL[[#This Row],[IS_WAGON_OR_COACH]]=TRUE,OR(RIGHT(CONTROL[[#This Row],[VEHIDCODE]],7)="Powered",RIGHT(CONTROL[[#This Row],[VEHIDCODE]],9)="Unpowered"))</f>
        <v>1</v>
      </c>
      <c r="I6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49" t="b">
        <f>ISNUMBER(_xlfn.XMATCH(CONTROL[[#This Row],[VEHIDCODE]],TRACK_TYPES[VEHIDCODE],0))</f>
        <v>1</v>
      </c>
      <c r="K649" t="b">
        <f>ISNUMBER(_xlfn.XMATCH(CONTROL[[#This Row],[VEHIDCODE]],PROPERTIES[VEHIDCODE],0))</f>
        <v>1</v>
      </c>
      <c r="L649" t="b">
        <f>ISNUMBER(_xlfn.XLOOKUP(CONTROL[[#This Row],[VEHIDCODE]],roster!A:A,roster!D:D))</f>
        <v>1</v>
      </c>
      <c r="M649" t="b">
        <f>ISNUMBER(_xlfn.XMATCH(CONTROL[[#This Row],[VEHIDCODE]],GRAPHICS_PROPERTIES[VEHIDCODE],0))</f>
        <v>1</v>
      </c>
      <c r="N649" s="21" t="str">
        <f>"item_"&amp;CONTROL[[#This Row],[VEHIDCODE]]</f>
        <v>item_mtro_Metro_Wagon_Powered</v>
      </c>
      <c r="O649" s="21" t="str">
        <f>"str_"&amp;CONTROL[[#This Row],[VEHIDCODE]]</f>
        <v>str_mtro_Metro_Wagon_Powered</v>
      </c>
      <c r="P649" s="7" t="b">
        <f>_xlfn.XLOOKUP(CONTROL[[#This Row],[VEHIDCODE]],PROPERTIES[VEHIDCODE],PROPERTIES[IS_CONCEPT])="IS_CONCEPT"</f>
        <v>0</v>
      </c>
      <c r="Q649" s="7" t="b">
        <f>_xlfn.XLOOKUP(CONTROL[[#This Row],[VEHIDCODE]],PROPERTIES[VEHIDCODE],PROPERTIES[EXCLUDE])</f>
        <v>0</v>
      </c>
      <c r="R649" t="str" cm="1">
        <f t="array" ref="R649">_xlfn.XLOOKUP(CONTROL[[#This Row],[VEHIDCODE]],GRAPHICS_PROPERTIES[VEHIDCODE],GRAPHICS_PROPERTIES[TEMPLATE_ID]&amp;GRAPHICS_PROPERTIES[TEMPLATE_AMENDMENT_CODE])</f>
        <v>TPL_01F</v>
      </c>
    </row>
    <row r="650" spans="1:18" x14ac:dyDescent="0.35">
      <c r="A650" s="2" t="s">
        <v>73</v>
      </c>
      <c r="B650" s="21" t="str">
        <f>_xlfn.TEXTAFTER(CONTROL[[#This Row],[VEHIDCODE]],"_")</f>
        <v>Metro_Wagon_Unpowered</v>
      </c>
      <c r="C650" t="str" cm="1">
        <f t="array" ref="C6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50" t="str" cm="1">
        <f t="array" ref="D6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ID_RANGE_UNIT_WAGONS_MTRO</v>
      </c>
      <c r="E650">
        <v>13002</v>
      </c>
      <c r="F650" s="32" t="s">
        <v>400</v>
      </c>
      <c r="G650" t="s">
        <v>523</v>
      </c>
      <c r="H650" s="2" t="b">
        <f>AND(CONTROL[[#This Row],[IS_WAGON_OR_COACH]]=TRUE,OR(RIGHT(CONTROL[[#This Row],[VEHIDCODE]],7)="Powered",RIGHT(CONTROL[[#This Row],[VEHIDCODE]],9)="Unpowered"))</f>
        <v>1</v>
      </c>
      <c r="I6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0" t="b">
        <f>ISNUMBER(_xlfn.XMATCH(CONTROL[[#This Row],[VEHIDCODE]],TRACK_TYPES[VEHIDCODE],0))</f>
        <v>1</v>
      </c>
      <c r="K650" t="b">
        <f>ISNUMBER(_xlfn.XMATCH(CONTROL[[#This Row],[VEHIDCODE]],PROPERTIES[VEHIDCODE],0))</f>
        <v>1</v>
      </c>
      <c r="L650" t="b">
        <f>ISNUMBER(_xlfn.XLOOKUP(CONTROL[[#This Row],[VEHIDCODE]],roster!A:A,roster!D:D))</f>
        <v>1</v>
      </c>
      <c r="M650" t="b">
        <f>ISNUMBER(_xlfn.XMATCH(CONTROL[[#This Row],[VEHIDCODE]],GRAPHICS_PROPERTIES[VEHIDCODE],0))</f>
        <v>1</v>
      </c>
      <c r="N650" s="21" t="str">
        <f>"item_"&amp;CONTROL[[#This Row],[VEHIDCODE]]</f>
        <v>item_mtro_Metro_Wagon_Unpowered</v>
      </c>
      <c r="O650" s="21" t="str">
        <f>"str_"&amp;CONTROL[[#This Row],[VEHIDCODE]]</f>
        <v>str_mtro_Metro_Wagon_Unpowered</v>
      </c>
      <c r="P650" s="7" t="b">
        <f>_xlfn.XLOOKUP(CONTROL[[#This Row],[VEHIDCODE]],PROPERTIES[VEHIDCODE],PROPERTIES[IS_CONCEPT])="IS_CONCEPT"</f>
        <v>0</v>
      </c>
      <c r="Q650" s="7" t="b">
        <f>_xlfn.XLOOKUP(CONTROL[[#This Row],[VEHIDCODE]],PROPERTIES[VEHIDCODE],PROPERTIES[EXCLUDE])</f>
        <v>0</v>
      </c>
      <c r="R650" t="str" cm="1">
        <f t="array" ref="R650">_xlfn.XLOOKUP(CONTROL[[#This Row],[VEHIDCODE]],GRAPHICS_PROPERTIES[VEHIDCODE],GRAPHICS_PROPERTIES[TEMPLATE_ID]&amp;GRAPHICS_PROPERTIES[TEMPLATE_AMENDMENT_CODE])</f>
        <v>TPL_01F</v>
      </c>
    </row>
    <row r="651" spans="1:18" x14ac:dyDescent="0.35">
      <c r="A651" s="2" t="s">
        <v>75</v>
      </c>
      <c r="B651" s="21" t="str">
        <f>_xlfn.TEXTAFTER(CONTROL[[#This Row],[VEHIDCODE]],"_")</f>
        <v>MU_Cargo_Wagon_Powered</v>
      </c>
      <c r="C651" t="str" cm="1">
        <f t="array" ref="C6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51" t="str" cm="1">
        <f t="array" ref="D6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ID_RANGE_UNIT_WAGONS_RAIL_CARGO</v>
      </c>
      <c r="E651">
        <v>13007</v>
      </c>
      <c r="F651" s="32" t="s">
        <v>401</v>
      </c>
      <c r="G651" t="s">
        <v>523</v>
      </c>
      <c r="H651" s="2" t="b">
        <f>AND(CONTROL[[#This Row],[IS_WAGON_OR_COACH]]=TRUE,OR(RIGHT(CONTROL[[#This Row],[VEHIDCODE]],7)="Powered",RIGHT(CONTROL[[#This Row],[VEHIDCODE]],9)="Unpowered"))</f>
        <v>1</v>
      </c>
      <c r="I6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1" t="b">
        <f>ISNUMBER(_xlfn.XMATCH(CONTROL[[#This Row],[VEHIDCODE]],TRACK_TYPES[VEHIDCODE],0))</f>
        <v>1</v>
      </c>
      <c r="K651" t="b">
        <f>ISNUMBER(_xlfn.XMATCH(CONTROL[[#This Row],[VEHIDCODE]],PROPERTIES[VEHIDCODE],0))</f>
        <v>1</v>
      </c>
      <c r="L651" t="b">
        <f>ISNUMBER(_xlfn.XLOOKUP(CONTROL[[#This Row],[VEHIDCODE]],roster!A:A,roster!D:D))</f>
        <v>1</v>
      </c>
      <c r="M651" t="b">
        <f>ISNUMBER(_xlfn.XMATCH(CONTROL[[#This Row],[VEHIDCODE]],GRAPHICS_PROPERTIES[VEHIDCODE],0))</f>
        <v>1</v>
      </c>
      <c r="N651" s="21" t="str">
        <f>"item_"&amp;CONTROL[[#This Row],[VEHIDCODE]]</f>
        <v>item_mu_MU_Cargo_Wagon_Powered</v>
      </c>
      <c r="O651" s="21" t="str">
        <f>"str_"&amp;CONTROL[[#This Row],[VEHIDCODE]]</f>
        <v>str_mu_MU_Cargo_Wagon_Powered</v>
      </c>
      <c r="P651" s="7" t="b">
        <f>_xlfn.XLOOKUP(CONTROL[[#This Row],[VEHIDCODE]],PROPERTIES[VEHIDCODE],PROPERTIES[IS_CONCEPT])="IS_CONCEPT"</f>
        <v>0</v>
      </c>
      <c r="Q651" s="7" t="b">
        <f>_xlfn.XLOOKUP(CONTROL[[#This Row],[VEHIDCODE]],PROPERTIES[VEHIDCODE],PROPERTIES[EXCLUDE])</f>
        <v>0</v>
      </c>
      <c r="R651" t="str" cm="1">
        <f t="array" ref="R651">_xlfn.XLOOKUP(CONTROL[[#This Row],[VEHIDCODE]],GRAPHICS_PROPERTIES[VEHIDCODE],GRAPHICS_PROPERTIES[TEMPLATE_ID]&amp;GRAPHICS_PROPERTIES[TEMPLATE_AMENDMENT_CODE])</f>
        <v>TPL_01F</v>
      </c>
    </row>
    <row r="652" spans="1:18" x14ac:dyDescent="0.35">
      <c r="A652" s="2" t="s">
        <v>76</v>
      </c>
      <c r="B652" s="21" t="str">
        <f>_xlfn.TEXTAFTER(CONTROL[[#This Row],[VEHIDCODE]],"_")</f>
        <v>MU_Cargo_Wagon_Unpowered</v>
      </c>
      <c r="C652" t="str" cm="1">
        <f t="array" ref="C6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52" t="str" cm="1">
        <f t="array" ref="D6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ID_RANGE_UNIT_WAGONS_RAIL_CARGO</v>
      </c>
      <c r="E652">
        <v>13006</v>
      </c>
      <c r="F652" s="32" t="s">
        <v>401</v>
      </c>
      <c r="G652" t="s">
        <v>523</v>
      </c>
      <c r="H652" s="2" t="b">
        <f>AND(CONTROL[[#This Row],[IS_WAGON_OR_COACH]]=TRUE,OR(RIGHT(CONTROL[[#This Row],[VEHIDCODE]],7)="Powered",RIGHT(CONTROL[[#This Row],[VEHIDCODE]],9)="Unpowered"))</f>
        <v>1</v>
      </c>
      <c r="I6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2" t="b">
        <f>ISNUMBER(_xlfn.XMATCH(CONTROL[[#This Row],[VEHIDCODE]],TRACK_TYPES[VEHIDCODE],0))</f>
        <v>1</v>
      </c>
      <c r="K652" t="b">
        <f>ISNUMBER(_xlfn.XMATCH(CONTROL[[#This Row],[VEHIDCODE]],PROPERTIES[VEHIDCODE],0))</f>
        <v>1</v>
      </c>
      <c r="L652" t="b">
        <f>ISNUMBER(_xlfn.XLOOKUP(CONTROL[[#This Row],[VEHIDCODE]],roster!A:A,roster!D:D))</f>
        <v>1</v>
      </c>
      <c r="M652" t="b">
        <f>ISNUMBER(_xlfn.XMATCH(CONTROL[[#This Row],[VEHIDCODE]],GRAPHICS_PROPERTIES[VEHIDCODE],0))</f>
        <v>1</v>
      </c>
      <c r="N652" s="21" t="str">
        <f>"item_"&amp;CONTROL[[#This Row],[VEHIDCODE]]</f>
        <v>item_mu_MU_Cargo_Wagon_Unpowered</v>
      </c>
      <c r="O652" s="21" t="str">
        <f>"str_"&amp;CONTROL[[#This Row],[VEHIDCODE]]</f>
        <v>str_mu_MU_Cargo_Wagon_Unpowered</v>
      </c>
      <c r="P652" s="7" t="b">
        <f>_xlfn.XLOOKUP(CONTROL[[#This Row],[VEHIDCODE]],PROPERTIES[VEHIDCODE],PROPERTIES[IS_CONCEPT])="IS_CONCEPT"</f>
        <v>0</v>
      </c>
      <c r="Q652" s="7" t="b">
        <f>_xlfn.XLOOKUP(CONTROL[[#This Row],[VEHIDCODE]],PROPERTIES[VEHIDCODE],PROPERTIES[EXCLUDE])</f>
        <v>0</v>
      </c>
      <c r="R652" t="str" cm="1">
        <f t="array" ref="R652">_xlfn.XLOOKUP(CONTROL[[#This Row],[VEHIDCODE]],GRAPHICS_PROPERTIES[VEHIDCODE],GRAPHICS_PROPERTIES[TEMPLATE_ID]&amp;GRAPHICS_PROPERTIES[TEMPLATE_AMENDMENT_CODE])</f>
        <v>TPL_01F</v>
      </c>
    </row>
    <row r="653" spans="1:18" x14ac:dyDescent="0.35">
      <c r="A653" s="2" t="s">
        <v>77</v>
      </c>
      <c r="B653" s="21" t="str">
        <f>_xlfn.TEXTAFTER(CONTROL[[#This Row],[VEHIDCODE]],"_")</f>
        <v>MU_Wagon_Powered</v>
      </c>
      <c r="C653" t="str" cm="1">
        <f t="array" ref="C6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53" t="str" cm="1">
        <f t="array" ref="D6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ID_RANGE_UNIT_WAGONS_RAIL</v>
      </c>
      <c r="E653">
        <v>13001</v>
      </c>
      <c r="F653" s="32" t="s">
        <v>402</v>
      </c>
      <c r="G653" t="s">
        <v>523</v>
      </c>
      <c r="H653" s="2" t="b">
        <f>AND(CONTROL[[#This Row],[IS_WAGON_OR_COACH]]=TRUE,OR(RIGHT(CONTROL[[#This Row],[VEHIDCODE]],7)="Powered",RIGHT(CONTROL[[#This Row],[VEHIDCODE]],9)="Unpowered"))</f>
        <v>1</v>
      </c>
      <c r="I6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3" t="b">
        <f>ISNUMBER(_xlfn.XMATCH(CONTROL[[#This Row],[VEHIDCODE]],TRACK_TYPES[VEHIDCODE],0))</f>
        <v>1</v>
      </c>
      <c r="K653" t="b">
        <f>ISNUMBER(_xlfn.XMATCH(CONTROL[[#This Row],[VEHIDCODE]],PROPERTIES[VEHIDCODE],0))</f>
        <v>1</v>
      </c>
      <c r="L653" t="b">
        <f>ISNUMBER(_xlfn.XLOOKUP(CONTROL[[#This Row],[VEHIDCODE]],roster!A:A,roster!D:D))</f>
        <v>1</v>
      </c>
      <c r="M653" t="b">
        <f>ISNUMBER(_xlfn.XMATCH(CONTROL[[#This Row],[VEHIDCODE]],GRAPHICS_PROPERTIES[VEHIDCODE],0))</f>
        <v>1</v>
      </c>
      <c r="N653" s="21" t="str">
        <f>"item_"&amp;CONTROL[[#This Row],[VEHIDCODE]]</f>
        <v>item_mu_MU_Wagon_Powered</v>
      </c>
      <c r="O653" s="21" t="str">
        <f>"str_"&amp;CONTROL[[#This Row],[VEHIDCODE]]</f>
        <v>str_mu_MU_Wagon_Powered</v>
      </c>
      <c r="P653" s="7" t="b">
        <f>_xlfn.XLOOKUP(CONTROL[[#This Row],[VEHIDCODE]],PROPERTIES[VEHIDCODE],PROPERTIES[IS_CONCEPT])="IS_CONCEPT"</f>
        <v>0</v>
      </c>
      <c r="Q653" s="7" t="b">
        <f>_xlfn.XLOOKUP(CONTROL[[#This Row],[VEHIDCODE]],PROPERTIES[VEHIDCODE],PROPERTIES[EXCLUDE])</f>
        <v>0</v>
      </c>
      <c r="R653" t="str" cm="1">
        <f t="array" ref="R653">_xlfn.XLOOKUP(CONTROL[[#This Row],[VEHIDCODE]],GRAPHICS_PROPERTIES[VEHIDCODE],GRAPHICS_PROPERTIES[TEMPLATE_ID]&amp;GRAPHICS_PROPERTIES[TEMPLATE_AMENDMENT_CODE])</f>
        <v>TPL_01F</v>
      </c>
    </row>
    <row r="654" spans="1:18" x14ac:dyDescent="0.35">
      <c r="A654" s="2" t="s">
        <v>78</v>
      </c>
      <c r="B654" s="21" t="str">
        <f>_xlfn.TEXTAFTER(CONTROL[[#This Row],[VEHIDCODE]],"_")</f>
        <v>MU_Wagon_Unpowered</v>
      </c>
      <c r="C654" t="str" cm="1">
        <f t="array" ref="C6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54" t="str" cm="1">
        <f t="array" ref="D6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ID_RANGE_UNIT_WAGONS_RAIL</v>
      </c>
      <c r="E654">
        <v>13000</v>
      </c>
      <c r="F654" s="32" t="s">
        <v>402</v>
      </c>
      <c r="G654" t="s">
        <v>523</v>
      </c>
      <c r="H654" s="2" t="b">
        <f>AND(CONTROL[[#This Row],[IS_WAGON_OR_COACH]]=TRUE,OR(RIGHT(CONTROL[[#This Row],[VEHIDCODE]],7)="Powered",RIGHT(CONTROL[[#This Row],[VEHIDCODE]],9)="Unpowered"))</f>
        <v>1</v>
      </c>
      <c r="I6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4" t="b">
        <f>ISNUMBER(_xlfn.XMATCH(CONTROL[[#This Row],[VEHIDCODE]],TRACK_TYPES[VEHIDCODE],0))</f>
        <v>1</v>
      </c>
      <c r="K654" t="b">
        <f>ISNUMBER(_xlfn.XMATCH(CONTROL[[#This Row],[VEHIDCODE]],PROPERTIES[VEHIDCODE],0))</f>
        <v>1</v>
      </c>
      <c r="L654" t="b">
        <f>ISNUMBER(_xlfn.XLOOKUP(CONTROL[[#This Row],[VEHIDCODE]],roster!A:A,roster!D:D))</f>
        <v>1</v>
      </c>
      <c r="M654" t="b">
        <f>ISNUMBER(_xlfn.XMATCH(CONTROL[[#This Row],[VEHIDCODE]],GRAPHICS_PROPERTIES[VEHIDCODE],0))</f>
        <v>1</v>
      </c>
      <c r="N654" s="21" t="str">
        <f>"item_"&amp;CONTROL[[#This Row],[VEHIDCODE]]</f>
        <v>item_mu_MU_Wagon_Unpowered</v>
      </c>
      <c r="O654" s="21" t="str">
        <f>"str_"&amp;CONTROL[[#This Row],[VEHIDCODE]]</f>
        <v>str_mu_MU_Wagon_Unpowered</v>
      </c>
      <c r="P654" s="7" t="b">
        <f>_xlfn.XLOOKUP(CONTROL[[#This Row],[VEHIDCODE]],PROPERTIES[VEHIDCODE],PROPERTIES[IS_CONCEPT])="IS_CONCEPT"</f>
        <v>0</v>
      </c>
      <c r="Q654" s="7" t="b">
        <f>_xlfn.XLOOKUP(CONTROL[[#This Row],[VEHIDCODE]],PROPERTIES[VEHIDCODE],PROPERTIES[EXCLUDE])</f>
        <v>0</v>
      </c>
      <c r="R654" t="str" cm="1">
        <f t="array" ref="R654">_xlfn.XLOOKUP(CONTROL[[#This Row],[VEHIDCODE]],GRAPHICS_PROPERTIES[VEHIDCODE],GRAPHICS_PROPERTIES[TEMPLATE_ID]&amp;GRAPHICS_PROPERTIES[TEMPLATE_AMENDMENT_CODE])</f>
        <v>TPL_01F</v>
      </c>
    </row>
    <row r="655" spans="1:18" x14ac:dyDescent="0.35">
      <c r="A655" s="2" t="s">
        <v>79</v>
      </c>
      <c r="B655" s="21" t="str">
        <f>_xlfn.TEXTAFTER(CONTROL[[#This Row],[VEHIDCODE]],"_")</f>
        <v>Wagon_Gen1_Flat_Wagon</v>
      </c>
      <c r="C655" t="str" cm="1">
        <f t="array" ref="C6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src\wagons\Gen1</v>
      </c>
      <c r="D655" t="str" cm="1">
        <f t="array" ref="D6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55">
        <v>12000</v>
      </c>
      <c r="F655" s="32" t="s">
        <v>403</v>
      </c>
      <c r="G655" t="s">
        <v>523</v>
      </c>
      <c r="H655" s="2" t="b">
        <f>AND(CONTROL[[#This Row],[IS_WAGON_OR_COACH]]=TRUE,OR(RIGHT(CONTROL[[#This Row],[VEHIDCODE]],7)="Powered",RIGHT(CONTROL[[#This Row],[VEHIDCODE]],9)="Unpowered"))</f>
        <v>0</v>
      </c>
      <c r="I6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5" t="b">
        <f>ISNUMBER(_xlfn.XMATCH(CONTROL[[#This Row],[VEHIDCODE]],TRACK_TYPES[VEHIDCODE],0))</f>
        <v>1</v>
      </c>
      <c r="K655" t="b">
        <f>ISNUMBER(_xlfn.XMATCH(CONTROL[[#This Row],[VEHIDCODE]],PROPERTIES[VEHIDCODE],0))</f>
        <v>1</v>
      </c>
      <c r="L655" t="b">
        <f>ISNUMBER(_xlfn.XLOOKUP(CONTROL[[#This Row],[VEHIDCODE]],roster!A:A,roster!D:D))</f>
        <v>1</v>
      </c>
      <c r="M655" t="b">
        <f>ISNUMBER(_xlfn.XMATCH(CONTROL[[#This Row],[VEHIDCODE]],GRAPHICS_PROPERTIES[VEHIDCODE],0))</f>
        <v>1</v>
      </c>
      <c r="N655" s="21" t="str">
        <f>"item_"&amp;CONTROL[[#This Row],[VEHIDCODE]]</f>
        <v>item_mu_Wagon_Gen1_Flat_Wagon</v>
      </c>
      <c r="O655" s="21" t="str">
        <f>"str_"&amp;CONTROL[[#This Row],[VEHIDCODE]]</f>
        <v>str_mu_Wagon_Gen1_Flat_Wagon</v>
      </c>
      <c r="P655" s="7" t="b">
        <f>_xlfn.XLOOKUP(CONTROL[[#This Row],[VEHIDCODE]],PROPERTIES[VEHIDCODE],PROPERTIES[IS_CONCEPT])="IS_CONCEPT"</f>
        <v>0</v>
      </c>
      <c r="Q655" s="7" t="b">
        <f>_xlfn.XLOOKUP(CONTROL[[#This Row],[VEHIDCODE]],PROPERTIES[VEHIDCODE],PROPERTIES[EXCLUDE])</f>
        <v>0</v>
      </c>
      <c r="R655" t="str" cm="1">
        <f t="array" ref="R655">_xlfn.XLOOKUP(CONTROL[[#This Row],[VEHIDCODE]],GRAPHICS_PROPERTIES[VEHIDCODE],GRAPHICS_PROPERTIES[TEMPLATE_ID]&amp;GRAPHICS_PROPERTIES[TEMPLATE_AMENDMENT_CODE])</f>
        <v>TPL_04B</v>
      </c>
    </row>
    <row r="656" spans="1:18" x14ac:dyDescent="0.35">
      <c r="A656" s="2" t="s">
        <v>80</v>
      </c>
      <c r="B656" s="21" t="str">
        <f>_xlfn.TEXTAFTER(CONTROL[[#This Row],[VEHIDCODE]],"_")</f>
        <v>Wagon_Gen1_Boxcar</v>
      </c>
      <c r="C656" t="str" cm="1">
        <f t="array" ref="C6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src\wagons\Gen1</v>
      </c>
      <c r="D656" t="str" cm="1">
        <f t="array" ref="D6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56">
        <v>12001</v>
      </c>
      <c r="F656" s="32" t="s">
        <v>404</v>
      </c>
      <c r="G656" t="s">
        <v>523</v>
      </c>
      <c r="H656" s="2" t="b">
        <f>AND(CONTROL[[#This Row],[IS_WAGON_OR_COACH]]=TRUE,OR(RIGHT(CONTROL[[#This Row],[VEHIDCODE]],7)="Powered",RIGHT(CONTROL[[#This Row],[VEHIDCODE]],9)="Unpowered"))</f>
        <v>0</v>
      </c>
      <c r="I6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6" t="b">
        <f>ISNUMBER(_xlfn.XMATCH(CONTROL[[#This Row],[VEHIDCODE]],TRACK_TYPES[VEHIDCODE],0))</f>
        <v>1</v>
      </c>
      <c r="K656" t="b">
        <f>ISNUMBER(_xlfn.XMATCH(CONTROL[[#This Row],[VEHIDCODE]],PROPERTIES[VEHIDCODE],0))</f>
        <v>1</v>
      </c>
      <c r="L656" t="b">
        <f>ISNUMBER(_xlfn.XLOOKUP(CONTROL[[#This Row],[VEHIDCODE]],roster!A:A,roster!D:D))</f>
        <v>1</v>
      </c>
      <c r="M656" t="b">
        <f>ISNUMBER(_xlfn.XMATCH(CONTROL[[#This Row],[VEHIDCODE]],GRAPHICS_PROPERTIES[VEHIDCODE],0))</f>
        <v>1</v>
      </c>
      <c r="N656" s="21" t="str">
        <f>"item_"&amp;CONTROL[[#This Row],[VEHIDCODE]]</f>
        <v>item_mu_Wagon_Gen1_Boxcar</v>
      </c>
      <c r="O656" s="21" t="str">
        <f>"str_"&amp;CONTROL[[#This Row],[VEHIDCODE]]</f>
        <v>str_mu_Wagon_Gen1_Boxcar</v>
      </c>
      <c r="P656" s="7" t="b">
        <f>_xlfn.XLOOKUP(CONTROL[[#This Row],[VEHIDCODE]],PROPERTIES[VEHIDCODE],PROPERTIES[IS_CONCEPT])="IS_CONCEPT"</f>
        <v>0</v>
      </c>
      <c r="Q656" s="7" t="b">
        <f>_xlfn.XLOOKUP(CONTROL[[#This Row],[VEHIDCODE]],PROPERTIES[VEHIDCODE],PROPERTIES[EXCLUDE])</f>
        <v>0</v>
      </c>
      <c r="R656" t="str" cm="1">
        <f t="array" ref="R656">_xlfn.XLOOKUP(CONTROL[[#This Row],[VEHIDCODE]],GRAPHICS_PROPERTIES[VEHIDCODE],GRAPHICS_PROPERTIES[TEMPLATE_ID]&amp;GRAPHICS_PROPERTIES[TEMPLATE_AMENDMENT_CODE])</f>
        <v>TPL_04B</v>
      </c>
    </row>
    <row r="657" spans="1:18" x14ac:dyDescent="0.35">
      <c r="A657" s="2" t="s">
        <v>81</v>
      </c>
      <c r="B657" s="21" t="str">
        <f>_xlfn.TEXTAFTER(CONTROL[[#This Row],[VEHIDCODE]],"_")</f>
        <v>Wagon_Gen1_Tanker</v>
      </c>
      <c r="C657" t="str" cm="1">
        <f t="array" ref="C6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src\wagons\Gen1</v>
      </c>
      <c r="D657" t="str" cm="1">
        <f t="array" ref="D6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57">
        <v>12002</v>
      </c>
      <c r="F657" s="32" t="s">
        <v>405</v>
      </c>
      <c r="G657" t="s">
        <v>523</v>
      </c>
      <c r="H657" s="2" t="b">
        <f>AND(CONTROL[[#This Row],[IS_WAGON_OR_COACH]]=TRUE,OR(RIGHT(CONTROL[[#This Row],[VEHIDCODE]],7)="Powered",RIGHT(CONTROL[[#This Row],[VEHIDCODE]],9)="Unpowered"))</f>
        <v>0</v>
      </c>
      <c r="I6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7" t="b">
        <f>ISNUMBER(_xlfn.XMATCH(CONTROL[[#This Row],[VEHIDCODE]],TRACK_TYPES[VEHIDCODE],0))</f>
        <v>1</v>
      </c>
      <c r="K657" t="b">
        <f>ISNUMBER(_xlfn.XMATCH(CONTROL[[#This Row],[VEHIDCODE]],PROPERTIES[VEHIDCODE],0))</f>
        <v>1</v>
      </c>
      <c r="L657" t="b">
        <f>ISNUMBER(_xlfn.XLOOKUP(CONTROL[[#This Row],[VEHIDCODE]],roster!A:A,roster!D:D))</f>
        <v>1</v>
      </c>
      <c r="M657" t="b">
        <f>ISNUMBER(_xlfn.XMATCH(CONTROL[[#This Row],[VEHIDCODE]],GRAPHICS_PROPERTIES[VEHIDCODE],0))</f>
        <v>1</v>
      </c>
      <c r="N657" s="21" t="str">
        <f>"item_"&amp;CONTROL[[#This Row],[VEHIDCODE]]</f>
        <v>item_mu_Wagon_Gen1_Tanker</v>
      </c>
      <c r="O657" s="21" t="str">
        <f>"str_"&amp;CONTROL[[#This Row],[VEHIDCODE]]</f>
        <v>str_mu_Wagon_Gen1_Tanker</v>
      </c>
      <c r="P657" s="7" t="b">
        <f>_xlfn.XLOOKUP(CONTROL[[#This Row],[VEHIDCODE]],PROPERTIES[VEHIDCODE],PROPERTIES[IS_CONCEPT])="IS_CONCEPT"</f>
        <v>0</v>
      </c>
      <c r="Q657" s="7" t="b">
        <f>_xlfn.XLOOKUP(CONTROL[[#This Row],[VEHIDCODE]],PROPERTIES[VEHIDCODE],PROPERTIES[EXCLUDE])</f>
        <v>0</v>
      </c>
      <c r="R657" t="str" cm="1">
        <f t="array" ref="R657">_xlfn.XLOOKUP(CONTROL[[#This Row],[VEHIDCODE]],GRAPHICS_PROPERTIES[VEHIDCODE],GRAPHICS_PROPERTIES[TEMPLATE_ID]&amp;GRAPHICS_PROPERTIES[TEMPLATE_AMENDMENT_CODE])</f>
        <v>TPL_04B</v>
      </c>
    </row>
    <row r="658" spans="1:18" x14ac:dyDescent="0.35">
      <c r="A658" s="2" t="s">
        <v>82</v>
      </c>
      <c r="B658" s="21" t="str">
        <f>_xlfn.TEXTAFTER(CONTROL[[#This Row],[VEHIDCODE]],"_")</f>
        <v>Wagon_Gen1_Open_Wagon</v>
      </c>
      <c r="C658" t="str" cm="1">
        <f t="array" ref="C6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src\wagons\Gen1</v>
      </c>
      <c r="D658" t="str" cm="1">
        <f t="array" ref="D6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58">
        <v>12003</v>
      </c>
      <c r="F658" s="32" t="s">
        <v>406</v>
      </c>
      <c r="G658" t="s">
        <v>523</v>
      </c>
      <c r="H658" s="2" t="b">
        <f>AND(CONTROL[[#This Row],[IS_WAGON_OR_COACH]]=TRUE,OR(RIGHT(CONTROL[[#This Row],[VEHIDCODE]],7)="Powered",RIGHT(CONTROL[[#This Row],[VEHIDCODE]],9)="Unpowered"))</f>
        <v>0</v>
      </c>
      <c r="I6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8" t="b">
        <f>ISNUMBER(_xlfn.XMATCH(CONTROL[[#This Row],[VEHIDCODE]],TRACK_TYPES[VEHIDCODE],0))</f>
        <v>1</v>
      </c>
      <c r="K658" t="b">
        <f>ISNUMBER(_xlfn.XMATCH(CONTROL[[#This Row],[VEHIDCODE]],PROPERTIES[VEHIDCODE],0))</f>
        <v>1</v>
      </c>
      <c r="L658" t="b">
        <f>ISNUMBER(_xlfn.XLOOKUP(CONTROL[[#This Row],[VEHIDCODE]],roster!A:A,roster!D:D))</f>
        <v>1</v>
      </c>
      <c r="M658" t="b">
        <f>ISNUMBER(_xlfn.XMATCH(CONTROL[[#This Row],[VEHIDCODE]],GRAPHICS_PROPERTIES[VEHIDCODE],0))</f>
        <v>1</v>
      </c>
      <c r="N658" s="21" t="str">
        <f>"item_"&amp;CONTROL[[#This Row],[VEHIDCODE]]</f>
        <v>item_mu_Wagon_Gen1_Open_Wagon</v>
      </c>
      <c r="O658" s="21" t="str">
        <f>"str_"&amp;CONTROL[[#This Row],[VEHIDCODE]]</f>
        <v>str_mu_Wagon_Gen1_Open_Wagon</v>
      </c>
      <c r="P658" s="7" t="b">
        <f>_xlfn.XLOOKUP(CONTROL[[#This Row],[VEHIDCODE]],PROPERTIES[VEHIDCODE],PROPERTIES[IS_CONCEPT])="IS_CONCEPT"</f>
        <v>0</v>
      </c>
      <c r="Q658" s="7" t="b">
        <f>_xlfn.XLOOKUP(CONTROL[[#This Row],[VEHIDCODE]],PROPERTIES[VEHIDCODE],PROPERTIES[EXCLUDE])</f>
        <v>0</v>
      </c>
      <c r="R658" t="str" cm="1">
        <f t="array" ref="R658">_xlfn.XLOOKUP(CONTROL[[#This Row],[VEHIDCODE]],GRAPHICS_PROPERTIES[VEHIDCODE],GRAPHICS_PROPERTIES[TEMPLATE_ID]&amp;GRAPHICS_PROPERTIES[TEMPLATE_AMENDMENT_CODE])</f>
        <v>TPL_04B</v>
      </c>
    </row>
    <row r="659" spans="1:18" x14ac:dyDescent="0.35">
      <c r="A659" s="2" t="s">
        <v>153</v>
      </c>
      <c r="B659" s="21" t="str">
        <f>_xlfn.TEXTAFTER(CONTROL[[#This Row],[VEHIDCODE]],"_")</f>
        <v>Wagon_Gen2_Flat_Wagon</v>
      </c>
      <c r="C659" t="str" cm="1">
        <f t="array" ref="C6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59" t="str" cm="1">
        <f t="array" ref="D6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59">
        <v>12004</v>
      </c>
      <c r="F659" s="32" t="s">
        <v>407</v>
      </c>
      <c r="G659" t="s">
        <v>523</v>
      </c>
      <c r="H659" s="2" t="b">
        <f>AND(CONTROL[[#This Row],[IS_WAGON_OR_COACH]]=TRUE,OR(RIGHT(CONTROL[[#This Row],[VEHIDCODE]],7)="Powered",RIGHT(CONTROL[[#This Row],[VEHIDCODE]],9)="Unpowered"))</f>
        <v>0</v>
      </c>
      <c r="I6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9" t="b">
        <f>ISNUMBER(_xlfn.XMATCH(CONTROL[[#This Row],[VEHIDCODE]],TRACK_TYPES[VEHIDCODE],0))</f>
        <v>1</v>
      </c>
      <c r="K659" t="b">
        <f>ISNUMBER(_xlfn.XMATCH(CONTROL[[#This Row],[VEHIDCODE]],PROPERTIES[VEHIDCODE],0))</f>
        <v>1</v>
      </c>
      <c r="L659" t="b">
        <f>ISNUMBER(_xlfn.XLOOKUP(CONTROL[[#This Row],[VEHIDCODE]],roster!A:A,roster!D:D))</f>
        <v>1</v>
      </c>
      <c r="M659" t="b">
        <f>ISNUMBER(_xlfn.XMATCH(CONTROL[[#This Row],[VEHIDCODE]],GRAPHICS_PROPERTIES[VEHIDCODE],0))</f>
        <v>1</v>
      </c>
      <c r="N659" s="21" t="str">
        <f>"item_"&amp;CONTROL[[#This Row],[VEHIDCODE]]</f>
        <v>item_mu_Wagon_Gen2_Flat_Wagon</v>
      </c>
      <c r="O659" s="21" t="str">
        <f>"str_"&amp;CONTROL[[#This Row],[VEHIDCODE]]</f>
        <v>str_mu_Wagon_Gen2_Flat_Wagon</v>
      </c>
      <c r="P659" s="7" t="b">
        <f>_xlfn.XLOOKUP(CONTROL[[#This Row],[VEHIDCODE]],PROPERTIES[VEHIDCODE],PROPERTIES[IS_CONCEPT])="IS_CONCEPT"</f>
        <v>0</v>
      </c>
      <c r="Q659" s="7" t="b">
        <f>_xlfn.XLOOKUP(CONTROL[[#This Row],[VEHIDCODE]],PROPERTIES[VEHIDCODE],PROPERTIES[EXCLUDE])</f>
        <v>0</v>
      </c>
      <c r="R659" t="str" cm="1">
        <f t="array" ref="R659">_xlfn.XLOOKUP(CONTROL[[#This Row],[VEHIDCODE]],GRAPHICS_PROPERTIES[VEHIDCODE],GRAPHICS_PROPERTIES[TEMPLATE_ID]&amp;GRAPHICS_PROPERTIES[TEMPLATE_AMENDMENT_CODE])</f>
        <v>TPL_04B</v>
      </c>
    </row>
    <row r="660" spans="1:18" x14ac:dyDescent="0.35">
      <c r="A660" s="2" t="s">
        <v>154</v>
      </c>
      <c r="B660" s="21" t="str">
        <f>_xlfn.TEXTAFTER(CONTROL[[#This Row],[VEHIDCODE]],"_")</f>
        <v>Wagon_Gen2_Boxcar_Type1</v>
      </c>
      <c r="C660" t="str" cm="1">
        <f t="array" ref="C6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0" t="str" cm="1">
        <f t="array" ref="D6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0">
        <v>12005</v>
      </c>
      <c r="F660" s="32" t="s">
        <v>1673</v>
      </c>
      <c r="G660" t="s">
        <v>523</v>
      </c>
      <c r="H660" s="2" t="b">
        <f>AND(CONTROL[[#This Row],[IS_WAGON_OR_COACH]]=TRUE,OR(RIGHT(CONTROL[[#This Row],[VEHIDCODE]],7)="Powered",RIGHT(CONTROL[[#This Row],[VEHIDCODE]],9)="Unpowered"))</f>
        <v>0</v>
      </c>
      <c r="I6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0" t="b">
        <f>ISNUMBER(_xlfn.XMATCH(CONTROL[[#This Row],[VEHIDCODE]],TRACK_TYPES[VEHIDCODE],0))</f>
        <v>1</v>
      </c>
      <c r="K660" t="b">
        <f>ISNUMBER(_xlfn.XMATCH(CONTROL[[#This Row],[VEHIDCODE]],PROPERTIES[VEHIDCODE],0))</f>
        <v>1</v>
      </c>
      <c r="L660" t="b">
        <f>ISNUMBER(_xlfn.XLOOKUP(CONTROL[[#This Row],[VEHIDCODE]],roster!A:A,roster!D:D))</f>
        <v>1</v>
      </c>
      <c r="M660" t="b">
        <f>ISNUMBER(_xlfn.XMATCH(CONTROL[[#This Row],[VEHIDCODE]],GRAPHICS_PROPERTIES[VEHIDCODE],0))</f>
        <v>1</v>
      </c>
      <c r="N660" s="21" t="str">
        <f>"item_"&amp;CONTROL[[#This Row],[VEHIDCODE]]</f>
        <v>item_mu_Wagon_Gen2_Boxcar_Type1</v>
      </c>
      <c r="O660" s="21" t="str">
        <f>"str_"&amp;CONTROL[[#This Row],[VEHIDCODE]]</f>
        <v>str_mu_Wagon_Gen2_Boxcar_Type1</v>
      </c>
      <c r="P660" s="7" t="b">
        <f>_xlfn.XLOOKUP(CONTROL[[#This Row],[VEHIDCODE]],PROPERTIES[VEHIDCODE],PROPERTIES[IS_CONCEPT])="IS_CONCEPT"</f>
        <v>0</v>
      </c>
      <c r="Q660" s="7" t="b">
        <f>_xlfn.XLOOKUP(CONTROL[[#This Row],[VEHIDCODE]],PROPERTIES[VEHIDCODE],PROPERTIES[EXCLUDE])</f>
        <v>0</v>
      </c>
      <c r="R660" t="str" cm="1">
        <f t="array" ref="R660">_xlfn.XLOOKUP(CONTROL[[#This Row],[VEHIDCODE]],GRAPHICS_PROPERTIES[VEHIDCODE],GRAPHICS_PROPERTIES[TEMPLATE_ID]&amp;GRAPHICS_PROPERTIES[TEMPLATE_AMENDMENT_CODE])</f>
        <v>TPL_04B</v>
      </c>
    </row>
    <row r="661" spans="1:18" x14ac:dyDescent="0.35">
      <c r="A661" s="2" t="s">
        <v>155</v>
      </c>
      <c r="B661" s="21" t="str">
        <f>_xlfn.TEXTAFTER(CONTROL[[#This Row],[VEHIDCODE]],"_")</f>
        <v>Wagon_Gen2_Boxcar_Type2</v>
      </c>
      <c r="C661" t="str" cm="1">
        <f t="array" ref="C6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1" t="str" cm="1">
        <f t="array" ref="D6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1">
        <v>12038</v>
      </c>
      <c r="F661" s="32" t="s">
        <v>1688</v>
      </c>
      <c r="G661" t="s">
        <v>523</v>
      </c>
      <c r="H661" s="2" t="b">
        <f>AND(CONTROL[[#This Row],[IS_WAGON_OR_COACH]]=TRUE,OR(RIGHT(CONTROL[[#This Row],[VEHIDCODE]],7)="Powered",RIGHT(CONTROL[[#This Row],[VEHIDCODE]],9)="Unpowered"))</f>
        <v>0</v>
      </c>
      <c r="I6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1" t="b">
        <f>ISNUMBER(_xlfn.XMATCH(CONTROL[[#This Row],[VEHIDCODE]],TRACK_TYPES[VEHIDCODE],0))</f>
        <v>1</v>
      </c>
      <c r="K661" t="b">
        <f>ISNUMBER(_xlfn.XMATCH(CONTROL[[#This Row],[VEHIDCODE]],PROPERTIES[VEHIDCODE],0))</f>
        <v>1</v>
      </c>
      <c r="L661" t="b">
        <f>ISNUMBER(_xlfn.XLOOKUP(CONTROL[[#This Row],[VEHIDCODE]],roster!A:A,roster!D:D))</f>
        <v>1</v>
      </c>
      <c r="M661" t="b">
        <f>ISNUMBER(_xlfn.XMATCH(CONTROL[[#This Row],[VEHIDCODE]],GRAPHICS_PROPERTIES[VEHIDCODE],0))</f>
        <v>1</v>
      </c>
      <c r="N661" s="21" t="str">
        <f>"item_"&amp;CONTROL[[#This Row],[VEHIDCODE]]</f>
        <v>item_mu_Wagon_Gen2_Boxcar_Type2</v>
      </c>
      <c r="O661" s="21" t="str">
        <f>"str_"&amp;CONTROL[[#This Row],[VEHIDCODE]]</f>
        <v>str_mu_Wagon_Gen2_Boxcar_Type2</v>
      </c>
      <c r="P661" s="7" t="b">
        <f>_xlfn.XLOOKUP(CONTROL[[#This Row],[VEHIDCODE]],PROPERTIES[VEHIDCODE],PROPERTIES[IS_CONCEPT])="IS_CONCEPT"</f>
        <v>0</v>
      </c>
      <c r="Q661" s="7" t="b">
        <f>_xlfn.XLOOKUP(CONTROL[[#This Row],[VEHIDCODE]],PROPERTIES[VEHIDCODE],PROPERTIES[EXCLUDE])</f>
        <v>0</v>
      </c>
      <c r="R661" t="str" cm="1">
        <f t="array" ref="R661">_xlfn.XLOOKUP(CONTROL[[#This Row],[VEHIDCODE]],GRAPHICS_PROPERTIES[VEHIDCODE],GRAPHICS_PROPERTIES[TEMPLATE_ID]&amp;GRAPHICS_PROPERTIES[TEMPLATE_AMENDMENT_CODE])</f>
        <v>TPL_04B</v>
      </c>
    </row>
    <row r="662" spans="1:18" x14ac:dyDescent="0.35">
      <c r="A662" s="2" t="s">
        <v>156</v>
      </c>
      <c r="B662" s="21" t="str">
        <f>_xlfn.TEXTAFTER(CONTROL[[#This Row],[VEHIDCODE]],"_")</f>
        <v>Wagon_Gen2_Tanker</v>
      </c>
      <c r="C662" t="str" cm="1">
        <f t="array" ref="C6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2" t="str" cm="1">
        <f t="array" ref="D6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2">
        <v>12006</v>
      </c>
      <c r="F662" s="32" t="s">
        <v>408</v>
      </c>
      <c r="G662" t="s">
        <v>523</v>
      </c>
      <c r="H662" s="2" t="b">
        <f>AND(CONTROL[[#This Row],[IS_WAGON_OR_COACH]]=TRUE,OR(RIGHT(CONTROL[[#This Row],[VEHIDCODE]],7)="Powered",RIGHT(CONTROL[[#This Row],[VEHIDCODE]],9)="Unpowered"))</f>
        <v>0</v>
      </c>
      <c r="I6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2" t="b">
        <f>ISNUMBER(_xlfn.XMATCH(CONTROL[[#This Row],[VEHIDCODE]],TRACK_TYPES[VEHIDCODE],0))</f>
        <v>1</v>
      </c>
      <c r="K662" t="b">
        <f>ISNUMBER(_xlfn.XMATCH(CONTROL[[#This Row],[VEHIDCODE]],PROPERTIES[VEHIDCODE],0))</f>
        <v>1</v>
      </c>
      <c r="L662" t="b">
        <f>ISNUMBER(_xlfn.XLOOKUP(CONTROL[[#This Row],[VEHIDCODE]],roster!A:A,roster!D:D))</f>
        <v>1</v>
      </c>
      <c r="M662" t="b">
        <f>ISNUMBER(_xlfn.XMATCH(CONTROL[[#This Row],[VEHIDCODE]],GRAPHICS_PROPERTIES[VEHIDCODE],0))</f>
        <v>1</v>
      </c>
      <c r="N662" s="21" t="str">
        <f>"item_"&amp;CONTROL[[#This Row],[VEHIDCODE]]</f>
        <v>item_mu_Wagon_Gen2_Tanker</v>
      </c>
      <c r="O662" s="21" t="str">
        <f>"str_"&amp;CONTROL[[#This Row],[VEHIDCODE]]</f>
        <v>str_mu_Wagon_Gen2_Tanker</v>
      </c>
      <c r="P662" s="7" t="b">
        <f>_xlfn.XLOOKUP(CONTROL[[#This Row],[VEHIDCODE]],PROPERTIES[VEHIDCODE],PROPERTIES[IS_CONCEPT])="IS_CONCEPT"</f>
        <v>0</v>
      </c>
      <c r="Q662" s="7" t="b">
        <f>_xlfn.XLOOKUP(CONTROL[[#This Row],[VEHIDCODE]],PROPERTIES[VEHIDCODE],PROPERTIES[EXCLUDE])</f>
        <v>0</v>
      </c>
      <c r="R662" t="str" cm="1">
        <f t="array" ref="R662">_xlfn.XLOOKUP(CONTROL[[#This Row],[VEHIDCODE]],GRAPHICS_PROPERTIES[VEHIDCODE],GRAPHICS_PROPERTIES[TEMPLATE_ID]&amp;GRAPHICS_PROPERTIES[TEMPLATE_AMENDMENT_CODE])</f>
        <v>TPL_04B</v>
      </c>
    </row>
    <row r="663" spans="1:18" x14ac:dyDescent="0.35">
      <c r="A663" s="2" t="s">
        <v>157</v>
      </c>
      <c r="B663" s="21" t="str">
        <f>_xlfn.TEXTAFTER(CONTROL[[#This Row],[VEHIDCODE]],"_")</f>
        <v>Wagon_Gen2_Open_Wagon</v>
      </c>
      <c r="C663" t="str" cm="1">
        <f t="array" ref="C6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3" t="str" cm="1">
        <f t="array" ref="D6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3">
        <v>12007</v>
      </c>
      <c r="F663" s="32" t="s">
        <v>409</v>
      </c>
      <c r="G663" t="s">
        <v>523</v>
      </c>
      <c r="H663" s="2" t="b">
        <f>AND(CONTROL[[#This Row],[IS_WAGON_OR_COACH]]=TRUE,OR(RIGHT(CONTROL[[#This Row],[VEHIDCODE]],7)="Powered",RIGHT(CONTROL[[#This Row],[VEHIDCODE]],9)="Unpowered"))</f>
        <v>0</v>
      </c>
      <c r="I6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3" t="b">
        <f>ISNUMBER(_xlfn.XMATCH(CONTROL[[#This Row],[VEHIDCODE]],TRACK_TYPES[VEHIDCODE],0))</f>
        <v>1</v>
      </c>
      <c r="K663" t="b">
        <f>ISNUMBER(_xlfn.XMATCH(CONTROL[[#This Row],[VEHIDCODE]],PROPERTIES[VEHIDCODE],0))</f>
        <v>1</v>
      </c>
      <c r="L663" t="b">
        <f>ISNUMBER(_xlfn.XLOOKUP(CONTROL[[#This Row],[VEHIDCODE]],roster!A:A,roster!D:D))</f>
        <v>1</v>
      </c>
      <c r="M663" t="b">
        <f>ISNUMBER(_xlfn.XMATCH(CONTROL[[#This Row],[VEHIDCODE]],GRAPHICS_PROPERTIES[VEHIDCODE],0))</f>
        <v>1</v>
      </c>
      <c r="N663" s="21" t="str">
        <f>"item_"&amp;CONTROL[[#This Row],[VEHIDCODE]]</f>
        <v>item_mu_Wagon_Gen2_Open_Wagon</v>
      </c>
      <c r="O663" s="21" t="str">
        <f>"str_"&amp;CONTROL[[#This Row],[VEHIDCODE]]</f>
        <v>str_mu_Wagon_Gen2_Open_Wagon</v>
      </c>
      <c r="P663" s="7" t="b">
        <f>_xlfn.XLOOKUP(CONTROL[[#This Row],[VEHIDCODE]],PROPERTIES[VEHIDCODE],PROPERTIES[IS_CONCEPT])="IS_CONCEPT"</f>
        <v>0</v>
      </c>
      <c r="Q663" s="7" t="b">
        <f>_xlfn.XLOOKUP(CONTROL[[#This Row],[VEHIDCODE]],PROPERTIES[VEHIDCODE],PROPERTIES[EXCLUDE])</f>
        <v>0</v>
      </c>
      <c r="R663" t="str" cm="1">
        <f t="array" ref="R663">_xlfn.XLOOKUP(CONTROL[[#This Row],[VEHIDCODE]],GRAPHICS_PROPERTIES[VEHIDCODE],GRAPHICS_PROPERTIES[TEMPLATE_ID]&amp;GRAPHICS_PROPERTIES[TEMPLATE_AMENDMENT_CODE])</f>
        <v>TPL_04B</v>
      </c>
    </row>
    <row r="664" spans="1:18" x14ac:dyDescent="0.35">
      <c r="A664" s="2" t="s">
        <v>158</v>
      </c>
      <c r="B664" s="21" t="str">
        <f>_xlfn.TEXTAFTER(CONTROL[[#This Row],[VEHIDCODE]],"_")</f>
        <v>Wagon_Gen2_Silo</v>
      </c>
      <c r="C664" t="str" cm="1">
        <f t="array" ref="C6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4" t="str" cm="1">
        <f t="array" ref="D6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4">
        <v>12008</v>
      </c>
      <c r="F664" s="32" t="s">
        <v>410</v>
      </c>
      <c r="G664" t="s">
        <v>523</v>
      </c>
      <c r="H664" s="2" t="b">
        <f>AND(CONTROL[[#This Row],[IS_WAGON_OR_COACH]]=TRUE,OR(RIGHT(CONTROL[[#This Row],[VEHIDCODE]],7)="Powered",RIGHT(CONTROL[[#This Row],[VEHIDCODE]],9)="Unpowered"))</f>
        <v>0</v>
      </c>
      <c r="I6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4" t="b">
        <f>ISNUMBER(_xlfn.XMATCH(CONTROL[[#This Row],[VEHIDCODE]],TRACK_TYPES[VEHIDCODE],0))</f>
        <v>1</v>
      </c>
      <c r="K664" t="b">
        <f>ISNUMBER(_xlfn.XMATCH(CONTROL[[#This Row],[VEHIDCODE]],PROPERTIES[VEHIDCODE],0))</f>
        <v>1</v>
      </c>
      <c r="L664" t="b">
        <f>ISNUMBER(_xlfn.XLOOKUP(CONTROL[[#This Row],[VEHIDCODE]],roster!A:A,roster!D:D))</f>
        <v>1</v>
      </c>
      <c r="M664" t="b">
        <f>ISNUMBER(_xlfn.XMATCH(CONTROL[[#This Row],[VEHIDCODE]],GRAPHICS_PROPERTIES[VEHIDCODE],0))</f>
        <v>1</v>
      </c>
      <c r="N664" s="21" t="str">
        <f>"item_"&amp;CONTROL[[#This Row],[VEHIDCODE]]</f>
        <v>item_mu_Wagon_Gen2_Silo</v>
      </c>
      <c r="O664" s="21" t="str">
        <f>"str_"&amp;CONTROL[[#This Row],[VEHIDCODE]]</f>
        <v>str_mu_Wagon_Gen2_Silo</v>
      </c>
      <c r="P664" s="7" t="b">
        <f>_xlfn.XLOOKUP(CONTROL[[#This Row],[VEHIDCODE]],PROPERTIES[VEHIDCODE],PROPERTIES[IS_CONCEPT])="IS_CONCEPT"</f>
        <v>0</v>
      </c>
      <c r="Q664" s="7" t="b">
        <f>_xlfn.XLOOKUP(CONTROL[[#This Row],[VEHIDCODE]],PROPERTIES[VEHIDCODE],PROPERTIES[EXCLUDE])</f>
        <v>0</v>
      </c>
      <c r="R664" t="str" cm="1">
        <f t="array" ref="R664">_xlfn.XLOOKUP(CONTROL[[#This Row],[VEHIDCODE]],GRAPHICS_PROPERTIES[VEHIDCODE],GRAPHICS_PROPERTIES[TEMPLATE_ID]&amp;GRAPHICS_PROPERTIES[TEMPLATE_AMENDMENT_CODE])</f>
        <v>TPL_04B</v>
      </c>
    </row>
    <row r="665" spans="1:18" x14ac:dyDescent="0.35">
      <c r="A665" s="2" t="s">
        <v>159</v>
      </c>
      <c r="B665" s="21" t="str">
        <f>_xlfn.TEXTAFTER(CONTROL[[#This Row],[VEHIDCODE]],"_")</f>
        <v>Wagon_Gen2_Hopper</v>
      </c>
      <c r="C665" t="str" cm="1">
        <f t="array" ref="C6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5" t="str" cm="1">
        <f t="array" ref="D6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5">
        <v>12009</v>
      </c>
      <c r="F665" s="32" t="s">
        <v>411</v>
      </c>
      <c r="G665" t="s">
        <v>523</v>
      </c>
      <c r="H665" s="2" t="b">
        <f>AND(CONTROL[[#This Row],[IS_WAGON_OR_COACH]]=TRUE,OR(RIGHT(CONTROL[[#This Row],[VEHIDCODE]],7)="Powered",RIGHT(CONTROL[[#This Row],[VEHIDCODE]],9)="Unpowered"))</f>
        <v>0</v>
      </c>
      <c r="I6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5" t="b">
        <f>ISNUMBER(_xlfn.XMATCH(CONTROL[[#This Row],[VEHIDCODE]],TRACK_TYPES[VEHIDCODE],0))</f>
        <v>1</v>
      </c>
      <c r="K665" t="b">
        <f>ISNUMBER(_xlfn.XMATCH(CONTROL[[#This Row],[VEHIDCODE]],PROPERTIES[VEHIDCODE],0))</f>
        <v>1</v>
      </c>
      <c r="L665" t="b">
        <f>ISNUMBER(_xlfn.XLOOKUP(CONTROL[[#This Row],[VEHIDCODE]],roster!A:A,roster!D:D))</f>
        <v>1</v>
      </c>
      <c r="M665" t="b">
        <f>ISNUMBER(_xlfn.XMATCH(CONTROL[[#This Row],[VEHIDCODE]],GRAPHICS_PROPERTIES[VEHIDCODE],0))</f>
        <v>1</v>
      </c>
      <c r="N665" s="21" t="str">
        <f>"item_"&amp;CONTROL[[#This Row],[VEHIDCODE]]</f>
        <v>item_mu_Wagon_Gen2_Hopper</v>
      </c>
      <c r="O665" s="21" t="str">
        <f>"str_"&amp;CONTROL[[#This Row],[VEHIDCODE]]</f>
        <v>str_mu_Wagon_Gen2_Hopper</v>
      </c>
      <c r="P665" s="7" t="b">
        <f>_xlfn.XLOOKUP(CONTROL[[#This Row],[VEHIDCODE]],PROPERTIES[VEHIDCODE],PROPERTIES[IS_CONCEPT])="IS_CONCEPT"</f>
        <v>0</v>
      </c>
      <c r="Q665" s="7" t="b">
        <f>_xlfn.XLOOKUP(CONTROL[[#This Row],[VEHIDCODE]],PROPERTIES[VEHIDCODE],PROPERTIES[EXCLUDE])</f>
        <v>0</v>
      </c>
      <c r="R665" t="str" cm="1">
        <f t="array" ref="R665">_xlfn.XLOOKUP(CONTROL[[#This Row],[VEHIDCODE]],GRAPHICS_PROPERTIES[VEHIDCODE],GRAPHICS_PROPERTIES[TEMPLATE_ID]&amp;GRAPHICS_PROPERTIES[TEMPLATE_AMENDMENT_CODE])</f>
        <v>TPL_04B</v>
      </c>
    </row>
    <row r="666" spans="1:18" x14ac:dyDescent="0.35">
      <c r="A666" s="2" t="s">
        <v>160</v>
      </c>
      <c r="B666" s="21" t="str">
        <f>_xlfn.TEXTAFTER(CONTROL[[#This Row],[VEHIDCODE]],"_")</f>
        <v>Wagon_Gen3_Flat_Wagon</v>
      </c>
      <c r="C666" t="str" cm="1">
        <f t="array" ref="C6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66" t="str" cm="1">
        <f t="array" ref="D6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6">
        <v>12010</v>
      </c>
      <c r="F666" s="32" t="s">
        <v>412</v>
      </c>
      <c r="G666" t="s">
        <v>523</v>
      </c>
      <c r="H666" s="2" t="b">
        <f>AND(CONTROL[[#This Row],[IS_WAGON_OR_COACH]]=TRUE,OR(RIGHT(CONTROL[[#This Row],[VEHIDCODE]],7)="Powered",RIGHT(CONTROL[[#This Row],[VEHIDCODE]],9)="Unpowered"))</f>
        <v>0</v>
      </c>
      <c r="I6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6" t="b">
        <f>ISNUMBER(_xlfn.XMATCH(CONTROL[[#This Row],[VEHIDCODE]],TRACK_TYPES[VEHIDCODE],0))</f>
        <v>1</v>
      </c>
      <c r="K666" t="b">
        <f>ISNUMBER(_xlfn.XMATCH(CONTROL[[#This Row],[VEHIDCODE]],PROPERTIES[VEHIDCODE],0))</f>
        <v>1</v>
      </c>
      <c r="L666" t="b">
        <f>ISNUMBER(_xlfn.XLOOKUP(CONTROL[[#This Row],[VEHIDCODE]],roster!A:A,roster!D:D))</f>
        <v>1</v>
      </c>
      <c r="M666" t="b">
        <f>ISNUMBER(_xlfn.XMATCH(CONTROL[[#This Row],[VEHIDCODE]],GRAPHICS_PROPERTIES[VEHIDCODE],0))</f>
        <v>1</v>
      </c>
      <c r="N666" s="21" t="str">
        <f>"item_"&amp;CONTROL[[#This Row],[VEHIDCODE]]</f>
        <v>item_mu_Wagon_Gen3_Flat_Wagon</v>
      </c>
      <c r="O666" s="21" t="str">
        <f>"str_"&amp;CONTROL[[#This Row],[VEHIDCODE]]</f>
        <v>str_mu_Wagon_Gen3_Flat_Wagon</v>
      </c>
      <c r="P666" s="7" t="b">
        <f>_xlfn.XLOOKUP(CONTROL[[#This Row],[VEHIDCODE]],PROPERTIES[VEHIDCODE],PROPERTIES[IS_CONCEPT])="IS_CONCEPT"</f>
        <v>0</v>
      </c>
      <c r="Q666" s="7" t="b">
        <f>_xlfn.XLOOKUP(CONTROL[[#This Row],[VEHIDCODE]],PROPERTIES[VEHIDCODE],PROPERTIES[EXCLUDE])</f>
        <v>0</v>
      </c>
      <c r="R666" t="str" cm="1">
        <f t="array" ref="R666">_xlfn.XLOOKUP(CONTROL[[#This Row],[VEHIDCODE]],GRAPHICS_PROPERTIES[VEHIDCODE],GRAPHICS_PROPERTIES[TEMPLATE_ID]&amp;GRAPHICS_PROPERTIES[TEMPLATE_AMENDMENT_CODE])</f>
        <v>TPL_04B</v>
      </c>
    </row>
    <row r="667" spans="1:18" x14ac:dyDescent="0.35">
      <c r="A667" s="2" t="s">
        <v>161</v>
      </c>
      <c r="B667" s="21" t="str">
        <f>_xlfn.TEXTAFTER(CONTROL[[#This Row],[VEHIDCODE]],"_")</f>
        <v>Wagon_Gen3_Boxcar_Type1</v>
      </c>
      <c r="C667" t="str" cm="1">
        <f t="array" ref="C6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67" t="str" cm="1">
        <f t="array" ref="D6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7">
        <v>12011</v>
      </c>
      <c r="F667" s="32" t="s">
        <v>1674</v>
      </c>
      <c r="G667" t="s">
        <v>523</v>
      </c>
      <c r="H667" s="2" t="b">
        <f>AND(CONTROL[[#This Row],[IS_WAGON_OR_COACH]]=TRUE,OR(RIGHT(CONTROL[[#This Row],[VEHIDCODE]],7)="Powered",RIGHT(CONTROL[[#This Row],[VEHIDCODE]],9)="Unpowered"))</f>
        <v>0</v>
      </c>
      <c r="I6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7" t="b">
        <f>ISNUMBER(_xlfn.XMATCH(CONTROL[[#This Row],[VEHIDCODE]],TRACK_TYPES[VEHIDCODE],0))</f>
        <v>1</v>
      </c>
      <c r="K667" t="b">
        <f>ISNUMBER(_xlfn.XMATCH(CONTROL[[#This Row],[VEHIDCODE]],PROPERTIES[VEHIDCODE],0))</f>
        <v>1</v>
      </c>
      <c r="L667" t="b">
        <f>ISNUMBER(_xlfn.XLOOKUP(CONTROL[[#This Row],[VEHIDCODE]],roster!A:A,roster!D:D))</f>
        <v>1</v>
      </c>
      <c r="M667" t="b">
        <f>ISNUMBER(_xlfn.XMATCH(CONTROL[[#This Row],[VEHIDCODE]],GRAPHICS_PROPERTIES[VEHIDCODE],0))</f>
        <v>1</v>
      </c>
      <c r="N667" s="21" t="str">
        <f>"item_"&amp;CONTROL[[#This Row],[VEHIDCODE]]</f>
        <v>item_mu_Wagon_Gen3_Boxcar_Type1</v>
      </c>
      <c r="O667" s="21" t="str">
        <f>"str_"&amp;CONTROL[[#This Row],[VEHIDCODE]]</f>
        <v>str_mu_Wagon_Gen3_Boxcar_Type1</v>
      </c>
      <c r="P667" s="7" t="b">
        <f>_xlfn.XLOOKUP(CONTROL[[#This Row],[VEHIDCODE]],PROPERTIES[VEHIDCODE],PROPERTIES[IS_CONCEPT])="IS_CONCEPT"</f>
        <v>0</v>
      </c>
      <c r="Q667" s="7" t="b">
        <f>_xlfn.XLOOKUP(CONTROL[[#This Row],[VEHIDCODE]],PROPERTIES[VEHIDCODE],PROPERTIES[EXCLUDE])</f>
        <v>0</v>
      </c>
      <c r="R667" t="str" cm="1">
        <f t="array" ref="R667">_xlfn.XLOOKUP(CONTROL[[#This Row],[VEHIDCODE]],GRAPHICS_PROPERTIES[VEHIDCODE],GRAPHICS_PROPERTIES[TEMPLATE_ID]&amp;GRAPHICS_PROPERTIES[TEMPLATE_AMENDMENT_CODE])</f>
        <v>TPL_04B</v>
      </c>
    </row>
    <row r="668" spans="1:18" x14ac:dyDescent="0.35">
      <c r="A668" s="2" t="s">
        <v>162</v>
      </c>
      <c r="B668" s="21" t="str">
        <f>_xlfn.TEXTAFTER(CONTROL[[#This Row],[VEHIDCODE]],"_")</f>
        <v>Wagon_Gen3_Boxcar_Type2</v>
      </c>
      <c r="C668" t="str" cm="1">
        <f t="array" ref="C6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68" t="str" cm="1">
        <f t="array" ref="D6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8">
        <v>12047</v>
      </c>
      <c r="F668" s="32" t="s">
        <v>1689</v>
      </c>
      <c r="G668" t="s">
        <v>523</v>
      </c>
      <c r="H668" s="2" t="b">
        <f>AND(CONTROL[[#This Row],[IS_WAGON_OR_COACH]]=TRUE,OR(RIGHT(CONTROL[[#This Row],[VEHIDCODE]],7)="Powered",RIGHT(CONTROL[[#This Row],[VEHIDCODE]],9)="Unpowered"))</f>
        <v>0</v>
      </c>
      <c r="I6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8" t="b">
        <f>ISNUMBER(_xlfn.XMATCH(CONTROL[[#This Row],[VEHIDCODE]],TRACK_TYPES[VEHIDCODE],0))</f>
        <v>1</v>
      </c>
      <c r="K668" t="b">
        <f>ISNUMBER(_xlfn.XMATCH(CONTROL[[#This Row],[VEHIDCODE]],PROPERTIES[VEHIDCODE],0))</f>
        <v>1</v>
      </c>
      <c r="L668" t="b">
        <f>ISNUMBER(_xlfn.XLOOKUP(CONTROL[[#This Row],[VEHIDCODE]],roster!A:A,roster!D:D))</f>
        <v>1</v>
      </c>
      <c r="M668" t="b">
        <f>ISNUMBER(_xlfn.XMATCH(CONTROL[[#This Row],[VEHIDCODE]],GRAPHICS_PROPERTIES[VEHIDCODE],0))</f>
        <v>1</v>
      </c>
      <c r="N668" s="21" t="str">
        <f>"item_"&amp;CONTROL[[#This Row],[VEHIDCODE]]</f>
        <v>item_mu_Wagon_Gen3_Boxcar_Type2</v>
      </c>
      <c r="O668" s="21" t="str">
        <f>"str_"&amp;CONTROL[[#This Row],[VEHIDCODE]]</f>
        <v>str_mu_Wagon_Gen3_Boxcar_Type2</v>
      </c>
      <c r="P668" s="7" t="b">
        <f>_xlfn.XLOOKUP(CONTROL[[#This Row],[VEHIDCODE]],PROPERTIES[VEHIDCODE],PROPERTIES[IS_CONCEPT])="IS_CONCEPT"</f>
        <v>0</v>
      </c>
      <c r="Q668" s="7" t="b">
        <f>_xlfn.XLOOKUP(CONTROL[[#This Row],[VEHIDCODE]],PROPERTIES[VEHIDCODE],PROPERTIES[EXCLUDE])</f>
        <v>0</v>
      </c>
      <c r="R668" t="str" cm="1">
        <f t="array" ref="R668">_xlfn.XLOOKUP(CONTROL[[#This Row],[VEHIDCODE]],GRAPHICS_PROPERTIES[VEHIDCODE],GRAPHICS_PROPERTIES[TEMPLATE_ID]&amp;GRAPHICS_PROPERTIES[TEMPLATE_AMENDMENT_CODE])</f>
        <v>TPL_04B</v>
      </c>
    </row>
    <row r="669" spans="1:18" x14ac:dyDescent="0.35">
      <c r="A669" s="2" t="s">
        <v>163</v>
      </c>
      <c r="B669" s="21" t="str">
        <f>_xlfn.TEXTAFTER(CONTROL[[#This Row],[VEHIDCODE]],"_")</f>
        <v>Wagon_Gen3_Tanker</v>
      </c>
      <c r="C669" t="str" cm="1">
        <f t="array" ref="C6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69" t="str" cm="1">
        <f t="array" ref="D6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9">
        <v>12012</v>
      </c>
      <c r="F669" s="32" t="s">
        <v>413</v>
      </c>
      <c r="G669" t="s">
        <v>523</v>
      </c>
      <c r="H669" s="2" t="b">
        <f>AND(CONTROL[[#This Row],[IS_WAGON_OR_COACH]]=TRUE,OR(RIGHT(CONTROL[[#This Row],[VEHIDCODE]],7)="Powered",RIGHT(CONTROL[[#This Row],[VEHIDCODE]],9)="Unpowered"))</f>
        <v>0</v>
      </c>
      <c r="I6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9" t="b">
        <f>ISNUMBER(_xlfn.XMATCH(CONTROL[[#This Row],[VEHIDCODE]],TRACK_TYPES[VEHIDCODE],0))</f>
        <v>1</v>
      </c>
      <c r="K669" t="b">
        <f>ISNUMBER(_xlfn.XMATCH(CONTROL[[#This Row],[VEHIDCODE]],PROPERTIES[VEHIDCODE],0))</f>
        <v>1</v>
      </c>
      <c r="L669" t="b">
        <f>ISNUMBER(_xlfn.XLOOKUP(CONTROL[[#This Row],[VEHIDCODE]],roster!A:A,roster!D:D))</f>
        <v>1</v>
      </c>
      <c r="M669" t="b">
        <f>ISNUMBER(_xlfn.XMATCH(CONTROL[[#This Row],[VEHIDCODE]],GRAPHICS_PROPERTIES[VEHIDCODE],0))</f>
        <v>1</v>
      </c>
      <c r="N669" s="21" t="str">
        <f>"item_"&amp;CONTROL[[#This Row],[VEHIDCODE]]</f>
        <v>item_mu_Wagon_Gen3_Tanker</v>
      </c>
      <c r="O669" s="21" t="str">
        <f>"str_"&amp;CONTROL[[#This Row],[VEHIDCODE]]</f>
        <v>str_mu_Wagon_Gen3_Tanker</v>
      </c>
      <c r="P669" s="7" t="b">
        <f>_xlfn.XLOOKUP(CONTROL[[#This Row],[VEHIDCODE]],PROPERTIES[VEHIDCODE],PROPERTIES[IS_CONCEPT])="IS_CONCEPT"</f>
        <v>0</v>
      </c>
      <c r="Q669" s="7" t="b">
        <f>_xlfn.XLOOKUP(CONTROL[[#This Row],[VEHIDCODE]],PROPERTIES[VEHIDCODE],PROPERTIES[EXCLUDE])</f>
        <v>0</v>
      </c>
      <c r="R669" t="str" cm="1">
        <f t="array" ref="R669">_xlfn.XLOOKUP(CONTROL[[#This Row],[VEHIDCODE]],GRAPHICS_PROPERTIES[VEHIDCODE],GRAPHICS_PROPERTIES[TEMPLATE_ID]&amp;GRAPHICS_PROPERTIES[TEMPLATE_AMENDMENT_CODE])</f>
        <v>TPL_04B</v>
      </c>
    </row>
    <row r="670" spans="1:18" x14ac:dyDescent="0.35">
      <c r="A670" s="2" t="s">
        <v>164</v>
      </c>
      <c r="B670" s="21" t="str">
        <f>_xlfn.TEXTAFTER(CONTROL[[#This Row],[VEHIDCODE]],"_")</f>
        <v>Wagon_Gen3_Open_Wagon</v>
      </c>
      <c r="C670" t="str" cm="1">
        <f t="array" ref="C6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70" t="str" cm="1">
        <f t="array" ref="D6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0">
        <v>12013</v>
      </c>
      <c r="F670" s="32" t="s">
        <v>414</v>
      </c>
      <c r="G670" t="s">
        <v>523</v>
      </c>
      <c r="H670" s="2" t="b">
        <f>AND(CONTROL[[#This Row],[IS_WAGON_OR_COACH]]=TRUE,OR(RIGHT(CONTROL[[#This Row],[VEHIDCODE]],7)="Powered",RIGHT(CONTROL[[#This Row],[VEHIDCODE]],9)="Unpowered"))</f>
        <v>0</v>
      </c>
      <c r="I6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0" t="b">
        <f>ISNUMBER(_xlfn.XMATCH(CONTROL[[#This Row],[VEHIDCODE]],TRACK_TYPES[VEHIDCODE],0))</f>
        <v>1</v>
      </c>
      <c r="K670" t="b">
        <f>ISNUMBER(_xlfn.XMATCH(CONTROL[[#This Row],[VEHIDCODE]],PROPERTIES[VEHIDCODE],0))</f>
        <v>1</v>
      </c>
      <c r="L670" t="b">
        <f>ISNUMBER(_xlfn.XLOOKUP(CONTROL[[#This Row],[VEHIDCODE]],roster!A:A,roster!D:D))</f>
        <v>1</v>
      </c>
      <c r="M670" t="b">
        <f>ISNUMBER(_xlfn.XMATCH(CONTROL[[#This Row],[VEHIDCODE]],GRAPHICS_PROPERTIES[VEHIDCODE],0))</f>
        <v>1</v>
      </c>
      <c r="N670" s="21" t="str">
        <f>"item_"&amp;CONTROL[[#This Row],[VEHIDCODE]]</f>
        <v>item_mu_Wagon_Gen3_Open_Wagon</v>
      </c>
      <c r="O670" s="21" t="str">
        <f>"str_"&amp;CONTROL[[#This Row],[VEHIDCODE]]</f>
        <v>str_mu_Wagon_Gen3_Open_Wagon</v>
      </c>
      <c r="P670" s="7" t="b">
        <f>_xlfn.XLOOKUP(CONTROL[[#This Row],[VEHIDCODE]],PROPERTIES[VEHIDCODE],PROPERTIES[IS_CONCEPT])="IS_CONCEPT"</f>
        <v>0</v>
      </c>
      <c r="Q670" s="7" t="b">
        <f>_xlfn.XLOOKUP(CONTROL[[#This Row],[VEHIDCODE]],PROPERTIES[VEHIDCODE],PROPERTIES[EXCLUDE])</f>
        <v>0</v>
      </c>
      <c r="R670" t="str" cm="1">
        <f t="array" ref="R670">_xlfn.XLOOKUP(CONTROL[[#This Row],[VEHIDCODE]],GRAPHICS_PROPERTIES[VEHIDCODE],GRAPHICS_PROPERTIES[TEMPLATE_ID]&amp;GRAPHICS_PROPERTIES[TEMPLATE_AMENDMENT_CODE])</f>
        <v>TPL_04B</v>
      </c>
    </row>
    <row r="671" spans="1:18" x14ac:dyDescent="0.35">
      <c r="A671" s="2" t="s">
        <v>165</v>
      </c>
      <c r="B671" s="21" t="str">
        <f>_xlfn.TEXTAFTER(CONTROL[[#This Row],[VEHIDCODE]],"_")</f>
        <v>Wagon_Gen3_Silo_Type1</v>
      </c>
      <c r="C671" t="str" cm="1">
        <f t="array" ref="C6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71" t="str" cm="1">
        <f t="array" ref="D6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1">
        <v>12014</v>
      </c>
      <c r="F671" s="32" t="s">
        <v>1675</v>
      </c>
      <c r="G671" t="s">
        <v>523</v>
      </c>
      <c r="H671" s="2" t="b">
        <f>AND(CONTROL[[#This Row],[IS_WAGON_OR_COACH]]=TRUE,OR(RIGHT(CONTROL[[#This Row],[VEHIDCODE]],7)="Powered",RIGHT(CONTROL[[#This Row],[VEHIDCODE]],9)="Unpowered"))</f>
        <v>0</v>
      </c>
      <c r="I6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1" t="b">
        <f>ISNUMBER(_xlfn.XMATCH(CONTROL[[#This Row],[VEHIDCODE]],TRACK_TYPES[VEHIDCODE],0))</f>
        <v>1</v>
      </c>
      <c r="K671" t="b">
        <f>ISNUMBER(_xlfn.XMATCH(CONTROL[[#This Row],[VEHIDCODE]],PROPERTIES[VEHIDCODE],0))</f>
        <v>1</v>
      </c>
      <c r="L671" t="b">
        <f>ISNUMBER(_xlfn.XLOOKUP(CONTROL[[#This Row],[VEHIDCODE]],roster!A:A,roster!D:D))</f>
        <v>1</v>
      </c>
      <c r="M671" t="b">
        <f>ISNUMBER(_xlfn.XMATCH(CONTROL[[#This Row],[VEHIDCODE]],GRAPHICS_PROPERTIES[VEHIDCODE],0))</f>
        <v>1</v>
      </c>
      <c r="N671" s="21" t="str">
        <f>"item_"&amp;CONTROL[[#This Row],[VEHIDCODE]]</f>
        <v>item_mu_Wagon_Gen3_Silo_Type1</v>
      </c>
      <c r="O671" s="21" t="str">
        <f>"str_"&amp;CONTROL[[#This Row],[VEHIDCODE]]</f>
        <v>str_mu_Wagon_Gen3_Silo_Type1</v>
      </c>
      <c r="P671" s="7" t="b">
        <f>_xlfn.XLOOKUP(CONTROL[[#This Row],[VEHIDCODE]],PROPERTIES[VEHIDCODE],PROPERTIES[IS_CONCEPT])="IS_CONCEPT"</f>
        <v>0</v>
      </c>
      <c r="Q671" s="7" t="b">
        <f>_xlfn.XLOOKUP(CONTROL[[#This Row],[VEHIDCODE]],PROPERTIES[VEHIDCODE],PROPERTIES[EXCLUDE])</f>
        <v>0</v>
      </c>
      <c r="R671" t="str" cm="1">
        <f t="array" ref="R671">_xlfn.XLOOKUP(CONTROL[[#This Row],[VEHIDCODE]],GRAPHICS_PROPERTIES[VEHIDCODE],GRAPHICS_PROPERTIES[TEMPLATE_ID]&amp;GRAPHICS_PROPERTIES[TEMPLATE_AMENDMENT_CODE])</f>
        <v>TPL_04B</v>
      </c>
    </row>
    <row r="672" spans="1:18" x14ac:dyDescent="0.35">
      <c r="A672" s="2" t="s">
        <v>166</v>
      </c>
      <c r="B672" s="21" t="str">
        <f>_xlfn.TEXTAFTER(CONTROL[[#This Row],[VEHIDCODE]],"_")</f>
        <v>Wagon_Gen3_Silo_Type2</v>
      </c>
      <c r="C672" t="str" cm="1">
        <f t="array" ref="C6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72" t="str" cm="1">
        <f t="array" ref="D6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2">
        <v>12039</v>
      </c>
      <c r="F672" s="32" t="s">
        <v>1690</v>
      </c>
      <c r="G672" t="s">
        <v>523</v>
      </c>
      <c r="H672" s="2" t="b">
        <f>AND(CONTROL[[#This Row],[IS_WAGON_OR_COACH]]=TRUE,OR(RIGHT(CONTROL[[#This Row],[VEHIDCODE]],7)="Powered",RIGHT(CONTROL[[#This Row],[VEHIDCODE]],9)="Unpowered"))</f>
        <v>0</v>
      </c>
      <c r="I6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2" t="b">
        <f>ISNUMBER(_xlfn.XMATCH(CONTROL[[#This Row],[VEHIDCODE]],TRACK_TYPES[VEHIDCODE],0))</f>
        <v>1</v>
      </c>
      <c r="K672" t="b">
        <f>ISNUMBER(_xlfn.XMATCH(CONTROL[[#This Row],[VEHIDCODE]],PROPERTIES[VEHIDCODE],0))</f>
        <v>1</v>
      </c>
      <c r="L672" t="b">
        <f>ISNUMBER(_xlfn.XLOOKUP(CONTROL[[#This Row],[VEHIDCODE]],roster!A:A,roster!D:D))</f>
        <v>1</v>
      </c>
      <c r="M672" t="b">
        <f>ISNUMBER(_xlfn.XMATCH(CONTROL[[#This Row],[VEHIDCODE]],GRAPHICS_PROPERTIES[VEHIDCODE],0))</f>
        <v>1</v>
      </c>
      <c r="N672" s="21" t="str">
        <f>"item_"&amp;CONTROL[[#This Row],[VEHIDCODE]]</f>
        <v>item_mu_Wagon_Gen3_Silo_Type2</v>
      </c>
      <c r="O672" s="21" t="str">
        <f>"str_"&amp;CONTROL[[#This Row],[VEHIDCODE]]</f>
        <v>str_mu_Wagon_Gen3_Silo_Type2</v>
      </c>
      <c r="P672" s="7" t="b">
        <f>_xlfn.XLOOKUP(CONTROL[[#This Row],[VEHIDCODE]],PROPERTIES[VEHIDCODE],PROPERTIES[IS_CONCEPT])="IS_CONCEPT"</f>
        <v>0</v>
      </c>
      <c r="Q672" s="7" t="b">
        <f>_xlfn.XLOOKUP(CONTROL[[#This Row],[VEHIDCODE]],PROPERTIES[VEHIDCODE],PROPERTIES[EXCLUDE])</f>
        <v>0</v>
      </c>
      <c r="R672" t="str" cm="1">
        <f t="array" ref="R672">_xlfn.XLOOKUP(CONTROL[[#This Row],[VEHIDCODE]],GRAPHICS_PROPERTIES[VEHIDCODE],GRAPHICS_PROPERTIES[TEMPLATE_ID]&amp;GRAPHICS_PROPERTIES[TEMPLATE_AMENDMENT_CODE])</f>
        <v>TPL_04B</v>
      </c>
    </row>
    <row r="673" spans="1:18" x14ac:dyDescent="0.35">
      <c r="A673" s="2" t="s">
        <v>167</v>
      </c>
      <c r="B673" s="21" t="str">
        <f>_xlfn.TEXTAFTER(CONTROL[[#This Row],[VEHIDCODE]],"_")</f>
        <v>Wagon_Gen3_Hopper</v>
      </c>
      <c r="C673" t="str" cm="1">
        <f t="array" ref="C6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73" t="str" cm="1">
        <f t="array" ref="D6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3">
        <v>12015</v>
      </c>
      <c r="F673" s="32" t="s">
        <v>415</v>
      </c>
      <c r="G673" t="s">
        <v>523</v>
      </c>
      <c r="H673" s="2" t="b">
        <f>AND(CONTROL[[#This Row],[IS_WAGON_OR_COACH]]=TRUE,OR(RIGHT(CONTROL[[#This Row],[VEHIDCODE]],7)="Powered",RIGHT(CONTROL[[#This Row],[VEHIDCODE]],9)="Unpowered"))</f>
        <v>0</v>
      </c>
      <c r="I6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3" t="b">
        <f>ISNUMBER(_xlfn.XMATCH(CONTROL[[#This Row],[VEHIDCODE]],TRACK_TYPES[VEHIDCODE],0))</f>
        <v>1</v>
      </c>
      <c r="K673" t="b">
        <f>ISNUMBER(_xlfn.XMATCH(CONTROL[[#This Row],[VEHIDCODE]],PROPERTIES[VEHIDCODE],0))</f>
        <v>1</v>
      </c>
      <c r="L673" t="b">
        <f>ISNUMBER(_xlfn.XLOOKUP(CONTROL[[#This Row],[VEHIDCODE]],roster!A:A,roster!D:D))</f>
        <v>1</v>
      </c>
      <c r="M673" t="b">
        <f>ISNUMBER(_xlfn.XMATCH(CONTROL[[#This Row],[VEHIDCODE]],GRAPHICS_PROPERTIES[VEHIDCODE],0))</f>
        <v>1</v>
      </c>
      <c r="N673" s="21" t="str">
        <f>"item_"&amp;CONTROL[[#This Row],[VEHIDCODE]]</f>
        <v>item_mu_Wagon_Gen3_Hopper</v>
      </c>
      <c r="O673" s="21" t="str">
        <f>"str_"&amp;CONTROL[[#This Row],[VEHIDCODE]]</f>
        <v>str_mu_Wagon_Gen3_Hopper</v>
      </c>
      <c r="P673" s="7" t="b">
        <f>_xlfn.XLOOKUP(CONTROL[[#This Row],[VEHIDCODE]],PROPERTIES[VEHIDCODE],PROPERTIES[IS_CONCEPT])="IS_CONCEPT"</f>
        <v>0</v>
      </c>
      <c r="Q673" s="7" t="b">
        <f>_xlfn.XLOOKUP(CONTROL[[#This Row],[VEHIDCODE]],PROPERTIES[VEHIDCODE],PROPERTIES[EXCLUDE])</f>
        <v>0</v>
      </c>
      <c r="R673" t="str" cm="1">
        <f t="array" ref="R673">_xlfn.XLOOKUP(CONTROL[[#This Row],[VEHIDCODE]],GRAPHICS_PROPERTIES[VEHIDCODE],GRAPHICS_PROPERTIES[TEMPLATE_ID]&amp;GRAPHICS_PROPERTIES[TEMPLATE_AMENDMENT_CODE])</f>
        <v>TPL_04B</v>
      </c>
    </row>
    <row r="674" spans="1:18" x14ac:dyDescent="0.35">
      <c r="A674" s="2" t="s">
        <v>168</v>
      </c>
      <c r="B674" s="21" t="str">
        <f>_xlfn.TEXTAFTER(CONTROL[[#This Row],[VEHIDCODE]],"_")</f>
        <v>Wagon_Gen4_Flatcar</v>
      </c>
      <c r="C674" t="str" cm="1">
        <f t="array" ref="C6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4" t="str" cm="1">
        <f t="array" ref="D6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4">
        <v>12016</v>
      </c>
      <c r="F674" s="32" t="s">
        <v>416</v>
      </c>
      <c r="G674" t="s">
        <v>523</v>
      </c>
      <c r="H674" s="2" t="b">
        <f>AND(CONTROL[[#This Row],[IS_WAGON_OR_COACH]]=TRUE,OR(RIGHT(CONTROL[[#This Row],[VEHIDCODE]],7)="Powered",RIGHT(CONTROL[[#This Row],[VEHIDCODE]],9)="Unpowered"))</f>
        <v>0</v>
      </c>
      <c r="I6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4" t="b">
        <f>ISNUMBER(_xlfn.XMATCH(CONTROL[[#This Row],[VEHIDCODE]],TRACK_TYPES[VEHIDCODE],0))</f>
        <v>1</v>
      </c>
      <c r="K674" t="b">
        <f>ISNUMBER(_xlfn.XMATCH(CONTROL[[#This Row],[VEHIDCODE]],PROPERTIES[VEHIDCODE],0))</f>
        <v>1</v>
      </c>
      <c r="L674" t="b">
        <f>ISNUMBER(_xlfn.XLOOKUP(CONTROL[[#This Row],[VEHIDCODE]],roster!A:A,roster!D:D))</f>
        <v>1</v>
      </c>
      <c r="M674" t="b">
        <f>ISNUMBER(_xlfn.XMATCH(CONTROL[[#This Row],[VEHIDCODE]],GRAPHICS_PROPERTIES[VEHIDCODE],0))</f>
        <v>1</v>
      </c>
      <c r="N674" s="21" t="str">
        <f>"item_"&amp;CONTROL[[#This Row],[VEHIDCODE]]</f>
        <v>item_mu_Wagon_Gen4_Flatcar</v>
      </c>
      <c r="O674" s="21" t="str">
        <f>"str_"&amp;CONTROL[[#This Row],[VEHIDCODE]]</f>
        <v>str_mu_Wagon_Gen4_Flatcar</v>
      </c>
      <c r="P674" s="7" t="b">
        <f>_xlfn.XLOOKUP(CONTROL[[#This Row],[VEHIDCODE]],PROPERTIES[VEHIDCODE],PROPERTIES[IS_CONCEPT])="IS_CONCEPT"</f>
        <v>0</v>
      </c>
      <c r="Q674" s="7" t="b">
        <f>_xlfn.XLOOKUP(CONTROL[[#This Row],[VEHIDCODE]],PROPERTIES[VEHIDCODE],PROPERTIES[EXCLUDE])</f>
        <v>0</v>
      </c>
      <c r="R674" t="str" cm="1">
        <f t="array" ref="R674">_xlfn.XLOOKUP(CONTROL[[#This Row],[VEHIDCODE]],GRAPHICS_PROPERTIES[VEHIDCODE],GRAPHICS_PROPERTIES[TEMPLATE_ID]&amp;GRAPHICS_PROPERTIES[TEMPLATE_AMENDMENT_CODE])</f>
        <v>TPL_04B</v>
      </c>
    </row>
    <row r="675" spans="1:18" x14ac:dyDescent="0.35">
      <c r="A675" s="2" t="s">
        <v>169</v>
      </c>
      <c r="B675" s="21" t="str">
        <f>_xlfn.TEXTAFTER(CONTROL[[#This Row],[VEHIDCODE]],"_")</f>
        <v>Wagon_Gen4_Heavy_Flatcar</v>
      </c>
      <c r="C675" t="str" cm="1">
        <f t="array" ref="C6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5" t="str" cm="1">
        <f t="array" ref="D6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5">
        <v>12017</v>
      </c>
      <c r="F675" s="32" t="s">
        <v>417</v>
      </c>
      <c r="G675" t="s">
        <v>523</v>
      </c>
      <c r="H675" s="2" t="b">
        <f>AND(CONTROL[[#This Row],[IS_WAGON_OR_COACH]]=TRUE,OR(RIGHT(CONTROL[[#This Row],[VEHIDCODE]],7)="Powered",RIGHT(CONTROL[[#This Row],[VEHIDCODE]],9)="Unpowered"))</f>
        <v>0</v>
      </c>
      <c r="I6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5" t="b">
        <f>ISNUMBER(_xlfn.XMATCH(CONTROL[[#This Row],[VEHIDCODE]],TRACK_TYPES[VEHIDCODE],0))</f>
        <v>1</v>
      </c>
      <c r="K675" t="b">
        <f>ISNUMBER(_xlfn.XMATCH(CONTROL[[#This Row],[VEHIDCODE]],PROPERTIES[VEHIDCODE],0))</f>
        <v>1</v>
      </c>
      <c r="L675" t="b">
        <f>ISNUMBER(_xlfn.XLOOKUP(CONTROL[[#This Row],[VEHIDCODE]],roster!A:A,roster!D:D))</f>
        <v>1</v>
      </c>
      <c r="M675" t="b">
        <f>ISNUMBER(_xlfn.XMATCH(CONTROL[[#This Row],[VEHIDCODE]],GRAPHICS_PROPERTIES[VEHIDCODE],0))</f>
        <v>1</v>
      </c>
      <c r="N675" s="21" t="str">
        <f>"item_"&amp;CONTROL[[#This Row],[VEHIDCODE]]</f>
        <v>item_mu_Wagon_Gen4_Heavy_Flatcar</v>
      </c>
      <c r="O675" s="21" t="str">
        <f>"str_"&amp;CONTROL[[#This Row],[VEHIDCODE]]</f>
        <v>str_mu_Wagon_Gen4_Heavy_Flatcar</v>
      </c>
      <c r="P675" s="7" t="b">
        <f>_xlfn.XLOOKUP(CONTROL[[#This Row],[VEHIDCODE]],PROPERTIES[VEHIDCODE],PROPERTIES[IS_CONCEPT])="IS_CONCEPT"</f>
        <v>0</v>
      </c>
      <c r="Q675" s="7" t="b">
        <f>_xlfn.XLOOKUP(CONTROL[[#This Row],[VEHIDCODE]],PROPERTIES[VEHIDCODE],PROPERTIES[EXCLUDE])</f>
        <v>0</v>
      </c>
      <c r="R675" t="str" cm="1">
        <f t="array" ref="R675">_xlfn.XLOOKUP(CONTROL[[#This Row],[VEHIDCODE]],GRAPHICS_PROPERTIES[VEHIDCODE],GRAPHICS_PROPERTIES[TEMPLATE_ID]&amp;GRAPHICS_PROPERTIES[TEMPLATE_AMENDMENT_CODE])</f>
        <v>TPL_04B</v>
      </c>
    </row>
    <row r="676" spans="1:18" x14ac:dyDescent="0.35">
      <c r="A676" s="2" t="s">
        <v>170</v>
      </c>
      <c r="B676" s="21" t="str">
        <f>_xlfn.TEXTAFTER(CONTROL[[#This Row],[VEHIDCODE]],"_")</f>
        <v>Wagon_Gen4_Boxcar_Type1</v>
      </c>
      <c r="C676" t="str" cm="1">
        <f t="array" ref="C6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6" t="str" cm="1">
        <f t="array" ref="D6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6">
        <v>12018</v>
      </c>
      <c r="F676" s="32" t="s">
        <v>1676</v>
      </c>
      <c r="G676" t="s">
        <v>523</v>
      </c>
      <c r="H676" s="2" t="b">
        <f>AND(CONTROL[[#This Row],[IS_WAGON_OR_COACH]]=TRUE,OR(RIGHT(CONTROL[[#This Row],[VEHIDCODE]],7)="Powered",RIGHT(CONTROL[[#This Row],[VEHIDCODE]],9)="Unpowered"))</f>
        <v>0</v>
      </c>
      <c r="I6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6" t="b">
        <f>ISNUMBER(_xlfn.XMATCH(CONTROL[[#This Row],[VEHIDCODE]],TRACK_TYPES[VEHIDCODE],0))</f>
        <v>1</v>
      </c>
      <c r="K676" t="b">
        <f>ISNUMBER(_xlfn.XMATCH(CONTROL[[#This Row],[VEHIDCODE]],PROPERTIES[VEHIDCODE],0))</f>
        <v>1</v>
      </c>
      <c r="L676" t="b">
        <f>ISNUMBER(_xlfn.XLOOKUP(CONTROL[[#This Row],[VEHIDCODE]],roster!A:A,roster!D:D))</f>
        <v>1</v>
      </c>
      <c r="M676" t="b">
        <f>ISNUMBER(_xlfn.XMATCH(CONTROL[[#This Row],[VEHIDCODE]],GRAPHICS_PROPERTIES[VEHIDCODE],0))</f>
        <v>1</v>
      </c>
      <c r="N676" s="21" t="str">
        <f>"item_"&amp;CONTROL[[#This Row],[VEHIDCODE]]</f>
        <v>item_mu_Wagon_Gen4_Boxcar_Type1</v>
      </c>
      <c r="O676" s="21" t="str">
        <f>"str_"&amp;CONTROL[[#This Row],[VEHIDCODE]]</f>
        <v>str_mu_Wagon_Gen4_Boxcar_Type1</v>
      </c>
      <c r="P676" s="7" t="b">
        <f>_xlfn.XLOOKUP(CONTROL[[#This Row],[VEHIDCODE]],PROPERTIES[VEHIDCODE],PROPERTIES[IS_CONCEPT])="IS_CONCEPT"</f>
        <v>0</v>
      </c>
      <c r="Q676" s="7" t="b">
        <f>_xlfn.XLOOKUP(CONTROL[[#This Row],[VEHIDCODE]],PROPERTIES[VEHIDCODE],PROPERTIES[EXCLUDE])</f>
        <v>0</v>
      </c>
      <c r="R676" t="str" cm="1">
        <f t="array" ref="R676">_xlfn.XLOOKUP(CONTROL[[#This Row],[VEHIDCODE]],GRAPHICS_PROPERTIES[VEHIDCODE],GRAPHICS_PROPERTIES[TEMPLATE_ID]&amp;GRAPHICS_PROPERTIES[TEMPLATE_AMENDMENT_CODE])</f>
        <v>TPL_04B</v>
      </c>
    </row>
    <row r="677" spans="1:18" x14ac:dyDescent="0.35">
      <c r="A677" s="2" t="s">
        <v>171</v>
      </c>
      <c r="B677" s="21" t="str">
        <f>_xlfn.TEXTAFTER(CONTROL[[#This Row],[VEHIDCODE]],"_")</f>
        <v>Wagon_Gen4_Boxcar_Type2</v>
      </c>
      <c r="C677" t="str" cm="1">
        <f t="array" ref="C6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7" t="str" cm="1">
        <f t="array" ref="D6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7">
        <v>12048</v>
      </c>
      <c r="F677" s="32" t="s">
        <v>1691</v>
      </c>
      <c r="G677" t="s">
        <v>523</v>
      </c>
      <c r="H677" s="2" t="b">
        <f>AND(CONTROL[[#This Row],[IS_WAGON_OR_COACH]]=TRUE,OR(RIGHT(CONTROL[[#This Row],[VEHIDCODE]],7)="Powered",RIGHT(CONTROL[[#This Row],[VEHIDCODE]],9)="Unpowered"))</f>
        <v>0</v>
      </c>
      <c r="I6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7" t="b">
        <f>ISNUMBER(_xlfn.XMATCH(CONTROL[[#This Row],[VEHIDCODE]],TRACK_TYPES[VEHIDCODE],0))</f>
        <v>1</v>
      </c>
      <c r="K677" t="b">
        <f>ISNUMBER(_xlfn.XMATCH(CONTROL[[#This Row],[VEHIDCODE]],PROPERTIES[VEHIDCODE],0))</f>
        <v>1</v>
      </c>
      <c r="L677" t="b">
        <f>ISNUMBER(_xlfn.XLOOKUP(CONTROL[[#This Row],[VEHIDCODE]],roster!A:A,roster!D:D))</f>
        <v>1</v>
      </c>
      <c r="M677" t="b">
        <f>ISNUMBER(_xlfn.XMATCH(CONTROL[[#This Row],[VEHIDCODE]],GRAPHICS_PROPERTIES[VEHIDCODE],0))</f>
        <v>1</v>
      </c>
      <c r="N677" s="21" t="str">
        <f>"item_"&amp;CONTROL[[#This Row],[VEHIDCODE]]</f>
        <v>item_mu_Wagon_Gen4_Boxcar_Type2</v>
      </c>
      <c r="O677" s="21" t="str">
        <f>"str_"&amp;CONTROL[[#This Row],[VEHIDCODE]]</f>
        <v>str_mu_Wagon_Gen4_Boxcar_Type2</v>
      </c>
      <c r="P677" s="7" t="b">
        <f>_xlfn.XLOOKUP(CONTROL[[#This Row],[VEHIDCODE]],PROPERTIES[VEHIDCODE],PROPERTIES[IS_CONCEPT])="IS_CONCEPT"</f>
        <v>0</v>
      </c>
      <c r="Q677" s="7" t="b">
        <f>_xlfn.XLOOKUP(CONTROL[[#This Row],[VEHIDCODE]],PROPERTIES[VEHIDCODE],PROPERTIES[EXCLUDE])</f>
        <v>0</v>
      </c>
      <c r="R677" t="str" cm="1">
        <f t="array" ref="R677">_xlfn.XLOOKUP(CONTROL[[#This Row],[VEHIDCODE]],GRAPHICS_PROPERTIES[VEHIDCODE],GRAPHICS_PROPERTIES[TEMPLATE_ID]&amp;GRAPHICS_PROPERTIES[TEMPLATE_AMENDMENT_CODE])</f>
        <v>TPL_04B</v>
      </c>
    </row>
    <row r="678" spans="1:18" x14ac:dyDescent="0.35">
      <c r="A678" s="2" t="s">
        <v>172</v>
      </c>
      <c r="B678" s="21" t="str">
        <f>_xlfn.TEXTAFTER(CONTROL[[#This Row],[VEHIDCODE]],"_")</f>
        <v>Wagon_Gen4_Tanker</v>
      </c>
      <c r="C678" t="str" cm="1">
        <f t="array" ref="C6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8" t="str" cm="1">
        <f t="array" ref="D6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8">
        <v>12019</v>
      </c>
      <c r="F678" s="32" t="s">
        <v>418</v>
      </c>
      <c r="G678" t="s">
        <v>523</v>
      </c>
      <c r="H678" s="2" t="b">
        <f>AND(CONTROL[[#This Row],[IS_WAGON_OR_COACH]]=TRUE,OR(RIGHT(CONTROL[[#This Row],[VEHIDCODE]],7)="Powered",RIGHT(CONTROL[[#This Row],[VEHIDCODE]],9)="Unpowered"))</f>
        <v>0</v>
      </c>
      <c r="I6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8" t="b">
        <f>ISNUMBER(_xlfn.XMATCH(CONTROL[[#This Row],[VEHIDCODE]],TRACK_TYPES[VEHIDCODE],0))</f>
        <v>1</v>
      </c>
      <c r="K678" t="b">
        <f>ISNUMBER(_xlfn.XMATCH(CONTROL[[#This Row],[VEHIDCODE]],PROPERTIES[VEHIDCODE],0))</f>
        <v>1</v>
      </c>
      <c r="L678" t="b">
        <f>ISNUMBER(_xlfn.XLOOKUP(CONTROL[[#This Row],[VEHIDCODE]],roster!A:A,roster!D:D))</f>
        <v>1</v>
      </c>
      <c r="M678" t="b">
        <f>ISNUMBER(_xlfn.XMATCH(CONTROL[[#This Row],[VEHIDCODE]],GRAPHICS_PROPERTIES[VEHIDCODE],0))</f>
        <v>1</v>
      </c>
      <c r="N678" s="21" t="str">
        <f>"item_"&amp;CONTROL[[#This Row],[VEHIDCODE]]</f>
        <v>item_mu_Wagon_Gen4_Tanker</v>
      </c>
      <c r="O678" s="21" t="str">
        <f>"str_"&amp;CONTROL[[#This Row],[VEHIDCODE]]</f>
        <v>str_mu_Wagon_Gen4_Tanker</v>
      </c>
      <c r="P678" s="7" t="b">
        <f>_xlfn.XLOOKUP(CONTROL[[#This Row],[VEHIDCODE]],PROPERTIES[VEHIDCODE],PROPERTIES[IS_CONCEPT])="IS_CONCEPT"</f>
        <v>0</v>
      </c>
      <c r="Q678" s="7" t="b">
        <f>_xlfn.XLOOKUP(CONTROL[[#This Row],[VEHIDCODE]],PROPERTIES[VEHIDCODE],PROPERTIES[EXCLUDE])</f>
        <v>0</v>
      </c>
      <c r="R678" t="str" cm="1">
        <f t="array" ref="R678">_xlfn.XLOOKUP(CONTROL[[#This Row],[VEHIDCODE]],GRAPHICS_PROPERTIES[VEHIDCODE],GRAPHICS_PROPERTIES[TEMPLATE_ID]&amp;GRAPHICS_PROPERTIES[TEMPLATE_AMENDMENT_CODE])</f>
        <v>TPL_04B</v>
      </c>
    </row>
    <row r="679" spans="1:18" x14ac:dyDescent="0.35">
      <c r="A679" s="2" t="s">
        <v>173</v>
      </c>
      <c r="B679" s="21" t="str">
        <f>_xlfn.TEXTAFTER(CONTROL[[#This Row],[VEHIDCODE]],"_")</f>
        <v>Wagon_Gen4_Gondola</v>
      </c>
      <c r="C679" t="str" cm="1">
        <f t="array" ref="C6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9" t="str" cm="1">
        <f t="array" ref="D6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9">
        <v>12020</v>
      </c>
      <c r="F679" s="32" t="s">
        <v>419</v>
      </c>
      <c r="G679" t="s">
        <v>523</v>
      </c>
      <c r="H679" s="2" t="b">
        <f>AND(CONTROL[[#This Row],[IS_WAGON_OR_COACH]]=TRUE,OR(RIGHT(CONTROL[[#This Row],[VEHIDCODE]],7)="Powered",RIGHT(CONTROL[[#This Row],[VEHIDCODE]],9)="Unpowered"))</f>
        <v>0</v>
      </c>
      <c r="I6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9" t="b">
        <f>ISNUMBER(_xlfn.XMATCH(CONTROL[[#This Row],[VEHIDCODE]],TRACK_TYPES[VEHIDCODE],0))</f>
        <v>1</v>
      </c>
      <c r="K679" t="b">
        <f>ISNUMBER(_xlfn.XMATCH(CONTROL[[#This Row],[VEHIDCODE]],PROPERTIES[VEHIDCODE],0))</f>
        <v>1</v>
      </c>
      <c r="L679" t="b">
        <f>ISNUMBER(_xlfn.XLOOKUP(CONTROL[[#This Row],[VEHIDCODE]],roster!A:A,roster!D:D))</f>
        <v>1</v>
      </c>
      <c r="M679" t="b">
        <f>ISNUMBER(_xlfn.XMATCH(CONTROL[[#This Row],[VEHIDCODE]],GRAPHICS_PROPERTIES[VEHIDCODE],0))</f>
        <v>1</v>
      </c>
      <c r="N679" s="21" t="str">
        <f>"item_"&amp;CONTROL[[#This Row],[VEHIDCODE]]</f>
        <v>item_mu_Wagon_Gen4_Gondola</v>
      </c>
      <c r="O679" s="21" t="str">
        <f>"str_"&amp;CONTROL[[#This Row],[VEHIDCODE]]</f>
        <v>str_mu_Wagon_Gen4_Gondola</v>
      </c>
      <c r="P679" s="7" t="b">
        <f>_xlfn.XLOOKUP(CONTROL[[#This Row],[VEHIDCODE]],PROPERTIES[VEHIDCODE],PROPERTIES[IS_CONCEPT])="IS_CONCEPT"</f>
        <v>0</v>
      </c>
      <c r="Q679" s="7" t="b">
        <f>_xlfn.XLOOKUP(CONTROL[[#This Row],[VEHIDCODE]],PROPERTIES[VEHIDCODE],PROPERTIES[EXCLUDE])</f>
        <v>0</v>
      </c>
      <c r="R679" t="str" cm="1">
        <f t="array" ref="R679">_xlfn.XLOOKUP(CONTROL[[#This Row],[VEHIDCODE]],GRAPHICS_PROPERTIES[VEHIDCODE],GRAPHICS_PROPERTIES[TEMPLATE_ID]&amp;GRAPHICS_PROPERTIES[TEMPLATE_AMENDMENT_CODE])</f>
        <v>TPL_04B</v>
      </c>
    </row>
    <row r="680" spans="1:18" x14ac:dyDescent="0.35">
      <c r="A680" s="2" t="s">
        <v>174</v>
      </c>
      <c r="B680" s="21" t="str">
        <f>_xlfn.TEXTAFTER(CONTROL[[#This Row],[VEHIDCODE]],"_")</f>
        <v>Wagon_Gen4_Silo_Type1</v>
      </c>
      <c r="C680" t="str" cm="1">
        <f t="array" ref="C6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0" t="str" cm="1">
        <f t="array" ref="D6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0">
        <v>12021</v>
      </c>
      <c r="F680" s="32" t="s">
        <v>1677</v>
      </c>
      <c r="G680" t="s">
        <v>523</v>
      </c>
      <c r="H680" s="2" t="b">
        <f>AND(CONTROL[[#This Row],[IS_WAGON_OR_COACH]]=TRUE,OR(RIGHT(CONTROL[[#This Row],[VEHIDCODE]],7)="Powered",RIGHT(CONTROL[[#This Row],[VEHIDCODE]],9)="Unpowered"))</f>
        <v>0</v>
      </c>
      <c r="I6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0" t="b">
        <f>ISNUMBER(_xlfn.XMATCH(CONTROL[[#This Row],[VEHIDCODE]],TRACK_TYPES[VEHIDCODE],0))</f>
        <v>1</v>
      </c>
      <c r="K680" t="b">
        <f>ISNUMBER(_xlfn.XMATCH(CONTROL[[#This Row],[VEHIDCODE]],PROPERTIES[VEHIDCODE],0))</f>
        <v>1</v>
      </c>
      <c r="L680" t="b">
        <f>ISNUMBER(_xlfn.XLOOKUP(CONTROL[[#This Row],[VEHIDCODE]],roster!A:A,roster!D:D))</f>
        <v>1</v>
      </c>
      <c r="M680" t="b">
        <f>ISNUMBER(_xlfn.XMATCH(CONTROL[[#This Row],[VEHIDCODE]],GRAPHICS_PROPERTIES[VEHIDCODE],0))</f>
        <v>1</v>
      </c>
      <c r="N680" s="21" t="str">
        <f>"item_"&amp;CONTROL[[#This Row],[VEHIDCODE]]</f>
        <v>item_mu_Wagon_Gen4_Silo_Type1</v>
      </c>
      <c r="O680" s="21" t="str">
        <f>"str_"&amp;CONTROL[[#This Row],[VEHIDCODE]]</f>
        <v>str_mu_Wagon_Gen4_Silo_Type1</v>
      </c>
      <c r="P680" s="7" t="b">
        <f>_xlfn.XLOOKUP(CONTROL[[#This Row],[VEHIDCODE]],PROPERTIES[VEHIDCODE],PROPERTIES[IS_CONCEPT])="IS_CONCEPT"</f>
        <v>0</v>
      </c>
      <c r="Q680" s="7" t="b">
        <f>_xlfn.XLOOKUP(CONTROL[[#This Row],[VEHIDCODE]],PROPERTIES[VEHIDCODE],PROPERTIES[EXCLUDE])</f>
        <v>0</v>
      </c>
      <c r="R680" t="str" cm="1">
        <f t="array" ref="R680">_xlfn.XLOOKUP(CONTROL[[#This Row],[VEHIDCODE]],GRAPHICS_PROPERTIES[VEHIDCODE],GRAPHICS_PROPERTIES[TEMPLATE_ID]&amp;GRAPHICS_PROPERTIES[TEMPLATE_AMENDMENT_CODE])</f>
        <v>TPL_04B</v>
      </c>
    </row>
    <row r="681" spans="1:18" x14ac:dyDescent="0.35">
      <c r="A681" s="2" t="s">
        <v>175</v>
      </c>
      <c r="B681" s="21" t="str">
        <f>_xlfn.TEXTAFTER(CONTROL[[#This Row],[VEHIDCODE]],"_")</f>
        <v>Wagon_Gen4_Silo_Type2</v>
      </c>
      <c r="C681" t="str" cm="1">
        <f t="array" ref="C6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1" t="str" cm="1">
        <f t="array" ref="D6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1">
        <v>12040</v>
      </c>
      <c r="F681" s="32" t="s">
        <v>1692</v>
      </c>
      <c r="G681" t="s">
        <v>523</v>
      </c>
      <c r="H681" s="2" t="b">
        <f>AND(CONTROL[[#This Row],[IS_WAGON_OR_COACH]]=TRUE,OR(RIGHT(CONTROL[[#This Row],[VEHIDCODE]],7)="Powered",RIGHT(CONTROL[[#This Row],[VEHIDCODE]],9)="Unpowered"))</f>
        <v>0</v>
      </c>
      <c r="I6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1" t="b">
        <f>ISNUMBER(_xlfn.XMATCH(CONTROL[[#This Row],[VEHIDCODE]],TRACK_TYPES[VEHIDCODE],0))</f>
        <v>1</v>
      </c>
      <c r="K681" t="b">
        <f>ISNUMBER(_xlfn.XMATCH(CONTROL[[#This Row],[VEHIDCODE]],PROPERTIES[VEHIDCODE],0))</f>
        <v>1</v>
      </c>
      <c r="L681" t="b">
        <f>ISNUMBER(_xlfn.XLOOKUP(CONTROL[[#This Row],[VEHIDCODE]],roster!A:A,roster!D:D))</f>
        <v>1</v>
      </c>
      <c r="M681" t="b">
        <f>ISNUMBER(_xlfn.XMATCH(CONTROL[[#This Row],[VEHIDCODE]],GRAPHICS_PROPERTIES[VEHIDCODE],0))</f>
        <v>1</v>
      </c>
      <c r="N681" s="21" t="str">
        <f>"item_"&amp;CONTROL[[#This Row],[VEHIDCODE]]</f>
        <v>item_mu_Wagon_Gen4_Silo_Type2</v>
      </c>
      <c r="O681" s="21" t="str">
        <f>"str_"&amp;CONTROL[[#This Row],[VEHIDCODE]]</f>
        <v>str_mu_Wagon_Gen4_Silo_Type2</v>
      </c>
      <c r="P681" s="7" t="b">
        <f>_xlfn.XLOOKUP(CONTROL[[#This Row],[VEHIDCODE]],PROPERTIES[VEHIDCODE],PROPERTIES[IS_CONCEPT])="IS_CONCEPT"</f>
        <v>0</v>
      </c>
      <c r="Q681" s="7" t="b">
        <f>_xlfn.XLOOKUP(CONTROL[[#This Row],[VEHIDCODE]],PROPERTIES[VEHIDCODE],PROPERTIES[EXCLUDE])</f>
        <v>0</v>
      </c>
      <c r="R681" t="str" cm="1">
        <f t="array" ref="R681">_xlfn.XLOOKUP(CONTROL[[#This Row],[VEHIDCODE]],GRAPHICS_PROPERTIES[VEHIDCODE],GRAPHICS_PROPERTIES[TEMPLATE_ID]&amp;GRAPHICS_PROPERTIES[TEMPLATE_AMENDMENT_CODE])</f>
        <v>TPL_04B</v>
      </c>
    </row>
    <row r="682" spans="1:18" x14ac:dyDescent="0.35">
      <c r="A682" s="2" t="s">
        <v>176</v>
      </c>
      <c r="B682" s="21" t="str">
        <f>_xlfn.TEXTAFTER(CONTROL[[#This Row],[VEHIDCODE]],"_")</f>
        <v>Wagon_Gen4_Hopper_Type1</v>
      </c>
      <c r="C682" t="str" cm="1">
        <f t="array" ref="C6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2" t="str" cm="1">
        <f t="array" ref="D6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2">
        <v>12022</v>
      </c>
      <c r="F682" s="32" t="s">
        <v>1678</v>
      </c>
      <c r="G682" t="s">
        <v>523</v>
      </c>
      <c r="H682" s="2" t="b">
        <f>AND(CONTROL[[#This Row],[IS_WAGON_OR_COACH]]=TRUE,OR(RIGHT(CONTROL[[#This Row],[VEHIDCODE]],7)="Powered",RIGHT(CONTROL[[#This Row],[VEHIDCODE]],9)="Unpowered"))</f>
        <v>0</v>
      </c>
      <c r="I6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2" t="b">
        <f>ISNUMBER(_xlfn.XMATCH(CONTROL[[#This Row],[VEHIDCODE]],TRACK_TYPES[VEHIDCODE],0))</f>
        <v>1</v>
      </c>
      <c r="K682" t="b">
        <f>ISNUMBER(_xlfn.XMATCH(CONTROL[[#This Row],[VEHIDCODE]],PROPERTIES[VEHIDCODE],0))</f>
        <v>1</v>
      </c>
      <c r="L682" t="b">
        <f>ISNUMBER(_xlfn.XLOOKUP(CONTROL[[#This Row],[VEHIDCODE]],roster!A:A,roster!D:D))</f>
        <v>1</v>
      </c>
      <c r="M682" t="b">
        <f>ISNUMBER(_xlfn.XMATCH(CONTROL[[#This Row],[VEHIDCODE]],GRAPHICS_PROPERTIES[VEHIDCODE],0))</f>
        <v>1</v>
      </c>
      <c r="N682" s="21" t="str">
        <f>"item_"&amp;CONTROL[[#This Row],[VEHIDCODE]]</f>
        <v>item_mu_Wagon_Gen4_Hopper_Type1</v>
      </c>
      <c r="O682" s="21" t="str">
        <f>"str_"&amp;CONTROL[[#This Row],[VEHIDCODE]]</f>
        <v>str_mu_Wagon_Gen4_Hopper_Type1</v>
      </c>
      <c r="P682" s="7" t="b">
        <f>_xlfn.XLOOKUP(CONTROL[[#This Row],[VEHIDCODE]],PROPERTIES[VEHIDCODE],PROPERTIES[IS_CONCEPT])="IS_CONCEPT"</f>
        <v>0</v>
      </c>
      <c r="Q682" s="7" t="b">
        <f>_xlfn.XLOOKUP(CONTROL[[#This Row],[VEHIDCODE]],PROPERTIES[VEHIDCODE],PROPERTIES[EXCLUDE])</f>
        <v>0</v>
      </c>
      <c r="R682" t="str" cm="1">
        <f t="array" ref="R682">_xlfn.XLOOKUP(CONTROL[[#This Row],[VEHIDCODE]],GRAPHICS_PROPERTIES[VEHIDCODE],GRAPHICS_PROPERTIES[TEMPLATE_ID]&amp;GRAPHICS_PROPERTIES[TEMPLATE_AMENDMENT_CODE])</f>
        <v>TPL_04B</v>
      </c>
    </row>
    <row r="683" spans="1:18" x14ac:dyDescent="0.35">
      <c r="A683" s="2" t="s">
        <v>177</v>
      </c>
      <c r="B683" s="21" t="str">
        <f>_xlfn.TEXTAFTER(CONTROL[[#This Row],[VEHIDCODE]],"_")</f>
        <v>Wagon_Gen4_Hopper_Type2</v>
      </c>
      <c r="C683" t="str" cm="1">
        <f t="array" ref="C6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3" t="str" cm="1">
        <f t="array" ref="D6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3">
        <v>12041</v>
      </c>
      <c r="F683" s="32" t="s">
        <v>1693</v>
      </c>
      <c r="G683" t="s">
        <v>523</v>
      </c>
      <c r="H683" s="2" t="b">
        <f>AND(CONTROL[[#This Row],[IS_WAGON_OR_COACH]]=TRUE,OR(RIGHT(CONTROL[[#This Row],[VEHIDCODE]],7)="Powered",RIGHT(CONTROL[[#This Row],[VEHIDCODE]],9)="Unpowered"))</f>
        <v>0</v>
      </c>
      <c r="I6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3" t="b">
        <f>ISNUMBER(_xlfn.XMATCH(CONTROL[[#This Row],[VEHIDCODE]],TRACK_TYPES[VEHIDCODE],0))</f>
        <v>1</v>
      </c>
      <c r="K683" t="b">
        <f>ISNUMBER(_xlfn.XMATCH(CONTROL[[#This Row],[VEHIDCODE]],PROPERTIES[VEHIDCODE],0))</f>
        <v>1</v>
      </c>
      <c r="L683" t="b">
        <f>ISNUMBER(_xlfn.XLOOKUP(CONTROL[[#This Row],[VEHIDCODE]],roster!A:A,roster!D:D))</f>
        <v>1</v>
      </c>
      <c r="M683" t="b">
        <f>ISNUMBER(_xlfn.XMATCH(CONTROL[[#This Row],[VEHIDCODE]],GRAPHICS_PROPERTIES[VEHIDCODE],0))</f>
        <v>1</v>
      </c>
      <c r="N683" s="21" t="str">
        <f>"item_"&amp;CONTROL[[#This Row],[VEHIDCODE]]</f>
        <v>item_mu_Wagon_Gen4_Hopper_Type2</v>
      </c>
      <c r="O683" s="21" t="str">
        <f>"str_"&amp;CONTROL[[#This Row],[VEHIDCODE]]</f>
        <v>str_mu_Wagon_Gen4_Hopper_Type2</v>
      </c>
      <c r="P683" s="7" t="b">
        <f>_xlfn.XLOOKUP(CONTROL[[#This Row],[VEHIDCODE]],PROPERTIES[VEHIDCODE],PROPERTIES[IS_CONCEPT])="IS_CONCEPT"</f>
        <v>0</v>
      </c>
      <c r="Q683" s="7" t="b">
        <f>_xlfn.XLOOKUP(CONTROL[[#This Row],[VEHIDCODE]],PROPERTIES[VEHIDCODE],PROPERTIES[EXCLUDE])</f>
        <v>0</v>
      </c>
      <c r="R683" t="str" cm="1">
        <f t="array" ref="R683">_xlfn.XLOOKUP(CONTROL[[#This Row],[VEHIDCODE]],GRAPHICS_PROPERTIES[VEHIDCODE],GRAPHICS_PROPERTIES[TEMPLATE_ID]&amp;GRAPHICS_PROPERTIES[TEMPLATE_AMENDMENT_CODE])</f>
        <v>TPL_04B</v>
      </c>
    </row>
    <row r="684" spans="1:18" x14ac:dyDescent="0.35">
      <c r="A684" s="2" t="s">
        <v>178</v>
      </c>
      <c r="B684" s="21" t="str">
        <f>_xlfn.TEXTAFTER(CONTROL[[#This Row],[VEHIDCODE]],"_")</f>
        <v>Wagon_Gen4_Car_Transporter</v>
      </c>
      <c r="C684" t="str" cm="1">
        <f t="array" ref="C6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4" t="str" cm="1">
        <f t="array" ref="D6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4">
        <v>12023</v>
      </c>
      <c r="F684" s="32" t="s">
        <v>420</v>
      </c>
      <c r="G684" t="s">
        <v>523</v>
      </c>
      <c r="H684" s="2" t="b">
        <f>AND(CONTROL[[#This Row],[IS_WAGON_OR_COACH]]=TRUE,OR(RIGHT(CONTROL[[#This Row],[VEHIDCODE]],7)="Powered",RIGHT(CONTROL[[#This Row],[VEHIDCODE]],9)="Unpowered"))</f>
        <v>0</v>
      </c>
      <c r="I6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4" t="b">
        <f>ISNUMBER(_xlfn.XMATCH(CONTROL[[#This Row],[VEHIDCODE]],TRACK_TYPES[VEHIDCODE],0))</f>
        <v>1</v>
      </c>
      <c r="K684" t="b">
        <f>ISNUMBER(_xlfn.XMATCH(CONTROL[[#This Row],[VEHIDCODE]],PROPERTIES[VEHIDCODE],0))</f>
        <v>1</v>
      </c>
      <c r="L684" t="b">
        <f>ISNUMBER(_xlfn.XLOOKUP(CONTROL[[#This Row],[VEHIDCODE]],roster!A:A,roster!D:D))</f>
        <v>1</v>
      </c>
      <c r="M684" t="b">
        <f>ISNUMBER(_xlfn.XMATCH(CONTROL[[#This Row],[VEHIDCODE]],GRAPHICS_PROPERTIES[VEHIDCODE],0))</f>
        <v>1</v>
      </c>
      <c r="N684" s="21" t="str">
        <f>"item_"&amp;CONTROL[[#This Row],[VEHIDCODE]]</f>
        <v>item_mu_Wagon_Gen4_Car_Transporter</v>
      </c>
      <c r="O684" s="21" t="str">
        <f>"str_"&amp;CONTROL[[#This Row],[VEHIDCODE]]</f>
        <v>str_mu_Wagon_Gen4_Car_Transporter</v>
      </c>
      <c r="P684" s="7" t="b">
        <f>_xlfn.XLOOKUP(CONTROL[[#This Row],[VEHIDCODE]],PROPERTIES[VEHIDCODE],PROPERTIES[IS_CONCEPT])="IS_CONCEPT"</f>
        <v>0</v>
      </c>
      <c r="Q684" s="7" t="b">
        <f>_xlfn.XLOOKUP(CONTROL[[#This Row],[VEHIDCODE]],PROPERTIES[VEHIDCODE],PROPERTIES[EXCLUDE])</f>
        <v>0</v>
      </c>
      <c r="R684" t="str" cm="1">
        <f t="array" ref="R684">_xlfn.XLOOKUP(CONTROL[[#This Row],[VEHIDCODE]],GRAPHICS_PROPERTIES[VEHIDCODE],GRAPHICS_PROPERTIES[TEMPLATE_ID]&amp;GRAPHICS_PROPERTIES[TEMPLATE_AMENDMENT_CODE])</f>
        <v>TPL_04B</v>
      </c>
    </row>
    <row r="685" spans="1:18" x14ac:dyDescent="0.35">
      <c r="A685" s="2" t="s">
        <v>179</v>
      </c>
      <c r="B685" s="21" t="str">
        <f>_xlfn.TEXTAFTER(CONTROL[[#This Row],[VEHIDCODE]],"_")</f>
        <v>Wagon_Gen4_Container_Carrier</v>
      </c>
      <c r="C685" t="str" cm="1">
        <f t="array" ref="C6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5" t="str" cm="1">
        <f t="array" ref="D6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5">
        <v>12024</v>
      </c>
      <c r="F685" s="32" t="s">
        <v>421</v>
      </c>
      <c r="G685" t="s">
        <v>523</v>
      </c>
      <c r="H685" s="2" t="b">
        <f>AND(CONTROL[[#This Row],[IS_WAGON_OR_COACH]]=TRUE,OR(RIGHT(CONTROL[[#This Row],[VEHIDCODE]],7)="Powered",RIGHT(CONTROL[[#This Row],[VEHIDCODE]],9)="Unpowered"))</f>
        <v>0</v>
      </c>
      <c r="I6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5" t="b">
        <f>ISNUMBER(_xlfn.XMATCH(CONTROL[[#This Row],[VEHIDCODE]],TRACK_TYPES[VEHIDCODE],0))</f>
        <v>1</v>
      </c>
      <c r="K685" t="b">
        <f>ISNUMBER(_xlfn.XMATCH(CONTROL[[#This Row],[VEHIDCODE]],PROPERTIES[VEHIDCODE],0))</f>
        <v>1</v>
      </c>
      <c r="L685" t="b">
        <f>ISNUMBER(_xlfn.XLOOKUP(CONTROL[[#This Row],[VEHIDCODE]],roster!A:A,roster!D:D))</f>
        <v>1</v>
      </c>
      <c r="M685" t="b">
        <f>ISNUMBER(_xlfn.XMATCH(CONTROL[[#This Row],[VEHIDCODE]],GRAPHICS_PROPERTIES[VEHIDCODE],0))</f>
        <v>1</v>
      </c>
      <c r="N685" s="21" t="str">
        <f>"item_"&amp;CONTROL[[#This Row],[VEHIDCODE]]</f>
        <v>item_mu_Wagon_Gen4_Container_Carrier</v>
      </c>
      <c r="O685" s="21" t="str">
        <f>"str_"&amp;CONTROL[[#This Row],[VEHIDCODE]]</f>
        <v>str_mu_Wagon_Gen4_Container_Carrier</v>
      </c>
      <c r="P685" s="7" t="b">
        <f>_xlfn.XLOOKUP(CONTROL[[#This Row],[VEHIDCODE]],PROPERTIES[VEHIDCODE],PROPERTIES[IS_CONCEPT])="IS_CONCEPT"</f>
        <v>0</v>
      </c>
      <c r="Q685" s="7" t="b">
        <f>_xlfn.XLOOKUP(CONTROL[[#This Row],[VEHIDCODE]],PROPERTIES[VEHIDCODE],PROPERTIES[EXCLUDE])</f>
        <v>0</v>
      </c>
      <c r="R685" t="str" cm="1">
        <f t="array" ref="R685">_xlfn.XLOOKUP(CONTROL[[#This Row],[VEHIDCODE]],GRAPHICS_PROPERTIES[VEHIDCODE],GRAPHICS_PROPERTIES[TEMPLATE_ID]&amp;GRAPHICS_PROPERTIES[TEMPLATE_AMENDMENT_CODE])</f>
        <v>TPL_04B</v>
      </c>
    </row>
    <row r="686" spans="1:18" x14ac:dyDescent="0.35">
      <c r="A686" s="2" t="s">
        <v>180</v>
      </c>
      <c r="B686" s="21" t="str">
        <f>_xlfn.TEXTAFTER(CONTROL[[#This Row],[VEHIDCODE]],"_")</f>
        <v>Wagon_Gen4_Centerbeam</v>
      </c>
      <c r="C686" t="str" cm="1">
        <f t="array" ref="C6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6" t="str" cm="1">
        <f t="array" ref="D6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6">
        <v>12025</v>
      </c>
      <c r="F686" s="32" t="s">
        <v>422</v>
      </c>
      <c r="G686" t="s">
        <v>523</v>
      </c>
      <c r="H686" s="2" t="b">
        <f>AND(CONTROL[[#This Row],[IS_WAGON_OR_COACH]]=TRUE,OR(RIGHT(CONTROL[[#This Row],[VEHIDCODE]],7)="Powered",RIGHT(CONTROL[[#This Row],[VEHIDCODE]],9)="Unpowered"))</f>
        <v>0</v>
      </c>
      <c r="I6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6" t="b">
        <f>ISNUMBER(_xlfn.XMATCH(CONTROL[[#This Row],[VEHIDCODE]],TRACK_TYPES[VEHIDCODE],0))</f>
        <v>1</v>
      </c>
      <c r="K686" t="b">
        <f>ISNUMBER(_xlfn.XMATCH(CONTROL[[#This Row],[VEHIDCODE]],PROPERTIES[VEHIDCODE],0))</f>
        <v>1</v>
      </c>
      <c r="L686" t="b">
        <f>ISNUMBER(_xlfn.XLOOKUP(CONTROL[[#This Row],[VEHIDCODE]],roster!A:A,roster!D:D))</f>
        <v>1</v>
      </c>
      <c r="M686" t="b">
        <f>ISNUMBER(_xlfn.XMATCH(CONTROL[[#This Row],[VEHIDCODE]],GRAPHICS_PROPERTIES[VEHIDCODE],0))</f>
        <v>1</v>
      </c>
      <c r="N686" s="21" t="str">
        <f>"item_"&amp;CONTROL[[#This Row],[VEHIDCODE]]</f>
        <v>item_mu_Wagon_Gen4_Centerbeam</v>
      </c>
      <c r="O686" s="21" t="str">
        <f>"str_"&amp;CONTROL[[#This Row],[VEHIDCODE]]</f>
        <v>str_mu_Wagon_Gen4_Centerbeam</v>
      </c>
      <c r="P686" s="7" t="b">
        <f>_xlfn.XLOOKUP(CONTROL[[#This Row],[VEHIDCODE]],PROPERTIES[VEHIDCODE],PROPERTIES[IS_CONCEPT])="IS_CONCEPT"</f>
        <v>0</v>
      </c>
      <c r="Q686" s="7" t="b">
        <f>_xlfn.XLOOKUP(CONTROL[[#This Row],[VEHIDCODE]],PROPERTIES[VEHIDCODE],PROPERTIES[EXCLUDE])</f>
        <v>0</v>
      </c>
      <c r="R686" t="str" cm="1">
        <f t="array" ref="R686">_xlfn.XLOOKUP(CONTROL[[#This Row],[VEHIDCODE]],GRAPHICS_PROPERTIES[VEHIDCODE],GRAPHICS_PROPERTIES[TEMPLATE_ID]&amp;GRAPHICS_PROPERTIES[TEMPLATE_AMENDMENT_CODE])</f>
        <v>TPL_04B</v>
      </c>
    </row>
    <row r="687" spans="1:18" x14ac:dyDescent="0.35">
      <c r="A687" s="2" t="s">
        <v>181</v>
      </c>
      <c r="B687" s="21" t="str">
        <f>_xlfn.TEXTAFTER(CONTROL[[#This Row],[VEHIDCODE]],"_")</f>
        <v>Wagon_Gen5_Flatcar</v>
      </c>
      <c r="C687" t="str" cm="1">
        <f t="array" ref="C6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87" t="str" cm="1">
        <f t="array" ref="D6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7">
        <v>12026</v>
      </c>
      <c r="F687" s="32" t="s">
        <v>423</v>
      </c>
      <c r="G687" t="s">
        <v>523</v>
      </c>
      <c r="H687" s="2" t="b">
        <f>AND(CONTROL[[#This Row],[IS_WAGON_OR_COACH]]=TRUE,OR(RIGHT(CONTROL[[#This Row],[VEHIDCODE]],7)="Powered",RIGHT(CONTROL[[#This Row],[VEHIDCODE]],9)="Unpowered"))</f>
        <v>0</v>
      </c>
      <c r="I6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7" t="b">
        <f>ISNUMBER(_xlfn.XMATCH(CONTROL[[#This Row],[VEHIDCODE]],TRACK_TYPES[VEHIDCODE],0))</f>
        <v>1</v>
      </c>
      <c r="K687" t="b">
        <f>ISNUMBER(_xlfn.XMATCH(CONTROL[[#This Row],[VEHIDCODE]],PROPERTIES[VEHIDCODE],0))</f>
        <v>1</v>
      </c>
      <c r="L687" t="b">
        <f>ISNUMBER(_xlfn.XLOOKUP(CONTROL[[#This Row],[VEHIDCODE]],roster!A:A,roster!D:D))</f>
        <v>1</v>
      </c>
      <c r="M687" t="b">
        <f>ISNUMBER(_xlfn.XMATCH(CONTROL[[#This Row],[VEHIDCODE]],GRAPHICS_PROPERTIES[VEHIDCODE],0))</f>
        <v>1</v>
      </c>
      <c r="N687" s="21" t="str">
        <f>"item_"&amp;CONTROL[[#This Row],[VEHIDCODE]]</f>
        <v>item_mu_Wagon_Gen5_Flatcar</v>
      </c>
      <c r="O687" s="21" t="str">
        <f>"str_"&amp;CONTROL[[#This Row],[VEHIDCODE]]</f>
        <v>str_mu_Wagon_Gen5_Flatcar</v>
      </c>
      <c r="P687" s="7" t="b">
        <f>_xlfn.XLOOKUP(CONTROL[[#This Row],[VEHIDCODE]],PROPERTIES[VEHIDCODE],PROPERTIES[IS_CONCEPT])="IS_CONCEPT"</f>
        <v>0</v>
      </c>
      <c r="Q687" s="7" t="b">
        <f>_xlfn.XLOOKUP(CONTROL[[#This Row],[VEHIDCODE]],PROPERTIES[VEHIDCODE],PROPERTIES[EXCLUDE])</f>
        <v>0</v>
      </c>
      <c r="R687" t="str" cm="1">
        <f t="array" ref="R687">_xlfn.XLOOKUP(CONTROL[[#This Row],[VEHIDCODE]],GRAPHICS_PROPERTIES[VEHIDCODE],GRAPHICS_PROPERTIES[TEMPLATE_ID]&amp;GRAPHICS_PROPERTIES[TEMPLATE_AMENDMENT_CODE])</f>
        <v>TPL_04B</v>
      </c>
    </row>
    <row r="688" spans="1:18" x14ac:dyDescent="0.35">
      <c r="A688" s="2" t="s">
        <v>182</v>
      </c>
      <c r="B688" s="21" t="str">
        <f>_xlfn.TEXTAFTER(CONTROL[[#This Row],[VEHIDCODE]],"_")</f>
        <v>Wagon_Gen5_Heavy_Flatcar</v>
      </c>
      <c r="C688" t="str" cm="1">
        <f t="array" ref="C6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88" t="str" cm="1">
        <f t="array" ref="D6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8">
        <v>12027</v>
      </c>
      <c r="F688" s="32" t="s">
        <v>424</v>
      </c>
      <c r="G688" t="s">
        <v>523</v>
      </c>
      <c r="H688" s="2" t="b">
        <f>AND(CONTROL[[#This Row],[IS_WAGON_OR_COACH]]=TRUE,OR(RIGHT(CONTROL[[#This Row],[VEHIDCODE]],7)="Powered",RIGHT(CONTROL[[#This Row],[VEHIDCODE]],9)="Unpowered"))</f>
        <v>0</v>
      </c>
      <c r="I6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8" t="b">
        <f>ISNUMBER(_xlfn.XMATCH(CONTROL[[#This Row],[VEHIDCODE]],TRACK_TYPES[VEHIDCODE],0))</f>
        <v>1</v>
      </c>
      <c r="K688" t="b">
        <f>ISNUMBER(_xlfn.XMATCH(CONTROL[[#This Row],[VEHIDCODE]],PROPERTIES[VEHIDCODE],0))</f>
        <v>1</v>
      </c>
      <c r="L688" t="b">
        <f>ISNUMBER(_xlfn.XLOOKUP(CONTROL[[#This Row],[VEHIDCODE]],roster!A:A,roster!D:D))</f>
        <v>1</v>
      </c>
      <c r="M688" t="b">
        <f>ISNUMBER(_xlfn.XMATCH(CONTROL[[#This Row],[VEHIDCODE]],GRAPHICS_PROPERTIES[VEHIDCODE],0))</f>
        <v>1</v>
      </c>
      <c r="N688" s="21" t="str">
        <f>"item_"&amp;CONTROL[[#This Row],[VEHIDCODE]]</f>
        <v>item_mu_Wagon_Gen5_Heavy_Flatcar</v>
      </c>
      <c r="O688" s="21" t="str">
        <f>"str_"&amp;CONTROL[[#This Row],[VEHIDCODE]]</f>
        <v>str_mu_Wagon_Gen5_Heavy_Flatcar</v>
      </c>
      <c r="P688" s="7" t="b">
        <f>_xlfn.XLOOKUP(CONTROL[[#This Row],[VEHIDCODE]],PROPERTIES[VEHIDCODE],PROPERTIES[IS_CONCEPT])="IS_CONCEPT"</f>
        <v>0</v>
      </c>
      <c r="Q688" s="7" t="b">
        <f>_xlfn.XLOOKUP(CONTROL[[#This Row],[VEHIDCODE]],PROPERTIES[VEHIDCODE],PROPERTIES[EXCLUDE])</f>
        <v>0</v>
      </c>
      <c r="R688" t="str" cm="1">
        <f t="array" ref="R688">_xlfn.XLOOKUP(CONTROL[[#This Row],[VEHIDCODE]],GRAPHICS_PROPERTIES[VEHIDCODE],GRAPHICS_PROPERTIES[TEMPLATE_ID]&amp;GRAPHICS_PROPERTIES[TEMPLATE_AMENDMENT_CODE])</f>
        <v>TPL_04B</v>
      </c>
    </row>
    <row r="689" spans="1:18" x14ac:dyDescent="0.35">
      <c r="A689" s="2" t="s">
        <v>183</v>
      </c>
      <c r="B689" s="21" t="str">
        <f>_xlfn.TEXTAFTER(CONTROL[[#This Row],[VEHIDCODE]],"_")</f>
        <v>Wagon_Gen5_Boxcar_Type1</v>
      </c>
      <c r="C689" t="str" cm="1">
        <f t="array" ref="C6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89" t="str" cm="1">
        <f t="array" ref="D6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9">
        <v>12028</v>
      </c>
      <c r="F689" s="32" t="s">
        <v>1679</v>
      </c>
      <c r="G689" t="s">
        <v>523</v>
      </c>
      <c r="H689" s="2" t="b">
        <f>AND(CONTROL[[#This Row],[IS_WAGON_OR_COACH]]=TRUE,OR(RIGHT(CONTROL[[#This Row],[VEHIDCODE]],7)="Powered",RIGHT(CONTROL[[#This Row],[VEHIDCODE]],9)="Unpowered"))</f>
        <v>0</v>
      </c>
      <c r="I6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9" t="b">
        <f>ISNUMBER(_xlfn.XMATCH(CONTROL[[#This Row],[VEHIDCODE]],TRACK_TYPES[VEHIDCODE],0))</f>
        <v>1</v>
      </c>
      <c r="K689" t="b">
        <f>ISNUMBER(_xlfn.XMATCH(CONTROL[[#This Row],[VEHIDCODE]],PROPERTIES[VEHIDCODE],0))</f>
        <v>1</v>
      </c>
      <c r="L689" t="b">
        <f>ISNUMBER(_xlfn.XLOOKUP(CONTROL[[#This Row],[VEHIDCODE]],roster!A:A,roster!D:D))</f>
        <v>1</v>
      </c>
      <c r="M689" t="b">
        <f>ISNUMBER(_xlfn.XMATCH(CONTROL[[#This Row],[VEHIDCODE]],GRAPHICS_PROPERTIES[VEHIDCODE],0))</f>
        <v>1</v>
      </c>
      <c r="N689" s="21" t="str">
        <f>"item_"&amp;CONTROL[[#This Row],[VEHIDCODE]]</f>
        <v>item_mu_Wagon_Gen5_Boxcar_Type1</v>
      </c>
      <c r="O689" s="21" t="str">
        <f>"str_"&amp;CONTROL[[#This Row],[VEHIDCODE]]</f>
        <v>str_mu_Wagon_Gen5_Boxcar_Type1</v>
      </c>
      <c r="P689" s="7" t="b">
        <f>_xlfn.XLOOKUP(CONTROL[[#This Row],[VEHIDCODE]],PROPERTIES[VEHIDCODE],PROPERTIES[IS_CONCEPT])="IS_CONCEPT"</f>
        <v>0</v>
      </c>
      <c r="Q689" s="7" t="b">
        <f>_xlfn.XLOOKUP(CONTROL[[#This Row],[VEHIDCODE]],PROPERTIES[VEHIDCODE],PROPERTIES[EXCLUDE])</f>
        <v>0</v>
      </c>
      <c r="R689" t="str" cm="1">
        <f t="array" ref="R689">_xlfn.XLOOKUP(CONTROL[[#This Row],[VEHIDCODE]],GRAPHICS_PROPERTIES[VEHIDCODE],GRAPHICS_PROPERTIES[TEMPLATE_ID]&amp;GRAPHICS_PROPERTIES[TEMPLATE_AMENDMENT_CODE])</f>
        <v>TPL_04B</v>
      </c>
    </row>
    <row r="690" spans="1:18" x14ac:dyDescent="0.35">
      <c r="A690" s="2" t="s">
        <v>184</v>
      </c>
      <c r="B690" s="21" t="str">
        <f>_xlfn.TEXTAFTER(CONTROL[[#This Row],[VEHIDCODE]],"_")</f>
        <v>Wagon_Gen5_Boxcar_Type2</v>
      </c>
      <c r="C690" t="str" cm="1">
        <f t="array" ref="C6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0" t="str" cm="1">
        <f t="array" ref="D6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0">
        <v>12042</v>
      </c>
      <c r="F690" s="32" t="s">
        <v>1694</v>
      </c>
      <c r="G690" t="s">
        <v>523</v>
      </c>
      <c r="H690" s="2" t="b">
        <f>AND(CONTROL[[#This Row],[IS_WAGON_OR_COACH]]=TRUE,OR(RIGHT(CONTROL[[#This Row],[VEHIDCODE]],7)="Powered",RIGHT(CONTROL[[#This Row],[VEHIDCODE]],9)="Unpowered"))</f>
        <v>0</v>
      </c>
      <c r="I6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0" t="b">
        <f>ISNUMBER(_xlfn.XMATCH(CONTROL[[#This Row],[VEHIDCODE]],TRACK_TYPES[VEHIDCODE],0))</f>
        <v>1</v>
      </c>
      <c r="K690" t="b">
        <f>ISNUMBER(_xlfn.XMATCH(CONTROL[[#This Row],[VEHIDCODE]],PROPERTIES[VEHIDCODE],0))</f>
        <v>1</v>
      </c>
      <c r="L690" t="b">
        <f>ISNUMBER(_xlfn.XLOOKUP(CONTROL[[#This Row],[VEHIDCODE]],roster!A:A,roster!D:D))</f>
        <v>1</v>
      </c>
      <c r="M690" t="b">
        <f>ISNUMBER(_xlfn.XMATCH(CONTROL[[#This Row],[VEHIDCODE]],GRAPHICS_PROPERTIES[VEHIDCODE],0))</f>
        <v>1</v>
      </c>
      <c r="N690" s="21" t="str">
        <f>"item_"&amp;CONTROL[[#This Row],[VEHIDCODE]]</f>
        <v>item_mu_Wagon_Gen5_Boxcar_Type2</v>
      </c>
      <c r="O690" s="21" t="str">
        <f>"str_"&amp;CONTROL[[#This Row],[VEHIDCODE]]</f>
        <v>str_mu_Wagon_Gen5_Boxcar_Type2</v>
      </c>
      <c r="P690" s="7" t="b">
        <f>_xlfn.XLOOKUP(CONTROL[[#This Row],[VEHIDCODE]],PROPERTIES[VEHIDCODE],PROPERTIES[IS_CONCEPT])="IS_CONCEPT"</f>
        <v>0</v>
      </c>
      <c r="Q690" s="7" t="b">
        <f>_xlfn.XLOOKUP(CONTROL[[#This Row],[VEHIDCODE]],PROPERTIES[VEHIDCODE],PROPERTIES[EXCLUDE])</f>
        <v>0</v>
      </c>
      <c r="R690" t="str" cm="1">
        <f t="array" ref="R690">_xlfn.XLOOKUP(CONTROL[[#This Row],[VEHIDCODE]],GRAPHICS_PROPERTIES[VEHIDCODE],GRAPHICS_PROPERTIES[TEMPLATE_ID]&amp;GRAPHICS_PROPERTIES[TEMPLATE_AMENDMENT_CODE])</f>
        <v>TPL_04B</v>
      </c>
    </row>
    <row r="691" spans="1:18" x14ac:dyDescent="0.35">
      <c r="A691" s="2" t="s">
        <v>185</v>
      </c>
      <c r="B691" s="21" t="str">
        <f>_xlfn.TEXTAFTER(CONTROL[[#This Row],[VEHIDCODE]],"_")</f>
        <v>Wagon_Gen5_Tanker</v>
      </c>
      <c r="C691" t="str" cm="1">
        <f t="array" ref="C6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1" t="str" cm="1">
        <f t="array" ref="D6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1">
        <v>12029</v>
      </c>
      <c r="F691" s="32" t="s">
        <v>425</v>
      </c>
      <c r="G691" t="s">
        <v>523</v>
      </c>
      <c r="H691" s="2" t="b">
        <f>AND(CONTROL[[#This Row],[IS_WAGON_OR_COACH]]=TRUE,OR(RIGHT(CONTROL[[#This Row],[VEHIDCODE]],7)="Powered",RIGHT(CONTROL[[#This Row],[VEHIDCODE]],9)="Unpowered"))</f>
        <v>0</v>
      </c>
      <c r="I6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1" t="b">
        <f>ISNUMBER(_xlfn.XMATCH(CONTROL[[#This Row],[VEHIDCODE]],TRACK_TYPES[VEHIDCODE],0))</f>
        <v>1</v>
      </c>
      <c r="K691" t="b">
        <f>ISNUMBER(_xlfn.XMATCH(CONTROL[[#This Row],[VEHIDCODE]],PROPERTIES[VEHIDCODE],0))</f>
        <v>1</v>
      </c>
      <c r="L691" t="b">
        <f>ISNUMBER(_xlfn.XLOOKUP(CONTROL[[#This Row],[VEHIDCODE]],roster!A:A,roster!D:D))</f>
        <v>1</v>
      </c>
      <c r="M691" t="b">
        <f>ISNUMBER(_xlfn.XMATCH(CONTROL[[#This Row],[VEHIDCODE]],GRAPHICS_PROPERTIES[VEHIDCODE],0))</f>
        <v>1</v>
      </c>
      <c r="N691" s="21" t="str">
        <f>"item_"&amp;CONTROL[[#This Row],[VEHIDCODE]]</f>
        <v>item_mu_Wagon_Gen5_Tanker</v>
      </c>
      <c r="O691" s="21" t="str">
        <f>"str_"&amp;CONTROL[[#This Row],[VEHIDCODE]]</f>
        <v>str_mu_Wagon_Gen5_Tanker</v>
      </c>
      <c r="P691" s="7" t="b">
        <f>_xlfn.XLOOKUP(CONTROL[[#This Row],[VEHIDCODE]],PROPERTIES[VEHIDCODE],PROPERTIES[IS_CONCEPT])="IS_CONCEPT"</f>
        <v>0</v>
      </c>
      <c r="Q691" s="7" t="b">
        <f>_xlfn.XLOOKUP(CONTROL[[#This Row],[VEHIDCODE]],PROPERTIES[VEHIDCODE],PROPERTIES[EXCLUDE])</f>
        <v>0</v>
      </c>
      <c r="R691" t="str" cm="1">
        <f t="array" ref="R691">_xlfn.XLOOKUP(CONTROL[[#This Row],[VEHIDCODE]],GRAPHICS_PROPERTIES[VEHIDCODE],GRAPHICS_PROPERTIES[TEMPLATE_ID]&amp;GRAPHICS_PROPERTIES[TEMPLATE_AMENDMENT_CODE])</f>
        <v>TPL_04B</v>
      </c>
    </row>
    <row r="692" spans="1:18" x14ac:dyDescent="0.35">
      <c r="A692" s="2" t="s">
        <v>186</v>
      </c>
      <c r="B692" s="21" t="str">
        <f>_xlfn.TEXTAFTER(CONTROL[[#This Row],[VEHIDCODE]],"_")</f>
        <v>Wagon_Gen5_Gondola</v>
      </c>
      <c r="C692" t="str" cm="1">
        <f t="array" ref="C6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2" t="str" cm="1">
        <f t="array" ref="D6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2">
        <v>12030</v>
      </c>
      <c r="F692" s="32" t="s">
        <v>426</v>
      </c>
      <c r="G692" t="s">
        <v>523</v>
      </c>
      <c r="H692" s="2" t="b">
        <f>AND(CONTROL[[#This Row],[IS_WAGON_OR_COACH]]=TRUE,OR(RIGHT(CONTROL[[#This Row],[VEHIDCODE]],7)="Powered",RIGHT(CONTROL[[#This Row],[VEHIDCODE]],9)="Unpowered"))</f>
        <v>0</v>
      </c>
      <c r="I6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2" t="b">
        <f>ISNUMBER(_xlfn.XMATCH(CONTROL[[#This Row],[VEHIDCODE]],TRACK_TYPES[VEHIDCODE],0))</f>
        <v>1</v>
      </c>
      <c r="K692" t="b">
        <f>ISNUMBER(_xlfn.XMATCH(CONTROL[[#This Row],[VEHIDCODE]],PROPERTIES[VEHIDCODE],0))</f>
        <v>1</v>
      </c>
      <c r="L692" t="b">
        <f>ISNUMBER(_xlfn.XLOOKUP(CONTROL[[#This Row],[VEHIDCODE]],roster!A:A,roster!D:D))</f>
        <v>1</v>
      </c>
      <c r="M692" t="b">
        <f>ISNUMBER(_xlfn.XMATCH(CONTROL[[#This Row],[VEHIDCODE]],GRAPHICS_PROPERTIES[VEHIDCODE],0))</f>
        <v>1</v>
      </c>
      <c r="N692" s="21" t="str">
        <f>"item_"&amp;CONTROL[[#This Row],[VEHIDCODE]]</f>
        <v>item_mu_Wagon_Gen5_Gondola</v>
      </c>
      <c r="O692" s="21" t="str">
        <f>"str_"&amp;CONTROL[[#This Row],[VEHIDCODE]]</f>
        <v>str_mu_Wagon_Gen5_Gondola</v>
      </c>
      <c r="P692" s="7" t="b">
        <f>_xlfn.XLOOKUP(CONTROL[[#This Row],[VEHIDCODE]],PROPERTIES[VEHIDCODE],PROPERTIES[IS_CONCEPT])="IS_CONCEPT"</f>
        <v>0</v>
      </c>
      <c r="Q692" s="7" t="b">
        <f>_xlfn.XLOOKUP(CONTROL[[#This Row],[VEHIDCODE]],PROPERTIES[VEHIDCODE],PROPERTIES[EXCLUDE])</f>
        <v>0</v>
      </c>
      <c r="R692" t="str" cm="1">
        <f t="array" ref="R692">_xlfn.XLOOKUP(CONTROL[[#This Row],[VEHIDCODE]],GRAPHICS_PROPERTIES[VEHIDCODE],GRAPHICS_PROPERTIES[TEMPLATE_ID]&amp;GRAPHICS_PROPERTIES[TEMPLATE_AMENDMENT_CODE])</f>
        <v>TPL_04B</v>
      </c>
    </row>
    <row r="693" spans="1:18" x14ac:dyDescent="0.35">
      <c r="A693" s="2" t="s">
        <v>187</v>
      </c>
      <c r="B693" s="21" t="str">
        <f>_xlfn.TEXTAFTER(CONTROL[[#This Row],[VEHIDCODE]],"_")</f>
        <v>Wagon_Gen5_Silo_Type1</v>
      </c>
      <c r="C693" t="str" cm="1">
        <f t="array" ref="C6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3" t="str" cm="1">
        <f t="array" ref="D6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3">
        <v>12031</v>
      </c>
      <c r="F693" s="32" t="s">
        <v>1680</v>
      </c>
      <c r="G693" t="s">
        <v>523</v>
      </c>
      <c r="H693" s="2" t="b">
        <f>AND(CONTROL[[#This Row],[IS_WAGON_OR_COACH]]=TRUE,OR(RIGHT(CONTROL[[#This Row],[VEHIDCODE]],7)="Powered",RIGHT(CONTROL[[#This Row],[VEHIDCODE]],9)="Unpowered"))</f>
        <v>0</v>
      </c>
      <c r="I6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3" t="b">
        <f>ISNUMBER(_xlfn.XMATCH(CONTROL[[#This Row],[VEHIDCODE]],TRACK_TYPES[VEHIDCODE],0))</f>
        <v>1</v>
      </c>
      <c r="K693" t="b">
        <f>ISNUMBER(_xlfn.XMATCH(CONTROL[[#This Row],[VEHIDCODE]],PROPERTIES[VEHIDCODE],0))</f>
        <v>1</v>
      </c>
      <c r="L693" t="b">
        <f>ISNUMBER(_xlfn.XLOOKUP(CONTROL[[#This Row],[VEHIDCODE]],roster!A:A,roster!D:D))</f>
        <v>1</v>
      </c>
      <c r="M693" t="b">
        <f>ISNUMBER(_xlfn.XMATCH(CONTROL[[#This Row],[VEHIDCODE]],GRAPHICS_PROPERTIES[VEHIDCODE],0))</f>
        <v>1</v>
      </c>
      <c r="N693" s="21" t="str">
        <f>"item_"&amp;CONTROL[[#This Row],[VEHIDCODE]]</f>
        <v>item_mu_Wagon_Gen5_Silo_Type1</v>
      </c>
      <c r="O693" s="21" t="str">
        <f>"str_"&amp;CONTROL[[#This Row],[VEHIDCODE]]</f>
        <v>str_mu_Wagon_Gen5_Silo_Type1</v>
      </c>
      <c r="P693" s="7" t="b">
        <f>_xlfn.XLOOKUP(CONTROL[[#This Row],[VEHIDCODE]],PROPERTIES[VEHIDCODE],PROPERTIES[IS_CONCEPT])="IS_CONCEPT"</f>
        <v>0</v>
      </c>
      <c r="Q693" s="7" t="b">
        <f>_xlfn.XLOOKUP(CONTROL[[#This Row],[VEHIDCODE]],PROPERTIES[VEHIDCODE],PROPERTIES[EXCLUDE])</f>
        <v>0</v>
      </c>
      <c r="R693" t="str" cm="1">
        <f t="array" ref="R693">_xlfn.XLOOKUP(CONTROL[[#This Row],[VEHIDCODE]],GRAPHICS_PROPERTIES[VEHIDCODE],GRAPHICS_PROPERTIES[TEMPLATE_ID]&amp;GRAPHICS_PROPERTIES[TEMPLATE_AMENDMENT_CODE])</f>
        <v>TPL_04B</v>
      </c>
    </row>
    <row r="694" spans="1:18" x14ac:dyDescent="0.35">
      <c r="A694" s="2" t="s">
        <v>188</v>
      </c>
      <c r="B694" s="21" t="str">
        <f>_xlfn.TEXTAFTER(CONTROL[[#This Row],[VEHIDCODE]],"_")</f>
        <v>Wagon_Gen5_Silo_Type2</v>
      </c>
      <c r="C694" t="str" cm="1">
        <f t="array" ref="C6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4" t="str" cm="1">
        <f t="array" ref="D6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4">
        <v>12043</v>
      </c>
      <c r="F694" s="32" t="s">
        <v>1695</v>
      </c>
      <c r="G694" t="s">
        <v>523</v>
      </c>
      <c r="H694" s="2" t="b">
        <f>AND(CONTROL[[#This Row],[IS_WAGON_OR_COACH]]=TRUE,OR(RIGHT(CONTROL[[#This Row],[VEHIDCODE]],7)="Powered",RIGHT(CONTROL[[#This Row],[VEHIDCODE]],9)="Unpowered"))</f>
        <v>0</v>
      </c>
      <c r="I6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4" t="b">
        <f>ISNUMBER(_xlfn.XMATCH(CONTROL[[#This Row],[VEHIDCODE]],TRACK_TYPES[VEHIDCODE],0))</f>
        <v>1</v>
      </c>
      <c r="K694" t="b">
        <f>ISNUMBER(_xlfn.XMATCH(CONTROL[[#This Row],[VEHIDCODE]],PROPERTIES[VEHIDCODE],0))</f>
        <v>1</v>
      </c>
      <c r="L694" t="b">
        <f>ISNUMBER(_xlfn.XLOOKUP(CONTROL[[#This Row],[VEHIDCODE]],roster!A:A,roster!D:D))</f>
        <v>1</v>
      </c>
      <c r="M694" t="b">
        <f>ISNUMBER(_xlfn.XMATCH(CONTROL[[#This Row],[VEHIDCODE]],GRAPHICS_PROPERTIES[VEHIDCODE],0))</f>
        <v>1</v>
      </c>
      <c r="N694" s="21" t="str">
        <f>"item_"&amp;CONTROL[[#This Row],[VEHIDCODE]]</f>
        <v>item_mu_Wagon_Gen5_Silo_Type2</v>
      </c>
      <c r="O694" s="21" t="str">
        <f>"str_"&amp;CONTROL[[#This Row],[VEHIDCODE]]</f>
        <v>str_mu_Wagon_Gen5_Silo_Type2</v>
      </c>
      <c r="P694" s="7" t="b">
        <f>_xlfn.XLOOKUP(CONTROL[[#This Row],[VEHIDCODE]],PROPERTIES[VEHIDCODE],PROPERTIES[IS_CONCEPT])="IS_CONCEPT"</f>
        <v>0</v>
      </c>
      <c r="Q694" s="7" t="b">
        <f>_xlfn.XLOOKUP(CONTROL[[#This Row],[VEHIDCODE]],PROPERTIES[VEHIDCODE],PROPERTIES[EXCLUDE])</f>
        <v>0</v>
      </c>
      <c r="R694" t="str" cm="1">
        <f t="array" ref="R694">_xlfn.XLOOKUP(CONTROL[[#This Row],[VEHIDCODE]],GRAPHICS_PROPERTIES[VEHIDCODE],GRAPHICS_PROPERTIES[TEMPLATE_ID]&amp;GRAPHICS_PROPERTIES[TEMPLATE_AMENDMENT_CODE])</f>
        <v>TPL_04B</v>
      </c>
    </row>
    <row r="695" spans="1:18" x14ac:dyDescent="0.35">
      <c r="A695" s="2" t="s">
        <v>189</v>
      </c>
      <c r="B695" s="21" t="str">
        <f>_xlfn.TEXTAFTER(CONTROL[[#This Row],[VEHIDCODE]],"_")</f>
        <v>Wagon_Gen5_Hopper_Type1</v>
      </c>
      <c r="C695" t="str" cm="1">
        <f t="array" ref="C6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5" t="str" cm="1">
        <f t="array" ref="D6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5">
        <v>12032</v>
      </c>
      <c r="F695" s="32" t="s">
        <v>1681</v>
      </c>
      <c r="G695" t="s">
        <v>523</v>
      </c>
      <c r="H695" s="2" t="b">
        <f>AND(CONTROL[[#This Row],[IS_WAGON_OR_COACH]]=TRUE,OR(RIGHT(CONTROL[[#This Row],[VEHIDCODE]],7)="Powered",RIGHT(CONTROL[[#This Row],[VEHIDCODE]],9)="Unpowered"))</f>
        <v>0</v>
      </c>
      <c r="I6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5" t="b">
        <f>ISNUMBER(_xlfn.XMATCH(CONTROL[[#This Row],[VEHIDCODE]],TRACK_TYPES[VEHIDCODE],0))</f>
        <v>1</v>
      </c>
      <c r="K695" t="b">
        <f>ISNUMBER(_xlfn.XMATCH(CONTROL[[#This Row],[VEHIDCODE]],PROPERTIES[VEHIDCODE],0))</f>
        <v>1</v>
      </c>
      <c r="L695" t="b">
        <f>ISNUMBER(_xlfn.XLOOKUP(CONTROL[[#This Row],[VEHIDCODE]],roster!A:A,roster!D:D))</f>
        <v>1</v>
      </c>
      <c r="M695" t="b">
        <f>ISNUMBER(_xlfn.XMATCH(CONTROL[[#This Row],[VEHIDCODE]],GRAPHICS_PROPERTIES[VEHIDCODE],0))</f>
        <v>1</v>
      </c>
      <c r="N695" s="21" t="str">
        <f>"item_"&amp;CONTROL[[#This Row],[VEHIDCODE]]</f>
        <v>item_mu_Wagon_Gen5_Hopper_Type1</v>
      </c>
      <c r="O695" s="21" t="str">
        <f>"str_"&amp;CONTROL[[#This Row],[VEHIDCODE]]</f>
        <v>str_mu_Wagon_Gen5_Hopper_Type1</v>
      </c>
      <c r="P695" s="7" t="b">
        <f>_xlfn.XLOOKUP(CONTROL[[#This Row],[VEHIDCODE]],PROPERTIES[VEHIDCODE],PROPERTIES[IS_CONCEPT])="IS_CONCEPT"</f>
        <v>0</v>
      </c>
      <c r="Q695" s="7" t="b">
        <f>_xlfn.XLOOKUP(CONTROL[[#This Row],[VEHIDCODE]],PROPERTIES[VEHIDCODE],PROPERTIES[EXCLUDE])</f>
        <v>0</v>
      </c>
      <c r="R695" t="str" cm="1">
        <f t="array" ref="R695">_xlfn.XLOOKUP(CONTROL[[#This Row],[VEHIDCODE]],GRAPHICS_PROPERTIES[VEHIDCODE],GRAPHICS_PROPERTIES[TEMPLATE_ID]&amp;GRAPHICS_PROPERTIES[TEMPLATE_AMENDMENT_CODE])</f>
        <v>TPL_04B</v>
      </c>
    </row>
    <row r="696" spans="1:18" x14ac:dyDescent="0.35">
      <c r="A696" s="2" t="s">
        <v>190</v>
      </c>
      <c r="B696" s="21" t="str">
        <f>_xlfn.TEXTAFTER(CONTROL[[#This Row],[VEHIDCODE]],"_")</f>
        <v>Wagon_Gen5_Hopper_Type2</v>
      </c>
      <c r="C696" t="str" cm="1">
        <f t="array" ref="C6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6" t="str" cm="1">
        <f t="array" ref="D6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6">
        <v>12044</v>
      </c>
      <c r="F696" s="32" t="s">
        <v>1696</v>
      </c>
      <c r="G696" t="s">
        <v>523</v>
      </c>
      <c r="H696" s="2" t="b">
        <f>AND(CONTROL[[#This Row],[IS_WAGON_OR_COACH]]=TRUE,OR(RIGHT(CONTROL[[#This Row],[VEHIDCODE]],7)="Powered",RIGHT(CONTROL[[#This Row],[VEHIDCODE]],9)="Unpowered"))</f>
        <v>0</v>
      </c>
      <c r="I6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6" t="b">
        <f>ISNUMBER(_xlfn.XMATCH(CONTROL[[#This Row],[VEHIDCODE]],TRACK_TYPES[VEHIDCODE],0))</f>
        <v>1</v>
      </c>
      <c r="K696" t="b">
        <f>ISNUMBER(_xlfn.XMATCH(CONTROL[[#This Row],[VEHIDCODE]],PROPERTIES[VEHIDCODE],0))</f>
        <v>1</v>
      </c>
      <c r="L696" t="b">
        <f>ISNUMBER(_xlfn.XLOOKUP(CONTROL[[#This Row],[VEHIDCODE]],roster!A:A,roster!D:D))</f>
        <v>1</v>
      </c>
      <c r="M696" t="b">
        <f>ISNUMBER(_xlfn.XMATCH(CONTROL[[#This Row],[VEHIDCODE]],GRAPHICS_PROPERTIES[VEHIDCODE],0))</f>
        <v>1</v>
      </c>
      <c r="N696" s="21" t="str">
        <f>"item_"&amp;CONTROL[[#This Row],[VEHIDCODE]]</f>
        <v>item_mu_Wagon_Gen5_Hopper_Type2</v>
      </c>
      <c r="O696" s="21" t="str">
        <f>"str_"&amp;CONTROL[[#This Row],[VEHIDCODE]]</f>
        <v>str_mu_Wagon_Gen5_Hopper_Type2</v>
      </c>
      <c r="P696" s="7" t="b">
        <f>_xlfn.XLOOKUP(CONTROL[[#This Row],[VEHIDCODE]],PROPERTIES[VEHIDCODE],PROPERTIES[IS_CONCEPT])="IS_CONCEPT"</f>
        <v>0</v>
      </c>
      <c r="Q696" s="7" t="b">
        <f>_xlfn.XLOOKUP(CONTROL[[#This Row],[VEHIDCODE]],PROPERTIES[VEHIDCODE],PROPERTIES[EXCLUDE])</f>
        <v>0</v>
      </c>
      <c r="R696" t="str" cm="1">
        <f t="array" ref="R696">_xlfn.XLOOKUP(CONTROL[[#This Row],[VEHIDCODE]],GRAPHICS_PROPERTIES[VEHIDCODE],GRAPHICS_PROPERTIES[TEMPLATE_ID]&amp;GRAPHICS_PROPERTIES[TEMPLATE_AMENDMENT_CODE])</f>
        <v>TPL_04B</v>
      </c>
    </row>
    <row r="697" spans="1:18" x14ac:dyDescent="0.35">
      <c r="A697" s="2" t="s">
        <v>191</v>
      </c>
      <c r="B697" s="21" t="str">
        <f>_xlfn.TEXTAFTER(CONTROL[[#This Row],[VEHIDCODE]],"_")</f>
        <v>Wagon_Gen5_Car_Transporter</v>
      </c>
      <c r="C697" t="str" cm="1">
        <f t="array" ref="C6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7" t="str" cm="1">
        <f t="array" ref="D6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7">
        <v>12033</v>
      </c>
      <c r="F697" s="32" t="s">
        <v>427</v>
      </c>
      <c r="G697" t="s">
        <v>523</v>
      </c>
      <c r="H697" s="2" t="b">
        <f>AND(CONTROL[[#This Row],[IS_WAGON_OR_COACH]]=TRUE,OR(RIGHT(CONTROL[[#This Row],[VEHIDCODE]],7)="Powered",RIGHT(CONTROL[[#This Row],[VEHIDCODE]],9)="Unpowered"))</f>
        <v>0</v>
      </c>
      <c r="I6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7" t="b">
        <f>ISNUMBER(_xlfn.XMATCH(CONTROL[[#This Row],[VEHIDCODE]],TRACK_TYPES[VEHIDCODE],0))</f>
        <v>1</v>
      </c>
      <c r="K697" t="b">
        <f>ISNUMBER(_xlfn.XMATCH(CONTROL[[#This Row],[VEHIDCODE]],PROPERTIES[VEHIDCODE],0))</f>
        <v>1</v>
      </c>
      <c r="L697" t="b">
        <f>ISNUMBER(_xlfn.XLOOKUP(CONTROL[[#This Row],[VEHIDCODE]],roster!A:A,roster!D:D))</f>
        <v>1</v>
      </c>
      <c r="M697" t="b">
        <f>ISNUMBER(_xlfn.XMATCH(CONTROL[[#This Row],[VEHIDCODE]],GRAPHICS_PROPERTIES[VEHIDCODE],0))</f>
        <v>1</v>
      </c>
      <c r="N697" s="21" t="str">
        <f>"item_"&amp;CONTROL[[#This Row],[VEHIDCODE]]</f>
        <v>item_mu_Wagon_Gen5_Car_Transporter</v>
      </c>
      <c r="O697" s="21" t="str">
        <f>"str_"&amp;CONTROL[[#This Row],[VEHIDCODE]]</f>
        <v>str_mu_Wagon_Gen5_Car_Transporter</v>
      </c>
      <c r="P697" s="7" t="b">
        <f>_xlfn.XLOOKUP(CONTROL[[#This Row],[VEHIDCODE]],PROPERTIES[VEHIDCODE],PROPERTIES[IS_CONCEPT])="IS_CONCEPT"</f>
        <v>0</v>
      </c>
      <c r="Q697" s="7" t="b">
        <f>_xlfn.XLOOKUP(CONTROL[[#This Row],[VEHIDCODE]],PROPERTIES[VEHIDCODE],PROPERTIES[EXCLUDE])</f>
        <v>0</v>
      </c>
      <c r="R697" t="str" cm="1">
        <f t="array" ref="R697">_xlfn.XLOOKUP(CONTROL[[#This Row],[VEHIDCODE]],GRAPHICS_PROPERTIES[VEHIDCODE],GRAPHICS_PROPERTIES[TEMPLATE_ID]&amp;GRAPHICS_PROPERTIES[TEMPLATE_AMENDMENT_CODE])</f>
        <v>TPL_04B</v>
      </c>
    </row>
    <row r="698" spans="1:18" x14ac:dyDescent="0.35">
      <c r="A698" s="2" t="s">
        <v>192</v>
      </c>
      <c r="B698" s="21" t="str">
        <f>_xlfn.TEXTAFTER(CONTROL[[#This Row],[VEHIDCODE]],"_")</f>
        <v>Wagon_Gen5_Container_Carrier</v>
      </c>
      <c r="C698" t="str" cm="1">
        <f t="array" ref="C6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8" t="str" cm="1">
        <f t="array" ref="D6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8">
        <v>12034</v>
      </c>
      <c r="F698" s="32" t="s">
        <v>428</v>
      </c>
      <c r="G698" t="s">
        <v>523</v>
      </c>
      <c r="H698" s="2" t="b">
        <f>AND(CONTROL[[#This Row],[IS_WAGON_OR_COACH]]=TRUE,OR(RIGHT(CONTROL[[#This Row],[VEHIDCODE]],7)="Powered",RIGHT(CONTROL[[#This Row],[VEHIDCODE]],9)="Unpowered"))</f>
        <v>0</v>
      </c>
      <c r="I6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8" t="b">
        <f>ISNUMBER(_xlfn.XMATCH(CONTROL[[#This Row],[VEHIDCODE]],TRACK_TYPES[VEHIDCODE],0))</f>
        <v>1</v>
      </c>
      <c r="K698" t="b">
        <f>ISNUMBER(_xlfn.XMATCH(CONTROL[[#This Row],[VEHIDCODE]],PROPERTIES[VEHIDCODE],0))</f>
        <v>1</v>
      </c>
      <c r="L698" t="b">
        <f>ISNUMBER(_xlfn.XLOOKUP(CONTROL[[#This Row],[VEHIDCODE]],roster!A:A,roster!D:D))</f>
        <v>1</v>
      </c>
      <c r="M698" t="b">
        <f>ISNUMBER(_xlfn.XMATCH(CONTROL[[#This Row],[VEHIDCODE]],GRAPHICS_PROPERTIES[VEHIDCODE],0))</f>
        <v>1</v>
      </c>
      <c r="N698" s="21" t="str">
        <f>"item_"&amp;CONTROL[[#This Row],[VEHIDCODE]]</f>
        <v>item_mu_Wagon_Gen5_Container_Carrier</v>
      </c>
      <c r="O698" s="21" t="str">
        <f>"str_"&amp;CONTROL[[#This Row],[VEHIDCODE]]</f>
        <v>str_mu_Wagon_Gen5_Container_Carrier</v>
      </c>
      <c r="P698" s="7" t="b">
        <f>_xlfn.XLOOKUP(CONTROL[[#This Row],[VEHIDCODE]],PROPERTIES[VEHIDCODE],PROPERTIES[IS_CONCEPT])="IS_CONCEPT"</f>
        <v>0</v>
      </c>
      <c r="Q698" s="7" t="b">
        <f>_xlfn.XLOOKUP(CONTROL[[#This Row],[VEHIDCODE]],PROPERTIES[VEHIDCODE],PROPERTIES[EXCLUDE])</f>
        <v>0</v>
      </c>
      <c r="R698" t="str" cm="1">
        <f t="array" ref="R698">_xlfn.XLOOKUP(CONTROL[[#This Row],[VEHIDCODE]],GRAPHICS_PROPERTIES[VEHIDCODE],GRAPHICS_PROPERTIES[TEMPLATE_ID]&amp;GRAPHICS_PROPERTIES[TEMPLATE_AMENDMENT_CODE])</f>
        <v>TPL_04B</v>
      </c>
    </row>
    <row r="699" spans="1:18" x14ac:dyDescent="0.35">
      <c r="A699" s="2" t="s">
        <v>193</v>
      </c>
      <c r="B699" s="21" t="str">
        <f>_xlfn.TEXTAFTER(CONTROL[[#This Row],[VEHIDCODE]],"_")</f>
        <v>Wagon_Gen5_Centerbeam</v>
      </c>
      <c r="C699" t="str" cm="1">
        <f t="array" ref="C6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9" t="str" cm="1">
        <f t="array" ref="D6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9">
        <v>12035</v>
      </c>
      <c r="F699" s="32" t="s">
        <v>429</v>
      </c>
      <c r="G699" t="s">
        <v>523</v>
      </c>
      <c r="H699" s="2" t="b">
        <f>AND(CONTROL[[#This Row],[IS_WAGON_OR_COACH]]=TRUE,OR(RIGHT(CONTROL[[#This Row],[VEHIDCODE]],7)="Powered",RIGHT(CONTROL[[#This Row],[VEHIDCODE]],9)="Unpowered"))</f>
        <v>0</v>
      </c>
      <c r="I6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9" t="b">
        <f>ISNUMBER(_xlfn.XMATCH(CONTROL[[#This Row],[VEHIDCODE]],TRACK_TYPES[VEHIDCODE],0))</f>
        <v>1</v>
      </c>
      <c r="K699" t="b">
        <f>ISNUMBER(_xlfn.XMATCH(CONTROL[[#This Row],[VEHIDCODE]],PROPERTIES[VEHIDCODE],0))</f>
        <v>1</v>
      </c>
      <c r="L699" t="b">
        <f>ISNUMBER(_xlfn.XLOOKUP(CONTROL[[#This Row],[VEHIDCODE]],roster!A:A,roster!D:D))</f>
        <v>1</v>
      </c>
      <c r="M699" t="b">
        <f>ISNUMBER(_xlfn.XMATCH(CONTROL[[#This Row],[VEHIDCODE]],GRAPHICS_PROPERTIES[VEHIDCODE],0))</f>
        <v>1</v>
      </c>
      <c r="N699" s="21" t="str">
        <f>"item_"&amp;CONTROL[[#This Row],[VEHIDCODE]]</f>
        <v>item_mu_Wagon_Gen5_Centerbeam</v>
      </c>
      <c r="O699" s="21" t="str">
        <f>"str_"&amp;CONTROL[[#This Row],[VEHIDCODE]]</f>
        <v>str_mu_Wagon_Gen5_Centerbeam</v>
      </c>
      <c r="P699" s="7" t="b">
        <f>_xlfn.XLOOKUP(CONTROL[[#This Row],[VEHIDCODE]],PROPERTIES[VEHIDCODE],PROPERTIES[IS_CONCEPT])="IS_CONCEPT"</f>
        <v>0</v>
      </c>
      <c r="Q699" s="7" t="b">
        <f>_xlfn.XLOOKUP(CONTROL[[#This Row],[VEHIDCODE]],PROPERTIES[VEHIDCODE],PROPERTIES[EXCLUDE])</f>
        <v>0</v>
      </c>
      <c r="R699" t="str" cm="1">
        <f t="array" ref="R699">_xlfn.XLOOKUP(CONTROL[[#This Row],[VEHIDCODE]],GRAPHICS_PROPERTIES[VEHIDCODE],GRAPHICS_PROPERTIES[TEMPLATE_ID]&amp;GRAPHICS_PROPERTIES[TEMPLATE_AMENDMENT_CODE])</f>
        <v>TPL_04B</v>
      </c>
    </row>
    <row r="700" spans="1:18" x14ac:dyDescent="0.35">
      <c r="A700" s="2" t="s">
        <v>194</v>
      </c>
      <c r="B700" s="21" t="str">
        <f>_xlfn.TEXTAFTER(CONTROL[[#This Row],[VEHIDCODE]],"_")</f>
        <v>Wagon_Gen5_Container_Doublestack</v>
      </c>
      <c r="C700" t="str" cm="1">
        <f t="array" ref="C7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700" t="str" cm="1">
        <f t="array" ref="D7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0">
        <v>12036</v>
      </c>
      <c r="F700" s="32" t="s">
        <v>430</v>
      </c>
      <c r="G700" t="s">
        <v>523</v>
      </c>
      <c r="H700" s="2" t="b">
        <f>AND(CONTROL[[#This Row],[IS_WAGON_OR_COACH]]=TRUE,OR(RIGHT(CONTROL[[#This Row],[VEHIDCODE]],7)="Powered",RIGHT(CONTROL[[#This Row],[VEHIDCODE]],9)="Unpowered"))</f>
        <v>0</v>
      </c>
      <c r="I7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0" t="b">
        <f>ISNUMBER(_xlfn.XMATCH(CONTROL[[#This Row],[VEHIDCODE]],TRACK_TYPES[VEHIDCODE],0))</f>
        <v>1</v>
      </c>
      <c r="K700" t="b">
        <f>ISNUMBER(_xlfn.XMATCH(CONTROL[[#This Row],[VEHIDCODE]],PROPERTIES[VEHIDCODE],0))</f>
        <v>1</v>
      </c>
      <c r="L700" t="b">
        <f>ISNUMBER(_xlfn.XLOOKUP(CONTROL[[#This Row],[VEHIDCODE]],roster!A:A,roster!D:D))</f>
        <v>1</v>
      </c>
      <c r="M700" t="b">
        <f>ISNUMBER(_xlfn.XMATCH(CONTROL[[#This Row],[VEHIDCODE]],GRAPHICS_PROPERTIES[VEHIDCODE],0))</f>
        <v>1</v>
      </c>
      <c r="N700" s="21" t="str">
        <f>"item_"&amp;CONTROL[[#This Row],[VEHIDCODE]]</f>
        <v>item_mu_Wagon_Gen5_Container_Doublestack</v>
      </c>
      <c r="O700" s="21" t="str">
        <f>"str_"&amp;CONTROL[[#This Row],[VEHIDCODE]]</f>
        <v>str_mu_Wagon_Gen5_Container_Doublestack</v>
      </c>
      <c r="P700" s="7" t="b">
        <f>_xlfn.XLOOKUP(CONTROL[[#This Row],[VEHIDCODE]],PROPERTIES[VEHIDCODE],PROPERTIES[IS_CONCEPT])="IS_CONCEPT"</f>
        <v>0</v>
      </c>
      <c r="Q700" s="7" t="b">
        <f>_xlfn.XLOOKUP(CONTROL[[#This Row],[VEHIDCODE]],PROPERTIES[VEHIDCODE],PROPERTIES[EXCLUDE])</f>
        <v>0</v>
      </c>
      <c r="R700" t="str" cm="1">
        <f t="array" ref="R700">_xlfn.XLOOKUP(CONTROL[[#This Row],[VEHIDCODE]],GRAPHICS_PROPERTIES[VEHIDCODE],GRAPHICS_PROPERTIES[TEMPLATE_ID]&amp;GRAPHICS_PROPERTIES[TEMPLATE_AMENDMENT_CODE])</f>
        <v>TPL_04B</v>
      </c>
    </row>
    <row r="701" spans="1:18" x14ac:dyDescent="0.35">
      <c r="A701" s="2" t="s">
        <v>195</v>
      </c>
      <c r="B701" s="21" t="str">
        <f>_xlfn.TEXTAFTER(CONTROL[[#This Row],[VEHIDCODE]],"_")</f>
        <v>Wagon_Gen5_Superheavy_Flatcar</v>
      </c>
      <c r="C701" t="str" cm="1">
        <f t="array" ref="C7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701" t="str" cm="1">
        <f t="array" ref="D7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1">
        <v>12037</v>
      </c>
      <c r="F701" s="32" t="s">
        <v>431</v>
      </c>
      <c r="G701" t="s">
        <v>523</v>
      </c>
      <c r="H701" s="2" t="b">
        <f>AND(CONTROL[[#This Row],[IS_WAGON_OR_COACH]]=TRUE,OR(RIGHT(CONTROL[[#This Row],[VEHIDCODE]],7)="Powered",RIGHT(CONTROL[[#This Row],[VEHIDCODE]],9)="Unpowered"))</f>
        <v>0</v>
      </c>
      <c r="I7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1" t="b">
        <f>ISNUMBER(_xlfn.XMATCH(CONTROL[[#This Row],[VEHIDCODE]],TRACK_TYPES[VEHIDCODE],0))</f>
        <v>1</v>
      </c>
      <c r="K701" t="b">
        <f>ISNUMBER(_xlfn.XMATCH(CONTROL[[#This Row],[VEHIDCODE]],PROPERTIES[VEHIDCODE],0))</f>
        <v>1</v>
      </c>
      <c r="L701" t="b">
        <f>ISNUMBER(_xlfn.XLOOKUP(CONTROL[[#This Row],[VEHIDCODE]],roster!A:A,roster!D:D))</f>
        <v>1</v>
      </c>
      <c r="M701" t="b">
        <f>ISNUMBER(_xlfn.XMATCH(CONTROL[[#This Row],[VEHIDCODE]],GRAPHICS_PROPERTIES[VEHIDCODE],0))</f>
        <v>1</v>
      </c>
      <c r="N701" s="21" t="str">
        <f>"item_"&amp;CONTROL[[#This Row],[VEHIDCODE]]</f>
        <v>item_mu_Wagon_Gen5_Superheavy_Flatcar</v>
      </c>
      <c r="O701" s="21" t="str">
        <f>"str_"&amp;CONTROL[[#This Row],[VEHIDCODE]]</f>
        <v>str_mu_Wagon_Gen5_Superheavy_Flatcar</v>
      </c>
      <c r="P701" s="7" t="b">
        <f>_xlfn.XLOOKUP(CONTROL[[#This Row],[VEHIDCODE]],PROPERTIES[VEHIDCODE],PROPERTIES[IS_CONCEPT])="IS_CONCEPT"</f>
        <v>0</v>
      </c>
      <c r="Q701" s="7" t="b">
        <f>_xlfn.XLOOKUP(CONTROL[[#This Row],[VEHIDCODE]],PROPERTIES[VEHIDCODE],PROPERTIES[EXCLUDE])</f>
        <v>0</v>
      </c>
      <c r="R701" t="str" cm="1">
        <f t="array" ref="R701">_xlfn.XLOOKUP(CONTROL[[#This Row],[VEHIDCODE]],GRAPHICS_PROPERTIES[VEHIDCODE],GRAPHICS_PROPERTIES[TEMPLATE_ID]&amp;GRAPHICS_PROPERTIES[TEMPLATE_AMENDMENT_CODE])</f>
        <v>TPL_25A</v>
      </c>
    </row>
    <row r="702" spans="1:18" x14ac:dyDescent="0.35">
      <c r="A702" s="2" t="s">
        <v>196</v>
      </c>
      <c r="B702" s="21" t="str">
        <f>_xlfn.TEXTAFTER(CONTROL[[#This Row],[VEHIDCODE]],"_")</f>
        <v>Wagon_Gen6_Flatcar</v>
      </c>
      <c r="C702" t="str" cm="1">
        <f t="array" ref="C7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2" t="str" cm="1">
        <f t="array" ref="D7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2">
        <v>12049</v>
      </c>
      <c r="F702" s="32" t="s">
        <v>432</v>
      </c>
      <c r="G702" t="s">
        <v>523</v>
      </c>
      <c r="H702" s="2" t="b">
        <f>AND(CONTROL[[#This Row],[IS_WAGON_OR_COACH]]=TRUE,OR(RIGHT(CONTROL[[#This Row],[VEHIDCODE]],7)="Powered",RIGHT(CONTROL[[#This Row],[VEHIDCODE]],9)="Unpowered"))</f>
        <v>0</v>
      </c>
      <c r="I7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2" t="b">
        <f>ISNUMBER(_xlfn.XMATCH(CONTROL[[#This Row],[VEHIDCODE]],TRACK_TYPES[VEHIDCODE],0))</f>
        <v>1</v>
      </c>
      <c r="K702" t="b">
        <f>ISNUMBER(_xlfn.XMATCH(CONTROL[[#This Row],[VEHIDCODE]],PROPERTIES[VEHIDCODE],0))</f>
        <v>1</v>
      </c>
      <c r="L702" t="b">
        <f>ISNUMBER(_xlfn.XLOOKUP(CONTROL[[#This Row],[VEHIDCODE]],roster!A:A,roster!D:D))</f>
        <v>1</v>
      </c>
      <c r="M702" t="b">
        <f>ISNUMBER(_xlfn.XMATCH(CONTROL[[#This Row],[VEHIDCODE]],GRAPHICS_PROPERTIES[VEHIDCODE],0))</f>
        <v>1</v>
      </c>
      <c r="N702" s="21" t="str">
        <f>"item_"&amp;CONTROL[[#This Row],[VEHIDCODE]]</f>
        <v>item_mu_Wagon_Gen6_Flatcar</v>
      </c>
      <c r="O702" s="21" t="str">
        <f>"str_"&amp;CONTROL[[#This Row],[VEHIDCODE]]</f>
        <v>str_mu_Wagon_Gen6_Flatcar</v>
      </c>
      <c r="P702" s="7" t="b">
        <f>_xlfn.XLOOKUP(CONTROL[[#This Row],[VEHIDCODE]],PROPERTIES[VEHIDCODE],PROPERTIES[IS_CONCEPT])="IS_CONCEPT"</f>
        <v>0</v>
      </c>
      <c r="Q702" s="7" t="b">
        <f>_xlfn.XLOOKUP(CONTROL[[#This Row],[VEHIDCODE]],PROPERTIES[VEHIDCODE],PROPERTIES[EXCLUDE])</f>
        <v>0</v>
      </c>
      <c r="R702" t="str" cm="1">
        <f t="array" ref="R702">_xlfn.XLOOKUP(CONTROL[[#This Row],[VEHIDCODE]],GRAPHICS_PROPERTIES[VEHIDCODE],GRAPHICS_PROPERTIES[TEMPLATE_ID]&amp;GRAPHICS_PROPERTIES[TEMPLATE_AMENDMENT_CODE])</f>
        <v>TPL_04B</v>
      </c>
    </row>
    <row r="703" spans="1:18" x14ac:dyDescent="0.35">
      <c r="A703" s="2" t="s">
        <v>197</v>
      </c>
      <c r="B703" s="21" t="str">
        <f>_xlfn.TEXTAFTER(CONTROL[[#This Row],[VEHIDCODE]],"_")</f>
        <v>Wagon_Gen6_Heavy_Flatcar</v>
      </c>
      <c r="C703" t="str" cm="1">
        <f t="array" ref="C7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3" t="str" cm="1">
        <f t="array" ref="D7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3">
        <v>12050</v>
      </c>
      <c r="F703" s="32" t="s">
        <v>433</v>
      </c>
      <c r="G703" t="s">
        <v>523</v>
      </c>
      <c r="H703" s="2" t="b">
        <f>AND(CONTROL[[#This Row],[IS_WAGON_OR_COACH]]=TRUE,OR(RIGHT(CONTROL[[#This Row],[VEHIDCODE]],7)="Powered",RIGHT(CONTROL[[#This Row],[VEHIDCODE]],9)="Unpowered"))</f>
        <v>0</v>
      </c>
      <c r="I7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3" t="b">
        <f>ISNUMBER(_xlfn.XMATCH(CONTROL[[#This Row],[VEHIDCODE]],TRACK_TYPES[VEHIDCODE],0))</f>
        <v>1</v>
      </c>
      <c r="K703" t="b">
        <f>ISNUMBER(_xlfn.XMATCH(CONTROL[[#This Row],[VEHIDCODE]],PROPERTIES[VEHIDCODE],0))</f>
        <v>1</v>
      </c>
      <c r="L703" t="b">
        <f>ISNUMBER(_xlfn.XLOOKUP(CONTROL[[#This Row],[VEHIDCODE]],roster!A:A,roster!D:D))</f>
        <v>1</v>
      </c>
      <c r="M703" t="b">
        <f>ISNUMBER(_xlfn.XMATCH(CONTROL[[#This Row],[VEHIDCODE]],GRAPHICS_PROPERTIES[VEHIDCODE],0))</f>
        <v>1</v>
      </c>
      <c r="N703" s="21" t="str">
        <f>"item_"&amp;CONTROL[[#This Row],[VEHIDCODE]]</f>
        <v>item_mu_Wagon_Gen6_Heavy_Flatcar</v>
      </c>
      <c r="O703" s="21" t="str">
        <f>"str_"&amp;CONTROL[[#This Row],[VEHIDCODE]]</f>
        <v>str_mu_Wagon_Gen6_Heavy_Flatcar</v>
      </c>
      <c r="P703" s="7" t="b">
        <f>_xlfn.XLOOKUP(CONTROL[[#This Row],[VEHIDCODE]],PROPERTIES[VEHIDCODE],PROPERTIES[IS_CONCEPT])="IS_CONCEPT"</f>
        <v>0</v>
      </c>
      <c r="Q703" s="7" t="b">
        <f>_xlfn.XLOOKUP(CONTROL[[#This Row],[VEHIDCODE]],PROPERTIES[VEHIDCODE],PROPERTIES[EXCLUDE])</f>
        <v>0</v>
      </c>
      <c r="R703" t="str" cm="1">
        <f t="array" ref="R703">_xlfn.XLOOKUP(CONTROL[[#This Row],[VEHIDCODE]],GRAPHICS_PROPERTIES[VEHIDCODE],GRAPHICS_PROPERTIES[TEMPLATE_ID]&amp;GRAPHICS_PROPERTIES[TEMPLATE_AMENDMENT_CODE])</f>
        <v>TPL_04B</v>
      </c>
    </row>
    <row r="704" spans="1:18" x14ac:dyDescent="0.35">
      <c r="A704" s="2" t="s">
        <v>198</v>
      </c>
      <c r="B704" s="21" t="str">
        <f>_xlfn.TEXTAFTER(CONTROL[[#This Row],[VEHIDCODE]],"_")</f>
        <v>Wagon_Gen6_Boxcar_Type1</v>
      </c>
      <c r="C704" t="str" cm="1">
        <f t="array" ref="C7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4" t="str" cm="1">
        <f t="array" ref="D7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4">
        <v>12051</v>
      </c>
      <c r="F704" s="32" t="s">
        <v>1682</v>
      </c>
      <c r="G704" t="s">
        <v>523</v>
      </c>
      <c r="H704" s="2" t="b">
        <f>AND(CONTROL[[#This Row],[IS_WAGON_OR_COACH]]=TRUE,OR(RIGHT(CONTROL[[#This Row],[VEHIDCODE]],7)="Powered",RIGHT(CONTROL[[#This Row],[VEHIDCODE]],9)="Unpowered"))</f>
        <v>0</v>
      </c>
      <c r="I7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4" t="b">
        <f>ISNUMBER(_xlfn.XMATCH(CONTROL[[#This Row],[VEHIDCODE]],TRACK_TYPES[VEHIDCODE],0))</f>
        <v>1</v>
      </c>
      <c r="K704" t="b">
        <f>ISNUMBER(_xlfn.XMATCH(CONTROL[[#This Row],[VEHIDCODE]],PROPERTIES[VEHIDCODE],0))</f>
        <v>1</v>
      </c>
      <c r="L704" t="b">
        <f>ISNUMBER(_xlfn.XLOOKUP(CONTROL[[#This Row],[VEHIDCODE]],roster!A:A,roster!D:D))</f>
        <v>1</v>
      </c>
      <c r="M704" t="b">
        <f>ISNUMBER(_xlfn.XMATCH(CONTROL[[#This Row],[VEHIDCODE]],GRAPHICS_PROPERTIES[VEHIDCODE],0))</f>
        <v>1</v>
      </c>
      <c r="N704" s="21" t="str">
        <f>"item_"&amp;CONTROL[[#This Row],[VEHIDCODE]]</f>
        <v>item_mu_Wagon_Gen6_Boxcar_Type1</v>
      </c>
      <c r="O704" s="21" t="str">
        <f>"str_"&amp;CONTROL[[#This Row],[VEHIDCODE]]</f>
        <v>str_mu_Wagon_Gen6_Boxcar_Type1</v>
      </c>
      <c r="P704" s="7" t="b">
        <f>_xlfn.XLOOKUP(CONTROL[[#This Row],[VEHIDCODE]],PROPERTIES[VEHIDCODE],PROPERTIES[IS_CONCEPT])="IS_CONCEPT"</f>
        <v>0</v>
      </c>
      <c r="Q704" s="7" t="b">
        <f>_xlfn.XLOOKUP(CONTROL[[#This Row],[VEHIDCODE]],PROPERTIES[VEHIDCODE],PROPERTIES[EXCLUDE])</f>
        <v>0</v>
      </c>
      <c r="R704" t="str" cm="1">
        <f t="array" ref="R704">_xlfn.XLOOKUP(CONTROL[[#This Row],[VEHIDCODE]],GRAPHICS_PROPERTIES[VEHIDCODE],GRAPHICS_PROPERTIES[TEMPLATE_ID]&amp;GRAPHICS_PROPERTIES[TEMPLATE_AMENDMENT_CODE])</f>
        <v>TPL_04B</v>
      </c>
    </row>
    <row r="705" spans="1:18" x14ac:dyDescent="0.35">
      <c r="A705" s="2" t="s">
        <v>199</v>
      </c>
      <c r="B705" s="21" t="str">
        <f>_xlfn.TEXTAFTER(CONTROL[[#This Row],[VEHIDCODE]],"_")</f>
        <v>Wagon_Gen6_Boxcar_Type2</v>
      </c>
      <c r="C705" t="str" cm="1">
        <f t="array" ref="C7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5" t="str" cm="1">
        <f t="array" ref="D7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5">
        <v>12061</v>
      </c>
      <c r="F705" s="32" t="s">
        <v>1697</v>
      </c>
      <c r="G705" t="s">
        <v>523</v>
      </c>
      <c r="H705" s="2" t="b">
        <f>AND(CONTROL[[#This Row],[IS_WAGON_OR_COACH]]=TRUE,OR(RIGHT(CONTROL[[#This Row],[VEHIDCODE]],7)="Powered",RIGHT(CONTROL[[#This Row],[VEHIDCODE]],9)="Unpowered"))</f>
        <v>0</v>
      </c>
      <c r="I7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5" t="b">
        <f>ISNUMBER(_xlfn.XMATCH(CONTROL[[#This Row],[VEHIDCODE]],TRACK_TYPES[VEHIDCODE],0))</f>
        <v>1</v>
      </c>
      <c r="K705" t="b">
        <f>ISNUMBER(_xlfn.XMATCH(CONTROL[[#This Row],[VEHIDCODE]],PROPERTIES[VEHIDCODE],0))</f>
        <v>1</v>
      </c>
      <c r="L705" t="b">
        <f>ISNUMBER(_xlfn.XLOOKUP(CONTROL[[#This Row],[VEHIDCODE]],roster!A:A,roster!D:D))</f>
        <v>1</v>
      </c>
      <c r="M705" t="b">
        <f>ISNUMBER(_xlfn.XMATCH(CONTROL[[#This Row],[VEHIDCODE]],GRAPHICS_PROPERTIES[VEHIDCODE],0))</f>
        <v>1</v>
      </c>
      <c r="N705" s="21" t="str">
        <f>"item_"&amp;CONTROL[[#This Row],[VEHIDCODE]]</f>
        <v>item_mu_Wagon_Gen6_Boxcar_Type2</v>
      </c>
      <c r="O705" s="21" t="str">
        <f>"str_"&amp;CONTROL[[#This Row],[VEHIDCODE]]</f>
        <v>str_mu_Wagon_Gen6_Boxcar_Type2</v>
      </c>
      <c r="P705" s="7" t="b">
        <f>_xlfn.XLOOKUP(CONTROL[[#This Row],[VEHIDCODE]],PROPERTIES[VEHIDCODE],PROPERTIES[IS_CONCEPT])="IS_CONCEPT"</f>
        <v>0</v>
      </c>
      <c r="Q705" s="7" t="b">
        <f>_xlfn.XLOOKUP(CONTROL[[#This Row],[VEHIDCODE]],PROPERTIES[VEHIDCODE],PROPERTIES[EXCLUDE])</f>
        <v>0</v>
      </c>
      <c r="R705" t="str" cm="1">
        <f t="array" ref="R705">_xlfn.XLOOKUP(CONTROL[[#This Row],[VEHIDCODE]],GRAPHICS_PROPERTIES[VEHIDCODE],GRAPHICS_PROPERTIES[TEMPLATE_ID]&amp;GRAPHICS_PROPERTIES[TEMPLATE_AMENDMENT_CODE])</f>
        <v>TPL_04B</v>
      </c>
    </row>
    <row r="706" spans="1:18" x14ac:dyDescent="0.35">
      <c r="A706" s="2" t="s">
        <v>200</v>
      </c>
      <c r="B706" s="21" t="str">
        <f>_xlfn.TEXTAFTER(CONTROL[[#This Row],[VEHIDCODE]],"_")</f>
        <v>Wagon_Gen6_Tanker</v>
      </c>
      <c r="C706" t="str" cm="1">
        <f t="array" ref="C7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6" t="str" cm="1">
        <f t="array" ref="D7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6">
        <v>12052</v>
      </c>
      <c r="F706" s="32" t="s">
        <v>434</v>
      </c>
      <c r="G706" t="s">
        <v>523</v>
      </c>
      <c r="H706" s="2" t="b">
        <f>AND(CONTROL[[#This Row],[IS_WAGON_OR_COACH]]=TRUE,OR(RIGHT(CONTROL[[#This Row],[VEHIDCODE]],7)="Powered",RIGHT(CONTROL[[#This Row],[VEHIDCODE]],9)="Unpowered"))</f>
        <v>0</v>
      </c>
      <c r="I7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6" t="b">
        <f>ISNUMBER(_xlfn.XMATCH(CONTROL[[#This Row],[VEHIDCODE]],TRACK_TYPES[VEHIDCODE],0))</f>
        <v>1</v>
      </c>
      <c r="K706" t="b">
        <f>ISNUMBER(_xlfn.XMATCH(CONTROL[[#This Row],[VEHIDCODE]],PROPERTIES[VEHIDCODE],0))</f>
        <v>1</v>
      </c>
      <c r="L706" t="b">
        <f>ISNUMBER(_xlfn.XLOOKUP(CONTROL[[#This Row],[VEHIDCODE]],roster!A:A,roster!D:D))</f>
        <v>1</v>
      </c>
      <c r="M706" t="b">
        <f>ISNUMBER(_xlfn.XMATCH(CONTROL[[#This Row],[VEHIDCODE]],GRAPHICS_PROPERTIES[VEHIDCODE],0))</f>
        <v>1</v>
      </c>
      <c r="N706" s="21" t="str">
        <f>"item_"&amp;CONTROL[[#This Row],[VEHIDCODE]]</f>
        <v>item_mu_Wagon_Gen6_Tanker</v>
      </c>
      <c r="O706" s="21" t="str">
        <f>"str_"&amp;CONTROL[[#This Row],[VEHIDCODE]]</f>
        <v>str_mu_Wagon_Gen6_Tanker</v>
      </c>
      <c r="P706" s="7" t="b">
        <f>_xlfn.XLOOKUP(CONTROL[[#This Row],[VEHIDCODE]],PROPERTIES[VEHIDCODE],PROPERTIES[IS_CONCEPT])="IS_CONCEPT"</f>
        <v>0</v>
      </c>
      <c r="Q706" s="7" t="b">
        <f>_xlfn.XLOOKUP(CONTROL[[#This Row],[VEHIDCODE]],PROPERTIES[VEHIDCODE],PROPERTIES[EXCLUDE])</f>
        <v>0</v>
      </c>
      <c r="R706" t="str" cm="1">
        <f t="array" ref="R706">_xlfn.XLOOKUP(CONTROL[[#This Row],[VEHIDCODE]],GRAPHICS_PROPERTIES[VEHIDCODE],GRAPHICS_PROPERTIES[TEMPLATE_ID]&amp;GRAPHICS_PROPERTIES[TEMPLATE_AMENDMENT_CODE])</f>
        <v>TPL_04B</v>
      </c>
    </row>
    <row r="707" spans="1:18" x14ac:dyDescent="0.35">
      <c r="A707" s="2" t="s">
        <v>201</v>
      </c>
      <c r="B707" s="21" t="str">
        <f>_xlfn.TEXTAFTER(CONTROL[[#This Row],[VEHIDCODE]],"_")</f>
        <v>Wagon_Gen6_Gondola</v>
      </c>
      <c r="C707" t="str" cm="1">
        <f t="array" ref="C7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7" t="str" cm="1">
        <f t="array" ref="D7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7">
        <v>12053</v>
      </c>
      <c r="F707" s="32" t="s">
        <v>435</v>
      </c>
      <c r="G707" t="s">
        <v>523</v>
      </c>
      <c r="H707" s="2" t="b">
        <f>AND(CONTROL[[#This Row],[IS_WAGON_OR_COACH]]=TRUE,OR(RIGHT(CONTROL[[#This Row],[VEHIDCODE]],7)="Powered",RIGHT(CONTROL[[#This Row],[VEHIDCODE]],9)="Unpowered"))</f>
        <v>0</v>
      </c>
      <c r="I7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7" t="b">
        <f>ISNUMBER(_xlfn.XMATCH(CONTROL[[#This Row],[VEHIDCODE]],TRACK_TYPES[VEHIDCODE],0))</f>
        <v>1</v>
      </c>
      <c r="K707" t="b">
        <f>ISNUMBER(_xlfn.XMATCH(CONTROL[[#This Row],[VEHIDCODE]],PROPERTIES[VEHIDCODE],0))</f>
        <v>1</v>
      </c>
      <c r="L707" t="b">
        <f>ISNUMBER(_xlfn.XLOOKUP(CONTROL[[#This Row],[VEHIDCODE]],roster!A:A,roster!D:D))</f>
        <v>1</v>
      </c>
      <c r="M707" t="b">
        <f>ISNUMBER(_xlfn.XMATCH(CONTROL[[#This Row],[VEHIDCODE]],GRAPHICS_PROPERTIES[VEHIDCODE],0))</f>
        <v>1</v>
      </c>
      <c r="N707" s="21" t="str">
        <f>"item_"&amp;CONTROL[[#This Row],[VEHIDCODE]]</f>
        <v>item_mu_Wagon_Gen6_Gondola</v>
      </c>
      <c r="O707" s="21" t="str">
        <f>"str_"&amp;CONTROL[[#This Row],[VEHIDCODE]]</f>
        <v>str_mu_Wagon_Gen6_Gondola</v>
      </c>
      <c r="P707" s="7" t="b">
        <f>_xlfn.XLOOKUP(CONTROL[[#This Row],[VEHIDCODE]],PROPERTIES[VEHIDCODE],PROPERTIES[IS_CONCEPT])="IS_CONCEPT"</f>
        <v>0</v>
      </c>
      <c r="Q707" s="7" t="b">
        <f>_xlfn.XLOOKUP(CONTROL[[#This Row],[VEHIDCODE]],PROPERTIES[VEHIDCODE],PROPERTIES[EXCLUDE])</f>
        <v>0</v>
      </c>
      <c r="R707" t="str" cm="1">
        <f t="array" ref="R707">_xlfn.XLOOKUP(CONTROL[[#This Row],[VEHIDCODE]],GRAPHICS_PROPERTIES[VEHIDCODE],GRAPHICS_PROPERTIES[TEMPLATE_ID]&amp;GRAPHICS_PROPERTIES[TEMPLATE_AMENDMENT_CODE])</f>
        <v>TPL_04B</v>
      </c>
    </row>
    <row r="708" spans="1:18" x14ac:dyDescent="0.35">
      <c r="A708" s="2" t="s">
        <v>202</v>
      </c>
      <c r="B708" s="21" t="str">
        <f>_xlfn.TEXTAFTER(CONTROL[[#This Row],[VEHIDCODE]],"_")</f>
        <v>Wagon_Gen6_Silo_Type1</v>
      </c>
      <c r="C708" t="str" cm="1">
        <f t="array" ref="C7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8" t="str" cm="1">
        <f t="array" ref="D7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8">
        <v>12054</v>
      </c>
      <c r="F708" s="32" t="s">
        <v>1683</v>
      </c>
      <c r="G708" t="s">
        <v>523</v>
      </c>
      <c r="H708" s="2" t="b">
        <f>AND(CONTROL[[#This Row],[IS_WAGON_OR_COACH]]=TRUE,OR(RIGHT(CONTROL[[#This Row],[VEHIDCODE]],7)="Powered",RIGHT(CONTROL[[#This Row],[VEHIDCODE]],9)="Unpowered"))</f>
        <v>0</v>
      </c>
      <c r="I7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8" t="b">
        <f>ISNUMBER(_xlfn.XMATCH(CONTROL[[#This Row],[VEHIDCODE]],TRACK_TYPES[VEHIDCODE],0))</f>
        <v>1</v>
      </c>
      <c r="K708" t="b">
        <f>ISNUMBER(_xlfn.XMATCH(CONTROL[[#This Row],[VEHIDCODE]],PROPERTIES[VEHIDCODE],0))</f>
        <v>1</v>
      </c>
      <c r="L708" t="b">
        <f>ISNUMBER(_xlfn.XLOOKUP(CONTROL[[#This Row],[VEHIDCODE]],roster!A:A,roster!D:D))</f>
        <v>1</v>
      </c>
      <c r="M708" t="b">
        <f>ISNUMBER(_xlfn.XMATCH(CONTROL[[#This Row],[VEHIDCODE]],GRAPHICS_PROPERTIES[VEHIDCODE],0))</f>
        <v>1</v>
      </c>
      <c r="N708" s="21" t="str">
        <f>"item_"&amp;CONTROL[[#This Row],[VEHIDCODE]]</f>
        <v>item_mu_Wagon_Gen6_Silo_Type1</v>
      </c>
      <c r="O708" s="21" t="str">
        <f>"str_"&amp;CONTROL[[#This Row],[VEHIDCODE]]</f>
        <v>str_mu_Wagon_Gen6_Silo_Type1</v>
      </c>
      <c r="P708" s="7" t="b">
        <f>_xlfn.XLOOKUP(CONTROL[[#This Row],[VEHIDCODE]],PROPERTIES[VEHIDCODE],PROPERTIES[IS_CONCEPT])="IS_CONCEPT"</f>
        <v>0</v>
      </c>
      <c r="Q708" s="7" t="b">
        <f>_xlfn.XLOOKUP(CONTROL[[#This Row],[VEHIDCODE]],PROPERTIES[VEHIDCODE],PROPERTIES[EXCLUDE])</f>
        <v>0</v>
      </c>
      <c r="R708" t="str" cm="1">
        <f t="array" ref="R708">_xlfn.XLOOKUP(CONTROL[[#This Row],[VEHIDCODE]],GRAPHICS_PROPERTIES[VEHIDCODE],GRAPHICS_PROPERTIES[TEMPLATE_ID]&amp;GRAPHICS_PROPERTIES[TEMPLATE_AMENDMENT_CODE])</f>
        <v>TPL_04B</v>
      </c>
    </row>
    <row r="709" spans="1:18" x14ac:dyDescent="0.35">
      <c r="A709" s="2" t="s">
        <v>203</v>
      </c>
      <c r="B709" s="21" t="str">
        <f>_xlfn.TEXTAFTER(CONTROL[[#This Row],[VEHIDCODE]],"_")</f>
        <v>Wagon_Gen6_Silo_Type2</v>
      </c>
      <c r="C709" t="str" cm="1">
        <f t="array" ref="C7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9" t="str" cm="1">
        <f t="array" ref="D7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9">
        <v>12062</v>
      </c>
      <c r="F709" s="32" t="s">
        <v>1698</v>
      </c>
      <c r="G709" t="s">
        <v>523</v>
      </c>
      <c r="H709" s="2" t="b">
        <f>AND(CONTROL[[#This Row],[IS_WAGON_OR_COACH]]=TRUE,OR(RIGHT(CONTROL[[#This Row],[VEHIDCODE]],7)="Powered",RIGHT(CONTROL[[#This Row],[VEHIDCODE]],9)="Unpowered"))</f>
        <v>0</v>
      </c>
      <c r="I7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9" t="b">
        <f>ISNUMBER(_xlfn.XMATCH(CONTROL[[#This Row],[VEHIDCODE]],TRACK_TYPES[VEHIDCODE],0))</f>
        <v>1</v>
      </c>
      <c r="K709" t="b">
        <f>ISNUMBER(_xlfn.XMATCH(CONTROL[[#This Row],[VEHIDCODE]],PROPERTIES[VEHIDCODE],0))</f>
        <v>1</v>
      </c>
      <c r="L709" t="b">
        <f>ISNUMBER(_xlfn.XLOOKUP(CONTROL[[#This Row],[VEHIDCODE]],roster!A:A,roster!D:D))</f>
        <v>1</v>
      </c>
      <c r="M709" t="b">
        <f>ISNUMBER(_xlfn.XMATCH(CONTROL[[#This Row],[VEHIDCODE]],GRAPHICS_PROPERTIES[VEHIDCODE],0))</f>
        <v>1</v>
      </c>
      <c r="N709" s="21" t="str">
        <f>"item_"&amp;CONTROL[[#This Row],[VEHIDCODE]]</f>
        <v>item_mu_Wagon_Gen6_Silo_Type2</v>
      </c>
      <c r="O709" s="21" t="str">
        <f>"str_"&amp;CONTROL[[#This Row],[VEHIDCODE]]</f>
        <v>str_mu_Wagon_Gen6_Silo_Type2</v>
      </c>
      <c r="P709" s="7" t="b">
        <f>_xlfn.XLOOKUP(CONTROL[[#This Row],[VEHIDCODE]],PROPERTIES[VEHIDCODE],PROPERTIES[IS_CONCEPT])="IS_CONCEPT"</f>
        <v>0</v>
      </c>
      <c r="Q709" s="7" t="b">
        <f>_xlfn.XLOOKUP(CONTROL[[#This Row],[VEHIDCODE]],PROPERTIES[VEHIDCODE],PROPERTIES[EXCLUDE])</f>
        <v>0</v>
      </c>
      <c r="R709" t="str" cm="1">
        <f t="array" ref="R709">_xlfn.XLOOKUP(CONTROL[[#This Row],[VEHIDCODE]],GRAPHICS_PROPERTIES[VEHIDCODE],GRAPHICS_PROPERTIES[TEMPLATE_ID]&amp;GRAPHICS_PROPERTIES[TEMPLATE_AMENDMENT_CODE])</f>
        <v>TPL_04B</v>
      </c>
    </row>
    <row r="710" spans="1:18" x14ac:dyDescent="0.35">
      <c r="A710" s="2" t="s">
        <v>204</v>
      </c>
      <c r="B710" s="21" t="str">
        <f>_xlfn.TEXTAFTER(CONTROL[[#This Row],[VEHIDCODE]],"_")</f>
        <v>Wagon_Gen6_Hopper_Type1</v>
      </c>
      <c r="C710" t="str" cm="1">
        <f t="array" ref="C7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0" t="str" cm="1">
        <f t="array" ref="D7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0">
        <v>12055</v>
      </c>
      <c r="F710" s="32" t="s">
        <v>1684</v>
      </c>
      <c r="G710" t="s">
        <v>523</v>
      </c>
      <c r="H710" s="2" t="b">
        <f>AND(CONTROL[[#This Row],[IS_WAGON_OR_COACH]]=TRUE,OR(RIGHT(CONTROL[[#This Row],[VEHIDCODE]],7)="Powered",RIGHT(CONTROL[[#This Row],[VEHIDCODE]],9)="Unpowered"))</f>
        <v>0</v>
      </c>
      <c r="I7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0" t="b">
        <f>ISNUMBER(_xlfn.XMATCH(CONTROL[[#This Row],[VEHIDCODE]],TRACK_TYPES[VEHIDCODE],0))</f>
        <v>1</v>
      </c>
      <c r="K710" t="b">
        <f>ISNUMBER(_xlfn.XMATCH(CONTROL[[#This Row],[VEHIDCODE]],PROPERTIES[VEHIDCODE],0))</f>
        <v>1</v>
      </c>
      <c r="L710" t="b">
        <f>ISNUMBER(_xlfn.XLOOKUP(CONTROL[[#This Row],[VEHIDCODE]],roster!A:A,roster!D:D))</f>
        <v>1</v>
      </c>
      <c r="M710" t="b">
        <f>ISNUMBER(_xlfn.XMATCH(CONTROL[[#This Row],[VEHIDCODE]],GRAPHICS_PROPERTIES[VEHIDCODE],0))</f>
        <v>1</v>
      </c>
      <c r="N710" s="21" t="str">
        <f>"item_"&amp;CONTROL[[#This Row],[VEHIDCODE]]</f>
        <v>item_mu_Wagon_Gen6_Hopper_Type1</v>
      </c>
      <c r="O710" s="21" t="str">
        <f>"str_"&amp;CONTROL[[#This Row],[VEHIDCODE]]</f>
        <v>str_mu_Wagon_Gen6_Hopper_Type1</v>
      </c>
      <c r="P710" s="7" t="b">
        <f>_xlfn.XLOOKUP(CONTROL[[#This Row],[VEHIDCODE]],PROPERTIES[VEHIDCODE],PROPERTIES[IS_CONCEPT])="IS_CONCEPT"</f>
        <v>0</v>
      </c>
      <c r="Q710" s="7" t="b">
        <f>_xlfn.XLOOKUP(CONTROL[[#This Row],[VEHIDCODE]],PROPERTIES[VEHIDCODE],PROPERTIES[EXCLUDE])</f>
        <v>0</v>
      </c>
      <c r="R710" t="str" cm="1">
        <f t="array" ref="R710">_xlfn.XLOOKUP(CONTROL[[#This Row],[VEHIDCODE]],GRAPHICS_PROPERTIES[VEHIDCODE],GRAPHICS_PROPERTIES[TEMPLATE_ID]&amp;GRAPHICS_PROPERTIES[TEMPLATE_AMENDMENT_CODE])</f>
        <v>TPL_04B</v>
      </c>
    </row>
    <row r="711" spans="1:18" x14ac:dyDescent="0.35">
      <c r="A711" s="2" t="s">
        <v>205</v>
      </c>
      <c r="B711" s="21" t="str">
        <f>_xlfn.TEXTAFTER(CONTROL[[#This Row],[VEHIDCODE]],"_")</f>
        <v>Wagon_Gen6_Hopper_Type2</v>
      </c>
      <c r="C711" t="str" cm="1">
        <f t="array" ref="C7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1" t="str" cm="1">
        <f t="array" ref="D7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1">
        <v>12063</v>
      </c>
      <c r="F711" s="32" t="s">
        <v>1699</v>
      </c>
      <c r="G711" t="s">
        <v>523</v>
      </c>
      <c r="H711" s="2" t="b">
        <f>AND(CONTROL[[#This Row],[IS_WAGON_OR_COACH]]=TRUE,OR(RIGHT(CONTROL[[#This Row],[VEHIDCODE]],7)="Powered",RIGHT(CONTROL[[#This Row],[VEHIDCODE]],9)="Unpowered"))</f>
        <v>0</v>
      </c>
      <c r="I7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1" t="b">
        <f>ISNUMBER(_xlfn.XMATCH(CONTROL[[#This Row],[VEHIDCODE]],TRACK_TYPES[VEHIDCODE],0))</f>
        <v>1</v>
      </c>
      <c r="K711" t="b">
        <f>ISNUMBER(_xlfn.XMATCH(CONTROL[[#This Row],[VEHIDCODE]],PROPERTIES[VEHIDCODE],0))</f>
        <v>1</v>
      </c>
      <c r="L711" t="b">
        <f>ISNUMBER(_xlfn.XLOOKUP(CONTROL[[#This Row],[VEHIDCODE]],roster!A:A,roster!D:D))</f>
        <v>1</v>
      </c>
      <c r="M711" t="b">
        <f>ISNUMBER(_xlfn.XMATCH(CONTROL[[#This Row],[VEHIDCODE]],GRAPHICS_PROPERTIES[VEHIDCODE],0))</f>
        <v>1</v>
      </c>
      <c r="N711" s="21" t="str">
        <f>"item_"&amp;CONTROL[[#This Row],[VEHIDCODE]]</f>
        <v>item_mu_Wagon_Gen6_Hopper_Type2</v>
      </c>
      <c r="O711" s="21" t="str">
        <f>"str_"&amp;CONTROL[[#This Row],[VEHIDCODE]]</f>
        <v>str_mu_Wagon_Gen6_Hopper_Type2</v>
      </c>
      <c r="P711" s="7" t="b">
        <f>_xlfn.XLOOKUP(CONTROL[[#This Row],[VEHIDCODE]],PROPERTIES[VEHIDCODE],PROPERTIES[IS_CONCEPT])="IS_CONCEPT"</f>
        <v>0</v>
      </c>
      <c r="Q711" s="7" t="b">
        <f>_xlfn.XLOOKUP(CONTROL[[#This Row],[VEHIDCODE]],PROPERTIES[VEHIDCODE],PROPERTIES[EXCLUDE])</f>
        <v>0</v>
      </c>
      <c r="R711" t="str" cm="1">
        <f t="array" ref="R711">_xlfn.XLOOKUP(CONTROL[[#This Row],[VEHIDCODE]],GRAPHICS_PROPERTIES[VEHIDCODE],GRAPHICS_PROPERTIES[TEMPLATE_ID]&amp;GRAPHICS_PROPERTIES[TEMPLATE_AMENDMENT_CODE])</f>
        <v>TPL_04B</v>
      </c>
    </row>
    <row r="712" spans="1:18" x14ac:dyDescent="0.35">
      <c r="A712" s="2" t="s">
        <v>206</v>
      </c>
      <c r="B712" s="21" t="str">
        <f>_xlfn.TEXTAFTER(CONTROL[[#This Row],[VEHIDCODE]],"_")</f>
        <v>Wagon_Gen6_Car_Transporter</v>
      </c>
      <c r="C712" t="str" cm="1">
        <f t="array" ref="C7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2" t="str" cm="1">
        <f t="array" ref="D7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2">
        <v>12056</v>
      </c>
      <c r="F712" s="32" t="s">
        <v>436</v>
      </c>
      <c r="G712" t="s">
        <v>523</v>
      </c>
      <c r="H712" s="2" t="b">
        <f>AND(CONTROL[[#This Row],[IS_WAGON_OR_COACH]]=TRUE,OR(RIGHT(CONTROL[[#This Row],[VEHIDCODE]],7)="Powered",RIGHT(CONTROL[[#This Row],[VEHIDCODE]],9)="Unpowered"))</f>
        <v>0</v>
      </c>
      <c r="I7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2" t="b">
        <f>ISNUMBER(_xlfn.XMATCH(CONTROL[[#This Row],[VEHIDCODE]],TRACK_TYPES[VEHIDCODE],0))</f>
        <v>1</v>
      </c>
      <c r="K712" t="b">
        <f>ISNUMBER(_xlfn.XMATCH(CONTROL[[#This Row],[VEHIDCODE]],PROPERTIES[VEHIDCODE],0))</f>
        <v>1</v>
      </c>
      <c r="L712" t="b">
        <f>ISNUMBER(_xlfn.XLOOKUP(CONTROL[[#This Row],[VEHIDCODE]],roster!A:A,roster!D:D))</f>
        <v>1</v>
      </c>
      <c r="M712" t="b">
        <f>ISNUMBER(_xlfn.XMATCH(CONTROL[[#This Row],[VEHIDCODE]],GRAPHICS_PROPERTIES[VEHIDCODE],0))</f>
        <v>1</v>
      </c>
      <c r="N712" s="21" t="str">
        <f>"item_"&amp;CONTROL[[#This Row],[VEHIDCODE]]</f>
        <v>item_mu_Wagon_Gen6_Car_Transporter</v>
      </c>
      <c r="O712" s="21" t="str">
        <f>"str_"&amp;CONTROL[[#This Row],[VEHIDCODE]]</f>
        <v>str_mu_Wagon_Gen6_Car_Transporter</v>
      </c>
      <c r="P712" s="7" t="b">
        <f>_xlfn.XLOOKUP(CONTROL[[#This Row],[VEHIDCODE]],PROPERTIES[VEHIDCODE],PROPERTIES[IS_CONCEPT])="IS_CONCEPT"</f>
        <v>0</v>
      </c>
      <c r="Q712" s="7" t="b">
        <f>_xlfn.XLOOKUP(CONTROL[[#This Row],[VEHIDCODE]],PROPERTIES[VEHIDCODE],PROPERTIES[EXCLUDE])</f>
        <v>0</v>
      </c>
      <c r="R712" t="str" cm="1">
        <f t="array" ref="R712">_xlfn.XLOOKUP(CONTROL[[#This Row],[VEHIDCODE]],GRAPHICS_PROPERTIES[VEHIDCODE],GRAPHICS_PROPERTIES[TEMPLATE_ID]&amp;GRAPHICS_PROPERTIES[TEMPLATE_AMENDMENT_CODE])</f>
        <v>TPL_04B</v>
      </c>
    </row>
    <row r="713" spans="1:18" x14ac:dyDescent="0.35">
      <c r="A713" s="2" t="s">
        <v>207</v>
      </c>
      <c r="B713" s="21" t="str">
        <f>_xlfn.TEXTAFTER(CONTROL[[#This Row],[VEHIDCODE]],"_")</f>
        <v>Wagon_Gen6_Container_Carrier</v>
      </c>
      <c r="C713" t="str" cm="1">
        <f t="array" ref="C7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3" t="str" cm="1">
        <f t="array" ref="D7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3">
        <v>12057</v>
      </c>
      <c r="F713" s="32" t="s">
        <v>437</v>
      </c>
      <c r="G713" t="s">
        <v>523</v>
      </c>
      <c r="H713" s="2" t="b">
        <f>AND(CONTROL[[#This Row],[IS_WAGON_OR_COACH]]=TRUE,OR(RIGHT(CONTROL[[#This Row],[VEHIDCODE]],7)="Powered",RIGHT(CONTROL[[#This Row],[VEHIDCODE]],9)="Unpowered"))</f>
        <v>0</v>
      </c>
      <c r="I7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3" t="b">
        <f>ISNUMBER(_xlfn.XMATCH(CONTROL[[#This Row],[VEHIDCODE]],TRACK_TYPES[VEHIDCODE],0))</f>
        <v>1</v>
      </c>
      <c r="K713" t="b">
        <f>ISNUMBER(_xlfn.XMATCH(CONTROL[[#This Row],[VEHIDCODE]],PROPERTIES[VEHIDCODE],0))</f>
        <v>1</v>
      </c>
      <c r="L713" t="b">
        <f>ISNUMBER(_xlfn.XLOOKUP(CONTROL[[#This Row],[VEHIDCODE]],roster!A:A,roster!D:D))</f>
        <v>1</v>
      </c>
      <c r="M713" t="b">
        <f>ISNUMBER(_xlfn.XMATCH(CONTROL[[#This Row],[VEHIDCODE]],GRAPHICS_PROPERTIES[VEHIDCODE],0))</f>
        <v>1</v>
      </c>
      <c r="N713" s="21" t="str">
        <f>"item_"&amp;CONTROL[[#This Row],[VEHIDCODE]]</f>
        <v>item_mu_Wagon_Gen6_Container_Carrier</v>
      </c>
      <c r="O713" s="21" t="str">
        <f>"str_"&amp;CONTROL[[#This Row],[VEHIDCODE]]</f>
        <v>str_mu_Wagon_Gen6_Container_Carrier</v>
      </c>
      <c r="P713" s="7" t="b">
        <f>_xlfn.XLOOKUP(CONTROL[[#This Row],[VEHIDCODE]],PROPERTIES[VEHIDCODE],PROPERTIES[IS_CONCEPT])="IS_CONCEPT"</f>
        <v>0</v>
      </c>
      <c r="Q713" s="7" t="b">
        <f>_xlfn.XLOOKUP(CONTROL[[#This Row],[VEHIDCODE]],PROPERTIES[VEHIDCODE],PROPERTIES[EXCLUDE])</f>
        <v>0</v>
      </c>
      <c r="R713" t="str" cm="1">
        <f t="array" ref="R713">_xlfn.XLOOKUP(CONTROL[[#This Row],[VEHIDCODE]],GRAPHICS_PROPERTIES[VEHIDCODE],GRAPHICS_PROPERTIES[TEMPLATE_ID]&amp;GRAPHICS_PROPERTIES[TEMPLATE_AMENDMENT_CODE])</f>
        <v>TPL_04B</v>
      </c>
    </row>
    <row r="714" spans="1:18" x14ac:dyDescent="0.35">
      <c r="A714" s="2" t="s">
        <v>208</v>
      </c>
      <c r="B714" s="21" t="str">
        <f>_xlfn.TEXTAFTER(CONTROL[[#This Row],[VEHIDCODE]],"_")</f>
        <v>Wagon_Gen6_Centerbeam</v>
      </c>
      <c r="C714" t="str" cm="1">
        <f t="array" ref="C7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4" t="str" cm="1">
        <f t="array" ref="D7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4">
        <v>12058</v>
      </c>
      <c r="F714" s="32" t="s">
        <v>438</v>
      </c>
      <c r="G714" t="s">
        <v>523</v>
      </c>
      <c r="H714" s="2" t="b">
        <f>AND(CONTROL[[#This Row],[IS_WAGON_OR_COACH]]=TRUE,OR(RIGHT(CONTROL[[#This Row],[VEHIDCODE]],7)="Powered",RIGHT(CONTROL[[#This Row],[VEHIDCODE]],9)="Unpowered"))</f>
        <v>0</v>
      </c>
      <c r="I7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4" t="b">
        <f>ISNUMBER(_xlfn.XMATCH(CONTROL[[#This Row],[VEHIDCODE]],TRACK_TYPES[VEHIDCODE],0))</f>
        <v>1</v>
      </c>
      <c r="K714" t="b">
        <f>ISNUMBER(_xlfn.XMATCH(CONTROL[[#This Row],[VEHIDCODE]],PROPERTIES[VEHIDCODE],0))</f>
        <v>1</v>
      </c>
      <c r="L714" t="b">
        <f>ISNUMBER(_xlfn.XLOOKUP(CONTROL[[#This Row],[VEHIDCODE]],roster!A:A,roster!D:D))</f>
        <v>1</v>
      </c>
      <c r="M714" t="b">
        <f>ISNUMBER(_xlfn.XMATCH(CONTROL[[#This Row],[VEHIDCODE]],GRAPHICS_PROPERTIES[VEHIDCODE],0))</f>
        <v>1</v>
      </c>
      <c r="N714" s="21" t="str">
        <f>"item_"&amp;CONTROL[[#This Row],[VEHIDCODE]]</f>
        <v>item_mu_Wagon_Gen6_Centerbeam</v>
      </c>
      <c r="O714" s="21" t="str">
        <f>"str_"&amp;CONTROL[[#This Row],[VEHIDCODE]]</f>
        <v>str_mu_Wagon_Gen6_Centerbeam</v>
      </c>
      <c r="P714" s="7" t="b">
        <f>_xlfn.XLOOKUP(CONTROL[[#This Row],[VEHIDCODE]],PROPERTIES[VEHIDCODE],PROPERTIES[IS_CONCEPT])="IS_CONCEPT"</f>
        <v>0</v>
      </c>
      <c r="Q714" s="7" t="b">
        <f>_xlfn.XLOOKUP(CONTROL[[#This Row],[VEHIDCODE]],PROPERTIES[VEHIDCODE],PROPERTIES[EXCLUDE])</f>
        <v>0</v>
      </c>
      <c r="R714" t="str" cm="1">
        <f t="array" ref="R714">_xlfn.XLOOKUP(CONTROL[[#This Row],[VEHIDCODE]],GRAPHICS_PROPERTIES[VEHIDCODE],GRAPHICS_PROPERTIES[TEMPLATE_ID]&amp;GRAPHICS_PROPERTIES[TEMPLATE_AMENDMENT_CODE])</f>
        <v>TPL_04B</v>
      </c>
    </row>
    <row r="715" spans="1:18" x14ac:dyDescent="0.35">
      <c r="A715" s="2" t="s">
        <v>209</v>
      </c>
      <c r="B715" s="21" t="str">
        <f>_xlfn.TEXTAFTER(CONTROL[[#This Row],[VEHIDCODE]],"_")</f>
        <v>Wagon_Gen6_Container_Doublestack</v>
      </c>
      <c r="C715" t="str" cm="1">
        <f t="array" ref="C7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5" t="str" cm="1">
        <f t="array" ref="D7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5">
        <v>12059</v>
      </c>
      <c r="F715" s="32" t="s">
        <v>439</v>
      </c>
      <c r="G715" t="s">
        <v>523</v>
      </c>
      <c r="H715" s="2" t="b">
        <f>AND(CONTROL[[#This Row],[IS_WAGON_OR_COACH]]=TRUE,OR(RIGHT(CONTROL[[#This Row],[VEHIDCODE]],7)="Powered",RIGHT(CONTROL[[#This Row],[VEHIDCODE]],9)="Unpowered"))</f>
        <v>0</v>
      </c>
      <c r="I7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5" t="b">
        <f>ISNUMBER(_xlfn.XMATCH(CONTROL[[#This Row],[VEHIDCODE]],TRACK_TYPES[VEHIDCODE],0))</f>
        <v>1</v>
      </c>
      <c r="K715" t="b">
        <f>ISNUMBER(_xlfn.XMATCH(CONTROL[[#This Row],[VEHIDCODE]],PROPERTIES[VEHIDCODE],0))</f>
        <v>1</v>
      </c>
      <c r="L715" t="b">
        <f>ISNUMBER(_xlfn.XLOOKUP(CONTROL[[#This Row],[VEHIDCODE]],roster!A:A,roster!D:D))</f>
        <v>1</v>
      </c>
      <c r="M715" t="b">
        <f>ISNUMBER(_xlfn.XMATCH(CONTROL[[#This Row],[VEHIDCODE]],GRAPHICS_PROPERTIES[VEHIDCODE],0))</f>
        <v>1</v>
      </c>
      <c r="N715" s="21" t="str">
        <f>"item_"&amp;CONTROL[[#This Row],[VEHIDCODE]]</f>
        <v>item_mu_Wagon_Gen6_Container_Doublestack</v>
      </c>
      <c r="O715" s="21" t="str">
        <f>"str_"&amp;CONTROL[[#This Row],[VEHIDCODE]]</f>
        <v>str_mu_Wagon_Gen6_Container_Doublestack</v>
      </c>
      <c r="P715" s="7" t="b">
        <f>_xlfn.XLOOKUP(CONTROL[[#This Row],[VEHIDCODE]],PROPERTIES[VEHIDCODE],PROPERTIES[IS_CONCEPT])="IS_CONCEPT"</f>
        <v>0</v>
      </c>
      <c r="Q715" s="7" t="b">
        <f>_xlfn.XLOOKUP(CONTROL[[#This Row],[VEHIDCODE]],PROPERTIES[VEHIDCODE],PROPERTIES[EXCLUDE])</f>
        <v>0</v>
      </c>
      <c r="R715" t="str" cm="1">
        <f t="array" ref="R715">_xlfn.XLOOKUP(CONTROL[[#This Row],[VEHIDCODE]],GRAPHICS_PROPERTIES[VEHIDCODE],GRAPHICS_PROPERTIES[TEMPLATE_ID]&amp;GRAPHICS_PROPERTIES[TEMPLATE_AMENDMENT_CODE])</f>
        <v>TPL_04B</v>
      </c>
    </row>
    <row r="716" spans="1:18" x14ac:dyDescent="0.35">
      <c r="A716" s="2" t="s">
        <v>210</v>
      </c>
      <c r="B716" s="21" t="str">
        <f>_xlfn.TEXTAFTER(CONTROL[[#This Row],[VEHIDCODE]],"_")</f>
        <v>Wagon_Gen6_Superheavy_Flatcar</v>
      </c>
      <c r="C716" t="str" cm="1">
        <f t="array" ref="C7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6" t="str" cm="1">
        <f t="array" ref="D7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6">
        <v>12060</v>
      </c>
      <c r="F716" s="32" t="s">
        <v>440</v>
      </c>
      <c r="G716" t="s">
        <v>523</v>
      </c>
      <c r="H716" s="2" t="b">
        <f>AND(CONTROL[[#This Row],[IS_WAGON_OR_COACH]]=TRUE,OR(RIGHT(CONTROL[[#This Row],[VEHIDCODE]],7)="Powered",RIGHT(CONTROL[[#This Row],[VEHIDCODE]],9)="Unpowered"))</f>
        <v>0</v>
      </c>
      <c r="I7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6" t="b">
        <f>ISNUMBER(_xlfn.XMATCH(CONTROL[[#This Row],[VEHIDCODE]],TRACK_TYPES[VEHIDCODE],0))</f>
        <v>1</v>
      </c>
      <c r="K716" t="b">
        <f>ISNUMBER(_xlfn.XMATCH(CONTROL[[#This Row],[VEHIDCODE]],PROPERTIES[VEHIDCODE],0))</f>
        <v>1</v>
      </c>
      <c r="L716" t="b">
        <f>ISNUMBER(_xlfn.XLOOKUP(CONTROL[[#This Row],[VEHIDCODE]],roster!A:A,roster!D:D))</f>
        <v>1</v>
      </c>
      <c r="M716" t="b">
        <f>ISNUMBER(_xlfn.XMATCH(CONTROL[[#This Row],[VEHIDCODE]],GRAPHICS_PROPERTIES[VEHIDCODE],0))</f>
        <v>1</v>
      </c>
      <c r="N716" s="21" t="str">
        <f>"item_"&amp;CONTROL[[#This Row],[VEHIDCODE]]</f>
        <v>item_mu_Wagon_Gen6_Superheavy_Flatcar</v>
      </c>
      <c r="O716" s="21" t="str">
        <f>"str_"&amp;CONTROL[[#This Row],[VEHIDCODE]]</f>
        <v>str_mu_Wagon_Gen6_Superheavy_Flatcar</v>
      </c>
      <c r="P716" s="7" t="b">
        <f>_xlfn.XLOOKUP(CONTROL[[#This Row],[VEHIDCODE]],PROPERTIES[VEHIDCODE],PROPERTIES[IS_CONCEPT])="IS_CONCEPT"</f>
        <v>0</v>
      </c>
      <c r="Q716" s="7" t="b">
        <f>_xlfn.XLOOKUP(CONTROL[[#This Row],[VEHIDCODE]],PROPERTIES[VEHIDCODE],PROPERTIES[EXCLUDE])</f>
        <v>0</v>
      </c>
      <c r="R716" t="str" cm="1">
        <f t="array" ref="R716">_xlfn.XLOOKUP(CONTROL[[#This Row],[VEHIDCODE]],GRAPHICS_PROPERTIES[VEHIDCODE],GRAPHICS_PROPERTIES[TEMPLATE_ID]&amp;GRAPHICS_PROPERTIES[TEMPLATE_AMENDMENT_CODE])</f>
        <v>TPL_25A</v>
      </c>
    </row>
    <row r="717" spans="1:18" x14ac:dyDescent="0.35">
      <c r="A717" s="2" t="s">
        <v>225</v>
      </c>
      <c r="B717" s="21" t="str">
        <f>_xlfn.TEXTAFTER(CONTROL[[#This Row],[VEHIDCODE]],"_")</f>
        <v>Wagon_Service_Car_Type1</v>
      </c>
      <c r="C717" t="str" cm="1">
        <f t="array" ref="C7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src\wagons\Service_Car</v>
      </c>
      <c r="D717" t="str" cm="1">
        <f t="array" ref="D7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7">
        <v>12045</v>
      </c>
      <c r="F717" s="32" t="s">
        <v>3564</v>
      </c>
      <c r="G717" t="s">
        <v>523</v>
      </c>
      <c r="H717" s="2" t="b">
        <f>AND(CONTROL[[#This Row],[IS_WAGON_OR_COACH]]=TRUE,OR(RIGHT(CONTROL[[#This Row],[VEHIDCODE]],7)="Powered",RIGHT(CONTROL[[#This Row],[VEHIDCODE]],9)="Unpowered"))</f>
        <v>0</v>
      </c>
      <c r="I7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7" t="b">
        <f>ISNUMBER(_xlfn.XMATCH(CONTROL[[#This Row],[VEHIDCODE]],TRACK_TYPES[VEHIDCODE],0))</f>
        <v>1</v>
      </c>
      <c r="K717" t="b">
        <f>ISNUMBER(_xlfn.XMATCH(CONTROL[[#This Row],[VEHIDCODE]],PROPERTIES[VEHIDCODE],0))</f>
        <v>1</v>
      </c>
      <c r="L717" t="b">
        <f>ISNUMBER(_xlfn.XLOOKUP(CONTROL[[#This Row],[VEHIDCODE]],roster!A:A,roster!D:D))</f>
        <v>1</v>
      </c>
      <c r="M717" t="b">
        <f>ISNUMBER(_xlfn.XMATCH(CONTROL[[#This Row],[VEHIDCODE]],GRAPHICS_PROPERTIES[VEHIDCODE],0))</f>
        <v>1</v>
      </c>
      <c r="N717" s="21" t="str">
        <f>"item_"&amp;CONTROL[[#This Row],[VEHIDCODE]]</f>
        <v>item_mu_Wagon_Service_Car_Type1</v>
      </c>
      <c r="O717" s="21" t="str">
        <f>"str_"&amp;CONTROL[[#This Row],[VEHIDCODE]]</f>
        <v>str_mu_Wagon_Service_Car_Type1</v>
      </c>
      <c r="P717" s="7" t="b">
        <f>_xlfn.XLOOKUP(CONTROL[[#This Row],[VEHIDCODE]],PROPERTIES[VEHIDCODE],PROPERTIES[IS_CONCEPT])="IS_CONCEPT"</f>
        <v>0</v>
      </c>
      <c r="Q717" s="7" t="b">
        <f>_xlfn.XLOOKUP(CONTROL[[#This Row],[VEHIDCODE]],PROPERTIES[VEHIDCODE],PROPERTIES[EXCLUDE])</f>
        <v>0</v>
      </c>
      <c r="R717" t="str" cm="1">
        <f t="array" ref="R717">_xlfn.XLOOKUP(CONTROL[[#This Row],[VEHIDCODE]],GRAPHICS_PROPERTIES[VEHIDCODE],GRAPHICS_PROPERTIES[TEMPLATE_ID]&amp;GRAPHICS_PROPERTIES[TEMPLATE_AMENDMENT_CODE])</f>
        <v>TPL_04A</v>
      </c>
    </row>
    <row r="718" spans="1:18" x14ac:dyDescent="0.35">
      <c r="A718" s="2" t="s">
        <v>226</v>
      </c>
      <c r="B718" s="21" t="str">
        <f>_xlfn.TEXTAFTER(CONTROL[[#This Row],[VEHIDCODE]],"_")</f>
        <v>Wagon_Service_Car_Type2</v>
      </c>
      <c r="C718" t="str" cm="1">
        <f t="array" ref="C7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src\wagons\Service_Car</v>
      </c>
      <c r="D718" t="str" cm="1">
        <f t="array" ref="D7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8">
        <v>12046</v>
      </c>
      <c r="F718" s="32" t="s">
        <v>3565</v>
      </c>
      <c r="G718" t="s">
        <v>523</v>
      </c>
      <c r="H718" s="2" t="b">
        <f>AND(CONTROL[[#This Row],[IS_WAGON_OR_COACH]]=TRUE,OR(RIGHT(CONTROL[[#This Row],[VEHIDCODE]],7)="Powered",RIGHT(CONTROL[[#This Row],[VEHIDCODE]],9)="Unpowered"))</f>
        <v>0</v>
      </c>
      <c r="I7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8" t="b">
        <f>ISNUMBER(_xlfn.XMATCH(CONTROL[[#This Row],[VEHIDCODE]],TRACK_TYPES[VEHIDCODE],0))</f>
        <v>1</v>
      </c>
      <c r="K718" t="b">
        <f>ISNUMBER(_xlfn.XMATCH(CONTROL[[#This Row],[VEHIDCODE]],PROPERTIES[VEHIDCODE],0))</f>
        <v>1</v>
      </c>
      <c r="L718" t="b">
        <f>ISNUMBER(_xlfn.XLOOKUP(CONTROL[[#This Row],[VEHIDCODE]],roster!A:A,roster!D:D))</f>
        <v>1</v>
      </c>
      <c r="M718" t="b">
        <f>ISNUMBER(_xlfn.XMATCH(CONTROL[[#This Row],[VEHIDCODE]],GRAPHICS_PROPERTIES[VEHIDCODE],0))</f>
        <v>1</v>
      </c>
      <c r="N718" s="21" t="str">
        <f>"item_"&amp;CONTROL[[#This Row],[VEHIDCODE]]</f>
        <v>item_mu_Wagon_Service_Car_Type2</v>
      </c>
      <c r="O718" s="21" t="str">
        <f>"str_"&amp;CONTROL[[#This Row],[VEHIDCODE]]</f>
        <v>str_mu_Wagon_Service_Car_Type2</v>
      </c>
      <c r="P718" s="7" t="b">
        <f>_xlfn.XLOOKUP(CONTROL[[#This Row],[VEHIDCODE]],PROPERTIES[VEHIDCODE],PROPERTIES[IS_CONCEPT])="IS_CONCEPT"</f>
        <v>0</v>
      </c>
      <c r="Q718" s="7" t="b">
        <f>_xlfn.XLOOKUP(CONTROL[[#This Row],[VEHIDCODE]],PROPERTIES[VEHIDCODE],PROPERTIES[EXCLUDE])</f>
        <v>0</v>
      </c>
      <c r="R718" t="str" cm="1">
        <f t="array" ref="R718">_xlfn.XLOOKUP(CONTROL[[#This Row],[VEHIDCODE]],GRAPHICS_PROPERTIES[VEHIDCODE],GRAPHICS_PROPERTIES[TEMPLATE_ID]&amp;GRAPHICS_PROPERTIES[TEMPLATE_AMENDMENT_CODE])</f>
        <v>TPL_04A</v>
      </c>
    </row>
    <row r="719" spans="1:18" x14ac:dyDescent="0.35">
      <c r="A719" s="2" t="s">
        <v>83</v>
      </c>
      <c r="B719" s="21" t="str">
        <f>_xlfn.TEXTAFTER(CONTROL[[#This Row],[VEHIDCODE]],"_")</f>
        <v>Coach_Gen1_Wooden_2_axle_Compartment_Coach</v>
      </c>
      <c r="C719" t="str" cm="1">
        <f t="array" ref="C7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19" t="str" cm="1">
        <f t="array" ref="D7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19">
        <v>11000</v>
      </c>
      <c r="F719" s="32" t="s">
        <v>441</v>
      </c>
      <c r="G719" t="s">
        <v>523</v>
      </c>
      <c r="H719" s="2" t="b">
        <f>AND(CONTROL[[#This Row],[IS_WAGON_OR_COACH]]=TRUE,OR(RIGHT(CONTROL[[#This Row],[VEHIDCODE]],7)="Powered",RIGHT(CONTROL[[#This Row],[VEHIDCODE]],9)="Unpowered"))</f>
        <v>0</v>
      </c>
      <c r="I7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9" t="b">
        <f>ISNUMBER(_xlfn.XMATCH(CONTROL[[#This Row],[VEHIDCODE]],TRACK_TYPES[VEHIDCODE],0))</f>
        <v>1</v>
      </c>
      <c r="K719" t="b">
        <f>ISNUMBER(_xlfn.XMATCH(CONTROL[[#This Row],[VEHIDCODE]],PROPERTIES[VEHIDCODE],0))</f>
        <v>1</v>
      </c>
      <c r="L719" t="b">
        <f>ISNUMBER(_xlfn.XLOOKUP(CONTROL[[#This Row],[VEHIDCODE]],roster!A:A,roster!D:D))</f>
        <v>1</v>
      </c>
      <c r="M719" t="b">
        <f>ISNUMBER(_xlfn.XMATCH(CONTROL[[#This Row],[VEHIDCODE]],GRAPHICS_PROPERTIES[VEHIDCODE],0))</f>
        <v>1</v>
      </c>
      <c r="N719" s="21" t="str">
        <f>"item_"&amp;CONTROL[[#This Row],[VEHIDCODE]]</f>
        <v>item_mu_Coach_Gen1_Wooden_2_axle_Compartment_Coach</v>
      </c>
      <c r="O719" s="21" t="str">
        <f>"str_"&amp;CONTROL[[#This Row],[VEHIDCODE]]</f>
        <v>str_mu_Coach_Gen1_Wooden_2_axle_Compartment_Coach</v>
      </c>
      <c r="P719" s="7" t="b">
        <f>_xlfn.XLOOKUP(CONTROL[[#This Row],[VEHIDCODE]],PROPERTIES[VEHIDCODE],PROPERTIES[IS_CONCEPT])="IS_CONCEPT"</f>
        <v>0</v>
      </c>
      <c r="Q719" s="7" t="b">
        <f>_xlfn.XLOOKUP(CONTROL[[#This Row],[VEHIDCODE]],PROPERTIES[VEHIDCODE],PROPERTIES[EXCLUDE])</f>
        <v>0</v>
      </c>
      <c r="R719" t="str" cm="1">
        <f t="array" ref="R719">_xlfn.XLOOKUP(CONTROL[[#This Row],[VEHIDCODE]],GRAPHICS_PROPERTIES[VEHIDCODE],GRAPHICS_PROPERTIES[TEMPLATE_ID]&amp;GRAPHICS_PROPERTIES[TEMPLATE_AMENDMENT_CODE])</f>
        <v>TPL_04A</v>
      </c>
    </row>
    <row r="720" spans="1:18" x14ac:dyDescent="0.35">
      <c r="A720" s="2" t="s">
        <v>84</v>
      </c>
      <c r="B720" s="21" t="str">
        <f>_xlfn.TEXTAFTER(CONTROL[[#This Row],[VEHIDCODE]],"_")</f>
        <v>Coach_Gen1_Wooden_2_axle_Regional_Coach</v>
      </c>
      <c r="C720" t="str" cm="1">
        <f t="array" ref="C7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0" t="str" cm="1">
        <f t="array" ref="D7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0">
        <v>11001</v>
      </c>
      <c r="F720" s="32" t="s">
        <v>442</v>
      </c>
      <c r="G720" t="s">
        <v>523</v>
      </c>
      <c r="H720" s="2" t="b">
        <f>AND(CONTROL[[#This Row],[IS_WAGON_OR_COACH]]=TRUE,OR(RIGHT(CONTROL[[#This Row],[VEHIDCODE]],7)="Powered",RIGHT(CONTROL[[#This Row],[VEHIDCODE]],9)="Unpowered"))</f>
        <v>0</v>
      </c>
      <c r="I7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0" t="b">
        <f>ISNUMBER(_xlfn.XMATCH(CONTROL[[#This Row],[VEHIDCODE]],TRACK_TYPES[VEHIDCODE],0))</f>
        <v>1</v>
      </c>
      <c r="K720" t="b">
        <f>ISNUMBER(_xlfn.XMATCH(CONTROL[[#This Row],[VEHIDCODE]],PROPERTIES[VEHIDCODE],0))</f>
        <v>1</v>
      </c>
      <c r="L720" t="b">
        <f>ISNUMBER(_xlfn.XLOOKUP(CONTROL[[#This Row],[VEHIDCODE]],roster!A:A,roster!D:D))</f>
        <v>1</v>
      </c>
      <c r="M720" t="b">
        <f>ISNUMBER(_xlfn.XMATCH(CONTROL[[#This Row],[VEHIDCODE]],GRAPHICS_PROPERTIES[VEHIDCODE],0))</f>
        <v>1</v>
      </c>
      <c r="N720" s="21" t="str">
        <f>"item_"&amp;CONTROL[[#This Row],[VEHIDCODE]]</f>
        <v>item_mu_Coach_Gen1_Wooden_2_axle_Regional_Coach</v>
      </c>
      <c r="O720" s="21" t="str">
        <f>"str_"&amp;CONTROL[[#This Row],[VEHIDCODE]]</f>
        <v>str_mu_Coach_Gen1_Wooden_2_axle_Regional_Coach</v>
      </c>
      <c r="P720" s="7" t="b">
        <f>_xlfn.XLOOKUP(CONTROL[[#This Row],[VEHIDCODE]],PROPERTIES[VEHIDCODE],PROPERTIES[IS_CONCEPT])="IS_CONCEPT"</f>
        <v>0</v>
      </c>
      <c r="Q720" s="7" t="b">
        <f>_xlfn.XLOOKUP(CONTROL[[#This Row],[VEHIDCODE]],PROPERTIES[VEHIDCODE],PROPERTIES[EXCLUDE])</f>
        <v>0</v>
      </c>
      <c r="R720" t="str" cm="1">
        <f t="array" ref="R720">_xlfn.XLOOKUP(CONTROL[[#This Row],[VEHIDCODE]],GRAPHICS_PROPERTIES[VEHIDCODE],GRAPHICS_PROPERTIES[TEMPLATE_ID]&amp;GRAPHICS_PROPERTIES[TEMPLATE_AMENDMENT_CODE])</f>
        <v>TPL_04A</v>
      </c>
    </row>
    <row r="721" spans="1:18" x14ac:dyDescent="0.35">
      <c r="A721" s="2" t="s">
        <v>85</v>
      </c>
      <c r="B721" s="21" t="str">
        <f>_xlfn.TEXTAFTER(CONTROL[[#This Row],[VEHIDCODE]],"_")</f>
        <v>Coach_Gen1_Wooden_2_axle_Mail_Coach</v>
      </c>
      <c r="C721" t="str" cm="1">
        <f t="array" ref="C7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1" t="str" cm="1">
        <f t="array" ref="D7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1">
        <v>11002</v>
      </c>
      <c r="F721" s="32" t="s">
        <v>443</v>
      </c>
      <c r="G721" t="s">
        <v>523</v>
      </c>
      <c r="H721" s="2" t="b">
        <f>AND(CONTROL[[#This Row],[IS_WAGON_OR_COACH]]=TRUE,OR(RIGHT(CONTROL[[#This Row],[VEHIDCODE]],7)="Powered",RIGHT(CONTROL[[#This Row],[VEHIDCODE]],9)="Unpowered"))</f>
        <v>0</v>
      </c>
      <c r="I7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1" t="b">
        <f>ISNUMBER(_xlfn.XMATCH(CONTROL[[#This Row],[VEHIDCODE]],TRACK_TYPES[VEHIDCODE],0))</f>
        <v>1</v>
      </c>
      <c r="K721" t="b">
        <f>ISNUMBER(_xlfn.XMATCH(CONTROL[[#This Row],[VEHIDCODE]],PROPERTIES[VEHIDCODE],0))</f>
        <v>1</v>
      </c>
      <c r="L721" t="b">
        <f>ISNUMBER(_xlfn.XLOOKUP(CONTROL[[#This Row],[VEHIDCODE]],roster!A:A,roster!D:D))</f>
        <v>1</v>
      </c>
      <c r="M721" t="b">
        <f>ISNUMBER(_xlfn.XMATCH(CONTROL[[#This Row],[VEHIDCODE]],GRAPHICS_PROPERTIES[VEHIDCODE],0))</f>
        <v>1</v>
      </c>
      <c r="N721" s="21" t="str">
        <f>"item_"&amp;CONTROL[[#This Row],[VEHIDCODE]]</f>
        <v>item_mu_Coach_Gen1_Wooden_2_axle_Mail_Coach</v>
      </c>
      <c r="O721" s="21" t="str">
        <f>"str_"&amp;CONTROL[[#This Row],[VEHIDCODE]]</f>
        <v>str_mu_Coach_Gen1_Wooden_2_axle_Mail_Coach</v>
      </c>
      <c r="P721" s="7" t="b">
        <f>_xlfn.XLOOKUP(CONTROL[[#This Row],[VEHIDCODE]],PROPERTIES[VEHIDCODE],PROPERTIES[IS_CONCEPT])="IS_CONCEPT"</f>
        <v>0</v>
      </c>
      <c r="Q721" s="7" t="b">
        <f>_xlfn.XLOOKUP(CONTROL[[#This Row],[VEHIDCODE]],PROPERTIES[VEHIDCODE],PROPERTIES[EXCLUDE])</f>
        <v>0</v>
      </c>
      <c r="R721" t="str" cm="1">
        <f t="array" ref="R721">_xlfn.XLOOKUP(CONTROL[[#This Row],[VEHIDCODE]],GRAPHICS_PROPERTIES[VEHIDCODE],GRAPHICS_PROPERTIES[TEMPLATE_ID]&amp;GRAPHICS_PROPERTIES[TEMPLATE_AMENDMENT_CODE])</f>
        <v>TPL_04A</v>
      </c>
    </row>
    <row r="722" spans="1:18" x14ac:dyDescent="0.35">
      <c r="A722" s="2" t="s">
        <v>86</v>
      </c>
      <c r="B722" s="21" t="str">
        <f>_xlfn.TEXTAFTER(CONTROL[[#This Row],[VEHIDCODE]],"_")</f>
        <v>Coach_Gen1_Clerestory_Compartment_Coach</v>
      </c>
      <c r="C722" t="str" cm="1">
        <f t="array" ref="C7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2" t="str" cm="1">
        <f t="array" ref="D7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2">
        <v>11003</v>
      </c>
      <c r="F722" s="32" t="s">
        <v>444</v>
      </c>
      <c r="G722" t="s">
        <v>523</v>
      </c>
      <c r="H722" s="2" t="b">
        <f>AND(CONTROL[[#This Row],[IS_WAGON_OR_COACH]]=TRUE,OR(RIGHT(CONTROL[[#This Row],[VEHIDCODE]],7)="Powered",RIGHT(CONTROL[[#This Row],[VEHIDCODE]],9)="Unpowered"))</f>
        <v>0</v>
      </c>
      <c r="I7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2" t="b">
        <f>ISNUMBER(_xlfn.XMATCH(CONTROL[[#This Row],[VEHIDCODE]],TRACK_TYPES[VEHIDCODE],0))</f>
        <v>1</v>
      </c>
      <c r="K722" t="b">
        <f>ISNUMBER(_xlfn.XMATCH(CONTROL[[#This Row],[VEHIDCODE]],PROPERTIES[VEHIDCODE],0))</f>
        <v>1</v>
      </c>
      <c r="L722" t="b">
        <f>ISNUMBER(_xlfn.XLOOKUP(CONTROL[[#This Row],[VEHIDCODE]],roster!A:A,roster!D:D))</f>
        <v>1</v>
      </c>
      <c r="M722" t="b">
        <f>ISNUMBER(_xlfn.XMATCH(CONTROL[[#This Row],[VEHIDCODE]],GRAPHICS_PROPERTIES[VEHIDCODE],0))</f>
        <v>1</v>
      </c>
      <c r="N722" s="21" t="str">
        <f>"item_"&amp;CONTROL[[#This Row],[VEHIDCODE]]</f>
        <v>item_mu_Coach_Gen1_Clerestory_Compartment_Coach</v>
      </c>
      <c r="O722" s="21" t="str">
        <f>"str_"&amp;CONTROL[[#This Row],[VEHIDCODE]]</f>
        <v>str_mu_Coach_Gen1_Clerestory_Compartment_Coach</v>
      </c>
      <c r="P722" s="7" t="b">
        <f>_xlfn.XLOOKUP(CONTROL[[#This Row],[VEHIDCODE]],PROPERTIES[VEHIDCODE],PROPERTIES[IS_CONCEPT])="IS_CONCEPT"</f>
        <v>0</v>
      </c>
      <c r="Q722" s="7" t="b">
        <f>_xlfn.XLOOKUP(CONTROL[[#This Row],[VEHIDCODE]],PROPERTIES[VEHIDCODE],PROPERTIES[EXCLUDE])</f>
        <v>0</v>
      </c>
      <c r="R722" t="str" cm="1">
        <f t="array" ref="R722">_xlfn.XLOOKUP(CONTROL[[#This Row],[VEHIDCODE]],GRAPHICS_PROPERTIES[VEHIDCODE],GRAPHICS_PROPERTIES[TEMPLATE_ID]&amp;GRAPHICS_PROPERTIES[TEMPLATE_AMENDMENT_CODE])</f>
        <v>TPL_04A</v>
      </c>
    </row>
    <row r="723" spans="1:18" x14ac:dyDescent="0.35">
      <c r="A723" s="2" t="s">
        <v>87</v>
      </c>
      <c r="B723" s="21" t="str">
        <f>_xlfn.TEXTAFTER(CONTROL[[#This Row],[VEHIDCODE]],"_")</f>
        <v>Coach_Gen1_Clerestory_Regional_Coach</v>
      </c>
      <c r="C723" t="str" cm="1">
        <f t="array" ref="C7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3" t="str" cm="1">
        <f t="array" ref="D7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3">
        <v>11004</v>
      </c>
      <c r="F723" s="32" t="s">
        <v>445</v>
      </c>
      <c r="G723" t="s">
        <v>523</v>
      </c>
      <c r="H723" s="2" t="b">
        <f>AND(CONTROL[[#This Row],[IS_WAGON_OR_COACH]]=TRUE,OR(RIGHT(CONTROL[[#This Row],[VEHIDCODE]],7)="Powered",RIGHT(CONTROL[[#This Row],[VEHIDCODE]],9)="Unpowered"))</f>
        <v>0</v>
      </c>
      <c r="I7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3" t="b">
        <f>ISNUMBER(_xlfn.XMATCH(CONTROL[[#This Row],[VEHIDCODE]],TRACK_TYPES[VEHIDCODE],0))</f>
        <v>1</v>
      </c>
      <c r="K723" t="b">
        <f>ISNUMBER(_xlfn.XMATCH(CONTROL[[#This Row],[VEHIDCODE]],PROPERTIES[VEHIDCODE],0))</f>
        <v>1</v>
      </c>
      <c r="L723" t="b">
        <f>ISNUMBER(_xlfn.XLOOKUP(CONTROL[[#This Row],[VEHIDCODE]],roster!A:A,roster!D:D))</f>
        <v>1</v>
      </c>
      <c r="M723" t="b">
        <f>ISNUMBER(_xlfn.XMATCH(CONTROL[[#This Row],[VEHIDCODE]],GRAPHICS_PROPERTIES[VEHIDCODE],0))</f>
        <v>1</v>
      </c>
      <c r="N723" s="21" t="str">
        <f>"item_"&amp;CONTROL[[#This Row],[VEHIDCODE]]</f>
        <v>item_mu_Coach_Gen1_Clerestory_Regional_Coach</v>
      </c>
      <c r="O723" s="21" t="str">
        <f>"str_"&amp;CONTROL[[#This Row],[VEHIDCODE]]</f>
        <v>str_mu_Coach_Gen1_Clerestory_Regional_Coach</v>
      </c>
      <c r="P723" s="7" t="b">
        <f>_xlfn.XLOOKUP(CONTROL[[#This Row],[VEHIDCODE]],PROPERTIES[VEHIDCODE],PROPERTIES[IS_CONCEPT])="IS_CONCEPT"</f>
        <v>0</v>
      </c>
      <c r="Q723" s="7" t="b">
        <f>_xlfn.XLOOKUP(CONTROL[[#This Row],[VEHIDCODE]],PROPERTIES[VEHIDCODE],PROPERTIES[EXCLUDE])</f>
        <v>0</v>
      </c>
      <c r="R723" t="str" cm="1">
        <f t="array" ref="R723">_xlfn.XLOOKUP(CONTROL[[#This Row],[VEHIDCODE]],GRAPHICS_PROPERTIES[VEHIDCODE],GRAPHICS_PROPERTIES[TEMPLATE_ID]&amp;GRAPHICS_PROPERTIES[TEMPLATE_AMENDMENT_CODE])</f>
        <v>TPL_04A</v>
      </c>
    </row>
    <row r="724" spans="1:18" x14ac:dyDescent="0.35">
      <c r="A724" s="2" t="s">
        <v>88</v>
      </c>
      <c r="B724" s="21" t="str">
        <f>_xlfn.TEXTAFTER(CONTROL[[#This Row],[VEHIDCODE]],"_")</f>
        <v>Coach_Gen1_Clerestory_Mail_Coach</v>
      </c>
      <c r="C724" t="str" cm="1">
        <f t="array" ref="C7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4" t="str" cm="1">
        <f t="array" ref="D7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4">
        <v>11005</v>
      </c>
      <c r="F724" s="32" t="s">
        <v>446</v>
      </c>
      <c r="G724" t="s">
        <v>523</v>
      </c>
      <c r="H724" s="2" t="b">
        <f>AND(CONTROL[[#This Row],[IS_WAGON_OR_COACH]]=TRUE,OR(RIGHT(CONTROL[[#This Row],[VEHIDCODE]],7)="Powered",RIGHT(CONTROL[[#This Row],[VEHIDCODE]],9)="Unpowered"))</f>
        <v>0</v>
      </c>
      <c r="I7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4" t="b">
        <f>ISNUMBER(_xlfn.XMATCH(CONTROL[[#This Row],[VEHIDCODE]],TRACK_TYPES[VEHIDCODE],0))</f>
        <v>1</v>
      </c>
      <c r="K724" t="b">
        <f>ISNUMBER(_xlfn.XMATCH(CONTROL[[#This Row],[VEHIDCODE]],PROPERTIES[VEHIDCODE],0))</f>
        <v>1</v>
      </c>
      <c r="L724" t="b">
        <f>ISNUMBER(_xlfn.XLOOKUP(CONTROL[[#This Row],[VEHIDCODE]],roster!A:A,roster!D:D))</f>
        <v>1</v>
      </c>
      <c r="M724" t="b">
        <f>ISNUMBER(_xlfn.XMATCH(CONTROL[[#This Row],[VEHIDCODE]],GRAPHICS_PROPERTIES[VEHIDCODE],0))</f>
        <v>1</v>
      </c>
      <c r="N724" s="21" t="str">
        <f>"item_"&amp;CONTROL[[#This Row],[VEHIDCODE]]</f>
        <v>item_mu_Coach_Gen1_Clerestory_Mail_Coach</v>
      </c>
      <c r="O724" s="21" t="str">
        <f>"str_"&amp;CONTROL[[#This Row],[VEHIDCODE]]</f>
        <v>str_mu_Coach_Gen1_Clerestory_Mail_Coach</v>
      </c>
      <c r="P724" s="7" t="b">
        <f>_xlfn.XLOOKUP(CONTROL[[#This Row],[VEHIDCODE]],PROPERTIES[VEHIDCODE],PROPERTIES[IS_CONCEPT])="IS_CONCEPT"</f>
        <v>0</v>
      </c>
      <c r="Q724" s="7" t="b">
        <f>_xlfn.XLOOKUP(CONTROL[[#This Row],[VEHIDCODE]],PROPERTIES[VEHIDCODE],PROPERTIES[EXCLUDE])</f>
        <v>0</v>
      </c>
      <c r="R724" t="str" cm="1">
        <f t="array" ref="R724">_xlfn.XLOOKUP(CONTROL[[#This Row],[VEHIDCODE]],GRAPHICS_PROPERTIES[VEHIDCODE],GRAPHICS_PROPERTIES[TEMPLATE_ID]&amp;GRAPHICS_PROPERTIES[TEMPLATE_AMENDMENT_CODE])</f>
        <v>TPL_04A</v>
      </c>
    </row>
    <row r="725" spans="1:18" x14ac:dyDescent="0.35">
      <c r="A725" s="2" t="s">
        <v>89</v>
      </c>
      <c r="B725" s="21" t="str">
        <f>_xlfn.TEXTAFTER(CONTROL[[#This Row],[VEHIDCODE]],"_")</f>
        <v>Coach_Gen1_Wooden_3_axle_Compartment_Coach</v>
      </c>
      <c r="C725" t="str" cm="1">
        <f t="array" ref="C7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5" t="str" cm="1">
        <f t="array" ref="D7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5">
        <v>11006</v>
      </c>
      <c r="F725" s="32" t="s">
        <v>447</v>
      </c>
      <c r="G725" t="s">
        <v>523</v>
      </c>
      <c r="H725" s="2" t="b">
        <f>AND(CONTROL[[#This Row],[IS_WAGON_OR_COACH]]=TRUE,OR(RIGHT(CONTROL[[#This Row],[VEHIDCODE]],7)="Powered",RIGHT(CONTROL[[#This Row],[VEHIDCODE]],9)="Unpowered"))</f>
        <v>0</v>
      </c>
      <c r="I7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5" t="b">
        <f>ISNUMBER(_xlfn.XMATCH(CONTROL[[#This Row],[VEHIDCODE]],TRACK_TYPES[VEHIDCODE],0))</f>
        <v>1</v>
      </c>
      <c r="K725" t="b">
        <f>ISNUMBER(_xlfn.XMATCH(CONTROL[[#This Row],[VEHIDCODE]],PROPERTIES[VEHIDCODE],0))</f>
        <v>1</v>
      </c>
      <c r="L725" t="b">
        <f>ISNUMBER(_xlfn.XLOOKUP(CONTROL[[#This Row],[VEHIDCODE]],roster!A:A,roster!D:D))</f>
        <v>1</v>
      </c>
      <c r="M725" t="b">
        <f>ISNUMBER(_xlfn.XMATCH(CONTROL[[#This Row],[VEHIDCODE]],GRAPHICS_PROPERTIES[VEHIDCODE],0))</f>
        <v>1</v>
      </c>
      <c r="N725" s="21" t="str">
        <f>"item_"&amp;CONTROL[[#This Row],[VEHIDCODE]]</f>
        <v>item_mu_Coach_Gen1_Wooden_3_axle_Compartment_Coach</v>
      </c>
      <c r="O725" s="21" t="str">
        <f>"str_"&amp;CONTROL[[#This Row],[VEHIDCODE]]</f>
        <v>str_mu_Coach_Gen1_Wooden_3_axle_Compartment_Coach</v>
      </c>
      <c r="P725" s="7" t="b">
        <f>_xlfn.XLOOKUP(CONTROL[[#This Row],[VEHIDCODE]],PROPERTIES[VEHIDCODE],PROPERTIES[IS_CONCEPT])="IS_CONCEPT"</f>
        <v>0</v>
      </c>
      <c r="Q725" s="7" t="b">
        <f>_xlfn.XLOOKUP(CONTROL[[#This Row],[VEHIDCODE]],PROPERTIES[VEHIDCODE],PROPERTIES[EXCLUDE])</f>
        <v>0</v>
      </c>
      <c r="R725" t="str" cm="1">
        <f t="array" ref="R725">_xlfn.XLOOKUP(CONTROL[[#This Row],[VEHIDCODE]],GRAPHICS_PROPERTIES[VEHIDCODE],GRAPHICS_PROPERTIES[TEMPLATE_ID]&amp;GRAPHICS_PROPERTIES[TEMPLATE_AMENDMENT_CODE])</f>
        <v>TPL_04A</v>
      </c>
    </row>
    <row r="726" spans="1:18" x14ac:dyDescent="0.35">
      <c r="A726" s="2" t="s">
        <v>90</v>
      </c>
      <c r="B726" s="21" t="str">
        <f>_xlfn.TEXTAFTER(CONTROL[[#This Row],[VEHIDCODE]],"_")</f>
        <v>Coach_Gen1_Wooden_3_axle_Regional_Coach</v>
      </c>
      <c r="C726" t="str" cm="1">
        <f t="array" ref="C7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6" t="str" cm="1">
        <f t="array" ref="D7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6">
        <v>11007</v>
      </c>
      <c r="F726" s="32" t="s">
        <v>448</v>
      </c>
      <c r="G726" t="s">
        <v>523</v>
      </c>
      <c r="H726" s="2" t="b">
        <f>AND(CONTROL[[#This Row],[IS_WAGON_OR_COACH]]=TRUE,OR(RIGHT(CONTROL[[#This Row],[VEHIDCODE]],7)="Powered",RIGHT(CONTROL[[#This Row],[VEHIDCODE]],9)="Unpowered"))</f>
        <v>0</v>
      </c>
      <c r="I7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6" t="b">
        <f>ISNUMBER(_xlfn.XMATCH(CONTROL[[#This Row],[VEHIDCODE]],TRACK_TYPES[VEHIDCODE],0))</f>
        <v>1</v>
      </c>
      <c r="K726" t="b">
        <f>ISNUMBER(_xlfn.XMATCH(CONTROL[[#This Row],[VEHIDCODE]],PROPERTIES[VEHIDCODE],0))</f>
        <v>1</v>
      </c>
      <c r="L726" t="b">
        <f>ISNUMBER(_xlfn.XLOOKUP(CONTROL[[#This Row],[VEHIDCODE]],roster!A:A,roster!D:D))</f>
        <v>1</v>
      </c>
      <c r="M726" t="b">
        <f>ISNUMBER(_xlfn.XMATCH(CONTROL[[#This Row],[VEHIDCODE]],GRAPHICS_PROPERTIES[VEHIDCODE],0))</f>
        <v>1</v>
      </c>
      <c r="N726" s="21" t="str">
        <f>"item_"&amp;CONTROL[[#This Row],[VEHIDCODE]]</f>
        <v>item_mu_Coach_Gen1_Wooden_3_axle_Regional_Coach</v>
      </c>
      <c r="O726" s="21" t="str">
        <f>"str_"&amp;CONTROL[[#This Row],[VEHIDCODE]]</f>
        <v>str_mu_Coach_Gen1_Wooden_3_axle_Regional_Coach</v>
      </c>
      <c r="P726" s="7" t="b">
        <f>_xlfn.XLOOKUP(CONTROL[[#This Row],[VEHIDCODE]],PROPERTIES[VEHIDCODE],PROPERTIES[IS_CONCEPT])="IS_CONCEPT"</f>
        <v>0</v>
      </c>
      <c r="Q726" s="7" t="b">
        <f>_xlfn.XLOOKUP(CONTROL[[#This Row],[VEHIDCODE]],PROPERTIES[VEHIDCODE],PROPERTIES[EXCLUDE])</f>
        <v>0</v>
      </c>
      <c r="R726" t="str" cm="1">
        <f t="array" ref="R726">_xlfn.XLOOKUP(CONTROL[[#This Row],[VEHIDCODE]],GRAPHICS_PROPERTIES[VEHIDCODE],GRAPHICS_PROPERTIES[TEMPLATE_ID]&amp;GRAPHICS_PROPERTIES[TEMPLATE_AMENDMENT_CODE])</f>
        <v>TPL_04A</v>
      </c>
    </row>
    <row r="727" spans="1:18" x14ac:dyDescent="0.35">
      <c r="A727" s="2" t="s">
        <v>91</v>
      </c>
      <c r="B727" s="21" t="str">
        <f>_xlfn.TEXTAFTER(CONTROL[[#This Row],[VEHIDCODE]],"_")</f>
        <v>Coach_Gen1_Wooden_3_axle_Mail_Coach</v>
      </c>
      <c r="C727" t="str" cm="1">
        <f t="array" ref="C7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7" t="str" cm="1">
        <f t="array" ref="D7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7">
        <v>11008</v>
      </c>
      <c r="F727" s="32" t="s">
        <v>449</v>
      </c>
      <c r="G727" t="s">
        <v>523</v>
      </c>
      <c r="H727" s="2" t="b">
        <f>AND(CONTROL[[#This Row],[IS_WAGON_OR_COACH]]=TRUE,OR(RIGHT(CONTROL[[#This Row],[VEHIDCODE]],7)="Powered",RIGHT(CONTROL[[#This Row],[VEHIDCODE]],9)="Unpowered"))</f>
        <v>0</v>
      </c>
      <c r="I7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7" t="b">
        <f>ISNUMBER(_xlfn.XMATCH(CONTROL[[#This Row],[VEHIDCODE]],TRACK_TYPES[VEHIDCODE],0))</f>
        <v>1</v>
      </c>
      <c r="K727" t="b">
        <f>ISNUMBER(_xlfn.XMATCH(CONTROL[[#This Row],[VEHIDCODE]],PROPERTIES[VEHIDCODE],0))</f>
        <v>1</v>
      </c>
      <c r="L727" t="b">
        <f>ISNUMBER(_xlfn.XLOOKUP(CONTROL[[#This Row],[VEHIDCODE]],roster!A:A,roster!D:D))</f>
        <v>1</v>
      </c>
      <c r="M727" t="b">
        <f>ISNUMBER(_xlfn.XMATCH(CONTROL[[#This Row],[VEHIDCODE]],GRAPHICS_PROPERTIES[VEHIDCODE],0))</f>
        <v>1</v>
      </c>
      <c r="N727" s="21" t="str">
        <f>"item_"&amp;CONTROL[[#This Row],[VEHIDCODE]]</f>
        <v>item_mu_Coach_Gen1_Wooden_3_axle_Mail_Coach</v>
      </c>
      <c r="O727" s="21" t="str">
        <f>"str_"&amp;CONTROL[[#This Row],[VEHIDCODE]]</f>
        <v>str_mu_Coach_Gen1_Wooden_3_axle_Mail_Coach</v>
      </c>
      <c r="P727" s="7" t="b">
        <f>_xlfn.XLOOKUP(CONTROL[[#This Row],[VEHIDCODE]],PROPERTIES[VEHIDCODE],PROPERTIES[IS_CONCEPT])="IS_CONCEPT"</f>
        <v>0</v>
      </c>
      <c r="Q727" s="7" t="b">
        <f>_xlfn.XLOOKUP(CONTROL[[#This Row],[VEHIDCODE]],PROPERTIES[VEHIDCODE],PROPERTIES[EXCLUDE])</f>
        <v>0</v>
      </c>
      <c r="R727" t="str" cm="1">
        <f t="array" ref="R727">_xlfn.XLOOKUP(CONTROL[[#This Row],[VEHIDCODE]],GRAPHICS_PROPERTIES[VEHIDCODE],GRAPHICS_PROPERTIES[TEMPLATE_ID]&amp;GRAPHICS_PROPERTIES[TEMPLATE_AMENDMENT_CODE])</f>
        <v>TPL_04A</v>
      </c>
    </row>
    <row r="728" spans="1:18" x14ac:dyDescent="0.35">
      <c r="A728" s="2" t="s">
        <v>92</v>
      </c>
      <c r="B728" s="21" t="str">
        <f>_xlfn.TEXTAFTER(CONTROL[[#This Row],[VEHIDCODE]],"_")</f>
        <v>Coach_Gen2_Heavyweight_Intercity_Coach</v>
      </c>
      <c r="C728" t="str" cm="1">
        <f t="array" ref="C7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28" t="str" cm="1">
        <f t="array" ref="D7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8">
        <v>11009</v>
      </c>
      <c r="F728" s="32" t="s">
        <v>450</v>
      </c>
      <c r="G728" t="s">
        <v>523</v>
      </c>
      <c r="H728" s="2" t="b">
        <f>AND(CONTROL[[#This Row],[IS_WAGON_OR_COACH]]=TRUE,OR(RIGHT(CONTROL[[#This Row],[VEHIDCODE]],7)="Powered",RIGHT(CONTROL[[#This Row],[VEHIDCODE]],9)="Unpowered"))</f>
        <v>0</v>
      </c>
      <c r="I7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8" t="b">
        <f>ISNUMBER(_xlfn.XMATCH(CONTROL[[#This Row],[VEHIDCODE]],TRACK_TYPES[VEHIDCODE],0))</f>
        <v>1</v>
      </c>
      <c r="K728" t="b">
        <f>ISNUMBER(_xlfn.XMATCH(CONTROL[[#This Row],[VEHIDCODE]],PROPERTIES[VEHIDCODE],0))</f>
        <v>1</v>
      </c>
      <c r="L728" t="b">
        <f>ISNUMBER(_xlfn.XLOOKUP(CONTROL[[#This Row],[VEHIDCODE]],roster!A:A,roster!D:D))</f>
        <v>1</v>
      </c>
      <c r="M728" t="b">
        <f>ISNUMBER(_xlfn.XMATCH(CONTROL[[#This Row],[VEHIDCODE]],GRAPHICS_PROPERTIES[VEHIDCODE],0))</f>
        <v>1</v>
      </c>
      <c r="N728" s="21" t="str">
        <f>"item_"&amp;CONTROL[[#This Row],[VEHIDCODE]]</f>
        <v>item_mu_Coach_Gen2_Heavyweight_Intercity_Coach</v>
      </c>
      <c r="O728" s="21" t="str">
        <f>"str_"&amp;CONTROL[[#This Row],[VEHIDCODE]]</f>
        <v>str_mu_Coach_Gen2_Heavyweight_Intercity_Coach</v>
      </c>
      <c r="P728" s="7" t="b">
        <f>_xlfn.XLOOKUP(CONTROL[[#This Row],[VEHIDCODE]],PROPERTIES[VEHIDCODE],PROPERTIES[IS_CONCEPT])="IS_CONCEPT"</f>
        <v>0</v>
      </c>
      <c r="Q728" s="7" t="b">
        <f>_xlfn.XLOOKUP(CONTROL[[#This Row],[VEHIDCODE]],PROPERTIES[VEHIDCODE],PROPERTIES[EXCLUDE])</f>
        <v>0</v>
      </c>
      <c r="R728" t="str" cm="1">
        <f t="array" ref="R728">_xlfn.XLOOKUP(CONTROL[[#This Row],[VEHIDCODE]],GRAPHICS_PROPERTIES[VEHIDCODE],GRAPHICS_PROPERTIES[TEMPLATE_ID]&amp;GRAPHICS_PROPERTIES[TEMPLATE_AMENDMENT_CODE])</f>
        <v>TPL_04S</v>
      </c>
    </row>
    <row r="729" spans="1:18" x14ac:dyDescent="0.35">
      <c r="A729" s="2" t="s">
        <v>93</v>
      </c>
      <c r="B729" s="21" t="str">
        <f>_xlfn.TEXTAFTER(CONTROL[[#This Row],[VEHIDCODE]],"_")</f>
        <v>Coach_Gen2_Heavyweight_Mail_Coach</v>
      </c>
      <c r="C729" t="str" cm="1">
        <f t="array" ref="C7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29" t="str" cm="1">
        <f t="array" ref="D7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9">
        <v>11010</v>
      </c>
      <c r="F729" s="32" t="s">
        <v>451</v>
      </c>
      <c r="G729" t="s">
        <v>523</v>
      </c>
      <c r="H729" s="2" t="b">
        <f>AND(CONTROL[[#This Row],[IS_WAGON_OR_COACH]]=TRUE,OR(RIGHT(CONTROL[[#This Row],[VEHIDCODE]],7)="Powered",RIGHT(CONTROL[[#This Row],[VEHIDCODE]],9)="Unpowered"))</f>
        <v>0</v>
      </c>
      <c r="I7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9" t="b">
        <f>ISNUMBER(_xlfn.XMATCH(CONTROL[[#This Row],[VEHIDCODE]],TRACK_TYPES[VEHIDCODE],0))</f>
        <v>1</v>
      </c>
      <c r="K729" t="b">
        <f>ISNUMBER(_xlfn.XMATCH(CONTROL[[#This Row],[VEHIDCODE]],PROPERTIES[VEHIDCODE],0))</f>
        <v>1</v>
      </c>
      <c r="L729" t="b">
        <f>ISNUMBER(_xlfn.XLOOKUP(CONTROL[[#This Row],[VEHIDCODE]],roster!A:A,roster!D:D))</f>
        <v>1</v>
      </c>
      <c r="M729" t="b">
        <f>ISNUMBER(_xlfn.XMATCH(CONTROL[[#This Row],[VEHIDCODE]],GRAPHICS_PROPERTIES[VEHIDCODE],0))</f>
        <v>1</v>
      </c>
      <c r="N729" s="21" t="str">
        <f>"item_"&amp;CONTROL[[#This Row],[VEHIDCODE]]</f>
        <v>item_mu_Coach_Gen2_Heavyweight_Mail_Coach</v>
      </c>
      <c r="O729" s="21" t="str">
        <f>"str_"&amp;CONTROL[[#This Row],[VEHIDCODE]]</f>
        <v>str_mu_Coach_Gen2_Heavyweight_Mail_Coach</v>
      </c>
      <c r="P729" s="7" t="b">
        <f>_xlfn.XLOOKUP(CONTROL[[#This Row],[VEHIDCODE]],PROPERTIES[VEHIDCODE],PROPERTIES[IS_CONCEPT])="IS_CONCEPT"</f>
        <v>0</v>
      </c>
      <c r="Q729" s="7" t="b">
        <f>_xlfn.XLOOKUP(CONTROL[[#This Row],[VEHIDCODE]],PROPERTIES[VEHIDCODE],PROPERTIES[EXCLUDE])</f>
        <v>0</v>
      </c>
      <c r="R729" t="str" cm="1">
        <f t="array" ref="R729">_xlfn.XLOOKUP(CONTROL[[#This Row],[VEHIDCODE]],GRAPHICS_PROPERTIES[VEHIDCODE],GRAPHICS_PROPERTIES[TEMPLATE_ID]&amp;GRAPHICS_PROPERTIES[TEMPLATE_AMENDMENT_CODE])</f>
        <v>TPL_04A</v>
      </c>
    </row>
    <row r="730" spans="1:18" x14ac:dyDescent="0.35">
      <c r="A730" s="2" t="s">
        <v>94</v>
      </c>
      <c r="B730" s="21" t="str">
        <f>_xlfn.TEXTAFTER(CONTROL[[#This Row],[VEHIDCODE]],"_")</f>
        <v>Coach_Gen2_Steel_Intercity_Coach</v>
      </c>
      <c r="C730" t="str" cm="1">
        <f t="array" ref="C7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0" t="str" cm="1">
        <f t="array" ref="D7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0">
        <v>11011</v>
      </c>
      <c r="F730" s="32" t="s">
        <v>452</v>
      </c>
      <c r="G730" t="s">
        <v>523</v>
      </c>
      <c r="H730" s="2" t="b">
        <f>AND(CONTROL[[#This Row],[IS_WAGON_OR_COACH]]=TRUE,OR(RIGHT(CONTROL[[#This Row],[VEHIDCODE]],7)="Powered",RIGHT(CONTROL[[#This Row],[VEHIDCODE]],9)="Unpowered"))</f>
        <v>0</v>
      </c>
      <c r="I7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0" t="b">
        <f>ISNUMBER(_xlfn.XMATCH(CONTROL[[#This Row],[VEHIDCODE]],TRACK_TYPES[VEHIDCODE],0))</f>
        <v>1</v>
      </c>
      <c r="K730" t="b">
        <f>ISNUMBER(_xlfn.XMATCH(CONTROL[[#This Row],[VEHIDCODE]],PROPERTIES[VEHIDCODE],0))</f>
        <v>1</v>
      </c>
      <c r="L730" t="b">
        <f>ISNUMBER(_xlfn.XLOOKUP(CONTROL[[#This Row],[VEHIDCODE]],roster!A:A,roster!D:D))</f>
        <v>1</v>
      </c>
      <c r="M730" t="b">
        <f>ISNUMBER(_xlfn.XMATCH(CONTROL[[#This Row],[VEHIDCODE]],GRAPHICS_PROPERTIES[VEHIDCODE],0))</f>
        <v>1</v>
      </c>
      <c r="N730" s="21" t="str">
        <f>"item_"&amp;CONTROL[[#This Row],[VEHIDCODE]]</f>
        <v>item_mu_Coach_Gen2_Steel_Intercity_Coach</v>
      </c>
      <c r="O730" s="21" t="str">
        <f>"str_"&amp;CONTROL[[#This Row],[VEHIDCODE]]</f>
        <v>str_mu_Coach_Gen2_Steel_Intercity_Coach</v>
      </c>
      <c r="P730" s="7" t="b">
        <f>_xlfn.XLOOKUP(CONTROL[[#This Row],[VEHIDCODE]],PROPERTIES[VEHIDCODE],PROPERTIES[IS_CONCEPT])="IS_CONCEPT"</f>
        <v>0</v>
      </c>
      <c r="Q730" s="7" t="b">
        <f>_xlfn.XLOOKUP(CONTROL[[#This Row],[VEHIDCODE]],PROPERTIES[VEHIDCODE],PROPERTIES[EXCLUDE])</f>
        <v>0</v>
      </c>
      <c r="R730" t="str" cm="1">
        <f t="array" ref="R730">_xlfn.XLOOKUP(CONTROL[[#This Row],[VEHIDCODE]],GRAPHICS_PROPERTIES[VEHIDCODE],GRAPHICS_PROPERTIES[TEMPLATE_ID]&amp;GRAPHICS_PROPERTIES[TEMPLATE_AMENDMENT_CODE])</f>
        <v>TPL_04A</v>
      </c>
    </row>
    <row r="731" spans="1:18" x14ac:dyDescent="0.35">
      <c r="A731" s="2" t="s">
        <v>95</v>
      </c>
      <c r="B731" s="21" t="str">
        <f>_xlfn.TEXTAFTER(CONTROL[[#This Row],[VEHIDCODE]],"_")</f>
        <v>Coach_Gen2_Steel_Compartment_Coach</v>
      </c>
      <c r="C731" t="str" cm="1">
        <f t="array" ref="C7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1" t="str" cm="1">
        <f t="array" ref="D7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1">
        <v>11012</v>
      </c>
      <c r="F731" s="32" t="s">
        <v>453</v>
      </c>
      <c r="G731" t="s">
        <v>523</v>
      </c>
      <c r="H731" s="2" t="b">
        <f>AND(CONTROL[[#This Row],[IS_WAGON_OR_COACH]]=TRUE,OR(RIGHT(CONTROL[[#This Row],[VEHIDCODE]],7)="Powered",RIGHT(CONTROL[[#This Row],[VEHIDCODE]],9)="Unpowered"))</f>
        <v>0</v>
      </c>
      <c r="I7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1" t="b">
        <f>ISNUMBER(_xlfn.XMATCH(CONTROL[[#This Row],[VEHIDCODE]],TRACK_TYPES[VEHIDCODE],0))</f>
        <v>1</v>
      </c>
      <c r="K731" t="b">
        <f>ISNUMBER(_xlfn.XMATCH(CONTROL[[#This Row],[VEHIDCODE]],PROPERTIES[VEHIDCODE],0))</f>
        <v>1</v>
      </c>
      <c r="L731" t="b">
        <f>ISNUMBER(_xlfn.XLOOKUP(CONTROL[[#This Row],[VEHIDCODE]],roster!A:A,roster!D:D))</f>
        <v>1</v>
      </c>
      <c r="M731" t="b">
        <f>ISNUMBER(_xlfn.XMATCH(CONTROL[[#This Row],[VEHIDCODE]],GRAPHICS_PROPERTIES[VEHIDCODE],0))</f>
        <v>1</v>
      </c>
      <c r="N731" s="21" t="str">
        <f>"item_"&amp;CONTROL[[#This Row],[VEHIDCODE]]</f>
        <v>item_mu_Coach_Gen2_Steel_Compartment_Coach</v>
      </c>
      <c r="O731" s="21" t="str">
        <f>"str_"&amp;CONTROL[[#This Row],[VEHIDCODE]]</f>
        <v>str_mu_Coach_Gen2_Steel_Compartment_Coach</v>
      </c>
      <c r="P731" s="7" t="b">
        <f>_xlfn.XLOOKUP(CONTROL[[#This Row],[VEHIDCODE]],PROPERTIES[VEHIDCODE],PROPERTIES[IS_CONCEPT])="IS_CONCEPT"</f>
        <v>0</v>
      </c>
      <c r="Q731" s="7" t="b">
        <f>_xlfn.XLOOKUP(CONTROL[[#This Row],[VEHIDCODE]],PROPERTIES[VEHIDCODE],PROPERTIES[EXCLUDE])</f>
        <v>0</v>
      </c>
      <c r="R731" t="str" cm="1">
        <f t="array" ref="R731">_xlfn.XLOOKUP(CONTROL[[#This Row],[VEHIDCODE]],GRAPHICS_PROPERTIES[VEHIDCODE],GRAPHICS_PROPERTIES[TEMPLATE_ID]&amp;GRAPHICS_PROPERTIES[TEMPLATE_AMENDMENT_CODE])</f>
        <v>TPL_04A</v>
      </c>
    </row>
    <row r="732" spans="1:18" x14ac:dyDescent="0.35">
      <c r="A732" s="2" t="s">
        <v>96</v>
      </c>
      <c r="B732" s="21" t="str">
        <f>_xlfn.TEXTAFTER(CONTROL[[#This Row],[VEHIDCODE]],"_")</f>
        <v>Coach_Gen2_Steel_Regional_Coach</v>
      </c>
      <c r="C732" t="str" cm="1">
        <f t="array" ref="C7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2" t="str" cm="1">
        <f t="array" ref="D7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2">
        <v>11013</v>
      </c>
      <c r="F732" s="32" t="s">
        <v>454</v>
      </c>
      <c r="G732" t="s">
        <v>523</v>
      </c>
      <c r="H732" s="2" t="b">
        <f>AND(CONTROL[[#This Row],[IS_WAGON_OR_COACH]]=TRUE,OR(RIGHT(CONTROL[[#This Row],[VEHIDCODE]],7)="Powered",RIGHT(CONTROL[[#This Row],[VEHIDCODE]],9)="Unpowered"))</f>
        <v>0</v>
      </c>
      <c r="I7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2" t="b">
        <f>ISNUMBER(_xlfn.XMATCH(CONTROL[[#This Row],[VEHIDCODE]],TRACK_TYPES[VEHIDCODE],0))</f>
        <v>1</v>
      </c>
      <c r="K732" t="b">
        <f>ISNUMBER(_xlfn.XMATCH(CONTROL[[#This Row],[VEHIDCODE]],PROPERTIES[VEHIDCODE],0))</f>
        <v>1</v>
      </c>
      <c r="L732" t="b">
        <f>ISNUMBER(_xlfn.XLOOKUP(CONTROL[[#This Row],[VEHIDCODE]],roster!A:A,roster!D:D))</f>
        <v>1</v>
      </c>
      <c r="M732" t="b">
        <f>ISNUMBER(_xlfn.XMATCH(CONTROL[[#This Row],[VEHIDCODE]],GRAPHICS_PROPERTIES[VEHIDCODE],0))</f>
        <v>1</v>
      </c>
      <c r="N732" s="21" t="str">
        <f>"item_"&amp;CONTROL[[#This Row],[VEHIDCODE]]</f>
        <v>item_mu_Coach_Gen2_Steel_Regional_Coach</v>
      </c>
      <c r="O732" s="21" t="str">
        <f>"str_"&amp;CONTROL[[#This Row],[VEHIDCODE]]</f>
        <v>str_mu_Coach_Gen2_Steel_Regional_Coach</v>
      </c>
      <c r="P732" s="7" t="b">
        <f>_xlfn.XLOOKUP(CONTROL[[#This Row],[VEHIDCODE]],PROPERTIES[VEHIDCODE],PROPERTIES[IS_CONCEPT])="IS_CONCEPT"</f>
        <v>0</v>
      </c>
      <c r="Q732" s="7" t="b">
        <f>_xlfn.XLOOKUP(CONTROL[[#This Row],[VEHIDCODE]],PROPERTIES[VEHIDCODE],PROPERTIES[EXCLUDE])</f>
        <v>0</v>
      </c>
      <c r="R732" t="str" cm="1">
        <f t="array" ref="R732">_xlfn.XLOOKUP(CONTROL[[#This Row],[VEHIDCODE]],GRAPHICS_PROPERTIES[VEHIDCODE],GRAPHICS_PROPERTIES[TEMPLATE_ID]&amp;GRAPHICS_PROPERTIES[TEMPLATE_AMENDMENT_CODE])</f>
        <v>TPL_04A</v>
      </c>
    </row>
    <row r="733" spans="1:18" x14ac:dyDescent="0.35">
      <c r="A733" s="2" t="s">
        <v>97</v>
      </c>
      <c r="B733" s="21" t="str">
        <f>_xlfn.TEXTAFTER(CONTROL[[#This Row],[VEHIDCODE]],"_")</f>
        <v>Coach_Gen2_Steel_Mail_Coach</v>
      </c>
      <c r="C733" t="str" cm="1">
        <f t="array" ref="C7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3" t="str" cm="1">
        <f t="array" ref="D7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3">
        <v>11014</v>
      </c>
      <c r="F733" s="32" t="s">
        <v>455</v>
      </c>
      <c r="G733" t="s">
        <v>523</v>
      </c>
      <c r="H733" s="2" t="b">
        <f>AND(CONTROL[[#This Row],[IS_WAGON_OR_COACH]]=TRUE,OR(RIGHT(CONTROL[[#This Row],[VEHIDCODE]],7)="Powered",RIGHT(CONTROL[[#This Row],[VEHIDCODE]],9)="Unpowered"))</f>
        <v>0</v>
      </c>
      <c r="I7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3" t="b">
        <f>ISNUMBER(_xlfn.XMATCH(CONTROL[[#This Row],[VEHIDCODE]],TRACK_TYPES[VEHIDCODE],0))</f>
        <v>1</v>
      </c>
      <c r="K733" t="b">
        <f>ISNUMBER(_xlfn.XMATCH(CONTROL[[#This Row],[VEHIDCODE]],PROPERTIES[VEHIDCODE],0))</f>
        <v>1</v>
      </c>
      <c r="L733" t="b">
        <f>ISNUMBER(_xlfn.XLOOKUP(CONTROL[[#This Row],[VEHIDCODE]],roster!A:A,roster!D:D))</f>
        <v>1</v>
      </c>
      <c r="M733" t="b">
        <f>ISNUMBER(_xlfn.XMATCH(CONTROL[[#This Row],[VEHIDCODE]],GRAPHICS_PROPERTIES[VEHIDCODE],0))</f>
        <v>1</v>
      </c>
      <c r="N733" s="21" t="str">
        <f>"item_"&amp;CONTROL[[#This Row],[VEHIDCODE]]</f>
        <v>item_mu_Coach_Gen2_Steel_Mail_Coach</v>
      </c>
      <c r="O733" s="21" t="str">
        <f>"str_"&amp;CONTROL[[#This Row],[VEHIDCODE]]</f>
        <v>str_mu_Coach_Gen2_Steel_Mail_Coach</v>
      </c>
      <c r="P733" s="7" t="b">
        <f>_xlfn.XLOOKUP(CONTROL[[#This Row],[VEHIDCODE]],PROPERTIES[VEHIDCODE],PROPERTIES[IS_CONCEPT])="IS_CONCEPT"</f>
        <v>0</v>
      </c>
      <c r="Q733" s="7" t="b">
        <f>_xlfn.XLOOKUP(CONTROL[[#This Row],[VEHIDCODE]],PROPERTIES[VEHIDCODE],PROPERTIES[EXCLUDE])</f>
        <v>0</v>
      </c>
      <c r="R733" t="str" cm="1">
        <f t="array" ref="R733">_xlfn.XLOOKUP(CONTROL[[#This Row],[VEHIDCODE]],GRAPHICS_PROPERTIES[VEHIDCODE],GRAPHICS_PROPERTIES[TEMPLATE_ID]&amp;GRAPHICS_PROPERTIES[TEMPLATE_AMENDMENT_CODE])</f>
        <v>TPL_04A</v>
      </c>
    </row>
    <row r="734" spans="1:18" x14ac:dyDescent="0.35">
      <c r="A734" s="2" t="s">
        <v>98</v>
      </c>
      <c r="B734" s="21" t="str">
        <f>_xlfn.TEXTAFTER(CONTROL[[#This Row],[VEHIDCODE]],"_")</f>
        <v>Coach_Gen2_Steel_2_axle_Compartment_Coach</v>
      </c>
      <c r="C734" t="str" cm="1">
        <f t="array" ref="C7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4" t="str" cm="1">
        <f t="array" ref="D7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4">
        <v>11015</v>
      </c>
      <c r="F734" s="32" t="s">
        <v>456</v>
      </c>
      <c r="G734" t="s">
        <v>523</v>
      </c>
      <c r="H734" s="2" t="b">
        <f>AND(CONTROL[[#This Row],[IS_WAGON_OR_COACH]]=TRUE,OR(RIGHT(CONTROL[[#This Row],[VEHIDCODE]],7)="Powered",RIGHT(CONTROL[[#This Row],[VEHIDCODE]],9)="Unpowered"))</f>
        <v>0</v>
      </c>
      <c r="I7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4" t="b">
        <f>ISNUMBER(_xlfn.XMATCH(CONTROL[[#This Row],[VEHIDCODE]],TRACK_TYPES[VEHIDCODE],0))</f>
        <v>1</v>
      </c>
      <c r="K734" t="b">
        <f>ISNUMBER(_xlfn.XMATCH(CONTROL[[#This Row],[VEHIDCODE]],PROPERTIES[VEHIDCODE],0))</f>
        <v>1</v>
      </c>
      <c r="L734" t="b">
        <f>ISNUMBER(_xlfn.XLOOKUP(CONTROL[[#This Row],[VEHIDCODE]],roster!A:A,roster!D:D))</f>
        <v>1</v>
      </c>
      <c r="M734" t="b">
        <f>ISNUMBER(_xlfn.XMATCH(CONTROL[[#This Row],[VEHIDCODE]],GRAPHICS_PROPERTIES[VEHIDCODE],0))</f>
        <v>1</v>
      </c>
      <c r="N734" s="21" t="str">
        <f>"item_"&amp;CONTROL[[#This Row],[VEHIDCODE]]</f>
        <v>item_mu_Coach_Gen2_Steel_2_axle_Compartment_Coach</v>
      </c>
      <c r="O734" s="21" t="str">
        <f>"str_"&amp;CONTROL[[#This Row],[VEHIDCODE]]</f>
        <v>str_mu_Coach_Gen2_Steel_2_axle_Compartment_Coach</v>
      </c>
      <c r="P734" s="7" t="b">
        <f>_xlfn.XLOOKUP(CONTROL[[#This Row],[VEHIDCODE]],PROPERTIES[VEHIDCODE],PROPERTIES[IS_CONCEPT])="IS_CONCEPT"</f>
        <v>0</v>
      </c>
      <c r="Q734" s="7" t="b">
        <f>_xlfn.XLOOKUP(CONTROL[[#This Row],[VEHIDCODE]],PROPERTIES[VEHIDCODE],PROPERTIES[EXCLUDE])</f>
        <v>0</v>
      </c>
      <c r="R734" t="str" cm="1">
        <f t="array" ref="R734">_xlfn.XLOOKUP(CONTROL[[#This Row],[VEHIDCODE]],GRAPHICS_PROPERTIES[VEHIDCODE],GRAPHICS_PROPERTIES[TEMPLATE_ID]&amp;GRAPHICS_PROPERTIES[TEMPLATE_AMENDMENT_CODE])</f>
        <v>TPL_04A</v>
      </c>
    </row>
    <row r="735" spans="1:18" x14ac:dyDescent="0.35">
      <c r="A735" s="2" t="s">
        <v>99</v>
      </c>
      <c r="B735" s="21" t="str">
        <f>_xlfn.TEXTAFTER(CONTROL[[#This Row],[VEHIDCODE]],"_")</f>
        <v>Coach_Gen2_Steel_2_axle_Regional_Coach</v>
      </c>
      <c r="C735" t="str" cm="1">
        <f t="array" ref="C7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5" t="str" cm="1">
        <f t="array" ref="D7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5">
        <v>11016</v>
      </c>
      <c r="F735" s="32" t="s">
        <v>457</v>
      </c>
      <c r="G735" t="s">
        <v>523</v>
      </c>
      <c r="H735" s="2" t="b">
        <f>AND(CONTROL[[#This Row],[IS_WAGON_OR_COACH]]=TRUE,OR(RIGHT(CONTROL[[#This Row],[VEHIDCODE]],7)="Powered",RIGHT(CONTROL[[#This Row],[VEHIDCODE]],9)="Unpowered"))</f>
        <v>0</v>
      </c>
      <c r="I7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5" t="b">
        <f>ISNUMBER(_xlfn.XMATCH(CONTROL[[#This Row],[VEHIDCODE]],TRACK_TYPES[VEHIDCODE],0))</f>
        <v>1</v>
      </c>
      <c r="K735" t="b">
        <f>ISNUMBER(_xlfn.XMATCH(CONTROL[[#This Row],[VEHIDCODE]],PROPERTIES[VEHIDCODE],0))</f>
        <v>1</v>
      </c>
      <c r="L735" t="b">
        <f>ISNUMBER(_xlfn.XLOOKUP(CONTROL[[#This Row],[VEHIDCODE]],roster!A:A,roster!D:D))</f>
        <v>1</v>
      </c>
      <c r="M735" t="b">
        <f>ISNUMBER(_xlfn.XMATCH(CONTROL[[#This Row],[VEHIDCODE]],GRAPHICS_PROPERTIES[VEHIDCODE],0))</f>
        <v>1</v>
      </c>
      <c r="N735" s="21" t="str">
        <f>"item_"&amp;CONTROL[[#This Row],[VEHIDCODE]]</f>
        <v>item_mu_Coach_Gen2_Steel_2_axle_Regional_Coach</v>
      </c>
      <c r="O735" s="21" t="str">
        <f>"str_"&amp;CONTROL[[#This Row],[VEHIDCODE]]</f>
        <v>str_mu_Coach_Gen2_Steel_2_axle_Regional_Coach</v>
      </c>
      <c r="P735" s="7" t="b">
        <f>_xlfn.XLOOKUP(CONTROL[[#This Row],[VEHIDCODE]],PROPERTIES[VEHIDCODE],PROPERTIES[IS_CONCEPT])="IS_CONCEPT"</f>
        <v>0</v>
      </c>
      <c r="Q735" s="7" t="b">
        <f>_xlfn.XLOOKUP(CONTROL[[#This Row],[VEHIDCODE]],PROPERTIES[VEHIDCODE],PROPERTIES[EXCLUDE])</f>
        <v>0</v>
      </c>
      <c r="R735" t="str" cm="1">
        <f t="array" ref="R735">_xlfn.XLOOKUP(CONTROL[[#This Row],[VEHIDCODE]],GRAPHICS_PROPERTIES[VEHIDCODE],GRAPHICS_PROPERTIES[TEMPLATE_ID]&amp;GRAPHICS_PROPERTIES[TEMPLATE_AMENDMENT_CODE])</f>
        <v>TPL_04A</v>
      </c>
    </row>
    <row r="736" spans="1:18" x14ac:dyDescent="0.35">
      <c r="A736" s="2" t="s">
        <v>100</v>
      </c>
      <c r="B736" s="21" t="str">
        <f>_xlfn.TEXTAFTER(CONTROL[[#This Row],[VEHIDCODE]],"_")</f>
        <v>Coach_Gen2_Steel_2_axle_Mail_Coach</v>
      </c>
      <c r="C736" t="str" cm="1">
        <f t="array" ref="C7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6" t="str" cm="1">
        <f t="array" ref="D7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6">
        <v>11017</v>
      </c>
      <c r="F736" s="32" t="s">
        <v>458</v>
      </c>
      <c r="G736" t="s">
        <v>523</v>
      </c>
      <c r="H736" s="2" t="b">
        <f>AND(CONTROL[[#This Row],[IS_WAGON_OR_COACH]]=TRUE,OR(RIGHT(CONTROL[[#This Row],[VEHIDCODE]],7)="Powered",RIGHT(CONTROL[[#This Row],[VEHIDCODE]],9)="Unpowered"))</f>
        <v>0</v>
      </c>
      <c r="I7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6" t="b">
        <f>ISNUMBER(_xlfn.XMATCH(CONTROL[[#This Row],[VEHIDCODE]],TRACK_TYPES[VEHIDCODE],0))</f>
        <v>1</v>
      </c>
      <c r="K736" t="b">
        <f>ISNUMBER(_xlfn.XMATCH(CONTROL[[#This Row],[VEHIDCODE]],PROPERTIES[VEHIDCODE],0))</f>
        <v>1</v>
      </c>
      <c r="L736" t="b">
        <f>ISNUMBER(_xlfn.XLOOKUP(CONTROL[[#This Row],[VEHIDCODE]],roster!A:A,roster!D:D))</f>
        <v>1</v>
      </c>
      <c r="M736" t="b">
        <f>ISNUMBER(_xlfn.XMATCH(CONTROL[[#This Row],[VEHIDCODE]],GRAPHICS_PROPERTIES[VEHIDCODE],0))</f>
        <v>1</v>
      </c>
      <c r="N736" s="21" t="str">
        <f>"item_"&amp;CONTROL[[#This Row],[VEHIDCODE]]</f>
        <v>item_mu_Coach_Gen2_Steel_2_axle_Mail_Coach</v>
      </c>
      <c r="O736" s="21" t="str">
        <f>"str_"&amp;CONTROL[[#This Row],[VEHIDCODE]]</f>
        <v>str_mu_Coach_Gen2_Steel_2_axle_Mail_Coach</v>
      </c>
      <c r="P736" s="7" t="b">
        <f>_xlfn.XLOOKUP(CONTROL[[#This Row],[VEHIDCODE]],PROPERTIES[VEHIDCODE],PROPERTIES[IS_CONCEPT])="IS_CONCEPT"</f>
        <v>0</v>
      </c>
      <c r="Q736" s="7" t="b">
        <f>_xlfn.XLOOKUP(CONTROL[[#This Row],[VEHIDCODE]],PROPERTIES[VEHIDCODE],PROPERTIES[EXCLUDE])</f>
        <v>0</v>
      </c>
      <c r="R736" t="str" cm="1">
        <f t="array" ref="R736">_xlfn.XLOOKUP(CONTROL[[#This Row],[VEHIDCODE]],GRAPHICS_PROPERTIES[VEHIDCODE],GRAPHICS_PROPERTIES[TEMPLATE_ID]&amp;GRAPHICS_PROPERTIES[TEMPLATE_AMENDMENT_CODE])</f>
        <v>TPL_04A</v>
      </c>
    </row>
    <row r="737" spans="1:18" x14ac:dyDescent="0.35">
      <c r="A737" s="2" t="s">
        <v>101</v>
      </c>
      <c r="B737" s="21" t="str">
        <f>_xlfn.TEXTAFTER(CONTROL[[#This Row],[VEHIDCODE]],"_")</f>
        <v>Coach_Gen2_Steel_3_axle_Compartment_Coach</v>
      </c>
      <c r="C737" t="str" cm="1">
        <f t="array" ref="C7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7" t="str" cm="1">
        <f t="array" ref="D7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7">
        <v>11018</v>
      </c>
      <c r="F737" s="32" t="s">
        <v>459</v>
      </c>
      <c r="G737" t="s">
        <v>523</v>
      </c>
      <c r="H737" s="2" t="b">
        <f>AND(CONTROL[[#This Row],[IS_WAGON_OR_COACH]]=TRUE,OR(RIGHT(CONTROL[[#This Row],[VEHIDCODE]],7)="Powered",RIGHT(CONTROL[[#This Row],[VEHIDCODE]],9)="Unpowered"))</f>
        <v>0</v>
      </c>
      <c r="I7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7" t="b">
        <f>ISNUMBER(_xlfn.XMATCH(CONTROL[[#This Row],[VEHIDCODE]],TRACK_TYPES[VEHIDCODE],0))</f>
        <v>1</v>
      </c>
      <c r="K737" t="b">
        <f>ISNUMBER(_xlfn.XMATCH(CONTROL[[#This Row],[VEHIDCODE]],PROPERTIES[VEHIDCODE],0))</f>
        <v>1</v>
      </c>
      <c r="L737" t="b">
        <f>ISNUMBER(_xlfn.XLOOKUP(CONTROL[[#This Row],[VEHIDCODE]],roster!A:A,roster!D:D))</f>
        <v>1</v>
      </c>
      <c r="M737" t="b">
        <f>ISNUMBER(_xlfn.XMATCH(CONTROL[[#This Row],[VEHIDCODE]],GRAPHICS_PROPERTIES[VEHIDCODE],0))</f>
        <v>1</v>
      </c>
      <c r="N737" s="21" t="str">
        <f>"item_"&amp;CONTROL[[#This Row],[VEHIDCODE]]</f>
        <v>item_mu_Coach_Gen2_Steel_3_axle_Compartment_Coach</v>
      </c>
      <c r="O737" s="21" t="str">
        <f>"str_"&amp;CONTROL[[#This Row],[VEHIDCODE]]</f>
        <v>str_mu_Coach_Gen2_Steel_3_axle_Compartment_Coach</v>
      </c>
      <c r="P737" s="7" t="b">
        <f>_xlfn.XLOOKUP(CONTROL[[#This Row],[VEHIDCODE]],PROPERTIES[VEHIDCODE],PROPERTIES[IS_CONCEPT])="IS_CONCEPT"</f>
        <v>0</v>
      </c>
      <c r="Q737" s="7" t="b">
        <f>_xlfn.XLOOKUP(CONTROL[[#This Row],[VEHIDCODE]],PROPERTIES[VEHIDCODE],PROPERTIES[EXCLUDE])</f>
        <v>0</v>
      </c>
      <c r="R737" t="str" cm="1">
        <f t="array" ref="R737">_xlfn.XLOOKUP(CONTROL[[#This Row],[VEHIDCODE]],GRAPHICS_PROPERTIES[VEHIDCODE],GRAPHICS_PROPERTIES[TEMPLATE_ID]&amp;GRAPHICS_PROPERTIES[TEMPLATE_AMENDMENT_CODE])</f>
        <v>TPL_04A</v>
      </c>
    </row>
    <row r="738" spans="1:18" x14ac:dyDescent="0.35">
      <c r="A738" s="2" t="s">
        <v>102</v>
      </c>
      <c r="B738" s="21" t="str">
        <f>_xlfn.TEXTAFTER(CONTROL[[#This Row],[VEHIDCODE]],"_")</f>
        <v>Coach_Gen2_Steel_3_axle_Regional_Coach</v>
      </c>
      <c r="C738" t="str" cm="1">
        <f t="array" ref="C7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8" t="str" cm="1">
        <f t="array" ref="D7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8">
        <v>11019</v>
      </c>
      <c r="F738" s="32" t="s">
        <v>460</v>
      </c>
      <c r="G738" t="s">
        <v>523</v>
      </c>
      <c r="H738" s="2" t="b">
        <f>AND(CONTROL[[#This Row],[IS_WAGON_OR_COACH]]=TRUE,OR(RIGHT(CONTROL[[#This Row],[VEHIDCODE]],7)="Powered",RIGHT(CONTROL[[#This Row],[VEHIDCODE]],9)="Unpowered"))</f>
        <v>0</v>
      </c>
      <c r="I7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8" t="b">
        <f>ISNUMBER(_xlfn.XMATCH(CONTROL[[#This Row],[VEHIDCODE]],TRACK_TYPES[VEHIDCODE],0))</f>
        <v>1</v>
      </c>
      <c r="K738" t="b">
        <f>ISNUMBER(_xlfn.XMATCH(CONTROL[[#This Row],[VEHIDCODE]],PROPERTIES[VEHIDCODE],0))</f>
        <v>1</v>
      </c>
      <c r="L738" t="b">
        <f>ISNUMBER(_xlfn.XLOOKUP(CONTROL[[#This Row],[VEHIDCODE]],roster!A:A,roster!D:D))</f>
        <v>1</v>
      </c>
      <c r="M738" t="b">
        <f>ISNUMBER(_xlfn.XMATCH(CONTROL[[#This Row],[VEHIDCODE]],GRAPHICS_PROPERTIES[VEHIDCODE],0))</f>
        <v>1</v>
      </c>
      <c r="N738" s="21" t="str">
        <f>"item_"&amp;CONTROL[[#This Row],[VEHIDCODE]]</f>
        <v>item_mu_Coach_Gen2_Steel_3_axle_Regional_Coach</v>
      </c>
      <c r="O738" s="21" t="str">
        <f>"str_"&amp;CONTROL[[#This Row],[VEHIDCODE]]</f>
        <v>str_mu_Coach_Gen2_Steel_3_axle_Regional_Coach</v>
      </c>
      <c r="P738" s="7" t="b">
        <f>_xlfn.XLOOKUP(CONTROL[[#This Row],[VEHIDCODE]],PROPERTIES[VEHIDCODE],PROPERTIES[IS_CONCEPT])="IS_CONCEPT"</f>
        <v>0</v>
      </c>
      <c r="Q738" s="7" t="b">
        <f>_xlfn.XLOOKUP(CONTROL[[#This Row],[VEHIDCODE]],PROPERTIES[VEHIDCODE],PROPERTIES[EXCLUDE])</f>
        <v>0</v>
      </c>
      <c r="R738" t="str" cm="1">
        <f t="array" ref="R738">_xlfn.XLOOKUP(CONTROL[[#This Row],[VEHIDCODE]],GRAPHICS_PROPERTIES[VEHIDCODE],GRAPHICS_PROPERTIES[TEMPLATE_ID]&amp;GRAPHICS_PROPERTIES[TEMPLATE_AMENDMENT_CODE])</f>
        <v>TPL_04A</v>
      </c>
    </row>
    <row r="739" spans="1:18" x14ac:dyDescent="0.35">
      <c r="A739" s="2" t="s">
        <v>103</v>
      </c>
      <c r="B739" s="21" t="str">
        <f>_xlfn.TEXTAFTER(CONTROL[[#This Row],[VEHIDCODE]],"_")</f>
        <v>Coach_Gen2_Steel_3_axle_Mail_Coach</v>
      </c>
      <c r="C739" t="str" cm="1">
        <f t="array" ref="C7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9" t="str" cm="1">
        <f t="array" ref="D7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9">
        <v>11020</v>
      </c>
      <c r="F739" s="32" t="s">
        <v>461</v>
      </c>
      <c r="G739" t="s">
        <v>523</v>
      </c>
      <c r="H739" s="2" t="b">
        <f>AND(CONTROL[[#This Row],[IS_WAGON_OR_COACH]]=TRUE,OR(RIGHT(CONTROL[[#This Row],[VEHIDCODE]],7)="Powered",RIGHT(CONTROL[[#This Row],[VEHIDCODE]],9)="Unpowered"))</f>
        <v>0</v>
      </c>
      <c r="I7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9" t="b">
        <f>ISNUMBER(_xlfn.XMATCH(CONTROL[[#This Row],[VEHIDCODE]],TRACK_TYPES[VEHIDCODE],0))</f>
        <v>1</v>
      </c>
      <c r="K739" t="b">
        <f>ISNUMBER(_xlfn.XMATCH(CONTROL[[#This Row],[VEHIDCODE]],PROPERTIES[VEHIDCODE],0))</f>
        <v>1</v>
      </c>
      <c r="L739" t="b">
        <f>ISNUMBER(_xlfn.XLOOKUP(CONTROL[[#This Row],[VEHIDCODE]],roster!A:A,roster!D:D))</f>
        <v>1</v>
      </c>
      <c r="M739" t="b">
        <f>ISNUMBER(_xlfn.XMATCH(CONTROL[[#This Row],[VEHIDCODE]],GRAPHICS_PROPERTIES[VEHIDCODE],0))</f>
        <v>1</v>
      </c>
      <c r="N739" s="21" t="str">
        <f>"item_"&amp;CONTROL[[#This Row],[VEHIDCODE]]</f>
        <v>item_mu_Coach_Gen2_Steel_3_axle_Mail_Coach</v>
      </c>
      <c r="O739" s="21" t="str">
        <f>"str_"&amp;CONTROL[[#This Row],[VEHIDCODE]]</f>
        <v>str_mu_Coach_Gen2_Steel_3_axle_Mail_Coach</v>
      </c>
      <c r="P739" s="7" t="b">
        <f>_xlfn.XLOOKUP(CONTROL[[#This Row],[VEHIDCODE]],PROPERTIES[VEHIDCODE],PROPERTIES[IS_CONCEPT])="IS_CONCEPT"</f>
        <v>0</v>
      </c>
      <c r="Q739" s="7" t="b">
        <f>_xlfn.XLOOKUP(CONTROL[[#This Row],[VEHIDCODE]],PROPERTIES[VEHIDCODE],PROPERTIES[EXCLUDE])</f>
        <v>0</v>
      </c>
      <c r="R739" t="str" cm="1">
        <f t="array" ref="R739">_xlfn.XLOOKUP(CONTROL[[#This Row],[VEHIDCODE]],GRAPHICS_PROPERTIES[VEHIDCODE],GRAPHICS_PROPERTIES[TEMPLATE_ID]&amp;GRAPHICS_PROPERTIES[TEMPLATE_AMENDMENT_CODE])</f>
        <v>TPL_04A</v>
      </c>
    </row>
    <row r="740" spans="1:18" x14ac:dyDescent="0.35">
      <c r="A740" s="2" t="s">
        <v>104</v>
      </c>
      <c r="B740" s="21" t="str">
        <f>_xlfn.TEXTAFTER(CONTROL[[#This Row],[VEHIDCODE]],"_")</f>
        <v>Coach_Gen3_Steel_Lightweight_Intercity_Coach</v>
      </c>
      <c r="C740" t="str" cm="1">
        <f t="array" ref="C7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0" t="str" cm="1">
        <f t="array" ref="D7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0">
        <v>11021</v>
      </c>
      <c r="F740" s="32" t="s">
        <v>3578</v>
      </c>
      <c r="G740" t="s">
        <v>523</v>
      </c>
      <c r="H740" s="2" t="b">
        <f>AND(CONTROL[[#This Row],[IS_WAGON_OR_COACH]]=TRUE,OR(RIGHT(CONTROL[[#This Row],[VEHIDCODE]],7)="Powered",RIGHT(CONTROL[[#This Row],[VEHIDCODE]],9)="Unpowered"))</f>
        <v>0</v>
      </c>
      <c r="I7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0" t="b">
        <f>ISNUMBER(_xlfn.XMATCH(CONTROL[[#This Row],[VEHIDCODE]],TRACK_TYPES[VEHIDCODE],0))</f>
        <v>1</v>
      </c>
      <c r="K740" t="b">
        <f>ISNUMBER(_xlfn.XMATCH(CONTROL[[#This Row],[VEHIDCODE]],PROPERTIES[VEHIDCODE],0))</f>
        <v>1</v>
      </c>
      <c r="L740" t="b">
        <f>ISNUMBER(_xlfn.XLOOKUP(CONTROL[[#This Row],[VEHIDCODE]],roster!A:A,roster!D:D))</f>
        <v>1</v>
      </c>
      <c r="M740" t="b">
        <f>ISNUMBER(_xlfn.XMATCH(CONTROL[[#This Row],[VEHIDCODE]],GRAPHICS_PROPERTIES[VEHIDCODE],0))</f>
        <v>1</v>
      </c>
      <c r="N740" s="21" t="str">
        <f>"item_"&amp;CONTROL[[#This Row],[VEHIDCODE]]</f>
        <v>item_mu_Coach_Gen3_Steel_Lightweight_Intercity_Coach</v>
      </c>
      <c r="O740" s="21" t="str">
        <f>"str_"&amp;CONTROL[[#This Row],[VEHIDCODE]]</f>
        <v>str_mu_Coach_Gen3_Steel_Lightweight_Intercity_Coach</v>
      </c>
      <c r="P740" s="7" t="b">
        <f>_xlfn.XLOOKUP(CONTROL[[#This Row],[VEHIDCODE]],PROPERTIES[VEHIDCODE],PROPERTIES[IS_CONCEPT])="IS_CONCEPT"</f>
        <v>0</v>
      </c>
      <c r="Q740" s="7" t="b">
        <f>_xlfn.XLOOKUP(CONTROL[[#This Row],[VEHIDCODE]],PROPERTIES[VEHIDCODE],PROPERTIES[EXCLUDE])</f>
        <v>0</v>
      </c>
      <c r="R740" t="str" cm="1">
        <f t="array" ref="R740">_xlfn.XLOOKUP(CONTROL[[#This Row],[VEHIDCODE]],GRAPHICS_PROPERTIES[VEHIDCODE],GRAPHICS_PROPERTIES[TEMPLATE_ID]&amp;GRAPHICS_PROPERTIES[TEMPLATE_AMENDMENT_CODE])</f>
        <v>TPL_04S</v>
      </c>
    </row>
    <row r="741" spans="1:18" x14ac:dyDescent="0.35">
      <c r="A741" s="2" t="s">
        <v>105</v>
      </c>
      <c r="B741" s="21" t="str">
        <f>_xlfn.TEXTAFTER(CONTROL[[#This Row],[VEHIDCODE]],"_")</f>
        <v>Coach_Gen3_Steel_Lightweight_Regional_Coach</v>
      </c>
      <c r="C741" t="str" cm="1">
        <f t="array" ref="C7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1" t="str" cm="1">
        <f t="array" ref="D7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1">
        <v>11022</v>
      </c>
      <c r="F741" s="32" t="s">
        <v>3579</v>
      </c>
      <c r="G741" t="s">
        <v>523</v>
      </c>
      <c r="H741" s="2" t="b">
        <f>AND(CONTROL[[#This Row],[IS_WAGON_OR_COACH]]=TRUE,OR(RIGHT(CONTROL[[#This Row],[VEHIDCODE]],7)="Powered",RIGHT(CONTROL[[#This Row],[VEHIDCODE]],9)="Unpowered"))</f>
        <v>0</v>
      </c>
      <c r="I7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1" t="b">
        <f>ISNUMBER(_xlfn.XMATCH(CONTROL[[#This Row],[VEHIDCODE]],TRACK_TYPES[VEHIDCODE],0))</f>
        <v>1</v>
      </c>
      <c r="K741" t="b">
        <f>ISNUMBER(_xlfn.XMATCH(CONTROL[[#This Row],[VEHIDCODE]],PROPERTIES[VEHIDCODE],0))</f>
        <v>1</v>
      </c>
      <c r="L741" t="b">
        <f>ISNUMBER(_xlfn.XLOOKUP(CONTROL[[#This Row],[VEHIDCODE]],roster!A:A,roster!D:D))</f>
        <v>1</v>
      </c>
      <c r="M741" t="b">
        <f>ISNUMBER(_xlfn.XMATCH(CONTROL[[#This Row],[VEHIDCODE]],GRAPHICS_PROPERTIES[VEHIDCODE],0))</f>
        <v>1</v>
      </c>
      <c r="N741" s="21" t="str">
        <f>"item_"&amp;CONTROL[[#This Row],[VEHIDCODE]]</f>
        <v>item_mu_Coach_Gen3_Steel_Lightweight_Regional_Coach</v>
      </c>
      <c r="O741" s="21" t="str">
        <f>"str_"&amp;CONTROL[[#This Row],[VEHIDCODE]]</f>
        <v>str_mu_Coach_Gen3_Steel_Lightweight_Regional_Coach</v>
      </c>
      <c r="P741" s="7" t="b">
        <f>_xlfn.XLOOKUP(CONTROL[[#This Row],[VEHIDCODE]],PROPERTIES[VEHIDCODE],PROPERTIES[IS_CONCEPT])="IS_CONCEPT"</f>
        <v>0</v>
      </c>
      <c r="Q741" s="7" t="b">
        <f>_xlfn.XLOOKUP(CONTROL[[#This Row],[VEHIDCODE]],PROPERTIES[VEHIDCODE],PROPERTIES[EXCLUDE])</f>
        <v>0</v>
      </c>
      <c r="R741" t="str" cm="1">
        <f t="array" ref="R741">_xlfn.XLOOKUP(CONTROL[[#This Row],[VEHIDCODE]],GRAPHICS_PROPERTIES[VEHIDCODE],GRAPHICS_PROPERTIES[TEMPLATE_ID]&amp;GRAPHICS_PROPERTIES[TEMPLATE_AMENDMENT_CODE])</f>
        <v>TPL_04A</v>
      </c>
    </row>
    <row r="742" spans="1:18" x14ac:dyDescent="0.35">
      <c r="A742" s="2" t="s">
        <v>106</v>
      </c>
      <c r="B742" s="21" t="str">
        <f>_xlfn.TEXTAFTER(CONTROL[[#This Row],[VEHIDCODE]],"_")</f>
        <v>Coach_Gen3_Steel_Lightweight_Mail_Coach</v>
      </c>
      <c r="C742" t="str" cm="1">
        <f t="array" ref="C7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2" t="str" cm="1">
        <f t="array" ref="D7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2">
        <v>11023</v>
      </c>
      <c r="F742" s="32" t="s">
        <v>3580</v>
      </c>
      <c r="G742" t="s">
        <v>523</v>
      </c>
      <c r="H742" s="2" t="b">
        <f>AND(CONTROL[[#This Row],[IS_WAGON_OR_COACH]]=TRUE,OR(RIGHT(CONTROL[[#This Row],[VEHIDCODE]],7)="Powered",RIGHT(CONTROL[[#This Row],[VEHIDCODE]],9)="Unpowered"))</f>
        <v>0</v>
      </c>
      <c r="I7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2" t="b">
        <f>ISNUMBER(_xlfn.XMATCH(CONTROL[[#This Row],[VEHIDCODE]],TRACK_TYPES[VEHIDCODE],0))</f>
        <v>1</v>
      </c>
      <c r="K742" t="b">
        <f>ISNUMBER(_xlfn.XMATCH(CONTROL[[#This Row],[VEHIDCODE]],PROPERTIES[VEHIDCODE],0))</f>
        <v>1</v>
      </c>
      <c r="L742" t="b">
        <f>ISNUMBER(_xlfn.XLOOKUP(CONTROL[[#This Row],[VEHIDCODE]],roster!A:A,roster!D:D))</f>
        <v>1</v>
      </c>
      <c r="M742" t="b">
        <f>ISNUMBER(_xlfn.XMATCH(CONTROL[[#This Row],[VEHIDCODE]],GRAPHICS_PROPERTIES[VEHIDCODE],0))</f>
        <v>1</v>
      </c>
      <c r="N742" s="21" t="str">
        <f>"item_"&amp;CONTROL[[#This Row],[VEHIDCODE]]</f>
        <v>item_mu_Coach_Gen3_Steel_Lightweight_Mail_Coach</v>
      </c>
      <c r="O742" s="21" t="str">
        <f>"str_"&amp;CONTROL[[#This Row],[VEHIDCODE]]</f>
        <v>str_mu_Coach_Gen3_Steel_Lightweight_Mail_Coach</v>
      </c>
      <c r="P742" s="7" t="b">
        <f>_xlfn.XLOOKUP(CONTROL[[#This Row],[VEHIDCODE]],PROPERTIES[VEHIDCODE],PROPERTIES[IS_CONCEPT])="IS_CONCEPT"</f>
        <v>0</v>
      </c>
      <c r="Q742" s="7" t="b">
        <f>_xlfn.XLOOKUP(CONTROL[[#This Row],[VEHIDCODE]],PROPERTIES[VEHIDCODE],PROPERTIES[EXCLUDE])</f>
        <v>0</v>
      </c>
      <c r="R742" t="str" cm="1">
        <f t="array" ref="R742">_xlfn.XLOOKUP(CONTROL[[#This Row],[VEHIDCODE]],GRAPHICS_PROPERTIES[VEHIDCODE],GRAPHICS_PROPERTIES[TEMPLATE_ID]&amp;GRAPHICS_PROPERTIES[TEMPLATE_AMENDMENT_CODE])</f>
        <v>TPL_04A</v>
      </c>
    </row>
    <row r="743" spans="1:18" x14ac:dyDescent="0.35">
      <c r="A743" s="2" t="s">
        <v>107</v>
      </c>
      <c r="B743" s="21" t="str">
        <f>_xlfn.TEXTAFTER(CONTROL[[#This Row],[VEHIDCODE]],"_")</f>
        <v>Coach_Gen3_Aluminium_Lightweight_Intercity_Coach</v>
      </c>
      <c r="C743" t="str" cm="1">
        <f t="array" ref="C7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3" t="str" cm="1">
        <f t="array" ref="D7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3">
        <v>11024</v>
      </c>
      <c r="F743" s="32" t="s">
        <v>3567</v>
      </c>
      <c r="G743" t="s">
        <v>523</v>
      </c>
      <c r="H743" s="2" t="b">
        <f>AND(CONTROL[[#This Row],[IS_WAGON_OR_COACH]]=TRUE,OR(RIGHT(CONTROL[[#This Row],[VEHIDCODE]],7)="Powered",RIGHT(CONTROL[[#This Row],[VEHIDCODE]],9)="Unpowered"))</f>
        <v>0</v>
      </c>
      <c r="I7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3" t="b">
        <f>ISNUMBER(_xlfn.XMATCH(CONTROL[[#This Row],[VEHIDCODE]],TRACK_TYPES[VEHIDCODE],0))</f>
        <v>1</v>
      </c>
      <c r="K743" t="b">
        <f>ISNUMBER(_xlfn.XMATCH(CONTROL[[#This Row],[VEHIDCODE]],PROPERTIES[VEHIDCODE],0))</f>
        <v>1</v>
      </c>
      <c r="L743" t="b">
        <f>ISNUMBER(_xlfn.XLOOKUP(CONTROL[[#This Row],[VEHIDCODE]],roster!A:A,roster!D:D))</f>
        <v>1</v>
      </c>
      <c r="M743" t="b">
        <f>ISNUMBER(_xlfn.XMATCH(CONTROL[[#This Row],[VEHIDCODE]],GRAPHICS_PROPERTIES[VEHIDCODE],0))</f>
        <v>1</v>
      </c>
      <c r="N743" s="21" t="str">
        <f>"item_"&amp;CONTROL[[#This Row],[VEHIDCODE]]</f>
        <v>item_mu_Coach_Gen3_Aluminium_Lightweight_Intercity_Coach</v>
      </c>
      <c r="O743" s="21" t="str">
        <f>"str_"&amp;CONTROL[[#This Row],[VEHIDCODE]]</f>
        <v>str_mu_Coach_Gen3_Aluminium_Lightweight_Intercity_Coach</v>
      </c>
      <c r="P743" s="7" t="b">
        <f>_xlfn.XLOOKUP(CONTROL[[#This Row],[VEHIDCODE]],PROPERTIES[VEHIDCODE],PROPERTIES[IS_CONCEPT])="IS_CONCEPT"</f>
        <v>0</v>
      </c>
      <c r="Q743" s="7" t="b">
        <f>_xlfn.XLOOKUP(CONTROL[[#This Row],[VEHIDCODE]],PROPERTIES[VEHIDCODE],PROPERTIES[EXCLUDE])</f>
        <v>0</v>
      </c>
      <c r="R743" t="str" cm="1">
        <f t="array" ref="R743">_xlfn.XLOOKUP(CONTROL[[#This Row],[VEHIDCODE]],GRAPHICS_PROPERTIES[VEHIDCODE],GRAPHICS_PROPERTIES[TEMPLATE_ID]&amp;GRAPHICS_PROPERTIES[TEMPLATE_AMENDMENT_CODE])</f>
        <v>TPL_04S</v>
      </c>
    </row>
    <row r="744" spans="1:18" x14ac:dyDescent="0.35">
      <c r="A744" s="2" t="s">
        <v>108</v>
      </c>
      <c r="B744" s="21" t="str">
        <f>_xlfn.TEXTAFTER(CONTROL[[#This Row],[VEHIDCODE]],"_")</f>
        <v>Coach_Gen3_Aluminium_Lightweight_Regional_Coach</v>
      </c>
      <c r="C744" t="str" cm="1">
        <f t="array" ref="C7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4" t="str" cm="1">
        <f t="array" ref="D7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4">
        <v>11025</v>
      </c>
      <c r="F744" s="32" t="s">
        <v>3568</v>
      </c>
      <c r="G744" t="s">
        <v>523</v>
      </c>
      <c r="H744" s="2" t="b">
        <f>AND(CONTROL[[#This Row],[IS_WAGON_OR_COACH]]=TRUE,OR(RIGHT(CONTROL[[#This Row],[VEHIDCODE]],7)="Powered",RIGHT(CONTROL[[#This Row],[VEHIDCODE]],9)="Unpowered"))</f>
        <v>0</v>
      </c>
      <c r="I7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4" t="b">
        <f>ISNUMBER(_xlfn.XMATCH(CONTROL[[#This Row],[VEHIDCODE]],TRACK_TYPES[VEHIDCODE],0))</f>
        <v>1</v>
      </c>
      <c r="K744" t="b">
        <f>ISNUMBER(_xlfn.XMATCH(CONTROL[[#This Row],[VEHIDCODE]],PROPERTIES[VEHIDCODE],0))</f>
        <v>1</v>
      </c>
      <c r="L744" t="b">
        <f>ISNUMBER(_xlfn.XLOOKUP(CONTROL[[#This Row],[VEHIDCODE]],roster!A:A,roster!D:D))</f>
        <v>1</v>
      </c>
      <c r="M744" t="b">
        <f>ISNUMBER(_xlfn.XMATCH(CONTROL[[#This Row],[VEHIDCODE]],GRAPHICS_PROPERTIES[VEHIDCODE],0))</f>
        <v>1</v>
      </c>
      <c r="N744" s="21" t="str">
        <f>"item_"&amp;CONTROL[[#This Row],[VEHIDCODE]]</f>
        <v>item_mu_Coach_Gen3_Aluminium_Lightweight_Regional_Coach</v>
      </c>
      <c r="O744" s="21" t="str">
        <f>"str_"&amp;CONTROL[[#This Row],[VEHIDCODE]]</f>
        <v>str_mu_Coach_Gen3_Aluminium_Lightweight_Regional_Coach</v>
      </c>
      <c r="P744" s="7" t="b">
        <f>_xlfn.XLOOKUP(CONTROL[[#This Row],[VEHIDCODE]],PROPERTIES[VEHIDCODE],PROPERTIES[IS_CONCEPT])="IS_CONCEPT"</f>
        <v>0</v>
      </c>
      <c r="Q744" s="7" t="b">
        <f>_xlfn.XLOOKUP(CONTROL[[#This Row],[VEHIDCODE]],PROPERTIES[VEHIDCODE],PROPERTIES[EXCLUDE])</f>
        <v>0</v>
      </c>
      <c r="R744" t="str" cm="1">
        <f t="array" ref="R744">_xlfn.XLOOKUP(CONTROL[[#This Row],[VEHIDCODE]],GRAPHICS_PROPERTIES[VEHIDCODE],GRAPHICS_PROPERTIES[TEMPLATE_ID]&amp;GRAPHICS_PROPERTIES[TEMPLATE_AMENDMENT_CODE])</f>
        <v>TPL_04S</v>
      </c>
    </row>
    <row r="745" spans="1:18" x14ac:dyDescent="0.35">
      <c r="A745" s="2" t="s">
        <v>109</v>
      </c>
      <c r="B745" s="21" t="str">
        <f>_xlfn.TEXTAFTER(CONTROL[[#This Row],[VEHIDCODE]],"_")</f>
        <v>Coach_Gen3_Aluminium_Lightweight_Mail_Coach</v>
      </c>
      <c r="C745" t="str" cm="1">
        <f t="array" ref="C7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5" t="str" cm="1">
        <f t="array" ref="D7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5">
        <v>11026</v>
      </c>
      <c r="F745" s="32" t="s">
        <v>3569</v>
      </c>
      <c r="G745" t="s">
        <v>523</v>
      </c>
      <c r="H745" s="2" t="b">
        <f>AND(CONTROL[[#This Row],[IS_WAGON_OR_COACH]]=TRUE,OR(RIGHT(CONTROL[[#This Row],[VEHIDCODE]],7)="Powered",RIGHT(CONTROL[[#This Row],[VEHIDCODE]],9)="Unpowered"))</f>
        <v>0</v>
      </c>
      <c r="I7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5" t="b">
        <f>ISNUMBER(_xlfn.XMATCH(CONTROL[[#This Row],[VEHIDCODE]],TRACK_TYPES[VEHIDCODE],0))</f>
        <v>1</v>
      </c>
      <c r="K745" t="b">
        <f>ISNUMBER(_xlfn.XMATCH(CONTROL[[#This Row],[VEHIDCODE]],PROPERTIES[VEHIDCODE],0))</f>
        <v>1</v>
      </c>
      <c r="L745" t="b">
        <f>ISNUMBER(_xlfn.XLOOKUP(CONTROL[[#This Row],[VEHIDCODE]],roster!A:A,roster!D:D))</f>
        <v>1</v>
      </c>
      <c r="M745" t="b">
        <f>ISNUMBER(_xlfn.XMATCH(CONTROL[[#This Row],[VEHIDCODE]],GRAPHICS_PROPERTIES[VEHIDCODE],0))</f>
        <v>1</v>
      </c>
      <c r="N745" s="21" t="str">
        <f>"item_"&amp;CONTROL[[#This Row],[VEHIDCODE]]</f>
        <v>item_mu_Coach_Gen3_Aluminium_Lightweight_Mail_Coach</v>
      </c>
      <c r="O745" s="21" t="str">
        <f>"str_"&amp;CONTROL[[#This Row],[VEHIDCODE]]</f>
        <v>str_mu_Coach_Gen3_Aluminium_Lightweight_Mail_Coach</v>
      </c>
      <c r="P745" s="7" t="b">
        <f>_xlfn.XLOOKUP(CONTROL[[#This Row],[VEHIDCODE]],PROPERTIES[VEHIDCODE],PROPERTIES[IS_CONCEPT])="IS_CONCEPT"</f>
        <v>0</v>
      </c>
      <c r="Q745" s="7" t="b">
        <f>_xlfn.XLOOKUP(CONTROL[[#This Row],[VEHIDCODE]],PROPERTIES[VEHIDCODE],PROPERTIES[EXCLUDE])</f>
        <v>0</v>
      </c>
      <c r="R745" t="str" cm="1">
        <f t="array" ref="R745">_xlfn.XLOOKUP(CONTROL[[#This Row],[VEHIDCODE]],GRAPHICS_PROPERTIES[VEHIDCODE],GRAPHICS_PROPERTIES[TEMPLATE_ID]&amp;GRAPHICS_PROPERTIES[TEMPLATE_AMENDMENT_CODE])</f>
        <v>TPL_04S</v>
      </c>
    </row>
    <row r="746" spans="1:18" x14ac:dyDescent="0.35">
      <c r="A746" s="2" t="s">
        <v>110</v>
      </c>
      <c r="B746" s="21" t="str">
        <f>_xlfn.TEXTAFTER(CONTROL[[#This Row],[VEHIDCODE]],"_")</f>
        <v>Coach_Gen3_Gallery_Car</v>
      </c>
      <c r="C746" t="str" cm="1">
        <f t="array" ref="C7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6" t="str" cm="1">
        <f t="array" ref="D7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6">
        <v>11027</v>
      </c>
      <c r="F746" s="32" t="s">
        <v>462</v>
      </c>
      <c r="G746" t="s">
        <v>523</v>
      </c>
      <c r="H746" s="2" t="b">
        <f>AND(CONTROL[[#This Row],[IS_WAGON_OR_COACH]]=TRUE,OR(RIGHT(CONTROL[[#This Row],[VEHIDCODE]],7)="Powered",RIGHT(CONTROL[[#This Row],[VEHIDCODE]],9)="Unpowered"))</f>
        <v>0</v>
      </c>
      <c r="I7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6" t="b">
        <f>ISNUMBER(_xlfn.XMATCH(CONTROL[[#This Row],[VEHIDCODE]],TRACK_TYPES[VEHIDCODE],0))</f>
        <v>1</v>
      </c>
      <c r="K746" t="b">
        <f>ISNUMBER(_xlfn.XMATCH(CONTROL[[#This Row],[VEHIDCODE]],PROPERTIES[VEHIDCODE],0))</f>
        <v>1</v>
      </c>
      <c r="L746" t="b">
        <f>ISNUMBER(_xlfn.XLOOKUP(CONTROL[[#This Row],[VEHIDCODE]],roster!A:A,roster!D:D))</f>
        <v>1</v>
      </c>
      <c r="M746" t="b">
        <f>ISNUMBER(_xlfn.XMATCH(CONTROL[[#This Row],[VEHIDCODE]],GRAPHICS_PROPERTIES[VEHIDCODE],0))</f>
        <v>1</v>
      </c>
      <c r="N746" s="21" t="str">
        <f>"item_"&amp;CONTROL[[#This Row],[VEHIDCODE]]</f>
        <v>item_mu_Coach_Gen3_Gallery_Car</v>
      </c>
      <c r="O746" s="21" t="str">
        <f>"str_"&amp;CONTROL[[#This Row],[VEHIDCODE]]</f>
        <v>str_mu_Coach_Gen3_Gallery_Car</v>
      </c>
      <c r="P746" s="7" t="b">
        <f>_xlfn.XLOOKUP(CONTROL[[#This Row],[VEHIDCODE]],PROPERTIES[VEHIDCODE],PROPERTIES[IS_CONCEPT])="IS_CONCEPT"</f>
        <v>0</v>
      </c>
      <c r="Q746" s="7" t="b">
        <f>_xlfn.XLOOKUP(CONTROL[[#This Row],[VEHIDCODE]],PROPERTIES[VEHIDCODE],PROPERTIES[EXCLUDE])</f>
        <v>0</v>
      </c>
      <c r="R746" t="str" cm="1">
        <f t="array" ref="R746">_xlfn.XLOOKUP(CONTROL[[#This Row],[VEHIDCODE]],GRAPHICS_PROPERTIES[VEHIDCODE],GRAPHICS_PROPERTIES[TEMPLATE_ID]&amp;GRAPHICS_PROPERTIES[TEMPLATE_AMENDMENT_CODE])</f>
        <v>TPL_04A</v>
      </c>
    </row>
    <row r="747" spans="1:18" x14ac:dyDescent="0.35">
      <c r="A747" s="2" t="s">
        <v>111</v>
      </c>
      <c r="B747" s="21" t="str">
        <f>_xlfn.TEXTAFTER(CONTROL[[#This Row],[VEHIDCODE]],"_")</f>
        <v>Coach_Gen3_Mk1_Intercity_Coach</v>
      </c>
      <c r="C747" t="str" cm="1">
        <f t="array" ref="C7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7" t="str" cm="1">
        <f t="array" ref="D7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7">
        <v>11028</v>
      </c>
      <c r="F747" s="32" t="s">
        <v>463</v>
      </c>
      <c r="G747" t="s">
        <v>523</v>
      </c>
      <c r="H747" s="2" t="b">
        <f>AND(CONTROL[[#This Row],[IS_WAGON_OR_COACH]]=TRUE,OR(RIGHT(CONTROL[[#This Row],[VEHIDCODE]],7)="Powered",RIGHT(CONTROL[[#This Row],[VEHIDCODE]],9)="Unpowered"))</f>
        <v>0</v>
      </c>
      <c r="I7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7" t="b">
        <f>ISNUMBER(_xlfn.XMATCH(CONTROL[[#This Row],[VEHIDCODE]],TRACK_TYPES[VEHIDCODE],0))</f>
        <v>1</v>
      </c>
      <c r="K747" t="b">
        <f>ISNUMBER(_xlfn.XMATCH(CONTROL[[#This Row],[VEHIDCODE]],PROPERTIES[VEHIDCODE],0))</f>
        <v>1</v>
      </c>
      <c r="L747" t="b">
        <f>ISNUMBER(_xlfn.XLOOKUP(CONTROL[[#This Row],[VEHIDCODE]],roster!A:A,roster!D:D))</f>
        <v>1</v>
      </c>
      <c r="M747" t="b">
        <f>ISNUMBER(_xlfn.XMATCH(CONTROL[[#This Row],[VEHIDCODE]],GRAPHICS_PROPERTIES[VEHIDCODE],0))</f>
        <v>1</v>
      </c>
      <c r="N747" s="21" t="str">
        <f>"item_"&amp;CONTROL[[#This Row],[VEHIDCODE]]</f>
        <v>item_mu_Coach_Gen3_Mk1_Intercity_Coach</v>
      </c>
      <c r="O747" s="21" t="str">
        <f>"str_"&amp;CONTROL[[#This Row],[VEHIDCODE]]</f>
        <v>str_mu_Coach_Gen3_Mk1_Intercity_Coach</v>
      </c>
      <c r="P747" s="7" t="b">
        <f>_xlfn.XLOOKUP(CONTROL[[#This Row],[VEHIDCODE]],PROPERTIES[VEHIDCODE],PROPERTIES[IS_CONCEPT])="IS_CONCEPT"</f>
        <v>0</v>
      </c>
      <c r="Q747" s="7" t="b">
        <f>_xlfn.XLOOKUP(CONTROL[[#This Row],[VEHIDCODE]],PROPERTIES[VEHIDCODE],PROPERTIES[EXCLUDE])</f>
        <v>0</v>
      </c>
      <c r="R747" t="str" cm="1">
        <f t="array" ref="R747">_xlfn.XLOOKUP(CONTROL[[#This Row],[VEHIDCODE]],GRAPHICS_PROPERTIES[VEHIDCODE],GRAPHICS_PROPERTIES[TEMPLATE_ID]&amp;GRAPHICS_PROPERTIES[TEMPLATE_AMENDMENT_CODE])</f>
        <v>TPL_04A</v>
      </c>
    </row>
    <row r="748" spans="1:18" x14ac:dyDescent="0.35">
      <c r="A748" s="2" t="s">
        <v>112</v>
      </c>
      <c r="B748" s="21" t="str">
        <f>_xlfn.TEXTAFTER(CONTROL[[#This Row],[VEHIDCODE]],"_")</f>
        <v>Coach_Gen3_Mk1_Regional_Coach</v>
      </c>
      <c r="C748" t="str" cm="1">
        <f t="array" ref="C7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8" t="str" cm="1">
        <f t="array" ref="D7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8">
        <v>11029</v>
      </c>
      <c r="F748" s="32" t="s">
        <v>464</v>
      </c>
      <c r="G748" t="s">
        <v>523</v>
      </c>
      <c r="H748" s="2" t="b">
        <f>AND(CONTROL[[#This Row],[IS_WAGON_OR_COACH]]=TRUE,OR(RIGHT(CONTROL[[#This Row],[VEHIDCODE]],7)="Powered",RIGHT(CONTROL[[#This Row],[VEHIDCODE]],9)="Unpowered"))</f>
        <v>0</v>
      </c>
      <c r="I7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8" t="b">
        <f>ISNUMBER(_xlfn.XMATCH(CONTROL[[#This Row],[VEHIDCODE]],TRACK_TYPES[VEHIDCODE],0))</f>
        <v>1</v>
      </c>
      <c r="K748" t="b">
        <f>ISNUMBER(_xlfn.XMATCH(CONTROL[[#This Row],[VEHIDCODE]],PROPERTIES[VEHIDCODE],0))</f>
        <v>1</v>
      </c>
      <c r="L748" t="b">
        <f>ISNUMBER(_xlfn.XLOOKUP(CONTROL[[#This Row],[VEHIDCODE]],roster!A:A,roster!D:D))</f>
        <v>1</v>
      </c>
      <c r="M748" t="b">
        <f>ISNUMBER(_xlfn.XMATCH(CONTROL[[#This Row],[VEHIDCODE]],GRAPHICS_PROPERTIES[VEHIDCODE],0))</f>
        <v>1</v>
      </c>
      <c r="N748" s="21" t="str">
        <f>"item_"&amp;CONTROL[[#This Row],[VEHIDCODE]]</f>
        <v>item_mu_Coach_Gen3_Mk1_Regional_Coach</v>
      </c>
      <c r="O748" s="21" t="str">
        <f>"str_"&amp;CONTROL[[#This Row],[VEHIDCODE]]</f>
        <v>str_mu_Coach_Gen3_Mk1_Regional_Coach</v>
      </c>
      <c r="P748" s="7" t="b">
        <f>_xlfn.XLOOKUP(CONTROL[[#This Row],[VEHIDCODE]],PROPERTIES[VEHIDCODE],PROPERTIES[IS_CONCEPT])="IS_CONCEPT"</f>
        <v>0</v>
      </c>
      <c r="Q748" s="7" t="b">
        <f>_xlfn.XLOOKUP(CONTROL[[#This Row],[VEHIDCODE]],PROPERTIES[VEHIDCODE],PROPERTIES[EXCLUDE])</f>
        <v>0</v>
      </c>
      <c r="R748" t="str" cm="1">
        <f t="array" ref="R748">_xlfn.XLOOKUP(CONTROL[[#This Row],[VEHIDCODE]],GRAPHICS_PROPERTIES[VEHIDCODE],GRAPHICS_PROPERTIES[TEMPLATE_ID]&amp;GRAPHICS_PROPERTIES[TEMPLATE_AMENDMENT_CODE])</f>
        <v>TPL_04A</v>
      </c>
    </row>
    <row r="749" spans="1:18" x14ac:dyDescent="0.35">
      <c r="A749" s="2" t="s">
        <v>113</v>
      </c>
      <c r="B749" s="21" t="str">
        <f>_xlfn.TEXTAFTER(CONTROL[[#This Row],[VEHIDCODE]],"_")</f>
        <v>Coach_Gen3_Mk1_Mail_Coach</v>
      </c>
      <c r="C749" t="str" cm="1">
        <f t="array" ref="C7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9" t="str" cm="1">
        <f t="array" ref="D7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9">
        <v>11030</v>
      </c>
      <c r="F749" s="32" t="s">
        <v>465</v>
      </c>
      <c r="G749" t="s">
        <v>523</v>
      </c>
      <c r="H749" s="2" t="b">
        <f>AND(CONTROL[[#This Row],[IS_WAGON_OR_COACH]]=TRUE,OR(RIGHT(CONTROL[[#This Row],[VEHIDCODE]],7)="Powered",RIGHT(CONTROL[[#This Row],[VEHIDCODE]],9)="Unpowered"))</f>
        <v>0</v>
      </c>
      <c r="I7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9" t="b">
        <f>ISNUMBER(_xlfn.XMATCH(CONTROL[[#This Row],[VEHIDCODE]],TRACK_TYPES[VEHIDCODE],0))</f>
        <v>1</v>
      </c>
      <c r="K749" t="b">
        <f>ISNUMBER(_xlfn.XMATCH(CONTROL[[#This Row],[VEHIDCODE]],PROPERTIES[VEHIDCODE],0))</f>
        <v>1</v>
      </c>
      <c r="L749" t="b">
        <f>ISNUMBER(_xlfn.XLOOKUP(CONTROL[[#This Row],[VEHIDCODE]],roster!A:A,roster!D:D))</f>
        <v>1</v>
      </c>
      <c r="M749" t="b">
        <f>ISNUMBER(_xlfn.XMATCH(CONTROL[[#This Row],[VEHIDCODE]],GRAPHICS_PROPERTIES[VEHIDCODE],0))</f>
        <v>1</v>
      </c>
      <c r="N749" s="21" t="str">
        <f>"item_"&amp;CONTROL[[#This Row],[VEHIDCODE]]</f>
        <v>item_mu_Coach_Gen3_Mk1_Mail_Coach</v>
      </c>
      <c r="O749" s="21" t="str">
        <f>"str_"&amp;CONTROL[[#This Row],[VEHIDCODE]]</f>
        <v>str_mu_Coach_Gen3_Mk1_Mail_Coach</v>
      </c>
      <c r="P749" s="7" t="b">
        <f>_xlfn.XLOOKUP(CONTROL[[#This Row],[VEHIDCODE]],PROPERTIES[VEHIDCODE],PROPERTIES[IS_CONCEPT])="IS_CONCEPT"</f>
        <v>0</v>
      </c>
      <c r="Q749" s="7" t="b">
        <f>_xlfn.XLOOKUP(CONTROL[[#This Row],[VEHIDCODE]],PROPERTIES[VEHIDCODE],PROPERTIES[EXCLUDE])</f>
        <v>0</v>
      </c>
      <c r="R749" t="str" cm="1">
        <f t="array" ref="R749">_xlfn.XLOOKUP(CONTROL[[#This Row],[VEHIDCODE]],GRAPHICS_PROPERTIES[VEHIDCODE],GRAPHICS_PROPERTIES[TEMPLATE_ID]&amp;GRAPHICS_PROPERTIES[TEMPLATE_AMENDMENT_CODE])</f>
        <v>TPL_04A</v>
      </c>
    </row>
    <row r="750" spans="1:18" x14ac:dyDescent="0.35">
      <c r="A750" s="2" t="s">
        <v>114</v>
      </c>
      <c r="B750" s="21" t="str">
        <f>_xlfn.TEXTAFTER(CONTROL[[#This Row],[VEHIDCODE]],"_")</f>
        <v>Coach_Gen3_UIC_X_Intercity_Coach</v>
      </c>
      <c r="C750" t="str" cm="1">
        <f t="array" ref="C7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0" t="str" cm="1">
        <f t="array" ref="D7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0">
        <v>11031</v>
      </c>
      <c r="F750" s="32" t="s">
        <v>466</v>
      </c>
      <c r="G750" t="s">
        <v>523</v>
      </c>
      <c r="H750" s="2" t="b">
        <f>AND(CONTROL[[#This Row],[IS_WAGON_OR_COACH]]=TRUE,OR(RIGHT(CONTROL[[#This Row],[VEHIDCODE]],7)="Powered",RIGHT(CONTROL[[#This Row],[VEHIDCODE]],9)="Unpowered"))</f>
        <v>0</v>
      </c>
      <c r="I7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0" t="b">
        <f>ISNUMBER(_xlfn.XMATCH(CONTROL[[#This Row],[VEHIDCODE]],TRACK_TYPES[VEHIDCODE],0))</f>
        <v>1</v>
      </c>
      <c r="K750" t="b">
        <f>ISNUMBER(_xlfn.XMATCH(CONTROL[[#This Row],[VEHIDCODE]],PROPERTIES[VEHIDCODE],0))</f>
        <v>1</v>
      </c>
      <c r="L750" t="b">
        <f>ISNUMBER(_xlfn.XLOOKUP(CONTROL[[#This Row],[VEHIDCODE]],roster!A:A,roster!D:D))</f>
        <v>1</v>
      </c>
      <c r="M750" t="b">
        <f>ISNUMBER(_xlfn.XMATCH(CONTROL[[#This Row],[VEHIDCODE]],GRAPHICS_PROPERTIES[VEHIDCODE],0))</f>
        <v>1</v>
      </c>
      <c r="N750" s="21" t="str">
        <f>"item_"&amp;CONTROL[[#This Row],[VEHIDCODE]]</f>
        <v>item_mu_Coach_Gen3_UIC_X_Intercity_Coach</v>
      </c>
      <c r="O750" s="21" t="str">
        <f>"str_"&amp;CONTROL[[#This Row],[VEHIDCODE]]</f>
        <v>str_mu_Coach_Gen3_UIC_X_Intercity_Coach</v>
      </c>
      <c r="P750" s="7" t="b">
        <f>_xlfn.XLOOKUP(CONTROL[[#This Row],[VEHIDCODE]],PROPERTIES[VEHIDCODE],PROPERTIES[IS_CONCEPT])="IS_CONCEPT"</f>
        <v>0</v>
      </c>
      <c r="Q750" s="7" t="b">
        <f>_xlfn.XLOOKUP(CONTROL[[#This Row],[VEHIDCODE]],PROPERTIES[VEHIDCODE],PROPERTIES[EXCLUDE])</f>
        <v>0</v>
      </c>
      <c r="R750" t="str" cm="1">
        <f t="array" ref="R750">_xlfn.XLOOKUP(CONTROL[[#This Row],[VEHIDCODE]],GRAPHICS_PROPERTIES[VEHIDCODE],GRAPHICS_PROPERTIES[TEMPLATE_ID]&amp;GRAPHICS_PROPERTIES[TEMPLATE_AMENDMENT_CODE])</f>
        <v>TPL_04A</v>
      </c>
    </row>
    <row r="751" spans="1:18" x14ac:dyDescent="0.35">
      <c r="A751" s="2" t="s">
        <v>115</v>
      </c>
      <c r="B751" s="21" t="str">
        <f>_xlfn.TEXTAFTER(CONTROL[[#This Row],[VEHIDCODE]],"_")</f>
        <v>Coach_Gen3_TEE_Intercity_Coach</v>
      </c>
      <c r="C751" t="str" cm="1">
        <f t="array" ref="C7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1" t="str" cm="1">
        <f t="array" ref="D7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1">
        <v>11032</v>
      </c>
      <c r="F751" s="32" t="s">
        <v>467</v>
      </c>
      <c r="G751" t="s">
        <v>523</v>
      </c>
      <c r="H751" s="2" t="b">
        <f>AND(CONTROL[[#This Row],[IS_WAGON_OR_COACH]]=TRUE,OR(RIGHT(CONTROL[[#This Row],[VEHIDCODE]],7)="Powered",RIGHT(CONTROL[[#This Row],[VEHIDCODE]],9)="Unpowered"))</f>
        <v>0</v>
      </c>
      <c r="I7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1" t="b">
        <f>ISNUMBER(_xlfn.XMATCH(CONTROL[[#This Row],[VEHIDCODE]],TRACK_TYPES[VEHIDCODE],0))</f>
        <v>1</v>
      </c>
      <c r="K751" t="b">
        <f>ISNUMBER(_xlfn.XMATCH(CONTROL[[#This Row],[VEHIDCODE]],PROPERTIES[VEHIDCODE],0))</f>
        <v>1</v>
      </c>
      <c r="L751" t="b">
        <f>ISNUMBER(_xlfn.XLOOKUP(CONTROL[[#This Row],[VEHIDCODE]],roster!A:A,roster!D:D))</f>
        <v>1</v>
      </c>
      <c r="M751" t="b">
        <f>ISNUMBER(_xlfn.XMATCH(CONTROL[[#This Row],[VEHIDCODE]],GRAPHICS_PROPERTIES[VEHIDCODE],0))</f>
        <v>1</v>
      </c>
      <c r="N751" s="21" t="str">
        <f>"item_"&amp;CONTROL[[#This Row],[VEHIDCODE]]</f>
        <v>item_mu_Coach_Gen3_TEE_Intercity_Coach</v>
      </c>
      <c r="O751" s="21" t="str">
        <f>"str_"&amp;CONTROL[[#This Row],[VEHIDCODE]]</f>
        <v>str_mu_Coach_Gen3_TEE_Intercity_Coach</v>
      </c>
      <c r="P751" s="7" t="b">
        <f>_xlfn.XLOOKUP(CONTROL[[#This Row],[VEHIDCODE]],PROPERTIES[VEHIDCODE],PROPERTIES[IS_CONCEPT])="IS_CONCEPT"</f>
        <v>0</v>
      </c>
      <c r="Q751" s="7" t="b">
        <f>_xlfn.XLOOKUP(CONTROL[[#This Row],[VEHIDCODE]],PROPERTIES[VEHIDCODE],PROPERTIES[EXCLUDE])</f>
        <v>0</v>
      </c>
      <c r="R751" t="str" cm="1">
        <f t="array" ref="R751">_xlfn.XLOOKUP(CONTROL[[#This Row],[VEHIDCODE]],GRAPHICS_PROPERTIES[VEHIDCODE],GRAPHICS_PROPERTIES[TEMPLATE_ID]&amp;GRAPHICS_PROPERTIES[TEMPLATE_AMENDMENT_CODE])</f>
        <v>TPL_04A</v>
      </c>
    </row>
    <row r="752" spans="1:18" x14ac:dyDescent="0.35">
      <c r="A752" s="2" t="s">
        <v>116</v>
      </c>
      <c r="B752" s="21" t="str">
        <f>_xlfn.TEXTAFTER(CONTROL[[#This Row],[VEHIDCODE]],"_")</f>
        <v>Coach_Gen3_UIC_X_Regional_Coach</v>
      </c>
      <c r="C752" t="str" cm="1">
        <f t="array" ref="C7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2" t="str" cm="1">
        <f t="array" ref="D7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2">
        <v>11033</v>
      </c>
      <c r="F752" s="32" t="s">
        <v>468</v>
      </c>
      <c r="G752" t="s">
        <v>523</v>
      </c>
      <c r="H752" s="2" t="b">
        <f>AND(CONTROL[[#This Row],[IS_WAGON_OR_COACH]]=TRUE,OR(RIGHT(CONTROL[[#This Row],[VEHIDCODE]],7)="Powered",RIGHT(CONTROL[[#This Row],[VEHIDCODE]],9)="Unpowered"))</f>
        <v>0</v>
      </c>
      <c r="I7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2" t="b">
        <f>ISNUMBER(_xlfn.XMATCH(CONTROL[[#This Row],[VEHIDCODE]],TRACK_TYPES[VEHIDCODE],0))</f>
        <v>1</v>
      </c>
      <c r="K752" t="b">
        <f>ISNUMBER(_xlfn.XMATCH(CONTROL[[#This Row],[VEHIDCODE]],PROPERTIES[VEHIDCODE],0))</f>
        <v>1</v>
      </c>
      <c r="L752" t="b">
        <f>ISNUMBER(_xlfn.XLOOKUP(CONTROL[[#This Row],[VEHIDCODE]],roster!A:A,roster!D:D))</f>
        <v>1</v>
      </c>
      <c r="M752" t="b">
        <f>ISNUMBER(_xlfn.XMATCH(CONTROL[[#This Row],[VEHIDCODE]],GRAPHICS_PROPERTIES[VEHIDCODE],0))</f>
        <v>1</v>
      </c>
      <c r="N752" s="21" t="str">
        <f>"item_"&amp;CONTROL[[#This Row],[VEHIDCODE]]</f>
        <v>item_mu_Coach_Gen3_UIC_X_Regional_Coach</v>
      </c>
      <c r="O752" s="21" t="str">
        <f>"str_"&amp;CONTROL[[#This Row],[VEHIDCODE]]</f>
        <v>str_mu_Coach_Gen3_UIC_X_Regional_Coach</v>
      </c>
      <c r="P752" s="7" t="b">
        <f>_xlfn.XLOOKUP(CONTROL[[#This Row],[VEHIDCODE]],PROPERTIES[VEHIDCODE],PROPERTIES[IS_CONCEPT])="IS_CONCEPT"</f>
        <v>0</v>
      </c>
      <c r="Q752" s="7" t="b">
        <f>_xlfn.XLOOKUP(CONTROL[[#This Row],[VEHIDCODE]],PROPERTIES[VEHIDCODE],PROPERTIES[EXCLUDE])</f>
        <v>0</v>
      </c>
      <c r="R752" t="str" cm="1">
        <f t="array" ref="R752">_xlfn.XLOOKUP(CONTROL[[#This Row],[VEHIDCODE]],GRAPHICS_PROPERTIES[VEHIDCODE],GRAPHICS_PROPERTIES[TEMPLATE_ID]&amp;GRAPHICS_PROPERTIES[TEMPLATE_AMENDMENT_CODE])</f>
        <v>TPL_04A</v>
      </c>
    </row>
    <row r="753" spans="1:18" x14ac:dyDescent="0.35">
      <c r="A753" s="2" t="s">
        <v>117</v>
      </c>
      <c r="B753" s="21" t="str">
        <f>_xlfn.TEXTAFTER(CONTROL[[#This Row],[VEHIDCODE]],"_")</f>
        <v>Coach_Gen3_Umbauwagen_Local_Coach</v>
      </c>
      <c r="C753" t="str" cm="1">
        <f t="array" ref="C7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3" t="str" cm="1">
        <f t="array" ref="D7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3">
        <v>11034</v>
      </c>
      <c r="F753" s="32" t="s">
        <v>469</v>
      </c>
      <c r="G753" t="s">
        <v>523</v>
      </c>
      <c r="H753" s="2" t="b">
        <f>AND(CONTROL[[#This Row],[IS_WAGON_OR_COACH]]=TRUE,OR(RIGHT(CONTROL[[#This Row],[VEHIDCODE]],7)="Powered",RIGHT(CONTROL[[#This Row],[VEHIDCODE]],9)="Unpowered"))</f>
        <v>0</v>
      </c>
      <c r="I7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3" t="b">
        <f>ISNUMBER(_xlfn.XMATCH(CONTROL[[#This Row],[VEHIDCODE]],TRACK_TYPES[VEHIDCODE],0))</f>
        <v>1</v>
      </c>
      <c r="K753" t="b">
        <f>ISNUMBER(_xlfn.XMATCH(CONTROL[[#This Row],[VEHIDCODE]],PROPERTIES[VEHIDCODE],0))</f>
        <v>1</v>
      </c>
      <c r="L753" t="b">
        <f>ISNUMBER(_xlfn.XLOOKUP(CONTROL[[#This Row],[VEHIDCODE]],roster!A:A,roster!D:D))</f>
        <v>1</v>
      </c>
      <c r="M753" t="b">
        <f>ISNUMBER(_xlfn.XMATCH(CONTROL[[#This Row],[VEHIDCODE]],GRAPHICS_PROPERTIES[VEHIDCODE],0))</f>
        <v>1</v>
      </c>
      <c r="N753" s="21" t="str">
        <f>"item_"&amp;CONTROL[[#This Row],[VEHIDCODE]]</f>
        <v>item_mu_Coach_Gen3_Umbauwagen_Local_Coach</v>
      </c>
      <c r="O753" s="21" t="str">
        <f>"str_"&amp;CONTROL[[#This Row],[VEHIDCODE]]</f>
        <v>str_mu_Coach_Gen3_Umbauwagen_Local_Coach</v>
      </c>
      <c r="P753" s="7" t="b">
        <f>_xlfn.XLOOKUP(CONTROL[[#This Row],[VEHIDCODE]],PROPERTIES[VEHIDCODE],PROPERTIES[IS_CONCEPT])="IS_CONCEPT"</f>
        <v>0</v>
      </c>
      <c r="Q753" s="7" t="b">
        <f>_xlfn.XLOOKUP(CONTROL[[#This Row],[VEHIDCODE]],PROPERTIES[VEHIDCODE],PROPERTIES[EXCLUDE])</f>
        <v>0</v>
      </c>
      <c r="R753" t="str" cm="1">
        <f t="array" ref="R753">_xlfn.XLOOKUP(CONTROL[[#This Row],[VEHIDCODE]],GRAPHICS_PROPERTIES[VEHIDCODE],GRAPHICS_PROPERTIES[TEMPLATE_ID]&amp;GRAPHICS_PROPERTIES[TEMPLATE_AMENDMENT_CODE])</f>
        <v>TPL_04A</v>
      </c>
    </row>
    <row r="754" spans="1:18" x14ac:dyDescent="0.35">
      <c r="A754" s="2" t="s">
        <v>3601</v>
      </c>
      <c r="B754" s="21" t="str">
        <f>_xlfn.TEXTAFTER(CONTROL[[#This Row],[VEHIDCODE]],"_")</f>
        <v>Coach_Gen4_Doppelstockwagen_Local_Coach</v>
      </c>
      <c r="C754" t="str" cm="1">
        <f t="array" ref="C7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54" t="str" cm="1">
        <f t="array" ref="D7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4">
        <v>11035</v>
      </c>
      <c r="F754" s="32" t="s">
        <v>3602</v>
      </c>
      <c r="G754" t="s">
        <v>523</v>
      </c>
      <c r="H754" s="2" t="b">
        <f>AND(CONTROL[[#This Row],[IS_WAGON_OR_COACH]]=TRUE,OR(RIGHT(CONTROL[[#This Row],[VEHIDCODE]],7)="Powered",RIGHT(CONTROL[[#This Row],[VEHIDCODE]],9)="Unpowered"))</f>
        <v>0</v>
      </c>
      <c r="I7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4" t="b">
        <f>ISNUMBER(_xlfn.XMATCH(CONTROL[[#This Row],[VEHIDCODE]],TRACK_TYPES[VEHIDCODE],0))</f>
        <v>1</v>
      </c>
      <c r="K754" t="b">
        <f>ISNUMBER(_xlfn.XMATCH(CONTROL[[#This Row],[VEHIDCODE]],PROPERTIES[VEHIDCODE],0))</f>
        <v>1</v>
      </c>
      <c r="L754" t="b">
        <f>ISNUMBER(_xlfn.XLOOKUP(CONTROL[[#This Row],[VEHIDCODE]],roster!A:A,roster!D:D))</f>
        <v>1</v>
      </c>
      <c r="M754" t="b">
        <f>ISNUMBER(_xlfn.XMATCH(CONTROL[[#This Row],[VEHIDCODE]],GRAPHICS_PROPERTIES[VEHIDCODE],0))</f>
        <v>1</v>
      </c>
      <c r="N754" s="21" t="str">
        <f>"item_"&amp;CONTROL[[#This Row],[VEHIDCODE]]</f>
        <v>item_mu_Coach_Gen4_Doppelstockwagen_Local_Coach</v>
      </c>
      <c r="O754" s="21" t="str">
        <f>"str_"&amp;CONTROL[[#This Row],[VEHIDCODE]]</f>
        <v>str_mu_Coach_Gen4_Doppelstockwagen_Local_Coach</v>
      </c>
      <c r="P754" s="7" t="b">
        <f>_xlfn.XLOOKUP(CONTROL[[#This Row],[VEHIDCODE]],PROPERTIES[VEHIDCODE],PROPERTIES[IS_CONCEPT])="IS_CONCEPT"</f>
        <v>0</v>
      </c>
      <c r="Q754" s="7" t="b">
        <f>_xlfn.XLOOKUP(CONTROL[[#This Row],[VEHIDCODE]],PROPERTIES[VEHIDCODE],PROPERTIES[EXCLUDE])</f>
        <v>0</v>
      </c>
      <c r="R754" t="str" cm="1">
        <f t="array" ref="R754">_xlfn.XLOOKUP(CONTROL[[#This Row],[VEHIDCODE]],GRAPHICS_PROPERTIES[VEHIDCODE],GRAPHICS_PROPERTIES[TEMPLATE_ID]&amp;GRAPHICS_PROPERTIES[TEMPLATE_AMENDMENT_CODE])</f>
        <v>TPL_04A</v>
      </c>
    </row>
    <row r="755" spans="1:18" x14ac:dyDescent="0.35">
      <c r="A755" s="2" t="s">
        <v>118</v>
      </c>
      <c r="B755" s="21" t="str">
        <f>_xlfn.TEXTAFTER(CONTROL[[#This Row],[VEHIDCODE]],"_")</f>
        <v>Coach_Gen3_UIC_X_Mail_Coach</v>
      </c>
      <c r="C755" t="str" cm="1">
        <f t="array" ref="C7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5" t="str" cm="1">
        <f t="array" ref="D7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5">
        <v>11036</v>
      </c>
      <c r="F755" s="32" t="s">
        <v>470</v>
      </c>
      <c r="G755" t="s">
        <v>523</v>
      </c>
      <c r="H755" s="2" t="b">
        <f>AND(CONTROL[[#This Row],[IS_WAGON_OR_COACH]]=TRUE,OR(RIGHT(CONTROL[[#This Row],[VEHIDCODE]],7)="Powered",RIGHT(CONTROL[[#This Row],[VEHIDCODE]],9)="Unpowered"))</f>
        <v>0</v>
      </c>
      <c r="I7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5" t="b">
        <f>ISNUMBER(_xlfn.XMATCH(CONTROL[[#This Row],[VEHIDCODE]],TRACK_TYPES[VEHIDCODE],0))</f>
        <v>1</v>
      </c>
      <c r="K755" t="b">
        <f>ISNUMBER(_xlfn.XMATCH(CONTROL[[#This Row],[VEHIDCODE]],PROPERTIES[VEHIDCODE],0))</f>
        <v>1</v>
      </c>
      <c r="L755" t="b">
        <f>ISNUMBER(_xlfn.XLOOKUP(CONTROL[[#This Row],[VEHIDCODE]],roster!A:A,roster!D:D))</f>
        <v>1</v>
      </c>
      <c r="M755" t="b">
        <f>ISNUMBER(_xlfn.XMATCH(CONTROL[[#This Row],[VEHIDCODE]],GRAPHICS_PROPERTIES[VEHIDCODE],0))</f>
        <v>1</v>
      </c>
      <c r="N755" s="21" t="str">
        <f>"item_"&amp;CONTROL[[#This Row],[VEHIDCODE]]</f>
        <v>item_mu_Coach_Gen3_UIC_X_Mail_Coach</v>
      </c>
      <c r="O755" s="21" t="str">
        <f>"str_"&amp;CONTROL[[#This Row],[VEHIDCODE]]</f>
        <v>str_mu_Coach_Gen3_UIC_X_Mail_Coach</v>
      </c>
      <c r="P755" s="7" t="b">
        <f>_xlfn.XLOOKUP(CONTROL[[#This Row],[VEHIDCODE]],PROPERTIES[VEHIDCODE],PROPERTIES[IS_CONCEPT])="IS_CONCEPT"</f>
        <v>0</v>
      </c>
      <c r="Q755" s="7" t="b">
        <f>_xlfn.XLOOKUP(CONTROL[[#This Row],[VEHIDCODE]],PROPERTIES[VEHIDCODE],PROPERTIES[EXCLUDE])</f>
        <v>0</v>
      </c>
      <c r="R755" t="str" cm="1">
        <f t="array" ref="R755">_xlfn.XLOOKUP(CONTROL[[#This Row],[VEHIDCODE]],GRAPHICS_PROPERTIES[VEHIDCODE],GRAPHICS_PROPERTIES[TEMPLATE_ID]&amp;GRAPHICS_PROPERTIES[TEMPLATE_AMENDMENT_CODE])</f>
        <v>TPL_04A</v>
      </c>
    </row>
    <row r="756" spans="1:18" x14ac:dyDescent="0.35">
      <c r="A756" s="2" t="s">
        <v>119</v>
      </c>
      <c r="B756" s="21" t="str">
        <f>_xlfn.TEXTAFTER(CONTROL[[#This Row],[VEHIDCODE]],"_")</f>
        <v>Coach_Gen3_Indian_Intercity_Coach</v>
      </c>
      <c r="C756" t="str" cm="1">
        <f t="array" ref="C7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6" t="str" cm="1">
        <f t="array" ref="D7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6">
        <v>11037</v>
      </c>
      <c r="F756" s="32" t="s">
        <v>471</v>
      </c>
      <c r="G756" t="s">
        <v>523</v>
      </c>
      <c r="H756" s="2" t="b">
        <f>AND(CONTROL[[#This Row],[IS_WAGON_OR_COACH]]=TRUE,OR(RIGHT(CONTROL[[#This Row],[VEHIDCODE]],7)="Powered",RIGHT(CONTROL[[#This Row],[VEHIDCODE]],9)="Unpowered"))</f>
        <v>0</v>
      </c>
      <c r="I7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6" t="b">
        <f>ISNUMBER(_xlfn.XMATCH(CONTROL[[#This Row],[VEHIDCODE]],TRACK_TYPES[VEHIDCODE],0))</f>
        <v>1</v>
      </c>
      <c r="K756" t="b">
        <f>ISNUMBER(_xlfn.XMATCH(CONTROL[[#This Row],[VEHIDCODE]],PROPERTIES[VEHIDCODE],0))</f>
        <v>1</v>
      </c>
      <c r="L756" t="b">
        <f>ISNUMBER(_xlfn.XLOOKUP(CONTROL[[#This Row],[VEHIDCODE]],roster!A:A,roster!D:D))</f>
        <v>1</v>
      </c>
      <c r="M756" t="b">
        <f>ISNUMBER(_xlfn.XMATCH(CONTROL[[#This Row],[VEHIDCODE]],GRAPHICS_PROPERTIES[VEHIDCODE],0))</f>
        <v>1</v>
      </c>
      <c r="N756" s="21" t="str">
        <f>"item_"&amp;CONTROL[[#This Row],[VEHIDCODE]]</f>
        <v>item_mu_Coach_Gen3_Indian_Intercity_Coach</v>
      </c>
      <c r="O756" s="21" t="str">
        <f>"str_"&amp;CONTROL[[#This Row],[VEHIDCODE]]</f>
        <v>str_mu_Coach_Gen3_Indian_Intercity_Coach</v>
      </c>
      <c r="P756" s="7" t="b">
        <f>_xlfn.XLOOKUP(CONTROL[[#This Row],[VEHIDCODE]],PROPERTIES[VEHIDCODE],PROPERTIES[IS_CONCEPT])="IS_CONCEPT"</f>
        <v>0</v>
      </c>
      <c r="Q756" s="7" t="b">
        <f>_xlfn.XLOOKUP(CONTROL[[#This Row],[VEHIDCODE]],PROPERTIES[VEHIDCODE],PROPERTIES[EXCLUDE])</f>
        <v>0</v>
      </c>
      <c r="R756" t="str" cm="1">
        <f t="array" ref="R756">_xlfn.XLOOKUP(CONTROL[[#This Row],[VEHIDCODE]],GRAPHICS_PROPERTIES[VEHIDCODE],GRAPHICS_PROPERTIES[TEMPLATE_ID]&amp;GRAPHICS_PROPERTIES[TEMPLATE_AMENDMENT_CODE])</f>
        <v>TPL_04A</v>
      </c>
    </row>
    <row r="757" spans="1:18" x14ac:dyDescent="0.35">
      <c r="A757" s="2" t="s">
        <v>120</v>
      </c>
      <c r="B757" s="21" t="str">
        <f>_xlfn.TEXTAFTER(CONTROL[[#This Row],[VEHIDCODE]],"_")</f>
        <v>Coach_Gen3_Indian_Local_Coach</v>
      </c>
      <c r="C757" t="str" cm="1">
        <f t="array" ref="C7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7" t="str" cm="1">
        <f t="array" ref="D7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7">
        <v>11038</v>
      </c>
      <c r="F757" s="32" t="s">
        <v>472</v>
      </c>
      <c r="G757" t="s">
        <v>523</v>
      </c>
      <c r="H757" s="2" t="b">
        <f>AND(CONTROL[[#This Row],[IS_WAGON_OR_COACH]]=TRUE,OR(RIGHT(CONTROL[[#This Row],[VEHIDCODE]],7)="Powered",RIGHT(CONTROL[[#This Row],[VEHIDCODE]],9)="Unpowered"))</f>
        <v>0</v>
      </c>
      <c r="I7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7" t="b">
        <f>ISNUMBER(_xlfn.XMATCH(CONTROL[[#This Row],[VEHIDCODE]],TRACK_TYPES[VEHIDCODE],0))</f>
        <v>1</v>
      </c>
      <c r="K757" t="b">
        <f>ISNUMBER(_xlfn.XMATCH(CONTROL[[#This Row],[VEHIDCODE]],PROPERTIES[VEHIDCODE],0))</f>
        <v>1</v>
      </c>
      <c r="L757" t="b">
        <f>ISNUMBER(_xlfn.XLOOKUP(CONTROL[[#This Row],[VEHIDCODE]],roster!A:A,roster!D:D))</f>
        <v>1</v>
      </c>
      <c r="M757" t="b">
        <f>ISNUMBER(_xlfn.XMATCH(CONTROL[[#This Row],[VEHIDCODE]],GRAPHICS_PROPERTIES[VEHIDCODE],0))</f>
        <v>1</v>
      </c>
      <c r="N757" s="21" t="str">
        <f>"item_"&amp;CONTROL[[#This Row],[VEHIDCODE]]</f>
        <v>item_mu_Coach_Gen3_Indian_Local_Coach</v>
      </c>
      <c r="O757" s="21" t="str">
        <f>"str_"&amp;CONTROL[[#This Row],[VEHIDCODE]]</f>
        <v>str_mu_Coach_Gen3_Indian_Local_Coach</v>
      </c>
      <c r="P757" s="7" t="b">
        <f>_xlfn.XLOOKUP(CONTROL[[#This Row],[VEHIDCODE]],PROPERTIES[VEHIDCODE],PROPERTIES[IS_CONCEPT])="IS_CONCEPT"</f>
        <v>0</v>
      </c>
      <c r="Q757" s="7" t="b">
        <f>_xlfn.XLOOKUP(CONTROL[[#This Row],[VEHIDCODE]],PROPERTIES[VEHIDCODE],PROPERTIES[EXCLUDE])</f>
        <v>0</v>
      </c>
      <c r="R757" t="str" cm="1">
        <f t="array" ref="R757">_xlfn.XLOOKUP(CONTROL[[#This Row],[VEHIDCODE]],GRAPHICS_PROPERTIES[VEHIDCODE],GRAPHICS_PROPERTIES[TEMPLATE_ID]&amp;GRAPHICS_PROPERTIES[TEMPLATE_AMENDMENT_CODE])</f>
        <v>TPL_04B</v>
      </c>
    </row>
    <row r="758" spans="1:18" x14ac:dyDescent="0.35">
      <c r="A758" s="2" t="s">
        <v>121</v>
      </c>
      <c r="B758" s="21" t="str">
        <f>_xlfn.TEXTAFTER(CONTROL[[#This Row],[VEHIDCODE]],"_")</f>
        <v>Coach_Gen3_Indian_Regional_Coach</v>
      </c>
      <c r="C758" t="str" cm="1">
        <f t="array" ref="C7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8" t="str" cm="1">
        <f t="array" ref="D7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8">
        <v>11039</v>
      </c>
      <c r="F758" s="32" t="s">
        <v>473</v>
      </c>
      <c r="G758" t="s">
        <v>523</v>
      </c>
      <c r="H758" s="2" t="b">
        <f>AND(CONTROL[[#This Row],[IS_WAGON_OR_COACH]]=TRUE,OR(RIGHT(CONTROL[[#This Row],[VEHIDCODE]],7)="Powered",RIGHT(CONTROL[[#This Row],[VEHIDCODE]],9)="Unpowered"))</f>
        <v>0</v>
      </c>
      <c r="I7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8" t="b">
        <f>ISNUMBER(_xlfn.XMATCH(CONTROL[[#This Row],[VEHIDCODE]],TRACK_TYPES[VEHIDCODE],0))</f>
        <v>1</v>
      </c>
      <c r="K758" t="b">
        <f>ISNUMBER(_xlfn.XMATCH(CONTROL[[#This Row],[VEHIDCODE]],PROPERTIES[VEHIDCODE],0))</f>
        <v>1</v>
      </c>
      <c r="L758" t="b">
        <f>ISNUMBER(_xlfn.XLOOKUP(CONTROL[[#This Row],[VEHIDCODE]],roster!A:A,roster!D:D))</f>
        <v>1</v>
      </c>
      <c r="M758" t="b">
        <f>ISNUMBER(_xlfn.XMATCH(CONTROL[[#This Row],[VEHIDCODE]],GRAPHICS_PROPERTIES[VEHIDCODE],0))</f>
        <v>1</v>
      </c>
      <c r="N758" s="21" t="str">
        <f>"item_"&amp;CONTROL[[#This Row],[VEHIDCODE]]</f>
        <v>item_mu_Coach_Gen3_Indian_Regional_Coach</v>
      </c>
      <c r="O758" s="21" t="str">
        <f>"str_"&amp;CONTROL[[#This Row],[VEHIDCODE]]</f>
        <v>str_mu_Coach_Gen3_Indian_Regional_Coach</v>
      </c>
      <c r="P758" s="7" t="b">
        <f>_xlfn.XLOOKUP(CONTROL[[#This Row],[VEHIDCODE]],PROPERTIES[VEHIDCODE],PROPERTIES[IS_CONCEPT])="IS_CONCEPT"</f>
        <v>0</v>
      </c>
      <c r="Q758" s="7" t="b">
        <f>_xlfn.XLOOKUP(CONTROL[[#This Row],[VEHIDCODE]],PROPERTIES[VEHIDCODE],PROPERTIES[EXCLUDE])</f>
        <v>0</v>
      </c>
      <c r="R758" t="str" cm="1">
        <f t="array" ref="R758">_xlfn.XLOOKUP(CONTROL[[#This Row],[VEHIDCODE]],GRAPHICS_PROPERTIES[VEHIDCODE],GRAPHICS_PROPERTIES[TEMPLATE_ID]&amp;GRAPHICS_PROPERTIES[TEMPLATE_AMENDMENT_CODE])</f>
        <v>TPL_04B</v>
      </c>
    </row>
    <row r="759" spans="1:18" x14ac:dyDescent="0.35">
      <c r="A759" s="2" t="s">
        <v>122</v>
      </c>
      <c r="B759" s="21" t="str">
        <f>_xlfn.TEXTAFTER(CONTROL[[#This Row],[VEHIDCODE]],"_")</f>
        <v>Coach_Gen3_Indian_Mail_Coach</v>
      </c>
      <c r="C759" t="str" cm="1">
        <f t="array" ref="C7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9" t="str" cm="1">
        <f t="array" ref="D7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9">
        <v>11040</v>
      </c>
      <c r="F759" s="32" t="s">
        <v>474</v>
      </c>
      <c r="G759" t="s">
        <v>523</v>
      </c>
      <c r="H759" s="2" t="b">
        <f>AND(CONTROL[[#This Row],[IS_WAGON_OR_COACH]]=TRUE,OR(RIGHT(CONTROL[[#This Row],[VEHIDCODE]],7)="Powered",RIGHT(CONTROL[[#This Row],[VEHIDCODE]],9)="Unpowered"))</f>
        <v>0</v>
      </c>
      <c r="I7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9" t="b">
        <f>ISNUMBER(_xlfn.XMATCH(CONTROL[[#This Row],[VEHIDCODE]],TRACK_TYPES[VEHIDCODE],0))</f>
        <v>1</v>
      </c>
      <c r="K759" t="b">
        <f>ISNUMBER(_xlfn.XMATCH(CONTROL[[#This Row],[VEHIDCODE]],PROPERTIES[VEHIDCODE],0))</f>
        <v>1</v>
      </c>
      <c r="L759" t="b">
        <f>ISNUMBER(_xlfn.XLOOKUP(CONTROL[[#This Row],[VEHIDCODE]],roster!A:A,roster!D:D))</f>
        <v>1</v>
      </c>
      <c r="M759" t="b">
        <f>ISNUMBER(_xlfn.XMATCH(CONTROL[[#This Row],[VEHIDCODE]],GRAPHICS_PROPERTIES[VEHIDCODE],0))</f>
        <v>1</v>
      </c>
      <c r="N759" s="21" t="str">
        <f>"item_"&amp;CONTROL[[#This Row],[VEHIDCODE]]</f>
        <v>item_mu_Coach_Gen3_Indian_Mail_Coach</v>
      </c>
      <c r="O759" s="21" t="str">
        <f>"str_"&amp;CONTROL[[#This Row],[VEHIDCODE]]</f>
        <v>str_mu_Coach_Gen3_Indian_Mail_Coach</v>
      </c>
      <c r="P759" s="7" t="b">
        <f>_xlfn.XLOOKUP(CONTROL[[#This Row],[VEHIDCODE]],PROPERTIES[VEHIDCODE],PROPERTIES[IS_CONCEPT])="IS_CONCEPT"</f>
        <v>0</v>
      </c>
      <c r="Q759" s="7" t="b">
        <f>_xlfn.XLOOKUP(CONTROL[[#This Row],[VEHIDCODE]],PROPERTIES[VEHIDCODE],PROPERTIES[EXCLUDE])</f>
        <v>0</v>
      </c>
      <c r="R759" t="str" cm="1">
        <f t="array" ref="R759">_xlfn.XLOOKUP(CONTROL[[#This Row],[VEHIDCODE]],GRAPHICS_PROPERTIES[VEHIDCODE],GRAPHICS_PROPERTIES[TEMPLATE_ID]&amp;GRAPHICS_PROPERTIES[TEMPLATE_AMENDMENT_CODE])</f>
        <v>TPL_04A</v>
      </c>
    </row>
    <row r="760" spans="1:18" x14ac:dyDescent="0.35">
      <c r="A760" s="2" t="s">
        <v>123</v>
      </c>
      <c r="B760" s="21" t="str">
        <f>_xlfn.TEXTAFTER(CONTROL[[#This Row],[VEHIDCODE]],"_")</f>
        <v>Coach_Gen4_Eurofima_Intercity_Coach</v>
      </c>
      <c r="C760" t="str" cm="1">
        <f t="array" ref="C7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0" t="str" cm="1">
        <f t="array" ref="D7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0">
        <v>11041</v>
      </c>
      <c r="F760" s="32" t="s">
        <v>475</v>
      </c>
      <c r="G760" t="s">
        <v>523</v>
      </c>
      <c r="H760" s="2" t="b">
        <f>AND(CONTROL[[#This Row],[IS_WAGON_OR_COACH]]=TRUE,OR(RIGHT(CONTROL[[#This Row],[VEHIDCODE]],7)="Powered",RIGHT(CONTROL[[#This Row],[VEHIDCODE]],9)="Unpowered"))</f>
        <v>0</v>
      </c>
      <c r="I7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0" t="b">
        <f>ISNUMBER(_xlfn.XMATCH(CONTROL[[#This Row],[VEHIDCODE]],TRACK_TYPES[VEHIDCODE],0))</f>
        <v>1</v>
      </c>
      <c r="K760" t="b">
        <f>ISNUMBER(_xlfn.XMATCH(CONTROL[[#This Row],[VEHIDCODE]],PROPERTIES[VEHIDCODE],0))</f>
        <v>1</v>
      </c>
      <c r="L760" t="b">
        <f>ISNUMBER(_xlfn.XLOOKUP(CONTROL[[#This Row],[VEHIDCODE]],roster!A:A,roster!D:D))</f>
        <v>1</v>
      </c>
      <c r="M760" t="b">
        <f>ISNUMBER(_xlfn.XMATCH(CONTROL[[#This Row],[VEHIDCODE]],GRAPHICS_PROPERTIES[VEHIDCODE],0))</f>
        <v>1</v>
      </c>
      <c r="N760" s="21" t="str">
        <f>"item_"&amp;CONTROL[[#This Row],[VEHIDCODE]]</f>
        <v>item_mu_Coach_Gen4_Eurofima_Intercity_Coach</v>
      </c>
      <c r="O760" s="21" t="str">
        <f>"str_"&amp;CONTROL[[#This Row],[VEHIDCODE]]</f>
        <v>str_mu_Coach_Gen4_Eurofima_Intercity_Coach</v>
      </c>
      <c r="P760" s="7" t="b">
        <f>_xlfn.XLOOKUP(CONTROL[[#This Row],[VEHIDCODE]],PROPERTIES[VEHIDCODE],PROPERTIES[IS_CONCEPT])="IS_CONCEPT"</f>
        <v>0</v>
      </c>
      <c r="Q760" s="7" t="b">
        <f>_xlfn.XLOOKUP(CONTROL[[#This Row],[VEHIDCODE]],PROPERTIES[VEHIDCODE],PROPERTIES[EXCLUDE])</f>
        <v>0</v>
      </c>
      <c r="R760" t="str" cm="1">
        <f t="array" ref="R760">_xlfn.XLOOKUP(CONTROL[[#This Row],[VEHIDCODE]],GRAPHICS_PROPERTIES[VEHIDCODE],GRAPHICS_PROPERTIES[TEMPLATE_ID]&amp;GRAPHICS_PROPERTIES[TEMPLATE_AMENDMENT_CODE])</f>
        <v>TPL_04A</v>
      </c>
    </row>
    <row r="761" spans="1:18" x14ac:dyDescent="0.35">
      <c r="A761" s="2" t="s">
        <v>124</v>
      </c>
      <c r="B761" s="21" t="str">
        <f>_xlfn.TEXTAFTER(CONTROL[[#This Row],[VEHIDCODE]],"_")</f>
        <v>Coach_Gen4_InterRegio_Coach</v>
      </c>
      <c r="C761" t="str" cm="1">
        <f t="array" ref="C7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1" t="str" cm="1">
        <f t="array" ref="D7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1">
        <v>11042</v>
      </c>
      <c r="F761" s="32" t="s">
        <v>476</v>
      </c>
      <c r="G761" t="s">
        <v>523</v>
      </c>
      <c r="H761" s="2" t="b">
        <f>AND(CONTROL[[#This Row],[IS_WAGON_OR_COACH]]=TRUE,OR(RIGHT(CONTROL[[#This Row],[VEHIDCODE]],7)="Powered",RIGHT(CONTROL[[#This Row],[VEHIDCODE]],9)="Unpowered"))</f>
        <v>0</v>
      </c>
      <c r="I7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1" t="b">
        <f>ISNUMBER(_xlfn.XMATCH(CONTROL[[#This Row],[VEHIDCODE]],TRACK_TYPES[VEHIDCODE],0))</f>
        <v>1</v>
      </c>
      <c r="K761" t="b">
        <f>ISNUMBER(_xlfn.XMATCH(CONTROL[[#This Row],[VEHIDCODE]],PROPERTIES[VEHIDCODE],0))</f>
        <v>1</v>
      </c>
      <c r="L761" t="b">
        <f>ISNUMBER(_xlfn.XLOOKUP(CONTROL[[#This Row],[VEHIDCODE]],roster!A:A,roster!D:D))</f>
        <v>1</v>
      </c>
      <c r="M761" t="b">
        <f>ISNUMBER(_xlfn.XMATCH(CONTROL[[#This Row],[VEHIDCODE]],GRAPHICS_PROPERTIES[VEHIDCODE],0))</f>
        <v>1</v>
      </c>
      <c r="N761" s="21" t="str">
        <f>"item_"&amp;CONTROL[[#This Row],[VEHIDCODE]]</f>
        <v>item_mu_Coach_Gen4_InterRegio_Coach</v>
      </c>
      <c r="O761" s="21" t="str">
        <f>"str_"&amp;CONTROL[[#This Row],[VEHIDCODE]]</f>
        <v>str_mu_Coach_Gen4_InterRegio_Coach</v>
      </c>
      <c r="P761" s="7" t="b">
        <f>_xlfn.XLOOKUP(CONTROL[[#This Row],[VEHIDCODE]],PROPERTIES[VEHIDCODE],PROPERTIES[IS_CONCEPT])="IS_CONCEPT"</f>
        <v>0</v>
      </c>
      <c r="Q761" s="7" t="b">
        <f>_xlfn.XLOOKUP(CONTROL[[#This Row],[VEHIDCODE]],PROPERTIES[VEHIDCODE],PROPERTIES[EXCLUDE])</f>
        <v>0</v>
      </c>
      <c r="R761" t="str" cm="1">
        <f t="array" ref="R761">_xlfn.XLOOKUP(CONTROL[[#This Row],[VEHIDCODE]],GRAPHICS_PROPERTIES[VEHIDCODE],GRAPHICS_PROPERTIES[TEMPLATE_ID]&amp;GRAPHICS_PROPERTIES[TEMPLATE_AMENDMENT_CODE])</f>
        <v>TPL_04A</v>
      </c>
    </row>
    <row r="762" spans="1:18" x14ac:dyDescent="0.35">
      <c r="A762" s="2" t="s">
        <v>125</v>
      </c>
      <c r="B762" s="21" t="str">
        <f>_xlfn.TEXTAFTER(CONTROL[[#This Row],[VEHIDCODE]],"_")</f>
        <v>Coach_Gen4_Silberling_Commuter_Coach</v>
      </c>
      <c r="C762" t="str" cm="1">
        <f t="array" ref="C7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2" t="str" cm="1">
        <f t="array" ref="D7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2">
        <v>11043</v>
      </c>
      <c r="F762" s="32" t="s">
        <v>477</v>
      </c>
      <c r="G762" t="s">
        <v>523</v>
      </c>
      <c r="H762" s="2" t="b">
        <f>AND(CONTROL[[#This Row],[IS_WAGON_OR_COACH]]=TRUE,OR(RIGHT(CONTROL[[#This Row],[VEHIDCODE]],7)="Powered",RIGHT(CONTROL[[#This Row],[VEHIDCODE]],9)="Unpowered"))</f>
        <v>0</v>
      </c>
      <c r="I7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2" t="b">
        <f>ISNUMBER(_xlfn.XMATCH(CONTROL[[#This Row],[VEHIDCODE]],TRACK_TYPES[VEHIDCODE],0))</f>
        <v>1</v>
      </c>
      <c r="K762" t="b">
        <f>ISNUMBER(_xlfn.XMATCH(CONTROL[[#This Row],[VEHIDCODE]],PROPERTIES[VEHIDCODE],0))</f>
        <v>1</v>
      </c>
      <c r="L762" t="b">
        <f>ISNUMBER(_xlfn.XLOOKUP(CONTROL[[#This Row],[VEHIDCODE]],roster!A:A,roster!D:D))</f>
        <v>1</v>
      </c>
      <c r="M762" t="b">
        <f>ISNUMBER(_xlfn.XMATCH(CONTROL[[#This Row],[VEHIDCODE]],GRAPHICS_PROPERTIES[VEHIDCODE],0))</f>
        <v>1</v>
      </c>
      <c r="N762" s="21" t="str">
        <f>"item_"&amp;CONTROL[[#This Row],[VEHIDCODE]]</f>
        <v>item_mu_Coach_Gen4_Silberling_Commuter_Coach</v>
      </c>
      <c r="O762" s="21" t="str">
        <f>"str_"&amp;CONTROL[[#This Row],[VEHIDCODE]]</f>
        <v>str_mu_Coach_Gen4_Silberling_Commuter_Coach</v>
      </c>
      <c r="P762" s="7" t="b">
        <f>_xlfn.XLOOKUP(CONTROL[[#This Row],[VEHIDCODE]],PROPERTIES[VEHIDCODE],PROPERTIES[IS_CONCEPT])="IS_CONCEPT"</f>
        <v>0</v>
      </c>
      <c r="Q762" s="7" t="b">
        <f>_xlfn.XLOOKUP(CONTROL[[#This Row],[VEHIDCODE]],PROPERTIES[VEHIDCODE],PROPERTIES[EXCLUDE])</f>
        <v>0</v>
      </c>
      <c r="R762" t="str" cm="1">
        <f t="array" ref="R762">_xlfn.XLOOKUP(CONTROL[[#This Row],[VEHIDCODE]],GRAPHICS_PROPERTIES[VEHIDCODE],GRAPHICS_PROPERTIES[TEMPLATE_ID]&amp;GRAPHICS_PROPERTIES[TEMPLATE_AMENDMENT_CODE])</f>
        <v>TPL_04A</v>
      </c>
    </row>
    <row r="763" spans="1:18" x14ac:dyDescent="0.35">
      <c r="A763" s="2" t="s">
        <v>126</v>
      </c>
      <c r="B763" s="21" t="str">
        <f>_xlfn.TEXTAFTER(CONTROL[[#This Row],[VEHIDCODE]],"_")</f>
        <v>Coach_Gen4_Eurofima_Mail_Coach</v>
      </c>
      <c r="C763" t="str" cm="1">
        <f t="array" ref="C7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3" t="str" cm="1">
        <f t="array" ref="D7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3">
        <v>11044</v>
      </c>
      <c r="F763" s="32" t="s">
        <v>478</v>
      </c>
      <c r="G763" t="s">
        <v>523</v>
      </c>
      <c r="H763" s="2" t="b">
        <f>AND(CONTROL[[#This Row],[IS_WAGON_OR_COACH]]=TRUE,OR(RIGHT(CONTROL[[#This Row],[VEHIDCODE]],7)="Powered",RIGHT(CONTROL[[#This Row],[VEHIDCODE]],9)="Unpowered"))</f>
        <v>0</v>
      </c>
      <c r="I7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3" t="b">
        <f>ISNUMBER(_xlfn.XMATCH(CONTROL[[#This Row],[VEHIDCODE]],TRACK_TYPES[VEHIDCODE],0))</f>
        <v>1</v>
      </c>
      <c r="K763" t="b">
        <f>ISNUMBER(_xlfn.XMATCH(CONTROL[[#This Row],[VEHIDCODE]],PROPERTIES[VEHIDCODE],0))</f>
        <v>1</v>
      </c>
      <c r="L763" t="b">
        <f>ISNUMBER(_xlfn.XLOOKUP(CONTROL[[#This Row],[VEHIDCODE]],roster!A:A,roster!D:D))</f>
        <v>1</v>
      </c>
      <c r="M763" t="b">
        <f>ISNUMBER(_xlfn.XMATCH(CONTROL[[#This Row],[VEHIDCODE]],GRAPHICS_PROPERTIES[VEHIDCODE],0))</f>
        <v>1</v>
      </c>
      <c r="N763" s="21" t="str">
        <f>"item_"&amp;CONTROL[[#This Row],[VEHIDCODE]]</f>
        <v>item_mu_Coach_Gen4_Eurofima_Mail_Coach</v>
      </c>
      <c r="O763" s="21" t="str">
        <f>"str_"&amp;CONTROL[[#This Row],[VEHIDCODE]]</f>
        <v>str_mu_Coach_Gen4_Eurofima_Mail_Coach</v>
      </c>
      <c r="P763" s="7" t="b">
        <f>_xlfn.XLOOKUP(CONTROL[[#This Row],[VEHIDCODE]],PROPERTIES[VEHIDCODE],PROPERTIES[IS_CONCEPT])="IS_CONCEPT"</f>
        <v>0</v>
      </c>
      <c r="Q763" s="7" t="b">
        <f>_xlfn.XLOOKUP(CONTROL[[#This Row],[VEHIDCODE]],PROPERTIES[VEHIDCODE],PROPERTIES[EXCLUDE])</f>
        <v>0</v>
      </c>
      <c r="R763" t="str" cm="1">
        <f t="array" ref="R763">_xlfn.XLOOKUP(CONTROL[[#This Row],[VEHIDCODE]],GRAPHICS_PROPERTIES[VEHIDCODE],GRAPHICS_PROPERTIES[TEMPLATE_ID]&amp;GRAPHICS_PROPERTIES[TEMPLATE_AMENDMENT_CODE])</f>
        <v>TPL_04A</v>
      </c>
    </row>
    <row r="764" spans="1:18" x14ac:dyDescent="0.35">
      <c r="A764" s="2" t="s">
        <v>127</v>
      </c>
      <c r="B764" s="21" t="str">
        <f>_xlfn.TEXTAFTER(CONTROL[[#This Row],[VEHIDCODE]],"_")</f>
        <v>Coach_Gen4_Double_Decker_Coach</v>
      </c>
      <c r="C764" t="str" cm="1">
        <f t="array" ref="C7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4" t="str" cm="1">
        <f t="array" ref="D7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4">
        <v>11045</v>
      </c>
      <c r="F764" s="32" t="s">
        <v>479</v>
      </c>
      <c r="G764" t="s">
        <v>523</v>
      </c>
      <c r="H764" s="2" t="b">
        <f>AND(CONTROL[[#This Row],[IS_WAGON_OR_COACH]]=TRUE,OR(RIGHT(CONTROL[[#This Row],[VEHIDCODE]],7)="Powered",RIGHT(CONTROL[[#This Row],[VEHIDCODE]],9)="Unpowered"))</f>
        <v>0</v>
      </c>
      <c r="I7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4" t="b">
        <f>ISNUMBER(_xlfn.XMATCH(CONTROL[[#This Row],[VEHIDCODE]],TRACK_TYPES[VEHIDCODE],0))</f>
        <v>1</v>
      </c>
      <c r="K764" t="b">
        <f>ISNUMBER(_xlfn.XMATCH(CONTROL[[#This Row],[VEHIDCODE]],PROPERTIES[VEHIDCODE],0))</f>
        <v>1</v>
      </c>
      <c r="L764" t="b">
        <f>ISNUMBER(_xlfn.XLOOKUP(CONTROL[[#This Row],[VEHIDCODE]],roster!A:A,roster!D:D))</f>
        <v>1</v>
      </c>
      <c r="M764" t="b">
        <f>ISNUMBER(_xlfn.XMATCH(CONTROL[[#This Row],[VEHIDCODE]],GRAPHICS_PROPERTIES[VEHIDCODE],0))</f>
        <v>1</v>
      </c>
      <c r="N764" s="21" t="str">
        <f>"item_"&amp;CONTROL[[#This Row],[VEHIDCODE]]</f>
        <v>item_mu_Coach_Gen4_Double_Decker_Coach</v>
      </c>
      <c r="O764" s="21" t="str">
        <f>"str_"&amp;CONTROL[[#This Row],[VEHIDCODE]]</f>
        <v>str_mu_Coach_Gen4_Double_Decker_Coach</v>
      </c>
      <c r="P764" s="7" t="b">
        <f>_xlfn.XLOOKUP(CONTROL[[#This Row],[VEHIDCODE]],PROPERTIES[VEHIDCODE],PROPERTIES[IS_CONCEPT])="IS_CONCEPT"</f>
        <v>0</v>
      </c>
      <c r="Q764" s="7" t="b">
        <f>_xlfn.XLOOKUP(CONTROL[[#This Row],[VEHIDCODE]],PROPERTIES[VEHIDCODE],PROPERTIES[EXCLUDE])</f>
        <v>0</v>
      </c>
      <c r="R764" t="str" cm="1">
        <f t="array" ref="R764">_xlfn.XLOOKUP(CONTROL[[#This Row],[VEHIDCODE]],GRAPHICS_PROPERTIES[VEHIDCODE],GRAPHICS_PROPERTIES[TEMPLATE_ID]&amp;GRAPHICS_PROPERTIES[TEMPLATE_AMENDMENT_CODE])</f>
        <v>TPL_04A</v>
      </c>
    </row>
    <row r="765" spans="1:18" x14ac:dyDescent="0.35">
      <c r="A765" s="2" t="s">
        <v>128</v>
      </c>
      <c r="B765" s="21" t="str">
        <f>_xlfn.TEXTAFTER(CONTROL[[#This Row],[VEHIDCODE]],"_")</f>
        <v>Coach_Gen4_Russian_Intercity_Coach</v>
      </c>
      <c r="C765" t="str" cm="1">
        <f t="array" ref="C7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5" t="str" cm="1">
        <f t="array" ref="D7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5">
        <v>11046</v>
      </c>
      <c r="F765" s="32" t="s">
        <v>1930</v>
      </c>
      <c r="G765" t="s">
        <v>523</v>
      </c>
      <c r="H765" s="2" t="b">
        <f>AND(CONTROL[[#This Row],[IS_WAGON_OR_COACH]]=TRUE,OR(RIGHT(CONTROL[[#This Row],[VEHIDCODE]],7)="Powered",RIGHT(CONTROL[[#This Row],[VEHIDCODE]],9)="Unpowered"))</f>
        <v>0</v>
      </c>
      <c r="I7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5" t="b">
        <f>ISNUMBER(_xlfn.XMATCH(CONTROL[[#This Row],[VEHIDCODE]],TRACK_TYPES[VEHIDCODE],0))</f>
        <v>1</v>
      </c>
      <c r="K765" t="b">
        <f>ISNUMBER(_xlfn.XMATCH(CONTROL[[#This Row],[VEHIDCODE]],PROPERTIES[VEHIDCODE],0))</f>
        <v>1</v>
      </c>
      <c r="L765" t="b">
        <f>ISNUMBER(_xlfn.XLOOKUP(CONTROL[[#This Row],[VEHIDCODE]],roster!A:A,roster!D:D))</f>
        <v>1</v>
      </c>
      <c r="M765" t="b">
        <f>ISNUMBER(_xlfn.XMATCH(CONTROL[[#This Row],[VEHIDCODE]],GRAPHICS_PROPERTIES[VEHIDCODE],0))</f>
        <v>1</v>
      </c>
      <c r="N765" s="21" t="str">
        <f>"item_"&amp;CONTROL[[#This Row],[VEHIDCODE]]</f>
        <v>item_mu_Coach_Gen4_Russian_Intercity_Coach</v>
      </c>
      <c r="O765" s="21" t="str">
        <f>"str_"&amp;CONTROL[[#This Row],[VEHIDCODE]]</f>
        <v>str_mu_Coach_Gen4_Russian_Intercity_Coach</v>
      </c>
      <c r="P765" s="7" t="b">
        <f>_xlfn.XLOOKUP(CONTROL[[#This Row],[VEHIDCODE]],PROPERTIES[VEHIDCODE],PROPERTIES[IS_CONCEPT])="IS_CONCEPT"</f>
        <v>0</v>
      </c>
      <c r="Q765" s="7" t="b">
        <f>_xlfn.XLOOKUP(CONTROL[[#This Row],[VEHIDCODE]],PROPERTIES[VEHIDCODE],PROPERTIES[EXCLUDE])</f>
        <v>0</v>
      </c>
      <c r="R765" t="str" cm="1">
        <f t="array" ref="R765">_xlfn.XLOOKUP(CONTROL[[#This Row],[VEHIDCODE]],GRAPHICS_PROPERTIES[VEHIDCODE],GRAPHICS_PROPERTIES[TEMPLATE_ID]&amp;GRAPHICS_PROPERTIES[TEMPLATE_AMENDMENT_CODE])</f>
        <v>TPL_04A</v>
      </c>
    </row>
    <row r="766" spans="1:18" x14ac:dyDescent="0.35">
      <c r="A766" s="2" t="s">
        <v>129</v>
      </c>
      <c r="B766" s="21" t="str">
        <f>_xlfn.TEXTAFTER(CONTROL[[#This Row],[VEHIDCODE]],"_")</f>
        <v>Coach_Gen4_Russian_Regional_Coach</v>
      </c>
      <c r="C766" t="str" cm="1">
        <f t="array" ref="C7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6" t="str" cm="1">
        <f t="array" ref="D7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6">
        <v>11047</v>
      </c>
      <c r="F766" s="32" t="s">
        <v>480</v>
      </c>
      <c r="G766" t="s">
        <v>523</v>
      </c>
      <c r="H766" s="2" t="b">
        <f>AND(CONTROL[[#This Row],[IS_WAGON_OR_COACH]]=TRUE,OR(RIGHT(CONTROL[[#This Row],[VEHIDCODE]],7)="Powered",RIGHT(CONTROL[[#This Row],[VEHIDCODE]],9)="Unpowered"))</f>
        <v>0</v>
      </c>
      <c r="I7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6" t="b">
        <f>ISNUMBER(_xlfn.XMATCH(CONTROL[[#This Row],[VEHIDCODE]],TRACK_TYPES[VEHIDCODE],0))</f>
        <v>1</v>
      </c>
      <c r="K766" t="b">
        <f>ISNUMBER(_xlfn.XMATCH(CONTROL[[#This Row],[VEHIDCODE]],PROPERTIES[VEHIDCODE],0))</f>
        <v>1</v>
      </c>
      <c r="L766" t="b">
        <f>ISNUMBER(_xlfn.XLOOKUP(CONTROL[[#This Row],[VEHIDCODE]],roster!A:A,roster!D:D))</f>
        <v>1</v>
      </c>
      <c r="M766" t="b">
        <f>ISNUMBER(_xlfn.XMATCH(CONTROL[[#This Row],[VEHIDCODE]],GRAPHICS_PROPERTIES[VEHIDCODE],0))</f>
        <v>1</v>
      </c>
      <c r="N766" s="21" t="str">
        <f>"item_"&amp;CONTROL[[#This Row],[VEHIDCODE]]</f>
        <v>item_mu_Coach_Gen4_Russian_Regional_Coach</v>
      </c>
      <c r="O766" s="21" t="str">
        <f>"str_"&amp;CONTROL[[#This Row],[VEHIDCODE]]</f>
        <v>str_mu_Coach_Gen4_Russian_Regional_Coach</v>
      </c>
      <c r="P766" s="7" t="b">
        <f>_xlfn.XLOOKUP(CONTROL[[#This Row],[VEHIDCODE]],PROPERTIES[VEHIDCODE],PROPERTIES[IS_CONCEPT])="IS_CONCEPT"</f>
        <v>0</v>
      </c>
      <c r="Q766" s="7" t="b">
        <f>_xlfn.XLOOKUP(CONTROL[[#This Row],[VEHIDCODE]],PROPERTIES[VEHIDCODE],PROPERTIES[EXCLUDE])</f>
        <v>0</v>
      </c>
      <c r="R766" t="str" cm="1">
        <f t="array" ref="R766">_xlfn.XLOOKUP(CONTROL[[#This Row],[VEHIDCODE]],GRAPHICS_PROPERTIES[VEHIDCODE],GRAPHICS_PROPERTIES[TEMPLATE_ID]&amp;GRAPHICS_PROPERTIES[TEMPLATE_AMENDMENT_CODE])</f>
        <v>TPL_04A</v>
      </c>
    </row>
    <row r="767" spans="1:18" x14ac:dyDescent="0.35">
      <c r="A767" s="2" t="s">
        <v>130</v>
      </c>
      <c r="B767" s="21" t="str">
        <f>_xlfn.TEXTAFTER(CONTROL[[#This Row],[VEHIDCODE]],"_")</f>
        <v>Coach_Gen4_Russian_Mail_Coach</v>
      </c>
      <c r="C767" t="str" cm="1">
        <f t="array" ref="C7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7" t="str" cm="1">
        <f t="array" ref="D7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7">
        <v>11048</v>
      </c>
      <c r="F767" s="32" t="s">
        <v>481</v>
      </c>
      <c r="G767" t="s">
        <v>523</v>
      </c>
      <c r="H767" s="2" t="b">
        <f>AND(CONTROL[[#This Row],[IS_WAGON_OR_COACH]]=TRUE,OR(RIGHT(CONTROL[[#This Row],[VEHIDCODE]],7)="Powered",RIGHT(CONTROL[[#This Row],[VEHIDCODE]],9)="Unpowered"))</f>
        <v>0</v>
      </c>
      <c r="I7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7" t="b">
        <f>ISNUMBER(_xlfn.XMATCH(CONTROL[[#This Row],[VEHIDCODE]],TRACK_TYPES[VEHIDCODE],0))</f>
        <v>1</v>
      </c>
      <c r="K767" t="b">
        <f>ISNUMBER(_xlfn.XMATCH(CONTROL[[#This Row],[VEHIDCODE]],PROPERTIES[VEHIDCODE],0))</f>
        <v>1</v>
      </c>
      <c r="L767" t="b">
        <f>ISNUMBER(_xlfn.XLOOKUP(CONTROL[[#This Row],[VEHIDCODE]],roster!A:A,roster!D:D))</f>
        <v>1</v>
      </c>
      <c r="M767" t="b">
        <f>ISNUMBER(_xlfn.XMATCH(CONTROL[[#This Row],[VEHIDCODE]],GRAPHICS_PROPERTIES[VEHIDCODE],0))</f>
        <v>1</v>
      </c>
      <c r="N767" s="21" t="str">
        <f>"item_"&amp;CONTROL[[#This Row],[VEHIDCODE]]</f>
        <v>item_mu_Coach_Gen4_Russian_Mail_Coach</v>
      </c>
      <c r="O767" s="21" t="str">
        <f>"str_"&amp;CONTROL[[#This Row],[VEHIDCODE]]</f>
        <v>str_mu_Coach_Gen4_Russian_Mail_Coach</v>
      </c>
      <c r="P767" s="7" t="b">
        <f>_xlfn.XLOOKUP(CONTROL[[#This Row],[VEHIDCODE]],PROPERTIES[VEHIDCODE],PROPERTIES[IS_CONCEPT])="IS_CONCEPT"</f>
        <v>0</v>
      </c>
      <c r="Q767" s="7" t="b">
        <f>_xlfn.XLOOKUP(CONTROL[[#This Row],[VEHIDCODE]],PROPERTIES[VEHIDCODE],PROPERTIES[EXCLUDE])</f>
        <v>0</v>
      </c>
      <c r="R767" t="str" cm="1">
        <f t="array" ref="R767">_xlfn.XLOOKUP(CONTROL[[#This Row],[VEHIDCODE]],GRAPHICS_PROPERTIES[VEHIDCODE],GRAPHICS_PROPERTIES[TEMPLATE_ID]&amp;GRAPHICS_PROPERTIES[TEMPLATE_AMENDMENT_CODE])</f>
        <v>TPL_04A</v>
      </c>
    </row>
    <row r="768" spans="1:18" x14ac:dyDescent="0.35">
      <c r="A768" s="2" t="s">
        <v>131</v>
      </c>
      <c r="B768" s="21" t="str">
        <f>_xlfn.TEXTAFTER(CONTROL[[#This Row],[VEHIDCODE]],"_")</f>
        <v>Coach_Gen4_Superliner_Coach</v>
      </c>
      <c r="C768" t="str" cm="1">
        <f t="array" ref="C7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8" t="str" cm="1">
        <f t="array" ref="D7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8">
        <v>11049</v>
      </c>
      <c r="F768" s="32" t="s">
        <v>482</v>
      </c>
      <c r="G768" t="s">
        <v>523</v>
      </c>
      <c r="H768" s="2" t="b">
        <f>AND(CONTROL[[#This Row],[IS_WAGON_OR_COACH]]=TRUE,OR(RIGHT(CONTROL[[#This Row],[VEHIDCODE]],7)="Powered",RIGHT(CONTROL[[#This Row],[VEHIDCODE]],9)="Unpowered"))</f>
        <v>0</v>
      </c>
      <c r="I7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8" t="b">
        <f>ISNUMBER(_xlfn.XMATCH(CONTROL[[#This Row],[VEHIDCODE]],TRACK_TYPES[VEHIDCODE],0))</f>
        <v>1</v>
      </c>
      <c r="K768" t="b">
        <f>ISNUMBER(_xlfn.XMATCH(CONTROL[[#This Row],[VEHIDCODE]],PROPERTIES[VEHIDCODE],0))</f>
        <v>1</v>
      </c>
      <c r="L768" t="b">
        <f>ISNUMBER(_xlfn.XLOOKUP(CONTROL[[#This Row],[VEHIDCODE]],roster!A:A,roster!D:D))</f>
        <v>1</v>
      </c>
      <c r="M768" t="b">
        <f>ISNUMBER(_xlfn.XMATCH(CONTROL[[#This Row],[VEHIDCODE]],GRAPHICS_PROPERTIES[VEHIDCODE],0))</f>
        <v>1</v>
      </c>
      <c r="N768" s="21" t="str">
        <f>"item_"&amp;CONTROL[[#This Row],[VEHIDCODE]]</f>
        <v>item_mu_Coach_Gen4_Superliner_Coach</v>
      </c>
      <c r="O768" s="21" t="str">
        <f>"str_"&amp;CONTROL[[#This Row],[VEHIDCODE]]</f>
        <v>str_mu_Coach_Gen4_Superliner_Coach</v>
      </c>
      <c r="P768" s="7" t="b">
        <f>_xlfn.XLOOKUP(CONTROL[[#This Row],[VEHIDCODE]],PROPERTIES[VEHIDCODE],PROPERTIES[IS_CONCEPT])="IS_CONCEPT"</f>
        <v>0</v>
      </c>
      <c r="Q768" s="7" t="b">
        <f>_xlfn.XLOOKUP(CONTROL[[#This Row],[VEHIDCODE]],PROPERTIES[VEHIDCODE],PROPERTIES[EXCLUDE])</f>
        <v>0</v>
      </c>
      <c r="R768" t="str" cm="1">
        <f t="array" ref="R768">_xlfn.XLOOKUP(CONTROL[[#This Row],[VEHIDCODE]],GRAPHICS_PROPERTIES[VEHIDCODE],GRAPHICS_PROPERTIES[TEMPLATE_ID]&amp;GRAPHICS_PROPERTIES[TEMPLATE_AMENDMENT_CODE])</f>
        <v>TPL_04A</v>
      </c>
    </row>
    <row r="769" spans="1:18" x14ac:dyDescent="0.35">
      <c r="A769" s="2" t="s">
        <v>132</v>
      </c>
      <c r="B769" s="21" t="str">
        <f>_xlfn.TEXTAFTER(CONTROL[[#This Row],[VEHIDCODE]],"_")</f>
        <v>Coach_Gen4_Superliner_California</v>
      </c>
      <c r="C769" t="str" cm="1">
        <f t="array" ref="C7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9" t="str" cm="1">
        <f t="array" ref="D7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9">
        <v>11050</v>
      </c>
      <c r="F769" s="32" t="s">
        <v>483</v>
      </c>
      <c r="G769" t="s">
        <v>523</v>
      </c>
      <c r="H769" s="2" t="b">
        <f>AND(CONTROL[[#This Row],[IS_WAGON_OR_COACH]]=TRUE,OR(RIGHT(CONTROL[[#This Row],[VEHIDCODE]],7)="Powered",RIGHT(CONTROL[[#This Row],[VEHIDCODE]],9)="Unpowered"))</f>
        <v>0</v>
      </c>
      <c r="I7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9" t="b">
        <f>ISNUMBER(_xlfn.XMATCH(CONTROL[[#This Row],[VEHIDCODE]],TRACK_TYPES[VEHIDCODE],0))</f>
        <v>1</v>
      </c>
      <c r="K769" t="b">
        <f>ISNUMBER(_xlfn.XMATCH(CONTROL[[#This Row],[VEHIDCODE]],PROPERTIES[VEHIDCODE],0))</f>
        <v>1</v>
      </c>
      <c r="L769" t="b">
        <f>ISNUMBER(_xlfn.XLOOKUP(CONTROL[[#This Row],[VEHIDCODE]],roster!A:A,roster!D:D))</f>
        <v>1</v>
      </c>
      <c r="M769" t="b">
        <f>ISNUMBER(_xlfn.XMATCH(CONTROL[[#This Row],[VEHIDCODE]],GRAPHICS_PROPERTIES[VEHIDCODE],0))</f>
        <v>1</v>
      </c>
      <c r="N769" s="21" t="str">
        <f>"item_"&amp;CONTROL[[#This Row],[VEHIDCODE]]</f>
        <v>item_mu_Coach_Gen4_Superliner_California</v>
      </c>
      <c r="O769" s="21" t="str">
        <f>"str_"&amp;CONTROL[[#This Row],[VEHIDCODE]]</f>
        <v>str_mu_Coach_Gen4_Superliner_California</v>
      </c>
      <c r="P769" s="7" t="b">
        <f>_xlfn.XLOOKUP(CONTROL[[#This Row],[VEHIDCODE]],PROPERTIES[VEHIDCODE],PROPERTIES[IS_CONCEPT])="IS_CONCEPT"</f>
        <v>0</v>
      </c>
      <c r="Q769" s="7" t="b">
        <f>_xlfn.XLOOKUP(CONTROL[[#This Row],[VEHIDCODE]],PROPERTIES[VEHIDCODE],PROPERTIES[EXCLUDE])</f>
        <v>0</v>
      </c>
      <c r="R769" t="str" cm="1">
        <f t="array" ref="R769">_xlfn.XLOOKUP(CONTROL[[#This Row],[VEHIDCODE]],GRAPHICS_PROPERTIES[VEHIDCODE],GRAPHICS_PROPERTIES[TEMPLATE_ID]&amp;GRAPHICS_PROPERTIES[TEMPLATE_AMENDMENT_CODE])</f>
        <v>TPL_04A</v>
      </c>
    </row>
    <row r="770" spans="1:18" x14ac:dyDescent="0.35">
      <c r="A770" s="2" t="s">
        <v>133</v>
      </c>
      <c r="B770" s="21" t="str">
        <f>_xlfn.TEXTAFTER(CONTROL[[#This Row],[VEHIDCODE]],"_")</f>
        <v>Coach_Gen4_Amfleet_Regional_Coach</v>
      </c>
      <c r="C770" t="str" cm="1">
        <f t="array" ref="C7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0" t="str" cm="1">
        <f t="array" ref="D7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0">
        <v>11051</v>
      </c>
      <c r="F770" s="32" t="s">
        <v>484</v>
      </c>
      <c r="G770" t="s">
        <v>523</v>
      </c>
      <c r="H770" s="2" t="b">
        <f>AND(CONTROL[[#This Row],[IS_WAGON_OR_COACH]]=TRUE,OR(RIGHT(CONTROL[[#This Row],[VEHIDCODE]],7)="Powered",RIGHT(CONTROL[[#This Row],[VEHIDCODE]],9)="Unpowered"))</f>
        <v>0</v>
      </c>
      <c r="I7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0" t="b">
        <f>ISNUMBER(_xlfn.XMATCH(CONTROL[[#This Row],[VEHIDCODE]],TRACK_TYPES[VEHIDCODE],0))</f>
        <v>1</v>
      </c>
      <c r="K770" t="b">
        <f>ISNUMBER(_xlfn.XMATCH(CONTROL[[#This Row],[VEHIDCODE]],PROPERTIES[VEHIDCODE],0))</f>
        <v>1</v>
      </c>
      <c r="L770" t="b">
        <f>ISNUMBER(_xlfn.XLOOKUP(CONTROL[[#This Row],[VEHIDCODE]],roster!A:A,roster!D:D))</f>
        <v>1</v>
      </c>
      <c r="M770" t="b">
        <f>ISNUMBER(_xlfn.XMATCH(CONTROL[[#This Row],[VEHIDCODE]],GRAPHICS_PROPERTIES[VEHIDCODE],0))</f>
        <v>1</v>
      </c>
      <c r="N770" s="21" t="str">
        <f>"item_"&amp;CONTROL[[#This Row],[VEHIDCODE]]</f>
        <v>item_mu_Coach_Gen4_Amfleet_Regional_Coach</v>
      </c>
      <c r="O770" s="21" t="str">
        <f>"str_"&amp;CONTROL[[#This Row],[VEHIDCODE]]</f>
        <v>str_mu_Coach_Gen4_Amfleet_Regional_Coach</v>
      </c>
      <c r="P770" s="7" t="b">
        <f>_xlfn.XLOOKUP(CONTROL[[#This Row],[VEHIDCODE]],PROPERTIES[VEHIDCODE],PROPERTIES[IS_CONCEPT])="IS_CONCEPT"</f>
        <v>0</v>
      </c>
      <c r="Q770" s="7" t="b">
        <f>_xlfn.XLOOKUP(CONTROL[[#This Row],[VEHIDCODE]],PROPERTIES[VEHIDCODE],PROPERTIES[EXCLUDE])</f>
        <v>0</v>
      </c>
      <c r="R770" t="str" cm="1">
        <f t="array" ref="R770">_xlfn.XLOOKUP(CONTROL[[#This Row],[VEHIDCODE]],GRAPHICS_PROPERTIES[VEHIDCODE],GRAPHICS_PROPERTIES[TEMPLATE_ID]&amp;GRAPHICS_PROPERTIES[TEMPLATE_AMENDMENT_CODE])</f>
        <v>TPL_04A</v>
      </c>
    </row>
    <row r="771" spans="1:18" x14ac:dyDescent="0.35">
      <c r="A771" s="2" t="s">
        <v>134</v>
      </c>
      <c r="B771" s="21" t="str">
        <f>_xlfn.TEXTAFTER(CONTROL[[#This Row],[VEHIDCODE]],"_")</f>
        <v>Coach_Gen4_Amfleet_Intercity_Coach</v>
      </c>
      <c r="C771" t="str" cm="1">
        <f t="array" ref="C7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1" t="str" cm="1">
        <f t="array" ref="D7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1">
        <v>11052</v>
      </c>
      <c r="F771" s="32" t="s">
        <v>485</v>
      </c>
      <c r="G771" t="s">
        <v>523</v>
      </c>
      <c r="H771" s="2" t="b">
        <f>AND(CONTROL[[#This Row],[IS_WAGON_OR_COACH]]=TRUE,OR(RIGHT(CONTROL[[#This Row],[VEHIDCODE]],7)="Powered",RIGHT(CONTROL[[#This Row],[VEHIDCODE]],9)="Unpowered"))</f>
        <v>0</v>
      </c>
      <c r="I7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1" t="b">
        <f>ISNUMBER(_xlfn.XMATCH(CONTROL[[#This Row],[VEHIDCODE]],TRACK_TYPES[VEHIDCODE],0))</f>
        <v>1</v>
      </c>
      <c r="K771" t="b">
        <f>ISNUMBER(_xlfn.XMATCH(CONTROL[[#This Row],[VEHIDCODE]],PROPERTIES[VEHIDCODE],0))</f>
        <v>1</v>
      </c>
      <c r="L771" t="b">
        <f>ISNUMBER(_xlfn.XLOOKUP(CONTROL[[#This Row],[VEHIDCODE]],roster!A:A,roster!D:D))</f>
        <v>1</v>
      </c>
      <c r="M771" t="b">
        <f>ISNUMBER(_xlfn.XMATCH(CONTROL[[#This Row],[VEHIDCODE]],GRAPHICS_PROPERTIES[VEHIDCODE],0))</f>
        <v>1</v>
      </c>
      <c r="N771" s="21" t="str">
        <f>"item_"&amp;CONTROL[[#This Row],[VEHIDCODE]]</f>
        <v>item_mu_Coach_Gen4_Amfleet_Intercity_Coach</v>
      </c>
      <c r="O771" s="21" t="str">
        <f>"str_"&amp;CONTROL[[#This Row],[VEHIDCODE]]</f>
        <v>str_mu_Coach_Gen4_Amfleet_Intercity_Coach</v>
      </c>
      <c r="P771" s="7" t="b">
        <f>_xlfn.XLOOKUP(CONTROL[[#This Row],[VEHIDCODE]],PROPERTIES[VEHIDCODE],PROPERTIES[IS_CONCEPT])="IS_CONCEPT"</f>
        <v>0</v>
      </c>
      <c r="Q771" s="7" t="b">
        <f>_xlfn.XLOOKUP(CONTROL[[#This Row],[VEHIDCODE]],PROPERTIES[VEHIDCODE],PROPERTIES[EXCLUDE])</f>
        <v>0</v>
      </c>
      <c r="R771" t="str" cm="1">
        <f t="array" ref="R771">_xlfn.XLOOKUP(CONTROL[[#This Row],[VEHIDCODE]],GRAPHICS_PROPERTIES[VEHIDCODE],GRAPHICS_PROPERTIES[TEMPLATE_ID]&amp;GRAPHICS_PROPERTIES[TEMPLATE_AMENDMENT_CODE])</f>
        <v>TPL_04A</v>
      </c>
    </row>
    <row r="772" spans="1:18" x14ac:dyDescent="0.35">
      <c r="A772" s="2" t="s">
        <v>135</v>
      </c>
      <c r="B772" s="21" t="str">
        <f>_xlfn.TEXTAFTER(CONTROL[[#This Row],[VEHIDCODE]],"_")</f>
        <v>Coach_Gen4_Comet_Commuter_Coach</v>
      </c>
      <c r="C772" t="str" cm="1">
        <f t="array" ref="C7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2" t="str" cm="1">
        <f t="array" ref="D7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2">
        <v>11053</v>
      </c>
      <c r="F772" s="32" t="s">
        <v>486</v>
      </c>
      <c r="G772" t="s">
        <v>523</v>
      </c>
      <c r="H772" s="2" t="b">
        <f>AND(CONTROL[[#This Row],[IS_WAGON_OR_COACH]]=TRUE,OR(RIGHT(CONTROL[[#This Row],[VEHIDCODE]],7)="Powered",RIGHT(CONTROL[[#This Row],[VEHIDCODE]],9)="Unpowered"))</f>
        <v>0</v>
      </c>
      <c r="I7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2" t="b">
        <f>ISNUMBER(_xlfn.XMATCH(CONTROL[[#This Row],[VEHIDCODE]],TRACK_TYPES[VEHIDCODE],0))</f>
        <v>1</v>
      </c>
      <c r="K772" t="b">
        <f>ISNUMBER(_xlfn.XMATCH(CONTROL[[#This Row],[VEHIDCODE]],PROPERTIES[VEHIDCODE],0))</f>
        <v>1</v>
      </c>
      <c r="L772" t="b">
        <f>ISNUMBER(_xlfn.XLOOKUP(CONTROL[[#This Row],[VEHIDCODE]],roster!A:A,roster!D:D))</f>
        <v>1</v>
      </c>
      <c r="M772" t="b">
        <f>ISNUMBER(_xlfn.XMATCH(CONTROL[[#This Row],[VEHIDCODE]],GRAPHICS_PROPERTIES[VEHIDCODE],0))</f>
        <v>1</v>
      </c>
      <c r="N772" s="21" t="str">
        <f>"item_"&amp;CONTROL[[#This Row],[VEHIDCODE]]</f>
        <v>item_mu_Coach_Gen4_Comet_Commuter_Coach</v>
      </c>
      <c r="O772" s="21" t="str">
        <f>"str_"&amp;CONTROL[[#This Row],[VEHIDCODE]]</f>
        <v>str_mu_Coach_Gen4_Comet_Commuter_Coach</v>
      </c>
      <c r="P772" s="7" t="b">
        <f>_xlfn.XLOOKUP(CONTROL[[#This Row],[VEHIDCODE]],PROPERTIES[VEHIDCODE],PROPERTIES[IS_CONCEPT])="IS_CONCEPT"</f>
        <v>0</v>
      </c>
      <c r="Q772" s="7" t="b">
        <f>_xlfn.XLOOKUP(CONTROL[[#This Row],[VEHIDCODE]],PROPERTIES[VEHIDCODE],PROPERTIES[EXCLUDE])</f>
        <v>0</v>
      </c>
      <c r="R772" t="str" cm="1">
        <f t="array" ref="R772">_xlfn.XLOOKUP(CONTROL[[#This Row],[VEHIDCODE]],GRAPHICS_PROPERTIES[VEHIDCODE],GRAPHICS_PROPERTIES[TEMPLATE_ID]&amp;GRAPHICS_PROPERTIES[TEMPLATE_AMENDMENT_CODE])</f>
        <v>TPL_04A</v>
      </c>
    </row>
    <row r="773" spans="1:18" x14ac:dyDescent="0.35">
      <c r="A773" s="2" t="s">
        <v>136</v>
      </c>
      <c r="B773" s="21" t="str">
        <f>_xlfn.TEXTAFTER(CONTROL[[#This Row],[VEHIDCODE]],"_")</f>
        <v>Coach_Gen4_Horizon_Regional_Coach</v>
      </c>
      <c r="C773" t="str" cm="1">
        <f t="array" ref="C7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3" t="str" cm="1">
        <f t="array" ref="D7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3">
        <v>11054</v>
      </c>
      <c r="F773" s="32" t="s">
        <v>487</v>
      </c>
      <c r="G773" t="s">
        <v>523</v>
      </c>
      <c r="H773" s="2" t="b">
        <f>AND(CONTROL[[#This Row],[IS_WAGON_OR_COACH]]=TRUE,OR(RIGHT(CONTROL[[#This Row],[VEHIDCODE]],7)="Powered",RIGHT(CONTROL[[#This Row],[VEHIDCODE]],9)="Unpowered"))</f>
        <v>0</v>
      </c>
      <c r="I7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3" t="b">
        <f>ISNUMBER(_xlfn.XMATCH(CONTROL[[#This Row],[VEHIDCODE]],TRACK_TYPES[VEHIDCODE],0))</f>
        <v>1</v>
      </c>
      <c r="K773" t="b">
        <f>ISNUMBER(_xlfn.XMATCH(CONTROL[[#This Row],[VEHIDCODE]],PROPERTIES[VEHIDCODE],0))</f>
        <v>1</v>
      </c>
      <c r="L773" t="b">
        <f>ISNUMBER(_xlfn.XLOOKUP(CONTROL[[#This Row],[VEHIDCODE]],roster!A:A,roster!D:D))</f>
        <v>1</v>
      </c>
      <c r="M773" t="b">
        <f>ISNUMBER(_xlfn.XMATCH(CONTROL[[#This Row],[VEHIDCODE]],GRAPHICS_PROPERTIES[VEHIDCODE],0))</f>
        <v>1</v>
      </c>
      <c r="N773" s="21" t="str">
        <f>"item_"&amp;CONTROL[[#This Row],[VEHIDCODE]]</f>
        <v>item_mu_Coach_Gen4_Horizon_Regional_Coach</v>
      </c>
      <c r="O773" s="21" t="str">
        <f>"str_"&amp;CONTROL[[#This Row],[VEHIDCODE]]</f>
        <v>str_mu_Coach_Gen4_Horizon_Regional_Coach</v>
      </c>
      <c r="P773" s="7" t="b">
        <f>_xlfn.XLOOKUP(CONTROL[[#This Row],[VEHIDCODE]],PROPERTIES[VEHIDCODE],PROPERTIES[IS_CONCEPT])="IS_CONCEPT"</f>
        <v>0</v>
      </c>
      <c r="Q773" s="7" t="b">
        <f>_xlfn.XLOOKUP(CONTROL[[#This Row],[VEHIDCODE]],PROPERTIES[VEHIDCODE],PROPERTIES[EXCLUDE])</f>
        <v>0</v>
      </c>
      <c r="R773" t="str" cm="1">
        <f t="array" ref="R773">_xlfn.XLOOKUP(CONTROL[[#This Row],[VEHIDCODE]],GRAPHICS_PROPERTIES[VEHIDCODE],GRAPHICS_PROPERTIES[TEMPLATE_ID]&amp;GRAPHICS_PROPERTIES[TEMPLATE_AMENDMENT_CODE])</f>
        <v>TPL_04A</v>
      </c>
    </row>
    <row r="774" spans="1:18" x14ac:dyDescent="0.35">
      <c r="A774" s="2" t="s">
        <v>137</v>
      </c>
      <c r="B774" s="21" t="str">
        <f>_xlfn.TEXTAFTER(CONTROL[[#This Row],[VEHIDCODE]],"_")</f>
        <v>Coach_Gen4_Horizon_Baggage_Coach</v>
      </c>
      <c r="C774" t="str" cm="1">
        <f t="array" ref="C7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4" t="str" cm="1">
        <f t="array" ref="D7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4">
        <v>11055</v>
      </c>
      <c r="F774" s="32" t="s">
        <v>488</v>
      </c>
      <c r="G774" t="s">
        <v>523</v>
      </c>
      <c r="H774" s="2" t="b">
        <f>AND(CONTROL[[#This Row],[IS_WAGON_OR_COACH]]=TRUE,OR(RIGHT(CONTROL[[#This Row],[VEHIDCODE]],7)="Powered",RIGHT(CONTROL[[#This Row],[VEHIDCODE]],9)="Unpowered"))</f>
        <v>0</v>
      </c>
      <c r="I7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4" t="b">
        <f>ISNUMBER(_xlfn.XMATCH(CONTROL[[#This Row],[VEHIDCODE]],TRACK_TYPES[VEHIDCODE],0))</f>
        <v>1</v>
      </c>
      <c r="K774" t="b">
        <f>ISNUMBER(_xlfn.XMATCH(CONTROL[[#This Row],[VEHIDCODE]],PROPERTIES[VEHIDCODE],0))</f>
        <v>1</v>
      </c>
      <c r="L774" t="b">
        <f>ISNUMBER(_xlfn.XLOOKUP(CONTROL[[#This Row],[VEHIDCODE]],roster!A:A,roster!D:D))</f>
        <v>1</v>
      </c>
      <c r="M774" t="b">
        <f>ISNUMBER(_xlfn.XMATCH(CONTROL[[#This Row],[VEHIDCODE]],GRAPHICS_PROPERTIES[VEHIDCODE],0))</f>
        <v>1</v>
      </c>
      <c r="N774" s="21" t="str">
        <f>"item_"&amp;CONTROL[[#This Row],[VEHIDCODE]]</f>
        <v>item_mu_Coach_Gen4_Horizon_Baggage_Coach</v>
      </c>
      <c r="O774" s="21" t="str">
        <f>"str_"&amp;CONTROL[[#This Row],[VEHIDCODE]]</f>
        <v>str_mu_Coach_Gen4_Horizon_Baggage_Coach</v>
      </c>
      <c r="P774" s="7" t="b">
        <f>_xlfn.XLOOKUP(CONTROL[[#This Row],[VEHIDCODE]],PROPERTIES[VEHIDCODE],PROPERTIES[IS_CONCEPT])="IS_CONCEPT"</f>
        <v>0</v>
      </c>
      <c r="Q774" s="7" t="b">
        <f>_xlfn.XLOOKUP(CONTROL[[#This Row],[VEHIDCODE]],PROPERTIES[VEHIDCODE],PROPERTIES[EXCLUDE])</f>
        <v>0</v>
      </c>
      <c r="R774" t="str" cm="1">
        <f t="array" ref="R774">_xlfn.XLOOKUP(CONTROL[[#This Row],[VEHIDCODE]],GRAPHICS_PROPERTIES[VEHIDCODE],GRAPHICS_PROPERTIES[TEMPLATE_ID]&amp;GRAPHICS_PROPERTIES[TEMPLATE_AMENDMENT_CODE])</f>
        <v>TPL_04A</v>
      </c>
    </row>
    <row r="775" spans="1:18" x14ac:dyDescent="0.35">
      <c r="A775" s="2" t="s">
        <v>138</v>
      </c>
      <c r="B775" s="21" t="str">
        <f>_xlfn.TEXTAFTER(CONTROL[[#This Row],[VEHIDCODE]],"_")</f>
        <v>Coach_Gen4_Bombardier_Bi_level</v>
      </c>
      <c r="C775" t="str" cm="1">
        <f t="array" ref="C7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5" t="str" cm="1">
        <f t="array" ref="D7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5">
        <v>11056</v>
      </c>
      <c r="F775" s="32" t="s">
        <v>489</v>
      </c>
      <c r="G775" t="s">
        <v>523</v>
      </c>
      <c r="H775" s="2" t="b">
        <f>AND(CONTROL[[#This Row],[IS_WAGON_OR_COACH]]=TRUE,OR(RIGHT(CONTROL[[#This Row],[VEHIDCODE]],7)="Powered",RIGHT(CONTROL[[#This Row],[VEHIDCODE]],9)="Unpowered"))</f>
        <v>0</v>
      </c>
      <c r="I7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5" t="b">
        <f>ISNUMBER(_xlfn.XMATCH(CONTROL[[#This Row],[VEHIDCODE]],TRACK_TYPES[VEHIDCODE],0))</f>
        <v>1</v>
      </c>
      <c r="K775" t="b">
        <f>ISNUMBER(_xlfn.XMATCH(CONTROL[[#This Row],[VEHIDCODE]],PROPERTIES[VEHIDCODE],0))</f>
        <v>1</v>
      </c>
      <c r="L775" t="b">
        <f>ISNUMBER(_xlfn.XLOOKUP(CONTROL[[#This Row],[VEHIDCODE]],roster!A:A,roster!D:D))</f>
        <v>1</v>
      </c>
      <c r="M775" t="b">
        <f>ISNUMBER(_xlfn.XMATCH(CONTROL[[#This Row],[VEHIDCODE]],GRAPHICS_PROPERTIES[VEHIDCODE],0))</f>
        <v>1</v>
      </c>
      <c r="N775" s="21" t="str">
        <f>"item_"&amp;CONTROL[[#This Row],[VEHIDCODE]]</f>
        <v>item_mu_Coach_Gen4_Bombardier_Bi_level</v>
      </c>
      <c r="O775" s="21" t="str">
        <f>"str_"&amp;CONTROL[[#This Row],[VEHIDCODE]]</f>
        <v>str_mu_Coach_Gen4_Bombardier_Bi_level</v>
      </c>
      <c r="P775" s="7" t="b">
        <f>_xlfn.XLOOKUP(CONTROL[[#This Row],[VEHIDCODE]],PROPERTIES[VEHIDCODE],PROPERTIES[IS_CONCEPT])="IS_CONCEPT"</f>
        <v>0</v>
      </c>
      <c r="Q775" s="7" t="b">
        <f>_xlfn.XLOOKUP(CONTROL[[#This Row],[VEHIDCODE]],PROPERTIES[VEHIDCODE],PROPERTIES[EXCLUDE])</f>
        <v>0</v>
      </c>
      <c r="R775" t="str" cm="1">
        <f t="array" ref="R775">_xlfn.XLOOKUP(CONTROL[[#This Row],[VEHIDCODE]],GRAPHICS_PROPERTIES[VEHIDCODE],GRAPHICS_PROPERTIES[TEMPLATE_ID]&amp;GRAPHICS_PROPERTIES[TEMPLATE_AMENDMENT_CODE])</f>
        <v>TPL_04A</v>
      </c>
    </row>
    <row r="776" spans="1:18" x14ac:dyDescent="0.35">
      <c r="A776" s="2" t="s">
        <v>139</v>
      </c>
      <c r="B776" s="21" t="str">
        <f>_xlfn.TEXTAFTER(CONTROL[[#This Row],[VEHIDCODE]],"_")</f>
        <v>Coach_Gen5_High_Speed_Coach</v>
      </c>
      <c r="C776" t="str" cm="1">
        <f t="array" ref="C7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76" t="str" cm="1">
        <f t="array" ref="D7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6">
        <v>11057</v>
      </c>
      <c r="F776" s="32" t="s">
        <v>490</v>
      </c>
      <c r="G776" t="s">
        <v>523</v>
      </c>
      <c r="H776" s="2" t="b">
        <f>AND(CONTROL[[#This Row],[IS_WAGON_OR_COACH]]=TRUE,OR(RIGHT(CONTROL[[#This Row],[VEHIDCODE]],7)="Powered",RIGHT(CONTROL[[#This Row],[VEHIDCODE]],9)="Unpowered"))</f>
        <v>0</v>
      </c>
      <c r="I7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6" t="b">
        <f>ISNUMBER(_xlfn.XMATCH(CONTROL[[#This Row],[VEHIDCODE]],TRACK_TYPES[VEHIDCODE],0))</f>
        <v>1</v>
      </c>
      <c r="K776" t="b">
        <f>ISNUMBER(_xlfn.XMATCH(CONTROL[[#This Row],[VEHIDCODE]],PROPERTIES[VEHIDCODE],0))</f>
        <v>1</v>
      </c>
      <c r="L776" t="b">
        <f>ISNUMBER(_xlfn.XLOOKUP(CONTROL[[#This Row],[VEHIDCODE]],roster!A:A,roster!D:D))</f>
        <v>1</v>
      </c>
      <c r="M776" t="b">
        <f>ISNUMBER(_xlfn.XMATCH(CONTROL[[#This Row],[VEHIDCODE]],GRAPHICS_PROPERTIES[VEHIDCODE],0))</f>
        <v>1</v>
      </c>
      <c r="N776" s="21" t="str">
        <f>"item_"&amp;CONTROL[[#This Row],[VEHIDCODE]]</f>
        <v>item_mu_Coach_Gen5_High_Speed_Coach</v>
      </c>
      <c r="O776" s="21" t="str">
        <f>"str_"&amp;CONTROL[[#This Row],[VEHIDCODE]]</f>
        <v>str_mu_Coach_Gen5_High_Speed_Coach</v>
      </c>
      <c r="P776" s="7" t="b">
        <f>_xlfn.XLOOKUP(CONTROL[[#This Row],[VEHIDCODE]],PROPERTIES[VEHIDCODE],PROPERTIES[IS_CONCEPT])="IS_CONCEPT"</f>
        <v>0</v>
      </c>
      <c r="Q776" s="7" t="b">
        <f>_xlfn.XLOOKUP(CONTROL[[#This Row],[VEHIDCODE]],PROPERTIES[VEHIDCODE],PROPERTIES[EXCLUDE])</f>
        <v>0</v>
      </c>
      <c r="R776" t="str" cm="1">
        <f t="array" ref="R776">_xlfn.XLOOKUP(CONTROL[[#This Row],[VEHIDCODE]],GRAPHICS_PROPERTIES[VEHIDCODE],GRAPHICS_PROPERTIES[TEMPLATE_ID]&amp;GRAPHICS_PROPERTIES[TEMPLATE_AMENDMENT_CODE])</f>
        <v>TPL_04A</v>
      </c>
    </row>
    <row r="777" spans="1:18" x14ac:dyDescent="0.35">
      <c r="A777" s="2" t="s">
        <v>140</v>
      </c>
      <c r="B777" s="21" t="str">
        <f>_xlfn.TEXTAFTER(CONTROL[[#This Row],[VEHIDCODE]],"_")</f>
        <v>Coach_Gen5_Modern_Regional_Coach</v>
      </c>
      <c r="C777" t="str" cm="1">
        <f t="array" ref="C7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77" t="str" cm="1">
        <f t="array" ref="D7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7">
        <v>11058</v>
      </c>
      <c r="F777" s="32" t="s">
        <v>491</v>
      </c>
      <c r="G777" t="s">
        <v>523</v>
      </c>
      <c r="H777" s="2" t="b">
        <f>AND(CONTROL[[#This Row],[IS_WAGON_OR_COACH]]=TRUE,OR(RIGHT(CONTROL[[#This Row],[VEHIDCODE]],7)="Powered",RIGHT(CONTROL[[#This Row],[VEHIDCODE]],9)="Unpowered"))</f>
        <v>0</v>
      </c>
      <c r="I7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7" t="b">
        <f>ISNUMBER(_xlfn.XMATCH(CONTROL[[#This Row],[VEHIDCODE]],TRACK_TYPES[VEHIDCODE],0))</f>
        <v>1</v>
      </c>
      <c r="K777" t="b">
        <f>ISNUMBER(_xlfn.XMATCH(CONTROL[[#This Row],[VEHIDCODE]],PROPERTIES[VEHIDCODE],0))</f>
        <v>1</v>
      </c>
      <c r="L777" t="b">
        <f>ISNUMBER(_xlfn.XLOOKUP(CONTROL[[#This Row],[VEHIDCODE]],roster!A:A,roster!D:D))</f>
        <v>1</v>
      </c>
      <c r="M777" t="b">
        <f>ISNUMBER(_xlfn.XMATCH(CONTROL[[#This Row],[VEHIDCODE]],GRAPHICS_PROPERTIES[VEHIDCODE],0))</f>
        <v>1</v>
      </c>
      <c r="N777" s="21" t="str">
        <f>"item_"&amp;CONTROL[[#This Row],[VEHIDCODE]]</f>
        <v>item_mu_Coach_Gen5_Modern_Regional_Coach</v>
      </c>
      <c r="O777" s="21" t="str">
        <f>"str_"&amp;CONTROL[[#This Row],[VEHIDCODE]]</f>
        <v>str_mu_Coach_Gen5_Modern_Regional_Coach</v>
      </c>
      <c r="P777" s="7" t="b">
        <f>_xlfn.XLOOKUP(CONTROL[[#This Row],[VEHIDCODE]],PROPERTIES[VEHIDCODE],PROPERTIES[IS_CONCEPT])="IS_CONCEPT"</f>
        <v>0</v>
      </c>
      <c r="Q777" s="7" t="b">
        <f>_xlfn.XLOOKUP(CONTROL[[#This Row],[VEHIDCODE]],PROPERTIES[VEHIDCODE],PROPERTIES[EXCLUDE])</f>
        <v>0</v>
      </c>
      <c r="R777" t="str" cm="1">
        <f t="array" ref="R777">_xlfn.XLOOKUP(CONTROL[[#This Row],[VEHIDCODE]],GRAPHICS_PROPERTIES[VEHIDCODE],GRAPHICS_PROPERTIES[TEMPLATE_ID]&amp;GRAPHICS_PROPERTIES[TEMPLATE_AMENDMENT_CODE])</f>
        <v>TPL_04A</v>
      </c>
    </row>
    <row r="778" spans="1:18" x14ac:dyDescent="0.35">
      <c r="A778" s="2" t="s">
        <v>141</v>
      </c>
      <c r="B778" s="21" t="str">
        <f>_xlfn.TEXTAFTER(CONTROL[[#This Row],[VEHIDCODE]],"_")</f>
        <v>Coach_Gen5_Modern_Commuter_Coach</v>
      </c>
      <c r="C778" t="str" cm="1">
        <f t="array" ref="C7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78" t="str" cm="1">
        <f t="array" ref="D7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8">
        <v>11059</v>
      </c>
      <c r="F778" s="32" t="s">
        <v>492</v>
      </c>
      <c r="G778" t="s">
        <v>523</v>
      </c>
      <c r="H778" s="2" t="b">
        <f>AND(CONTROL[[#This Row],[IS_WAGON_OR_COACH]]=TRUE,OR(RIGHT(CONTROL[[#This Row],[VEHIDCODE]],7)="Powered",RIGHT(CONTROL[[#This Row],[VEHIDCODE]],9)="Unpowered"))</f>
        <v>0</v>
      </c>
      <c r="I7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8" t="b">
        <f>ISNUMBER(_xlfn.XMATCH(CONTROL[[#This Row],[VEHIDCODE]],TRACK_TYPES[VEHIDCODE],0))</f>
        <v>1</v>
      </c>
      <c r="K778" t="b">
        <f>ISNUMBER(_xlfn.XMATCH(CONTROL[[#This Row],[VEHIDCODE]],PROPERTIES[VEHIDCODE],0))</f>
        <v>1</v>
      </c>
      <c r="L778" t="b">
        <f>ISNUMBER(_xlfn.XLOOKUP(CONTROL[[#This Row],[VEHIDCODE]],roster!A:A,roster!D:D))</f>
        <v>1</v>
      </c>
      <c r="M778" t="b">
        <f>ISNUMBER(_xlfn.XMATCH(CONTROL[[#This Row],[VEHIDCODE]],GRAPHICS_PROPERTIES[VEHIDCODE],0))</f>
        <v>1</v>
      </c>
      <c r="N778" s="21" t="str">
        <f>"item_"&amp;CONTROL[[#This Row],[VEHIDCODE]]</f>
        <v>item_mu_Coach_Gen5_Modern_Commuter_Coach</v>
      </c>
      <c r="O778" s="21" t="str">
        <f>"str_"&amp;CONTROL[[#This Row],[VEHIDCODE]]</f>
        <v>str_mu_Coach_Gen5_Modern_Commuter_Coach</v>
      </c>
      <c r="P778" s="7" t="b">
        <f>_xlfn.XLOOKUP(CONTROL[[#This Row],[VEHIDCODE]],PROPERTIES[VEHIDCODE],PROPERTIES[IS_CONCEPT])="IS_CONCEPT"</f>
        <v>0</v>
      </c>
      <c r="Q778" s="7" t="b">
        <f>_xlfn.XLOOKUP(CONTROL[[#This Row],[VEHIDCODE]],PROPERTIES[VEHIDCODE],PROPERTIES[EXCLUDE])</f>
        <v>0</v>
      </c>
      <c r="R778" t="str" cm="1">
        <f t="array" ref="R778">_xlfn.XLOOKUP(CONTROL[[#This Row],[VEHIDCODE]],GRAPHICS_PROPERTIES[VEHIDCODE],GRAPHICS_PROPERTIES[TEMPLATE_ID]&amp;GRAPHICS_PROPERTIES[TEMPLATE_AMENDMENT_CODE])</f>
        <v>TPL_04A</v>
      </c>
    </row>
    <row r="779" spans="1:18" x14ac:dyDescent="0.35">
      <c r="A779" s="2" t="s">
        <v>142</v>
      </c>
      <c r="B779" s="21" t="str">
        <f>_xlfn.TEXTAFTER(CONTROL[[#This Row],[VEHIDCODE]],"_")</f>
        <v>Coach_Gen5_Modern_Double_Decker_Coach</v>
      </c>
      <c r="C779" t="str" cm="1">
        <f t="array" ref="C7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79" t="str" cm="1">
        <f t="array" ref="D7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9">
        <v>11060</v>
      </c>
      <c r="F779" s="32" t="s">
        <v>493</v>
      </c>
      <c r="G779" t="s">
        <v>523</v>
      </c>
      <c r="H779" s="2" t="b">
        <f>AND(CONTROL[[#This Row],[IS_WAGON_OR_COACH]]=TRUE,OR(RIGHT(CONTROL[[#This Row],[VEHIDCODE]],7)="Powered",RIGHT(CONTROL[[#This Row],[VEHIDCODE]],9)="Unpowered"))</f>
        <v>0</v>
      </c>
      <c r="I7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9" t="b">
        <f>ISNUMBER(_xlfn.XMATCH(CONTROL[[#This Row],[VEHIDCODE]],TRACK_TYPES[VEHIDCODE],0))</f>
        <v>1</v>
      </c>
      <c r="K779" t="b">
        <f>ISNUMBER(_xlfn.XMATCH(CONTROL[[#This Row],[VEHIDCODE]],PROPERTIES[VEHIDCODE],0))</f>
        <v>1</v>
      </c>
      <c r="L779" t="b">
        <f>ISNUMBER(_xlfn.XLOOKUP(CONTROL[[#This Row],[VEHIDCODE]],roster!A:A,roster!D:D))</f>
        <v>1</v>
      </c>
      <c r="M779" t="b">
        <f>ISNUMBER(_xlfn.XMATCH(CONTROL[[#This Row],[VEHIDCODE]],GRAPHICS_PROPERTIES[VEHIDCODE],0))</f>
        <v>1</v>
      </c>
      <c r="N779" s="21" t="str">
        <f>"item_"&amp;CONTROL[[#This Row],[VEHIDCODE]]</f>
        <v>item_mu_Coach_Gen5_Modern_Double_Decker_Coach</v>
      </c>
      <c r="O779" s="21" t="str">
        <f>"str_"&amp;CONTROL[[#This Row],[VEHIDCODE]]</f>
        <v>str_mu_Coach_Gen5_Modern_Double_Decker_Coach</v>
      </c>
      <c r="P779" s="7" t="b">
        <f>_xlfn.XLOOKUP(CONTROL[[#This Row],[VEHIDCODE]],PROPERTIES[VEHIDCODE],PROPERTIES[IS_CONCEPT])="IS_CONCEPT"</f>
        <v>0</v>
      </c>
      <c r="Q779" s="7" t="b">
        <f>_xlfn.XLOOKUP(CONTROL[[#This Row],[VEHIDCODE]],PROPERTIES[VEHIDCODE],PROPERTIES[EXCLUDE])</f>
        <v>0</v>
      </c>
      <c r="R779" t="str" cm="1">
        <f t="array" ref="R779">_xlfn.XLOOKUP(CONTROL[[#This Row],[VEHIDCODE]],GRAPHICS_PROPERTIES[VEHIDCODE],GRAPHICS_PROPERTIES[TEMPLATE_ID]&amp;GRAPHICS_PROPERTIES[TEMPLATE_AMENDMENT_CODE])</f>
        <v>TPL_04A</v>
      </c>
    </row>
    <row r="780" spans="1:18" x14ac:dyDescent="0.35">
      <c r="A780" s="2" t="s">
        <v>143</v>
      </c>
      <c r="B780" s="21" t="str">
        <f>_xlfn.TEXTAFTER(CONTROL[[#This Row],[VEHIDCODE]],"_")</f>
        <v>Coach_Gen5_High_Speed_Double_Decker_IC2000</v>
      </c>
      <c r="C780" t="str" cm="1">
        <f t="array" ref="C7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80" t="str" cm="1">
        <f t="array" ref="D7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0">
        <v>11061</v>
      </c>
      <c r="F780" s="32" t="s">
        <v>494</v>
      </c>
      <c r="G780" t="s">
        <v>523</v>
      </c>
      <c r="H780" s="2" t="b">
        <f>AND(CONTROL[[#This Row],[IS_WAGON_OR_COACH]]=TRUE,OR(RIGHT(CONTROL[[#This Row],[VEHIDCODE]],7)="Powered",RIGHT(CONTROL[[#This Row],[VEHIDCODE]],9)="Unpowered"))</f>
        <v>0</v>
      </c>
      <c r="I7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0" t="b">
        <f>ISNUMBER(_xlfn.XMATCH(CONTROL[[#This Row],[VEHIDCODE]],TRACK_TYPES[VEHIDCODE],0))</f>
        <v>1</v>
      </c>
      <c r="K780" t="b">
        <f>ISNUMBER(_xlfn.XMATCH(CONTROL[[#This Row],[VEHIDCODE]],PROPERTIES[VEHIDCODE],0))</f>
        <v>1</v>
      </c>
      <c r="L780" t="b">
        <f>ISNUMBER(_xlfn.XLOOKUP(CONTROL[[#This Row],[VEHIDCODE]],roster!A:A,roster!D:D))</f>
        <v>1</v>
      </c>
      <c r="M780" t="b">
        <f>ISNUMBER(_xlfn.XMATCH(CONTROL[[#This Row],[VEHIDCODE]],GRAPHICS_PROPERTIES[VEHIDCODE],0))</f>
        <v>1</v>
      </c>
      <c r="N780" s="21" t="str">
        <f>"item_"&amp;CONTROL[[#This Row],[VEHIDCODE]]</f>
        <v>item_mu_Coach_Gen5_High_Speed_Double_Decker_IC2000</v>
      </c>
      <c r="O780" s="21" t="str">
        <f>"str_"&amp;CONTROL[[#This Row],[VEHIDCODE]]</f>
        <v>str_mu_Coach_Gen5_High_Speed_Double_Decker_IC2000</v>
      </c>
      <c r="P780" s="7" t="b">
        <f>_xlfn.XLOOKUP(CONTROL[[#This Row],[VEHIDCODE]],PROPERTIES[VEHIDCODE],PROPERTIES[IS_CONCEPT])="IS_CONCEPT"</f>
        <v>0</v>
      </c>
      <c r="Q780" s="7" t="b">
        <f>_xlfn.XLOOKUP(CONTROL[[#This Row],[VEHIDCODE]],PROPERTIES[VEHIDCODE],PROPERTIES[EXCLUDE])</f>
        <v>0</v>
      </c>
      <c r="R780" t="str" cm="1">
        <f t="array" ref="R780">_xlfn.XLOOKUP(CONTROL[[#This Row],[VEHIDCODE]],GRAPHICS_PROPERTIES[VEHIDCODE],GRAPHICS_PROPERTIES[TEMPLATE_ID]&amp;GRAPHICS_PROPERTIES[TEMPLATE_AMENDMENT_CODE])</f>
        <v>TPL_04A</v>
      </c>
    </row>
    <row r="781" spans="1:18" x14ac:dyDescent="0.35">
      <c r="A781" s="2" t="s">
        <v>144</v>
      </c>
      <c r="B781" s="21" t="str">
        <f>_xlfn.TEXTAFTER(CONTROL[[#This Row],[VEHIDCODE]],"_")</f>
        <v>Coach_Gen5_High_Speed_Mail_Coach</v>
      </c>
      <c r="C781" t="str" cm="1">
        <f t="array" ref="C7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81" t="str" cm="1">
        <f t="array" ref="D7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1">
        <v>11062</v>
      </c>
      <c r="F781" s="32" t="s">
        <v>495</v>
      </c>
      <c r="G781" t="s">
        <v>523</v>
      </c>
      <c r="H781" s="2" t="b">
        <f>AND(CONTROL[[#This Row],[IS_WAGON_OR_COACH]]=TRUE,OR(RIGHT(CONTROL[[#This Row],[VEHIDCODE]],7)="Powered",RIGHT(CONTROL[[#This Row],[VEHIDCODE]],9)="Unpowered"))</f>
        <v>0</v>
      </c>
      <c r="I7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1" t="b">
        <f>ISNUMBER(_xlfn.XMATCH(CONTROL[[#This Row],[VEHIDCODE]],TRACK_TYPES[VEHIDCODE],0))</f>
        <v>1</v>
      </c>
      <c r="K781" t="b">
        <f>ISNUMBER(_xlfn.XMATCH(CONTROL[[#This Row],[VEHIDCODE]],PROPERTIES[VEHIDCODE],0))</f>
        <v>1</v>
      </c>
      <c r="L781" t="b">
        <f>ISNUMBER(_xlfn.XLOOKUP(CONTROL[[#This Row],[VEHIDCODE]],roster!A:A,roster!D:D))</f>
        <v>1</v>
      </c>
      <c r="M781" t="b">
        <f>ISNUMBER(_xlfn.XMATCH(CONTROL[[#This Row],[VEHIDCODE]],GRAPHICS_PROPERTIES[VEHIDCODE],0))</f>
        <v>1</v>
      </c>
      <c r="N781" s="21" t="str">
        <f>"item_"&amp;CONTROL[[#This Row],[VEHIDCODE]]</f>
        <v>item_mu_Coach_Gen5_High_Speed_Mail_Coach</v>
      </c>
      <c r="O781" s="21" t="str">
        <f>"str_"&amp;CONTROL[[#This Row],[VEHIDCODE]]</f>
        <v>str_mu_Coach_Gen5_High_Speed_Mail_Coach</v>
      </c>
      <c r="P781" s="7" t="b">
        <f>_xlfn.XLOOKUP(CONTROL[[#This Row],[VEHIDCODE]],PROPERTIES[VEHIDCODE],PROPERTIES[IS_CONCEPT])="IS_CONCEPT"</f>
        <v>0</v>
      </c>
      <c r="Q781" s="7" t="b">
        <f>_xlfn.XLOOKUP(CONTROL[[#This Row],[VEHIDCODE]],PROPERTIES[VEHIDCODE],PROPERTIES[EXCLUDE])</f>
        <v>0</v>
      </c>
      <c r="R781" t="str" cm="1">
        <f t="array" ref="R781">_xlfn.XLOOKUP(CONTROL[[#This Row],[VEHIDCODE]],GRAPHICS_PROPERTIES[VEHIDCODE],GRAPHICS_PROPERTIES[TEMPLATE_ID]&amp;GRAPHICS_PROPERTIES[TEMPLATE_AMENDMENT_CODE])</f>
        <v>TPL_04A</v>
      </c>
    </row>
    <row r="782" spans="1:18" x14ac:dyDescent="0.35">
      <c r="A782" s="2" t="s">
        <v>145</v>
      </c>
      <c r="B782" s="21" t="str">
        <f>_xlfn.TEXTAFTER(CONTROL[[#This Row],[VEHIDCODE]],"_")</f>
        <v>Coach_Gen5_Talgo_Pendular</v>
      </c>
      <c r="C782" t="str" cm="1">
        <f t="array" ref="C7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82" t="str" cm="1">
        <f t="array" ref="D7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2">
        <v>11063</v>
      </c>
      <c r="F782" s="32" t="s">
        <v>496</v>
      </c>
      <c r="G782" t="s">
        <v>523</v>
      </c>
      <c r="H782" s="2" t="b">
        <f>AND(CONTROL[[#This Row],[IS_WAGON_OR_COACH]]=TRUE,OR(RIGHT(CONTROL[[#This Row],[VEHIDCODE]],7)="Powered",RIGHT(CONTROL[[#This Row],[VEHIDCODE]],9)="Unpowered"))</f>
        <v>0</v>
      </c>
      <c r="I7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2" t="b">
        <f>ISNUMBER(_xlfn.XMATCH(CONTROL[[#This Row],[VEHIDCODE]],TRACK_TYPES[VEHIDCODE],0))</f>
        <v>1</v>
      </c>
      <c r="K782" t="b">
        <f>ISNUMBER(_xlfn.XMATCH(CONTROL[[#This Row],[VEHIDCODE]],PROPERTIES[VEHIDCODE],0))</f>
        <v>1</v>
      </c>
      <c r="L782" t="b">
        <f>ISNUMBER(_xlfn.XLOOKUP(CONTROL[[#This Row],[VEHIDCODE]],roster!A:A,roster!D:D))</f>
        <v>1</v>
      </c>
      <c r="M782" t="b">
        <f>ISNUMBER(_xlfn.XMATCH(CONTROL[[#This Row],[VEHIDCODE]],GRAPHICS_PROPERTIES[VEHIDCODE],0))</f>
        <v>1</v>
      </c>
      <c r="N782" s="21" t="str">
        <f>"item_"&amp;CONTROL[[#This Row],[VEHIDCODE]]</f>
        <v>item_mu_Coach_Gen5_Talgo_Pendular</v>
      </c>
      <c r="O782" s="21" t="str">
        <f>"str_"&amp;CONTROL[[#This Row],[VEHIDCODE]]</f>
        <v>str_mu_Coach_Gen5_Talgo_Pendular</v>
      </c>
      <c r="P782" s="7" t="b">
        <f>_xlfn.XLOOKUP(CONTROL[[#This Row],[VEHIDCODE]],PROPERTIES[VEHIDCODE],PROPERTIES[IS_CONCEPT])="IS_CONCEPT"</f>
        <v>0</v>
      </c>
      <c r="Q782" s="7" t="b">
        <f>_xlfn.XLOOKUP(CONTROL[[#This Row],[VEHIDCODE]],PROPERTIES[VEHIDCODE],PROPERTIES[EXCLUDE])</f>
        <v>0</v>
      </c>
      <c r="R782" t="str" cm="1">
        <f t="array" ref="R782">_xlfn.XLOOKUP(CONTROL[[#This Row],[VEHIDCODE]],GRAPHICS_PROPERTIES[VEHIDCODE],GRAPHICS_PROPERTIES[TEMPLATE_ID]&amp;GRAPHICS_PROPERTIES[TEMPLATE_AMENDMENT_CODE])</f>
        <v>TPL_04S</v>
      </c>
    </row>
    <row r="783" spans="1:18" x14ac:dyDescent="0.35">
      <c r="A783" s="2" t="s">
        <v>146</v>
      </c>
      <c r="B783" s="21" t="str">
        <f>_xlfn.TEXTAFTER(CONTROL[[#This Row],[VEHIDCODE]],"_")</f>
        <v>Coach_Gen5_Talgo_Pendular_Mail</v>
      </c>
      <c r="C783" t="str" cm="1">
        <f t="array" ref="C7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83" t="str" cm="1">
        <f t="array" ref="D7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3">
        <v>11064</v>
      </c>
      <c r="F783" s="32" t="s">
        <v>497</v>
      </c>
      <c r="G783" t="s">
        <v>523</v>
      </c>
      <c r="H783" s="2" t="b">
        <f>AND(CONTROL[[#This Row],[IS_WAGON_OR_COACH]]=TRUE,OR(RIGHT(CONTROL[[#This Row],[VEHIDCODE]],7)="Powered",RIGHT(CONTROL[[#This Row],[VEHIDCODE]],9)="Unpowered"))</f>
        <v>0</v>
      </c>
      <c r="I7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3" t="b">
        <f>ISNUMBER(_xlfn.XMATCH(CONTROL[[#This Row],[VEHIDCODE]],TRACK_TYPES[VEHIDCODE],0))</f>
        <v>1</v>
      </c>
      <c r="K783" t="b">
        <f>ISNUMBER(_xlfn.XMATCH(CONTROL[[#This Row],[VEHIDCODE]],PROPERTIES[VEHIDCODE],0))</f>
        <v>1</v>
      </c>
      <c r="L783" t="b">
        <f>ISNUMBER(_xlfn.XLOOKUP(CONTROL[[#This Row],[VEHIDCODE]],roster!A:A,roster!D:D))</f>
        <v>1</v>
      </c>
      <c r="M783" t="b">
        <f>ISNUMBER(_xlfn.XMATCH(CONTROL[[#This Row],[VEHIDCODE]],GRAPHICS_PROPERTIES[VEHIDCODE],0))</f>
        <v>1</v>
      </c>
      <c r="N783" s="21" t="str">
        <f>"item_"&amp;CONTROL[[#This Row],[VEHIDCODE]]</f>
        <v>item_mu_Coach_Gen5_Talgo_Pendular_Mail</v>
      </c>
      <c r="O783" s="21" t="str">
        <f>"str_"&amp;CONTROL[[#This Row],[VEHIDCODE]]</f>
        <v>str_mu_Coach_Gen5_Talgo_Pendular_Mail</v>
      </c>
      <c r="P783" s="7" t="b">
        <f>_xlfn.XLOOKUP(CONTROL[[#This Row],[VEHIDCODE]],PROPERTIES[VEHIDCODE],PROPERTIES[IS_CONCEPT])="IS_CONCEPT"</f>
        <v>0</v>
      </c>
      <c r="Q783" s="7" t="b">
        <f>_xlfn.XLOOKUP(CONTROL[[#This Row],[VEHIDCODE]],PROPERTIES[VEHIDCODE],PROPERTIES[EXCLUDE])</f>
        <v>0</v>
      </c>
      <c r="R783" t="str" cm="1">
        <f t="array" ref="R783">_xlfn.XLOOKUP(CONTROL[[#This Row],[VEHIDCODE]],GRAPHICS_PROPERTIES[VEHIDCODE],GRAPHICS_PROPERTIES[TEMPLATE_ID]&amp;GRAPHICS_PROPERTIES[TEMPLATE_AMENDMENT_CODE])</f>
        <v>TPL_04S</v>
      </c>
    </row>
    <row r="784" spans="1:18" x14ac:dyDescent="0.35">
      <c r="A784" s="2" t="s">
        <v>147</v>
      </c>
      <c r="B784" s="21" t="str">
        <f>_xlfn.TEXTAFTER(CONTROL[[#This Row],[VEHIDCODE]],"_")</f>
        <v>Coach_Gen6_Grand_Voyager_Coach</v>
      </c>
      <c r="C784" t="str" cm="1">
        <f t="array" ref="C7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4" t="str" cm="1">
        <f t="array" ref="D7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4">
        <v>11065</v>
      </c>
      <c r="F784" s="32" t="s">
        <v>498</v>
      </c>
      <c r="G784" t="s">
        <v>523</v>
      </c>
      <c r="H784" s="2" t="b">
        <f>AND(CONTROL[[#This Row],[IS_WAGON_OR_COACH]]=TRUE,OR(RIGHT(CONTROL[[#This Row],[VEHIDCODE]],7)="Powered",RIGHT(CONTROL[[#This Row],[VEHIDCODE]],9)="Unpowered"))</f>
        <v>0</v>
      </c>
      <c r="I7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4" t="b">
        <f>ISNUMBER(_xlfn.XMATCH(CONTROL[[#This Row],[VEHIDCODE]],TRACK_TYPES[VEHIDCODE],0))</f>
        <v>1</v>
      </c>
      <c r="K784" t="b">
        <f>ISNUMBER(_xlfn.XMATCH(CONTROL[[#This Row],[VEHIDCODE]],PROPERTIES[VEHIDCODE],0))</f>
        <v>1</v>
      </c>
      <c r="L784" t="b">
        <f>ISNUMBER(_xlfn.XLOOKUP(CONTROL[[#This Row],[VEHIDCODE]],roster!A:A,roster!D:D))</f>
        <v>1</v>
      </c>
      <c r="M784" t="b">
        <f>ISNUMBER(_xlfn.XMATCH(CONTROL[[#This Row],[VEHIDCODE]],GRAPHICS_PROPERTIES[VEHIDCODE],0))</f>
        <v>1</v>
      </c>
      <c r="N784" s="21" t="str">
        <f>"item_"&amp;CONTROL[[#This Row],[VEHIDCODE]]</f>
        <v>item_mu_Coach_Gen6_Grand_Voyager_Coach</v>
      </c>
      <c r="O784" s="21" t="str">
        <f>"str_"&amp;CONTROL[[#This Row],[VEHIDCODE]]</f>
        <v>str_mu_Coach_Gen6_Grand_Voyager_Coach</v>
      </c>
      <c r="P784" s="7" t="b">
        <f>_xlfn.XLOOKUP(CONTROL[[#This Row],[VEHIDCODE]],PROPERTIES[VEHIDCODE],PROPERTIES[IS_CONCEPT])="IS_CONCEPT"</f>
        <v>0</v>
      </c>
      <c r="Q784" s="7" t="b">
        <f>_xlfn.XLOOKUP(CONTROL[[#This Row],[VEHIDCODE]],PROPERTIES[VEHIDCODE],PROPERTIES[EXCLUDE])</f>
        <v>0</v>
      </c>
      <c r="R784" t="str" cm="1">
        <f t="array" ref="R784">_xlfn.XLOOKUP(CONTROL[[#This Row],[VEHIDCODE]],GRAPHICS_PROPERTIES[VEHIDCODE],GRAPHICS_PROPERTIES[TEMPLATE_ID]&amp;GRAPHICS_PROPERTIES[TEMPLATE_AMENDMENT_CODE])</f>
        <v>TPL_04A</v>
      </c>
    </row>
    <row r="785" spans="1:18" x14ac:dyDescent="0.35">
      <c r="A785" s="2" t="s">
        <v>148</v>
      </c>
      <c r="B785" s="21" t="str">
        <f>_xlfn.TEXTAFTER(CONTROL[[#This Row],[VEHIDCODE]],"_")</f>
        <v>Coach_Gen6_Grand_Regio_Coach</v>
      </c>
      <c r="C785" t="str" cm="1">
        <f t="array" ref="C7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5" t="str" cm="1">
        <f t="array" ref="D7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5">
        <v>11066</v>
      </c>
      <c r="F785" s="32" t="s">
        <v>499</v>
      </c>
      <c r="G785" t="s">
        <v>523</v>
      </c>
      <c r="H785" s="2" t="b">
        <f>AND(CONTROL[[#This Row],[IS_WAGON_OR_COACH]]=TRUE,OR(RIGHT(CONTROL[[#This Row],[VEHIDCODE]],7)="Powered",RIGHT(CONTROL[[#This Row],[VEHIDCODE]],9)="Unpowered"))</f>
        <v>0</v>
      </c>
      <c r="I7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5" t="b">
        <f>ISNUMBER(_xlfn.XMATCH(CONTROL[[#This Row],[VEHIDCODE]],TRACK_TYPES[VEHIDCODE],0))</f>
        <v>1</v>
      </c>
      <c r="K785" t="b">
        <f>ISNUMBER(_xlfn.XMATCH(CONTROL[[#This Row],[VEHIDCODE]],PROPERTIES[VEHIDCODE],0))</f>
        <v>1</v>
      </c>
      <c r="L785" t="b">
        <f>ISNUMBER(_xlfn.XLOOKUP(CONTROL[[#This Row],[VEHIDCODE]],roster!A:A,roster!D:D))</f>
        <v>1</v>
      </c>
      <c r="M785" t="b">
        <f>ISNUMBER(_xlfn.XMATCH(CONTROL[[#This Row],[VEHIDCODE]],GRAPHICS_PROPERTIES[VEHIDCODE],0))</f>
        <v>1</v>
      </c>
      <c r="N785" s="21" t="str">
        <f>"item_"&amp;CONTROL[[#This Row],[VEHIDCODE]]</f>
        <v>item_mu_Coach_Gen6_Grand_Regio_Coach</v>
      </c>
      <c r="O785" s="21" t="str">
        <f>"str_"&amp;CONTROL[[#This Row],[VEHIDCODE]]</f>
        <v>str_mu_Coach_Gen6_Grand_Regio_Coach</v>
      </c>
      <c r="P785" s="7" t="b">
        <f>_xlfn.XLOOKUP(CONTROL[[#This Row],[VEHIDCODE]],PROPERTIES[VEHIDCODE],PROPERTIES[IS_CONCEPT])="IS_CONCEPT"</f>
        <v>0</v>
      </c>
      <c r="Q785" s="7" t="b">
        <f>_xlfn.XLOOKUP(CONTROL[[#This Row],[VEHIDCODE]],PROPERTIES[VEHIDCODE],PROPERTIES[EXCLUDE])</f>
        <v>0</v>
      </c>
      <c r="R785" t="str" cm="1">
        <f t="array" ref="R785">_xlfn.XLOOKUP(CONTROL[[#This Row],[VEHIDCODE]],GRAPHICS_PROPERTIES[VEHIDCODE],GRAPHICS_PROPERTIES[TEMPLATE_ID]&amp;GRAPHICS_PROPERTIES[TEMPLATE_AMENDMENT_CODE])</f>
        <v>TPL_04A</v>
      </c>
    </row>
    <row r="786" spans="1:18" x14ac:dyDescent="0.35">
      <c r="A786" s="2" t="s">
        <v>149</v>
      </c>
      <c r="B786" s="21" t="str">
        <f>_xlfn.TEXTAFTER(CONTROL[[#This Row],[VEHIDCODE]],"_")</f>
        <v>Coach_Gen6_Metropolis_Coach</v>
      </c>
      <c r="C786" t="str" cm="1">
        <f t="array" ref="C7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6" t="str" cm="1">
        <f t="array" ref="D7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6">
        <v>11067</v>
      </c>
      <c r="F786" s="32" t="s">
        <v>500</v>
      </c>
      <c r="G786" t="s">
        <v>523</v>
      </c>
      <c r="H786" s="2" t="b">
        <f>AND(CONTROL[[#This Row],[IS_WAGON_OR_COACH]]=TRUE,OR(RIGHT(CONTROL[[#This Row],[VEHIDCODE]],7)="Powered",RIGHT(CONTROL[[#This Row],[VEHIDCODE]],9)="Unpowered"))</f>
        <v>0</v>
      </c>
      <c r="I7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6" t="b">
        <f>ISNUMBER(_xlfn.XMATCH(CONTROL[[#This Row],[VEHIDCODE]],TRACK_TYPES[VEHIDCODE],0))</f>
        <v>1</v>
      </c>
      <c r="K786" t="b">
        <f>ISNUMBER(_xlfn.XMATCH(CONTROL[[#This Row],[VEHIDCODE]],PROPERTIES[VEHIDCODE],0))</f>
        <v>1</v>
      </c>
      <c r="L786" t="b">
        <f>ISNUMBER(_xlfn.XLOOKUP(CONTROL[[#This Row],[VEHIDCODE]],roster!A:A,roster!D:D))</f>
        <v>1</v>
      </c>
      <c r="M786" t="b">
        <f>ISNUMBER(_xlfn.XMATCH(CONTROL[[#This Row],[VEHIDCODE]],GRAPHICS_PROPERTIES[VEHIDCODE],0))</f>
        <v>1</v>
      </c>
      <c r="N786" s="21" t="str">
        <f>"item_"&amp;CONTROL[[#This Row],[VEHIDCODE]]</f>
        <v>item_mu_Coach_Gen6_Metropolis_Coach</v>
      </c>
      <c r="O786" s="21" t="str">
        <f>"str_"&amp;CONTROL[[#This Row],[VEHIDCODE]]</f>
        <v>str_mu_Coach_Gen6_Metropolis_Coach</v>
      </c>
      <c r="P786" s="7" t="b">
        <f>_xlfn.XLOOKUP(CONTROL[[#This Row],[VEHIDCODE]],PROPERTIES[VEHIDCODE],PROPERTIES[IS_CONCEPT])="IS_CONCEPT"</f>
        <v>0</v>
      </c>
      <c r="Q786" s="7" t="b">
        <f>_xlfn.XLOOKUP(CONTROL[[#This Row],[VEHIDCODE]],PROPERTIES[VEHIDCODE],PROPERTIES[EXCLUDE])</f>
        <v>0</v>
      </c>
      <c r="R786" t="str" cm="1">
        <f t="array" ref="R786">_xlfn.XLOOKUP(CONTROL[[#This Row],[VEHIDCODE]],GRAPHICS_PROPERTIES[VEHIDCODE],GRAPHICS_PROPERTIES[TEMPLATE_ID]&amp;GRAPHICS_PROPERTIES[TEMPLATE_AMENDMENT_CODE])</f>
        <v>TPL_04A</v>
      </c>
    </row>
    <row r="787" spans="1:18" x14ac:dyDescent="0.35">
      <c r="A787" s="2" t="s">
        <v>150</v>
      </c>
      <c r="B787" s="21" t="str">
        <f>_xlfn.TEXTAFTER(CONTROL[[#This Row],[VEHIDCODE]],"_")</f>
        <v>Coach_Gen6_Speedmail_Coach</v>
      </c>
      <c r="C787" t="str" cm="1">
        <f t="array" ref="C7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7" t="str" cm="1">
        <f t="array" ref="D7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7">
        <v>11068</v>
      </c>
      <c r="F787" s="32" t="s">
        <v>501</v>
      </c>
      <c r="G787" t="s">
        <v>523</v>
      </c>
      <c r="H787" s="2" t="b">
        <f>AND(CONTROL[[#This Row],[IS_WAGON_OR_COACH]]=TRUE,OR(RIGHT(CONTROL[[#This Row],[VEHIDCODE]],7)="Powered",RIGHT(CONTROL[[#This Row],[VEHIDCODE]],9)="Unpowered"))</f>
        <v>0</v>
      </c>
      <c r="I7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7" t="b">
        <f>ISNUMBER(_xlfn.XMATCH(CONTROL[[#This Row],[VEHIDCODE]],TRACK_TYPES[VEHIDCODE],0))</f>
        <v>1</v>
      </c>
      <c r="K787" t="b">
        <f>ISNUMBER(_xlfn.XMATCH(CONTROL[[#This Row],[VEHIDCODE]],PROPERTIES[VEHIDCODE],0))</f>
        <v>1</v>
      </c>
      <c r="L787" t="b">
        <f>ISNUMBER(_xlfn.XLOOKUP(CONTROL[[#This Row],[VEHIDCODE]],roster!A:A,roster!D:D))</f>
        <v>1</v>
      </c>
      <c r="M787" t="b">
        <f>ISNUMBER(_xlfn.XMATCH(CONTROL[[#This Row],[VEHIDCODE]],GRAPHICS_PROPERTIES[VEHIDCODE],0))</f>
        <v>1</v>
      </c>
      <c r="N787" s="21" t="str">
        <f>"item_"&amp;CONTROL[[#This Row],[VEHIDCODE]]</f>
        <v>item_mu_Coach_Gen6_Speedmail_Coach</v>
      </c>
      <c r="O787" s="21" t="str">
        <f>"str_"&amp;CONTROL[[#This Row],[VEHIDCODE]]</f>
        <v>str_mu_Coach_Gen6_Speedmail_Coach</v>
      </c>
      <c r="P787" s="7" t="b">
        <f>_xlfn.XLOOKUP(CONTROL[[#This Row],[VEHIDCODE]],PROPERTIES[VEHIDCODE],PROPERTIES[IS_CONCEPT])="IS_CONCEPT"</f>
        <v>0</v>
      </c>
      <c r="Q787" s="7" t="b">
        <f>_xlfn.XLOOKUP(CONTROL[[#This Row],[VEHIDCODE]],PROPERTIES[VEHIDCODE],PROPERTIES[EXCLUDE])</f>
        <v>0</v>
      </c>
      <c r="R787" t="str" cm="1">
        <f t="array" ref="R787">_xlfn.XLOOKUP(CONTROL[[#This Row],[VEHIDCODE]],GRAPHICS_PROPERTIES[VEHIDCODE],GRAPHICS_PROPERTIES[TEMPLATE_ID]&amp;GRAPHICS_PROPERTIES[TEMPLATE_AMENDMENT_CODE])</f>
        <v>TPL_04A</v>
      </c>
    </row>
    <row r="788" spans="1:18" x14ac:dyDescent="0.35">
      <c r="A788" s="2" t="s">
        <v>151</v>
      </c>
      <c r="B788" s="21" t="str">
        <f>_xlfn.TEXTAFTER(CONTROL[[#This Row],[VEHIDCODE]],"_")</f>
        <v>Coach_Gen6_Super_Regio_Coach</v>
      </c>
      <c r="C788" t="str" cm="1">
        <f t="array" ref="C7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8" t="str" cm="1">
        <f t="array" ref="D7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8">
        <v>11069</v>
      </c>
      <c r="F788" s="32" t="s">
        <v>502</v>
      </c>
      <c r="G788" t="s">
        <v>523</v>
      </c>
      <c r="H788" s="2" t="b">
        <f>AND(CONTROL[[#This Row],[IS_WAGON_OR_COACH]]=TRUE,OR(RIGHT(CONTROL[[#This Row],[VEHIDCODE]],7)="Powered",RIGHT(CONTROL[[#This Row],[VEHIDCODE]],9)="Unpowered"))</f>
        <v>0</v>
      </c>
      <c r="I7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8" t="b">
        <f>ISNUMBER(_xlfn.XMATCH(CONTROL[[#This Row],[VEHIDCODE]],TRACK_TYPES[VEHIDCODE],0))</f>
        <v>1</v>
      </c>
      <c r="K788" t="b">
        <f>ISNUMBER(_xlfn.XMATCH(CONTROL[[#This Row],[VEHIDCODE]],PROPERTIES[VEHIDCODE],0))</f>
        <v>1</v>
      </c>
      <c r="L788" t="b">
        <f>ISNUMBER(_xlfn.XLOOKUP(CONTROL[[#This Row],[VEHIDCODE]],roster!A:A,roster!D:D))</f>
        <v>1</v>
      </c>
      <c r="M788" t="b">
        <f>ISNUMBER(_xlfn.XMATCH(CONTROL[[#This Row],[VEHIDCODE]],GRAPHICS_PROPERTIES[VEHIDCODE],0))</f>
        <v>1</v>
      </c>
      <c r="N788" s="21" t="str">
        <f>"item_"&amp;CONTROL[[#This Row],[VEHIDCODE]]</f>
        <v>item_mu_Coach_Gen6_Super_Regio_Coach</v>
      </c>
      <c r="O788" s="21" t="str">
        <f>"str_"&amp;CONTROL[[#This Row],[VEHIDCODE]]</f>
        <v>str_mu_Coach_Gen6_Super_Regio_Coach</v>
      </c>
      <c r="P788" s="7" t="b">
        <f>_xlfn.XLOOKUP(CONTROL[[#This Row],[VEHIDCODE]],PROPERTIES[VEHIDCODE],PROPERTIES[IS_CONCEPT])="IS_CONCEPT"</f>
        <v>0</v>
      </c>
      <c r="Q788" s="7" t="b">
        <f>_xlfn.XLOOKUP(CONTROL[[#This Row],[VEHIDCODE]],PROPERTIES[VEHIDCODE],PROPERTIES[EXCLUDE])</f>
        <v>0</v>
      </c>
      <c r="R788" t="str" cm="1">
        <f t="array" ref="R788">_xlfn.XLOOKUP(CONTROL[[#This Row],[VEHIDCODE]],GRAPHICS_PROPERTIES[VEHIDCODE],GRAPHICS_PROPERTIES[TEMPLATE_ID]&amp;GRAPHICS_PROPERTIES[TEMPLATE_AMENDMENT_CODE])</f>
        <v>TPL_04A</v>
      </c>
    </row>
    <row r="789" spans="1:18" x14ac:dyDescent="0.35">
      <c r="A789" s="2" t="s">
        <v>152</v>
      </c>
      <c r="B789" s="21" t="str">
        <f>_xlfn.TEXTAFTER(CONTROL[[#This Row],[VEHIDCODE]],"_")</f>
        <v>Coach_Gen6_Super_Voyager_Coach</v>
      </c>
      <c r="C789" t="str" cm="1">
        <f t="array" ref="C7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9" t="str" cm="1">
        <f t="array" ref="D7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9">
        <v>11070</v>
      </c>
      <c r="F789" s="32" t="s">
        <v>503</v>
      </c>
      <c r="G789" t="s">
        <v>523</v>
      </c>
      <c r="H789" s="2" t="b">
        <f>AND(CONTROL[[#This Row],[IS_WAGON_OR_COACH]]=TRUE,OR(RIGHT(CONTROL[[#This Row],[VEHIDCODE]],7)="Powered",RIGHT(CONTROL[[#This Row],[VEHIDCODE]],9)="Unpowered"))</f>
        <v>0</v>
      </c>
      <c r="I7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9" t="b">
        <f>ISNUMBER(_xlfn.XMATCH(CONTROL[[#This Row],[VEHIDCODE]],TRACK_TYPES[VEHIDCODE],0))</f>
        <v>1</v>
      </c>
      <c r="K789" t="b">
        <f>ISNUMBER(_xlfn.XMATCH(CONTROL[[#This Row],[VEHIDCODE]],PROPERTIES[VEHIDCODE],0))</f>
        <v>1</v>
      </c>
      <c r="L789" t="b">
        <f>ISNUMBER(_xlfn.XLOOKUP(CONTROL[[#This Row],[VEHIDCODE]],roster!A:A,roster!D:D))</f>
        <v>1</v>
      </c>
      <c r="M789" t="b">
        <f>ISNUMBER(_xlfn.XMATCH(CONTROL[[#This Row],[VEHIDCODE]],GRAPHICS_PROPERTIES[VEHIDCODE],0))</f>
        <v>1</v>
      </c>
      <c r="N789" s="21" t="str">
        <f>"item_"&amp;CONTROL[[#This Row],[VEHIDCODE]]</f>
        <v>item_mu_Coach_Gen6_Super_Voyager_Coach</v>
      </c>
      <c r="O789" s="21" t="str">
        <f>"str_"&amp;CONTROL[[#This Row],[VEHIDCODE]]</f>
        <v>str_mu_Coach_Gen6_Super_Voyager_Coach</v>
      </c>
      <c r="P789" s="7" t="b">
        <f>_xlfn.XLOOKUP(CONTROL[[#This Row],[VEHIDCODE]],PROPERTIES[VEHIDCODE],PROPERTIES[IS_CONCEPT])="IS_CONCEPT"</f>
        <v>0</v>
      </c>
      <c r="Q789" s="7" t="b">
        <f>_xlfn.XLOOKUP(CONTROL[[#This Row],[VEHIDCODE]],PROPERTIES[VEHIDCODE],PROPERTIES[EXCLUDE])</f>
        <v>0</v>
      </c>
      <c r="R789" t="str" cm="1">
        <f t="array" ref="R789">_xlfn.XLOOKUP(CONTROL[[#This Row],[VEHIDCODE]],GRAPHICS_PROPERTIES[VEHIDCODE],GRAPHICS_PROPERTIES[TEMPLATE_ID]&amp;GRAPHICS_PROPERTIES[TEMPLATE_AMENDMENT_CODE])</f>
        <v>TPL_04A</v>
      </c>
    </row>
    <row r="790" spans="1:18" x14ac:dyDescent="0.35">
      <c r="A790" t="s">
        <v>3266</v>
      </c>
      <c r="B790" s="21" t="str">
        <f>_xlfn.TEXTAFTER(CONTROL[[#This Row],[VEHIDCODE]],"_")</f>
        <v>Alsthom_AD30B</v>
      </c>
      <c r="C790" t="str" cm="1">
        <f t="array" ref="C7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790" t="str" cm="1">
        <f t="array" ref="D7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79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5134</v>
      </c>
      <c r="F790" s="32" t="s">
        <v>2558</v>
      </c>
      <c r="G790" t="s">
        <v>523</v>
      </c>
      <c r="H790" s="2" t="b">
        <f>AND(CONTROL[[#This Row],[IS_WAGON_OR_COACH]]=TRUE,OR(RIGHT(CONTROL[[#This Row],[VEHIDCODE]],7)="Powered",RIGHT(CONTROL[[#This Row],[VEHIDCODE]],9)="Unpowered"))</f>
        <v>0</v>
      </c>
      <c r="I7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0" t="b">
        <f>ISNUMBER(_xlfn.XMATCH(CONTROL[[#This Row],[VEHIDCODE]],TRACK_TYPES[VEHIDCODE],0))</f>
        <v>1</v>
      </c>
      <c r="K790" t="b">
        <f>ISNUMBER(_xlfn.XMATCH(CONTROL[[#This Row],[VEHIDCODE]],PROPERTIES[VEHIDCODE],0))</f>
        <v>1</v>
      </c>
      <c r="L790" t="b">
        <f>ISNUMBER(_xlfn.XLOOKUP(CONTROL[[#This Row],[VEHIDCODE]],roster!A:A,roster!D:D))</f>
        <v>1</v>
      </c>
      <c r="M790" t="b">
        <f>ISNUMBER(_xlfn.XMATCH(CONTROL[[#This Row],[VEHIDCODE]],GRAPHICS_PROPERTIES[VEHIDCODE],0))</f>
        <v>1</v>
      </c>
      <c r="N790" s="21" t="str">
        <f>"item_"&amp;CONTROL[[#This Row],[VEHIDCODE]]</f>
        <v>item_diesel_Alsthom_AD30B</v>
      </c>
      <c r="O790" s="21" t="str">
        <f>"str_"&amp;CONTROL[[#This Row],[VEHIDCODE]]</f>
        <v>str_diesel_Alsthom_AD30B</v>
      </c>
      <c r="P790" s="7" t="b">
        <f>_xlfn.XLOOKUP(CONTROL[[#This Row],[VEHIDCODE]],PROPERTIES[VEHIDCODE],PROPERTIES[IS_CONCEPT])="IS_CONCEPT"</f>
        <v>0</v>
      </c>
      <c r="Q790" s="7" t="b">
        <f>_xlfn.XLOOKUP(CONTROL[[#This Row],[VEHIDCODE]],PROPERTIES[VEHIDCODE],PROPERTIES[EXCLUDE])</f>
        <v>0</v>
      </c>
      <c r="R790" t="str" cm="1">
        <f t="array" ref="R790">_xlfn.XLOOKUP(CONTROL[[#This Row],[VEHIDCODE]],GRAPHICS_PROPERTIES[VEHIDCODE],GRAPHICS_PROPERTIES[TEMPLATE_ID]&amp;GRAPHICS_PROPERTIES[TEMPLATE_AMENDMENT_CODE])</f>
        <v>TPL_01A</v>
      </c>
    </row>
    <row r="791" spans="1:18" x14ac:dyDescent="0.35">
      <c r="A791" t="s">
        <v>3267</v>
      </c>
      <c r="B791" s="21" t="str">
        <f>_xlfn.TEXTAFTER(CONTROL[[#This Row],[VEHIDCODE]],"_")</f>
        <v>Porter_2_8_2_Class_200_Katanga_Mikado</v>
      </c>
      <c r="C791" t="str" cm="1">
        <f t="array" ref="C7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91" t="str" cm="1">
        <f t="array" ref="D7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9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4117</v>
      </c>
      <c r="F791" s="32" t="s">
        <v>2434</v>
      </c>
      <c r="G791" t="s">
        <v>1167</v>
      </c>
      <c r="H791" s="2" t="b">
        <f>AND(CONTROL[[#This Row],[IS_WAGON_OR_COACH]]=TRUE,OR(RIGHT(CONTROL[[#This Row],[VEHIDCODE]],7)="Powered",RIGHT(CONTROL[[#This Row],[VEHIDCODE]],9)="Unpowered"))</f>
        <v>0</v>
      </c>
      <c r="I7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1" t="b">
        <f>ISNUMBER(_xlfn.XMATCH(CONTROL[[#This Row],[VEHIDCODE]],TRACK_TYPES[VEHIDCODE],0))</f>
        <v>1</v>
      </c>
      <c r="K791" t="b">
        <f>ISNUMBER(_xlfn.XMATCH(CONTROL[[#This Row],[VEHIDCODE]],PROPERTIES[VEHIDCODE],0))</f>
        <v>1</v>
      </c>
      <c r="L791" t="b">
        <f>ISNUMBER(_xlfn.XLOOKUP(CONTROL[[#This Row],[VEHIDCODE]],roster!A:A,roster!D:D))</f>
        <v>1</v>
      </c>
      <c r="M791" t="b">
        <f>ISNUMBER(_xlfn.XMATCH(CONTROL[[#This Row],[VEHIDCODE]],GRAPHICS_PROPERTIES[VEHIDCODE],0))</f>
        <v>1</v>
      </c>
      <c r="N791" s="21" t="str">
        <f>"item_"&amp;CONTROL[[#This Row],[VEHIDCODE]]</f>
        <v>item_steam_Porter_2_8_2_Class_200_Katanga_Mikado</v>
      </c>
      <c r="O791" s="21" t="str">
        <f>"str_"&amp;CONTROL[[#This Row],[VEHIDCODE]]</f>
        <v>str_steam_Porter_2_8_2_Class_200_Katanga_Mikado</v>
      </c>
      <c r="P791" s="7" t="b">
        <f>_xlfn.XLOOKUP(CONTROL[[#This Row],[VEHIDCODE]],PROPERTIES[VEHIDCODE],PROPERTIES[IS_CONCEPT])="IS_CONCEPT"</f>
        <v>0</v>
      </c>
      <c r="Q791" s="7" t="b">
        <f>_xlfn.XLOOKUP(CONTROL[[#This Row],[VEHIDCODE]],PROPERTIES[VEHIDCODE],PROPERTIES[EXCLUDE])</f>
        <v>0</v>
      </c>
      <c r="R791" t="str" cm="1">
        <f t="array" ref="R791">_xlfn.XLOOKUP(CONTROL[[#This Row],[VEHIDCODE]],GRAPHICS_PROPERTIES[VEHIDCODE],GRAPHICS_PROPERTIES[TEMPLATE_ID]&amp;GRAPHICS_PROPERTIES[TEMPLATE_AMENDMENT_CODE])</f>
        <v>TPL_03A</v>
      </c>
    </row>
    <row r="792" spans="1:18" x14ac:dyDescent="0.35">
      <c r="A792" s="2" t="s">
        <v>3268</v>
      </c>
      <c r="B792" s="21" t="str">
        <f>_xlfn.TEXTAFTER(CONTROL[[#This Row],[VEHIDCODE]],"_")</f>
        <v>Kawasaki_Nippon_Sharyo_Toshiba_M250</v>
      </c>
      <c r="C792" t="str" cm="1">
        <f t="array" ref="C7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src\CargoEMU</v>
      </c>
      <c r="D792" t="str" cm="1">
        <f t="array" ref="D7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ID_RANGE_CARGOEMU</v>
      </c>
      <c r="E79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14500</v>
      </c>
      <c r="F792" s="32" t="s">
        <v>2435</v>
      </c>
      <c r="G792" t="s">
        <v>1598</v>
      </c>
      <c r="H792" s="2" t="b">
        <f>AND(CONTROL[[#This Row],[IS_WAGON_OR_COACH]]=TRUE,OR(RIGHT(CONTROL[[#This Row],[VEHIDCODE]],7)="Powered",RIGHT(CONTROL[[#This Row],[VEHIDCODE]],9)="Unpowered"))</f>
        <v>0</v>
      </c>
      <c r="I7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2" t="b">
        <f>ISNUMBER(_xlfn.XMATCH(CONTROL[[#This Row],[VEHIDCODE]],TRACK_TYPES[VEHIDCODE],0))</f>
        <v>1</v>
      </c>
      <c r="K792" t="b">
        <f>ISNUMBER(_xlfn.XMATCH(CONTROL[[#This Row],[VEHIDCODE]],PROPERTIES[VEHIDCODE],0))</f>
        <v>1</v>
      </c>
      <c r="L792" t="b">
        <f>ISNUMBER(_xlfn.XLOOKUP(CONTROL[[#This Row],[VEHIDCODE]],roster!A:A,roster!D:D))</f>
        <v>1</v>
      </c>
      <c r="M792" t="b">
        <f>ISNUMBER(_xlfn.XMATCH(CONTROL[[#This Row],[VEHIDCODE]],GRAPHICS_PROPERTIES[VEHIDCODE],0))</f>
        <v>1</v>
      </c>
      <c r="N792" s="21" t="str">
        <f>"item_"&amp;CONTROL[[#This Row],[VEHIDCODE]]</f>
        <v>item_cargoemu_Kawasaki_Nippon_Sharyo_Toshiba_M250</v>
      </c>
      <c r="O792" s="21" t="str">
        <f>"str_"&amp;CONTROL[[#This Row],[VEHIDCODE]]</f>
        <v>str_cargoemu_Kawasaki_Nippon_Sharyo_Toshiba_M250</v>
      </c>
      <c r="P792" s="7" t="b">
        <f>_xlfn.XLOOKUP(CONTROL[[#This Row],[VEHIDCODE]],PROPERTIES[VEHIDCODE],PROPERTIES[IS_CONCEPT])="IS_CONCEPT"</f>
        <v>0</v>
      </c>
      <c r="Q792" s="7" t="b">
        <f>_xlfn.XLOOKUP(CONTROL[[#This Row],[VEHIDCODE]],PROPERTIES[VEHIDCODE],PROPERTIES[EXCLUDE])</f>
        <v>0</v>
      </c>
      <c r="R792" t="str" cm="1">
        <f t="array" ref="R792">_xlfn.XLOOKUP(CONTROL[[#This Row],[VEHIDCODE]],GRAPHICS_PROPERTIES[VEHIDCODE],GRAPHICS_PROPERTIES[TEMPLATE_ID]&amp;GRAPHICS_PROPERTIES[TEMPLATE_AMENDMENT_CODE])</f>
        <v>TPL_42B</v>
      </c>
    </row>
    <row r="793" spans="1:18" x14ac:dyDescent="0.35">
      <c r="A793" t="s">
        <v>3269</v>
      </c>
      <c r="B793" s="21" t="str">
        <f>_xlfn.TEXTAFTER(CONTROL[[#This Row],[VEHIDCODE]],"_")</f>
        <v>Esslingen_MAN_Hohenzollern_Thomas</v>
      </c>
      <c r="C793" t="str" cm="1">
        <f t="array" ref="C7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793" t="str" cm="1">
        <f t="array" ref="D7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79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1008</v>
      </c>
      <c r="F793" s="32" t="s">
        <v>2436</v>
      </c>
      <c r="G793" t="s">
        <v>1651</v>
      </c>
      <c r="H793" s="2" t="b">
        <f>AND(CONTROL[[#This Row],[IS_WAGON_OR_COACH]]=TRUE,OR(RIGHT(CONTROL[[#This Row],[VEHIDCODE]],7)="Powered",RIGHT(CONTROL[[#This Row],[VEHIDCODE]],9)="Unpowered"))</f>
        <v>0</v>
      </c>
      <c r="I7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3" t="b">
        <f>ISNUMBER(_xlfn.XMATCH(CONTROL[[#This Row],[VEHIDCODE]],TRACK_TYPES[VEHIDCODE],0))</f>
        <v>1</v>
      </c>
      <c r="K793" t="b">
        <f>ISNUMBER(_xlfn.XMATCH(CONTROL[[#This Row],[VEHIDCODE]],PROPERTIES[VEHIDCODE],0))</f>
        <v>1</v>
      </c>
      <c r="L793" t="b">
        <f>ISNUMBER(_xlfn.XLOOKUP(CONTROL[[#This Row],[VEHIDCODE]],roster!A:A,roster!D:D))</f>
        <v>1</v>
      </c>
      <c r="M793" t="b">
        <f>ISNUMBER(_xlfn.XMATCH(CONTROL[[#This Row],[VEHIDCODE]],GRAPHICS_PROPERTIES[VEHIDCODE],0))</f>
        <v>1</v>
      </c>
      <c r="N793" s="21" t="str">
        <f>"item_"&amp;CONTROL[[#This Row],[VEHIDCODE]]</f>
        <v>item_rbs_Esslingen_MAN_Hohenzollern_Thomas</v>
      </c>
      <c r="O793" s="21" t="str">
        <f>"str_"&amp;CONTROL[[#This Row],[VEHIDCODE]]</f>
        <v>str_rbs_Esslingen_MAN_Hohenzollern_Thomas</v>
      </c>
      <c r="P793" s="7" t="b">
        <f>_xlfn.XLOOKUP(CONTROL[[#This Row],[VEHIDCODE]],PROPERTIES[VEHIDCODE],PROPERTIES[IS_CONCEPT])="IS_CONCEPT"</f>
        <v>0</v>
      </c>
      <c r="Q793" s="7" t="b">
        <f>_xlfn.XLOOKUP(CONTROL[[#This Row],[VEHIDCODE]],PROPERTIES[VEHIDCODE],PROPERTIES[EXCLUDE])</f>
        <v>0</v>
      </c>
      <c r="R793" t="str" cm="1">
        <f t="array" ref="R793">_xlfn.XLOOKUP(CONTROL[[#This Row],[VEHIDCODE]],GRAPHICS_PROPERTIES[VEHIDCODE],GRAPHICS_PROPERTIES[TEMPLATE_ID]&amp;GRAPHICS_PROPERTIES[TEMPLATE_AMENDMENT_CODE])</f>
        <v>TPL_03C</v>
      </c>
    </row>
    <row r="794" spans="1:18" x14ac:dyDescent="0.35">
      <c r="A794" s="2" t="s">
        <v>3270</v>
      </c>
      <c r="B794" s="21" t="str">
        <f>_xlfn.TEXTAFTER(CONTROL[[#This Row],[VEHIDCODE]],"_")</f>
        <v>Komarek_NOLB_30_33</v>
      </c>
      <c r="C794" t="str" cm="1">
        <f t="array" ref="C7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794" t="str" cm="1">
        <f t="array" ref="D7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79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1009</v>
      </c>
      <c r="F794" s="32" t="s">
        <v>2437</v>
      </c>
      <c r="G794" t="s">
        <v>1040</v>
      </c>
      <c r="H794" s="2" t="b">
        <f>AND(CONTROL[[#This Row],[IS_WAGON_OR_COACH]]=TRUE,OR(RIGHT(CONTROL[[#This Row],[VEHIDCODE]],7)="Powered",RIGHT(CONTROL[[#This Row],[VEHIDCODE]],9)="Unpowered"))</f>
        <v>0</v>
      </c>
      <c r="I7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4" t="b">
        <f>ISNUMBER(_xlfn.XMATCH(CONTROL[[#This Row],[VEHIDCODE]],TRACK_TYPES[VEHIDCODE],0))</f>
        <v>1</v>
      </c>
      <c r="K794" t="b">
        <f>ISNUMBER(_xlfn.XMATCH(CONTROL[[#This Row],[VEHIDCODE]],PROPERTIES[VEHIDCODE],0))</f>
        <v>1</v>
      </c>
      <c r="L794" t="b">
        <f>ISNUMBER(_xlfn.XLOOKUP(CONTROL[[#This Row],[VEHIDCODE]],roster!A:A,roster!D:D))</f>
        <v>1</v>
      </c>
      <c r="M794" t="b">
        <f>ISNUMBER(_xlfn.XMATCH(CONTROL[[#This Row],[VEHIDCODE]],GRAPHICS_PROPERTIES[VEHIDCODE],0))</f>
        <v>1</v>
      </c>
      <c r="N794" s="21" t="str">
        <f>"item_"&amp;CONTROL[[#This Row],[VEHIDCODE]]</f>
        <v>item_rbs_Komarek_NOLB_30_33</v>
      </c>
      <c r="O794" s="21" t="str">
        <f>"str_"&amp;CONTROL[[#This Row],[VEHIDCODE]]</f>
        <v>str_rbs_Komarek_NOLB_30_33</v>
      </c>
      <c r="P794" s="7" t="b">
        <f>_xlfn.XLOOKUP(CONTROL[[#This Row],[VEHIDCODE]],PROPERTIES[VEHIDCODE],PROPERTIES[IS_CONCEPT])="IS_CONCEPT"</f>
        <v>0</v>
      </c>
      <c r="Q794" s="7" t="b">
        <f>_xlfn.XLOOKUP(CONTROL[[#This Row],[VEHIDCODE]],PROPERTIES[VEHIDCODE],PROPERTIES[EXCLUDE])</f>
        <v>0</v>
      </c>
      <c r="R794" t="str" cm="1">
        <f t="array" ref="R794">_xlfn.XLOOKUP(CONTROL[[#This Row],[VEHIDCODE]],GRAPHICS_PROPERTIES[VEHIDCODE],GRAPHICS_PROPERTIES[TEMPLATE_ID]&amp;GRAPHICS_PROPERTIES[TEMPLATE_AMENDMENT_CODE])</f>
        <v>TPL_01B</v>
      </c>
    </row>
    <row r="795" spans="1:18" x14ac:dyDescent="0.35">
      <c r="A795" t="s">
        <v>3271</v>
      </c>
      <c r="B795" s="21" t="str">
        <f>_xlfn.TEXTAFTER(CONTROL[[#This Row],[VEHIDCODE]],"_")</f>
        <v>Henschel_4_4_2_19906</v>
      </c>
      <c r="C795" t="str" cm="1">
        <f t="array" ref="C7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95" t="str" cm="1">
        <f t="array" ref="D7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9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4118</v>
      </c>
      <c r="F795" s="32" t="s">
        <v>2438</v>
      </c>
      <c r="G795" t="s">
        <v>1652</v>
      </c>
      <c r="H795" s="2" t="b">
        <f>AND(CONTROL[[#This Row],[IS_WAGON_OR_COACH]]=TRUE,OR(RIGHT(CONTROL[[#This Row],[VEHIDCODE]],7)="Powered",RIGHT(CONTROL[[#This Row],[VEHIDCODE]],9)="Unpowered"))</f>
        <v>0</v>
      </c>
      <c r="I7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5" t="b">
        <f>ISNUMBER(_xlfn.XMATCH(CONTROL[[#This Row],[VEHIDCODE]],TRACK_TYPES[VEHIDCODE],0))</f>
        <v>1</v>
      </c>
      <c r="K795" t="b">
        <f>ISNUMBER(_xlfn.XMATCH(CONTROL[[#This Row],[VEHIDCODE]],PROPERTIES[VEHIDCODE],0))</f>
        <v>1</v>
      </c>
      <c r="L795" t="b">
        <f>ISNUMBER(_xlfn.XLOOKUP(CONTROL[[#This Row],[VEHIDCODE]],roster!A:A,roster!D:D))</f>
        <v>1</v>
      </c>
      <c r="M795" t="b">
        <f>ISNUMBER(_xlfn.XMATCH(CONTROL[[#This Row],[VEHIDCODE]],GRAPHICS_PROPERTIES[VEHIDCODE],0))</f>
        <v>1</v>
      </c>
      <c r="N795" s="21" t="str">
        <f>"item_"&amp;CONTROL[[#This Row],[VEHIDCODE]]</f>
        <v>item_steam_Henschel_4_4_2_19906</v>
      </c>
      <c r="O795" s="21" t="str">
        <f>"str_"&amp;CONTROL[[#This Row],[VEHIDCODE]]</f>
        <v>str_steam_Henschel_4_4_2_19906</v>
      </c>
      <c r="P795" s="7" t="b">
        <f>_xlfn.XLOOKUP(CONTROL[[#This Row],[VEHIDCODE]],PROPERTIES[VEHIDCODE],PROPERTIES[IS_CONCEPT])="IS_CONCEPT"</f>
        <v>0</v>
      </c>
      <c r="Q795" s="7" t="b">
        <f>_xlfn.XLOOKUP(CONTROL[[#This Row],[VEHIDCODE]],PROPERTIES[VEHIDCODE],PROPERTIES[EXCLUDE])</f>
        <v>0</v>
      </c>
      <c r="R795" t="str" cm="1">
        <f t="array" ref="R795">_xlfn.XLOOKUP(CONTROL[[#This Row],[VEHIDCODE]],GRAPHICS_PROPERTIES[VEHIDCODE],GRAPHICS_PROPERTIES[TEMPLATE_ID]&amp;GRAPHICS_PROPERTIES[TEMPLATE_AMENDMENT_CODE])</f>
        <v>TPL_03A</v>
      </c>
    </row>
    <row r="796" spans="1:18" x14ac:dyDescent="0.35">
      <c r="A796" t="s">
        <v>3446</v>
      </c>
      <c r="B796" s="21" t="str">
        <f>_xlfn.TEXTAFTER(CONTROL[[#This Row],[VEHIDCODE]],"_")</f>
        <v>Haine_Saint_Pierre_2_6_0_0_6_2T_Golwe</v>
      </c>
      <c r="C796" t="str" cm="1">
        <f t="array" ref="C7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96" t="str" cm="1">
        <f t="array" ref="D7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9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4119</v>
      </c>
      <c r="F796" s="32" t="s">
        <v>3447</v>
      </c>
      <c r="G796" t="s">
        <v>1653</v>
      </c>
      <c r="H796" s="2" t="b">
        <f>AND(CONTROL[[#This Row],[IS_WAGON_OR_COACH]]=TRUE,OR(RIGHT(CONTROL[[#This Row],[VEHIDCODE]],7)="Powered",RIGHT(CONTROL[[#This Row],[VEHIDCODE]],9)="Unpowered"))</f>
        <v>0</v>
      </c>
      <c r="I7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6" t="b">
        <f>ISNUMBER(_xlfn.XMATCH(CONTROL[[#This Row],[VEHIDCODE]],TRACK_TYPES[VEHIDCODE],0))</f>
        <v>1</v>
      </c>
      <c r="K796" t="b">
        <f>ISNUMBER(_xlfn.XMATCH(CONTROL[[#This Row],[VEHIDCODE]],PROPERTIES[VEHIDCODE],0))</f>
        <v>1</v>
      </c>
      <c r="L796" t="b">
        <f>ISNUMBER(_xlfn.XLOOKUP(CONTROL[[#This Row],[VEHIDCODE]],roster!A:A,roster!D:D))</f>
        <v>1</v>
      </c>
      <c r="M796" t="b">
        <f>ISNUMBER(_xlfn.XMATCH(CONTROL[[#This Row],[VEHIDCODE]],GRAPHICS_PROPERTIES[VEHIDCODE],0))</f>
        <v>1</v>
      </c>
      <c r="N796" s="21" t="str">
        <f>"item_"&amp;CONTROL[[#This Row],[VEHIDCODE]]</f>
        <v>item_steam_Haine_Saint_Pierre_2_6_0_0_6_2T_Golwe</v>
      </c>
      <c r="O796" s="21" t="str">
        <f>"str_"&amp;CONTROL[[#This Row],[VEHIDCODE]]</f>
        <v>str_steam_Haine_Saint_Pierre_2_6_0_0_6_2T_Golwe</v>
      </c>
      <c r="P796" s="7" t="b">
        <f>_xlfn.XLOOKUP(CONTROL[[#This Row],[VEHIDCODE]],PROPERTIES[VEHIDCODE],PROPERTIES[IS_CONCEPT])="IS_CONCEPT"</f>
        <v>0</v>
      </c>
      <c r="Q796" s="7" t="b">
        <f>_xlfn.XLOOKUP(CONTROL[[#This Row],[VEHIDCODE]],PROPERTIES[VEHIDCODE],PROPERTIES[EXCLUDE])</f>
        <v>0</v>
      </c>
      <c r="R796" t="str" cm="1">
        <f t="array" ref="R796">_xlfn.XLOOKUP(CONTROL[[#This Row],[VEHIDCODE]],GRAPHICS_PROPERTIES[VEHIDCODE],GRAPHICS_PROPERTIES[TEMPLATE_ID]&amp;GRAPHICS_PROPERTIES[TEMPLATE_AMENDMENT_CODE])</f>
        <v>TPL_03A</v>
      </c>
    </row>
    <row r="797" spans="1:18" x14ac:dyDescent="0.35">
      <c r="A797" t="s">
        <v>3272</v>
      </c>
      <c r="B797" s="21" t="str">
        <f>_xlfn.TEXTAFTER(CONTROL[[#This Row],[VEHIDCODE]],"_")</f>
        <v>Henschel_EMD_TT12</v>
      </c>
      <c r="C797" t="str" cm="1">
        <f t="array" ref="C7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797" t="str" cm="1">
        <f t="array" ref="D7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79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5135</v>
      </c>
      <c r="F797" s="32" t="s">
        <v>2439</v>
      </c>
      <c r="G797" t="s">
        <v>1660</v>
      </c>
      <c r="H797" s="2" t="b">
        <f>AND(CONTROL[[#This Row],[IS_WAGON_OR_COACH]]=TRUE,OR(RIGHT(CONTROL[[#This Row],[VEHIDCODE]],7)="Powered",RIGHT(CONTROL[[#This Row],[VEHIDCODE]],9)="Unpowered"))</f>
        <v>0</v>
      </c>
      <c r="I7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7" t="b">
        <f>ISNUMBER(_xlfn.XMATCH(CONTROL[[#This Row],[VEHIDCODE]],TRACK_TYPES[VEHIDCODE],0))</f>
        <v>1</v>
      </c>
      <c r="K797" t="b">
        <f>ISNUMBER(_xlfn.XMATCH(CONTROL[[#This Row],[VEHIDCODE]],PROPERTIES[VEHIDCODE],0))</f>
        <v>1</v>
      </c>
      <c r="L797" t="b">
        <f>ISNUMBER(_xlfn.XLOOKUP(CONTROL[[#This Row],[VEHIDCODE]],roster!A:A,roster!D:D))</f>
        <v>1</v>
      </c>
      <c r="M797" t="b">
        <f>ISNUMBER(_xlfn.XMATCH(CONTROL[[#This Row],[VEHIDCODE]],GRAPHICS_PROPERTIES[VEHIDCODE],0))</f>
        <v>1</v>
      </c>
      <c r="N797" s="21" t="str">
        <f>"item_"&amp;CONTROL[[#This Row],[VEHIDCODE]]</f>
        <v>item_diesel_Henschel_EMD_TT12</v>
      </c>
      <c r="O797" s="21" t="str">
        <f>"str_"&amp;CONTROL[[#This Row],[VEHIDCODE]]</f>
        <v>str_diesel_Henschel_EMD_TT12</v>
      </c>
      <c r="P797" s="7" t="b">
        <f>_xlfn.XLOOKUP(CONTROL[[#This Row],[VEHIDCODE]],PROPERTIES[VEHIDCODE],PROPERTIES[IS_CONCEPT])="IS_CONCEPT"</f>
        <v>0</v>
      </c>
      <c r="Q797" s="7" t="b">
        <f>_xlfn.XLOOKUP(CONTROL[[#This Row],[VEHIDCODE]],PROPERTIES[VEHIDCODE],PROPERTIES[EXCLUDE])</f>
        <v>0</v>
      </c>
      <c r="R797" t="str" cm="1">
        <f t="array" ref="R797">_xlfn.XLOOKUP(CONTROL[[#This Row],[VEHIDCODE]],GRAPHICS_PROPERTIES[VEHIDCODE],GRAPHICS_PROPERTIES[TEMPLATE_ID]&amp;GRAPHICS_PROPERTIES[TEMPLATE_AMENDMENT_CODE])</f>
        <v>TPL_16A</v>
      </c>
    </row>
    <row r="798" spans="1:18" x14ac:dyDescent="0.35">
      <c r="A798" t="s">
        <v>3273</v>
      </c>
      <c r="B798" s="21" t="str">
        <f>_xlfn.TEXTAFTER(CONTROL[[#This Row],[VEHIDCODE]],"_")</f>
        <v>Henschel_GE_G16</v>
      </c>
      <c r="C798" t="str" cm="1">
        <f t="array" ref="C7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798" t="str" cm="1">
        <f t="array" ref="D7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79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5136</v>
      </c>
      <c r="F798" s="32" t="s">
        <v>2440</v>
      </c>
      <c r="G798" t="s">
        <v>1662</v>
      </c>
      <c r="H798" s="2" t="b">
        <f>AND(CONTROL[[#This Row],[IS_WAGON_OR_COACH]]=TRUE,OR(RIGHT(CONTROL[[#This Row],[VEHIDCODE]],7)="Powered",RIGHT(CONTROL[[#This Row],[VEHIDCODE]],9)="Unpowered"))</f>
        <v>0</v>
      </c>
      <c r="I7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8" t="b">
        <f>ISNUMBER(_xlfn.XMATCH(CONTROL[[#This Row],[VEHIDCODE]],TRACK_TYPES[VEHIDCODE],0))</f>
        <v>1</v>
      </c>
      <c r="K798" t="b">
        <f>ISNUMBER(_xlfn.XMATCH(CONTROL[[#This Row],[VEHIDCODE]],PROPERTIES[VEHIDCODE],0))</f>
        <v>1</v>
      </c>
      <c r="L798" t="b">
        <f>ISNUMBER(_xlfn.XLOOKUP(CONTROL[[#This Row],[VEHIDCODE]],roster!A:A,roster!D:D))</f>
        <v>1</v>
      </c>
      <c r="M798" t="b">
        <f>ISNUMBER(_xlfn.XMATCH(CONTROL[[#This Row],[VEHIDCODE]],GRAPHICS_PROPERTIES[VEHIDCODE],0))</f>
        <v>1</v>
      </c>
      <c r="N798" s="21" t="str">
        <f>"item_"&amp;CONTROL[[#This Row],[VEHIDCODE]]</f>
        <v>item_diesel_Henschel_GE_G16</v>
      </c>
      <c r="O798" s="21" t="str">
        <f>"str_"&amp;CONTROL[[#This Row],[VEHIDCODE]]</f>
        <v>str_diesel_Henschel_GE_G16</v>
      </c>
      <c r="P798" s="7" t="b">
        <f>_xlfn.XLOOKUP(CONTROL[[#This Row],[VEHIDCODE]],PROPERTIES[VEHIDCODE],PROPERTIES[IS_CONCEPT])="IS_CONCEPT"</f>
        <v>0</v>
      </c>
      <c r="Q798" s="7" t="b">
        <f>_xlfn.XLOOKUP(CONTROL[[#This Row],[VEHIDCODE]],PROPERTIES[VEHIDCODE],PROPERTIES[EXCLUDE])</f>
        <v>0</v>
      </c>
      <c r="R798" t="str" cm="1">
        <f t="array" ref="R798">_xlfn.XLOOKUP(CONTROL[[#This Row],[VEHIDCODE]],GRAPHICS_PROPERTIES[VEHIDCODE],GRAPHICS_PROPERTIES[TEMPLATE_ID]&amp;GRAPHICS_PROPERTIES[TEMPLATE_AMENDMENT_CODE])</f>
        <v>TPL_16A</v>
      </c>
    </row>
    <row r="799" spans="1:18" x14ac:dyDescent="0.35">
      <c r="A799" t="s">
        <v>3274</v>
      </c>
      <c r="B799" s="21" t="str">
        <f>_xlfn.TEXTAFTER(CONTROL[[#This Row],[VEHIDCODE]],"_")</f>
        <v>ACEC_BN_Type_2450</v>
      </c>
      <c r="C799" t="str" cm="1">
        <f t="array" ref="C7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799" t="str" cm="1">
        <f t="array" ref="D7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79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6136</v>
      </c>
      <c r="F799" s="32" t="s">
        <v>2441</v>
      </c>
      <c r="G799" t="s">
        <v>1663</v>
      </c>
      <c r="H799" s="2" t="b">
        <f>AND(CONTROL[[#This Row],[IS_WAGON_OR_COACH]]=TRUE,OR(RIGHT(CONTROL[[#This Row],[VEHIDCODE]],7)="Powered",RIGHT(CONTROL[[#This Row],[VEHIDCODE]],9)="Unpowered"))</f>
        <v>0</v>
      </c>
      <c r="I7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9" t="b">
        <f>ISNUMBER(_xlfn.XMATCH(CONTROL[[#This Row],[VEHIDCODE]],TRACK_TYPES[VEHIDCODE],0))</f>
        <v>1</v>
      </c>
      <c r="K799" t="b">
        <f>ISNUMBER(_xlfn.XMATCH(CONTROL[[#This Row],[VEHIDCODE]],PROPERTIES[VEHIDCODE],0))</f>
        <v>1</v>
      </c>
      <c r="L799" t="b">
        <f>ISNUMBER(_xlfn.XLOOKUP(CONTROL[[#This Row],[VEHIDCODE]],roster!A:A,roster!D:D))</f>
        <v>1</v>
      </c>
      <c r="M799" t="b">
        <f>ISNUMBER(_xlfn.XMATCH(CONTROL[[#This Row],[VEHIDCODE]],GRAPHICS_PROPERTIES[VEHIDCODE],0))</f>
        <v>1</v>
      </c>
      <c r="N799" s="21" t="str">
        <f>"item_"&amp;CONTROL[[#This Row],[VEHIDCODE]]</f>
        <v>item_electric_ACEC_BN_Type_2450</v>
      </c>
      <c r="O799" s="21" t="str">
        <f>"str_"&amp;CONTROL[[#This Row],[VEHIDCODE]]</f>
        <v>str_electric_ACEC_BN_Type_2450</v>
      </c>
      <c r="P799" s="7" t="b">
        <f>_xlfn.XLOOKUP(CONTROL[[#This Row],[VEHIDCODE]],PROPERTIES[VEHIDCODE],PROPERTIES[IS_CONCEPT])="IS_CONCEPT"</f>
        <v>0</v>
      </c>
      <c r="Q799" s="7" t="b">
        <f>_xlfn.XLOOKUP(CONTROL[[#This Row],[VEHIDCODE]],PROPERTIES[VEHIDCODE],PROPERTIES[EXCLUDE])</f>
        <v>0</v>
      </c>
      <c r="R799" t="str" cm="1">
        <f t="array" ref="R799">_xlfn.XLOOKUP(CONTROL[[#This Row],[VEHIDCODE]],GRAPHICS_PROPERTIES[VEHIDCODE],GRAPHICS_PROPERTIES[TEMPLATE_ID]&amp;GRAPHICS_PROPERTIES[TEMPLATE_AMENDMENT_CODE])</f>
        <v>TPL_01A</v>
      </c>
    </row>
    <row r="800" spans="1:18" x14ac:dyDescent="0.35">
      <c r="A800" t="s">
        <v>3275</v>
      </c>
      <c r="B800" s="21" t="str">
        <f>_xlfn.TEXTAFTER(CONTROL[[#This Row],[VEHIDCODE]],"_")</f>
        <v>Alsthom_BB_BB_300</v>
      </c>
      <c r="C800" t="str" cm="1">
        <f t="array" ref="C8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00" t="str" cm="1">
        <f t="array" ref="D8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0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5137</v>
      </c>
      <c r="F800" s="32" t="s">
        <v>2559</v>
      </c>
      <c r="G800" t="s">
        <v>1664</v>
      </c>
      <c r="H800" s="2" t="b">
        <f>AND(CONTROL[[#This Row],[IS_WAGON_OR_COACH]]=TRUE,OR(RIGHT(CONTROL[[#This Row],[VEHIDCODE]],7)="Powered",RIGHT(CONTROL[[#This Row],[VEHIDCODE]],9)="Unpowered"))</f>
        <v>0</v>
      </c>
      <c r="I8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0" t="b">
        <f>ISNUMBER(_xlfn.XMATCH(CONTROL[[#This Row],[VEHIDCODE]],TRACK_TYPES[VEHIDCODE],0))</f>
        <v>1</v>
      </c>
      <c r="K800" t="b">
        <f>ISNUMBER(_xlfn.XMATCH(CONTROL[[#This Row],[VEHIDCODE]],PROPERTIES[VEHIDCODE],0))</f>
        <v>1</v>
      </c>
      <c r="L800" t="b">
        <f>ISNUMBER(_xlfn.XLOOKUP(CONTROL[[#This Row],[VEHIDCODE]],roster!A:A,roster!D:D))</f>
        <v>1</v>
      </c>
      <c r="M800" t="b">
        <f>ISNUMBER(_xlfn.XMATCH(CONTROL[[#This Row],[VEHIDCODE]],GRAPHICS_PROPERTIES[VEHIDCODE],0))</f>
        <v>1</v>
      </c>
      <c r="N800" s="21" t="str">
        <f>"item_"&amp;CONTROL[[#This Row],[VEHIDCODE]]</f>
        <v>item_diesel_Alsthom_BB_BB_300</v>
      </c>
      <c r="O800" s="21" t="str">
        <f>"str_"&amp;CONTROL[[#This Row],[VEHIDCODE]]</f>
        <v>str_diesel_Alsthom_BB_BB_300</v>
      </c>
      <c r="P800" s="7" t="b">
        <f>_xlfn.XLOOKUP(CONTROL[[#This Row],[VEHIDCODE]],PROPERTIES[VEHIDCODE],PROPERTIES[IS_CONCEPT])="IS_CONCEPT"</f>
        <v>0</v>
      </c>
      <c r="Q800" s="7" t="b">
        <f>_xlfn.XLOOKUP(CONTROL[[#This Row],[VEHIDCODE]],PROPERTIES[VEHIDCODE],PROPERTIES[EXCLUDE])</f>
        <v>0</v>
      </c>
      <c r="R800" t="str" cm="1">
        <f t="array" ref="R800">_xlfn.XLOOKUP(CONTROL[[#This Row],[VEHIDCODE]],GRAPHICS_PROPERTIES[VEHIDCODE],GRAPHICS_PROPERTIES[TEMPLATE_ID]&amp;GRAPHICS_PROPERTIES[TEMPLATE_AMENDMENT_CODE])</f>
        <v>TPL_01A</v>
      </c>
    </row>
    <row r="801" spans="1:18" x14ac:dyDescent="0.35">
      <c r="A801" t="s">
        <v>3276</v>
      </c>
      <c r="B801" s="21" t="str">
        <f>_xlfn.TEXTAFTER(CONTROL[[#This Row],[VEHIDCODE]],"_")</f>
        <v>Sorefame_DE8</v>
      </c>
      <c r="C801" t="str" cm="1">
        <f t="array" ref="C8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01" t="str" cm="1">
        <f t="array" ref="D8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0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5138</v>
      </c>
      <c r="F801" s="32" t="s">
        <v>3508</v>
      </c>
      <c r="G801" t="s">
        <v>523</v>
      </c>
      <c r="H801" s="2" t="b">
        <f>AND(CONTROL[[#This Row],[IS_WAGON_OR_COACH]]=TRUE,OR(RIGHT(CONTROL[[#This Row],[VEHIDCODE]],7)="Powered",RIGHT(CONTROL[[#This Row],[VEHIDCODE]],9)="Unpowered"))</f>
        <v>0</v>
      </c>
      <c r="I8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1" t="b">
        <f>ISNUMBER(_xlfn.XMATCH(CONTROL[[#This Row],[VEHIDCODE]],TRACK_TYPES[VEHIDCODE],0))</f>
        <v>1</v>
      </c>
      <c r="K801" t="b">
        <f>ISNUMBER(_xlfn.XMATCH(CONTROL[[#This Row],[VEHIDCODE]],PROPERTIES[VEHIDCODE],0))</f>
        <v>1</v>
      </c>
      <c r="L801" t="b">
        <f>ISNUMBER(_xlfn.XLOOKUP(CONTROL[[#This Row],[VEHIDCODE]],roster!A:A,roster!D:D))</f>
        <v>1</v>
      </c>
      <c r="M801" t="b">
        <f>ISNUMBER(_xlfn.XMATCH(CONTROL[[#This Row],[VEHIDCODE]],GRAPHICS_PROPERTIES[VEHIDCODE],0))</f>
        <v>1</v>
      </c>
      <c r="N801" s="21" t="str">
        <f>"item_"&amp;CONTROL[[#This Row],[VEHIDCODE]]</f>
        <v>item_diesel_Sorefame_DE8</v>
      </c>
      <c r="O801" s="21" t="str">
        <f>"str_"&amp;CONTROL[[#This Row],[VEHIDCODE]]</f>
        <v>str_diesel_Sorefame_DE8</v>
      </c>
      <c r="P801" s="7" t="b">
        <f>_xlfn.XLOOKUP(CONTROL[[#This Row],[VEHIDCODE]],PROPERTIES[VEHIDCODE],PROPERTIES[IS_CONCEPT])="IS_CONCEPT"</f>
        <v>0</v>
      </c>
      <c r="Q801" s="7" t="b">
        <f>_xlfn.XLOOKUP(CONTROL[[#This Row],[VEHIDCODE]],PROPERTIES[VEHIDCODE],PROPERTIES[EXCLUDE])</f>
        <v>0</v>
      </c>
      <c r="R801" t="str" cm="1">
        <f t="array" ref="R801">_xlfn.XLOOKUP(CONTROL[[#This Row],[VEHIDCODE]],GRAPHICS_PROPERTIES[VEHIDCODE],GRAPHICS_PROPERTIES[TEMPLATE_ID]&amp;GRAPHICS_PROPERTIES[TEMPLATE_AMENDMENT_CODE])</f>
        <v>TPL_01A</v>
      </c>
    </row>
    <row r="802" spans="1:18" x14ac:dyDescent="0.35">
      <c r="A802" t="s">
        <v>3277</v>
      </c>
      <c r="B802" s="21" t="str">
        <f>_xlfn.TEXTAFTER(CONTROL[[#This Row],[VEHIDCODE]],"_")</f>
        <v>GMD_GT22LC_2</v>
      </c>
      <c r="C802" t="str" cm="1">
        <f t="array" ref="C8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02" t="str" cm="1">
        <f t="array" ref="D8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0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5139</v>
      </c>
      <c r="F802" s="32" t="s">
        <v>1975</v>
      </c>
      <c r="G802" t="s">
        <v>1665</v>
      </c>
      <c r="H802" s="2" t="b">
        <f>AND(CONTROL[[#This Row],[IS_WAGON_OR_COACH]]=TRUE,OR(RIGHT(CONTROL[[#This Row],[VEHIDCODE]],7)="Powered",RIGHT(CONTROL[[#This Row],[VEHIDCODE]],9)="Unpowered"))</f>
        <v>0</v>
      </c>
      <c r="I8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2" t="b">
        <f>ISNUMBER(_xlfn.XMATCH(CONTROL[[#This Row],[VEHIDCODE]],TRACK_TYPES[VEHIDCODE],0))</f>
        <v>1</v>
      </c>
      <c r="K802" t="b">
        <f>ISNUMBER(_xlfn.XMATCH(CONTROL[[#This Row],[VEHIDCODE]],PROPERTIES[VEHIDCODE],0))</f>
        <v>1</v>
      </c>
      <c r="L802" t="b">
        <f>ISNUMBER(_xlfn.XLOOKUP(CONTROL[[#This Row],[VEHIDCODE]],roster!A:A,roster!D:D))</f>
        <v>1</v>
      </c>
      <c r="M802" t="b">
        <f>ISNUMBER(_xlfn.XMATCH(CONTROL[[#This Row],[VEHIDCODE]],GRAPHICS_PROPERTIES[VEHIDCODE],0))</f>
        <v>1</v>
      </c>
      <c r="N802" s="21" t="str">
        <f>"item_"&amp;CONTROL[[#This Row],[VEHIDCODE]]</f>
        <v>item_diesel_GMD_GT22LC_2</v>
      </c>
      <c r="O802" s="21" t="str">
        <f>"str_"&amp;CONTROL[[#This Row],[VEHIDCODE]]</f>
        <v>str_diesel_GMD_GT22LC_2</v>
      </c>
      <c r="P802" s="7" t="b">
        <f>_xlfn.XLOOKUP(CONTROL[[#This Row],[VEHIDCODE]],PROPERTIES[VEHIDCODE],PROPERTIES[IS_CONCEPT])="IS_CONCEPT"</f>
        <v>0</v>
      </c>
      <c r="Q802" s="7" t="b">
        <f>_xlfn.XLOOKUP(CONTROL[[#This Row],[VEHIDCODE]],PROPERTIES[VEHIDCODE],PROPERTIES[EXCLUDE])</f>
        <v>0</v>
      </c>
      <c r="R802" t="str" cm="1">
        <f t="array" ref="R802">_xlfn.XLOOKUP(CONTROL[[#This Row],[VEHIDCODE]],GRAPHICS_PROPERTIES[VEHIDCODE],GRAPHICS_PROPERTIES[TEMPLATE_ID]&amp;GRAPHICS_PROPERTIES[TEMPLATE_AMENDMENT_CODE])</f>
        <v>TPL_01A</v>
      </c>
    </row>
    <row r="803" spans="1:18" x14ac:dyDescent="0.35">
      <c r="A803" t="s">
        <v>3278</v>
      </c>
      <c r="B803" s="21" t="str">
        <f>_xlfn.TEXTAFTER(CONTROL[[#This Row],[VEHIDCODE]],"_")</f>
        <v>TRC_E6800</v>
      </c>
      <c r="C803" t="str" cm="1">
        <f t="array" ref="C8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03" t="str" cm="1">
        <f t="array" ref="D8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0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6137</v>
      </c>
      <c r="F803" s="32" t="s">
        <v>1725</v>
      </c>
      <c r="G803" t="s">
        <v>1666</v>
      </c>
      <c r="H803" s="2" t="b">
        <f>AND(CONTROL[[#This Row],[IS_WAGON_OR_COACH]]=TRUE,OR(RIGHT(CONTROL[[#This Row],[VEHIDCODE]],7)="Powered",RIGHT(CONTROL[[#This Row],[VEHIDCODE]],9)="Unpowered"))</f>
        <v>0</v>
      </c>
      <c r="I8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3" t="b">
        <f>ISNUMBER(_xlfn.XMATCH(CONTROL[[#This Row],[VEHIDCODE]],TRACK_TYPES[VEHIDCODE],0))</f>
        <v>1</v>
      </c>
      <c r="K803" t="b">
        <f>ISNUMBER(_xlfn.XMATCH(CONTROL[[#This Row],[VEHIDCODE]],PROPERTIES[VEHIDCODE],0))</f>
        <v>1</v>
      </c>
      <c r="L803" t="b">
        <f>ISNUMBER(_xlfn.XLOOKUP(CONTROL[[#This Row],[VEHIDCODE]],roster!A:A,roster!D:D))</f>
        <v>1</v>
      </c>
      <c r="M803" t="b">
        <f>ISNUMBER(_xlfn.XMATCH(CONTROL[[#This Row],[VEHIDCODE]],GRAPHICS_PROPERTIES[VEHIDCODE],0))</f>
        <v>1</v>
      </c>
      <c r="N803" s="21" t="str">
        <f>"item_"&amp;CONTROL[[#This Row],[VEHIDCODE]]</f>
        <v>item_electric_TRC_E6800</v>
      </c>
      <c r="O803" s="21" t="str">
        <f>"str_"&amp;CONTROL[[#This Row],[VEHIDCODE]]</f>
        <v>str_electric_TRC_E6800</v>
      </c>
      <c r="P803" s="7" t="b">
        <f>_xlfn.XLOOKUP(CONTROL[[#This Row],[VEHIDCODE]],PROPERTIES[VEHIDCODE],PROPERTIES[IS_CONCEPT])="IS_CONCEPT"</f>
        <v>0</v>
      </c>
      <c r="Q803" s="7" t="b">
        <f>_xlfn.XLOOKUP(CONTROL[[#This Row],[VEHIDCODE]],PROPERTIES[VEHIDCODE],PROPERTIES[EXCLUDE])</f>
        <v>0</v>
      </c>
      <c r="R803" t="str" cm="1">
        <f t="array" ref="R803">_xlfn.XLOOKUP(CONTROL[[#This Row],[VEHIDCODE]],GRAPHICS_PROPERTIES[VEHIDCODE],GRAPHICS_PROPERTIES[TEMPLATE_ID]&amp;GRAPHICS_PROPERTIES[TEMPLATE_AMENDMENT_CODE])</f>
        <v>TPL_01A</v>
      </c>
    </row>
    <row r="804" spans="1:18" x14ac:dyDescent="0.35">
      <c r="A804" s="2" t="s">
        <v>3279</v>
      </c>
      <c r="B804" s="30" t="str">
        <f>_xlfn.TEXTAFTER(CONTROL[[#This Row],[VEHIDCODE]],"_")</f>
        <v>Brooklyn_Union_Gate_Elevated</v>
      </c>
      <c r="C804" t="str" cm="1">
        <f t="array" ref="C8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04" t="str" cm="1">
        <f t="array" ref="D8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0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9056</v>
      </c>
      <c r="F804" s="32" t="s">
        <v>1668</v>
      </c>
      <c r="G804" t="s">
        <v>1643</v>
      </c>
      <c r="H804" s="2" t="b">
        <f>AND(CONTROL[[#This Row],[IS_WAGON_OR_COACH]]=TRUE,OR(RIGHT(CONTROL[[#This Row],[VEHIDCODE]],7)="Powered",RIGHT(CONTROL[[#This Row],[VEHIDCODE]],9)="Unpowered"))</f>
        <v>0</v>
      </c>
      <c r="I8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4" t="b">
        <f>ISNUMBER(_xlfn.XMATCH(CONTROL[[#This Row],[VEHIDCODE]],TRACK_TYPES[VEHIDCODE],0))</f>
        <v>1</v>
      </c>
      <c r="K804" t="b">
        <f>ISNUMBER(_xlfn.XMATCH(CONTROL[[#This Row],[VEHIDCODE]],PROPERTIES[VEHIDCODE],0))</f>
        <v>1</v>
      </c>
      <c r="L804" t="b">
        <f>ISNUMBER(_xlfn.XLOOKUP(CONTROL[[#This Row],[VEHIDCODE]],roster!A:A,roster!D:D))</f>
        <v>1</v>
      </c>
      <c r="M804" t="b">
        <f>ISNUMBER(_xlfn.XMATCH(CONTROL[[#This Row],[VEHIDCODE]],GRAPHICS_PROPERTIES[VEHIDCODE],0))</f>
        <v>1</v>
      </c>
      <c r="N804" s="21" t="str">
        <f>"item_"&amp;CONTROL[[#This Row],[VEHIDCODE]]</f>
        <v>item_mtro_Brooklyn_Union_Gate_Elevated</v>
      </c>
      <c r="O804" s="21" t="str">
        <f>"str_"&amp;CONTROL[[#This Row],[VEHIDCODE]]</f>
        <v>str_mtro_Brooklyn_Union_Gate_Elevated</v>
      </c>
      <c r="P804" s="7" t="b">
        <f>_xlfn.XLOOKUP(CONTROL[[#This Row],[VEHIDCODE]],PROPERTIES[VEHIDCODE],PROPERTIES[IS_CONCEPT])="IS_CONCEPT"</f>
        <v>0</v>
      </c>
      <c r="Q804" s="7" t="b">
        <f>_xlfn.XLOOKUP(CONTROL[[#This Row],[VEHIDCODE]],PROPERTIES[VEHIDCODE],PROPERTIES[EXCLUDE])</f>
        <v>0</v>
      </c>
      <c r="R804" t="str" cm="1">
        <f t="array" ref="R804">_xlfn.XLOOKUP(CONTROL[[#This Row],[VEHIDCODE]],GRAPHICS_PROPERTIES[VEHIDCODE],GRAPHICS_PROPERTIES[TEMPLATE_ID]&amp;GRAPHICS_PROPERTIES[TEMPLATE_AMENDMENT_CODE])</f>
        <v>TPL_02C</v>
      </c>
    </row>
    <row r="805" spans="1:18" x14ac:dyDescent="0.35">
      <c r="A805" s="2" t="s">
        <v>1729</v>
      </c>
      <c r="B805" s="21" t="str">
        <f>_xlfn.TEXTAFTER(CONTROL[[#This Row],[VEHIDCODE]],"_")</f>
        <v>Coach_Gen5_CityNightLine_Sleeper</v>
      </c>
      <c r="C805" t="str" cm="1">
        <f t="array" ref="C8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805" t="str" cm="1">
        <f t="array" ref="D8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80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11071</v>
      </c>
      <c r="F805" s="33" t="s">
        <v>1727</v>
      </c>
      <c r="G805" t="s">
        <v>523</v>
      </c>
      <c r="H805" s="2" t="b">
        <f>AND(CONTROL[[#This Row],[IS_WAGON_OR_COACH]]=TRUE,OR(RIGHT(CONTROL[[#This Row],[VEHIDCODE]],7)="Powered",RIGHT(CONTROL[[#This Row],[VEHIDCODE]],9)="Unpowered"))</f>
        <v>0</v>
      </c>
      <c r="I8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05" t="b">
        <f>ISNUMBER(_xlfn.XMATCH(CONTROL[[#This Row],[VEHIDCODE]],TRACK_TYPES[VEHIDCODE],0))</f>
        <v>1</v>
      </c>
      <c r="K805" t="b">
        <f>ISNUMBER(_xlfn.XMATCH(CONTROL[[#This Row],[VEHIDCODE]],PROPERTIES[VEHIDCODE],0))</f>
        <v>1</v>
      </c>
      <c r="L805" t="b">
        <f>ISNUMBER(_xlfn.XLOOKUP(CONTROL[[#This Row],[VEHIDCODE]],roster!A:A,roster!D:D))</f>
        <v>1</v>
      </c>
      <c r="M805" t="b">
        <f>ISNUMBER(_xlfn.XMATCH(CONTROL[[#This Row],[VEHIDCODE]],GRAPHICS_PROPERTIES[VEHIDCODE],0))</f>
        <v>1</v>
      </c>
      <c r="N805" s="21" t="str">
        <f>"item_"&amp;CONTROL[[#This Row],[VEHIDCODE]]</f>
        <v>item_mu_Coach_Gen5_CityNightLine_Sleeper</v>
      </c>
      <c r="O805" s="21" t="str">
        <f>"str_"&amp;CONTROL[[#This Row],[VEHIDCODE]]</f>
        <v>str_mu_Coach_Gen5_CityNightLine_Sleeper</v>
      </c>
      <c r="P805" s="7" t="b">
        <f>_xlfn.XLOOKUP(CONTROL[[#This Row],[VEHIDCODE]],PROPERTIES[VEHIDCODE],PROPERTIES[IS_CONCEPT])="IS_CONCEPT"</f>
        <v>0</v>
      </c>
      <c r="Q805" s="7" t="b">
        <f>_xlfn.XLOOKUP(CONTROL[[#This Row],[VEHIDCODE]],PROPERTIES[VEHIDCODE],PROPERTIES[EXCLUDE])</f>
        <v>0</v>
      </c>
      <c r="R805" t="str" cm="1">
        <f t="array" ref="R805">_xlfn.XLOOKUP(CONTROL[[#This Row],[VEHIDCODE]],GRAPHICS_PROPERTIES[VEHIDCODE],GRAPHICS_PROPERTIES[TEMPLATE_ID]&amp;GRAPHICS_PROPERTIES[TEMPLATE_AMENDMENT_CODE])</f>
        <v>TPL_04A</v>
      </c>
    </row>
    <row r="806" spans="1:18" x14ac:dyDescent="0.35">
      <c r="A806" t="s">
        <v>1730</v>
      </c>
      <c r="B806" s="21" t="str">
        <f>_xlfn.TEXTAFTER(CONTROL[[#This Row],[VEHIDCODE]],"_")</f>
        <v>Coach_Gen4_Trans_Euro_Night_Sleeper</v>
      </c>
      <c r="C806" t="str" cm="1">
        <f t="array" ref="C8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806" t="str" cm="1">
        <f t="array" ref="D8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80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11072</v>
      </c>
      <c r="F806" s="33" t="s">
        <v>1728</v>
      </c>
      <c r="G806" t="s">
        <v>523</v>
      </c>
      <c r="H806" s="2" t="b">
        <f>AND(CONTROL[[#This Row],[IS_WAGON_OR_COACH]]=TRUE,OR(RIGHT(CONTROL[[#This Row],[VEHIDCODE]],7)="Powered",RIGHT(CONTROL[[#This Row],[VEHIDCODE]],9)="Unpowered"))</f>
        <v>0</v>
      </c>
      <c r="I8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06" t="b">
        <f>ISNUMBER(_xlfn.XMATCH(CONTROL[[#This Row],[VEHIDCODE]],TRACK_TYPES[VEHIDCODE],0))</f>
        <v>1</v>
      </c>
      <c r="K806" t="b">
        <f>ISNUMBER(_xlfn.XMATCH(CONTROL[[#This Row],[VEHIDCODE]],PROPERTIES[VEHIDCODE],0))</f>
        <v>1</v>
      </c>
      <c r="L806" t="b">
        <f>ISNUMBER(_xlfn.XLOOKUP(CONTROL[[#This Row],[VEHIDCODE]],roster!A:A,roster!D:D))</f>
        <v>1</v>
      </c>
      <c r="M806" t="b">
        <f>ISNUMBER(_xlfn.XMATCH(CONTROL[[#This Row],[VEHIDCODE]],GRAPHICS_PROPERTIES[VEHIDCODE],0))</f>
        <v>1</v>
      </c>
      <c r="N806" s="21" t="str">
        <f>"item_"&amp;CONTROL[[#This Row],[VEHIDCODE]]</f>
        <v>item_mu_Coach_Gen4_Trans_Euro_Night_Sleeper</v>
      </c>
      <c r="O806" s="21" t="str">
        <f>"str_"&amp;CONTROL[[#This Row],[VEHIDCODE]]</f>
        <v>str_mu_Coach_Gen4_Trans_Euro_Night_Sleeper</v>
      </c>
      <c r="P806" s="7" t="b">
        <f>_xlfn.XLOOKUP(CONTROL[[#This Row],[VEHIDCODE]],PROPERTIES[VEHIDCODE],PROPERTIES[IS_CONCEPT])="IS_CONCEPT"</f>
        <v>0</v>
      </c>
      <c r="Q806" s="7" t="b">
        <f>_xlfn.XLOOKUP(CONTROL[[#This Row],[VEHIDCODE]],PROPERTIES[VEHIDCODE],PROPERTIES[EXCLUDE])</f>
        <v>0</v>
      </c>
      <c r="R806" t="str" cm="1">
        <f t="array" ref="R806">_xlfn.XLOOKUP(CONTROL[[#This Row],[VEHIDCODE]],GRAPHICS_PROPERTIES[VEHIDCODE],GRAPHICS_PROPERTIES[TEMPLATE_ID]&amp;GRAPHICS_PROPERTIES[TEMPLATE_AMENDMENT_CODE])</f>
        <v>TPL_04A</v>
      </c>
    </row>
    <row r="807" spans="1:18" x14ac:dyDescent="0.35">
      <c r="A807" s="2" t="s">
        <v>1715</v>
      </c>
      <c r="B807" s="21" t="str">
        <f>_xlfn.TEXTAFTER(CONTROL[[#This Row],[VEHIDCODE]],"_")</f>
        <v>Wagon_Gen1_Livestock_Van</v>
      </c>
      <c r="C807" t="str" cm="1">
        <f t="array" ref="C8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src\wagons\Gen1</v>
      </c>
      <c r="D807" t="str" cm="1">
        <f t="array" ref="D8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0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12064</v>
      </c>
      <c r="F807" s="32" t="s">
        <v>1716</v>
      </c>
      <c r="G807" t="s">
        <v>523</v>
      </c>
      <c r="H807" s="2" t="b">
        <f>AND(CONTROL[[#This Row],[IS_WAGON_OR_COACH]]=TRUE,OR(RIGHT(CONTROL[[#This Row],[VEHIDCODE]],7)="Powered",RIGHT(CONTROL[[#This Row],[VEHIDCODE]],9)="Unpowered"))</f>
        <v>0</v>
      </c>
      <c r="I8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07" t="b">
        <f>ISNUMBER(_xlfn.XMATCH(CONTROL[[#This Row],[VEHIDCODE]],TRACK_TYPES[VEHIDCODE],0))</f>
        <v>1</v>
      </c>
      <c r="K807" t="b">
        <f>ISNUMBER(_xlfn.XMATCH(CONTROL[[#This Row],[VEHIDCODE]],PROPERTIES[VEHIDCODE],0))</f>
        <v>1</v>
      </c>
      <c r="L807" t="b">
        <f>ISNUMBER(_xlfn.XLOOKUP(CONTROL[[#This Row],[VEHIDCODE]],roster!A:A,roster!D:D))</f>
        <v>1</v>
      </c>
      <c r="M807" t="b">
        <f>ISNUMBER(_xlfn.XMATCH(CONTROL[[#This Row],[VEHIDCODE]],GRAPHICS_PROPERTIES[VEHIDCODE],0))</f>
        <v>1</v>
      </c>
      <c r="N807" s="21" t="str">
        <f>"item_"&amp;CONTROL[[#This Row],[VEHIDCODE]]</f>
        <v>item_mu_Wagon_Gen1_Livestock_Van</v>
      </c>
      <c r="O807" s="21" t="str">
        <f>"str_"&amp;CONTROL[[#This Row],[VEHIDCODE]]</f>
        <v>str_mu_Wagon_Gen1_Livestock_Van</v>
      </c>
      <c r="P807" s="7" t="b">
        <f>_xlfn.XLOOKUP(CONTROL[[#This Row],[VEHIDCODE]],PROPERTIES[VEHIDCODE],PROPERTIES[IS_CONCEPT])="IS_CONCEPT"</f>
        <v>0</v>
      </c>
      <c r="Q807" s="7" t="b">
        <f>_xlfn.XLOOKUP(CONTROL[[#This Row],[VEHIDCODE]],PROPERTIES[VEHIDCODE],PROPERTIES[EXCLUDE])</f>
        <v>0</v>
      </c>
      <c r="R807" t="str" cm="1">
        <f t="array" ref="R807">_xlfn.XLOOKUP(CONTROL[[#This Row],[VEHIDCODE]],GRAPHICS_PROPERTIES[VEHIDCODE],GRAPHICS_PROPERTIES[TEMPLATE_ID]&amp;GRAPHICS_PROPERTIES[TEMPLATE_AMENDMENT_CODE])</f>
        <v>TPL_04B</v>
      </c>
    </row>
    <row r="808" spans="1:18" x14ac:dyDescent="0.35">
      <c r="A808" s="2" t="s">
        <v>1710</v>
      </c>
      <c r="B808" s="21" t="str">
        <f>_xlfn.TEXTAFTER(CONTROL[[#This Row],[VEHIDCODE]],"_")</f>
        <v>Wagon_Gen2_Livestock_Van</v>
      </c>
      <c r="C808" t="str" cm="1">
        <f t="array" ref="C8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808" t="str" cm="1">
        <f t="array" ref="D8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0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12065</v>
      </c>
      <c r="F808" s="32" t="s">
        <v>1717</v>
      </c>
      <c r="G808" t="s">
        <v>523</v>
      </c>
      <c r="H808" s="2" t="b">
        <f>AND(CONTROL[[#This Row],[IS_WAGON_OR_COACH]]=TRUE,OR(RIGHT(CONTROL[[#This Row],[VEHIDCODE]],7)="Powered",RIGHT(CONTROL[[#This Row],[VEHIDCODE]],9)="Unpowered"))</f>
        <v>0</v>
      </c>
      <c r="I8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08" t="b">
        <f>ISNUMBER(_xlfn.XMATCH(CONTROL[[#This Row],[VEHIDCODE]],TRACK_TYPES[VEHIDCODE],0))</f>
        <v>1</v>
      </c>
      <c r="K808" t="b">
        <f>ISNUMBER(_xlfn.XMATCH(CONTROL[[#This Row],[VEHIDCODE]],PROPERTIES[VEHIDCODE],0))</f>
        <v>1</v>
      </c>
      <c r="L808" t="b">
        <f>ISNUMBER(_xlfn.XLOOKUP(CONTROL[[#This Row],[VEHIDCODE]],roster!A:A,roster!D:D))</f>
        <v>1</v>
      </c>
      <c r="M808" t="b">
        <f>ISNUMBER(_xlfn.XMATCH(CONTROL[[#This Row],[VEHIDCODE]],GRAPHICS_PROPERTIES[VEHIDCODE],0))</f>
        <v>1</v>
      </c>
      <c r="N808" s="21" t="str">
        <f>"item_"&amp;CONTROL[[#This Row],[VEHIDCODE]]</f>
        <v>item_mu_Wagon_Gen2_Livestock_Van</v>
      </c>
      <c r="O808" s="21" t="str">
        <f>"str_"&amp;CONTROL[[#This Row],[VEHIDCODE]]</f>
        <v>str_mu_Wagon_Gen2_Livestock_Van</v>
      </c>
      <c r="P808" s="7" t="b">
        <f>_xlfn.XLOOKUP(CONTROL[[#This Row],[VEHIDCODE]],PROPERTIES[VEHIDCODE],PROPERTIES[IS_CONCEPT])="IS_CONCEPT"</f>
        <v>0</v>
      </c>
      <c r="Q808" s="7" t="b">
        <f>_xlfn.XLOOKUP(CONTROL[[#This Row],[VEHIDCODE]],PROPERTIES[VEHIDCODE],PROPERTIES[EXCLUDE])</f>
        <v>0</v>
      </c>
      <c r="R808" t="str" cm="1">
        <f t="array" ref="R808">_xlfn.XLOOKUP(CONTROL[[#This Row],[VEHIDCODE]],GRAPHICS_PROPERTIES[VEHIDCODE],GRAPHICS_PROPERTIES[TEMPLATE_ID]&amp;GRAPHICS_PROPERTIES[TEMPLATE_AMENDMENT_CODE])</f>
        <v>TPL_04B</v>
      </c>
    </row>
    <row r="809" spans="1:18" x14ac:dyDescent="0.35">
      <c r="A809" s="2" t="s">
        <v>1711</v>
      </c>
      <c r="B809" s="21" t="str">
        <f>_xlfn.TEXTAFTER(CONTROL[[#This Row],[VEHIDCODE]],"_")</f>
        <v>Wagon_Gen3_Livestock_Van</v>
      </c>
      <c r="C809" t="str" cm="1">
        <f t="array" ref="C8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809" t="str" cm="1">
        <f t="array" ref="D8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0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12066</v>
      </c>
      <c r="F809" s="32" t="s">
        <v>1718</v>
      </c>
      <c r="G809" t="s">
        <v>523</v>
      </c>
      <c r="H809" s="2" t="b">
        <f>AND(CONTROL[[#This Row],[IS_WAGON_OR_COACH]]=TRUE,OR(RIGHT(CONTROL[[#This Row],[VEHIDCODE]],7)="Powered",RIGHT(CONTROL[[#This Row],[VEHIDCODE]],9)="Unpowered"))</f>
        <v>0</v>
      </c>
      <c r="I8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09" t="b">
        <f>ISNUMBER(_xlfn.XMATCH(CONTROL[[#This Row],[VEHIDCODE]],TRACK_TYPES[VEHIDCODE],0))</f>
        <v>1</v>
      </c>
      <c r="K809" t="b">
        <f>ISNUMBER(_xlfn.XMATCH(CONTROL[[#This Row],[VEHIDCODE]],PROPERTIES[VEHIDCODE],0))</f>
        <v>1</v>
      </c>
      <c r="L809" t="b">
        <f>ISNUMBER(_xlfn.XLOOKUP(CONTROL[[#This Row],[VEHIDCODE]],roster!A:A,roster!D:D))</f>
        <v>1</v>
      </c>
      <c r="M809" t="b">
        <f>ISNUMBER(_xlfn.XMATCH(CONTROL[[#This Row],[VEHIDCODE]],GRAPHICS_PROPERTIES[VEHIDCODE],0))</f>
        <v>1</v>
      </c>
      <c r="N809" s="21" t="str">
        <f>"item_"&amp;CONTROL[[#This Row],[VEHIDCODE]]</f>
        <v>item_mu_Wagon_Gen3_Livestock_Van</v>
      </c>
      <c r="O809" s="21" t="str">
        <f>"str_"&amp;CONTROL[[#This Row],[VEHIDCODE]]</f>
        <v>str_mu_Wagon_Gen3_Livestock_Van</v>
      </c>
      <c r="P809" s="7" t="b">
        <f>_xlfn.XLOOKUP(CONTROL[[#This Row],[VEHIDCODE]],PROPERTIES[VEHIDCODE],PROPERTIES[IS_CONCEPT])="IS_CONCEPT"</f>
        <v>0</v>
      </c>
      <c r="Q809" s="7" t="b">
        <f>_xlfn.XLOOKUP(CONTROL[[#This Row],[VEHIDCODE]],PROPERTIES[VEHIDCODE],PROPERTIES[EXCLUDE])</f>
        <v>0</v>
      </c>
      <c r="R809" t="str" cm="1">
        <f t="array" ref="R809">_xlfn.XLOOKUP(CONTROL[[#This Row],[VEHIDCODE]],GRAPHICS_PROPERTIES[VEHIDCODE],GRAPHICS_PROPERTIES[TEMPLATE_ID]&amp;GRAPHICS_PROPERTIES[TEMPLATE_AMENDMENT_CODE])</f>
        <v>TPL_04B</v>
      </c>
    </row>
    <row r="810" spans="1:18" x14ac:dyDescent="0.35">
      <c r="A810" s="2" t="s">
        <v>1712</v>
      </c>
      <c r="B810" s="21" t="str">
        <f>_xlfn.TEXTAFTER(CONTROL[[#This Row],[VEHIDCODE]],"_")</f>
        <v>Wagon_Gen4_Livestock_Van</v>
      </c>
      <c r="C810" t="str" cm="1">
        <f t="array" ref="C8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810" t="str" cm="1">
        <f t="array" ref="D8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1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12067</v>
      </c>
      <c r="F810" s="32" t="s">
        <v>1719</v>
      </c>
      <c r="G810" t="s">
        <v>523</v>
      </c>
      <c r="H810" s="2" t="b">
        <f>AND(CONTROL[[#This Row],[IS_WAGON_OR_COACH]]=TRUE,OR(RIGHT(CONTROL[[#This Row],[VEHIDCODE]],7)="Powered",RIGHT(CONTROL[[#This Row],[VEHIDCODE]],9)="Unpowered"))</f>
        <v>0</v>
      </c>
      <c r="I8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10" t="b">
        <f>ISNUMBER(_xlfn.XMATCH(CONTROL[[#This Row],[VEHIDCODE]],TRACK_TYPES[VEHIDCODE],0))</f>
        <v>1</v>
      </c>
      <c r="K810" t="b">
        <f>ISNUMBER(_xlfn.XMATCH(CONTROL[[#This Row],[VEHIDCODE]],PROPERTIES[VEHIDCODE],0))</f>
        <v>1</v>
      </c>
      <c r="L810" t="b">
        <f>ISNUMBER(_xlfn.XLOOKUP(CONTROL[[#This Row],[VEHIDCODE]],roster!A:A,roster!D:D))</f>
        <v>1</v>
      </c>
      <c r="M810" t="b">
        <f>ISNUMBER(_xlfn.XMATCH(CONTROL[[#This Row],[VEHIDCODE]],GRAPHICS_PROPERTIES[VEHIDCODE],0))</f>
        <v>1</v>
      </c>
      <c r="N810" s="21" t="str">
        <f>"item_"&amp;CONTROL[[#This Row],[VEHIDCODE]]</f>
        <v>item_mu_Wagon_Gen4_Livestock_Van</v>
      </c>
      <c r="O810" s="21" t="str">
        <f>"str_"&amp;CONTROL[[#This Row],[VEHIDCODE]]</f>
        <v>str_mu_Wagon_Gen4_Livestock_Van</v>
      </c>
      <c r="P810" s="7" t="b">
        <f>_xlfn.XLOOKUP(CONTROL[[#This Row],[VEHIDCODE]],PROPERTIES[VEHIDCODE],PROPERTIES[IS_CONCEPT])="IS_CONCEPT"</f>
        <v>0</v>
      </c>
      <c r="Q810" s="7" t="b">
        <f>_xlfn.XLOOKUP(CONTROL[[#This Row],[VEHIDCODE]],PROPERTIES[VEHIDCODE],PROPERTIES[EXCLUDE])</f>
        <v>0</v>
      </c>
      <c r="R810" t="str" cm="1">
        <f t="array" ref="R810">_xlfn.XLOOKUP(CONTROL[[#This Row],[VEHIDCODE]],GRAPHICS_PROPERTIES[VEHIDCODE],GRAPHICS_PROPERTIES[TEMPLATE_ID]&amp;GRAPHICS_PROPERTIES[TEMPLATE_AMENDMENT_CODE])</f>
        <v>TPL_04B</v>
      </c>
    </row>
    <row r="811" spans="1:18" x14ac:dyDescent="0.35">
      <c r="A811" s="2" t="s">
        <v>1713</v>
      </c>
      <c r="B811" s="21" t="str">
        <f>_xlfn.TEXTAFTER(CONTROL[[#This Row],[VEHIDCODE]],"_")</f>
        <v>Wagon_Gen5_Livestock_Van</v>
      </c>
      <c r="C811" t="str" cm="1">
        <f t="array" ref="C8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811" t="str" cm="1">
        <f t="array" ref="D8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1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12068</v>
      </c>
      <c r="F811" s="32" t="s">
        <v>1720</v>
      </c>
      <c r="G811" t="s">
        <v>523</v>
      </c>
      <c r="H811" s="2" t="b">
        <f>AND(CONTROL[[#This Row],[IS_WAGON_OR_COACH]]=TRUE,OR(RIGHT(CONTROL[[#This Row],[VEHIDCODE]],7)="Powered",RIGHT(CONTROL[[#This Row],[VEHIDCODE]],9)="Unpowered"))</f>
        <v>0</v>
      </c>
      <c r="I8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11" t="b">
        <f>ISNUMBER(_xlfn.XMATCH(CONTROL[[#This Row],[VEHIDCODE]],TRACK_TYPES[VEHIDCODE],0))</f>
        <v>1</v>
      </c>
      <c r="K811" t="b">
        <f>ISNUMBER(_xlfn.XMATCH(CONTROL[[#This Row],[VEHIDCODE]],PROPERTIES[VEHIDCODE],0))</f>
        <v>1</v>
      </c>
      <c r="L811" t="b">
        <f>ISNUMBER(_xlfn.XLOOKUP(CONTROL[[#This Row],[VEHIDCODE]],roster!A:A,roster!D:D))</f>
        <v>1</v>
      </c>
      <c r="M811" t="b">
        <f>ISNUMBER(_xlfn.XMATCH(CONTROL[[#This Row],[VEHIDCODE]],GRAPHICS_PROPERTIES[VEHIDCODE],0))</f>
        <v>1</v>
      </c>
      <c r="N811" s="21" t="str">
        <f>"item_"&amp;CONTROL[[#This Row],[VEHIDCODE]]</f>
        <v>item_mu_Wagon_Gen5_Livestock_Van</v>
      </c>
      <c r="O811" s="21" t="str">
        <f>"str_"&amp;CONTROL[[#This Row],[VEHIDCODE]]</f>
        <v>str_mu_Wagon_Gen5_Livestock_Van</v>
      </c>
      <c r="P811" s="7" t="b">
        <f>_xlfn.XLOOKUP(CONTROL[[#This Row],[VEHIDCODE]],PROPERTIES[VEHIDCODE],PROPERTIES[IS_CONCEPT])="IS_CONCEPT"</f>
        <v>0</v>
      </c>
      <c r="Q811" s="7" t="b">
        <f>_xlfn.XLOOKUP(CONTROL[[#This Row],[VEHIDCODE]],PROPERTIES[VEHIDCODE],PROPERTIES[EXCLUDE])</f>
        <v>0</v>
      </c>
      <c r="R811" t="str" cm="1">
        <f t="array" ref="R811">_xlfn.XLOOKUP(CONTROL[[#This Row],[VEHIDCODE]],GRAPHICS_PROPERTIES[VEHIDCODE],GRAPHICS_PROPERTIES[TEMPLATE_ID]&amp;GRAPHICS_PROPERTIES[TEMPLATE_AMENDMENT_CODE])</f>
        <v>TPL_04B</v>
      </c>
    </row>
    <row r="812" spans="1:18" x14ac:dyDescent="0.35">
      <c r="A812" s="2" t="s">
        <v>1714</v>
      </c>
      <c r="B812" s="21" t="str">
        <f>_xlfn.TEXTAFTER(CONTROL[[#This Row],[VEHIDCODE]],"_")</f>
        <v>Wagon_Gen6_Livestock_Van</v>
      </c>
      <c r="C812" t="str" cm="1">
        <f t="array" ref="C8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812" t="str" cm="1">
        <f t="array" ref="D8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1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12069</v>
      </c>
      <c r="F812" s="32" t="s">
        <v>1721</v>
      </c>
      <c r="G812" t="s">
        <v>523</v>
      </c>
      <c r="H812" s="2" t="b">
        <f>AND(CONTROL[[#This Row],[IS_WAGON_OR_COACH]]=TRUE,OR(RIGHT(CONTROL[[#This Row],[VEHIDCODE]],7)="Powered",RIGHT(CONTROL[[#This Row],[VEHIDCODE]],9)="Unpowered"))</f>
        <v>0</v>
      </c>
      <c r="I8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12" t="b">
        <f>ISNUMBER(_xlfn.XMATCH(CONTROL[[#This Row],[VEHIDCODE]],TRACK_TYPES[VEHIDCODE],0))</f>
        <v>1</v>
      </c>
      <c r="K812" t="b">
        <f>ISNUMBER(_xlfn.XMATCH(CONTROL[[#This Row],[VEHIDCODE]],PROPERTIES[VEHIDCODE],0))</f>
        <v>1</v>
      </c>
      <c r="L812" t="b">
        <f>ISNUMBER(_xlfn.XLOOKUP(CONTROL[[#This Row],[VEHIDCODE]],roster!A:A,roster!D:D))</f>
        <v>1</v>
      </c>
      <c r="M812" t="b">
        <f>ISNUMBER(_xlfn.XMATCH(CONTROL[[#This Row],[VEHIDCODE]],GRAPHICS_PROPERTIES[VEHIDCODE],0))</f>
        <v>1</v>
      </c>
      <c r="N812" s="21" t="str">
        <f>"item_"&amp;CONTROL[[#This Row],[VEHIDCODE]]</f>
        <v>item_mu_Wagon_Gen6_Livestock_Van</v>
      </c>
      <c r="O812" s="21" t="str">
        <f>"str_"&amp;CONTROL[[#This Row],[VEHIDCODE]]</f>
        <v>str_mu_Wagon_Gen6_Livestock_Van</v>
      </c>
      <c r="P812" s="7" t="b">
        <f>_xlfn.XLOOKUP(CONTROL[[#This Row],[VEHIDCODE]],PROPERTIES[VEHIDCODE],PROPERTIES[IS_CONCEPT])="IS_CONCEPT"</f>
        <v>0</v>
      </c>
      <c r="Q812" s="7" t="b">
        <f>_xlfn.XLOOKUP(CONTROL[[#This Row],[VEHIDCODE]],PROPERTIES[VEHIDCODE],PROPERTIES[EXCLUDE])</f>
        <v>0</v>
      </c>
      <c r="R812" t="str" cm="1">
        <f t="array" ref="R812">_xlfn.XLOOKUP(CONTROL[[#This Row],[VEHIDCODE]],GRAPHICS_PROPERTIES[VEHIDCODE],GRAPHICS_PROPERTIES[TEMPLATE_ID]&amp;GRAPHICS_PROPERTIES[TEMPLATE_AMENDMENT_CODE])</f>
        <v>TPL_04B</v>
      </c>
    </row>
    <row r="813" spans="1:18" x14ac:dyDescent="0.35">
      <c r="A813" s="2" t="s">
        <v>1733</v>
      </c>
      <c r="B813" s="21" t="str">
        <f>_xlfn.TEXTAFTER(CONTROL[[#This Row],[VEHIDCODE]],"_")</f>
        <v>Wagon_Gen7M_Livestock_Van</v>
      </c>
      <c r="C813" t="str" cm="1">
        <f t="array" ref="C8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813" t="str" cm="1">
        <f t="array" ref="D8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81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10515</v>
      </c>
      <c r="F813" s="32" t="s">
        <v>1722</v>
      </c>
      <c r="G813" t="s">
        <v>523</v>
      </c>
      <c r="H813" s="2" t="b">
        <f>AND(CONTROL[[#This Row],[IS_WAGON_OR_COACH]]=TRUE,OR(RIGHT(CONTROL[[#This Row],[VEHIDCODE]],7)="Powered",RIGHT(CONTROL[[#This Row],[VEHIDCODE]],9)="Unpowered"))</f>
        <v>0</v>
      </c>
      <c r="I8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13" t="b">
        <f>ISNUMBER(_xlfn.XMATCH(CONTROL[[#This Row],[VEHIDCODE]],TRACK_TYPES[VEHIDCODE],0))</f>
        <v>1</v>
      </c>
      <c r="K813" t="b">
        <f>ISNUMBER(_xlfn.XMATCH(CONTROL[[#This Row],[VEHIDCODE]],PROPERTIES[VEHIDCODE],0))</f>
        <v>1</v>
      </c>
      <c r="L813" t="b">
        <f>ISNUMBER(_xlfn.XLOOKUP(CONTROL[[#This Row],[VEHIDCODE]],roster!A:A,roster!D:D))</f>
        <v>1</v>
      </c>
      <c r="M813" t="b">
        <f>ISNUMBER(_xlfn.XMATCH(CONTROL[[#This Row],[VEHIDCODE]],GRAPHICS_PROPERTIES[VEHIDCODE],0))</f>
        <v>1</v>
      </c>
      <c r="N813" s="21" t="str">
        <f>"item_"&amp;CONTROL[[#This Row],[VEHIDCODE]]</f>
        <v>item_mglv_Wagon_Gen7M_Livestock_Van</v>
      </c>
      <c r="O813" s="21" t="str">
        <f>"str_"&amp;CONTROL[[#This Row],[VEHIDCODE]]</f>
        <v>str_mglv_Wagon_Gen7M_Livestock_Van</v>
      </c>
      <c r="P813" s="7" t="b">
        <f>_xlfn.XLOOKUP(CONTROL[[#This Row],[VEHIDCODE]],PROPERTIES[VEHIDCODE],PROPERTIES[IS_CONCEPT])="IS_CONCEPT"</f>
        <v>1</v>
      </c>
      <c r="Q813" s="7" t="b">
        <f>_xlfn.XLOOKUP(CONTROL[[#This Row],[VEHIDCODE]],PROPERTIES[VEHIDCODE],PROPERTIES[EXCLUDE])</f>
        <v>0</v>
      </c>
      <c r="R813" t="str" cm="1">
        <f t="array" ref="R813">_xlfn.XLOOKUP(CONTROL[[#This Row],[VEHIDCODE]],GRAPHICS_PROPERTIES[VEHIDCODE],GRAPHICS_PROPERTIES[TEMPLATE_ID]&amp;GRAPHICS_PROPERTIES[TEMPLATE_AMENDMENT_CODE])</f>
        <v>TPL_04B</v>
      </c>
    </row>
    <row r="814" spans="1:18" x14ac:dyDescent="0.35">
      <c r="A814" t="s">
        <v>3280</v>
      </c>
      <c r="B814" s="21" t="str">
        <f>_xlfn.TEXTAFTER(CONTROL[[#This Row],[VEHIDCODE]],"_")</f>
        <v>Ganz_MAVAG_VM15_V63</v>
      </c>
      <c r="C814" t="str" cm="1">
        <f t="array" ref="C8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4" t="str" cm="1">
        <f t="array" ref="D8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1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6138</v>
      </c>
      <c r="F814" s="32" t="s">
        <v>2618</v>
      </c>
      <c r="G814" t="s">
        <v>1724</v>
      </c>
      <c r="H814" s="2" t="b">
        <f>AND(CONTROL[[#This Row],[IS_WAGON_OR_COACH]]=TRUE,OR(RIGHT(CONTROL[[#This Row],[VEHIDCODE]],7)="Powered",RIGHT(CONTROL[[#This Row],[VEHIDCODE]],9)="Unpowered"))</f>
        <v>0</v>
      </c>
      <c r="I8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4" t="b">
        <f>ISNUMBER(_xlfn.XMATCH(CONTROL[[#This Row],[VEHIDCODE]],TRACK_TYPES[VEHIDCODE],0))</f>
        <v>1</v>
      </c>
      <c r="K814" t="b">
        <f>ISNUMBER(_xlfn.XMATCH(CONTROL[[#This Row],[VEHIDCODE]],PROPERTIES[VEHIDCODE],0))</f>
        <v>1</v>
      </c>
      <c r="L814" t="b">
        <f>ISNUMBER(_xlfn.XLOOKUP(CONTROL[[#This Row],[VEHIDCODE]],roster!A:A,roster!D:D))</f>
        <v>1</v>
      </c>
      <c r="M814" t="b">
        <f>ISNUMBER(_xlfn.XMATCH(CONTROL[[#This Row],[VEHIDCODE]],GRAPHICS_PROPERTIES[VEHIDCODE],0))</f>
        <v>1</v>
      </c>
      <c r="N814" s="21" t="str">
        <f>"item_"&amp;CONTROL[[#This Row],[VEHIDCODE]]</f>
        <v>item_electric_Ganz_MAVAG_VM15_V63</v>
      </c>
      <c r="O814" s="21" t="str">
        <f>"str_"&amp;CONTROL[[#This Row],[VEHIDCODE]]</f>
        <v>str_electric_Ganz_MAVAG_VM15_V63</v>
      </c>
      <c r="P814" s="7" t="b">
        <f>_xlfn.XLOOKUP(CONTROL[[#This Row],[VEHIDCODE]],PROPERTIES[VEHIDCODE],PROPERTIES[IS_CONCEPT])="IS_CONCEPT"</f>
        <v>0</v>
      </c>
      <c r="Q814" s="7" t="b">
        <f>_xlfn.XLOOKUP(CONTROL[[#This Row],[VEHIDCODE]],PROPERTIES[VEHIDCODE],PROPERTIES[EXCLUDE])</f>
        <v>0</v>
      </c>
      <c r="R814" t="str" cm="1">
        <f t="array" ref="R814">_xlfn.XLOOKUP(CONTROL[[#This Row],[VEHIDCODE]],GRAPHICS_PROPERTIES[VEHIDCODE],GRAPHICS_PROPERTIES[TEMPLATE_ID]&amp;GRAPHICS_PROPERTIES[TEMPLATE_AMENDMENT_CODE])</f>
        <v>TPL_16A</v>
      </c>
    </row>
    <row r="815" spans="1:18" x14ac:dyDescent="0.35">
      <c r="A815" t="s">
        <v>3281</v>
      </c>
      <c r="B815" s="21" t="str">
        <f>_xlfn.TEXTAFTER(CONTROL[[#This Row],[VEHIDCODE]],"_")</f>
        <v>BREL_ABB_London_1992_Stock</v>
      </c>
      <c r="C815" t="str" cm="1">
        <f t="array" ref="C8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5" t="str" cm="1">
        <f t="array" ref="D8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1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9057</v>
      </c>
      <c r="F815" s="32" t="s">
        <v>2442</v>
      </c>
      <c r="G815" t="s">
        <v>1731</v>
      </c>
      <c r="H815" s="2" t="b">
        <f>AND(CONTROL[[#This Row],[IS_WAGON_OR_COACH]]=TRUE,OR(RIGHT(CONTROL[[#This Row],[VEHIDCODE]],7)="Powered",RIGHT(CONTROL[[#This Row],[VEHIDCODE]],9)="Unpowered"))</f>
        <v>0</v>
      </c>
      <c r="I8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5" t="b">
        <f>ISNUMBER(_xlfn.XMATCH(CONTROL[[#This Row],[VEHIDCODE]],TRACK_TYPES[VEHIDCODE],0))</f>
        <v>1</v>
      </c>
      <c r="K815" t="b">
        <f>ISNUMBER(_xlfn.XMATCH(CONTROL[[#This Row],[VEHIDCODE]],PROPERTIES[VEHIDCODE],0))</f>
        <v>1</v>
      </c>
      <c r="L815" t="b">
        <f>ISNUMBER(_xlfn.XLOOKUP(CONTROL[[#This Row],[VEHIDCODE]],roster!A:A,roster!D:D))</f>
        <v>1</v>
      </c>
      <c r="M815" t="b">
        <f>ISNUMBER(_xlfn.XMATCH(CONTROL[[#This Row],[VEHIDCODE]],GRAPHICS_PROPERTIES[VEHIDCODE],0))</f>
        <v>1</v>
      </c>
      <c r="N815" s="21" t="str">
        <f>"item_"&amp;CONTROL[[#This Row],[VEHIDCODE]]</f>
        <v>item_mtro_BREL_ABB_London_1992_Stock</v>
      </c>
      <c r="O815" s="21" t="str">
        <f>"str_"&amp;CONTROL[[#This Row],[VEHIDCODE]]</f>
        <v>str_mtro_BREL_ABB_London_1992_Stock</v>
      </c>
      <c r="P815" s="7" t="b">
        <f>_xlfn.XLOOKUP(CONTROL[[#This Row],[VEHIDCODE]],PROPERTIES[VEHIDCODE],PROPERTIES[IS_CONCEPT])="IS_CONCEPT"</f>
        <v>0</v>
      </c>
      <c r="Q815" s="7" t="b">
        <f>_xlfn.XLOOKUP(CONTROL[[#This Row],[VEHIDCODE]],PROPERTIES[VEHIDCODE],PROPERTIES[EXCLUDE])</f>
        <v>0</v>
      </c>
      <c r="R815" t="str" cm="1">
        <f t="array" ref="R815">_xlfn.XLOOKUP(CONTROL[[#This Row],[VEHIDCODE]],GRAPHICS_PROPERTIES[VEHIDCODE],GRAPHICS_PROPERTIES[TEMPLATE_ID]&amp;GRAPHICS_PROPERTIES[TEMPLATE_AMENDMENT_CODE])</f>
        <v>TPL_02C</v>
      </c>
    </row>
    <row r="816" spans="1:18" x14ac:dyDescent="0.35">
      <c r="A816" s="2" t="s">
        <v>3282</v>
      </c>
      <c r="B816" s="21" t="str">
        <f>_xlfn.TEXTAFTER(CONTROL[[#This Row],[VEHIDCODE]],"_")</f>
        <v>Bombardier_Movia_London_S_Stock</v>
      </c>
      <c r="C816" t="str" cm="1">
        <f t="array" ref="C8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6" t="str" cm="1">
        <f t="array" ref="D8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1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9058</v>
      </c>
      <c r="F816" s="32" t="s">
        <v>2443</v>
      </c>
      <c r="G816" t="s">
        <v>1732</v>
      </c>
      <c r="H816" s="2" t="b">
        <f>AND(CONTROL[[#This Row],[IS_WAGON_OR_COACH]]=TRUE,OR(RIGHT(CONTROL[[#This Row],[VEHIDCODE]],7)="Powered",RIGHT(CONTROL[[#This Row],[VEHIDCODE]],9)="Unpowered"))</f>
        <v>0</v>
      </c>
      <c r="I8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6" t="b">
        <f>ISNUMBER(_xlfn.XMATCH(CONTROL[[#This Row],[VEHIDCODE]],TRACK_TYPES[VEHIDCODE],0))</f>
        <v>1</v>
      </c>
      <c r="K816" t="b">
        <f>ISNUMBER(_xlfn.XMATCH(CONTROL[[#This Row],[VEHIDCODE]],PROPERTIES[VEHIDCODE],0))</f>
        <v>1</v>
      </c>
      <c r="L816" t="b">
        <f>ISNUMBER(_xlfn.XLOOKUP(CONTROL[[#This Row],[VEHIDCODE]],roster!A:A,roster!D:D))</f>
        <v>1</v>
      </c>
      <c r="M816" t="b">
        <f>ISNUMBER(_xlfn.XMATCH(CONTROL[[#This Row],[VEHIDCODE]],GRAPHICS_PROPERTIES[VEHIDCODE],0))</f>
        <v>1</v>
      </c>
      <c r="N816" s="21" t="str">
        <f>"item_"&amp;CONTROL[[#This Row],[VEHIDCODE]]</f>
        <v>item_mtro_Bombardier_Movia_London_S_Stock</v>
      </c>
      <c r="O816" s="21" t="str">
        <f>"str_"&amp;CONTROL[[#This Row],[VEHIDCODE]]</f>
        <v>str_mtro_Bombardier_Movia_London_S_Stock</v>
      </c>
      <c r="P816" s="7" t="b">
        <f>_xlfn.XLOOKUP(CONTROL[[#This Row],[VEHIDCODE]],PROPERTIES[VEHIDCODE],PROPERTIES[IS_CONCEPT])="IS_CONCEPT"</f>
        <v>0</v>
      </c>
      <c r="Q816" s="7" t="b">
        <f>_xlfn.XLOOKUP(CONTROL[[#This Row],[VEHIDCODE]],PROPERTIES[VEHIDCODE],PROPERTIES[EXCLUDE])</f>
        <v>0</v>
      </c>
      <c r="R816" t="str" cm="1">
        <f t="array" ref="R816">_xlfn.XLOOKUP(CONTROL[[#This Row],[VEHIDCODE]],GRAPHICS_PROPERTIES[VEHIDCODE],GRAPHICS_PROPERTIES[TEMPLATE_ID]&amp;GRAPHICS_PROPERTIES[TEMPLATE_AMENDMENT_CODE])</f>
        <v>TPL_02C</v>
      </c>
    </row>
    <row r="817" spans="1:18" x14ac:dyDescent="0.35">
      <c r="A817" s="2" t="s">
        <v>3283</v>
      </c>
      <c r="B817" s="21" t="str">
        <f>_xlfn.TEXTAFTER(CONTROL[[#This Row],[VEHIDCODE]],"_")</f>
        <v>Metro_Cammell_London_1972_Stock</v>
      </c>
      <c r="C817" t="str" cm="1">
        <f t="array" ref="C8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7" t="str" cm="1">
        <f t="array" ref="D8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1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9059</v>
      </c>
      <c r="F817" s="32" t="s">
        <v>2444</v>
      </c>
      <c r="G817" t="s">
        <v>1734</v>
      </c>
      <c r="H817" s="2" t="b">
        <f>AND(CONTROL[[#This Row],[IS_WAGON_OR_COACH]]=TRUE,OR(RIGHT(CONTROL[[#This Row],[VEHIDCODE]],7)="Powered",RIGHT(CONTROL[[#This Row],[VEHIDCODE]],9)="Unpowered"))</f>
        <v>0</v>
      </c>
      <c r="I8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7" t="b">
        <f>ISNUMBER(_xlfn.XMATCH(CONTROL[[#This Row],[VEHIDCODE]],TRACK_TYPES[VEHIDCODE],0))</f>
        <v>1</v>
      </c>
      <c r="K817" t="b">
        <f>ISNUMBER(_xlfn.XMATCH(CONTROL[[#This Row],[VEHIDCODE]],PROPERTIES[VEHIDCODE],0))</f>
        <v>1</v>
      </c>
      <c r="L817" t="b">
        <f>ISNUMBER(_xlfn.XLOOKUP(CONTROL[[#This Row],[VEHIDCODE]],roster!A:A,roster!D:D))</f>
        <v>1</v>
      </c>
      <c r="M817" t="b">
        <f>ISNUMBER(_xlfn.XMATCH(CONTROL[[#This Row],[VEHIDCODE]],GRAPHICS_PROPERTIES[VEHIDCODE],0))</f>
        <v>1</v>
      </c>
      <c r="N817" s="21" t="str">
        <f>"item_"&amp;CONTROL[[#This Row],[VEHIDCODE]]</f>
        <v>item_mtro_Metro_Cammell_London_1972_Stock</v>
      </c>
      <c r="O817" s="21" t="str">
        <f>"str_"&amp;CONTROL[[#This Row],[VEHIDCODE]]</f>
        <v>str_mtro_Metro_Cammell_London_1972_Stock</v>
      </c>
      <c r="P817" s="7" t="b">
        <f>_xlfn.XLOOKUP(CONTROL[[#This Row],[VEHIDCODE]],PROPERTIES[VEHIDCODE],PROPERTIES[IS_CONCEPT])="IS_CONCEPT"</f>
        <v>0</v>
      </c>
      <c r="Q817" s="7" t="b">
        <f>_xlfn.XLOOKUP(CONTROL[[#This Row],[VEHIDCODE]],PROPERTIES[VEHIDCODE],PROPERTIES[EXCLUDE])</f>
        <v>0</v>
      </c>
      <c r="R817" t="str" cm="1">
        <f t="array" ref="R817">_xlfn.XLOOKUP(CONTROL[[#This Row],[VEHIDCODE]],GRAPHICS_PROPERTIES[VEHIDCODE],GRAPHICS_PROPERTIES[TEMPLATE_ID]&amp;GRAPHICS_PROPERTIES[TEMPLATE_AMENDMENT_CODE])</f>
        <v>TPL_02C</v>
      </c>
    </row>
    <row r="818" spans="1:18" x14ac:dyDescent="0.35">
      <c r="A818" s="2" t="s">
        <v>3284</v>
      </c>
      <c r="B818" s="21" t="str">
        <f>_xlfn.TEXTAFTER(CONTROL[[#This Row],[VEHIDCODE]],"_")</f>
        <v>Metro_Cammell_London_1959_Stock</v>
      </c>
      <c r="C818" t="str" cm="1">
        <f t="array" ref="C8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8" t="str" cm="1">
        <f t="array" ref="D8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1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9060</v>
      </c>
      <c r="F818" s="32" t="s">
        <v>2445</v>
      </c>
      <c r="G818" t="s">
        <v>1735</v>
      </c>
      <c r="H818" s="2" t="b">
        <f>AND(CONTROL[[#This Row],[IS_WAGON_OR_COACH]]=TRUE,OR(RIGHT(CONTROL[[#This Row],[VEHIDCODE]],7)="Powered",RIGHT(CONTROL[[#This Row],[VEHIDCODE]],9)="Unpowered"))</f>
        <v>0</v>
      </c>
      <c r="I8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8" t="b">
        <f>ISNUMBER(_xlfn.XMATCH(CONTROL[[#This Row],[VEHIDCODE]],TRACK_TYPES[VEHIDCODE],0))</f>
        <v>1</v>
      </c>
      <c r="K818" t="b">
        <f>ISNUMBER(_xlfn.XMATCH(CONTROL[[#This Row],[VEHIDCODE]],PROPERTIES[VEHIDCODE],0))</f>
        <v>1</v>
      </c>
      <c r="L818" t="b">
        <f>ISNUMBER(_xlfn.XLOOKUP(CONTROL[[#This Row],[VEHIDCODE]],roster!A:A,roster!D:D))</f>
        <v>1</v>
      </c>
      <c r="M818" t="b">
        <f>ISNUMBER(_xlfn.XMATCH(CONTROL[[#This Row],[VEHIDCODE]],GRAPHICS_PROPERTIES[VEHIDCODE],0))</f>
        <v>1</v>
      </c>
      <c r="N818" s="21" t="str">
        <f>"item_"&amp;CONTROL[[#This Row],[VEHIDCODE]]</f>
        <v>item_mtro_Metro_Cammell_London_1959_Stock</v>
      </c>
      <c r="O818" s="21" t="str">
        <f>"str_"&amp;CONTROL[[#This Row],[VEHIDCODE]]</f>
        <v>str_mtro_Metro_Cammell_London_1959_Stock</v>
      </c>
      <c r="P818" s="7" t="b">
        <f>_xlfn.XLOOKUP(CONTROL[[#This Row],[VEHIDCODE]],PROPERTIES[VEHIDCODE],PROPERTIES[IS_CONCEPT])="IS_CONCEPT"</f>
        <v>0</v>
      </c>
      <c r="Q818" s="7" t="b">
        <f>_xlfn.XLOOKUP(CONTROL[[#This Row],[VEHIDCODE]],PROPERTIES[VEHIDCODE],PROPERTIES[EXCLUDE])</f>
        <v>0</v>
      </c>
      <c r="R818" t="str" cm="1">
        <f t="array" ref="R818">_xlfn.XLOOKUP(CONTROL[[#This Row],[VEHIDCODE]],GRAPHICS_PROPERTIES[VEHIDCODE],GRAPHICS_PROPERTIES[TEMPLATE_ID]&amp;GRAPHICS_PROPERTIES[TEMPLATE_AMENDMENT_CODE])</f>
        <v>TPL_02C</v>
      </c>
    </row>
    <row r="819" spans="1:18" x14ac:dyDescent="0.35">
      <c r="A819" s="2" t="s">
        <v>3285</v>
      </c>
      <c r="B819" s="21" t="str">
        <f>_xlfn.TEXTAFTER(CONTROL[[#This Row],[VEHIDCODE]],"_")</f>
        <v>Kawasaki_HI_C151</v>
      </c>
      <c r="C819" t="str" cm="1">
        <f t="array" ref="C8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9" t="str" cm="1">
        <f t="array" ref="D8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1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9061</v>
      </c>
      <c r="F819" s="32" t="s">
        <v>2446</v>
      </c>
      <c r="G819" t="s">
        <v>1740</v>
      </c>
      <c r="H819" s="2" t="b">
        <f>AND(CONTROL[[#This Row],[IS_WAGON_OR_COACH]]=TRUE,OR(RIGHT(CONTROL[[#This Row],[VEHIDCODE]],7)="Powered",RIGHT(CONTROL[[#This Row],[VEHIDCODE]],9)="Unpowered"))</f>
        <v>0</v>
      </c>
      <c r="I8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9" t="b">
        <f>ISNUMBER(_xlfn.XMATCH(CONTROL[[#This Row],[VEHIDCODE]],TRACK_TYPES[VEHIDCODE],0))</f>
        <v>1</v>
      </c>
      <c r="K819" t="b">
        <f>ISNUMBER(_xlfn.XMATCH(CONTROL[[#This Row],[VEHIDCODE]],PROPERTIES[VEHIDCODE],0))</f>
        <v>1</v>
      </c>
      <c r="L819" t="b">
        <f>ISNUMBER(_xlfn.XLOOKUP(CONTROL[[#This Row],[VEHIDCODE]],roster!A:A,roster!D:D))</f>
        <v>1</v>
      </c>
      <c r="M819" t="b">
        <f>ISNUMBER(_xlfn.XMATCH(CONTROL[[#This Row],[VEHIDCODE]],GRAPHICS_PROPERTIES[VEHIDCODE],0))</f>
        <v>1</v>
      </c>
      <c r="N819" s="21" t="str">
        <f>"item_"&amp;CONTROL[[#This Row],[VEHIDCODE]]</f>
        <v>item_mtro_Kawasaki_HI_C151</v>
      </c>
      <c r="O819" s="21" t="str">
        <f>"str_"&amp;CONTROL[[#This Row],[VEHIDCODE]]</f>
        <v>str_mtro_Kawasaki_HI_C151</v>
      </c>
      <c r="P819" s="7" t="b">
        <f>_xlfn.XLOOKUP(CONTROL[[#This Row],[VEHIDCODE]],PROPERTIES[VEHIDCODE],PROPERTIES[IS_CONCEPT])="IS_CONCEPT"</f>
        <v>0</v>
      </c>
      <c r="Q819" s="7" t="b">
        <f>_xlfn.XLOOKUP(CONTROL[[#This Row],[VEHIDCODE]],PROPERTIES[VEHIDCODE],PROPERTIES[EXCLUDE])</f>
        <v>0</v>
      </c>
      <c r="R819" t="str" cm="1">
        <f t="array" ref="R819">_xlfn.XLOOKUP(CONTROL[[#This Row],[VEHIDCODE]],GRAPHICS_PROPERTIES[VEHIDCODE],GRAPHICS_PROPERTIES[TEMPLATE_ID]&amp;GRAPHICS_PROPERTIES[TEMPLATE_AMENDMENT_CODE])</f>
        <v>TPL_02C</v>
      </c>
    </row>
    <row r="820" spans="1:18" x14ac:dyDescent="0.35">
      <c r="A820" t="s">
        <v>3286</v>
      </c>
      <c r="B820" s="21" t="str">
        <f>_xlfn.TEXTAFTER(CONTROL[[#This Row],[VEHIDCODE]],"_")</f>
        <v>Kawasaki_HI___Nippon_Sharyo_C751B</v>
      </c>
      <c r="C820" t="str" cm="1">
        <f t="array" ref="C8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20" t="str" cm="1">
        <f t="array" ref="D8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2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9062</v>
      </c>
      <c r="F820" s="32" t="s">
        <v>2447</v>
      </c>
      <c r="G820" t="s">
        <v>1741</v>
      </c>
      <c r="H820" s="2" t="b">
        <f>AND(CONTROL[[#This Row],[IS_WAGON_OR_COACH]]=TRUE,OR(RIGHT(CONTROL[[#This Row],[VEHIDCODE]],7)="Powered",RIGHT(CONTROL[[#This Row],[VEHIDCODE]],9)="Unpowered"))</f>
        <v>0</v>
      </c>
      <c r="I8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0" t="b">
        <f>ISNUMBER(_xlfn.XMATCH(CONTROL[[#This Row],[VEHIDCODE]],TRACK_TYPES[VEHIDCODE],0))</f>
        <v>1</v>
      </c>
      <c r="K820" t="b">
        <f>ISNUMBER(_xlfn.XMATCH(CONTROL[[#This Row],[VEHIDCODE]],PROPERTIES[VEHIDCODE],0))</f>
        <v>1</v>
      </c>
      <c r="L820" t="b">
        <f>ISNUMBER(_xlfn.XLOOKUP(CONTROL[[#This Row],[VEHIDCODE]],roster!A:A,roster!D:D))</f>
        <v>1</v>
      </c>
      <c r="M820" t="b">
        <f>ISNUMBER(_xlfn.XMATCH(CONTROL[[#This Row],[VEHIDCODE]],GRAPHICS_PROPERTIES[VEHIDCODE],0))</f>
        <v>1</v>
      </c>
      <c r="N820" s="21" t="str">
        <f>"item_"&amp;CONTROL[[#This Row],[VEHIDCODE]]</f>
        <v>item_mtro_Kawasaki_HI___Nippon_Sharyo_C751B</v>
      </c>
      <c r="O820" s="21" t="str">
        <f>"str_"&amp;CONTROL[[#This Row],[VEHIDCODE]]</f>
        <v>str_mtro_Kawasaki_HI___Nippon_Sharyo_C751B</v>
      </c>
      <c r="P820" s="7" t="b">
        <f>_xlfn.XLOOKUP(CONTROL[[#This Row],[VEHIDCODE]],PROPERTIES[VEHIDCODE],PROPERTIES[IS_CONCEPT])="IS_CONCEPT"</f>
        <v>0</v>
      </c>
      <c r="Q820" s="7" t="b">
        <f>_xlfn.XLOOKUP(CONTROL[[#This Row],[VEHIDCODE]],PROPERTIES[VEHIDCODE],PROPERTIES[EXCLUDE])</f>
        <v>0</v>
      </c>
      <c r="R820" t="str" cm="1">
        <f t="array" ref="R820">_xlfn.XLOOKUP(CONTROL[[#This Row],[VEHIDCODE]],GRAPHICS_PROPERTIES[VEHIDCODE],GRAPHICS_PROPERTIES[TEMPLATE_ID]&amp;GRAPHICS_PROPERTIES[TEMPLATE_AMENDMENT_CODE])</f>
        <v>TPL_02C</v>
      </c>
    </row>
    <row r="821" spans="1:18" x14ac:dyDescent="0.35">
      <c r="A821" t="s">
        <v>3287</v>
      </c>
      <c r="B821" s="21" t="str">
        <f>_xlfn.TEXTAFTER(CONTROL[[#This Row],[VEHIDCODE]],"_")</f>
        <v>Comeng_Light_Metro_Prototype</v>
      </c>
      <c r="C821" t="str" cm="1">
        <f t="array" ref="C8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21" t="str" cm="1">
        <f t="array" ref="D8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2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9063</v>
      </c>
      <c r="F821" s="32" t="s">
        <v>1742</v>
      </c>
      <c r="G821" t="s">
        <v>523</v>
      </c>
      <c r="H821" s="2" t="b">
        <f>AND(CONTROL[[#This Row],[IS_WAGON_OR_COACH]]=TRUE,OR(RIGHT(CONTROL[[#This Row],[VEHIDCODE]],7)="Powered",RIGHT(CONTROL[[#This Row],[VEHIDCODE]],9)="Unpowered"))</f>
        <v>0</v>
      </c>
      <c r="I8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1" t="b">
        <f>ISNUMBER(_xlfn.XMATCH(CONTROL[[#This Row],[VEHIDCODE]],TRACK_TYPES[VEHIDCODE],0))</f>
        <v>1</v>
      </c>
      <c r="K821" t="b">
        <f>ISNUMBER(_xlfn.XMATCH(CONTROL[[#This Row],[VEHIDCODE]],PROPERTIES[VEHIDCODE],0))</f>
        <v>1</v>
      </c>
      <c r="L821" t="b">
        <f>ISNUMBER(_xlfn.XLOOKUP(CONTROL[[#This Row],[VEHIDCODE]],roster!A:A,roster!D:D))</f>
        <v>1</v>
      </c>
      <c r="M821" t="b">
        <f>ISNUMBER(_xlfn.XMATCH(CONTROL[[#This Row],[VEHIDCODE]],GRAPHICS_PROPERTIES[VEHIDCODE],0))</f>
        <v>1</v>
      </c>
      <c r="N821" s="21" t="str">
        <f>"item_"&amp;CONTROL[[#This Row],[VEHIDCODE]]</f>
        <v>item_mtro_Comeng_Light_Metro_Prototype</v>
      </c>
      <c r="O821" s="21" t="str">
        <f>"str_"&amp;CONTROL[[#This Row],[VEHIDCODE]]</f>
        <v>str_mtro_Comeng_Light_Metro_Prototype</v>
      </c>
      <c r="P821" s="7" t="b">
        <f>_xlfn.XLOOKUP(CONTROL[[#This Row],[VEHIDCODE]],PROPERTIES[VEHIDCODE],PROPERTIES[IS_CONCEPT])="IS_CONCEPT"</f>
        <v>1</v>
      </c>
      <c r="Q821" s="7" t="b">
        <f>_xlfn.XLOOKUP(CONTROL[[#This Row],[VEHIDCODE]],PROPERTIES[VEHIDCODE],PROPERTIES[EXCLUDE])</f>
        <v>0</v>
      </c>
      <c r="R821" t="str" cm="1">
        <f t="array" ref="R821">_xlfn.XLOOKUP(CONTROL[[#This Row],[VEHIDCODE]],GRAPHICS_PROPERTIES[VEHIDCODE],GRAPHICS_PROPERTIES[TEMPLATE_ID]&amp;GRAPHICS_PROPERTIES[TEMPLATE_AMENDMENT_CODE])</f>
        <v>TPL_02C</v>
      </c>
    </row>
    <row r="822" spans="1:18" x14ac:dyDescent="0.35">
      <c r="A822" t="s">
        <v>3288</v>
      </c>
      <c r="B822" s="21" t="str">
        <f>_xlfn.TEXTAFTER(CONTROL[[#This Row],[VEHIDCODE]],"_")</f>
        <v>Comeng_EMU</v>
      </c>
      <c r="C822" t="str" cm="1">
        <f t="array" ref="C8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22" t="str" cm="1">
        <f t="array" ref="D8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2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8073</v>
      </c>
      <c r="F822" s="32" t="s">
        <v>1744</v>
      </c>
      <c r="G822" t="s">
        <v>1743</v>
      </c>
      <c r="H822" s="2" t="b">
        <f>AND(CONTROL[[#This Row],[IS_WAGON_OR_COACH]]=TRUE,OR(RIGHT(CONTROL[[#This Row],[VEHIDCODE]],7)="Powered",RIGHT(CONTROL[[#This Row],[VEHIDCODE]],9)="Unpowered"))</f>
        <v>0</v>
      </c>
      <c r="I8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2" t="b">
        <f>ISNUMBER(_xlfn.XMATCH(CONTROL[[#This Row],[VEHIDCODE]],TRACK_TYPES[VEHIDCODE],0))</f>
        <v>1</v>
      </c>
      <c r="K822" t="b">
        <f>ISNUMBER(_xlfn.XMATCH(CONTROL[[#This Row],[VEHIDCODE]],PROPERTIES[VEHIDCODE],0))</f>
        <v>1</v>
      </c>
      <c r="L822" t="b">
        <f>ISNUMBER(_xlfn.XLOOKUP(CONTROL[[#This Row],[VEHIDCODE]],roster!A:A,roster!D:D))</f>
        <v>1</v>
      </c>
      <c r="M822" t="b">
        <f>ISNUMBER(_xlfn.XMATCH(CONTROL[[#This Row],[VEHIDCODE]],GRAPHICS_PROPERTIES[VEHIDCODE],0))</f>
        <v>1</v>
      </c>
      <c r="N822" s="21" t="str">
        <f>"item_"&amp;CONTROL[[#This Row],[VEHIDCODE]]</f>
        <v>item_emu_Comeng_EMU</v>
      </c>
      <c r="O822" s="21" t="str">
        <f>"str_"&amp;CONTROL[[#This Row],[VEHIDCODE]]</f>
        <v>str_emu_Comeng_EMU</v>
      </c>
      <c r="P822" s="7" t="b">
        <f>_xlfn.XLOOKUP(CONTROL[[#This Row],[VEHIDCODE]],PROPERTIES[VEHIDCODE],PROPERTIES[IS_CONCEPT])="IS_CONCEPT"</f>
        <v>0</v>
      </c>
      <c r="Q822" s="7" t="b">
        <f>_xlfn.XLOOKUP(CONTROL[[#This Row],[VEHIDCODE]],PROPERTIES[VEHIDCODE],PROPERTIES[EXCLUDE])</f>
        <v>0</v>
      </c>
      <c r="R822" t="str" cm="1">
        <f t="array" ref="R822">_xlfn.XLOOKUP(CONTROL[[#This Row],[VEHIDCODE]],GRAPHICS_PROPERTIES[VEHIDCODE],GRAPHICS_PROPERTIES[TEMPLATE_ID]&amp;GRAPHICS_PROPERTIES[TEMPLATE_AMENDMENT_CODE])</f>
        <v>TPL_02A</v>
      </c>
    </row>
    <row r="823" spans="1:18" x14ac:dyDescent="0.35">
      <c r="A823" t="s">
        <v>3289</v>
      </c>
      <c r="B823" s="21" t="str">
        <f>_xlfn.TEXTAFTER(CONTROL[[#This Row],[VEHIDCODE]],"_")</f>
        <v>Evolution_Rail_HCMT_Munnel</v>
      </c>
      <c r="C823" t="str" cm="1">
        <f t="array" ref="C8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23" t="str" cm="1">
        <f t="array" ref="D8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2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8074</v>
      </c>
      <c r="F823" s="32" t="s">
        <v>2448</v>
      </c>
      <c r="G823" t="s">
        <v>1745</v>
      </c>
      <c r="H823" s="2" t="b">
        <f>AND(CONTROL[[#This Row],[IS_WAGON_OR_COACH]]=TRUE,OR(RIGHT(CONTROL[[#This Row],[VEHIDCODE]],7)="Powered",RIGHT(CONTROL[[#This Row],[VEHIDCODE]],9)="Unpowered"))</f>
        <v>0</v>
      </c>
      <c r="I8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3" t="b">
        <f>ISNUMBER(_xlfn.XMATCH(CONTROL[[#This Row],[VEHIDCODE]],TRACK_TYPES[VEHIDCODE],0))</f>
        <v>1</v>
      </c>
      <c r="K823" t="b">
        <f>ISNUMBER(_xlfn.XMATCH(CONTROL[[#This Row],[VEHIDCODE]],PROPERTIES[VEHIDCODE],0))</f>
        <v>1</v>
      </c>
      <c r="L823" t="b">
        <f>ISNUMBER(_xlfn.XLOOKUP(CONTROL[[#This Row],[VEHIDCODE]],roster!A:A,roster!D:D))</f>
        <v>1</v>
      </c>
      <c r="M823" t="b">
        <f>ISNUMBER(_xlfn.XMATCH(CONTROL[[#This Row],[VEHIDCODE]],GRAPHICS_PROPERTIES[VEHIDCODE],0))</f>
        <v>1</v>
      </c>
      <c r="N823" s="21" t="str">
        <f>"item_"&amp;CONTROL[[#This Row],[VEHIDCODE]]</f>
        <v>item_emu_Evolution_Rail_HCMT_Munnel</v>
      </c>
      <c r="O823" s="21" t="str">
        <f>"str_"&amp;CONTROL[[#This Row],[VEHIDCODE]]</f>
        <v>str_emu_Evolution_Rail_HCMT_Munnel</v>
      </c>
      <c r="P823" s="7" t="b">
        <f>_xlfn.XLOOKUP(CONTROL[[#This Row],[VEHIDCODE]],PROPERTIES[VEHIDCODE],PROPERTIES[IS_CONCEPT])="IS_CONCEPT"</f>
        <v>0</v>
      </c>
      <c r="Q823" s="7" t="b">
        <f>_xlfn.XLOOKUP(CONTROL[[#This Row],[VEHIDCODE]],PROPERTIES[VEHIDCODE],PROPERTIES[EXCLUDE])</f>
        <v>0</v>
      </c>
      <c r="R823" t="str" cm="1">
        <f t="array" ref="R823">_xlfn.XLOOKUP(CONTROL[[#This Row],[VEHIDCODE]],GRAPHICS_PROPERTIES[VEHIDCODE],GRAPHICS_PROPERTIES[TEMPLATE_ID]&amp;GRAPHICS_PROPERTIES[TEMPLATE_AMENDMENT_CODE])</f>
        <v>TPL_02A</v>
      </c>
    </row>
    <row r="824" spans="1:18" x14ac:dyDescent="0.35">
      <c r="A824" t="s">
        <v>3290</v>
      </c>
      <c r="B824" s="21" t="str">
        <f>_xlfn.TEXTAFTER(CONTROL[[#This Row],[VEHIDCODE]],"_")</f>
        <v>LTZ_DR_130</v>
      </c>
      <c r="C824" t="str" cm="1">
        <f t="array" ref="C8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24" t="str" cm="1">
        <f t="array" ref="D8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2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5140</v>
      </c>
      <c r="F824" s="32" t="s">
        <v>2449</v>
      </c>
      <c r="G824" t="s">
        <v>1746</v>
      </c>
      <c r="H824" s="2" t="b">
        <f>AND(CONTROL[[#This Row],[IS_WAGON_OR_COACH]]=TRUE,OR(RIGHT(CONTROL[[#This Row],[VEHIDCODE]],7)="Powered",RIGHT(CONTROL[[#This Row],[VEHIDCODE]],9)="Unpowered"))</f>
        <v>0</v>
      </c>
      <c r="I8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4" t="b">
        <f>ISNUMBER(_xlfn.XMATCH(CONTROL[[#This Row],[VEHIDCODE]],TRACK_TYPES[VEHIDCODE],0))</f>
        <v>1</v>
      </c>
      <c r="K824" t="b">
        <f>ISNUMBER(_xlfn.XMATCH(CONTROL[[#This Row],[VEHIDCODE]],PROPERTIES[VEHIDCODE],0))</f>
        <v>1</v>
      </c>
      <c r="L824" t="b">
        <f>ISNUMBER(_xlfn.XLOOKUP(CONTROL[[#This Row],[VEHIDCODE]],roster!A:A,roster!D:D))</f>
        <v>1</v>
      </c>
      <c r="M824" t="b">
        <f>ISNUMBER(_xlfn.XMATCH(CONTROL[[#This Row],[VEHIDCODE]],GRAPHICS_PROPERTIES[VEHIDCODE],0))</f>
        <v>1</v>
      </c>
      <c r="N824" s="21" t="str">
        <f>"item_"&amp;CONTROL[[#This Row],[VEHIDCODE]]</f>
        <v>item_diesel_LTZ_DR_130</v>
      </c>
      <c r="O824" s="21" t="str">
        <f>"str_"&amp;CONTROL[[#This Row],[VEHIDCODE]]</f>
        <v>str_diesel_LTZ_DR_130</v>
      </c>
      <c r="P824" s="7" t="b">
        <f>_xlfn.XLOOKUP(CONTROL[[#This Row],[VEHIDCODE]],PROPERTIES[VEHIDCODE],PROPERTIES[IS_CONCEPT])="IS_CONCEPT"</f>
        <v>0</v>
      </c>
      <c r="Q824" s="7" t="b">
        <f>_xlfn.XLOOKUP(CONTROL[[#This Row],[VEHIDCODE]],PROPERTIES[VEHIDCODE],PROPERTIES[EXCLUDE])</f>
        <v>1</v>
      </c>
      <c r="R824" t="str" cm="1">
        <f t="array" ref="R824">_xlfn.XLOOKUP(CONTROL[[#This Row],[VEHIDCODE]],GRAPHICS_PROPERTIES[VEHIDCODE],GRAPHICS_PROPERTIES[TEMPLATE_ID]&amp;GRAPHICS_PROPERTIES[TEMPLATE_AMENDMENT_CODE])</f>
        <v>TPL_01A</v>
      </c>
    </row>
    <row r="825" spans="1:18" x14ac:dyDescent="0.35">
      <c r="A825" t="s">
        <v>3291</v>
      </c>
      <c r="B825" s="21" t="str">
        <f>_xlfn.TEXTAFTER(CONTROL[[#This Row],[VEHIDCODE]],"_")</f>
        <v>GE_AC6044CW</v>
      </c>
      <c r="C825" t="str" cm="1">
        <f t="array" ref="C8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25" t="str" cm="1">
        <f t="array" ref="D8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2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5141</v>
      </c>
      <c r="F825" s="32" t="s">
        <v>1976</v>
      </c>
      <c r="G825" t="s">
        <v>1747</v>
      </c>
      <c r="H825" s="2" t="b">
        <f>AND(CONTROL[[#This Row],[IS_WAGON_OR_COACH]]=TRUE,OR(RIGHT(CONTROL[[#This Row],[VEHIDCODE]],7)="Powered",RIGHT(CONTROL[[#This Row],[VEHIDCODE]],9)="Unpowered"))</f>
        <v>0</v>
      </c>
      <c r="I8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5" t="b">
        <f>ISNUMBER(_xlfn.XMATCH(CONTROL[[#This Row],[VEHIDCODE]],TRACK_TYPES[VEHIDCODE],0))</f>
        <v>1</v>
      </c>
      <c r="K825" t="b">
        <f>ISNUMBER(_xlfn.XMATCH(CONTROL[[#This Row],[VEHIDCODE]],PROPERTIES[VEHIDCODE],0))</f>
        <v>1</v>
      </c>
      <c r="L825" t="b">
        <f>ISNUMBER(_xlfn.XLOOKUP(CONTROL[[#This Row],[VEHIDCODE]],roster!A:A,roster!D:D))</f>
        <v>1</v>
      </c>
      <c r="M825" t="b">
        <f>ISNUMBER(_xlfn.XMATCH(CONTROL[[#This Row],[VEHIDCODE]],GRAPHICS_PROPERTIES[VEHIDCODE],0))</f>
        <v>1</v>
      </c>
      <c r="N825" s="21" t="str">
        <f>"item_"&amp;CONTROL[[#This Row],[VEHIDCODE]]</f>
        <v>item_diesel_GE_AC6044CW</v>
      </c>
      <c r="O825" s="21" t="str">
        <f>"str_"&amp;CONTROL[[#This Row],[VEHIDCODE]]</f>
        <v>str_diesel_GE_AC6044CW</v>
      </c>
      <c r="P825" s="7" t="b">
        <f>_xlfn.XLOOKUP(CONTROL[[#This Row],[VEHIDCODE]],PROPERTIES[VEHIDCODE],PROPERTIES[IS_CONCEPT])="IS_CONCEPT"</f>
        <v>0</v>
      </c>
      <c r="Q825" s="7" t="b">
        <f>_xlfn.XLOOKUP(CONTROL[[#This Row],[VEHIDCODE]],PROPERTIES[VEHIDCODE],PROPERTIES[EXCLUDE])</f>
        <v>1</v>
      </c>
      <c r="R825" t="str" cm="1">
        <f t="array" ref="R825">_xlfn.XLOOKUP(CONTROL[[#This Row],[VEHIDCODE]],GRAPHICS_PROPERTIES[VEHIDCODE],GRAPHICS_PROPERTIES[TEMPLATE_ID]&amp;GRAPHICS_PROPERTIES[TEMPLATE_AMENDMENT_CODE])</f>
        <v>TPL_16A</v>
      </c>
    </row>
    <row r="826" spans="1:18" x14ac:dyDescent="0.35">
      <c r="A826" t="s">
        <v>3609</v>
      </c>
      <c r="B826" s="21" t="str">
        <f>_xlfn.TEXTAFTER(CONTROL[[#This Row],[VEHIDCODE]],"_")</f>
        <v>GE_AC6000CW</v>
      </c>
      <c r="C826" t="str" cm="1">
        <f t="array" ref="C8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26" t="str" cm="1">
        <f t="array" ref="D8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2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5142</v>
      </c>
      <c r="F826" s="32" t="s">
        <v>3522</v>
      </c>
      <c r="G826" t="s">
        <v>1747</v>
      </c>
      <c r="H826" s="2" t="b">
        <f>AND(CONTROL[[#This Row],[IS_WAGON_OR_COACH]]=TRUE,OR(RIGHT(CONTROL[[#This Row],[VEHIDCODE]],7)="Powered",RIGHT(CONTROL[[#This Row],[VEHIDCODE]],9)="Unpowered"))</f>
        <v>0</v>
      </c>
      <c r="I8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6" t="b">
        <f>ISNUMBER(_xlfn.XMATCH(CONTROL[[#This Row],[VEHIDCODE]],TRACK_TYPES[VEHIDCODE],0))</f>
        <v>1</v>
      </c>
      <c r="K826" t="b">
        <f>ISNUMBER(_xlfn.XMATCH(CONTROL[[#This Row],[VEHIDCODE]],PROPERTIES[VEHIDCODE],0))</f>
        <v>1</v>
      </c>
      <c r="L826" t="b">
        <f>ISNUMBER(_xlfn.XLOOKUP(CONTROL[[#This Row],[VEHIDCODE]],roster!A:A,roster!D:D))</f>
        <v>1</v>
      </c>
      <c r="M826" t="b">
        <f>ISNUMBER(_xlfn.XMATCH(CONTROL[[#This Row],[VEHIDCODE]],GRAPHICS_PROPERTIES[VEHIDCODE],0))</f>
        <v>1</v>
      </c>
      <c r="N826" s="21" t="str">
        <f>"item_"&amp;CONTROL[[#This Row],[VEHIDCODE]]</f>
        <v>item_diesel_GE_AC6000CW</v>
      </c>
      <c r="O826" s="21" t="str">
        <f>"str_"&amp;CONTROL[[#This Row],[VEHIDCODE]]</f>
        <v>str_diesel_GE_AC6000CW</v>
      </c>
      <c r="P826" s="7" t="b">
        <f>_xlfn.XLOOKUP(CONTROL[[#This Row],[VEHIDCODE]],PROPERTIES[VEHIDCODE],PROPERTIES[IS_CONCEPT])="IS_CONCEPT"</f>
        <v>0</v>
      </c>
      <c r="Q826" s="7" t="b">
        <f>_xlfn.XLOOKUP(CONTROL[[#This Row],[VEHIDCODE]],PROPERTIES[VEHIDCODE],PROPERTIES[EXCLUDE])</f>
        <v>0</v>
      </c>
      <c r="R826" t="str" cm="1">
        <f t="array" ref="R826">_xlfn.XLOOKUP(CONTROL[[#This Row],[VEHIDCODE]],GRAPHICS_PROPERTIES[VEHIDCODE],GRAPHICS_PROPERTIES[TEMPLATE_ID]&amp;GRAPHICS_PROPERTIES[TEMPLATE_AMENDMENT_CODE])</f>
        <v>TPL_16A</v>
      </c>
    </row>
    <row r="827" spans="1:18" x14ac:dyDescent="0.35">
      <c r="A827" t="s">
        <v>3292</v>
      </c>
      <c r="B827" s="21" t="str">
        <f>_xlfn.TEXTAFTER(CONTROL[[#This Row],[VEHIDCODE]],"_")</f>
        <v>Robert_Stephenson_and_Co_2_2_2_192</v>
      </c>
      <c r="C827" t="str" cm="1">
        <f t="array" ref="C8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27" t="str" cm="1">
        <f t="array" ref="D8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2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4120</v>
      </c>
      <c r="F827" s="32" t="s">
        <v>2451</v>
      </c>
      <c r="G827" t="s">
        <v>2450</v>
      </c>
      <c r="H827" s="2" t="b">
        <f>AND(CONTROL[[#This Row],[IS_WAGON_OR_COACH]]=TRUE,OR(RIGHT(CONTROL[[#This Row],[VEHIDCODE]],7)="Powered",RIGHT(CONTROL[[#This Row],[VEHIDCODE]],9)="Unpowered"))</f>
        <v>0</v>
      </c>
      <c r="I8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7" t="b">
        <f>ISNUMBER(_xlfn.XMATCH(CONTROL[[#This Row],[VEHIDCODE]],TRACK_TYPES[VEHIDCODE],0))</f>
        <v>1</v>
      </c>
      <c r="K827" t="b">
        <f>ISNUMBER(_xlfn.XMATCH(CONTROL[[#This Row],[VEHIDCODE]],PROPERTIES[VEHIDCODE],0))</f>
        <v>1</v>
      </c>
      <c r="L827" t="b">
        <f>ISNUMBER(_xlfn.XLOOKUP(CONTROL[[#This Row],[VEHIDCODE]],roster!A:A,roster!D:D))</f>
        <v>1</v>
      </c>
      <c r="M827" t="b">
        <f>ISNUMBER(_xlfn.XMATCH(CONTROL[[#This Row],[VEHIDCODE]],GRAPHICS_PROPERTIES[VEHIDCODE],0))</f>
        <v>1</v>
      </c>
      <c r="N827" s="21" t="str">
        <f>"item_"&amp;CONTROL[[#This Row],[VEHIDCODE]]</f>
        <v>item_steam_Robert_Stephenson_and_Co_2_2_2_192</v>
      </c>
      <c r="O827" s="21" t="str">
        <f>"str_"&amp;CONTROL[[#This Row],[VEHIDCODE]]</f>
        <v>str_steam_Robert_Stephenson_and_Co_2_2_2_192</v>
      </c>
      <c r="P827" s="7" t="b">
        <f>_xlfn.XLOOKUP(CONTROL[[#This Row],[VEHIDCODE]],PROPERTIES[VEHIDCODE],PROPERTIES[IS_CONCEPT])="IS_CONCEPT"</f>
        <v>0</v>
      </c>
      <c r="Q827" s="7" t="b">
        <f>_xlfn.XLOOKUP(CONTROL[[#This Row],[VEHIDCODE]],PROPERTIES[VEHIDCODE],PROPERTIES[EXCLUDE])</f>
        <v>0</v>
      </c>
      <c r="R827" t="str" cm="1">
        <f t="array" ref="R827">_xlfn.XLOOKUP(CONTROL[[#This Row],[VEHIDCODE]],GRAPHICS_PROPERTIES[VEHIDCODE],GRAPHICS_PROPERTIES[TEMPLATE_ID]&amp;GRAPHICS_PROPERTIES[TEMPLATE_AMENDMENT_CODE])</f>
        <v>TPL_03A</v>
      </c>
    </row>
    <row r="828" spans="1:18" x14ac:dyDescent="0.35">
      <c r="A828" t="s">
        <v>3293</v>
      </c>
      <c r="B828" s="21" t="str">
        <f>_xlfn.TEXTAFTER(CONTROL[[#This Row],[VEHIDCODE]],"_")</f>
        <v>Comeng_MK_Hitachi_Trains</v>
      </c>
      <c r="C828" t="str" cm="1">
        <f t="array" ref="C8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28" t="str" cm="1">
        <f t="array" ref="D8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2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8075</v>
      </c>
      <c r="F828" s="32" t="s">
        <v>2452</v>
      </c>
      <c r="G828" t="s">
        <v>1748</v>
      </c>
      <c r="H828" s="2" t="b">
        <f>AND(CONTROL[[#This Row],[IS_WAGON_OR_COACH]]=TRUE,OR(RIGHT(CONTROL[[#This Row],[VEHIDCODE]],7)="Powered",RIGHT(CONTROL[[#This Row],[VEHIDCODE]],9)="Unpowered"))</f>
        <v>0</v>
      </c>
      <c r="I8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8" t="b">
        <f>ISNUMBER(_xlfn.XMATCH(CONTROL[[#This Row],[VEHIDCODE]],TRACK_TYPES[VEHIDCODE],0))</f>
        <v>1</v>
      </c>
      <c r="K828" t="b">
        <f>ISNUMBER(_xlfn.XMATCH(CONTROL[[#This Row],[VEHIDCODE]],PROPERTIES[VEHIDCODE],0))</f>
        <v>1</v>
      </c>
      <c r="L828" t="b">
        <f>ISNUMBER(_xlfn.XLOOKUP(CONTROL[[#This Row],[VEHIDCODE]],roster!A:A,roster!D:D))</f>
        <v>1</v>
      </c>
      <c r="M828" t="b">
        <f>ISNUMBER(_xlfn.XMATCH(CONTROL[[#This Row],[VEHIDCODE]],GRAPHICS_PROPERTIES[VEHIDCODE],0))</f>
        <v>1</v>
      </c>
      <c r="N828" s="21" t="str">
        <f>"item_"&amp;CONTROL[[#This Row],[VEHIDCODE]]</f>
        <v>item_emu_Comeng_MK_Hitachi_Trains</v>
      </c>
      <c r="O828" s="21" t="str">
        <f>"str_"&amp;CONTROL[[#This Row],[VEHIDCODE]]</f>
        <v>str_emu_Comeng_MK_Hitachi_Trains</v>
      </c>
      <c r="P828" s="7" t="b">
        <f>_xlfn.XLOOKUP(CONTROL[[#This Row],[VEHIDCODE]],PROPERTIES[VEHIDCODE],PROPERTIES[IS_CONCEPT])="IS_CONCEPT"</f>
        <v>0</v>
      </c>
      <c r="Q828" s="7" t="b">
        <f>_xlfn.XLOOKUP(CONTROL[[#This Row],[VEHIDCODE]],PROPERTIES[VEHIDCODE],PROPERTIES[EXCLUDE])</f>
        <v>0</v>
      </c>
      <c r="R828" t="str" cm="1">
        <f t="array" ref="R828">_xlfn.XLOOKUP(CONTROL[[#This Row],[VEHIDCODE]],GRAPHICS_PROPERTIES[VEHIDCODE],GRAPHICS_PROPERTIES[TEMPLATE_ID]&amp;GRAPHICS_PROPERTIES[TEMPLATE_AMENDMENT_CODE])</f>
        <v>TPL_02A</v>
      </c>
    </row>
    <row r="829" spans="1:18" x14ac:dyDescent="0.35">
      <c r="A829" t="s">
        <v>3294</v>
      </c>
      <c r="B829" s="21" t="str">
        <f>_xlfn.TEXTAFTER(CONTROL[[#This Row],[VEHIDCODE]],"_")</f>
        <v>GRC_W_Harris_Trains</v>
      </c>
      <c r="C829" t="str" cm="1">
        <f t="array" ref="C8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29" t="str" cm="1">
        <f t="array" ref="D8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2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8076</v>
      </c>
      <c r="F829" s="32" t="s">
        <v>2453</v>
      </c>
      <c r="G829" t="s">
        <v>1749</v>
      </c>
      <c r="H829" s="2" t="b">
        <f>AND(CONTROL[[#This Row],[IS_WAGON_OR_COACH]]=TRUE,OR(RIGHT(CONTROL[[#This Row],[VEHIDCODE]],7)="Powered",RIGHT(CONTROL[[#This Row],[VEHIDCODE]],9)="Unpowered"))</f>
        <v>0</v>
      </c>
      <c r="I8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9" t="b">
        <f>ISNUMBER(_xlfn.XMATCH(CONTROL[[#This Row],[VEHIDCODE]],TRACK_TYPES[VEHIDCODE],0))</f>
        <v>1</v>
      </c>
      <c r="K829" t="b">
        <f>ISNUMBER(_xlfn.XMATCH(CONTROL[[#This Row],[VEHIDCODE]],PROPERTIES[VEHIDCODE],0))</f>
        <v>1</v>
      </c>
      <c r="L829" t="b">
        <f>ISNUMBER(_xlfn.XLOOKUP(CONTROL[[#This Row],[VEHIDCODE]],roster!A:A,roster!D:D))</f>
        <v>1</v>
      </c>
      <c r="M829" t="b">
        <f>ISNUMBER(_xlfn.XMATCH(CONTROL[[#This Row],[VEHIDCODE]],GRAPHICS_PROPERTIES[VEHIDCODE],0))</f>
        <v>1</v>
      </c>
      <c r="N829" s="21" t="str">
        <f>"item_"&amp;CONTROL[[#This Row],[VEHIDCODE]]</f>
        <v>item_emu_GRC_W_Harris_Trains</v>
      </c>
      <c r="O829" s="21" t="str">
        <f>"str_"&amp;CONTROL[[#This Row],[VEHIDCODE]]</f>
        <v>str_emu_GRC_W_Harris_Trains</v>
      </c>
      <c r="P829" s="7" t="b">
        <f>_xlfn.XLOOKUP(CONTROL[[#This Row],[VEHIDCODE]],PROPERTIES[VEHIDCODE],PROPERTIES[IS_CONCEPT])="IS_CONCEPT"</f>
        <v>0</v>
      </c>
      <c r="Q829" s="7" t="b">
        <f>_xlfn.XLOOKUP(CONTROL[[#This Row],[VEHIDCODE]],PROPERTIES[VEHIDCODE],PROPERTIES[EXCLUDE])</f>
        <v>0</v>
      </c>
      <c r="R829" t="str" cm="1">
        <f t="array" ref="R829">_xlfn.XLOOKUP(CONTROL[[#This Row],[VEHIDCODE]],GRAPHICS_PROPERTIES[VEHIDCODE],GRAPHICS_PROPERTIES[TEMPLATE_ID]&amp;GRAPHICS_PROPERTIES[TEMPLATE_AMENDMENT_CODE])</f>
        <v>TPL_02A</v>
      </c>
    </row>
    <row r="830" spans="1:18" x14ac:dyDescent="0.35">
      <c r="A830" t="s">
        <v>3295</v>
      </c>
      <c r="B830" s="21" t="str">
        <f>_xlfn.TEXTAFTER(CONTROL[[#This Row],[VEHIDCODE]],"_")</f>
        <v>Siemens_Nexas</v>
      </c>
      <c r="C830" t="str" cm="1">
        <f t="array" ref="C8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30" t="str" cm="1">
        <f t="array" ref="D8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3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8077</v>
      </c>
      <c r="F830" s="32" t="s">
        <v>2454</v>
      </c>
      <c r="G830" t="s">
        <v>1750</v>
      </c>
      <c r="H830" s="2" t="b">
        <f>AND(CONTROL[[#This Row],[IS_WAGON_OR_COACH]]=TRUE,OR(RIGHT(CONTROL[[#This Row],[VEHIDCODE]],7)="Powered",RIGHT(CONTROL[[#This Row],[VEHIDCODE]],9)="Unpowered"))</f>
        <v>0</v>
      </c>
      <c r="I8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0" t="b">
        <f>ISNUMBER(_xlfn.XMATCH(CONTROL[[#This Row],[VEHIDCODE]],TRACK_TYPES[VEHIDCODE],0))</f>
        <v>1</v>
      </c>
      <c r="K830" t="b">
        <f>ISNUMBER(_xlfn.XMATCH(CONTROL[[#This Row],[VEHIDCODE]],PROPERTIES[VEHIDCODE],0))</f>
        <v>1</v>
      </c>
      <c r="L830" t="b">
        <f>ISNUMBER(_xlfn.XLOOKUP(CONTROL[[#This Row],[VEHIDCODE]],roster!A:A,roster!D:D))</f>
        <v>1</v>
      </c>
      <c r="M830" t="b">
        <f>ISNUMBER(_xlfn.XMATCH(CONTROL[[#This Row],[VEHIDCODE]],GRAPHICS_PROPERTIES[VEHIDCODE],0))</f>
        <v>1</v>
      </c>
      <c r="N830" s="21" t="str">
        <f>"item_"&amp;CONTROL[[#This Row],[VEHIDCODE]]</f>
        <v>item_emu_Siemens_Nexas</v>
      </c>
      <c r="O830" s="21" t="str">
        <f>"str_"&amp;CONTROL[[#This Row],[VEHIDCODE]]</f>
        <v>str_emu_Siemens_Nexas</v>
      </c>
      <c r="P830" s="7" t="b">
        <f>_xlfn.XLOOKUP(CONTROL[[#This Row],[VEHIDCODE]],PROPERTIES[VEHIDCODE],PROPERTIES[IS_CONCEPT])="IS_CONCEPT"</f>
        <v>0</v>
      </c>
      <c r="Q830" s="7" t="b">
        <f>_xlfn.XLOOKUP(CONTROL[[#This Row],[VEHIDCODE]],PROPERTIES[VEHIDCODE],PROPERTIES[EXCLUDE])</f>
        <v>0</v>
      </c>
      <c r="R830" t="str" cm="1">
        <f t="array" ref="R830">_xlfn.XLOOKUP(CONTROL[[#This Row],[VEHIDCODE]],GRAPHICS_PROPERTIES[VEHIDCODE],GRAPHICS_PROPERTIES[TEMPLATE_ID]&amp;GRAPHICS_PROPERTIES[TEMPLATE_AMENDMENT_CODE])</f>
        <v>TPL_02A</v>
      </c>
    </row>
    <row r="831" spans="1:18" x14ac:dyDescent="0.35">
      <c r="A831" t="s">
        <v>3296</v>
      </c>
      <c r="B831" s="21" t="str">
        <f>_xlfn.TEXTAFTER(CONTROL[[#This Row],[VEHIDCODE]],"_")</f>
        <v>Victorian_Railways_Tait_Trains</v>
      </c>
      <c r="C831" t="str" cm="1">
        <f t="array" ref="C8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31" t="str" cm="1">
        <f t="array" ref="D8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3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8078</v>
      </c>
      <c r="F831" s="32" t="s">
        <v>2455</v>
      </c>
      <c r="G831" t="s">
        <v>1751</v>
      </c>
      <c r="H831" s="2" t="b">
        <f>AND(CONTROL[[#This Row],[IS_WAGON_OR_COACH]]=TRUE,OR(RIGHT(CONTROL[[#This Row],[VEHIDCODE]],7)="Powered",RIGHT(CONTROL[[#This Row],[VEHIDCODE]],9)="Unpowered"))</f>
        <v>0</v>
      </c>
      <c r="I8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1" t="b">
        <f>ISNUMBER(_xlfn.XMATCH(CONTROL[[#This Row],[VEHIDCODE]],TRACK_TYPES[VEHIDCODE],0))</f>
        <v>1</v>
      </c>
      <c r="K831" t="b">
        <f>ISNUMBER(_xlfn.XMATCH(CONTROL[[#This Row],[VEHIDCODE]],PROPERTIES[VEHIDCODE],0))</f>
        <v>1</v>
      </c>
      <c r="L831" t="b">
        <f>ISNUMBER(_xlfn.XLOOKUP(CONTROL[[#This Row],[VEHIDCODE]],roster!A:A,roster!D:D))</f>
        <v>1</v>
      </c>
      <c r="M831" t="b">
        <f>ISNUMBER(_xlfn.XMATCH(CONTROL[[#This Row],[VEHIDCODE]],GRAPHICS_PROPERTIES[VEHIDCODE],0))</f>
        <v>1</v>
      </c>
      <c r="N831" s="21" t="str">
        <f>"item_"&amp;CONTROL[[#This Row],[VEHIDCODE]]</f>
        <v>item_emu_Victorian_Railways_Tait_Trains</v>
      </c>
      <c r="O831" s="21" t="str">
        <f>"str_"&amp;CONTROL[[#This Row],[VEHIDCODE]]</f>
        <v>str_emu_Victorian_Railways_Tait_Trains</v>
      </c>
      <c r="P831" s="7" t="b">
        <f>_xlfn.XLOOKUP(CONTROL[[#This Row],[VEHIDCODE]],PROPERTIES[VEHIDCODE],PROPERTIES[IS_CONCEPT])="IS_CONCEPT"</f>
        <v>0</v>
      </c>
      <c r="Q831" s="7" t="b">
        <f>_xlfn.XLOOKUP(CONTROL[[#This Row],[VEHIDCODE]],PROPERTIES[VEHIDCODE],PROPERTIES[EXCLUDE])</f>
        <v>0</v>
      </c>
      <c r="R831" t="str" cm="1">
        <f t="array" ref="R831">_xlfn.XLOOKUP(CONTROL[[#This Row],[VEHIDCODE]],GRAPHICS_PROPERTIES[VEHIDCODE],GRAPHICS_PROPERTIES[TEMPLATE_ID]&amp;GRAPHICS_PROPERTIES[TEMPLATE_AMENDMENT_CODE])</f>
        <v>TPL_02A</v>
      </c>
    </row>
    <row r="832" spans="1:18" x14ac:dyDescent="0.35">
      <c r="A832" t="s">
        <v>3297</v>
      </c>
      <c r="B832" s="21" t="str">
        <f>_xlfn.TEXTAFTER(CONTROL[[#This Row],[VEHIDCODE]],"_")</f>
        <v>ABB_Henschel_Berlin_BVG_F74</v>
      </c>
      <c r="C832" t="str" cm="1">
        <f t="array" ref="C8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32" t="str" cm="1">
        <f t="array" ref="D8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3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9064</v>
      </c>
      <c r="F832" s="32" t="s">
        <v>2456</v>
      </c>
      <c r="G832" t="s">
        <v>1752</v>
      </c>
      <c r="H832" s="2" t="b">
        <f>AND(CONTROL[[#This Row],[IS_WAGON_OR_COACH]]=TRUE,OR(RIGHT(CONTROL[[#This Row],[VEHIDCODE]],7)="Powered",RIGHT(CONTROL[[#This Row],[VEHIDCODE]],9)="Unpowered"))</f>
        <v>0</v>
      </c>
      <c r="I8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2" t="b">
        <f>ISNUMBER(_xlfn.XMATCH(CONTROL[[#This Row],[VEHIDCODE]],TRACK_TYPES[VEHIDCODE],0))</f>
        <v>1</v>
      </c>
      <c r="K832" t="b">
        <f>ISNUMBER(_xlfn.XMATCH(CONTROL[[#This Row],[VEHIDCODE]],PROPERTIES[VEHIDCODE],0))</f>
        <v>1</v>
      </c>
      <c r="L832" t="b">
        <f>ISNUMBER(_xlfn.XLOOKUP(CONTROL[[#This Row],[VEHIDCODE]],roster!A:A,roster!D:D))</f>
        <v>1</v>
      </c>
      <c r="M832" t="b">
        <f>ISNUMBER(_xlfn.XMATCH(CONTROL[[#This Row],[VEHIDCODE]],GRAPHICS_PROPERTIES[VEHIDCODE],0))</f>
        <v>1</v>
      </c>
      <c r="N832" s="21" t="str">
        <f>"item_"&amp;CONTROL[[#This Row],[VEHIDCODE]]</f>
        <v>item_mtro_ABB_Henschel_Berlin_BVG_F74</v>
      </c>
      <c r="O832" s="21" t="str">
        <f>"str_"&amp;CONTROL[[#This Row],[VEHIDCODE]]</f>
        <v>str_mtro_ABB_Henschel_Berlin_BVG_F74</v>
      </c>
      <c r="P832" s="7" t="b">
        <f>_xlfn.XLOOKUP(CONTROL[[#This Row],[VEHIDCODE]],PROPERTIES[VEHIDCODE],PROPERTIES[IS_CONCEPT])="IS_CONCEPT"</f>
        <v>0</v>
      </c>
      <c r="Q832" s="7" t="b">
        <f>_xlfn.XLOOKUP(CONTROL[[#This Row],[VEHIDCODE]],PROPERTIES[VEHIDCODE],PROPERTIES[EXCLUDE])</f>
        <v>0</v>
      </c>
      <c r="R832" t="str" cm="1">
        <f t="array" ref="R832">_xlfn.XLOOKUP(CONTROL[[#This Row],[VEHIDCODE]],GRAPHICS_PROPERTIES[VEHIDCODE],GRAPHICS_PROPERTIES[TEMPLATE_ID]&amp;GRAPHICS_PROPERTIES[TEMPLATE_AMENDMENT_CODE])</f>
        <v>TPL_02C</v>
      </c>
    </row>
    <row r="833" spans="1:18" x14ac:dyDescent="0.35">
      <c r="A833" t="s">
        <v>3298</v>
      </c>
      <c r="B833" s="21" t="str">
        <f>_xlfn.TEXTAFTER(CONTROL[[#This Row],[VEHIDCODE]],"_")</f>
        <v>Adtranz_Berlin_BVG_H</v>
      </c>
      <c r="C833" t="str" cm="1">
        <f t="array" ref="C8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33" t="str" cm="1">
        <f t="array" ref="D8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3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9065</v>
      </c>
      <c r="F833" s="32" t="s">
        <v>2457</v>
      </c>
      <c r="G833" t="s">
        <v>1753</v>
      </c>
      <c r="H833" s="2" t="b">
        <f>AND(CONTROL[[#This Row],[IS_WAGON_OR_COACH]]=TRUE,OR(RIGHT(CONTROL[[#This Row],[VEHIDCODE]],7)="Powered",RIGHT(CONTROL[[#This Row],[VEHIDCODE]],9)="Unpowered"))</f>
        <v>0</v>
      </c>
      <c r="I8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3" t="b">
        <f>ISNUMBER(_xlfn.XMATCH(CONTROL[[#This Row],[VEHIDCODE]],TRACK_TYPES[VEHIDCODE],0))</f>
        <v>1</v>
      </c>
      <c r="K833" t="b">
        <f>ISNUMBER(_xlfn.XMATCH(CONTROL[[#This Row],[VEHIDCODE]],PROPERTIES[VEHIDCODE],0))</f>
        <v>1</v>
      </c>
      <c r="L833" t="b">
        <f>ISNUMBER(_xlfn.XLOOKUP(CONTROL[[#This Row],[VEHIDCODE]],roster!A:A,roster!D:D))</f>
        <v>1</v>
      </c>
      <c r="M833" t="b">
        <f>ISNUMBER(_xlfn.XMATCH(CONTROL[[#This Row],[VEHIDCODE]],GRAPHICS_PROPERTIES[VEHIDCODE],0))</f>
        <v>1</v>
      </c>
      <c r="N833" s="21" t="str">
        <f>"item_"&amp;CONTROL[[#This Row],[VEHIDCODE]]</f>
        <v>item_mtro_Adtranz_Berlin_BVG_H</v>
      </c>
      <c r="O833" s="21" t="str">
        <f>"str_"&amp;CONTROL[[#This Row],[VEHIDCODE]]</f>
        <v>str_mtro_Adtranz_Berlin_BVG_H</v>
      </c>
      <c r="P833" s="7" t="b">
        <f>_xlfn.XLOOKUP(CONTROL[[#This Row],[VEHIDCODE]],PROPERTIES[VEHIDCODE],PROPERTIES[IS_CONCEPT])="IS_CONCEPT"</f>
        <v>0</v>
      </c>
      <c r="Q833" s="7" t="b">
        <f>_xlfn.XLOOKUP(CONTROL[[#This Row],[VEHIDCODE]],PROPERTIES[VEHIDCODE],PROPERTIES[EXCLUDE])</f>
        <v>0</v>
      </c>
      <c r="R833" t="str" cm="1">
        <f t="array" ref="R833">_xlfn.XLOOKUP(CONTROL[[#This Row],[VEHIDCODE]],GRAPHICS_PROPERTIES[VEHIDCODE],GRAPHICS_PROPERTIES[TEMPLATE_ID]&amp;GRAPHICS_PROPERTIES[TEMPLATE_AMENDMENT_CODE])</f>
        <v>TPL_02C</v>
      </c>
    </row>
    <row r="834" spans="1:18" x14ac:dyDescent="0.35">
      <c r="A834" t="s">
        <v>3299</v>
      </c>
      <c r="B834" s="21" t="str">
        <f>_xlfn.TEXTAFTER(CONTROL[[#This Row],[VEHIDCODE]],"_")</f>
        <v>LB_SCR_BRW_0_6_0T_A1</v>
      </c>
      <c r="C834" t="str" cm="1">
        <f t="array" ref="C8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4" t="str" cm="1">
        <f t="array" ref="D8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4121</v>
      </c>
      <c r="F834" s="32" t="s">
        <v>2458</v>
      </c>
      <c r="G834" t="s">
        <v>1754</v>
      </c>
      <c r="H834" s="2" t="b">
        <f>AND(CONTROL[[#This Row],[IS_WAGON_OR_COACH]]=TRUE,OR(RIGHT(CONTROL[[#This Row],[VEHIDCODE]],7)="Powered",RIGHT(CONTROL[[#This Row],[VEHIDCODE]],9)="Unpowered"))</f>
        <v>0</v>
      </c>
      <c r="I8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4" t="b">
        <f>ISNUMBER(_xlfn.XMATCH(CONTROL[[#This Row],[VEHIDCODE]],TRACK_TYPES[VEHIDCODE],0))</f>
        <v>1</v>
      </c>
      <c r="K834" t="b">
        <f>ISNUMBER(_xlfn.XMATCH(CONTROL[[#This Row],[VEHIDCODE]],PROPERTIES[VEHIDCODE],0))</f>
        <v>1</v>
      </c>
      <c r="L834" t="b">
        <f>ISNUMBER(_xlfn.XLOOKUP(CONTROL[[#This Row],[VEHIDCODE]],roster!A:A,roster!D:D))</f>
        <v>1</v>
      </c>
      <c r="M834" t="b">
        <f>ISNUMBER(_xlfn.XMATCH(CONTROL[[#This Row],[VEHIDCODE]],GRAPHICS_PROPERTIES[VEHIDCODE],0))</f>
        <v>1</v>
      </c>
      <c r="N834" s="21" t="str">
        <f>"item_"&amp;CONTROL[[#This Row],[VEHIDCODE]]</f>
        <v>item_steam_LB_SCR_BRW_0_6_0T_A1</v>
      </c>
      <c r="O834" s="21" t="str">
        <f>"str_"&amp;CONTROL[[#This Row],[VEHIDCODE]]</f>
        <v>str_steam_LB_SCR_BRW_0_6_0T_A1</v>
      </c>
      <c r="P834" s="7" t="b">
        <f>_xlfn.XLOOKUP(CONTROL[[#This Row],[VEHIDCODE]],PROPERTIES[VEHIDCODE],PROPERTIES[IS_CONCEPT])="IS_CONCEPT"</f>
        <v>0</v>
      </c>
      <c r="Q834" s="7" t="b">
        <f>_xlfn.XLOOKUP(CONTROL[[#This Row],[VEHIDCODE]],PROPERTIES[VEHIDCODE],PROPERTIES[EXCLUDE])</f>
        <v>0</v>
      </c>
      <c r="R834" t="str" cm="1">
        <f t="array" ref="R834">_xlfn.XLOOKUP(CONTROL[[#This Row],[VEHIDCODE]],GRAPHICS_PROPERTIES[VEHIDCODE],GRAPHICS_PROPERTIES[TEMPLATE_ID]&amp;GRAPHICS_PROPERTIES[TEMPLATE_AMENDMENT_CODE])</f>
        <v>TPL_03C</v>
      </c>
    </row>
    <row r="835" spans="1:18" x14ac:dyDescent="0.35">
      <c r="A835" t="s">
        <v>3300</v>
      </c>
      <c r="B835" s="21" t="str">
        <f>_xlfn.TEXTAFTER(CONTROL[[#This Row],[VEHIDCODE]],"_")</f>
        <v>BP_4_6_4T_4444_4478_C30</v>
      </c>
      <c r="C835" t="str" cm="1">
        <f t="array" ref="C8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5" t="str" cm="1">
        <f t="array" ref="D8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4122</v>
      </c>
      <c r="F835" s="32" t="s">
        <v>2459</v>
      </c>
      <c r="G835" t="s">
        <v>1755</v>
      </c>
      <c r="H835" s="2" t="b">
        <f>AND(CONTROL[[#This Row],[IS_WAGON_OR_COACH]]=TRUE,OR(RIGHT(CONTROL[[#This Row],[VEHIDCODE]],7)="Powered",RIGHT(CONTROL[[#This Row],[VEHIDCODE]],9)="Unpowered"))</f>
        <v>0</v>
      </c>
      <c r="I8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5" t="b">
        <f>ISNUMBER(_xlfn.XMATCH(CONTROL[[#This Row],[VEHIDCODE]],TRACK_TYPES[VEHIDCODE],0))</f>
        <v>1</v>
      </c>
      <c r="K835" t="b">
        <f>ISNUMBER(_xlfn.XMATCH(CONTROL[[#This Row],[VEHIDCODE]],PROPERTIES[VEHIDCODE],0))</f>
        <v>1</v>
      </c>
      <c r="L835" t="b">
        <f>ISNUMBER(_xlfn.XLOOKUP(CONTROL[[#This Row],[VEHIDCODE]],roster!A:A,roster!D:D))</f>
        <v>1</v>
      </c>
      <c r="M835" t="b">
        <f>ISNUMBER(_xlfn.XMATCH(CONTROL[[#This Row],[VEHIDCODE]],GRAPHICS_PROPERTIES[VEHIDCODE],0))</f>
        <v>1</v>
      </c>
      <c r="N835" s="21" t="str">
        <f>"item_"&amp;CONTROL[[#This Row],[VEHIDCODE]]</f>
        <v>item_steam_BP_4_6_4T_4444_4478_C30</v>
      </c>
      <c r="O835" s="21" t="str">
        <f>"str_"&amp;CONTROL[[#This Row],[VEHIDCODE]]</f>
        <v>str_steam_BP_4_6_4T_4444_4478_C30</v>
      </c>
      <c r="P835" s="7" t="b">
        <f>_xlfn.XLOOKUP(CONTROL[[#This Row],[VEHIDCODE]],PROPERTIES[VEHIDCODE],PROPERTIES[IS_CONCEPT])="IS_CONCEPT"</f>
        <v>0</v>
      </c>
      <c r="Q835" s="7" t="b">
        <f>_xlfn.XLOOKUP(CONTROL[[#This Row],[VEHIDCODE]],PROPERTIES[VEHIDCODE],PROPERTIES[EXCLUDE])</f>
        <v>0</v>
      </c>
      <c r="R835" t="str" cm="1">
        <f t="array" ref="R835">_xlfn.XLOOKUP(CONTROL[[#This Row],[VEHIDCODE]],GRAPHICS_PROPERTIES[VEHIDCODE],GRAPHICS_PROPERTIES[TEMPLATE_ID]&amp;GRAPHICS_PROPERTIES[TEMPLATE_AMENDMENT_CODE])</f>
        <v>TPL_03C</v>
      </c>
    </row>
    <row r="836" spans="1:18" x14ac:dyDescent="0.35">
      <c r="A836" s="2" t="s">
        <v>3301</v>
      </c>
      <c r="B836" s="21" t="str">
        <f>_xlfn.TEXTAFTER(CONTROL[[#This Row],[VEHIDCODE]],"_")</f>
        <v>BP_Baldwin_Clyde_4_6_0_C32</v>
      </c>
      <c r="C836" t="str" cm="1">
        <f t="array" ref="C8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6" t="str" cm="1">
        <f t="array" ref="D8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4123</v>
      </c>
      <c r="F836" s="32" t="s">
        <v>2460</v>
      </c>
      <c r="G836" t="s">
        <v>1756</v>
      </c>
      <c r="H836" s="2" t="b">
        <f>AND(CONTROL[[#This Row],[IS_WAGON_OR_COACH]]=TRUE,OR(RIGHT(CONTROL[[#This Row],[VEHIDCODE]],7)="Powered",RIGHT(CONTROL[[#This Row],[VEHIDCODE]],9)="Unpowered"))</f>
        <v>0</v>
      </c>
      <c r="I8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6" t="b">
        <f>ISNUMBER(_xlfn.XMATCH(CONTROL[[#This Row],[VEHIDCODE]],TRACK_TYPES[VEHIDCODE],0))</f>
        <v>1</v>
      </c>
      <c r="K836" t="b">
        <f>ISNUMBER(_xlfn.XMATCH(CONTROL[[#This Row],[VEHIDCODE]],PROPERTIES[VEHIDCODE],0))</f>
        <v>1</v>
      </c>
      <c r="L836" t="b">
        <f>ISNUMBER(_xlfn.XLOOKUP(CONTROL[[#This Row],[VEHIDCODE]],roster!A:A,roster!D:D))</f>
        <v>1</v>
      </c>
      <c r="M836" t="b">
        <f>ISNUMBER(_xlfn.XMATCH(CONTROL[[#This Row],[VEHIDCODE]],GRAPHICS_PROPERTIES[VEHIDCODE],0))</f>
        <v>1</v>
      </c>
      <c r="N836" s="21" t="str">
        <f>"item_"&amp;CONTROL[[#This Row],[VEHIDCODE]]</f>
        <v>item_steam_BP_Baldwin_Clyde_4_6_0_C32</v>
      </c>
      <c r="O836" s="21" t="str">
        <f>"str_"&amp;CONTROL[[#This Row],[VEHIDCODE]]</f>
        <v>str_steam_BP_Baldwin_Clyde_4_6_0_C32</v>
      </c>
      <c r="P836" s="7" t="b">
        <f>_xlfn.XLOOKUP(CONTROL[[#This Row],[VEHIDCODE]],PROPERTIES[VEHIDCODE],PROPERTIES[IS_CONCEPT])="IS_CONCEPT"</f>
        <v>0</v>
      </c>
      <c r="Q836" s="7" t="b">
        <f>_xlfn.XLOOKUP(CONTROL[[#This Row],[VEHIDCODE]],PROPERTIES[VEHIDCODE],PROPERTIES[EXCLUDE])</f>
        <v>0</v>
      </c>
      <c r="R836" t="str" cm="1">
        <f t="array" ref="R836">_xlfn.XLOOKUP(CONTROL[[#This Row],[VEHIDCODE]],GRAPHICS_PROPERTIES[VEHIDCODE],GRAPHICS_PROPERTIES[TEMPLATE_ID]&amp;GRAPHICS_PROPERTIES[TEMPLATE_AMENDMENT_CODE])</f>
        <v>TPL_03A</v>
      </c>
    </row>
    <row r="837" spans="1:18" x14ac:dyDescent="0.35">
      <c r="A837" s="2" t="s">
        <v>3302</v>
      </c>
      <c r="B837" s="21" t="str">
        <f>_xlfn.TEXTAFTER(CONTROL[[#This Row],[VEHIDCODE]],"_")</f>
        <v>BP_NBLC_2_8_0_D50</v>
      </c>
      <c r="C837" t="str" cm="1">
        <f t="array" ref="C8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7" t="str" cm="1">
        <f t="array" ref="D8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4124</v>
      </c>
      <c r="F837" s="32" t="s">
        <v>2461</v>
      </c>
      <c r="G837" t="s">
        <v>1757</v>
      </c>
      <c r="H837" s="2" t="b">
        <f>AND(CONTROL[[#This Row],[IS_WAGON_OR_COACH]]=TRUE,OR(RIGHT(CONTROL[[#This Row],[VEHIDCODE]],7)="Powered",RIGHT(CONTROL[[#This Row],[VEHIDCODE]],9)="Unpowered"))</f>
        <v>0</v>
      </c>
      <c r="I8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7" t="b">
        <f>ISNUMBER(_xlfn.XMATCH(CONTROL[[#This Row],[VEHIDCODE]],TRACK_TYPES[VEHIDCODE],0))</f>
        <v>1</v>
      </c>
      <c r="K837" t="b">
        <f>ISNUMBER(_xlfn.XMATCH(CONTROL[[#This Row],[VEHIDCODE]],PROPERTIES[VEHIDCODE],0))</f>
        <v>1</v>
      </c>
      <c r="L837" t="b">
        <f>ISNUMBER(_xlfn.XLOOKUP(CONTROL[[#This Row],[VEHIDCODE]],roster!A:A,roster!D:D))</f>
        <v>1</v>
      </c>
      <c r="M837" t="b">
        <f>ISNUMBER(_xlfn.XMATCH(CONTROL[[#This Row],[VEHIDCODE]],GRAPHICS_PROPERTIES[VEHIDCODE],0))</f>
        <v>1</v>
      </c>
      <c r="N837" s="21" t="str">
        <f>"item_"&amp;CONTROL[[#This Row],[VEHIDCODE]]</f>
        <v>item_steam_BP_NBLC_2_8_0_D50</v>
      </c>
      <c r="O837" s="21" t="str">
        <f>"str_"&amp;CONTROL[[#This Row],[VEHIDCODE]]</f>
        <v>str_steam_BP_NBLC_2_8_0_D50</v>
      </c>
      <c r="P837" s="7" t="b">
        <f>_xlfn.XLOOKUP(CONTROL[[#This Row],[VEHIDCODE]],PROPERTIES[VEHIDCODE],PROPERTIES[IS_CONCEPT])="IS_CONCEPT"</f>
        <v>0</v>
      </c>
      <c r="Q837" s="7" t="b">
        <f>_xlfn.XLOOKUP(CONTROL[[#This Row],[VEHIDCODE]],PROPERTIES[VEHIDCODE],PROPERTIES[EXCLUDE])</f>
        <v>0</v>
      </c>
      <c r="R837" t="str" cm="1">
        <f t="array" ref="R837">_xlfn.XLOOKUP(CONTROL[[#This Row],[VEHIDCODE]],GRAPHICS_PROPERTIES[VEHIDCODE],GRAPHICS_PROPERTIES[TEMPLATE_ID]&amp;GRAPHICS_PROPERTIES[TEMPLATE_AMENDMENT_CODE])</f>
        <v>TPL_03A</v>
      </c>
    </row>
    <row r="838" spans="1:18" x14ac:dyDescent="0.35">
      <c r="A838" s="2" t="s">
        <v>3303</v>
      </c>
      <c r="B838" s="21" t="str">
        <f>_xlfn.TEXTAFTER(CONTROL[[#This Row],[VEHIDCODE]],"_")</f>
        <v>BP_Dubs_4_4_0_Z12</v>
      </c>
      <c r="C838" t="str" cm="1">
        <f t="array" ref="C8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8" t="str" cm="1">
        <f t="array" ref="D8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4125</v>
      </c>
      <c r="F838" s="32" t="s">
        <v>2462</v>
      </c>
      <c r="G838" s="34" t="s">
        <v>1758</v>
      </c>
      <c r="H838" s="2" t="b">
        <f>AND(CONTROL[[#This Row],[IS_WAGON_OR_COACH]]=TRUE,OR(RIGHT(CONTROL[[#This Row],[VEHIDCODE]],7)="Powered",RIGHT(CONTROL[[#This Row],[VEHIDCODE]],9)="Unpowered"))</f>
        <v>0</v>
      </c>
      <c r="I8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8" t="b">
        <f>ISNUMBER(_xlfn.XMATCH(CONTROL[[#This Row],[VEHIDCODE]],TRACK_TYPES[VEHIDCODE],0))</f>
        <v>1</v>
      </c>
      <c r="K838" t="b">
        <f>ISNUMBER(_xlfn.XMATCH(CONTROL[[#This Row],[VEHIDCODE]],PROPERTIES[VEHIDCODE],0))</f>
        <v>1</v>
      </c>
      <c r="L838" t="b">
        <f>ISNUMBER(_xlfn.XLOOKUP(CONTROL[[#This Row],[VEHIDCODE]],roster!A:A,roster!D:D))</f>
        <v>1</v>
      </c>
      <c r="M838" t="b">
        <f>ISNUMBER(_xlfn.XMATCH(CONTROL[[#This Row],[VEHIDCODE]],GRAPHICS_PROPERTIES[VEHIDCODE],0))</f>
        <v>1</v>
      </c>
      <c r="N838" s="21" t="str">
        <f>"item_"&amp;CONTROL[[#This Row],[VEHIDCODE]]</f>
        <v>item_steam_BP_Dubs_4_4_0_Z12</v>
      </c>
      <c r="O838" s="21" t="str">
        <f>"str_"&amp;CONTROL[[#This Row],[VEHIDCODE]]</f>
        <v>str_steam_BP_Dubs_4_4_0_Z12</v>
      </c>
      <c r="P838" s="7" t="b">
        <f>_xlfn.XLOOKUP(CONTROL[[#This Row],[VEHIDCODE]],PROPERTIES[VEHIDCODE],PROPERTIES[IS_CONCEPT])="IS_CONCEPT"</f>
        <v>0</v>
      </c>
      <c r="Q838" s="7" t="b">
        <f>_xlfn.XLOOKUP(CONTROL[[#This Row],[VEHIDCODE]],PROPERTIES[VEHIDCODE],PROPERTIES[EXCLUDE])</f>
        <v>0</v>
      </c>
      <c r="R838" t="str" cm="1">
        <f t="array" ref="R838">_xlfn.XLOOKUP(CONTROL[[#This Row],[VEHIDCODE]],GRAPHICS_PROPERTIES[VEHIDCODE],GRAPHICS_PROPERTIES[TEMPLATE_ID]&amp;GRAPHICS_PROPERTIES[TEMPLATE_AMENDMENT_CODE])</f>
        <v>TPL_03A</v>
      </c>
    </row>
    <row r="839" spans="1:18" x14ac:dyDescent="0.35">
      <c r="A839" s="2" t="s">
        <v>3304</v>
      </c>
      <c r="B839" s="21" t="str">
        <f>_xlfn.TEXTAFTER(CONTROL[[#This Row],[VEHIDCODE]],"_")</f>
        <v>BP_0_6_0_Z19</v>
      </c>
      <c r="C839" t="str" cm="1">
        <f t="array" ref="C8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9" t="str" cm="1">
        <f t="array" ref="D8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4126</v>
      </c>
      <c r="F839" s="32" t="s">
        <v>2463</v>
      </c>
      <c r="G839" s="34" t="s">
        <v>1759</v>
      </c>
      <c r="H839" s="2" t="b">
        <f>AND(CONTROL[[#This Row],[IS_WAGON_OR_COACH]]=TRUE,OR(RIGHT(CONTROL[[#This Row],[VEHIDCODE]],7)="Powered",RIGHT(CONTROL[[#This Row],[VEHIDCODE]],9)="Unpowered"))</f>
        <v>0</v>
      </c>
      <c r="I8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9" t="b">
        <f>ISNUMBER(_xlfn.XMATCH(CONTROL[[#This Row],[VEHIDCODE]],TRACK_TYPES[VEHIDCODE],0))</f>
        <v>1</v>
      </c>
      <c r="K839" t="b">
        <f>ISNUMBER(_xlfn.XMATCH(CONTROL[[#This Row],[VEHIDCODE]],PROPERTIES[VEHIDCODE],0))</f>
        <v>1</v>
      </c>
      <c r="L839" t="b">
        <f>ISNUMBER(_xlfn.XLOOKUP(CONTROL[[#This Row],[VEHIDCODE]],roster!A:A,roster!D:D))</f>
        <v>1</v>
      </c>
      <c r="M839" t="b">
        <f>ISNUMBER(_xlfn.XMATCH(CONTROL[[#This Row],[VEHIDCODE]],GRAPHICS_PROPERTIES[VEHIDCODE],0))</f>
        <v>1</v>
      </c>
      <c r="N839" s="21" t="str">
        <f>"item_"&amp;CONTROL[[#This Row],[VEHIDCODE]]</f>
        <v>item_steam_BP_0_6_0_Z19</v>
      </c>
      <c r="O839" s="21" t="str">
        <f>"str_"&amp;CONTROL[[#This Row],[VEHIDCODE]]</f>
        <v>str_steam_BP_0_6_0_Z19</v>
      </c>
      <c r="P839" s="7" t="b">
        <f>_xlfn.XLOOKUP(CONTROL[[#This Row],[VEHIDCODE]],PROPERTIES[VEHIDCODE],PROPERTIES[IS_CONCEPT])="IS_CONCEPT"</f>
        <v>0</v>
      </c>
      <c r="Q839" s="7" t="b">
        <f>_xlfn.XLOOKUP(CONTROL[[#This Row],[VEHIDCODE]],PROPERTIES[VEHIDCODE],PROPERTIES[EXCLUDE])</f>
        <v>0</v>
      </c>
      <c r="R839" t="str" cm="1">
        <f t="array" ref="R839">_xlfn.XLOOKUP(CONTROL[[#This Row],[VEHIDCODE]],GRAPHICS_PROPERTIES[VEHIDCODE],GRAPHICS_PROPERTIES[TEMPLATE_ID]&amp;GRAPHICS_PROPERTIES[TEMPLATE_AMENDMENT_CODE])</f>
        <v>TPL_03A</v>
      </c>
    </row>
    <row r="840" spans="1:18" x14ac:dyDescent="0.35">
      <c r="A840" s="2" t="s">
        <v>3305</v>
      </c>
      <c r="B840" s="21" t="str">
        <f>_xlfn.TEXTAFTER(CONTROL[[#This Row],[VEHIDCODE]],"_")</f>
        <v>Dubs_2_6_2ST_Z26</v>
      </c>
      <c r="C840" t="str" cm="1">
        <f t="array" ref="C8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0" t="str" cm="1">
        <f t="array" ref="D8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4127</v>
      </c>
      <c r="F840" s="32" t="s">
        <v>2464</v>
      </c>
      <c r="G840" s="34" t="s">
        <v>1760</v>
      </c>
      <c r="H840" s="2" t="b">
        <f>AND(CONTROL[[#This Row],[IS_WAGON_OR_COACH]]=TRUE,OR(RIGHT(CONTROL[[#This Row],[VEHIDCODE]],7)="Powered",RIGHT(CONTROL[[#This Row],[VEHIDCODE]],9)="Unpowered"))</f>
        <v>0</v>
      </c>
      <c r="I8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0" t="b">
        <f>ISNUMBER(_xlfn.XMATCH(CONTROL[[#This Row],[VEHIDCODE]],TRACK_TYPES[VEHIDCODE],0))</f>
        <v>1</v>
      </c>
      <c r="K840" t="b">
        <f>ISNUMBER(_xlfn.XMATCH(CONTROL[[#This Row],[VEHIDCODE]],PROPERTIES[VEHIDCODE],0))</f>
        <v>1</v>
      </c>
      <c r="L840" t="b">
        <f>ISNUMBER(_xlfn.XLOOKUP(CONTROL[[#This Row],[VEHIDCODE]],roster!A:A,roster!D:D))</f>
        <v>1</v>
      </c>
      <c r="M840" t="b">
        <f>ISNUMBER(_xlfn.XMATCH(CONTROL[[#This Row],[VEHIDCODE]],GRAPHICS_PROPERTIES[VEHIDCODE],0))</f>
        <v>1</v>
      </c>
      <c r="N840" s="21" t="str">
        <f>"item_"&amp;CONTROL[[#This Row],[VEHIDCODE]]</f>
        <v>item_steam_Dubs_2_6_2ST_Z26</v>
      </c>
      <c r="O840" s="21" t="str">
        <f>"str_"&amp;CONTROL[[#This Row],[VEHIDCODE]]</f>
        <v>str_steam_Dubs_2_6_2ST_Z26</v>
      </c>
      <c r="P840" s="7" t="b">
        <f>_xlfn.XLOOKUP(CONTROL[[#This Row],[VEHIDCODE]],PROPERTIES[VEHIDCODE],PROPERTIES[IS_CONCEPT])="IS_CONCEPT"</f>
        <v>0</v>
      </c>
      <c r="Q840" s="7" t="b">
        <f>_xlfn.XLOOKUP(CONTROL[[#This Row],[VEHIDCODE]],PROPERTIES[VEHIDCODE],PROPERTIES[EXCLUDE])</f>
        <v>0</v>
      </c>
      <c r="R840" t="str" cm="1">
        <f t="array" ref="R840">_xlfn.XLOOKUP(CONTROL[[#This Row],[VEHIDCODE]],GRAPHICS_PROPERTIES[VEHIDCODE],GRAPHICS_PROPERTIES[TEMPLATE_ID]&amp;GRAPHICS_PROPERTIES[TEMPLATE_AMENDMENT_CODE])</f>
        <v>TPL_03C</v>
      </c>
    </row>
    <row r="841" spans="1:18" x14ac:dyDescent="0.35">
      <c r="A841" s="2" t="s">
        <v>3306</v>
      </c>
      <c r="B841" s="21" t="str">
        <f>_xlfn.TEXTAFTER(CONTROL[[#This Row],[VEHIDCODE]],"_")</f>
        <v>GCR_Kitson_NBLC_ROD_2_8_0_8K</v>
      </c>
      <c r="C841" t="str" cm="1">
        <f t="array" ref="C8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1" t="str" cm="1">
        <f t="array" ref="D8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4128</v>
      </c>
      <c r="F841" s="32" t="s">
        <v>2465</v>
      </c>
      <c r="G841" s="34" t="s">
        <v>1761</v>
      </c>
      <c r="H841" s="2" t="b">
        <f>AND(CONTROL[[#This Row],[IS_WAGON_OR_COACH]]=TRUE,OR(RIGHT(CONTROL[[#This Row],[VEHIDCODE]],7)="Powered",RIGHT(CONTROL[[#This Row],[VEHIDCODE]],9)="Unpowered"))</f>
        <v>0</v>
      </c>
      <c r="I8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1" t="b">
        <f>ISNUMBER(_xlfn.XMATCH(CONTROL[[#This Row],[VEHIDCODE]],TRACK_TYPES[VEHIDCODE],0))</f>
        <v>1</v>
      </c>
      <c r="K841" t="b">
        <f>ISNUMBER(_xlfn.XMATCH(CONTROL[[#This Row],[VEHIDCODE]],PROPERTIES[VEHIDCODE],0))</f>
        <v>1</v>
      </c>
      <c r="L841" t="b">
        <f>ISNUMBER(_xlfn.XLOOKUP(CONTROL[[#This Row],[VEHIDCODE]],roster!A:A,roster!D:D))</f>
        <v>1</v>
      </c>
      <c r="M841" t="b">
        <f>ISNUMBER(_xlfn.XMATCH(CONTROL[[#This Row],[VEHIDCODE]],GRAPHICS_PROPERTIES[VEHIDCODE],0))</f>
        <v>1</v>
      </c>
      <c r="N841" s="21" t="str">
        <f>"item_"&amp;CONTROL[[#This Row],[VEHIDCODE]]</f>
        <v>item_steam_GCR_Kitson_NBLC_ROD_2_8_0_8K</v>
      </c>
      <c r="O841" s="21" t="str">
        <f>"str_"&amp;CONTROL[[#This Row],[VEHIDCODE]]</f>
        <v>str_steam_GCR_Kitson_NBLC_ROD_2_8_0_8K</v>
      </c>
      <c r="P841" s="7" t="b">
        <f>_xlfn.XLOOKUP(CONTROL[[#This Row],[VEHIDCODE]],PROPERTIES[VEHIDCODE],PROPERTIES[IS_CONCEPT])="IS_CONCEPT"</f>
        <v>0</v>
      </c>
      <c r="Q841" s="7" t="b">
        <f>_xlfn.XLOOKUP(CONTROL[[#This Row],[VEHIDCODE]],PROPERTIES[VEHIDCODE],PROPERTIES[EXCLUDE])</f>
        <v>0</v>
      </c>
      <c r="R841" t="str" cm="1">
        <f t="array" ref="R841">_xlfn.XLOOKUP(CONTROL[[#This Row],[VEHIDCODE]],GRAPHICS_PROPERTIES[VEHIDCODE],GRAPHICS_PROPERTIES[TEMPLATE_ID]&amp;GRAPHICS_PROPERTIES[TEMPLATE_AMENDMENT_CODE])</f>
        <v>TPL_03A</v>
      </c>
    </row>
    <row r="842" spans="1:18" x14ac:dyDescent="0.35">
      <c r="A842" s="2" t="s">
        <v>3307</v>
      </c>
      <c r="B842" s="21" t="str">
        <f>_xlfn.TEXTAFTER(CONTROL[[#This Row],[VEHIDCODE]],"_")</f>
        <v>ALCO_4_6_2_SAR_600</v>
      </c>
      <c r="C842" t="str" cm="1">
        <f t="array" ref="C8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2" t="str" cm="1">
        <f t="array" ref="D8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4129</v>
      </c>
      <c r="F842" s="32" t="s">
        <v>2466</v>
      </c>
      <c r="G842" s="34" t="s">
        <v>1762</v>
      </c>
      <c r="H842" s="2" t="b">
        <f>AND(CONTROL[[#This Row],[IS_WAGON_OR_COACH]]=TRUE,OR(RIGHT(CONTROL[[#This Row],[VEHIDCODE]],7)="Powered",RIGHT(CONTROL[[#This Row],[VEHIDCODE]],9)="Unpowered"))</f>
        <v>0</v>
      </c>
      <c r="I8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2" t="b">
        <f>ISNUMBER(_xlfn.XMATCH(CONTROL[[#This Row],[VEHIDCODE]],TRACK_TYPES[VEHIDCODE],0))</f>
        <v>1</v>
      </c>
      <c r="K842" t="b">
        <f>ISNUMBER(_xlfn.XMATCH(CONTROL[[#This Row],[VEHIDCODE]],PROPERTIES[VEHIDCODE],0))</f>
        <v>1</v>
      </c>
      <c r="L842" t="b">
        <f>ISNUMBER(_xlfn.XLOOKUP(CONTROL[[#This Row],[VEHIDCODE]],roster!A:A,roster!D:D))</f>
        <v>1</v>
      </c>
      <c r="M842" t="b">
        <f>ISNUMBER(_xlfn.XMATCH(CONTROL[[#This Row],[VEHIDCODE]],GRAPHICS_PROPERTIES[VEHIDCODE],0))</f>
        <v>1</v>
      </c>
      <c r="N842" s="21" t="str">
        <f>"item_"&amp;CONTROL[[#This Row],[VEHIDCODE]]</f>
        <v>item_steam_ALCO_4_6_2_SAR_600</v>
      </c>
      <c r="O842" s="21" t="str">
        <f>"str_"&amp;CONTROL[[#This Row],[VEHIDCODE]]</f>
        <v>str_steam_ALCO_4_6_2_SAR_600</v>
      </c>
      <c r="P842" s="7" t="b">
        <f>_xlfn.XLOOKUP(CONTROL[[#This Row],[VEHIDCODE]],PROPERTIES[VEHIDCODE],PROPERTIES[IS_CONCEPT])="IS_CONCEPT"</f>
        <v>0</v>
      </c>
      <c r="Q842" s="7" t="b">
        <f>_xlfn.XLOOKUP(CONTROL[[#This Row],[VEHIDCODE]],PROPERTIES[VEHIDCODE],PROPERTIES[EXCLUDE])</f>
        <v>0</v>
      </c>
      <c r="R842" t="str" cm="1">
        <f t="array" ref="R842">_xlfn.XLOOKUP(CONTROL[[#This Row],[VEHIDCODE]],GRAPHICS_PROPERTIES[VEHIDCODE],GRAPHICS_PROPERTIES[TEMPLATE_ID]&amp;GRAPHICS_PROPERTIES[TEMPLATE_AMENDMENT_CODE])</f>
        <v>TPL_03A</v>
      </c>
    </row>
    <row r="843" spans="1:18" x14ac:dyDescent="0.35">
      <c r="A843" t="s">
        <v>3308</v>
      </c>
      <c r="B843" s="21" t="str">
        <f>_xlfn.TEXTAFTER(CONTROL[[#This Row],[VEHIDCODE]],"_")</f>
        <v>BP_2_8_2T_South_Maitland_10</v>
      </c>
      <c r="C843" t="str" cm="1">
        <f t="array" ref="C8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3" t="str" cm="1">
        <f t="array" ref="D8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4130</v>
      </c>
      <c r="F843" s="32" t="s">
        <v>2467</v>
      </c>
      <c r="G843" t="s">
        <v>1763</v>
      </c>
      <c r="H843" s="2" t="b">
        <f>AND(CONTROL[[#This Row],[IS_WAGON_OR_COACH]]=TRUE,OR(RIGHT(CONTROL[[#This Row],[VEHIDCODE]],7)="Powered",RIGHT(CONTROL[[#This Row],[VEHIDCODE]],9)="Unpowered"))</f>
        <v>0</v>
      </c>
      <c r="I8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3" t="b">
        <f>ISNUMBER(_xlfn.XMATCH(CONTROL[[#This Row],[VEHIDCODE]],TRACK_TYPES[VEHIDCODE],0))</f>
        <v>1</v>
      </c>
      <c r="K843" t="b">
        <f>ISNUMBER(_xlfn.XMATCH(CONTROL[[#This Row],[VEHIDCODE]],PROPERTIES[VEHIDCODE],0))</f>
        <v>1</v>
      </c>
      <c r="L843" t="b">
        <f>ISNUMBER(_xlfn.XLOOKUP(CONTROL[[#This Row],[VEHIDCODE]],roster!A:A,roster!D:D))</f>
        <v>1</v>
      </c>
      <c r="M843" t="b">
        <f>ISNUMBER(_xlfn.XMATCH(CONTROL[[#This Row],[VEHIDCODE]],GRAPHICS_PROPERTIES[VEHIDCODE],0))</f>
        <v>1</v>
      </c>
      <c r="N843" s="21" t="str">
        <f>"item_"&amp;CONTROL[[#This Row],[VEHIDCODE]]</f>
        <v>item_steam_BP_2_8_2T_South_Maitland_10</v>
      </c>
      <c r="O843" s="21" t="str">
        <f>"str_"&amp;CONTROL[[#This Row],[VEHIDCODE]]</f>
        <v>str_steam_BP_2_8_2T_South_Maitland_10</v>
      </c>
      <c r="P843" s="7" t="b">
        <f>_xlfn.XLOOKUP(CONTROL[[#This Row],[VEHIDCODE]],PROPERTIES[VEHIDCODE],PROPERTIES[IS_CONCEPT])="IS_CONCEPT"</f>
        <v>0</v>
      </c>
      <c r="Q843" s="7" t="b">
        <f>_xlfn.XLOOKUP(CONTROL[[#This Row],[VEHIDCODE]],PROPERTIES[VEHIDCODE],PROPERTIES[EXCLUDE])</f>
        <v>0</v>
      </c>
      <c r="R843" t="str" cm="1">
        <f t="array" ref="R843">_xlfn.XLOOKUP(CONTROL[[#This Row],[VEHIDCODE]],GRAPHICS_PROPERTIES[VEHIDCODE],GRAPHICS_PROPERTIES[TEMPLATE_ID]&amp;GRAPHICS_PROPERTIES[TEMPLATE_AMENDMENT_CODE])</f>
        <v>TPL_03C</v>
      </c>
    </row>
    <row r="844" spans="1:18" x14ac:dyDescent="0.35">
      <c r="A844" t="s">
        <v>3309</v>
      </c>
      <c r="B844" s="21" t="str">
        <f>_xlfn.TEXTAFTER(CONTROL[[#This Row],[VEHIDCODE]],"_")</f>
        <v>Victorian_Railways_H</v>
      </c>
      <c r="C844" t="str" cm="1">
        <f t="array" ref="C8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4" t="str" cm="1">
        <f t="array" ref="D8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4131</v>
      </c>
      <c r="F844" s="32" t="s">
        <v>1764</v>
      </c>
      <c r="G844" t="s">
        <v>1765</v>
      </c>
      <c r="H844" s="2" t="b">
        <f>AND(CONTROL[[#This Row],[IS_WAGON_OR_COACH]]=TRUE,OR(RIGHT(CONTROL[[#This Row],[VEHIDCODE]],7)="Powered",RIGHT(CONTROL[[#This Row],[VEHIDCODE]],9)="Unpowered"))</f>
        <v>0</v>
      </c>
      <c r="I8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4" t="b">
        <f>ISNUMBER(_xlfn.XMATCH(CONTROL[[#This Row],[VEHIDCODE]],TRACK_TYPES[VEHIDCODE],0))</f>
        <v>1</v>
      </c>
      <c r="K844" t="b">
        <f>ISNUMBER(_xlfn.XMATCH(CONTROL[[#This Row],[VEHIDCODE]],PROPERTIES[VEHIDCODE],0))</f>
        <v>1</v>
      </c>
      <c r="L844" t="b">
        <f>ISNUMBER(_xlfn.XLOOKUP(CONTROL[[#This Row],[VEHIDCODE]],roster!A:A,roster!D:D))</f>
        <v>1</v>
      </c>
      <c r="M844" t="b">
        <f>ISNUMBER(_xlfn.XMATCH(CONTROL[[#This Row],[VEHIDCODE]],GRAPHICS_PROPERTIES[VEHIDCODE],0))</f>
        <v>1</v>
      </c>
      <c r="N844" s="21" t="str">
        <f>"item_"&amp;CONTROL[[#This Row],[VEHIDCODE]]</f>
        <v>item_steam_Victorian_Railways_H</v>
      </c>
      <c r="O844" s="21" t="str">
        <f>"str_"&amp;CONTROL[[#This Row],[VEHIDCODE]]</f>
        <v>str_steam_Victorian_Railways_H</v>
      </c>
      <c r="P844" s="7" t="b">
        <f>_xlfn.XLOOKUP(CONTROL[[#This Row],[VEHIDCODE]],PROPERTIES[VEHIDCODE],PROPERTIES[IS_CONCEPT])="IS_CONCEPT"</f>
        <v>0</v>
      </c>
      <c r="Q844" s="7" t="b">
        <f>_xlfn.XLOOKUP(CONTROL[[#This Row],[VEHIDCODE]],PROPERTIES[VEHIDCODE],PROPERTIES[EXCLUDE])</f>
        <v>0</v>
      </c>
      <c r="R844" t="str" cm="1">
        <f t="array" ref="R844">_xlfn.XLOOKUP(CONTROL[[#This Row],[VEHIDCODE]],GRAPHICS_PROPERTIES[VEHIDCODE],GRAPHICS_PROPERTIES[TEMPLATE_ID]&amp;GRAPHICS_PROPERTIES[TEMPLATE_AMENDMENT_CODE])</f>
        <v>TPL_03A</v>
      </c>
    </row>
    <row r="845" spans="1:18" x14ac:dyDescent="0.35">
      <c r="A845" t="s">
        <v>3310</v>
      </c>
      <c r="B845" s="21" t="str">
        <f>_xlfn.TEXTAFTER(CONTROL[[#This Row],[VEHIDCODE]],"_")</f>
        <v>BTH_41_Class</v>
      </c>
      <c r="C845" t="str" cm="1">
        <f t="array" ref="C8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45" t="str" cm="1">
        <f t="array" ref="D8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4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5143</v>
      </c>
      <c r="F845" s="32" t="s">
        <v>2468</v>
      </c>
      <c r="G845" t="s">
        <v>1766</v>
      </c>
      <c r="H845" s="2" t="b">
        <f>AND(CONTROL[[#This Row],[IS_WAGON_OR_COACH]]=TRUE,OR(RIGHT(CONTROL[[#This Row],[VEHIDCODE]],7)="Powered",RIGHT(CONTROL[[#This Row],[VEHIDCODE]],9)="Unpowered"))</f>
        <v>0</v>
      </c>
      <c r="I8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5" t="b">
        <f>ISNUMBER(_xlfn.XMATCH(CONTROL[[#This Row],[VEHIDCODE]],TRACK_TYPES[VEHIDCODE],0))</f>
        <v>1</v>
      </c>
      <c r="K845" t="b">
        <f>ISNUMBER(_xlfn.XMATCH(CONTROL[[#This Row],[VEHIDCODE]],PROPERTIES[VEHIDCODE],0))</f>
        <v>1</v>
      </c>
      <c r="L845" t="b">
        <f>ISNUMBER(_xlfn.XLOOKUP(CONTROL[[#This Row],[VEHIDCODE]],roster!A:A,roster!D:D))</f>
        <v>1</v>
      </c>
      <c r="M845" t="b">
        <f>ISNUMBER(_xlfn.XMATCH(CONTROL[[#This Row],[VEHIDCODE]],GRAPHICS_PROPERTIES[VEHIDCODE],0))</f>
        <v>1</v>
      </c>
      <c r="N845" s="21" t="str">
        <f>"item_"&amp;CONTROL[[#This Row],[VEHIDCODE]]</f>
        <v>item_diesel_BTH_41_Class</v>
      </c>
      <c r="O845" s="21" t="str">
        <f>"str_"&amp;CONTROL[[#This Row],[VEHIDCODE]]</f>
        <v>str_diesel_BTH_41_Class</v>
      </c>
      <c r="P845" s="7" t="b">
        <f>_xlfn.XLOOKUP(CONTROL[[#This Row],[VEHIDCODE]],PROPERTIES[VEHIDCODE],PROPERTIES[IS_CONCEPT])="IS_CONCEPT"</f>
        <v>0</v>
      </c>
      <c r="Q845" s="7" t="b">
        <f>_xlfn.XLOOKUP(CONTROL[[#This Row],[VEHIDCODE]],PROPERTIES[VEHIDCODE],PROPERTIES[EXCLUDE])</f>
        <v>0</v>
      </c>
      <c r="R845" t="str" cm="1">
        <f t="array" ref="R845">_xlfn.XLOOKUP(CONTROL[[#This Row],[VEHIDCODE]],GRAPHICS_PROPERTIES[VEHIDCODE],GRAPHICS_PROPERTIES[TEMPLATE_ID]&amp;GRAPHICS_PROPERTIES[TEMPLATE_AMENDMENT_CODE])</f>
        <v>TPL_01A</v>
      </c>
    </row>
    <row r="846" spans="1:18" x14ac:dyDescent="0.35">
      <c r="A846" t="s">
        <v>3311</v>
      </c>
      <c r="B846" s="21" t="str">
        <f>_xlfn.TEXTAFTER(CONTROL[[#This Row],[VEHIDCODE]],"_")</f>
        <v>ALCO_AE_Goodwin_DL531_532</v>
      </c>
      <c r="C846" t="str" cm="1">
        <f t="array" ref="C8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46" t="str" cm="1">
        <f t="array" ref="D8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4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5144</v>
      </c>
      <c r="F846" s="32" t="s">
        <v>2469</v>
      </c>
      <c r="G846" t="s">
        <v>1767</v>
      </c>
      <c r="H846" s="2" t="b">
        <f>AND(CONTROL[[#This Row],[IS_WAGON_OR_COACH]]=TRUE,OR(RIGHT(CONTROL[[#This Row],[VEHIDCODE]],7)="Powered",RIGHT(CONTROL[[#This Row],[VEHIDCODE]],9)="Unpowered"))</f>
        <v>0</v>
      </c>
      <c r="I8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6" t="b">
        <f>ISNUMBER(_xlfn.XMATCH(CONTROL[[#This Row],[VEHIDCODE]],TRACK_TYPES[VEHIDCODE],0))</f>
        <v>1</v>
      </c>
      <c r="K846" t="b">
        <f>ISNUMBER(_xlfn.XMATCH(CONTROL[[#This Row],[VEHIDCODE]],PROPERTIES[VEHIDCODE],0))</f>
        <v>1</v>
      </c>
      <c r="L846" t="b">
        <f>ISNUMBER(_xlfn.XLOOKUP(CONTROL[[#This Row],[VEHIDCODE]],roster!A:A,roster!D:D))</f>
        <v>1</v>
      </c>
      <c r="M846" t="b">
        <f>ISNUMBER(_xlfn.XMATCH(CONTROL[[#This Row],[VEHIDCODE]],GRAPHICS_PROPERTIES[VEHIDCODE],0))</f>
        <v>1</v>
      </c>
      <c r="N846" s="21" t="str">
        <f>"item_"&amp;CONTROL[[#This Row],[VEHIDCODE]]</f>
        <v>item_diesel_ALCO_AE_Goodwin_DL531_532</v>
      </c>
      <c r="O846" s="21" t="str">
        <f>"str_"&amp;CONTROL[[#This Row],[VEHIDCODE]]</f>
        <v>str_diesel_ALCO_AE_Goodwin_DL531_532</v>
      </c>
      <c r="P846" s="7" t="b">
        <f>_xlfn.XLOOKUP(CONTROL[[#This Row],[VEHIDCODE]],PROPERTIES[VEHIDCODE],PROPERTIES[IS_CONCEPT])="IS_CONCEPT"</f>
        <v>0</v>
      </c>
      <c r="Q846" s="7" t="b">
        <f>_xlfn.XLOOKUP(CONTROL[[#This Row],[VEHIDCODE]],PROPERTIES[VEHIDCODE],PROPERTIES[EXCLUDE])</f>
        <v>0</v>
      </c>
      <c r="R846" t="str" cm="1">
        <f t="array" ref="R846">_xlfn.XLOOKUP(CONTROL[[#This Row],[VEHIDCODE]],GRAPHICS_PROPERTIES[VEHIDCODE],GRAPHICS_PROPERTIES[TEMPLATE_ID]&amp;GRAPHICS_PROPERTIES[TEMPLATE_AMENDMENT_CODE])</f>
        <v>TPL_01A</v>
      </c>
    </row>
    <row r="847" spans="1:18" x14ac:dyDescent="0.35">
      <c r="A847" s="2" t="s">
        <v>3312</v>
      </c>
      <c r="B847" s="21" t="str">
        <f>_xlfn.TEXTAFTER(CONTROL[[#This Row],[VEHIDCODE]],"_")</f>
        <v>ALCO_AE_Goodwin_DL500</v>
      </c>
      <c r="C847" t="str" cm="1">
        <f t="array" ref="C8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47" t="str" cm="1">
        <f t="array" ref="D8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4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5145</v>
      </c>
      <c r="F847" s="32" t="s">
        <v>2470</v>
      </c>
      <c r="G847" t="s">
        <v>1939</v>
      </c>
      <c r="H847" s="2" t="b">
        <f>AND(CONTROL[[#This Row],[IS_WAGON_OR_COACH]]=TRUE,OR(RIGHT(CONTROL[[#This Row],[VEHIDCODE]],7)="Powered",RIGHT(CONTROL[[#This Row],[VEHIDCODE]],9)="Unpowered"))</f>
        <v>0</v>
      </c>
      <c r="I8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7" t="b">
        <f>ISNUMBER(_xlfn.XMATCH(CONTROL[[#This Row],[VEHIDCODE]],TRACK_TYPES[VEHIDCODE],0))</f>
        <v>1</v>
      </c>
      <c r="K847" t="b">
        <f>ISNUMBER(_xlfn.XMATCH(CONTROL[[#This Row],[VEHIDCODE]],PROPERTIES[VEHIDCODE],0))</f>
        <v>1</v>
      </c>
      <c r="L847" t="b">
        <f>ISNUMBER(_xlfn.XLOOKUP(CONTROL[[#This Row],[VEHIDCODE]],roster!A:A,roster!D:D))</f>
        <v>1</v>
      </c>
      <c r="M847" t="b">
        <f>ISNUMBER(_xlfn.XMATCH(CONTROL[[#This Row],[VEHIDCODE]],GRAPHICS_PROPERTIES[VEHIDCODE],0))</f>
        <v>1</v>
      </c>
      <c r="N847" s="21" t="str">
        <f>"item_"&amp;CONTROL[[#This Row],[VEHIDCODE]]</f>
        <v>item_diesel_ALCO_AE_Goodwin_DL500</v>
      </c>
      <c r="O847" s="21" t="str">
        <f>"str_"&amp;CONTROL[[#This Row],[VEHIDCODE]]</f>
        <v>str_diesel_ALCO_AE_Goodwin_DL500</v>
      </c>
      <c r="P847" s="7" t="b">
        <f>_xlfn.XLOOKUP(CONTROL[[#This Row],[VEHIDCODE]],PROPERTIES[VEHIDCODE],PROPERTIES[IS_CONCEPT])="IS_CONCEPT"</f>
        <v>0</v>
      </c>
      <c r="Q847" s="7" t="b">
        <f>_xlfn.XLOOKUP(CONTROL[[#This Row],[VEHIDCODE]],PROPERTIES[VEHIDCODE],PROPERTIES[EXCLUDE])</f>
        <v>0</v>
      </c>
      <c r="R847" t="str" cm="1">
        <f t="array" ref="R847">_xlfn.XLOOKUP(CONTROL[[#This Row],[VEHIDCODE]],GRAPHICS_PROPERTIES[VEHIDCODE],GRAPHICS_PROPERTIES[TEMPLATE_ID]&amp;GRAPHICS_PROPERTIES[TEMPLATE_AMENDMENT_CODE])</f>
        <v>TPL_01A</v>
      </c>
    </row>
    <row r="848" spans="1:18" x14ac:dyDescent="0.35">
      <c r="A848" t="s">
        <v>3313</v>
      </c>
      <c r="B848" s="21" t="str">
        <f>_xlfn.TEXTAFTER(CONTROL[[#This Row],[VEHIDCODE]],"_")</f>
        <v>EMD_Clyde_A16C</v>
      </c>
      <c r="C848" t="str" cm="1">
        <f t="array" ref="C8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48" t="str" cm="1">
        <f t="array" ref="D8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4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5146</v>
      </c>
      <c r="F848" s="32" t="s">
        <v>2471</v>
      </c>
      <c r="G848" t="s">
        <v>1768</v>
      </c>
      <c r="H848" s="2" t="b">
        <f>AND(CONTROL[[#This Row],[IS_WAGON_OR_COACH]]=TRUE,OR(RIGHT(CONTROL[[#This Row],[VEHIDCODE]],7)="Powered",RIGHT(CONTROL[[#This Row],[VEHIDCODE]],9)="Unpowered"))</f>
        <v>0</v>
      </c>
      <c r="I8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8" t="b">
        <f>ISNUMBER(_xlfn.XMATCH(CONTROL[[#This Row],[VEHIDCODE]],TRACK_TYPES[VEHIDCODE],0))</f>
        <v>1</v>
      </c>
      <c r="K848" t="b">
        <f>ISNUMBER(_xlfn.XMATCH(CONTROL[[#This Row],[VEHIDCODE]],PROPERTIES[VEHIDCODE],0))</f>
        <v>1</v>
      </c>
      <c r="L848" t="b">
        <f>ISNUMBER(_xlfn.XLOOKUP(CONTROL[[#This Row],[VEHIDCODE]],roster!A:A,roster!D:D))</f>
        <v>1</v>
      </c>
      <c r="M848" t="b">
        <f>ISNUMBER(_xlfn.XMATCH(CONTROL[[#This Row],[VEHIDCODE]],GRAPHICS_PROPERTIES[VEHIDCODE],0))</f>
        <v>1</v>
      </c>
      <c r="N848" s="21" t="str">
        <f>"item_"&amp;CONTROL[[#This Row],[VEHIDCODE]]</f>
        <v>item_diesel_EMD_Clyde_A16C</v>
      </c>
      <c r="O848" s="21" t="str">
        <f>"str_"&amp;CONTROL[[#This Row],[VEHIDCODE]]</f>
        <v>str_diesel_EMD_Clyde_A16C</v>
      </c>
      <c r="P848" s="7" t="b">
        <f>_xlfn.XLOOKUP(CONTROL[[#This Row],[VEHIDCODE]],PROPERTIES[VEHIDCODE],PROPERTIES[IS_CONCEPT])="IS_CONCEPT"</f>
        <v>0</v>
      </c>
      <c r="Q848" s="7" t="b">
        <f>_xlfn.XLOOKUP(CONTROL[[#This Row],[VEHIDCODE]],PROPERTIES[VEHIDCODE],PROPERTIES[EXCLUDE])</f>
        <v>0</v>
      </c>
      <c r="R848" t="str" cm="1">
        <f t="array" ref="R848">_xlfn.XLOOKUP(CONTROL[[#This Row],[VEHIDCODE]],GRAPHICS_PROPERTIES[VEHIDCODE],GRAPHICS_PROPERTIES[TEMPLATE_ID]&amp;GRAPHICS_PROPERTIES[TEMPLATE_AMENDMENT_CODE])</f>
        <v>TPL_01A</v>
      </c>
    </row>
    <row r="849" spans="1:18" x14ac:dyDescent="0.35">
      <c r="A849" t="s">
        <v>3457</v>
      </c>
      <c r="B849" s="21" t="str">
        <f>_xlfn.TEXTAFTER(CONTROL[[#This Row],[VEHIDCODE]],"_")</f>
        <v>EMD_Clyde_AAT22C_2R</v>
      </c>
      <c r="C849" t="str" cm="1">
        <f t="array" ref="C8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49" t="str" cm="1">
        <f t="array" ref="D8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4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5147</v>
      </c>
      <c r="F849" s="32" t="s">
        <v>3464</v>
      </c>
      <c r="G849" t="s">
        <v>1769</v>
      </c>
      <c r="H849" s="2" t="b">
        <f>AND(CONTROL[[#This Row],[IS_WAGON_OR_COACH]]=TRUE,OR(RIGHT(CONTROL[[#This Row],[VEHIDCODE]],7)="Powered",RIGHT(CONTROL[[#This Row],[VEHIDCODE]],9)="Unpowered"))</f>
        <v>0</v>
      </c>
      <c r="I8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9" t="b">
        <f>ISNUMBER(_xlfn.XMATCH(CONTROL[[#This Row],[VEHIDCODE]],TRACK_TYPES[VEHIDCODE],0))</f>
        <v>1</v>
      </c>
      <c r="K849" t="b">
        <f>ISNUMBER(_xlfn.XMATCH(CONTROL[[#This Row],[VEHIDCODE]],PROPERTIES[VEHIDCODE],0))</f>
        <v>1</v>
      </c>
      <c r="L849" t="b">
        <f>ISNUMBER(_xlfn.XLOOKUP(CONTROL[[#This Row],[VEHIDCODE]],roster!A:A,roster!D:D))</f>
        <v>1</v>
      </c>
      <c r="M849" t="b">
        <f>ISNUMBER(_xlfn.XMATCH(CONTROL[[#This Row],[VEHIDCODE]],GRAPHICS_PROPERTIES[VEHIDCODE],0))</f>
        <v>1</v>
      </c>
      <c r="N849" s="21" t="str">
        <f>"item_"&amp;CONTROL[[#This Row],[VEHIDCODE]]</f>
        <v>item_diesel_EMD_Clyde_AAT22C_2R</v>
      </c>
      <c r="O849" s="21" t="str">
        <f>"str_"&amp;CONTROL[[#This Row],[VEHIDCODE]]</f>
        <v>str_diesel_EMD_Clyde_AAT22C_2R</v>
      </c>
      <c r="P849" s="7" t="b">
        <f>_xlfn.XLOOKUP(CONTROL[[#This Row],[VEHIDCODE]],PROPERTIES[VEHIDCODE],PROPERTIES[IS_CONCEPT])="IS_CONCEPT"</f>
        <v>0</v>
      </c>
      <c r="Q849" s="7" t="b">
        <f>_xlfn.XLOOKUP(CONTROL[[#This Row],[VEHIDCODE]],PROPERTIES[VEHIDCODE],PROPERTIES[EXCLUDE])</f>
        <v>1</v>
      </c>
      <c r="R849" t="str" cm="1">
        <f t="array" ref="R849">_xlfn.XLOOKUP(CONTROL[[#This Row],[VEHIDCODE]],GRAPHICS_PROPERTIES[VEHIDCODE],GRAPHICS_PROPERTIES[TEMPLATE_ID]&amp;GRAPHICS_PROPERTIES[TEMPLATE_AMENDMENT_CODE])</f>
        <v>TPL_01A</v>
      </c>
    </row>
    <row r="850" spans="1:18" x14ac:dyDescent="0.35">
      <c r="A850" t="s">
        <v>3314</v>
      </c>
      <c r="B850" s="21" t="str">
        <f>_xlfn.TEXTAFTER(CONTROL[[#This Row],[VEHIDCODE]],"_")</f>
        <v>EMD_Clyde_A7</v>
      </c>
      <c r="C850" t="str" cm="1">
        <f t="array" ref="C8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0" t="str" cm="1">
        <f t="array" ref="D8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5148</v>
      </c>
      <c r="F850" s="32" t="s">
        <v>2472</v>
      </c>
      <c r="G850" t="s">
        <v>1770</v>
      </c>
      <c r="H850" s="2" t="b">
        <f>AND(CONTROL[[#This Row],[IS_WAGON_OR_COACH]]=TRUE,OR(RIGHT(CONTROL[[#This Row],[VEHIDCODE]],7)="Powered",RIGHT(CONTROL[[#This Row],[VEHIDCODE]],9)="Unpowered"))</f>
        <v>0</v>
      </c>
      <c r="I8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0" t="b">
        <f>ISNUMBER(_xlfn.XMATCH(CONTROL[[#This Row],[VEHIDCODE]],TRACK_TYPES[VEHIDCODE],0))</f>
        <v>1</v>
      </c>
      <c r="K850" t="b">
        <f>ISNUMBER(_xlfn.XMATCH(CONTROL[[#This Row],[VEHIDCODE]],PROPERTIES[VEHIDCODE],0))</f>
        <v>1</v>
      </c>
      <c r="L850" t="b">
        <f>ISNUMBER(_xlfn.XLOOKUP(CONTROL[[#This Row],[VEHIDCODE]],roster!A:A,roster!D:D))</f>
        <v>1</v>
      </c>
      <c r="M850" t="b">
        <f>ISNUMBER(_xlfn.XMATCH(CONTROL[[#This Row],[VEHIDCODE]],GRAPHICS_PROPERTIES[VEHIDCODE],0))</f>
        <v>1</v>
      </c>
      <c r="N850" s="21" t="str">
        <f>"item_"&amp;CONTROL[[#This Row],[VEHIDCODE]]</f>
        <v>item_diesel_EMD_Clyde_A7</v>
      </c>
      <c r="O850" s="21" t="str">
        <f>"str_"&amp;CONTROL[[#This Row],[VEHIDCODE]]</f>
        <v>str_diesel_EMD_Clyde_A7</v>
      </c>
      <c r="P850" s="7" t="b">
        <f>_xlfn.XLOOKUP(CONTROL[[#This Row],[VEHIDCODE]],PROPERTIES[VEHIDCODE],PROPERTIES[IS_CONCEPT])="IS_CONCEPT"</f>
        <v>0</v>
      </c>
      <c r="Q850" s="7" t="b">
        <f>_xlfn.XLOOKUP(CONTROL[[#This Row],[VEHIDCODE]],PROPERTIES[VEHIDCODE],PROPERTIES[EXCLUDE])</f>
        <v>0</v>
      </c>
      <c r="R850" t="str" cm="1">
        <f t="array" ref="R850">_xlfn.XLOOKUP(CONTROL[[#This Row],[VEHIDCODE]],GRAPHICS_PROPERTIES[VEHIDCODE],GRAPHICS_PROPERTIES[TEMPLATE_ID]&amp;GRAPHICS_PROPERTIES[TEMPLATE_AMENDMENT_CODE])</f>
        <v>TPL_01A</v>
      </c>
    </row>
    <row r="851" spans="1:18" x14ac:dyDescent="0.35">
      <c r="A851" t="s">
        <v>3315</v>
      </c>
      <c r="B851" s="21" t="str">
        <f>_xlfn.TEXTAFTER(CONTROL[[#This Row],[VEHIDCODE]],"_")</f>
        <v>EMD_Clyde_AT42C_</v>
      </c>
      <c r="C851" t="str" cm="1">
        <f t="array" ref="C8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1" t="str" cm="1">
        <f t="array" ref="D8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5149</v>
      </c>
      <c r="F851" s="32" t="s">
        <v>2473</v>
      </c>
      <c r="G851" t="s">
        <v>1771</v>
      </c>
      <c r="H851" s="2" t="b">
        <f>AND(CONTROL[[#This Row],[IS_WAGON_OR_COACH]]=TRUE,OR(RIGHT(CONTROL[[#This Row],[VEHIDCODE]],7)="Powered",RIGHT(CONTROL[[#This Row],[VEHIDCODE]],9)="Unpowered"))</f>
        <v>0</v>
      </c>
      <c r="I8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1" t="b">
        <f>ISNUMBER(_xlfn.XMATCH(CONTROL[[#This Row],[VEHIDCODE]],TRACK_TYPES[VEHIDCODE],0))</f>
        <v>1</v>
      </c>
      <c r="K851" t="b">
        <f>ISNUMBER(_xlfn.XMATCH(CONTROL[[#This Row],[VEHIDCODE]],PROPERTIES[VEHIDCODE],0))</f>
        <v>1</v>
      </c>
      <c r="L851" t="b">
        <f>ISNUMBER(_xlfn.XLOOKUP(CONTROL[[#This Row],[VEHIDCODE]],roster!A:A,roster!D:D))</f>
        <v>1</v>
      </c>
      <c r="M851" t="b">
        <f>ISNUMBER(_xlfn.XMATCH(CONTROL[[#This Row],[VEHIDCODE]],GRAPHICS_PROPERTIES[VEHIDCODE],0))</f>
        <v>1</v>
      </c>
      <c r="N851" s="21" t="str">
        <f>"item_"&amp;CONTROL[[#This Row],[VEHIDCODE]]</f>
        <v>item_diesel_EMD_Clyde_AT42C_</v>
      </c>
      <c r="O851" s="21" t="str">
        <f>"str_"&amp;CONTROL[[#This Row],[VEHIDCODE]]</f>
        <v>str_diesel_EMD_Clyde_AT42C_</v>
      </c>
      <c r="P851" s="7" t="b">
        <f>_xlfn.XLOOKUP(CONTROL[[#This Row],[VEHIDCODE]],PROPERTIES[VEHIDCODE],PROPERTIES[IS_CONCEPT])="IS_CONCEPT"</f>
        <v>0</v>
      </c>
      <c r="Q851" s="7" t="b">
        <f>_xlfn.XLOOKUP(CONTROL[[#This Row],[VEHIDCODE]],PROPERTIES[VEHIDCODE],PROPERTIES[EXCLUDE])</f>
        <v>0</v>
      </c>
      <c r="R851" t="str" cm="1">
        <f t="array" ref="R851">_xlfn.XLOOKUP(CONTROL[[#This Row],[VEHIDCODE]],GRAPHICS_PROPERTIES[VEHIDCODE],GRAPHICS_PROPERTIES[TEMPLATE_ID]&amp;GRAPHICS_PROPERTIES[TEMPLATE_AMENDMENT_CODE])</f>
        <v>TPL_01A</v>
      </c>
    </row>
    <row r="852" spans="1:18" x14ac:dyDescent="0.35">
      <c r="A852" t="s">
        <v>3316</v>
      </c>
      <c r="B852" s="21" t="str">
        <f>_xlfn.TEXTAFTER(CONTROL[[#This Row],[VEHIDCODE]],"_")</f>
        <v>Clyde_ASEA_CF48</v>
      </c>
      <c r="C852" t="str" cm="1">
        <f t="array" ref="C8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52" t="str" cm="1">
        <f t="array" ref="D8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5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6139</v>
      </c>
      <c r="F852" s="32" t="s">
        <v>2385</v>
      </c>
      <c r="G852" t="s">
        <v>1772</v>
      </c>
      <c r="H852" s="2" t="b">
        <f>AND(CONTROL[[#This Row],[IS_WAGON_OR_COACH]]=TRUE,OR(RIGHT(CONTROL[[#This Row],[VEHIDCODE]],7)="Powered",RIGHT(CONTROL[[#This Row],[VEHIDCODE]],9)="Unpowered"))</f>
        <v>0</v>
      </c>
      <c r="I8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2" t="b">
        <f>ISNUMBER(_xlfn.XMATCH(CONTROL[[#This Row],[VEHIDCODE]],TRACK_TYPES[VEHIDCODE],0))</f>
        <v>1</v>
      </c>
      <c r="K852" t="b">
        <f>ISNUMBER(_xlfn.XMATCH(CONTROL[[#This Row],[VEHIDCODE]],PROPERTIES[VEHIDCODE],0))</f>
        <v>1</v>
      </c>
      <c r="L852" t="b">
        <f>ISNUMBER(_xlfn.XLOOKUP(CONTROL[[#This Row],[VEHIDCODE]],roster!A:A,roster!D:D))</f>
        <v>1</v>
      </c>
      <c r="M852" t="b">
        <f>ISNUMBER(_xlfn.XMATCH(CONTROL[[#This Row],[VEHIDCODE]],GRAPHICS_PROPERTIES[VEHIDCODE],0))</f>
        <v>1</v>
      </c>
      <c r="N852" s="21" t="str">
        <f>"item_"&amp;CONTROL[[#This Row],[VEHIDCODE]]</f>
        <v>item_electric_Clyde_ASEA_CF48</v>
      </c>
      <c r="O852" s="21" t="str">
        <f>"str_"&amp;CONTROL[[#This Row],[VEHIDCODE]]</f>
        <v>str_electric_Clyde_ASEA_CF48</v>
      </c>
      <c r="P852" s="7" t="b">
        <f>_xlfn.XLOOKUP(CONTROL[[#This Row],[VEHIDCODE]],PROPERTIES[VEHIDCODE],PROPERTIES[IS_CONCEPT])="IS_CONCEPT"</f>
        <v>0</v>
      </c>
      <c r="Q852" s="7" t="b">
        <f>_xlfn.XLOOKUP(CONTROL[[#This Row],[VEHIDCODE]],PROPERTIES[VEHIDCODE],PROPERTIES[EXCLUDE])</f>
        <v>0</v>
      </c>
      <c r="R852" t="str" cm="1">
        <f t="array" ref="R852">_xlfn.XLOOKUP(CONTROL[[#This Row],[VEHIDCODE]],GRAPHICS_PROPERTIES[VEHIDCODE],GRAPHICS_PROPERTIES[TEMPLATE_ID]&amp;GRAPHICS_PROPERTIES[TEMPLATE_AMENDMENT_CODE])</f>
        <v>TPL_01A</v>
      </c>
    </row>
    <row r="853" spans="1:18" x14ac:dyDescent="0.35">
      <c r="A853" t="s">
        <v>3317</v>
      </c>
      <c r="B853" s="21" t="str">
        <f>_xlfn.TEXTAFTER(CONTROL[[#This Row],[VEHIDCODE]],"_")</f>
        <v>EMD_GT46CWM</v>
      </c>
      <c r="C853" t="str" cm="1">
        <f t="array" ref="C8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3" t="str" cm="1">
        <f t="array" ref="D8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5150</v>
      </c>
      <c r="F853" s="32" t="s">
        <v>2381</v>
      </c>
      <c r="G853" t="s">
        <v>1773</v>
      </c>
      <c r="H853" s="2" t="b">
        <f>AND(CONTROL[[#This Row],[IS_WAGON_OR_COACH]]=TRUE,OR(RIGHT(CONTROL[[#This Row],[VEHIDCODE]],7)="Powered",RIGHT(CONTROL[[#This Row],[VEHIDCODE]],9)="Unpowered"))</f>
        <v>0</v>
      </c>
      <c r="I8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3" t="b">
        <f>ISNUMBER(_xlfn.XMATCH(CONTROL[[#This Row],[VEHIDCODE]],TRACK_TYPES[VEHIDCODE],0))</f>
        <v>1</v>
      </c>
      <c r="K853" t="b">
        <f>ISNUMBER(_xlfn.XMATCH(CONTROL[[#This Row],[VEHIDCODE]],PROPERTIES[VEHIDCODE],0))</f>
        <v>1</v>
      </c>
      <c r="L853" t="b">
        <f>ISNUMBER(_xlfn.XLOOKUP(CONTROL[[#This Row],[VEHIDCODE]],roster!A:A,roster!D:D))</f>
        <v>1</v>
      </c>
      <c r="M853" t="b">
        <f>ISNUMBER(_xlfn.XMATCH(CONTROL[[#This Row],[VEHIDCODE]],GRAPHICS_PROPERTIES[VEHIDCODE],0))</f>
        <v>1</v>
      </c>
      <c r="N853" s="21" t="str">
        <f>"item_"&amp;CONTROL[[#This Row],[VEHIDCODE]]</f>
        <v>item_diesel_EMD_GT46CWM</v>
      </c>
      <c r="O853" s="21" t="str">
        <f>"str_"&amp;CONTROL[[#This Row],[VEHIDCODE]]</f>
        <v>str_diesel_EMD_GT46CWM</v>
      </c>
      <c r="P853" s="7" t="b">
        <f>_xlfn.XLOOKUP(CONTROL[[#This Row],[VEHIDCODE]],PROPERTIES[VEHIDCODE],PROPERTIES[IS_CONCEPT])="IS_CONCEPT"</f>
        <v>0</v>
      </c>
      <c r="Q853" s="7" t="b">
        <f>_xlfn.XLOOKUP(CONTROL[[#This Row],[VEHIDCODE]],PROPERTIES[VEHIDCODE],PROPERTIES[EXCLUDE])</f>
        <v>0</v>
      </c>
      <c r="R853" t="str" cm="1">
        <f t="array" ref="R853">_xlfn.XLOOKUP(CONTROL[[#This Row],[VEHIDCODE]],GRAPHICS_PROPERTIES[VEHIDCODE],GRAPHICS_PROPERTIES[TEMPLATE_ID]&amp;GRAPHICS_PROPERTIES[TEMPLATE_AMENDMENT_CODE])</f>
        <v>TPL_01A</v>
      </c>
    </row>
    <row r="854" spans="1:18" x14ac:dyDescent="0.35">
      <c r="A854" t="s">
        <v>3318</v>
      </c>
      <c r="B854" s="21" t="str">
        <f>_xlfn.TEXTAFTER(CONTROL[[#This Row],[VEHIDCODE]],"_")</f>
        <v>Clyde_EMD_GT46CW_NR_Concept</v>
      </c>
      <c r="C854" t="str" cm="1">
        <f t="array" ref="C8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4" t="str" cm="1">
        <f t="array" ref="D8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5151</v>
      </c>
      <c r="F854" s="32" t="s">
        <v>2475</v>
      </c>
      <c r="G854" t="s">
        <v>523</v>
      </c>
      <c r="H854" s="2" t="b">
        <f>AND(CONTROL[[#This Row],[IS_WAGON_OR_COACH]]=TRUE,OR(RIGHT(CONTROL[[#This Row],[VEHIDCODE]],7)="Powered",RIGHT(CONTROL[[#This Row],[VEHIDCODE]],9)="Unpowered"))</f>
        <v>0</v>
      </c>
      <c r="I8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4" t="b">
        <f>ISNUMBER(_xlfn.XMATCH(CONTROL[[#This Row],[VEHIDCODE]],TRACK_TYPES[VEHIDCODE],0))</f>
        <v>1</v>
      </c>
      <c r="K854" t="b">
        <f>ISNUMBER(_xlfn.XMATCH(CONTROL[[#This Row],[VEHIDCODE]],PROPERTIES[VEHIDCODE],0))</f>
        <v>1</v>
      </c>
      <c r="L854" t="b">
        <f>ISNUMBER(_xlfn.XLOOKUP(CONTROL[[#This Row],[VEHIDCODE]],roster!A:A,roster!D:D))</f>
        <v>1</v>
      </c>
      <c r="M854" t="b">
        <f>ISNUMBER(_xlfn.XMATCH(CONTROL[[#This Row],[VEHIDCODE]],GRAPHICS_PROPERTIES[VEHIDCODE],0))</f>
        <v>1</v>
      </c>
      <c r="N854" s="21" t="str">
        <f>"item_"&amp;CONTROL[[#This Row],[VEHIDCODE]]</f>
        <v>item_diesel_Clyde_EMD_GT46CW_NR_Concept</v>
      </c>
      <c r="O854" s="21" t="str">
        <f>"str_"&amp;CONTROL[[#This Row],[VEHIDCODE]]</f>
        <v>str_diesel_Clyde_EMD_GT46CW_NR_Concept</v>
      </c>
      <c r="P854" s="7" t="b">
        <f>_xlfn.XLOOKUP(CONTROL[[#This Row],[VEHIDCODE]],PROPERTIES[VEHIDCODE],PROPERTIES[IS_CONCEPT])="IS_CONCEPT"</f>
        <v>1</v>
      </c>
      <c r="Q854" s="7" t="b">
        <f>_xlfn.XLOOKUP(CONTROL[[#This Row],[VEHIDCODE]],PROPERTIES[VEHIDCODE],PROPERTIES[EXCLUDE])</f>
        <v>0</v>
      </c>
      <c r="R854" t="str" cm="1">
        <f t="array" ref="R854">_xlfn.XLOOKUP(CONTROL[[#This Row],[VEHIDCODE]],GRAPHICS_PROPERTIES[VEHIDCODE],GRAPHICS_PROPERTIES[TEMPLATE_ID]&amp;GRAPHICS_PROPERTIES[TEMPLATE_AMENDMENT_CODE])</f>
        <v>TPL_01A</v>
      </c>
    </row>
    <row r="855" spans="1:18" x14ac:dyDescent="0.35">
      <c r="A855" t="s">
        <v>3319</v>
      </c>
      <c r="B855" s="21" t="str">
        <f>_xlfn.TEXTAFTER(CONTROL[[#This Row],[VEHIDCODE]],"_")</f>
        <v>Clyde_JE28C_PTC_73_Class_Concept</v>
      </c>
      <c r="C855" t="str" cm="1">
        <f t="array" ref="C8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5" t="str" cm="1">
        <f t="array" ref="D8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5152</v>
      </c>
      <c r="F855" s="32" t="s">
        <v>2474</v>
      </c>
      <c r="G855" t="s">
        <v>523</v>
      </c>
      <c r="H855" s="2" t="b">
        <f>AND(CONTROL[[#This Row],[IS_WAGON_OR_COACH]]=TRUE,OR(RIGHT(CONTROL[[#This Row],[VEHIDCODE]],7)="Powered",RIGHT(CONTROL[[#This Row],[VEHIDCODE]],9)="Unpowered"))</f>
        <v>0</v>
      </c>
      <c r="I8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5" t="b">
        <f>ISNUMBER(_xlfn.XMATCH(CONTROL[[#This Row],[VEHIDCODE]],TRACK_TYPES[VEHIDCODE],0))</f>
        <v>1</v>
      </c>
      <c r="K855" t="b">
        <f>ISNUMBER(_xlfn.XMATCH(CONTROL[[#This Row],[VEHIDCODE]],PROPERTIES[VEHIDCODE],0))</f>
        <v>1</v>
      </c>
      <c r="L855" t="b">
        <f>ISNUMBER(_xlfn.XLOOKUP(CONTROL[[#This Row],[VEHIDCODE]],roster!A:A,roster!D:D))</f>
        <v>1</v>
      </c>
      <c r="M855" t="b">
        <f>ISNUMBER(_xlfn.XMATCH(CONTROL[[#This Row],[VEHIDCODE]],GRAPHICS_PROPERTIES[VEHIDCODE],0))</f>
        <v>1</v>
      </c>
      <c r="N855" s="21" t="str">
        <f>"item_"&amp;CONTROL[[#This Row],[VEHIDCODE]]</f>
        <v>item_diesel_Clyde_JE28C_PTC_73_Class_Concept</v>
      </c>
      <c r="O855" s="21" t="str">
        <f>"str_"&amp;CONTROL[[#This Row],[VEHIDCODE]]</f>
        <v>str_diesel_Clyde_JE28C_PTC_73_Class_Concept</v>
      </c>
      <c r="P855" s="7" t="b">
        <f>_xlfn.XLOOKUP(CONTROL[[#This Row],[VEHIDCODE]],PROPERTIES[VEHIDCODE],PROPERTIES[IS_CONCEPT])="IS_CONCEPT"</f>
        <v>1</v>
      </c>
      <c r="Q855" s="7" t="b">
        <f>_xlfn.XLOOKUP(CONTROL[[#This Row],[VEHIDCODE]],PROPERTIES[VEHIDCODE],PROPERTIES[EXCLUDE])</f>
        <v>0</v>
      </c>
      <c r="R855" t="str" cm="1">
        <f t="array" ref="R855">_xlfn.XLOOKUP(CONTROL[[#This Row],[VEHIDCODE]],GRAPHICS_PROPERTIES[VEHIDCODE],GRAPHICS_PROPERTIES[TEMPLATE_ID]&amp;GRAPHICS_PROPERTIES[TEMPLATE_AMENDMENT_CODE])</f>
        <v>TPL_01A</v>
      </c>
    </row>
    <row r="856" spans="1:18" x14ac:dyDescent="0.35">
      <c r="A856" t="s">
        <v>3320</v>
      </c>
      <c r="B856" s="21" t="str">
        <f>_xlfn.TEXTAFTER(CONTROL[[#This Row],[VEHIDCODE]],"_")</f>
        <v>EMD_Clyde_JT22HC_2</v>
      </c>
      <c r="C856" t="str" cm="1">
        <f t="array" ref="C8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6" t="str" cm="1">
        <f t="array" ref="D8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5153</v>
      </c>
      <c r="F856" s="32" t="s">
        <v>2476</v>
      </c>
      <c r="G856" t="s">
        <v>1774</v>
      </c>
      <c r="H856" s="2" t="b">
        <f>AND(CONTROL[[#This Row],[IS_WAGON_OR_COACH]]=TRUE,OR(RIGHT(CONTROL[[#This Row],[VEHIDCODE]],7)="Powered",RIGHT(CONTROL[[#This Row],[VEHIDCODE]],9)="Unpowered"))</f>
        <v>0</v>
      </c>
      <c r="I8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6" t="b">
        <f>ISNUMBER(_xlfn.XMATCH(CONTROL[[#This Row],[VEHIDCODE]],TRACK_TYPES[VEHIDCODE],0))</f>
        <v>1</v>
      </c>
      <c r="K856" t="b">
        <f>ISNUMBER(_xlfn.XMATCH(CONTROL[[#This Row],[VEHIDCODE]],PROPERTIES[VEHIDCODE],0))</f>
        <v>1</v>
      </c>
      <c r="L856" t="b">
        <f>ISNUMBER(_xlfn.XLOOKUP(CONTROL[[#This Row],[VEHIDCODE]],roster!A:A,roster!D:D))</f>
        <v>1</v>
      </c>
      <c r="M856" t="b">
        <f>ISNUMBER(_xlfn.XMATCH(CONTROL[[#This Row],[VEHIDCODE]],GRAPHICS_PROPERTIES[VEHIDCODE],0))</f>
        <v>1</v>
      </c>
      <c r="N856" s="21" t="str">
        <f>"item_"&amp;CONTROL[[#This Row],[VEHIDCODE]]</f>
        <v>item_diesel_EMD_Clyde_JT22HC_2</v>
      </c>
      <c r="O856" s="21" t="str">
        <f>"str_"&amp;CONTROL[[#This Row],[VEHIDCODE]]</f>
        <v>str_diesel_EMD_Clyde_JT22HC_2</v>
      </c>
      <c r="P856" s="7" t="b">
        <f>_xlfn.XLOOKUP(CONTROL[[#This Row],[VEHIDCODE]],PROPERTIES[VEHIDCODE],PROPERTIES[IS_CONCEPT])="IS_CONCEPT"</f>
        <v>0</v>
      </c>
      <c r="Q856" s="7" t="b">
        <f>_xlfn.XLOOKUP(CONTROL[[#This Row],[VEHIDCODE]],PROPERTIES[VEHIDCODE],PROPERTIES[EXCLUDE])</f>
        <v>0</v>
      </c>
      <c r="R856" t="str" cm="1">
        <f t="array" ref="R856">_xlfn.XLOOKUP(CONTROL[[#This Row],[VEHIDCODE]],GRAPHICS_PROPERTIES[VEHIDCODE],GRAPHICS_PROPERTIES[TEMPLATE_ID]&amp;GRAPHICS_PROPERTIES[TEMPLATE_AMENDMENT_CODE])</f>
        <v>TPL_01A</v>
      </c>
    </row>
    <row r="857" spans="1:18" x14ac:dyDescent="0.35">
      <c r="A857" t="s">
        <v>3452</v>
      </c>
      <c r="B857" s="21" t="str">
        <f>_xlfn.TEXTAFTER(CONTROL[[#This Row],[VEHIDCODE]],"_")</f>
        <v>EMD_Clyde_JT26C_2SS_NSW_81</v>
      </c>
      <c r="C857" t="str" cm="1">
        <f t="array" ref="C8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7" t="str" cm="1">
        <f t="array" ref="D8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5154</v>
      </c>
      <c r="F857" s="32" t="s">
        <v>3465</v>
      </c>
      <c r="G857" s="34" t="s">
        <v>1775</v>
      </c>
      <c r="H857" s="2" t="b">
        <f>AND(CONTROL[[#This Row],[IS_WAGON_OR_COACH]]=TRUE,OR(RIGHT(CONTROL[[#This Row],[VEHIDCODE]],7)="Powered",RIGHT(CONTROL[[#This Row],[VEHIDCODE]],9)="Unpowered"))</f>
        <v>0</v>
      </c>
      <c r="I8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7" t="b">
        <f>ISNUMBER(_xlfn.XMATCH(CONTROL[[#This Row],[VEHIDCODE]],TRACK_TYPES[VEHIDCODE],0))</f>
        <v>1</v>
      </c>
      <c r="K857" t="b">
        <f>ISNUMBER(_xlfn.XMATCH(CONTROL[[#This Row],[VEHIDCODE]],PROPERTIES[VEHIDCODE],0))</f>
        <v>1</v>
      </c>
      <c r="L857" t="b">
        <f>ISNUMBER(_xlfn.XLOOKUP(CONTROL[[#This Row],[VEHIDCODE]],roster!A:A,roster!D:D))</f>
        <v>1</v>
      </c>
      <c r="M857" t="b">
        <f>ISNUMBER(_xlfn.XMATCH(CONTROL[[#This Row],[VEHIDCODE]],GRAPHICS_PROPERTIES[VEHIDCODE],0))</f>
        <v>1</v>
      </c>
      <c r="N857" s="21" t="str">
        <f>"item_"&amp;CONTROL[[#This Row],[VEHIDCODE]]</f>
        <v>item_diesel_EMD_Clyde_JT26C_2SS_NSW_81</v>
      </c>
      <c r="O857" s="21" t="str">
        <f>"str_"&amp;CONTROL[[#This Row],[VEHIDCODE]]</f>
        <v>str_diesel_EMD_Clyde_JT26C_2SS_NSW_81</v>
      </c>
      <c r="P857" s="7" t="b">
        <f>_xlfn.XLOOKUP(CONTROL[[#This Row],[VEHIDCODE]],PROPERTIES[VEHIDCODE],PROPERTIES[IS_CONCEPT])="IS_CONCEPT"</f>
        <v>0</v>
      </c>
      <c r="Q857" s="7" t="b">
        <f>_xlfn.XLOOKUP(CONTROL[[#This Row],[VEHIDCODE]],PROPERTIES[VEHIDCODE],PROPERTIES[EXCLUDE])</f>
        <v>1</v>
      </c>
      <c r="R857" t="str" cm="1">
        <f t="array" ref="R857">_xlfn.XLOOKUP(CONTROL[[#This Row],[VEHIDCODE]],GRAPHICS_PROPERTIES[VEHIDCODE],GRAPHICS_PROPERTIES[TEMPLATE_ID]&amp;GRAPHICS_PROPERTIES[TEMPLATE_AMENDMENT_CODE])</f>
        <v>TPL_01A</v>
      </c>
    </row>
    <row r="858" spans="1:18" x14ac:dyDescent="0.35">
      <c r="A858" t="s">
        <v>3453</v>
      </c>
      <c r="B858" s="21" t="str">
        <f>_xlfn.TEXTAFTER(CONTROL[[#This Row],[VEHIDCODE]],"_")</f>
        <v>EMD_Clyde_JT26C_2SS_V_line_G</v>
      </c>
      <c r="C858" t="str" cm="1">
        <f t="array" ref="C8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8" t="str" cm="1">
        <f t="array" ref="D8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5155</v>
      </c>
      <c r="F858" s="32" t="s">
        <v>3466</v>
      </c>
      <c r="G858" t="s">
        <v>1286</v>
      </c>
      <c r="H858" s="2" t="b">
        <f>AND(CONTROL[[#This Row],[IS_WAGON_OR_COACH]]=TRUE,OR(RIGHT(CONTROL[[#This Row],[VEHIDCODE]],7)="Powered",RIGHT(CONTROL[[#This Row],[VEHIDCODE]],9)="Unpowered"))</f>
        <v>0</v>
      </c>
      <c r="I8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8" t="b">
        <f>ISNUMBER(_xlfn.XMATCH(CONTROL[[#This Row],[VEHIDCODE]],TRACK_TYPES[VEHIDCODE],0))</f>
        <v>1</v>
      </c>
      <c r="K858" t="b">
        <f>ISNUMBER(_xlfn.XMATCH(CONTROL[[#This Row],[VEHIDCODE]],PROPERTIES[VEHIDCODE],0))</f>
        <v>1</v>
      </c>
      <c r="L858" t="b">
        <f>ISNUMBER(_xlfn.XLOOKUP(CONTROL[[#This Row],[VEHIDCODE]],roster!A:A,roster!D:D))</f>
        <v>1</v>
      </c>
      <c r="M858" t="b">
        <f>ISNUMBER(_xlfn.XMATCH(CONTROL[[#This Row],[VEHIDCODE]],GRAPHICS_PROPERTIES[VEHIDCODE],0))</f>
        <v>1</v>
      </c>
      <c r="N858" s="21" t="str">
        <f>"item_"&amp;CONTROL[[#This Row],[VEHIDCODE]]</f>
        <v>item_diesel_EMD_Clyde_JT26C_2SS_V_line_G</v>
      </c>
      <c r="O858" s="21" t="str">
        <f>"str_"&amp;CONTROL[[#This Row],[VEHIDCODE]]</f>
        <v>str_diesel_EMD_Clyde_JT26C_2SS_V_line_G</v>
      </c>
      <c r="P858" s="7" t="b">
        <f>_xlfn.XLOOKUP(CONTROL[[#This Row],[VEHIDCODE]],PROPERTIES[VEHIDCODE],PROPERTIES[IS_CONCEPT])="IS_CONCEPT"</f>
        <v>0</v>
      </c>
      <c r="Q858" s="7" t="b">
        <f>_xlfn.XLOOKUP(CONTROL[[#This Row],[VEHIDCODE]],PROPERTIES[VEHIDCODE],PROPERTIES[EXCLUDE])</f>
        <v>0</v>
      </c>
      <c r="R858" t="str" cm="1">
        <f t="array" ref="R858">_xlfn.XLOOKUP(CONTROL[[#This Row],[VEHIDCODE]],GRAPHICS_PROPERTIES[VEHIDCODE],GRAPHICS_PROPERTIES[TEMPLATE_ID]&amp;GRAPHICS_PROPERTIES[TEMPLATE_AMENDMENT_CODE])</f>
        <v>TPL_01A</v>
      </c>
    </row>
    <row r="859" spans="1:18" x14ac:dyDescent="0.35">
      <c r="A859" t="s">
        <v>3476</v>
      </c>
      <c r="B859" s="21" t="str">
        <f>_xlfn.TEXTAFTER(CONTROL[[#This Row],[VEHIDCODE]],"_")</f>
        <v>EMD_Clyde_JT42C_NSW82</v>
      </c>
      <c r="C859" t="str" cm="1">
        <f t="array" ref="C8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9" t="str" cm="1">
        <f t="array" ref="D8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5156</v>
      </c>
      <c r="F859" s="32" t="s">
        <v>2477</v>
      </c>
      <c r="G859" s="34" t="s">
        <v>1776</v>
      </c>
      <c r="H859" s="2" t="b">
        <f>AND(CONTROL[[#This Row],[IS_WAGON_OR_COACH]]=TRUE,OR(RIGHT(CONTROL[[#This Row],[VEHIDCODE]],7)="Powered",RIGHT(CONTROL[[#This Row],[VEHIDCODE]],9)="Unpowered"))</f>
        <v>0</v>
      </c>
      <c r="I8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9" t="b">
        <f>ISNUMBER(_xlfn.XMATCH(CONTROL[[#This Row],[VEHIDCODE]],TRACK_TYPES[VEHIDCODE],0))</f>
        <v>1</v>
      </c>
      <c r="K859" t="b">
        <f>ISNUMBER(_xlfn.XMATCH(CONTROL[[#This Row],[VEHIDCODE]],PROPERTIES[VEHIDCODE],0))</f>
        <v>1</v>
      </c>
      <c r="L859" t="b">
        <f>ISNUMBER(_xlfn.XLOOKUP(CONTROL[[#This Row],[VEHIDCODE]],roster!A:A,roster!D:D))</f>
        <v>1</v>
      </c>
      <c r="M859" t="b">
        <f>ISNUMBER(_xlfn.XMATCH(CONTROL[[#This Row],[VEHIDCODE]],GRAPHICS_PROPERTIES[VEHIDCODE],0))</f>
        <v>1</v>
      </c>
      <c r="N859" s="21" t="str">
        <f>"item_"&amp;CONTROL[[#This Row],[VEHIDCODE]]</f>
        <v>item_diesel_EMD_Clyde_JT42C_NSW82</v>
      </c>
      <c r="O859" s="21" t="str">
        <f>"str_"&amp;CONTROL[[#This Row],[VEHIDCODE]]</f>
        <v>str_diesel_EMD_Clyde_JT42C_NSW82</v>
      </c>
      <c r="P859" s="7" t="b">
        <f>_xlfn.XLOOKUP(CONTROL[[#This Row],[VEHIDCODE]],PROPERTIES[VEHIDCODE],PROPERTIES[IS_CONCEPT])="IS_CONCEPT"</f>
        <v>0</v>
      </c>
      <c r="Q859" s="7" t="b">
        <f>_xlfn.XLOOKUP(CONTROL[[#This Row],[VEHIDCODE]],PROPERTIES[VEHIDCODE],PROPERTIES[EXCLUDE])</f>
        <v>0</v>
      </c>
      <c r="R859" t="str" cm="1">
        <f t="array" ref="R859">_xlfn.XLOOKUP(CONTROL[[#This Row],[VEHIDCODE]],GRAPHICS_PROPERTIES[VEHIDCODE],GRAPHICS_PROPERTIES[TEMPLATE_ID]&amp;GRAPHICS_PROPERTIES[TEMPLATE_AMENDMENT_CODE])</f>
        <v>TPL_01A</v>
      </c>
    </row>
    <row r="860" spans="1:18" x14ac:dyDescent="0.35">
      <c r="A860" t="s">
        <v>3458</v>
      </c>
      <c r="B860" s="21" t="str">
        <f>_xlfn.TEXTAFTER(CONTROL[[#This Row],[VEHIDCODE]],"_")</f>
        <v>EMD_JT42C_90_1277</v>
      </c>
      <c r="C860" t="str" cm="1">
        <f t="array" ref="C8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0" t="str" cm="1">
        <f t="array" ref="D8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5157</v>
      </c>
      <c r="F860" s="32" t="s">
        <v>3467</v>
      </c>
      <c r="G860" t="s">
        <v>1777</v>
      </c>
      <c r="H860" s="2" t="b">
        <f>AND(CONTROL[[#This Row],[IS_WAGON_OR_COACH]]=TRUE,OR(RIGHT(CONTROL[[#This Row],[VEHIDCODE]],7)="Powered",RIGHT(CONTROL[[#This Row],[VEHIDCODE]],9)="Unpowered"))</f>
        <v>0</v>
      </c>
      <c r="I8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0" t="b">
        <f>ISNUMBER(_xlfn.XMATCH(CONTROL[[#This Row],[VEHIDCODE]],TRACK_TYPES[VEHIDCODE],0))</f>
        <v>1</v>
      </c>
      <c r="K860" t="b">
        <f>ISNUMBER(_xlfn.XMATCH(CONTROL[[#This Row],[VEHIDCODE]],PROPERTIES[VEHIDCODE],0))</f>
        <v>1</v>
      </c>
      <c r="L860" t="b">
        <f>ISNUMBER(_xlfn.XLOOKUP(CONTROL[[#This Row],[VEHIDCODE]],roster!A:A,roster!D:D))</f>
        <v>1</v>
      </c>
      <c r="M860" t="b">
        <f>ISNUMBER(_xlfn.XMATCH(CONTROL[[#This Row],[VEHIDCODE]],GRAPHICS_PROPERTIES[VEHIDCODE],0))</f>
        <v>1</v>
      </c>
      <c r="N860" s="21" t="str">
        <f>"item_"&amp;CONTROL[[#This Row],[VEHIDCODE]]</f>
        <v>item_diesel_EMD_JT42C_90_1277</v>
      </c>
      <c r="O860" s="21" t="str">
        <f>"str_"&amp;CONTROL[[#This Row],[VEHIDCODE]]</f>
        <v>str_diesel_EMD_JT42C_90_1277</v>
      </c>
      <c r="P860" s="7" t="b">
        <f>_xlfn.XLOOKUP(CONTROL[[#This Row],[VEHIDCODE]],PROPERTIES[VEHIDCODE],PROPERTIES[IS_CONCEPT])="IS_CONCEPT"</f>
        <v>0</v>
      </c>
      <c r="Q860" s="7" t="b">
        <f>_xlfn.XLOOKUP(CONTROL[[#This Row],[VEHIDCODE]],PROPERTIES[VEHIDCODE],PROPERTIES[EXCLUDE])</f>
        <v>0</v>
      </c>
      <c r="R860" t="str" cm="1">
        <f t="array" ref="R860">_xlfn.XLOOKUP(CONTROL[[#This Row],[VEHIDCODE]],GRAPHICS_PROPERTIES[VEHIDCODE],GRAPHICS_PROPERTIES[TEMPLATE_ID]&amp;GRAPHICS_PROPERTIES[TEMPLATE_AMENDMENT_CODE])</f>
        <v>TPL_01A</v>
      </c>
    </row>
    <row r="861" spans="1:18" x14ac:dyDescent="0.35">
      <c r="A861" t="s">
        <v>3321</v>
      </c>
      <c r="B861" s="21" t="str">
        <f>_xlfn.TEXTAFTER(CONTROL[[#This Row],[VEHIDCODE]],"_")</f>
        <v>EMD_Clyde_JT42C</v>
      </c>
      <c r="C861" t="str" cm="1">
        <f t="array" ref="C8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1" t="str" cm="1">
        <f t="array" ref="D8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5158</v>
      </c>
      <c r="F861" s="32" t="s">
        <v>2477</v>
      </c>
      <c r="G861" t="s">
        <v>1778</v>
      </c>
      <c r="H861" s="2" t="b">
        <f>AND(CONTROL[[#This Row],[IS_WAGON_OR_COACH]]=TRUE,OR(RIGHT(CONTROL[[#This Row],[VEHIDCODE]],7)="Powered",RIGHT(CONTROL[[#This Row],[VEHIDCODE]],9)="Unpowered"))</f>
        <v>0</v>
      </c>
      <c r="I8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1" t="b">
        <f>ISNUMBER(_xlfn.XMATCH(CONTROL[[#This Row],[VEHIDCODE]],TRACK_TYPES[VEHIDCODE],0))</f>
        <v>1</v>
      </c>
      <c r="K861" t="b">
        <f>ISNUMBER(_xlfn.XMATCH(CONTROL[[#This Row],[VEHIDCODE]],PROPERTIES[VEHIDCODE],0))</f>
        <v>1</v>
      </c>
      <c r="L861" t="b">
        <f>ISNUMBER(_xlfn.XLOOKUP(CONTROL[[#This Row],[VEHIDCODE]],roster!A:A,roster!D:D))</f>
        <v>1</v>
      </c>
      <c r="M861" t="b">
        <f>ISNUMBER(_xlfn.XMATCH(CONTROL[[#This Row],[VEHIDCODE]],GRAPHICS_PROPERTIES[VEHIDCODE],0))</f>
        <v>1</v>
      </c>
      <c r="N861" s="21" t="str">
        <f>"item_"&amp;CONTROL[[#This Row],[VEHIDCODE]]</f>
        <v>item_diesel_EMD_Clyde_JT42C</v>
      </c>
      <c r="O861" s="21" t="str">
        <f>"str_"&amp;CONTROL[[#This Row],[VEHIDCODE]]</f>
        <v>str_diesel_EMD_Clyde_JT42C</v>
      </c>
      <c r="P861" s="7" t="b">
        <f>_xlfn.XLOOKUP(CONTROL[[#This Row],[VEHIDCODE]],PROPERTIES[VEHIDCODE],PROPERTIES[IS_CONCEPT])="IS_CONCEPT"</f>
        <v>0</v>
      </c>
      <c r="Q861" s="7" t="b">
        <f>_xlfn.XLOOKUP(CONTROL[[#This Row],[VEHIDCODE]],PROPERTIES[VEHIDCODE],PROPERTIES[EXCLUDE])</f>
        <v>1</v>
      </c>
      <c r="R861" t="str" cm="1">
        <f t="array" ref="R861">_xlfn.XLOOKUP(CONTROL[[#This Row],[VEHIDCODE]],GRAPHICS_PROPERTIES[VEHIDCODE],GRAPHICS_PROPERTIES[TEMPLATE_ID]&amp;GRAPHICS_PROPERTIES[TEMPLATE_AMENDMENT_CODE])</f>
        <v>TPL_01A</v>
      </c>
    </row>
    <row r="862" spans="1:18" x14ac:dyDescent="0.35">
      <c r="A862" t="s">
        <v>3459</v>
      </c>
      <c r="B862" s="21" t="str">
        <f>_xlfn.TEXTAFTER(CONTROL[[#This Row],[VEHIDCODE]],"_")</f>
        <v>EMD_Clyde_ML2</v>
      </c>
      <c r="C862" t="str" cm="1">
        <f t="array" ref="C8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2" t="str" cm="1">
        <f t="array" ref="D8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5159</v>
      </c>
      <c r="F862" s="32" t="s">
        <v>3468</v>
      </c>
      <c r="G862" t="s">
        <v>1779</v>
      </c>
      <c r="H862" s="2" t="b">
        <f>AND(CONTROL[[#This Row],[IS_WAGON_OR_COACH]]=TRUE,OR(RIGHT(CONTROL[[#This Row],[VEHIDCODE]],7)="Powered",RIGHT(CONTROL[[#This Row],[VEHIDCODE]],9)="Unpowered"))</f>
        <v>0</v>
      </c>
      <c r="I8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2" t="b">
        <f>ISNUMBER(_xlfn.XMATCH(CONTROL[[#This Row],[VEHIDCODE]],TRACK_TYPES[VEHIDCODE],0))</f>
        <v>1</v>
      </c>
      <c r="K862" t="b">
        <f>ISNUMBER(_xlfn.XMATCH(CONTROL[[#This Row],[VEHIDCODE]],PROPERTIES[VEHIDCODE],0))</f>
        <v>1</v>
      </c>
      <c r="L862" t="b">
        <f>ISNUMBER(_xlfn.XLOOKUP(CONTROL[[#This Row],[VEHIDCODE]],roster!A:A,roster!D:D))</f>
        <v>1</v>
      </c>
      <c r="M862" t="b">
        <f>ISNUMBER(_xlfn.XMATCH(CONTROL[[#This Row],[VEHIDCODE]],GRAPHICS_PROPERTIES[VEHIDCODE],0))</f>
        <v>1</v>
      </c>
      <c r="N862" s="21" t="str">
        <f>"item_"&amp;CONTROL[[#This Row],[VEHIDCODE]]</f>
        <v>item_diesel_EMD_Clyde_ML2</v>
      </c>
      <c r="O862" s="21" t="str">
        <f>"str_"&amp;CONTROL[[#This Row],[VEHIDCODE]]</f>
        <v>str_diesel_EMD_Clyde_ML2</v>
      </c>
      <c r="P862" s="7" t="b">
        <f>_xlfn.XLOOKUP(CONTROL[[#This Row],[VEHIDCODE]],PROPERTIES[VEHIDCODE],PROPERTIES[IS_CONCEPT])="IS_CONCEPT"</f>
        <v>0</v>
      </c>
      <c r="Q862" s="7" t="b">
        <f>_xlfn.XLOOKUP(CONTROL[[#This Row],[VEHIDCODE]],PROPERTIES[VEHIDCODE],PROPERTIES[EXCLUDE])</f>
        <v>0</v>
      </c>
      <c r="R862" t="str" cm="1">
        <f t="array" ref="R862">_xlfn.XLOOKUP(CONTROL[[#This Row],[VEHIDCODE]],GRAPHICS_PROPERTIES[VEHIDCODE],GRAPHICS_PROPERTIES[TEMPLATE_ID]&amp;GRAPHICS_PROPERTIES[TEMPLATE_AMENDMENT_CODE])</f>
        <v>TPL_01A</v>
      </c>
    </row>
    <row r="863" spans="1:18" x14ac:dyDescent="0.35">
      <c r="A863" t="s">
        <v>3322</v>
      </c>
      <c r="B863" s="21" t="str">
        <f>_xlfn.TEXTAFTER(CONTROL[[#This Row],[VEHIDCODE]],"_")</f>
        <v>EMD_Clyde_G16C_X1</v>
      </c>
      <c r="C863" t="str" cm="1">
        <f t="array" ref="C8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3" t="str" cm="1">
        <f t="array" ref="D8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5160</v>
      </c>
      <c r="F863" s="32" t="s">
        <v>2478</v>
      </c>
      <c r="G863" t="s">
        <v>1780</v>
      </c>
      <c r="H863" s="2" t="b">
        <f>AND(CONTROL[[#This Row],[IS_WAGON_OR_COACH]]=TRUE,OR(RIGHT(CONTROL[[#This Row],[VEHIDCODE]],7)="Powered",RIGHT(CONTROL[[#This Row],[VEHIDCODE]],9)="Unpowered"))</f>
        <v>0</v>
      </c>
      <c r="I8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3" t="b">
        <f>ISNUMBER(_xlfn.XMATCH(CONTROL[[#This Row],[VEHIDCODE]],TRACK_TYPES[VEHIDCODE],0))</f>
        <v>1</v>
      </c>
      <c r="K863" t="b">
        <f>ISNUMBER(_xlfn.XMATCH(CONTROL[[#This Row],[VEHIDCODE]],PROPERTIES[VEHIDCODE],0))</f>
        <v>1</v>
      </c>
      <c r="L863" t="b">
        <f>ISNUMBER(_xlfn.XLOOKUP(CONTROL[[#This Row],[VEHIDCODE]],roster!A:A,roster!D:D))</f>
        <v>1</v>
      </c>
      <c r="M863" t="b">
        <f>ISNUMBER(_xlfn.XMATCH(CONTROL[[#This Row],[VEHIDCODE]],GRAPHICS_PROPERTIES[VEHIDCODE],0))</f>
        <v>1</v>
      </c>
      <c r="N863" s="21" t="str">
        <f>"item_"&amp;CONTROL[[#This Row],[VEHIDCODE]]</f>
        <v>item_diesel_EMD_Clyde_G16C_X1</v>
      </c>
      <c r="O863" s="21" t="str">
        <f>"str_"&amp;CONTROL[[#This Row],[VEHIDCODE]]</f>
        <v>str_diesel_EMD_Clyde_G16C_X1</v>
      </c>
      <c r="P863" s="7" t="b">
        <f>_xlfn.XLOOKUP(CONTROL[[#This Row],[VEHIDCODE]],PROPERTIES[VEHIDCODE],PROPERTIES[IS_CONCEPT])="IS_CONCEPT"</f>
        <v>0</v>
      </c>
      <c r="Q863" s="7" t="b">
        <f>_xlfn.XLOOKUP(CONTROL[[#This Row],[VEHIDCODE]],PROPERTIES[VEHIDCODE],PROPERTIES[EXCLUDE])</f>
        <v>0</v>
      </c>
      <c r="R863" t="str" cm="1">
        <f t="array" ref="R863">_xlfn.XLOOKUP(CONTROL[[#This Row],[VEHIDCODE]],GRAPHICS_PROPERTIES[VEHIDCODE],GRAPHICS_PROPERTIES[TEMPLATE_ID]&amp;GRAPHICS_PROPERTIES[TEMPLATE_AMENDMENT_CODE])</f>
        <v>TPL_01A</v>
      </c>
    </row>
    <row r="864" spans="1:18" x14ac:dyDescent="0.35">
      <c r="A864" t="s">
        <v>3323</v>
      </c>
      <c r="B864" s="21" t="str">
        <f>_xlfn.TEXTAFTER(CONTROL[[#This Row],[VEHIDCODE]],"_")</f>
        <v>EMD_Clyde_G26C_X2</v>
      </c>
      <c r="C864" t="str" cm="1">
        <f t="array" ref="C8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4" t="str" cm="1">
        <f t="array" ref="D8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5161</v>
      </c>
      <c r="F864" s="32" t="s">
        <v>2479</v>
      </c>
      <c r="G864" t="s">
        <v>1780</v>
      </c>
      <c r="H864" s="2" t="b">
        <f>AND(CONTROL[[#This Row],[IS_WAGON_OR_COACH]]=TRUE,OR(RIGHT(CONTROL[[#This Row],[VEHIDCODE]],7)="Powered",RIGHT(CONTROL[[#This Row],[VEHIDCODE]],9)="Unpowered"))</f>
        <v>0</v>
      </c>
      <c r="I8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4" t="b">
        <f>ISNUMBER(_xlfn.XMATCH(CONTROL[[#This Row],[VEHIDCODE]],TRACK_TYPES[VEHIDCODE],0))</f>
        <v>1</v>
      </c>
      <c r="K864" t="b">
        <f>ISNUMBER(_xlfn.XMATCH(CONTROL[[#This Row],[VEHIDCODE]],PROPERTIES[VEHIDCODE],0))</f>
        <v>1</v>
      </c>
      <c r="L864" t="b">
        <f>ISNUMBER(_xlfn.XLOOKUP(CONTROL[[#This Row],[VEHIDCODE]],roster!A:A,roster!D:D))</f>
        <v>1</v>
      </c>
      <c r="M864" t="b">
        <f>ISNUMBER(_xlfn.XMATCH(CONTROL[[#This Row],[VEHIDCODE]],GRAPHICS_PROPERTIES[VEHIDCODE],0))</f>
        <v>1</v>
      </c>
      <c r="N864" s="21" t="str">
        <f>"item_"&amp;CONTROL[[#This Row],[VEHIDCODE]]</f>
        <v>item_diesel_EMD_Clyde_G26C_X2</v>
      </c>
      <c r="O864" s="21" t="str">
        <f>"str_"&amp;CONTROL[[#This Row],[VEHIDCODE]]</f>
        <v>str_diesel_EMD_Clyde_G26C_X2</v>
      </c>
      <c r="P864" s="7" t="b">
        <f>_xlfn.XLOOKUP(CONTROL[[#This Row],[VEHIDCODE]],PROPERTIES[VEHIDCODE],PROPERTIES[IS_CONCEPT])="IS_CONCEPT"</f>
        <v>0</v>
      </c>
      <c r="Q864" s="7" t="b">
        <f>_xlfn.XLOOKUP(CONTROL[[#This Row],[VEHIDCODE]],PROPERTIES[VEHIDCODE],PROPERTIES[EXCLUDE])</f>
        <v>1</v>
      </c>
      <c r="R864" t="str" cm="1">
        <f t="array" ref="R864">_xlfn.XLOOKUP(CONTROL[[#This Row],[VEHIDCODE]],GRAPHICS_PROPERTIES[VEHIDCODE],GRAPHICS_PROPERTIES[TEMPLATE_ID]&amp;GRAPHICS_PROPERTIES[TEMPLATE_AMENDMENT_CODE])</f>
        <v>TPL_01A</v>
      </c>
    </row>
    <row r="865" spans="1:18" x14ac:dyDescent="0.35">
      <c r="A865" t="s">
        <v>3324</v>
      </c>
      <c r="B865" s="21" t="str">
        <f>_xlfn.TEXTAFTER(CONTROL[[#This Row],[VEHIDCODE]],"_")</f>
        <v>EMD_Clyde_G26C_X3</v>
      </c>
      <c r="C865" t="str" cm="1">
        <f t="array" ref="C8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5" t="str" cm="1">
        <f t="array" ref="D8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5162</v>
      </c>
      <c r="F865" s="32" t="s">
        <v>2480</v>
      </c>
      <c r="G865" t="s">
        <v>1780</v>
      </c>
      <c r="H865" s="2" t="b">
        <f>AND(CONTROL[[#This Row],[IS_WAGON_OR_COACH]]=TRUE,OR(RIGHT(CONTROL[[#This Row],[VEHIDCODE]],7)="Powered",RIGHT(CONTROL[[#This Row],[VEHIDCODE]],9)="Unpowered"))</f>
        <v>0</v>
      </c>
      <c r="I8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5" t="b">
        <f>ISNUMBER(_xlfn.XMATCH(CONTROL[[#This Row],[VEHIDCODE]],TRACK_TYPES[VEHIDCODE],0))</f>
        <v>1</v>
      </c>
      <c r="K865" t="b">
        <f>ISNUMBER(_xlfn.XMATCH(CONTROL[[#This Row],[VEHIDCODE]],PROPERTIES[VEHIDCODE],0))</f>
        <v>1</v>
      </c>
      <c r="L865" t="b">
        <f>ISNUMBER(_xlfn.XLOOKUP(CONTROL[[#This Row],[VEHIDCODE]],roster!A:A,roster!D:D))</f>
        <v>1</v>
      </c>
      <c r="M865" t="b">
        <f>ISNUMBER(_xlfn.XMATCH(CONTROL[[#This Row],[VEHIDCODE]],GRAPHICS_PROPERTIES[VEHIDCODE],0))</f>
        <v>1</v>
      </c>
      <c r="N865" s="21" t="str">
        <f>"item_"&amp;CONTROL[[#This Row],[VEHIDCODE]]</f>
        <v>item_diesel_EMD_Clyde_G26C_X3</v>
      </c>
      <c r="O865" s="21" t="str">
        <f>"str_"&amp;CONTROL[[#This Row],[VEHIDCODE]]</f>
        <v>str_diesel_EMD_Clyde_G26C_X3</v>
      </c>
      <c r="P865" s="7" t="b">
        <f>_xlfn.XLOOKUP(CONTROL[[#This Row],[VEHIDCODE]],PROPERTIES[VEHIDCODE],PROPERTIES[IS_CONCEPT])="IS_CONCEPT"</f>
        <v>0</v>
      </c>
      <c r="Q865" s="7" t="b">
        <f>_xlfn.XLOOKUP(CONTROL[[#This Row],[VEHIDCODE]],PROPERTIES[VEHIDCODE],PROPERTIES[EXCLUDE])</f>
        <v>1</v>
      </c>
      <c r="R865" t="str" cm="1">
        <f t="array" ref="R865">_xlfn.XLOOKUP(CONTROL[[#This Row],[VEHIDCODE]],GRAPHICS_PROPERTIES[VEHIDCODE],GRAPHICS_PROPERTIES[TEMPLATE_ID]&amp;GRAPHICS_PROPERTIES[TEMPLATE_AMENDMENT_CODE])</f>
        <v>TPL_01A</v>
      </c>
    </row>
    <row r="866" spans="1:18" x14ac:dyDescent="0.35">
      <c r="A866" t="s">
        <v>3325</v>
      </c>
      <c r="B866" s="21" t="str">
        <f>_xlfn.TEXTAFTER(CONTROL[[#This Row],[VEHIDCODE]],"_")</f>
        <v>ALCO_Comeng_CE615A</v>
      </c>
      <c r="C866" t="str" cm="1">
        <f t="array" ref="C8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6" t="str" cm="1">
        <f t="array" ref="D8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5163</v>
      </c>
      <c r="F866" s="32" t="s">
        <v>2481</v>
      </c>
      <c r="G866" s="34" t="s">
        <v>1781</v>
      </c>
      <c r="H866" s="2" t="b">
        <f>AND(CONTROL[[#This Row],[IS_WAGON_OR_COACH]]=TRUE,OR(RIGHT(CONTROL[[#This Row],[VEHIDCODE]],7)="Powered",RIGHT(CONTROL[[#This Row],[VEHIDCODE]],9)="Unpowered"))</f>
        <v>0</v>
      </c>
      <c r="I8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6" t="b">
        <f>ISNUMBER(_xlfn.XMATCH(CONTROL[[#This Row],[VEHIDCODE]],TRACK_TYPES[VEHIDCODE],0))</f>
        <v>1</v>
      </c>
      <c r="K866" t="b">
        <f>ISNUMBER(_xlfn.XMATCH(CONTROL[[#This Row],[VEHIDCODE]],PROPERTIES[VEHIDCODE],0))</f>
        <v>1</v>
      </c>
      <c r="L866" t="b">
        <f>ISNUMBER(_xlfn.XLOOKUP(CONTROL[[#This Row],[VEHIDCODE]],roster!A:A,roster!D:D))</f>
        <v>1</v>
      </c>
      <c r="M866" t="b">
        <f>ISNUMBER(_xlfn.XMATCH(CONTROL[[#This Row],[VEHIDCODE]],GRAPHICS_PROPERTIES[VEHIDCODE],0))</f>
        <v>1</v>
      </c>
      <c r="N866" s="21" t="str">
        <f>"item_"&amp;CONTROL[[#This Row],[VEHIDCODE]]</f>
        <v>item_diesel_ALCO_Comeng_CE615A</v>
      </c>
      <c r="O866" s="21" t="str">
        <f>"str_"&amp;CONTROL[[#This Row],[VEHIDCODE]]</f>
        <v>str_diesel_ALCO_Comeng_CE615A</v>
      </c>
      <c r="P866" s="7" t="b">
        <f>_xlfn.XLOOKUP(CONTROL[[#This Row],[VEHIDCODE]],PROPERTIES[VEHIDCODE],PROPERTIES[IS_CONCEPT])="IS_CONCEPT"</f>
        <v>0</v>
      </c>
      <c r="Q866" s="7" t="b">
        <f>_xlfn.XLOOKUP(CONTROL[[#This Row],[VEHIDCODE]],PROPERTIES[VEHIDCODE],PROPERTIES[EXCLUDE])</f>
        <v>0</v>
      </c>
      <c r="R866" t="str" cm="1">
        <f t="array" ref="R866">_xlfn.XLOOKUP(CONTROL[[#This Row],[VEHIDCODE]],GRAPHICS_PROPERTIES[VEHIDCODE],GRAPHICS_PROPERTIES[TEMPLATE_ID]&amp;GRAPHICS_PROPERTIES[TEMPLATE_AMENDMENT_CODE])</f>
        <v>TPL_01A</v>
      </c>
    </row>
    <row r="867" spans="1:18" x14ac:dyDescent="0.35">
      <c r="A867" t="s">
        <v>3326</v>
      </c>
      <c r="B867" s="21" t="str">
        <f>_xlfn.TEXTAFTER(CONTROL[[#This Row],[VEHIDCODE]],"_")</f>
        <v>Comeng_Class_85</v>
      </c>
      <c r="C867" t="str" cm="1">
        <f t="array" ref="C8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67" t="str" cm="1">
        <f t="array" ref="D8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6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6140</v>
      </c>
      <c r="F867" s="32" t="s">
        <v>2482</v>
      </c>
      <c r="G867" s="34" t="s">
        <v>1782</v>
      </c>
      <c r="H867" s="2" t="b">
        <f>AND(CONTROL[[#This Row],[IS_WAGON_OR_COACH]]=TRUE,OR(RIGHT(CONTROL[[#This Row],[VEHIDCODE]],7)="Powered",RIGHT(CONTROL[[#This Row],[VEHIDCODE]],9)="Unpowered"))</f>
        <v>0</v>
      </c>
      <c r="I8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7" t="b">
        <f>ISNUMBER(_xlfn.XMATCH(CONTROL[[#This Row],[VEHIDCODE]],TRACK_TYPES[VEHIDCODE],0))</f>
        <v>1</v>
      </c>
      <c r="K867" t="b">
        <f>ISNUMBER(_xlfn.XMATCH(CONTROL[[#This Row],[VEHIDCODE]],PROPERTIES[VEHIDCODE],0))</f>
        <v>1</v>
      </c>
      <c r="L867" t="b">
        <f>ISNUMBER(_xlfn.XLOOKUP(CONTROL[[#This Row],[VEHIDCODE]],roster!A:A,roster!D:D))</f>
        <v>1</v>
      </c>
      <c r="M867" t="b">
        <f>ISNUMBER(_xlfn.XMATCH(CONTROL[[#This Row],[VEHIDCODE]],GRAPHICS_PROPERTIES[VEHIDCODE],0))</f>
        <v>1</v>
      </c>
      <c r="N867" s="21" t="str">
        <f>"item_"&amp;CONTROL[[#This Row],[VEHIDCODE]]</f>
        <v>item_electric_Comeng_Class_85</v>
      </c>
      <c r="O867" s="21" t="str">
        <f>"str_"&amp;CONTROL[[#This Row],[VEHIDCODE]]</f>
        <v>str_electric_Comeng_Class_85</v>
      </c>
      <c r="P867" s="7" t="b">
        <f>_xlfn.XLOOKUP(CONTROL[[#This Row],[VEHIDCODE]],PROPERTIES[VEHIDCODE],PROPERTIES[IS_CONCEPT])="IS_CONCEPT"</f>
        <v>0</v>
      </c>
      <c r="Q867" s="7" t="b">
        <f>_xlfn.XLOOKUP(CONTROL[[#This Row],[VEHIDCODE]],PROPERTIES[VEHIDCODE],PROPERTIES[EXCLUDE])</f>
        <v>0</v>
      </c>
      <c r="R867" t="str" cm="1">
        <f t="array" ref="R867">_xlfn.XLOOKUP(CONTROL[[#This Row],[VEHIDCODE]],GRAPHICS_PROPERTIES[VEHIDCODE],GRAPHICS_PROPERTIES[TEMPLATE_ID]&amp;GRAPHICS_PROPERTIES[TEMPLATE_AMENDMENT_CODE])</f>
        <v>TPL_01A</v>
      </c>
    </row>
    <row r="868" spans="1:18" x14ac:dyDescent="0.35">
      <c r="A868" s="2" t="s">
        <v>3327</v>
      </c>
      <c r="B868" s="21" t="str">
        <f>_xlfn.TEXTAFTER(CONTROL[[#This Row],[VEHIDCODE]],"_")</f>
        <v>Comeng_Maldon_Dombarton_8650</v>
      </c>
      <c r="C868" t="str" cm="1">
        <f t="array" ref="C8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68" t="str" cm="1">
        <f t="array" ref="D8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6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6141</v>
      </c>
      <c r="F868" s="32" t="s">
        <v>2483</v>
      </c>
      <c r="G868" t="s">
        <v>1882</v>
      </c>
      <c r="H868" s="2" t="b">
        <f>AND(CONTROL[[#This Row],[IS_WAGON_OR_COACH]]=TRUE,OR(RIGHT(CONTROL[[#This Row],[VEHIDCODE]],7)="Powered",RIGHT(CONTROL[[#This Row],[VEHIDCODE]],9)="Unpowered"))</f>
        <v>0</v>
      </c>
      <c r="I8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8" t="b">
        <f>ISNUMBER(_xlfn.XMATCH(CONTROL[[#This Row],[VEHIDCODE]],TRACK_TYPES[VEHIDCODE],0))</f>
        <v>1</v>
      </c>
      <c r="K868" t="b">
        <f>ISNUMBER(_xlfn.XMATCH(CONTROL[[#This Row],[VEHIDCODE]],PROPERTIES[VEHIDCODE],0))</f>
        <v>1</v>
      </c>
      <c r="L868" t="b">
        <f>ISNUMBER(_xlfn.XLOOKUP(CONTROL[[#This Row],[VEHIDCODE]],roster!A:A,roster!D:D))</f>
        <v>1</v>
      </c>
      <c r="M868" t="b">
        <f>ISNUMBER(_xlfn.XMATCH(CONTROL[[#This Row],[VEHIDCODE]],GRAPHICS_PROPERTIES[VEHIDCODE],0))</f>
        <v>1</v>
      </c>
      <c r="N868" s="21" t="str">
        <f>"item_"&amp;CONTROL[[#This Row],[VEHIDCODE]]</f>
        <v>item_electric_Comeng_Maldon_Dombarton_8650</v>
      </c>
      <c r="O868" s="21" t="str">
        <f>"str_"&amp;CONTROL[[#This Row],[VEHIDCODE]]</f>
        <v>str_electric_Comeng_Maldon_Dombarton_8650</v>
      </c>
      <c r="P868" s="7" t="b">
        <f>_xlfn.XLOOKUP(CONTROL[[#This Row],[VEHIDCODE]],PROPERTIES[VEHIDCODE],PROPERTIES[IS_CONCEPT])="IS_CONCEPT"</f>
        <v>1</v>
      </c>
      <c r="Q868" s="7" t="b">
        <f>_xlfn.XLOOKUP(CONTROL[[#This Row],[VEHIDCODE]],PROPERTIES[VEHIDCODE],PROPERTIES[EXCLUDE])</f>
        <v>0</v>
      </c>
      <c r="R868" t="str" cm="1">
        <f t="array" ref="R868">_xlfn.XLOOKUP(CONTROL[[#This Row],[VEHIDCODE]],GRAPHICS_PROPERTIES[VEHIDCODE],GRAPHICS_PROPERTIES[TEMPLATE_ID]&amp;GRAPHICS_PROPERTIES[TEMPLATE_AMENDMENT_CODE])</f>
        <v>TPL_01A</v>
      </c>
    </row>
    <row r="869" spans="1:18" x14ac:dyDescent="0.35">
      <c r="A869" t="s">
        <v>3328</v>
      </c>
      <c r="B869" s="21" t="str">
        <f>_xlfn.TEXTAFTER(CONTROL[[#This Row],[VEHIDCODE]],"_")</f>
        <v>EMD_NOHAB_J30C_2DSB_MZ_III</v>
      </c>
      <c r="C869" t="str" cm="1">
        <f t="array" ref="C8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9" t="str" cm="1">
        <f t="array" ref="D8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5164</v>
      </c>
      <c r="F869" s="32" t="s">
        <v>2484</v>
      </c>
      <c r="G869" s="34" t="s">
        <v>1783</v>
      </c>
      <c r="H869" s="2" t="b">
        <f>AND(CONTROL[[#This Row],[IS_WAGON_OR_COACH]]=TRUE,OR(RIGHT(CONTROL[[#This Row],[VEHIDCODE]],7)="Powered",RIGHT(CONTROL[[#This Row],[VEHIDCODE]],9)="Unpowered"))</f>
        <v>0</v>
      </c>
      <c r="I8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9" t="b">
        <f>ISNUMBER(_xlfn.XMATCH(CONTROL[[#This Row],[VEHIDCODE]],TRACK_TYPES[VEHIDCODE],0))</f>
        <v>1</v>
      </c>
      <c r="K869" t="b">
        <f>ISNUMBER(_xlfn.XMATCH(CONTROL[[#This Row],[VEHIDCODE]],PROPERTIES[VEHIDCODE],0))</f>
        <v>1</v>
      </c>
      <c r="L869" t="b">
        <f>ISNUMBER(_xlfn.XLOOKUP(CONTROL[[#This Row],[VEHIDCODE]],roster!A:A,roster!D:D))</f>
        <v>1</v>
      </c>
      <c r="M869" t="b">
        <f>ISNUMBER(_xlfn.XMATCH(CONTROL[[#This Row],[VEHIDCODE]],GRAPHICS_PROPERTIES[VEHIDCODE],0))</f>
        <v>1</v>
      </c>
      <c r="N869" s="21" t="str">
        <f>"item_"&amp;CONTROL[[#This Row],[VEHIDCODE]]</f>
        <v>item_diesel_EMD_NOHAB_J30C_2DSB_MZ_III</v>
      </c>
      <c r="O869" s="21" t="str">
        <f>"str_"&amp;CONTROL[[#This Row],[VEHIDCODE]]</f>
        <v>str_diesel_EMD_NOHAB_J30C_2DSB_MZ_III</v>
      </c>
      <c r="P869" s="7" t="b">
        <f>_xlfn.XLOOKUP(CONTROL[[#This Row],[VEHIDCODE]],PROPERTIES[VEHIDCODE],PROPERTIES[IS_CONCEPT])="IS_CONCEPT"</f>
        <v>0</v>
      </c>
      <c r="Q869" s="7" t="b">
        <f>_xlfn.XLOOKUP(CONTROL[[#This Row],[VEHIDCODE]],PROPERTIES[VEHIDCODE],PROPERTIES[EXCLUDE])</f>
        <v>0</v>
      </c>
      <c r="R869" t="str" cm="1">
        <f t="array" ref="R869">_xlfn.XLOOKUP(CONTROL[[#This Row],[VEHIDCODE]],GRAPHICS_PROPERTIES[VEHIDCODE],GRAPHICS_PROPERTIES[TEMPLATE_ID]&amp;GRAPHICS_PROPERTIES[TEMPLATE_AMENDMENT_CODE])</f>
        <v>TPL_01A</v>
      </c>
    </row>
    <row r="870" spans="1:18" x14ac:dyDescent="0.35">
      <c r="A870" t="s">
        <v>3329</v>
      </c>
      <c r="B870" s="21" t="str">
        <f>_xlfn.TEXTAFTER(CONTROL[[#This Row],[VEHIDCODE]],"_")</f>
        <v>EMD_Clyde_AT26C_Twin_16_645</v>
      </c>
      <c r="C870" t="str" cm="1">
        <f t="array" ref="C8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0" t="str" cm="1">
        <f t="array" ref="D8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5165</v>
      </c>
      <c r="F870" s="32" t="s">
        <v>2486</v>
      </c>
      <c r="G870" t="s">
        <v>2485</v>
      </c>
      <c r="H870" s="2" t="b">
        <f>AND(CONTROL[[#This Row],[IS_WAGON_OR_COACH]]=TRUE,OR(RIGHT(CONTROL[[#This Row],[VEHIDCODE]],7)="Powered",RIGHT(CONTROL[[#This Row],[VEHIDCODE]],9)="Unpowered"))</f>
        <v>0</v>
      </c>
      <c r="I8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0" t="b">
        <f>ISNUMBER(_xlfn.XMATCH(CONTROL[[#This Row],[VEHIDCODE]],TRACK_TYPES[VEHIDCODE],0))</f>
        <v>1</v>
      </c>
      <c r="K870" t="b">
        <f>ISNUMBER(_xlfn.XMATCH(CONTROL[[#This Row],[VEHIDCODE]],PROPERTIES[VEHIDCODE],0))</f>
        <v>1</v>
      </c>
      <c r="L870" t="b">
        <f>ISNUMBER(_xlfn.XLOOKUP(CONTROL[[#This Row],[VEHIDCODE]],roster!A:A,roster!D:D))</f>
        <v>1</v>
      </c>
      <c r="M870" t="b">
        <f>ISNUMBER(_xlfn.XMATCH(CONTROL[[#This Row],[VEHIDCODE]],GRAPHICS_PROPERTIES[VEHIDCODE],0))</f>
        <v>1</v>
      </c>
      <c r="N870" s="21" t="str">
        <f>"item_"&amp;CONTROL[[#This Row],[VEHIDCODE]]</f>
        <v>item_diesel_EMD_Clyde_AT26C_Twin_16_645</v>
      </c>
      <c r="O870" s="21" t="str">
        <f>"str_"&amp;CONTROL[[#This Row],[VEHIDCODE]]</f>
        <v>str_diesel_EMD_Clyde_AT26C_Twin_16_645</v>
      </c>
      <c r="P870" s="7" t="b">
        <f>_xlfn.XLOOKUP(CONTROL[[#This Row],[VEHIDCODE]],PROPERTIES[VEHIDCODE],PROPERTIES[IS_CONCEPT])="IS_CONCEPT"</f>
        <v>1</v>
      </c>
      <c r="Q870" s="7" t="b">
        <f>_xlfn.XLOOKUP(CONTROL[[#This Row],[VEHIDCODE]],PROPERTIES[VEHIDCODE],PROPERTIES[EXCLUDE])</f>
        <v>0</v>
      </c>
      <c r="R870" t="str" cm="1">
        <f t="array" ref="R870">_xlfn.XLOOKUP(CONTROL[[#This Row],[VEHIDCODE]],GRAPHICS_PROPERTIES[VEHIDCODE],GRAPHICS_PROPERTIES[TEMPLATE_ID]&amp;GRAPHICS_PROPERTIES[TEMPLATE_AMENDMENT_CODE])</f>
        <v>TPL_16A</v>
      </c>
    </row>
    <row r="871" spans="1:18" x14ac:dyDescent="0.35">
      <c r="A871" t="s">
        <v>3460</v>
      </c>
      <c r="B871" s="21" t="str">
        <f>_xlfn.TEXTAFTER(CONTROL[[#This Row],[VEHIDCODE]],"_")</f>
        <v>EMD_Clyde_GL26C_2</v>
      </c>
      <c r="C871" t="str" cm="1">
        <f t="array" ref="C8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1" t="str" cm="1">
        <f t="array" ref="D8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5166</v>
      </c>
      <c r="F871" s="32" t="s">
        <v>3469</v>
      </c>
      <c r="G871" t="s">
        <v>1784</v>
      </c>
      <c r="H871" s="2" t="b">
        <f>AND(CONTROL[[#This Row],[IS_WAGON_OR_COACH]]=TRUE,OR(RIGHT(CONTROL[[#This Row],[VEHIDCODE]],7)="Powered",RIGHT(CONTROL[[#This Row],[VEHIDCODE]],9)="Unpowered"))</f>
        <v>0</v>
      </c>
      <c r="I8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1" t="b">
        <f>ISNUMBER(_xlfn.XMATCH(CONTROL[[#This Row],[VEHIDCODE]],TRACK_TYPES[VEHIDCODE],0))</f>
        <v>1</v>
      </c>
      <c r="K871" t="b">
        <f>ISNUMBER(_xlfn.XMATCH(CONTROL[[#This Row],[VEHIDCODE]],PROPERTIES[VEHIDCODE],0))</f>
        <v>1</v>
      </c>
      <c r="L871" t="b">
        <f>ISNUMBER(_xlfn.XLOOKUP(CONTROL[[#This Row],[VEHIDCODE]],roster!A:A,roster!D:D))</f>
        <v>1</v>
      </c>
      <c r="M871" t="b">
        <f>ISNUMBER(_xlfn.XMATCH(CONTROL[[#This Row],[VEHIDCODE]],GRAPHICS_PROPERTIES[VEHIDCODE],0))</f>
        <v>1</v>
      </c>
      <c r="N871" s="21" t="str">
        <f>"item_"&amp;CONTROL[[#This Row],[VEHIDCODE]]</f>
        <v>item_diesel_EMD_Clyde_GL26C_2</v>
      </c>
      <c r="O871" s="21" t="str">
        <f>"str_"&amp;CONTROL[[#This Row],[VEHIDCODE]]</f>
        <v>str_diesel_EMD_Clyde_GL26C_2</v>
      </c>
      <c r="P871" s="7" t="b">
        <f>_xlfn.XLOOKUP(CONTROL[[#This Row],[VEHIDCODE]],PROPERTIES[VEHIDCODE],PROPERTIES[IS_CONCEPT])="IS_CONCEPT"</f>
        <v>0</v>
      </c>
      <c r="Q871" s="7" t="b">
        <f>_xlfn.XLOOKUP(CONTROL[[#This Row],[VEHIDCODE]],PROPERTIES[VEHIDCODE],PROPERTIES[EXCLUDE])</f>
        <v>0</v>
      </c>
      <c r="R871" t="str" cm="1">
        <f t="array" ref="R871">_xlfn.XLOOKUP(CONTROL[[#This Row],[VEHIDCODE]],GRAPHICS_PROPERTIES[VEHIDCODE],GRAPHICS_PROPERTIES[TEMPLATE_ID]&amp;GRAPHICS_PROPERTIES[TEMPLATE_AMENDMENT_CODE])</f>
        <v>TPL_01A</v>
      </c>
    </row>
    <row r="872" spans="1:18" x14ac:dyDescent="0.35">
      <c r="A872" t="s">
        <v>3330</v>
      </c>
      <c r="B872" s="21" t="str">
        <f>_xlfn.TEXTAFTER(CONTROL[[#This Row],[VEHIDCODE]],"_")</f>
        <v>EEC_A_249_</v>
      </c>
      <c r="C872" t="str" cm="1">
        <f t="array" ref="C8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2" t="str" cm="1">
        <f t="array" ref="D8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5167</v>
      </c>
      <c r="F872" s="32" t="s">
        <v>2614</v>
      </c>
      <c r="G872" t="s">
        <v>1785</v>
      </c>
      <c r="H872" s="2" t="b">
        <f>AND(CONTROL[[#This Row],[IS_WAGON_OR_COACH]]=TRUE,OR(RIGHT(CONTROL[[#This Row],[VEHIDCODE]],7)="Powered",RIGHT(CONTROL[[#This Row],[VEHIDCODE]],9)="Unpowered"))</f>
        <v>0</v>
      </c>
      <c r="I8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2" t="b">
        <f>ISNUMBER(_xlfn.XMATCH(CONTROL[[#This Row],[VEHIDCODE]],TRACK_TYPES[VEHIDCODE],0))</f>
        <v>1</v>
      </c>
      <c r="K872" t="b">
        <f>ISNUMBER(_xlfn.XMATCH(CONTROL[[#This Row],[VEHIDCODE]],PROPERTIES[VEHIDCODE],0))</f>
        <v>1</v>
      </c>
      <c r="L872" t="b">
        <f>ISNUMBER(_xlfn.XLOOKUP(CONTROL[[#This Row],[VEHIDCODE]],roster!A:A,roster!D:D))</f>
        <v>1</v>
      </c>
      <c r="M872" t="b">
        <f>ISNUMBER(_xlfn.XMATCH(CONTROL[[#This Row],[VEHIDCODE]],GRAPHICS_PROPERTIES[VEHIDCODE],0))</f>
        <v>1</v>
      </c>
      <c r="N872" s="21" t="str">
        <f>"item_"&amp;CONTROL[[#This Row],[VEHIDCODE]]</f>
        <v>item_diesel_EEC_A_249_</v>
      </c>
      <c r="O872" s="21" t="str">
        <f>"str_"&amp;CONTROL[[#This Row],[VEHIDCODE]]</f>
        <v>str_diesel_EEC_A_249_</v>
      </c>
      <c r="P872" s="7" t="b">
        <f>_xlfn.XLOOKUP(CONTROL[[#This Row],[VEHIDCODE]],PROPERTIES[VEHIDCODE],PROPERTIES[IS_CONCEPT])="IS_CONCEPT"</f>
        <v>0</v>
      </c>
      <c r="Q872" s="7" t="b">
        <f>_xlfn.XLOOKUP(CONTROL[[#This Row],[VEHIDCODE]],PROPERTIES[VEHIDCODE],PROPERTIES[EXCLUDE])</f>
        <v>0</v>
      </c>
      <c r="R872" t="str" cm="1">
        <f t="array" ref="R872">_xlfn.XLOOKUP(CONTROL[[#This Row],[VEHIDCODE]],GRAPHICS_PROPERTIES[VEHIDCODE],GRAPHICS_PROPERTIES[TEMPLATE_ID]&amp;GRAPHICS_PROPERTIES[TEMPLATE_AMENDMENT_CODE])</f>
        <v>TPL_01A</v>
      </c>
    </row>
    <row r="873" spans="1:18" x14ac:dyDescent="0.35">
      <c r="A873" t="s">
        <v>3331</v>
      </c>
      <c r="B873" s="21" t="str">
        <f>_xlfn.TEXTAFTER(CONTROL[[#This Row],[VEHIDCODE]],"_")</f>
        <v>EEC_A_253</v>
      </c>
      <c r="C873" t="str" cm="1">
        <f t="array" ref="C8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3" t="str" cm="1">
        <f t="array" ref="D8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5168</v>
      </c>
      <c r="F873" s="32" t="s">
        <v>2615</v>
      </c>
      <c r="G873" t="s">
        <v>1786</v>
      </c>
      <c r="H873" s="2" t="b">
        <f>AND(CONTROL[[#This Row],[IS_WAGON_OR_COACH]]=TRUE,OR(RIGHT(CONTROL[[#This Row],[VEHIDCODE]],7)="Powered",RIGHT(CONTROL[[#This Row],[VEHIDCODE]],9)="Unpowered"))</f>
        <v>0</v>
      </c>
      <c r="I8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3" t="b">
        <f>ISNUMBER(_xlfn.XMATCH(CONTROL[[#This Row],[VEHIDCODE]],TRACK_TYPES[VEHIDCODE],0))</f>
        <v>1</v>
      </c>
      <c r="K873" t="b">
        <f>ISNUMBER(_xlfn.XMATCH(CONTROL[[#This Row],[VEHIDCODE]],PROPERTIES[VEHIDCODE],0))</f>
        <v>1</v>
      </c>
      <c r="L873" t="b">
        <f>ISNUMBER(_xlfn.XLOOKUP(CONTROL[[#This Row],[VEHIDCODE]],roster!A:A,roster!D:D))</f>
        <v>1</v>
      </c>
      <c r="M873" t="b">
        <f>ISNUMBER(_xlfn.XMATCH(CONTROL[[#This Row],[VEHIDCODE]],GRAPHICS_PROPERTIES[VEHIDCODE],0))</f>
        <v>1</v>
      </c>
      <c r="N873" s="21" t="str">
        <f>"item_"&amp;CONTROL[[#This Row],[VEHIDCODE]]</f>
        <v>item_diesel_EEC_A_253</v>
      </c>
      <c r="O873" s="21" t="str">
        <f>"str_"&amp;CONTROL[[#This Row],[VEHIDCODE]]</f>
        <v>str_diesel_EEC_A_253</v>
      </c>
      <c r="P873" s="7" t="b">
        <f>_xlfn.XLOOKUP(CONTROL[[#This Row],[VEHIDCODE]],PROPERTIES[VEHIDCODE],PROPERTIES[IS_CONCEPT])="IS_CONCEPT"</f>
        <v>0</v>
      </c>
      <c r="Q873" s="7" t="b">
        <f>_xlfn.XLOOKUP(CONTROL[[#This Row],[VEHIDCODE]],PROPERTIES[VEHIDCODE],PROPERTIES[EXCLUDE])</f>
        <v>0</v>
      </c>
      <c r="R873" t="str" cm="1">
        <f t="array" ref="R873">_xlfn.XLOOKUP(CONTROL[[#This Row],[VEHIDCODE]],GRAPHICS_PROPERTIES[VEHIDCODE],GRAPHICS_PROPERTIES[TEMPLATE_ID]&amp;GRAPHICS_PROPERTIES[TEMPLATE_AMENDMENT_CODE])</f>
        <v>TPL_01A</v>
      </c>
    </row>
    <row r="874" spans="1:18" x14ac:dyDescent="0.35">
      <c r="A874" t="s">
        <v>3332</v>
      </c>
      <c r="B874" s="21" t="str">
        <f>_xlfn.TEXTAFTER(CONTROL[[#This Row],[VEHIDCODE]],"_")</f>
        <v>GE_U26C</v>
      </c>
      <c r="C874" t="str" cm="1">
        <f t="array" ref="C8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4" t="str" cm="1">
        <f t="array" ref="D8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5169</v>
      </c>
      <c r="F874" s="32" t="s">
        <v>2640</v>
      </c>
      <c r="G874" t="s">
        <v>1787</v>
      </c>
      <c r="H874" s="2" t="b">
        <f>AND(CONTROL[[#This Row],[IS_WAGON_OR_COACH]]=TRUE,OR(RIGHT(CONTROL[[#This Row],[VEHIDCODE]],7)="Powered",RIGHT(CONTROL[[#This Row],[VEHIDCODE]],9)="Unpowered"))</f>
        <v>0</v>
      </c>
      <c r="I8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4" t="b">
        <f>ISNUMBER(_xlfn.XMATCH(CONTROL[[#This Row],[VEHIDCODE]],TRACK_TYPES[VEHIDCODE],0))</f>
        <v>1</v>
      </c>
      <c r="K874" t="b">
        <f>ISNUMBER(_xlfn.XMATCH(CONTROL[[#This Row],[VEHIDCODE]],PROPERTIES[VEHIDCODE],0))</f>
        <v>1</v>
      </c>
      <c r="L874" t="b">
        <f>ISNUMBER(_xlfn.XLOOKUP(CONTROL[[#This Row],[VEHIDCODE]],roster!A:A,roster!D:D))</f>
        <v>1</v>
      </c>
      <c r="M874" t="b">
        <f>ISNUMBER(_xlfn.XMATCH(CONTROL[[#This Row],[VEHIDCODE]],GRAPHICS_PROPERTIES[VEHIDCODE],0))</f>
        <v>1</v>
      </c>
      <c r="N874" s="21" t="str">
        <f>"item_"&amp;CONTROL[[#This Row],[VEHIDCODE]]</f>
        <v>item_diesel_GE_U26C</v>
      </c>
      <c r="O874" s="21" t="str">
        <f>"str_"&amp;CONTROL[[#This Row],[VEHIDCODE]]</f>
        <v>str_diesel_GE_U26C</v>
      </c>
      <c r="P874" s="7" t="b">
        <f>_xlfn.XLOOKUP(CONTROL[[#This Row],[VEHIDCODE]],PROPERTIES[VEHIDCODE],PROPERTIES[IS_CONCEPT])="IS_CONCEPT"</f>
        <v>0</v>
      </c>
      <c r="Q874" s="7" t="b">
        <f>_xlfn.XLOOKUP(CONTROL[[#This Row],[VEHIDCODE]],PROPERTIES[VEHIDCODE],PROPERTIES[EXCLUDE])</f>
        <v>0</v>
      </c>
      <c r="R874" t="str" cm="1">
        <f t="array" ref="R874">_xlfn.XLOOKUP(CONTROL[[#This Row],[VEHIDCODE]],GRAPHICS_PROPERTIES[VEHIDCODE],GRAPHICS_PROPERTIES[TEMPLATE_ID]&amp;GRAPHICS_PROPERTIES[TEMPLATE_AMENDMENT_CODE])</f>
        <v>TPL_01A</v>
      </c>
    </row>
    <row r="875" spans="1:18" x14ac:dyDescent="0.35">
      <c r="A875" t="s">
        <v>3333</v>
      </c>
      <c r="B875" s="21" t="str">
        <f>_xlfn.TEXTAFTER(CONTROL[[#This Row],[VEHIDCODE]],"_")</f>
        <v>Metrowick_BP_786</v>
      </c>
      <c r="C875" t="str" cm="1">
        <f t="array" ref="C8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75" t="str" cm="1">
        <f t="array" ref="D8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7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6142</v>
      </c>
      <c r="F875" s="32" t="s">
        <v>2616</v>
      </c>
      <c r="G875" s="34" t="s">
        <v>1788</v>
      </c>
      <c r="H875" s="2" t="b">
        <f>AND(CONTROL[[#This Row],[IS_WAGON_OR_COACH]]=TRUE,OR(RIGHT(CONTROL[[#This Row],[VEHIDCODE]],7)="Powered",RIGHT(CONTROL[[#This Row],[VEHIDCODE]],9)="Unpowered"))</f>
        <v>0</v>
      </c>
      <c r="I8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5" t="b">
        <f>ISNUMBER(_xlfn.XMATCH(CONTROL[[#This Row],[VEHIDCODE]],TRACK_TYPES[VEHIDCODE],0))</f>
        <v>1</v>
      </c>
      <c r="K875" t="b">
        <f>ISNUMBER(_xlfn.XMATCH(CONTROL[[#This Row],[VEHIDCODE]],PROPERTIES[VEHIDCODE],0))</f>
        <v>1</v>
      </c>
      <c r="L875" t="b">
        <f>ISNUMBER(_xlfn.XLOOKUP(CONTROL[[#This Row],[VEHIDCODE]],roster!A:A,roster!D:D))</f>
        <v>1</v>
      </c>
      <c r="M875" t="b">
        <f>ISNUMBER(_xlfn.XMATCH(CONTROL[[#This Row],[VEHIDCODE]],GRAPHICS_PROPERTIES[VEHIDCODE],0))</f>
        <v>1</v>
      </c>
      <c r="N875" s="21" t="str">
        <f>"item_"&amp;CONTROL[[#This Row],[VEHIDCODE]]</f>
        <v>item_electric_Metrowick_BP_786</v>
      </c>
      <c r="O875" s="21" t="str">
        <f>"str_"&amp;CONTROL[[#This Row],[VEHIDCODE]]</f>
        <v>str_electric_Metrowick_BP_786</v>
      </c>
      <c r="P875" s="7" t="b">
        <f>_xlfn.XLOOKUP(CONTROL[[#This Row],[VEHIDCODE]],PROPERTIES[VEHIDCODE],PROPERTIES[IS_CONCEPT])="IS_CONCEPT"</f>
        <v>1</v>
      </c>
      <c r="Q875" s="7" t="b">
        <f>_xlfn.XLOOKUP(CONTROL[[#This Row],[VEHIDCODE]],PROPERTIES[VEHIDCODE],PROPERTIES[EXCLUDE])</f>
        <v>0</v>
      </c>
      <c r="R875" t="str" cm="1">
        <f t="array" ref="R875">_xlfn.XLOOKUP(CONTROL[[#This Row],[VEHIDCODE]],GRAPHICS_PROPERTIES[VEHIDCODE],GRAPHICS_PROPERTIES[TEMPLATE_ID]&amp;GRAPHICS_PROPERTIES[TEMPLATE_AMENDMENT_CODE])</f>
        <v>TPL_01A</v>
      </c>
    </row>
    <row r="876" spans="1:18" x14ac:dyDescent="0.35">
      <c r="A876" t="s">
        <v>3334</v>
      </c>
      <c r="B876" s="21" t="str">
        <f>_xlfn.TEXTAFTER(CONTROL[[#This Row],[VEHIDCODE]],"_")</f>
        <v>ALCO_RSC_3_77732</v>
      </c>
      <c r="C876" t="str" cm="1">
        <f t="array" ref="C8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6" t="str" cm="1">
        <f t="array" ref="D8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5170</v>
      </c>
      <c r="F876" s="32" t="s">
        <v>2617</v>
      </c>
      <c r="G876" s="34" t="s">
        <v>1789</v>
      </c>
      <c r="H876" s="2" t="b">
        <f>AND(CONTROL[[#This Row],[IS_WAGON_OR_COACH]]=TRUE,OR(RIGHT(CONTROL[[#This Row],[VEHIDCODE]],7)="Powered",RIGHT(CONTROL[[#This Row],[VEHIDCODE]],9)="Unpowered"))</f>
        <v>0</v>
      </c>
      <c r="I8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6" t="b">
        <f>ISNUMBER(_xlfn.XMATCH(CONTROL[[#This Row],[VEHIDCODE]],TRACK_TYPES[VEHIDCODE],0))</f>
        <v>1</v>
      </c>
      <c r="K876" t="b">
        <f>ISNUMBER(_xlfn.XMATCH(CONTROL[[#This Row],[VEHIDCODE]],PROPERTIES[VEHIDCODE],0))</f>
        <v>1</v>
      </c>
      <c r="L876" t="b">
        <f>ISNUMBER(_xlfn.XLOOKUP(CONTROL[[#This Row],[VEHIDCODE]],roster!A:A,roster!D:D))</f>
        <v>1</v>
      </c>
      <c r="M876" t="b">
        <f>ISNUMBER(_xlfn.XMATCH(CONTROL[[#This Row],[VEHIDCODE]],GRAPHICS_PROPERTIES[VEHIDCODE],0))</f>
        <v>1</v>
      </c>
      <c r="N876" s="21" t="str">
        <f>"item_"&amp;CONTROL[[#This Row],[VEHIDCODE]]</f>
        <v>item_diesel_ALCO_RSC_3_77732</v>
      </c>
      <c r="O876" s="21" t="str">
        <f>"str_"&amp;CONTROL[[#This Row],[VEHIDCODE]]</f>
        <v>str_diesel_ALCO_RSC_3_77732</v>
      </c>
      <c r="P876" s="7" t="b">
        <f>_xlfn.XLOOKUP(CONTROL[[#This Row],[VEHIDCODE]],PROPERTIES[VEHIDCODE],PROPERTIES[IS_CONCEPT])="IS_CONCEPT"</f>
        <v>0</v>
      </c>
      <c r="Q876" s="7" t="b">
        <f>_xlfn.XLOOKUP(CONTROL[[#This Row],[VEHIDCODE]],PROPERTIES[VEHIDCODE],PROPERTIES[EXCLUDE])</f>
        <v>1</v>
      </c>
      <c r="R876" t="str" cm="1">
        <f t="array" ref="R876">_xlfn.XLOOKUP(CONTROL[[#This Row],[VEHIDCODE]],GRAPHICS_PROPERTIES[VEHIDCODE],GRAPHICS_PROPERTIES[TEMPLATE_ID]&amp;GRAPHICS_PROPERTIES[TEMPLATE_AMENDMENT_CODE])</f>
        <v>TPL_01A</v>
      </c>
    </row>
    <row r="877" spans="1:18" x14ac:dyDescent="0.35">
      <c r="A877" t="s">
        <v>3335</v>
      </c>
      <c r="B877" s="21" t="str">
        <f>_xlfn.TEXTAFTER(CONTROL[[#This Row],[VEHIDCODE]],"_")</f>
        <v>EMD_Clyde_G8C</v>
      </c>
      <c r="C877" t="str" cm="1">
        <f t="array" ref="C8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7" t="str" cm="1">
        <f t="array" ref="D8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5171</v>
      </c>
      <c r="F877" s="32" t="s">
        <v>2487</v>
      </c>
      <c r="G877" s="34" t="s">
        <v>1790</v>
      </c>
      <c r="H877" s="2" t="b">
        <f>AND(CONTROL[[#This Row],[IS_WAGON_OR_COACH]]=TRUE,OR(RIGHT(CONTROL[[#This Row],[VEHIDCODE]],7)="Powered",RIGHT(CONTROL[[#This Row],[VEHIDCODE]],9)="Unpowered"))</f>
        <v>0</v>
      </c>
      <c r="I8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7" t="b">
        <f>ISNUMBER(_xlfn.XMATCH(CONTROL[[#This Row],[VEHIDCODE]],TRACK_TYPES[VEHIDCODE],0))</f>
        <v>1</v>
      </c>
      <c r="K877" t="b">
        <f>ISNUMBER(_xlfn.XMATCH(CONTROL[[#This Row],[VEHIDCODE]],PROPERTIES[VEHIDCODE],0))</f>
        <v>1</v>
      </c>
      <c r="L877" t="b">
        <f>ISNUMBER(_xlfn.XLOOKUP(CONTROL[[#This Row],[VEHIDCODE]],roster!A:A,roster!D:D))</f>
        <v>1</v>
      </c>
      <c r="M877" t="b">
        <f>ISNUMBER(_xlfn.XMATCH(CONTROL[[#This Row],[VEHIDCODE]],GRAPHICS_PROPERTIES[VEHIDCODE],0))</f>
        <v>1</v>
      </c>
      <c r="N877" s="21" t="str">
        <f>"item_"&amp;CONTROL[[#This Row],[VEHIDCODE]]</f>
        <v>item_diesel_EMD_Clyde_G8C</v>
      </c>
      <c r="O877" s="21" t="str">
        <f>"str_"&amp;CONTROL[[#This Row],[VEHIDCODE]]</f>
        <v>str_diesel_EMD_Clyde_G8C</v>
      </c>
      <c r="P877" s="7" t="b">
        <f>_xlfn.XLOOKUP(CONTROL[[#This Row],[VEHIDCODE]],PROPERTIES[VEHIDCODE],PROPERTIES[IS_CONCEPT])="IS_CONCEPT"</f>
        <v>0</v>
      </c>
      <c r="Q877" s="7" t="b">
        <f>_xlfn.XLOOKUP(CONTROL[[#This Row],[VEHIDCODE]],PROPERTIES[VEHIDCODE],PROPERTIES[EXCLUDE])</f>
        <v>0</v>
      </c>
      <c r="R877" t="str" cm="1">
        <f t="array" ref="R877">_xlfn.XLOOKUP(CONTROL[[#This Row],[VEHIDCODE]],GRAPHICS_PROPERTIES[VEHIDCODE],GRAPHICS_PROPERTIES[TEMPLATE_ID]&amp;GRAPHICS_PROPERTIES[TEMPLATE_AMENDMENT_CODE])</f>
        <v>TPL_01A</v>
      </c>
    </row>
    <row r="878" spans="1:18" x14ac:dyDescent="0.35">
      <c r="A878" s="2" t="s">
        <v>3336</v>
      </c>
      <c r="B878" s="21" t="str">
        <f>_xlfn.TEXTAFTER(CONTROL[[#This Row],[VEHIDCODE]],"_")</f>
        <v>EMD_Clyde_G12</v>
      </c>
      <c r="C878" t="str" cm="1">
        <f t="array" ref="C8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8" t="str" cm="1">
        <f t="array" ref="D8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5172</v>
      </c>
      <c r="F878" s="32" t="s">
        <v>2488</v>
      </c>
      <c r="G878" t="s">
        <v>1791</v>
      </c>
      <c r="H878" s="2" t="b">
        <f>AND(CONTROL[[#This Row],[IS_WAGON_OR_COACH]]=TRUE,OR(RIGHT(CONTROL[[#This Row],[VEHIDCODE]],7)="Powered",RIGHT(CONTROL[[#This Row],[VEHIDCODE]],9)="Unpowered"))</f>
        <v>0</v>
      </c>
      <c r="I8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8" t="b">
        <f>ISNUMBER(_xlfn.XMATCH(CONTROL[[#This Row],[VEHIDCODE]],TRACK_TYPES[VEHIDCODE],0))</f>
        <v>1</v>
      </c>
      <c r="K878" t="b">
        <f>ISNUMBER(_xlfn.XMATCH(CONTROL[[#This Row],[VEHIDCODE]],PROPERTIES[VEHIDCODE],0))</f>
        <v>1</v>
      </c>
      <c r="L878" t="b">
        <f>ISNUMBER(_xlfn.XLOOKUP(CONTROL[[#This Row],[VEHIDCODE]],roster!A:A,roster!D:D))</f>
        <v>1</v>
      </c>
      <c r="M878" t="b">
        <f>ISNUMBER(_xlfn.XMATCH(CONTROL[[#This Row],[VEHIDCODE]],GRAPHICS_PROPERTIES[VEHIDCODE],0))</f>
        <v>1</v>
      </c>
      <c r="N878" s="21" t="str">
        <f>"item_"&amp;CONTROL[[#This Row],[VEHIDCODE]]</f>
        <v>item_diesel_EMD_Clyde_G12</v>
      </c>
      <c r="O878" s="21" t="str">
        <f>"str_"&amp;CONTROL[[#This Row],[VEHIDCODE]]</f>
        <v>str_diesel_EMD_Clyde_G12</v>
      </c>
      <c r="P878" s="7" t="b">
        <f>_xlfn.XLOOKUP(CONTROL[[#This Row],[VEHIDCODE]],PROPERTIES[VEHIDCODE],PROPERTIES[IS_CONCEPT])="IS_CONCEPT"</f>
        <v>0</v>
      </c>
      <c r="Q878" s="7" t="b">
        <f>_xlfn.XLOOKUP(CONTROL[[#This Row],[VEHIDCODE]],PROPERTIES[VEHIDCODE],PROPERTIES[EXCLUDE])</f>
        <v>1</v>
      </c>
      <c r="R878" t="str" cm="1">
        <f t="array" ref="R878">_xlfn.XLOOKUP(CONTROL[[#This Row],[VEHIDCODE]],GRAPHICS_PROPERTIES[VEHIDCODE],GRAPHICS_PROPERTIES[TEMPLATE_ID]&amp;GRAPHICS_PROPERTIES[TEMPLATE_AMENDMENT_CODE])</f>
        <v>TPL_01A</v>
      </c>
    </row>
    <row r="879" spans="1:18" x14ac:dyDescent="0.35">
      <c r="A879" s="2" t="s">
        <v>3337</v>
      </c>
      <c r="B879" s="21" t="str">
        <f>_xlfn.TEXTAFTER(CONTROL[[#This Row],[VEHIDCODE]],"_")</f>
        <v>EMD_Clyde_G8</v>
      </c>
      <c r="C879" t="str" cm="1">
        <f t="array" ref="C8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9" t="str" cm="1">
        <f t="array" ref="D8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5173</v>
      </c>
      <c r="F879" s="32" t="s">
        <v>2490</v>
      </c>
      <c r="G879" t="s">
        <v>2489</v>
      </c>
      <c r="H879" s="2" t="b">
        <f>AND(CONTROL[[#This Row],[IS_WAGON_OR_COACH]]=TRUE,OR(RIGHT(CONTROL[[#This Row],[VEHIDCODE]],7)="Powered",RIGHT(CONTROL[[#This Row],[VEHIDCODE]],9)="Unpowered"))</f>
        <v>0</v>
      </c>
      <c r="I8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9" t="b">
        <f>ISNUMBER(_xlfn.XMATCH(CONTROL[[#This Row],[VEHIDCODE]],TRACK_TYPES[VEHIDCODE],0))</f>
        <v>1</v>
      </c>
      <c r="K879" t="b">
        <f>ISNUMBER(_xlfn.XMATCH(CONTROL[[#This Row],[VEHIDCODE]],PROPERTIES[VEHIDCODE],0))</f>
        <v>1</v>
      </c>
      <c r="L879" t="b">
        <f>ISNUMBER(_xlfn.XLOOKUP(CONTROL[[#This Row],[VEHIDCODE]],roster!A:A,roster!D:D))</f>
        <v>1</v>
      </c>
      <c r="M879" t="b">
        <f>ISNUMBER(_xlfn.XMATCH(CONTROL[[#This Row],[VEHIDCODE]],GRAPHICS_PROPERTIES[VEHIDCODE],0))</f>
        <v>1</v>
      </c>
      <c r="N879" s="21" t="str">
        <f>"item_"&amp;CONTROL[[#This Row],[VEHIDCODE]]</f>
        <v>item_diesel_EMD_Clyde_G8</v>
      </c>
      <c r="O879" s="21" t="str">
        <f>"str_"&amp;CONTROL[[#This Row],[VEHIDCODE]]</f>
        <v>str_diesel_EMD_Clyde_G8</v>
      </c>
      <c r="P879" s="7" t="b">
        <f>_xlfn.XLOOKUP(CONTROL[[#This Row],[VEHIDCODE]],PROPERTIES[VEHIDCODE],PROPERTIES[IS_CONCEPT])="IS_CONCEPT"</f>
        <v>0</v>
      </c>
      <c r="Q879" s="7" t="b">
        <f>_xlfn.XLOOKUP(CONTROL[[#This Row],[VEHIDCODE]],PROPERTIES[VEHIDCODE],PROPERTIES[EXCLUDE])</f>
        <v>0</v>
      </c>
      <c r="R879" t="str" cm="1">
        <f t="array" ref="R879">_xlfn.XLOOKUP(CONTROL[[#This Row],[VEHIDCODE]],GRAPHICS_PROPERTIES[VEHIDCODE],GRAPHICS_PROPERTIES[TEMPLATE_ID]&amp;GRAPHICS_PROPERTIES[TEMPLATE_AMENDMENT_CODE])</f>
        <v>TPL_01A</v>
      </c>
    </row>
    <row r="880" spans="1:18" x14ac:dyDescent="0.35">
      <c r="A880" t="s">
        <v>3338</v>
      </c>
      <c r="B880" s="21" t="str">
        <f>_xlfn.TEXTAFTER(CONTROL[[#This Row],[VEHIDCODE]],"_")</f>
        <v>Goninan_47_Class</v>
      </c>
      <c r="C880" t="str" cm="1">
        <f t="array" ref="C8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80" t="str" cm="1">
        <f t="array" ref="D8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8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5174</v>
      </c>
      <c r="F880" s="32" t="s">
        <v>2491</v>
      </c>
      <c r="G880" s="34" t="s">
        <v>1792</v>
      </c>
      <c r="H880" s="2" t="b">
        <f>AND(CONTROL[[#This Row],[IS_WAGON_OR_COACH]]=TRUE,OR(RIGHT(CONTROL[[#This Row],[VEHIDCODE]],7)="Powered",RIGHT(CONTROL[[#This Row],[VEHIDCODE]],9)="Unpowered"))</f>
        <v>0</v>
      </c>
      <c r="I8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0" t="b">
        <f>ISNUMBER(_xlfn.XMATCH(CONTROL[[#This Row],[VEHIDCODE]],TRACK_TYPES[VEHIDCODE],0))</f>
        <v>1</v>
      </c>
      <c r="K880" t="b">
        <f>ISNUMBER(_xlfn.XMATCH(CONTROL[[#This Row],[VEHIDCODE]],PROPERTIES[VEHIDCODE],0))</f>
        <v>1</v>
      </c>
      <c r="L880" t="b">
        <f>ISNUMBER(_xlfn.XLOOKUP(CONTROL[[#This Row],[VEHIDCODE]],roster!A:A,roster!D:D))</f>
        <v>1</v>
      </c>
      <c r="M880" t="b">
        <f>ISNUMBER(_xlfn.XMATCH(CONTROL[[#This Row],[VEHIDCODE]],GRAPHICS_PROPERTIES[VEHIDCODE],0))</f>
        <v>1</v>
      </c>
      <c r="N880" s="21" t="str">
        <f>"item_"&amp;CONTROL[[#This Row],[VEHIDCODE]]</f>
        <v>item_diesel_Goninan_47_Class</v>
      </c>
      <c r="O880" s="21" t="str">
        <f>"str_"&amp;CONTROL[[#This Row],[VEHIDCODE]]</f>
        <v>str_diesel_Goninan_47_Class</v>
      </c>
      <c r="P880" s="7" t="b">
        <f>_xlfn.XLOOKUP(CONTROL[[#This Row],[VEHIDCODE]],PROPERTIES[VEHIDCODE],PROPERTIES[IS_CONCEPT])="IS_CONCEPT"</f>
        <v>0</v>
      </c>
      <c r="Q880" s="7" t="b">
        <f>_xlfn.XLOOKUP(CONTROL[[#This Row],[VEHIDCODE]],PROPERTIES[VEHIDCODE],PROPERTIES[EXCLUDE])</f>
        <v>0</v>
      </c>
      <c r="R880" t="str" cm="1">
        <f t="array" ref="R880">_xlfn.XLOOKUP(CONTROL[[#This Row],[VEHIDCODE]],GRAPHICS_PROPERTIES[VEHIDCODE],GRAPHICS_PROPERTIES[TEMPLATE_ID]&amp;GRAPHICS_PROPERTIES[TEMPLATE_AMENDMENT_CODE])</f>
        <v>TPL_01A</v>
      </c>
    </row>
    <row r="881" spans="1:18" x14ac:dyDescent="0.35">
      <c r="A881" t="s">
        <v>3339</v>
      </c>
      <c r="B881" s="21" t="str">
        <f>_xlfn.TEXTAFTER(CONTROL[[#This Row],[VEHIDCODE]],"_")</f>
        <v>William_Fairbairn_2_2_2_Baroneza</v>
      </c>
      <c r="C881" t="str" cm="1">
        <f t="array" ref="C8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1" t="str" cm="1">
        <f t="array" ref="D8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4132</v>
      </c>
      <c r="F881" s="32" t="s">
        <v>2492</v>
      </c>
      <c r="G881" s="34" t="s">
        <v>1793</v>
      </c>
      <c r="H881" s="2" t="b">
        <f>AND(CONTROL[[#This Row],[IS_WAGON_OR_COACH]]=TRUE,OR(RIGHT(CONTROL[[#This Row],[VEHIDCODE]],7)="Powered",RIGHT(CONTROL[[#This Row],[VEHIDCODE]],9)="Unpowered"))</f>
        <v>0</v>
      </c>
      <c r="I8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1" t="b">
        <f>ISNUMBER(_xlfn.XMATCH(CONTROL[[#This Row],[VEHIDCODE]],TRACK_TYPES[VEHIDCODE],0))</f>
        <v>1</v>
      </c>
      <c r="K881" t="b">
        <f>ISNUMBER(_xlfn.XMATCH(CONTROL[[#This Row],[VEHIDCODE]],PROPERTIES[VEHIDCODE],0))</f>
        <v>1</v>
      </c>
      <c r="L881" t="b">
        <f>ISNUMBER(_xlfn.XLOOKUP(CONTROL[[#This Row],[VEHIDCODE]],roster!A:A,roster!D:D))</f>
        <v>1</v>
      </c>
      <c r="M881" t="b">
        <f>ISNUMBER(_xlfn.XMATCH(CONTROL[[#This Row],[VEHIDCODE]],GRAPHICS_PROPERTIES[VEHIDCODE],0))</f>
        <v>1</v>
      </c>
      <c r="N881" s="21" t="str">
        <f>"item_"&amp;CONTROL[[#This Row],[VEHIDCODE]]</f>
        <v>item_steam_William_Fairbairn_2_2_2_Baroneza</v>
      </c>
      <c r="O881" s="21" t="str">
        <f>"str_"&amp;CONTROL[[#This Row],[VEHIDCODE]]</f>
        <v>str_steam_William_Fairbairn_2_2_2_Baroneza</v>
      </c>
      <c r="P881" s="7" t="b">
        <f>_xlfn.XLOOKUP(CONTROL[[#This Row],[VEHIDCODE]],PROPERTIES[VEHIDCODE],PROPERTIES[IS_CONCEPT])="IS_CONCEPT"</f>
        <v>0</v>
      </c>
      <c r="Q881" s="7" t="b">
        <f>_xlfn.XLOOKUP(CONTROL[[#This Row],[VEHIDCODE]],PROPERTIES[VEHIDCODE],PROPERTIES[EXCLUDE])</f>
        <v>0</v>
      </c>
      <c r="R881" t="str" cm="1">
        <f t="array" ref="R881">_xlfn.XLOOKUP(CONTROL[[#This Row],[VEHIDCODE]],GRAPHICS_PROPERTIES[VEHIDCODE],GRAPHICS_PROPERTIES[TEMPLATE_ID]&amp;GRAPHICS_PROPERTIES[TEMPLATE_AMENDMENT_CODE])</f>
        <v>TPL_03A</v>
      </c>
    </row>
    <row r="882" spans="1:18" x14ac:dyDescent="0.35">
      <c r="A882" t="s">
        <v>3340</v>
      </c>
      <c r="B882" s="21" t="str">
        <f>_xlfn.TEXTAFTER(CONTROL[[#This Row],[VEHIDCODE]],"_")</f>
        <v>Hunslet_0_4_0ST_La_Portena</v>
      </c>
      <c r="C882" t="str" cm="1">
        <f t="array" ref="C8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2" t="str" cm="1">
        <f t="array" ref="D8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4133</v>
      </c>
      <c r="F882" s="32" t="s">
        <v>2493</v>
      </c>
      <c r="G882" s="34" t="s">
        <v>1794</v>
      </c>
      <c r="H882" s="2" t="b">
        <f>AND(CONTROL[[#This Row],[IS_WAGON_OR_COACH]]=TRUE,OR(RIGHT(CONTROL[[#This Row],[VEHIDCODE]],7)="Powered",RIGHT(CONTROL[[#This Row],[VEHIDCODE]],9)="Unpowered"))</f>
        <v>0</v>
      </c>
      <c r="I8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2" t="b">
        <f>ISNUMBER(_xlfn.XMATCH(CONTROL[[#This Row],[VEHIDCODE]],TRACK_TYPES[VEHIDCODE],0))</f>
        <v>1</v>
      </c>
      <c r="K882" t="b">
        <f>ISNUMBER(_xlfn.XMATCH(CONTROL[[#This Row],[VEHIDCODE]],PROPERTIES[VEHIDCODE],0))</f>
        <v>1</v>
      </c>
      <c r="L882" t="b">
        <f>ISNUMBER(_xlfn.XLOOKUP(CONTROL[[#This Row],[VEHIDCODE]],roster!A:A,roster!D:D))</f>
        <v>1</v>
      </c>
      <c r="M882" t="b">
        <f>ISNUMBER(_xlfn.XMATCH(CONTROL[[#This Row],[VEHIDCODE]],GRAPHICS_PROPERTIES[VEHIDCODE],0))</f>
        <v>1</v>
      </c>
      <c r="N882" s="21" t="str">
        <f>"item_"&amp;CONTROL[[#This Row],[VEHIDCODE]]</f>
        <v>item_steam_Hunslet_0_4_0ST_La_Portena</v>
      </c>
      <c r="O882" s="21" t="str">
        <f>"str_"&amp;CONTROL[[#This Row],[VEHIDCODE]]</f>
        <v>str_steam_Hunslet_0_4_0ST_La_Portena</v>
      </c>
      <c r="P882" s="7" t="b">
        <f>_xlfn.XLOOKUP(CONTROL[[#This Row],[VEHIDCODE]],PROPERTIES[VEHIDCODE],PROPERTIES[IS_CONCEPT])="IS_CONCEPT"</f>
        <v>0</v>
      </c>
      <c r="Q882" s="7" t="b">
        <f>_xlfn.XLOOKUP(CONTROL[[#This Row],[VEHIDCODE]],PROPERTIES[VEHIDCODE],PROPERTIES[EXCLUDE])</f>
        <v>0</v>
      </c>
      <c r="R882" t="str" cm="1">
        <f t="array" ref="R882">_xlfn.XLOOKUP(CONTROL[[#This Row],[VEHIDCODE]],GRAPHICS_PROPERTIES[VEHIDCODE],GRAPHICS_PROPERTIES[TEMPLATE_ID]&amp;GRAPHICS_PROPERTIES[TEMPLATE_AMENDMENT_CODE])</f>
        <v>TPL_03A</v>
      </c>
    </row>
    <row r="883" spans="1:18" x14ac:dyDescent="0.35">
      <c r="A883" t="s">
        <v>3341</v>
      </c>
      <c r="B883" s="21" t="str">
        <f>_xlfn.TEXTAFTER(CONTROL[[#This Row],[VEHIDCODE]],"_")</f>
        <v>Burnham_2_10_0_Dom_Pedro_Segundo_119</v>
      </c>
      <c r="C883" t="str" cm="1">
        <f t="array" ref="C8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3" t="str" cm="1">
        <f t="array" ref="D8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4134</v>
      </c>
      <c r="F883" s="32" t="s">
        <v>2494</v>
      </c>
      <c r="G883" t="s">
        <v>1795</v>
      </c>
      <c r="H883" s="2" t="b">
        <f>AND(CONTROL[[#This Row],[IS_WAGON_OR_COACH]]=TRUE,OR(RIGHT(CONTROL[[#This Row],[VEHIDCODE]],7)="Powered",RIGHT(CONTROL[[#This Row],[VEHIDCODE]],9)="Unpowered"))</f>
        <v>0</v>
      </c>
      <c r="I8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3" t="b">
        <f>ISNUMBER(_xlfn.XMATCH(CONTROL[[#This Row],[VEHIDCODE]],TRACK_TYPES[VEHIDCODE],0))</f>
        <v>1</v>
      </c>
      <c r="K883" t="b">
        <f>ISNUMBER(_xlfn.XMATCH(CONTROL[[#This Row],[VEHIDCODE]],PROPERTIES[VEHIDCODE],0))</f>
        <v>1</v>
      </c>
      <c r="L883" t="b">
        <f>ISNUMBER(_xlfn.XLOOKUP(CONTROL[[#This Row],[VEHIDCODE]],roster!A:A,roster!D:D))</f>
        <v>1</v>
      </c>
      <c r="M883" t="b">
        <f>ISNUMBER(_xlfn.XMATCH(CONTROL[[#This Row],[VEHIDCODE]],GRAPHICS_PROPERTIES[VEHIDCODE],0))</f>
        <v>1</v>
      </c>
      <c r="N883" s="21" t="str">
        <f>"item_"&amp;CONTROL[[#This Row],[VEHIDCODE]]</f>
        <v>item_steam_Burnham_2_10_0_Dom_Pedro_Segundo_119</v>
      </c>
      <c r="O883" s="21" t="str">
        <f>"str_"&amp;CONTROL[[#This Row],[VEHIDCODE]]</f>
        <v>str_steam_Burnham_2_10_0_Dom_Pedro_Segundo_119</v>
      </c>
      <c r="P883" s="7" t="b">
        <f>_xlfn.XLOOKUP(CONTROL[[#This Row],[VEHIDCODE]],PROPERTIES[VEHIDCODE],PROPERTIES[IS_CONCEPT])="IS_CONCEPT"</f>
        <v>0</v>
      </c>
      <c r="Q883" s="7" t="b">
        <f>_xlfn.XLOOKUP(CONTROL[[#This Row],[VEHIDCODE]],PROPERTIES[VEHIDCODE],PROPERTIES[EXCLUDE])</f>
        <v>0</v>
      </c>
      <c r="R883" t="str" cm="1">
        <f t="array" ref="R883">_xlfn.XLOOKUP(CONTROL[[#This Row],[VEHIDCODE]],GRAPHICS_PROPERTIES[VEHIDCODE],GRAPHICS_PROPERTIES[TEMPLATE_ID]&amp;GRAPHICS_PROPERTIES[TEMPLATE_AMENDMENT_CODE])</f>
        <v>TPL_03A</v>
      </c>
    </row>
    <row r="884" spans="1:18" x14ac:dyDescent="0.35">
      <c r="A884" t="s">
        <v>3342</v>
      </c>
      <c r="B884" s="21" t="str">
        <f>_xlfn.TEXTAFTER(CONTROL[[#This Row],[VEHIDCODE]],"_")</f>
        <v>Baldwin_0_22C_No8_Monsefu</v>
      </c>
      <c r="C884" t="str" cm="1">
        <f t="array" ref="C8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4" t="str" cm="1">
        <f t="array" ref="D8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4135</v>
      </c>
      <c r="F884" s="32" t="s">
        <v>2495</v>
      </c>
      <c r="G884" t="s">
        <v>1796</v>
      </c>
      <c r="H884" s="2" t="b">
        <f>AND(CONTROL[[#This Row],[IS_WAGON_OR_COACH]]=TRUE,OR(RIGHT(CONTROL[[#This Row],[VEHIDCODE]],7)="Powered",RIGHT(CONTROL[[#This Row],[VEHIDCODE]],9)="Unpowered"))</f>
        <v>0</v>
      </c>
      <c r="I8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4" t="b">
        <f>ISNUMBER(_xlfn.XMATCH(CONTROL[[#This Row],[VEHIDCODE]],TRACK_TYPES[VEHIDCODE],0))</f>
        <v>1</v>
      </c>
      <c r="K884" t="b">
        <f>ISNUMBER(_xlfn.XMATCH(CONTROL[[#This Row],[VEHIDCODE]],PROPERTIES[VEHIDCODE],0))</f>
        <v>1</v>
      </c>
      <c r="L884" t="b">
        <f>ISNUMBER(_xlfn.XLOOKUP(CONTROL[[#This Row],[VEHIDCODE]],roster!A:A,roster!D:D))</f>
        <v>1</v>
      </c>
      <c r="M884" t="b">
        <f>ISNUMBER(_xlfn.XMATCH(CONTROL[[#This Row],[VEHIDCODE]],GRAPHICS_PROPERTIES[VEHIDCODE],0))</f>
        <v>1</v>
      </c>
      <c r="N884" s="21" t="str">
        <f>"item_"&amp;CONTROL[[#This Row],[VEHIDCODE]]</f>
        <v>item_steam_Baldwin_0_22C_No8_Monsefu</v>
      </c>
      <c r="O884" s="21" t="str">
        <f>"str_"&amp;CONTROL[[#This Row],[VEHIDCODE]]</f>
        <v>str_steam_Baldwin_0_22C_No8_Monsefu</v>
      </c>
      <c r="P884" s="7" t="b">
        <f>_xlfn.XLOOKUP(CONTROL[[#This Row],[VEHIDCODE]],PROPERTIES[VEHIDCODE],PROPERTIES[IS_CONCEPT])="IS_CONCEPT"</f>
        <v>0</v>
      </c>
      <c r="Q884" s="7" t="b">
        <f>_xlfn.XLOOKUP(CONTROL[[#This Row],[VEHIDCODE]],PROPERTIES[VEHIDCODE],PROPERTIES[EXCLUDE])</f>
        <v>0</v>
      </c>
      <c r="R884" t="str" cm="1">
        <f t="array" ref="R884">_xlfn.XLOOKUP(CONTROL[[#This Row],[VEHIDCODE]],GRAPHICS_PROPERTIES[VEHIDCODE],GRAPHICS_PROPERTIES[TEMPLATE_ID]&amp;GRAPHICS_PROPERTIES[TEMPLATE_AMENDMENT_CODE])</f>
        <v>TPL_03A</v>
      </c>
    </row>
    <row r="885" spans="1:18" x14ac:dyDescent="0.35">
      <c r="A885" t="s">
        <v>3343</v>
      </c>
      <c r="B885" s="21" t="str">
        <f>_xlfn.TEXTAFTER(CONTROL[[#This Row],[VEHIDCODE]],"_")</f>
        <v>FCCP_Q_Class</v>
      </c>
      <c r="C885" t="str" cm="1">
        <f t="array" ref="C8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5" t="str" cm="1">
        <f t="array" ref="D8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4136</v>
      </c>
      <c r="F885" s="32" t="s">
        <v>3544</v>
      </c>
      <c r="G885" t="s">
        <v>3545</v>
      </c>
      <c r="H885" s="2" t="b">
        <f>AND(CONTROL[[#This Row],[IS_WAGON_OR_COACH]]=TRUE,OR(RIGHT(CONTROL[[#This Row],[VEHIDCODE]],7)="Powered",RIGHT(CONTROL[[#This Row],[VEHIDCODE]],9)="Unpowered"))</f>
        <v>0</v>
      </c>
      <c r="I8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5" t="b">
        <f>ISNUMBER(_xlfn.XMATCH(CONTROL[[#This Row],[VEHIDCODE]],TRACK_TYPES[VEHIDCODE],0))</f>
        <v>1</v>
      </c>
      <c r="K885" t="b">
        <f>ISNUMBER(_xlfn.XMATCH(CONTROL[[#This Row],[VEHIDCODE]],PROPERTIES[VEHIDCODE],0))</f>
        <v>1</v>
      </c>
      <c r="L885" t="b">
        <f>ISNUMBER(_xlfn.XLOOKUP(CONTROL[[#This Row],[VEHIDCODE]],roster!A:A,roster!D:D))</f>
        <v>1</v>
      </c>
      <c r="M885" t="b">
        <f>ISNUMBER(_xlfn.XMATCH(CONTROL[[#This Row],[VEHIDCODE]],GRAPHICS_PROPERTIES[VEHIDCODE],0))</f>
        <v>1</v>
      </c>
      <c r="N885" s="21" t="str">
        <f>"item_"&amp;CONTROL[[#This Row],[VEHIDCODE]]</f>
        <v>item_steam_FCCP_Q_Class</v>
      </c>
      <c r="O885" s="21" t="str">
        <f>"str_"&amp;CONTROL[[#This Row],[VEHIDCODE]]</f>
        <v>str_steam_FCCP_Q_Class</v>
      </c>
      <c r="P885" s="7" t="b">
        <f>_xlfn.XLOOKUP(CONTROL[[#This Row],[VEHIDCODE]],PROPERTIES[VEHIDCODE],PROPERTIES[IS_CONCEPT])="IS_CONCEPT"</f>
        <v>0</v>
      </c>
      <c r="Q885" s="7" t="b">
        <f>_xlfn.XLOOKUP(CONTROL[[#This Row],[VEHIDCODE]],PROPERTIES[VEHIDCODE],PROPERTIES[EXCLUDE])</f>
        <v>0</v>
      </c>
      <c r="R885" t="str" cm="1">
        <f t="array" ref="R885">_xlfn.XLOOKUP(CONTROL[[#This Row],[VEHIDCODE]],GRAPHICS_PROPERTIES[VEHIDCODE],GRAPHICS_PROPERTIES[TEMPLATE_ID]&amp;GRAPHICS_PROPERTIES[TEMPLATE_AMENDMENT_CODE])</f>
        <v>TPL_03A</v>
      </c>
    </row>
    <row r="886" spans="1:18" x14ac:dyDescent="0.35">
      <c r="A886" s="2" t="s">
        <v>3344</v>
      </c>
      <c r="B886" s="21" t="str">
        <f>_xlfn.TEXTAFTER(CONTROL[[#This Row],[VEHIDCODE]],"_")</f>
        <v>NBLC_4_6_2_PS10_Class</v>
      </c>
      <c r="C886" t="str" cm="1">
        <f t="array" ref="C8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6" t="str" cm="1">
        <f t="array" ref="D8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4137</v>
      </c>
      <c r="F886" s="32" t="s">
        <v>2496</v>
      </c>
      <c r="G886" t="s">
        <v>1797</v>
      </c>
      <c r="H886" s="2" t="b">
        <f>AND(CONTROL[[#This Row],[IS_WAGON_OR_COACH]]=TRUE,OR(RIGHT(CONTROL[[#This Row],[VEHIDCODE]],7)="Powered",RIGHT(CONTROL[[#This Row],[VEHIDCODE]],9)="Unpowered"))</f>
        <v>0</v>
      </c>
      <c r="I8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6" t="b">
        <f>ISNUMBER(_xlfn.XMATCH(CONTROL[[#This Row],[VEHIDCODE]],TRACK_TYPES[VEHIDCODE],0))</f>
        <v>1</v>
      </c>
      <c r="K886" t="b">
        <f>ISNUMBER(_xlfn.XMATCH(CONTROL[[#This Row],[VEHIDCODE]],PROPERTIES[VEHIDCODE],0))</f>
        <v>1</v>
      </c>
      <c r="L886" t="b">
        <f>ISNUMBER(_xlfn.XLOOKUP(CONTROL[[#This Row],[VEHIDCODE]],roster!A:A,roster!D:D))</f>
        <v>1</v>
      </c>
      <c r="M886" t="b">
        <f>ISNUMBER(_xlfn.XMATCH(CONTROL[[#This Row],[VEHIDCODE]],GRAPHICS_PROPERTIES[VEHIDCODE],0))</f>
        <v>1</v>
      </c>
      <c r="N886" s="21" t="str">
        <f>"item_"&amp;CONTROL[[#This Row],[VEHIDCODE]]</f>
        <v>item_steam_NBLC_4_6_2_PS10_Class</v>
      </c>
      <c r="O886" s="21" t="str">
        <f>"str_"&amp;CONTROL[[#This Row],[VEHIDCODE]]</f>
        <v>str_steam_NBLC_4_6_2_PS10_Class</v>
      </c>
      <c r="P886" s="7" t="b">
        <f>_xlfn.XLOOKUP(CONTROL[[#This Row],[VEHIDCODE]],PROPERTIES[VEHIDCODE],PROPERTIES[IS_CONCEPT])="IS_CONCEPT"</f>
        <v>0</v>
      </c>
      <c r="Q886" s="7" t="b">
        <f>_xlfn.XLOOKUP(CONTROL[[#This Row],[VEHIDCODE]],PROPERTIES[VEHIDCODE],PROPERTIES[EXCLUDE])</f>
        <v>0</v>
      </c>
      <c r="R886" t="str" cm="1">
        <f t="array" ref="R886">_xlfn.XLOOKUP(CONTROL[[#This Row],[VEHIDCODE]],GRAPHICS_PROPERTIES[VEHIDCODE],GRAPHICS_PROPERTIES[TEMPLATE_ID]&amp;GRAPHICS_PROPERTIES[TEMPLATE_AMENDMENT_CODE])</f>
        <v>TPL_03A</v>
      </c>
    </row>
    <row r="887" spans="1:18" x14ac:dyDescent="0.35">
      <c r="A887" t="s">
        <v>3345</v>
      </c>
      <c r="B887" s="21" t="str">
        <f>_xlfn.TEXTAFTER(CONTROL[[#This Row],[VEHIDCODE]],"_")</f>
        <v>Yorkshire_Engine_Co__4_8_4T_Nitrate_101</v>
      </c>
      <c r="C887" t="str" cm="1">
        <f t="array" ref="C8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7" t="str" cm="1">
        <f t="array" ref="D8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4138</v>
      </c>
      <c r="F887" s="32" t="s">
        <v>2497</v>
      </c>
      <c r="G887" t="s">
        <v>1798</v>
      </c>
      <c r="H887" s="2" t="b">
        <f>AND(CONTROL[[#This Row],[IS_WAGON_OR_COACH]]=TRUE,OR(RIGHT(CONTROL[[#This Row],[VEHIDCODE]],7)="Powered",RIGHT(CONTROL[[#This Row],[VEHIDCODE]],9)="Unpowered"))</f>
        <v>0</v>
      </c>
      <c r="I8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7" t="b">
        <f>ISNUMBER(_xlfn.XMATCH(CONTROL[[#This Row],[VEHIDCODE]],TRACK_TYPES[VEHIDCODE],0))</f>
        <v>1</v>
      </c>
      <c r="K887" t="b">
        <f>ISNUMBER(_xlfn.XMATCH(CONTROL[[#This Row],[VEHIDCODE]],PROPERTIES[VEHIDCODE],0))</f>
        <v>1</v>
      </c>
      <c r="L887" t="b">
        <f>ISNUMBER(_xlfn.XLOOKUP(CONTROL[[#This Row],[VEHIDCODE]],roster!A:A,roster!D:D))</f>
        <v>1</v>
      </c>
      <c r="M887" t="b">
        <f>ISNUMBER(_xlfn.XMATCH(CONTROL[[#This Row],[VEHIDCODE]],GRAPHICS_PROPERTIES[VEHIDCODE],0))</f>
        <v>1</v>
      </c>
      <c r="N887" s="21" t="str">
        <f>"item_"&amp;CONTROL[[#This Row],[VEHIDCODE]]</f>
        <v>item_steam_Yorkshire_Engine_Co__4_8_4T_Nitrate_101</v>
      </c>
      <c r="O887" s="21" t="str">
        <f>"str_"&amp;CONTROL[[#This Row],[VEHIDCODE]]</f>
        <v>str_steam_Yorkshire_Engine_Co__4_8_4T_Nitrate_101</v>
      </c>
      <c r="P887" s="7" t="b">
        <f>_xlfn.XLOOKUP(CONTROL[[#This Row],[VEHIDCODE]],PROPERTIES[VEHIDCODE],PROPERTIES[IS_CONCEPT])="IS_CONCEPT"</f>
        <v>0</v>
      </c>
      <c r="Q887" s="7" t="b">
        <f>_xlfn.XLOOKUP(CONTROL[[#This Row],[VEHIDCODE]],PROPERTIES[VEHIDCODE],PROPERTIES[EXCLUDE])</f>
        <v>0</v>
      </c>
      <c r="R887" t="str" cm="1">
        <f t="array" ref="R887">_xlfn.XLOOKUP(CONTROL[[#This Row],[VEHIDCODE]],GRAPHICS_PROPERTIES[VEHIDCODE],GRAPHICS_PROPERTIES[TEMPLATE_ID]&amp;GRAPHICS_PROPERTIES[TEMPLATE_AMENDMENT_CODE])</f>
        <v>TPL_03C</v>
      </c>
    </row>
    <row r="888" spans="1:18" x14ac:dyDescent="0.35">
      <c r="A888" t="s">
        <v>3346</v>
      </c>
      <c r="B888" s="21" t="str">
        <f>_xlfn.TEXTAFTER(CONTROL[[#This Row],[VEHIDCODE]],"_")</f>
        <v>SLM_BBC_1_D_1</v>
      </c>
      <c r="C888" t="str" cm="1">
        <f t="array" ref="C8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88" t="str" cm="1">
        <f t="array" ref="D8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8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6143</v>
      </c>
      <c r="F888" s="32" t="s">
        <v>2265</v>
      </c>
      <c r="G888" t="s">
        <v>1799</v>
      </c>
      <c r="H888" s="2" t="b">
        <f>AND(CONTROL[[#This Row],[IS_WAGON_OR_COACH]]=TRUE,OR(RIGHT(CONTROL[[#This Row],[VEHIDCODE]],7)="Powered",RIGHT(CONTROL[[#This Row],[VEHIDCODE]],9)="Unpowered"))</f>
        <v>0</v>
      </c>
      <c r="I8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8" t="b">
        <f>ISNUMBER(_xlfn.XMATCH(CONTROL[[#This Row],[VEHIDCODE]],TRACK_TYPES[VEHIDCODE],0))</f>
        <v>1</v>
      </c>
      <c r="K888" t="b">
        <f>ISNUMBER(_xlfn.XMATCH(CONTROL[[#This Row],[VEHIDCODE]],PROPERTIES[VEHIDCODE],0))</f>
        <v>1</v>
      </c>
      <c r="L888" t="b">
        <f>ISNUMBER(_xlfn.XLOOKUP(CONTROL[[#This Row],[VEHIDCODE]],roster!A:A,roster!D:D))</f>
        <v>1</v>
      </c>
      <c r="M888" t="b">
        <f>ISNUMBER(_xlfn.XMATCH(CONTROL[[#This Row],[VEHIDCODE]],GRAPHICS_PROPERTIES[VEHIDCODE],0))</f>
        <v>1</v>
      </c>
      <c r="N888" s="21" t="str">
        <f>"item_"&amp;CONTROL[[#This Row],[VEHIDCODE]]</f>
        <v>item_electric_SLM_BBC_1_D_1</v>
      </c>
      <c r="O888" s="21" t="str">
        <f>"str_"&amp;CONTROL[[#This Row],[VEHIDCODE]]</f>
        <v>str_electric_SLM_BBC_1_D_1</v>
      </c>
      <c r="P888" s="7" t="b">
        <f>_xlfn.XLOOKUP(CONTROL[[#This Row],[VEHIDCODE]],PROPERTIES[VEHIDCODE],PROPERTIES[IS_CONCEPT])="IS_CONCEPT"</f>
        <v>0</v>
      </c>
      <c r="Q888" s="7" t="b">
        <f>_xlfn.XLOOKUP(CONTROL[[#This Row],[VEHIDCODE]],PROPERTIES[VEHIDCODE],PROPERTIES[EXCLUDE])</f>
        <v>0</v>
      </c>
      <c r="R888" t="str" cm="1">
        <f t="array" ref="R888">_xlfn.XLOOKUP(CONTROL[[#This Row],[VEHIDCODE]],GRAPHICS_PROPERTIES[VEHIDCODE],GRAPHICS_PROPERTIES[TEMPLATE_ID]&amp;GRAPHICS_PROPERTIES[TEMPLATE_AMENDMENT_CODE])</f>
        <v>TPL_01A</v>
      </c>
    </row>
    <row r="889" spans="1:18" x14ac:dyDescent="0.35">
      <c r="A889" t="s">
        <v>3347</v>
      </c>
      <c r="B889" s="21" t="str">
        <f>_xlfn.TEXTAFTER(CONTROL[[#This Row],[VEHIDCODE]],"_")</f>
        <v>GE_2_C_C_2</v>
      </c>
      <c r="C889" t="str" cm="1">
        <f t="array" ref="C8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89" t="str" cm="1">
        <f t="array" ref="D8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8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6144</v>
      </c>
      <c r="F889" s="32" t="s">
        <v>1801</v>
      </c>
      <c r="G889" t="s">
        <v>1802</v>
      </c>
      <c r="H889" s="2" t="b">
        <f>AND(CONTROL[[#This Row],[IS_WAGON_OR_COACH]]=TRUE,OR(RIGHT(CONTROL[[#This Row],[VEHIDCODE]],7)="Powered",RIGHT(CONTROL[[#This Row],[VEHIDCODE]],9)="Unpowered"))</f>
        <v>0</v>
      </c>
      <c r="I8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9" t="b">
        <f>ISNUMBER(_xlfn.XMATCH(CONTROL[[#This Row],[VEHIDCODE]],TRACK_TYPES[VEHIDCODE],0))</f>
        <v>1</v>
      </c>
      <c r="K889" t="b">
        <f>ISNUMBER(_xlfn.XMATCH(CONTROL[[#This Row],[VEHIDCODE]],PROPERTIES[VEHIDCODE],0))</f>
        <v>1</v>
      </c>
      <c r="L889" t="b">
        <f>ISNUMBER(_xlfn.XLOOKUP(CONTROL[[#This Row],[VEHIDCODE]],roster!A:A,roster!D:D))</f>
        <v>1</v>
      </c>
      <c r="M889" t="b">
        <f>ISNUMBER(_xlfn.XMATCH(CONTROL[[#This Row],[VEHIDCODE]],GRAPHICS_PROPERTIES[VEHIDCODE],0))</f>
        <v>1</v>
      </c>
      <c r="N889" s="21" t="str">
        <f>"item_"&amp;CONTROL[[#This Row],[VEHIDCODE]]</f>
        <v>item_electric_GE_2_C_C_2</v>
      </c>
      <c r="O889" s="21" t="str">
        <f>"str_"&amp;CONTROL[[#This Row],[VEHIDCODE]]</f>
        <v>str_electric_GE_2_C_C_2</v>
      </c>
      <c r="P889" s="7" t="b">
        <f>_xlfn.XLOOKUP(CONTROL[[#This Row],[VEHIDCODE]],PROPERTIES[VEHIDCODE],PROPERTIES[IS_CONCEPT])="IS_CONCEPT"</f>
        <v>0</v>
      </c>
      <c r="Q889" s="7" t="b">
        <f>_xlfn.XLOOKUP(CONTROL[[#This Row],[VEHIDCODE]],PROPERTIES[VEHIDCODE],PROPERTIES[EXCLUDE])</f>
        <v>0</v>
      </c>
      <c r="R889" t="str" cm="1">
        <f t="array" ref="R889">_xlfn.XLOOKUP(CONTROL[[#This Row],[VEHIDCODE]],GRAPHICS_PROPERTIES[VEHIDCODE],GRAPHICS_PROPERTIES[TEMPLATE_ID]&amp;GRAPHICS_PROPERTIES[TEMPLATE_AMENDMENT_CODE])</f>
        <v>TPL_01A</v>
      </c>
    </row>
    <row r="890" spans="1:18" x14ac:dyDescent="0.35">
      <c r="A890" t="s">
        <v>3348</v>
      </c>
      <c r="B890" s="21" t="str">
        <f>_xlfn.TEXTAFTER(CONTROL[[#This Row],[VEHIDCODE]],"_")</f>
        <v>Norris___Brothers_4_4_0_La_Copiapo</v>
      </c>
      <c r="C890" t="str" cm="1">
        <f t="array" ref="C8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90" t="str" cm="1">
        <f t="array" ref="D8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9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4139</v>
      </c>
      <c r="F890" s="32" t="s">
        <v>2498</v>
      </c>
      <c r="G890" t="s">
        <v>1804</v>
      </c>
      <c r="H890" s="2" t="b">
        <f>AND(CONTROL[[#This Row],[IS_WAGON_OR_COACH]]=TRUE,OR(RIGHT(CONTROL[[#This Row],[VEHIDCODE]],7)="Powered",RIGHT(CONTROL[[#This Row],[VEHIDCODE]],9)="Unpowered"))</f>
        <v>0</v>
      </c>
      <c r="I8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0" t="b">
        <f>ISNUMBER(_xlfn.XMATCH(CONTROL[[#This Row],[VEHIDCODE]],TRACK_TYPES[VEHIDCODE],0))</f>
        <v>1</v>
      </c>
      <c r="K890" t="b">
        <f>ISNUMBER(_xlfn.XMATCH(CONTROL[[#This Row],[VEHIDCODE]],PROPERTIES[VEHIDCODE],0))</f>
        <v>1</v>
      </c>
      <c r="L890" t="b">
        <f>ISNUMBER(_xlfn.XLOOKUP(CONTROL[[#This Row],[VEHIDCODE]],roster!A:A,roster!D:D))</f>
        <v>1</v>
      </c>
      <c r="M890" t="b">
        <f>ISNUMBER(_xlfn.XMATCH(CONTROL[[#This Row],[VEHIDCODE]],GRAPHICS_PROPERTIES[VEHIDCODE],0))</f>
        <v>1</v>
      </c>
      <c r="N890" s="21" t="str">
        <f>"item_"&amp;CONTROL[[#This Row],[VEHIDCODE]]</f>
        <v>item_steam_Norris___Brothers_4_4_0_La_Copiapo</v>
      </c>
      <c r="O890" s="21" t="str">
        <f>"str_"&amp;CONTROL[[#This Row],[VEHIDCODE]]</f>
        <v>str_steam_Norris___Brothers_4_4_0_La_Copiapo</v>
      </c>
      <c r="P890" s="7" t="b">
        <f>_xlfn.XLOOKUP(CONTROL[[#This Row],[VEHIDCODE]],PROPERTIES[VEHIDCODE],PROPERTIES[IS_CONCEPT])="IS_CONCEPT"</f>
        <v>0</v>
      </c>
      <c r="Q890" s="7" t="b">
        <f>_xlfn.XLOOKUP(CONTROL[[#This Row],[VEHIDCODE]],PROPERTIES[VEHIDCODE],PROPERTIES[EXCLUDE])</f>
        <v>0</v>
      </c>
      <c r="R890" t="str" cm="1">
        <f t="array" ref="R890">_xlfn.XLOOKUP(CONTROL[[#This Row],[VEHIDCODE]],GRAPHICS_PROPERTIES[VEHIDCODE],GRAPHICS_PROPERTIES[TEMPLATE_ID]&amp;GRAPHICS_PROPERTIES[TEMPLATE_AMENDMENT_CODE])</f>
        <v>TPL_03A</v>
      </c>
    </row>
    <row r="891" spans="1:18" x14ac:dyDescent="0.35">
      <c r="A891" t="s">
        <v>3349</v>
      </c>
      <c r="B891" s="21" t="str">
        <f>_xlfn.TEXTAFTER(CONTROL[[#This Row],[VEHIDCODE]],"_")</f>
        <v>AEG_A1A_A1A</v>
      </c>
      <c r="C891" t="str" cm="1">
        <f t="array" ref="C8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91" t="str" cm="1">
        <f t="array" ref="D8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9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6145</v>
      </c>
      <c r="F891" s="32" t="s">
        <v>1805</v>
      </c>
      <c r="G891" t="s">
        <v>1806</v>
      </c>
      <c r="H891" s="2" t="b">
        <f>AND(CONTROL[[#This Row],[IS_WAGON_OR_COACH]]=TRUE,OR(RIGHT(CONTROL[[#This Row],[VEHIDCODE]],7)="Powered",RIGHT(CONTROL[[#This Row],[VEHIDCODE]],9)="Unpowered"))</f>
        <v>0</v>
      </c>
      <c r="I8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1" t="b">
        <f>ISNUMBER(_xlfn.XMATCH(CONTROL[[#This Row],[VEHIDCODE]],TRACK_TYPES[VEHIDCODE],0))</f>
        <v>1</v>
      </c>
      <c r="K891" t="b">
        <f>ISNUMBER(_xlfn.XMATCH(CONTROL[[#This Row],[VEHIDCODE]],PROPERTIES[VEHIDCODE],0))</f>
        <v>1</v>
      </c>
      <c r="L891" t="b">
        <f>ISNUMBER(_xlfn.XLOOKUP(CONTROL[[#This Row],[VEHIDCODE]],roster!A:A,roster!D:D))</f>
        <v>1</v>
      </c>
      <c r="M891" t="b">
        <f>ISNUMBER(_xlfn.XMATCH(CONTROL[[#This Row],[VEHIDCODE]],GRAPHICS_PROPERTIES[VEHIDCODE],0))</f>
        <v>1</v>
      </c>
      <c r="N891" s="21" t="str">
        <f>"item_"&amp;CONTROL[[#This Row],[VEHIDCODE]]</f>
        <v>item_electric_AEG_A1A_A1A</v>
      </c>
      <c r="O891" s="21" t="str">
        <f>"str_"&amp;CONTROL[[#This Row],[VEHIDCODE]]</f>
        <v>str_electric_AEG_A1A_A1A</v>
      </c>
      <c r="P891" s="7" t="b">
        <f>_xlfn.XLOOKUP(CONTROL[[#This Row],[VEHIDCODE]],PROPERTIES[VEHIDCODE],PROPERTIES[IS_CONCEPT])="IS_CONCEPT"</f>
        <v>0</v>
      </c>
      <c r="Q891" s="7" t="b">
        <f>_xlfn.XLOOKUP(CONTROL[[#This Row],[VEHIDCODE]],PROPERTIES[VEHIDCODE],PROPERTIES[EXCLUDE])</f>
        <v>0</v>
      </c>
      <c r="R891" t="str" cm="1">
        <f t="array" ref="R891">_xlfn.XLOOKUP(CONTROL[[#This Row],[VEHIDCODE]],GRAPHICS_PROPERTIES[VEHIDCODE],GRAPHICS_PROPERTIES[TEMPLATE_ID]&amp;GRAPHICS_PROPERTIES[TEMPLATE_AMENDMENT_CODE])</f>
        <v>TPL_01A</v>
      </c>
    </row>
    <row r="892" spans="1:18" x14ac:dyDescent="0.35">
      <c r="A892" t="s">
        <v>3691</v>
      </c>
      <c r="B892" s="21" t="str">
        <f>_xlfn.TEXTAFTER(CONTROL[[#This Row],[VEHIDCODE]],"_")</f>
        <v>Ganz_Bariloche_DMU</v>
      </c>
      <c r="C892" t="str" cm="1">
        <f t="array" ref="C8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892" t="str" cm="1">
        <f t="array" ref="D8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89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7054</v>
      </c>
      <c r="F892" s="32" t="s">
        <v>3692</v>
      </c>
      <c r="G892" t="s">
        <v>1937</v>
      </c>
      <c r="H892" s="2" t="b">
        <f>AND(CONTROL[[#This Row],[IS_WAGON_OR_COACH]]=TRUE,OR(RIGHT(CONTROL[[#This Row],[VEHIDCODE]],7)="Powered",RIGHT(CONTROL[[#This Row],[VEHIDCODE]],9)="Unpowered"))</f>
        <v>0</v>
      </c>
      <c r="I8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2" t="b">
        <f>ISNUMBER(_xlfn.XMATCH(CONTROL[[#This Row],[VEHIDCODE]],TRACK_TYPES[VEHIDCODE],0))</f>
        <v>1</v>
      </c>
      <c r="K892" t="b">
        <f>ISNUMBER(_xlfn.XMATCH(CONTROL[[#This Row],[VEHIDCODE]],PROPERTIES[VEHIDCODE],0))</f>
        <v>1</v>
      </c>
      <c r="L892" t="b">
        <f>ISNUMBER(_xlfn.XLOOKUP(CONTROL[[#This Row],[VEHIDCODE]],roster!A:A,roster!D:D))</f>
        <v>1</v>
      </c>
      <c r="M892" t="b">
        <f>ISNUMBER(_xlfn.XMATCH(CONTROL[[#This Row],[VEHIDCODE]],GRAPHICS_PROPERTIES[VEHIDCODE],0))</f>
        <v>1</v>
      </c>
      <c r="N892" s="21" t="str">
        <f>"item_"&amp;CONTROL[[#This Row],[VEHIDCODE]]</f>
        <v>item_dmu_Ganz_Bariloche_DMU</v>
      </c>
      <c r="O892" s="21" t="str">
        <f>"str_"&amp;CONTROL[[#This Row],[VEHIDCODE]]</f>
        <v>str_dmu_Ganz_Bariloche_DMU</v>
      </c>
      <c r="P892" s="7" t="b">
        <f>_xlfn.XLOOKUP(CONTROL[[#This Row],[VEHIDCODE]],PROPERTIES[VEHIDCODE],PROPERTIES[IS_CONCEPT])="IS_CONCEPT"</f>
        <v>0</v>
      </c>
      <c r="Q892" s="7" t="b">
        <f>_xlfn.XLOOKUP(CONTROL[[#This Row],[VEHIDCODE]],PROPERTIES[VEHIDCODE],PROPERTIES[EXCLUDE])</f>
        <v>0</v>
      </c>
      <c r="R892" t="str" cm="1">
        <f t="array" ref="R892">_xlfn.XLOOKUP(CONTROL[[#This Row],[VEHIDCODE]],GRAPHICS_PROPERTIES[VEHIDCODE],GRAPHICS_PROPERTIES[TEMPLATE_ID]&amp;GRAPHICS_PROPERTIES[TEMPLATE_AMENDMENT_CODE])</f>
        <v>TPL_02A</v>
      </c>
    </row>
    <row r="893" spans="1:18" x14ac:dyDescent="0.35">
      <c r="A893" t="s">
        <v>3350</v>
      </c>
      <c r="B893" s="21" t="str">
        <f>_xlfn.TEXTAFTER(CONTROL[[#This Row],[VEHIDCODE]],"_")</f>
        <v>Avonside_0_6_0ST_Sao_Paulo_No__13___14</v>
      </c>
      <c r="C893" t="str" cm="1">
        <f t="array" ref="C8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93" t="str" cm="1">
        <f t="array" ref="D8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9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4140</v>
      </c>
      <c r="F893" s="32" t="s">
        <v>2499</v>
      </c>
      <c r="G893" t="s">
        <v>1807</v>
      </c>
      <c r="H893" s="2" t="b">
        <f>AND(CONTROL[[#This Row],[IS_WAGON_OR_COACH]]=TRUE,OR(RIGHT(CONTROL[[#This Row],[VEHIDCODE]],7)="Powered",RIGHT(CONTROL[[#This Row],[VEHIDCODE]],9)="Unpowered"))</f>
        <v>0</v>
      </c>
      <c r="I8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3" t="b">
        <f>ISNUMBER(_xlfn.XMATCH(CONTROL[[#This Row],[VEHIDCODE]],TRACK_TYPES[VEHIDCODE],0))</f>
        <v>1</v>
      </c>
      <c r="K893" t="b">
        <f>ISNUMBER(_xlfn.XMATCH(CONTROL[[#This Row],[VEHIDCODE]],PROPERTIES[VEHIDCODE],0))</f>
        <v>1</v>
      </c>
      <c r="L893" t="b">
        <f>ISNUMBER(_xlfn.XLOOKUP(CONTROL[[#This Row],[VEHIDCODE]],roster!A:A,roster!D:D))</f>
        <v>1</v>
      </c>
      <c r="M893" t="b">
        <f>ISNUMBER(_xlfn.XMATCH(CONTROL[[#This Row],[VEHIDCODE]],GRAPHICS_PROPERTIES[VEHIDCODE],0))</f>
        <v>1</v>
      </c>
      <c r="N893" s="21" t="str">
        <f>"item_"&amp;CONTROL[[#This Row],[VEHIDCODE]]</f>
        <v>item_steam_Avonside_0_6_0ST_Sao_Paulo_No__13___14</v>
      </c>
      <c r="O893" s="21" t="str">
        <f>"str_"&amp;CONTROL[[#This Row],[VEHIDCODE]]</f>
        <v>str_steam_Avonside_0_6_0ST_Sao_Paulo_No__13___14</v>
      </c>
      <c r="P893" s="7" t="b">
        <f>_xlfn.XLOOKUP(CONTROL[[#This Row],[VEHIDCODE]],PROPERTIES[VEHIDCODE],PROPERTIES[IS_CONCEPT])="IS_CONCEPT"</f>
        <v>0</v>
      </c>
      <c r="Q893" s="7" t="b">
        <f>_xlfn.XLOOKUP(CONTROL[[#This Row],[VEHIDCODE]],PROPERTIES[VEHIDCODE],PROPERTIES[EXCLUDE])</f>
        <v>0</v>
      </c>
      <c r="R893" t="str" cm="1">
        <f t="array" ref="R893">_xlfn.XLOOKUP(CONTROL[[#This Row],[VEHIDCODE]],GRAPHICS_PROPERTIES[VEHIDCODE],GRAPHICS_PROPERTIES[TEMPLATE_ID]&amp;GRAPHICS_PROPERTIES[TEMPLATE_AMENDMENT_CODE])</f>
        <v>TPL_03A</v>
      </c>
    </row>
    <row r="894" spans="1:18" x14ac:dyDescent="0.35">
      <c r="A894" t="s">
        <v>3690</v>
      </c>
      <c r="B894" s="21" t="str">
        <f>_xlfn.TEXTAFTER(CONTROL[[#This Row],[VEHIDCODE]],"_")</f>
        <v>Ganz_CMU_4701_Transandino</v>
      </c>
      <c r="C894" t="str" cm="1">
        <f t="array" ref="C8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894" t="str" cm="1">
        <f t="array" ref="D8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89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7055</v>
      </c>
      <c r="F894" s="32" t="s">
        <v>3693</v>
      </c>
      <c r="G894" t="s">
        <v>1808</v>
      </c>
      <c r="H894" s="2" t="b">
        <f>AND(CONTROL[[#This Row],[IS_WAGON_OR_COACH]]=TRUE,OR(RIGHT(CONTROL[[#This Row],[VEHIDCODE]],7)="Powered",RIGHT(CONTROL[[#This Row],[VEHIDCODE]],9)="Unpowered"))</f>
        <v>0</v>
      </c>
      <c r="I8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4" t="b">
        <f>ISNUMBER(_xlfn.XMATCH(CONTROL[[#This Row],[VEHIDCODE]],TRACK_TYPES[VEHIDCODE],0))</f>
        <v>1</v>
      </c>
      <c r="K894" t="b">
        <f>ISNUMBER(_xlfn.XMATCH(CONTROL[[#This Row],[VEHIDCODE]],PROPERTIES[VEHIDCODE],0))</f>
        <v>1</v>
      </c>
      <c r="L894" t="b">
        <f>ISNUMBER(_xlfn.XLOOKUP(CONTROL[[#This Row],[VEHIDCODE]],roster!A:A,roster!D:D))</f>
        <v>1</v>
      </c>
      <c r="M894" t="b">
        <f>ISNUMBER(_xlfn.XMATCH(CONTROL[[#This Row],[VEHIDCODE]],GRAPHICS_PROPERTIES[VEHIDCODE],0))</f>
        <v>1</v>
      </c>
      <c r="N894" s="21" t="str">
        <f>"item_"&amp;CONTROL[[#This Row],[VEHIDCODE]]</f>
        <v>item_dmu_Ganz_CMU_4701_Transandino</v>
      </c>
      <c r="O894" s="21" t="str">
        <f>"str_"&amp;CONTROL[[#This Row],[VEHIDCODE]]</f>
        <v>str_dmu_Ganz_CMU_4701_Transandino</v>
      </c>
      <c r="P894" s="7" t="b">
        <f>_xlfn.XLOOKUP(CONTROL[[#This Row],[VEHIDCODE]],PROPERTIES[VEHIDCODE],PROPERTIES[IS_CONCEPT])="IS_CONCEPT"</f>
        <v>0</v>
      </c>
      <c r="Q894" s="7" t="b">
        <f>_xlfn.XLOOKUP(CONTROL[[#This Row],[VEHIDCODE]],PROPERTIES[VEHIDCODE],PROPERTIES[EXCLUDE])</f>
        <v>0</v>
      </c>
      <c r="R894" t="str" cm="1">
        <f t="array" ref="R894">_xlfn.XLOOKUP(CONTROL[[#This Row],[VEHIDCODE]],GRAPHICS_PROPERTIES[VEHIDCODE],GRAPHICS_PROPERTIES[TEMPLATE_ID]&amp;GRAPHICS_PROPERTIES[TEMPLATE_AMENDMENT_CODE])</f>
        <v>TPL_02A</v>
      </c>
    </row>
    <row r="895" spans="1:18" x14ac:dyDescent="0.35">
      <c r="A895" t="s">
        <v>3351</v>
      </c>
      <c r="B895" s="21" t="str">
        <f>_xlfn.TEXTAFTER(CONTROL[[#This Row],[VEHIDCODE]],"_")</f>
        <v>Kawasaki_Hitachi_AEZ_Railcar</v>
      </c>
      <c r="C895" t="str" cm="1">
        <f t="array" ref="C8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95" t="str" cm="1">
        <f t="array" ref="D8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9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8079</v>
      </c>
      <c r="F895" s="32" t="s">
        <v>2500</v>
      </c>
      <c r="G895" s="34" t="s">
        <v>1809</v>
      </c>
      <c r="H895" s="2" t="b">
        <f>AND(CONTROL[[#This Row],[IS_WAGON_OR_COACH]]=TRUE,OR(RIGHT(CONTROL[[#This Row],[VEHIDCODE]],7)="Powered",RIGHT(CONTROL[[#This Row],[VEHIDCODE]],9)="Unpowered"))</f>
        <v>0</v>
      </c>
      <c r="I8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5" t="b">
        <f>ISNUMBER(_xlfn.XMATCH(CONTROL[[#This Row],[VEHIDCODE]],TRACK_TYPES[VEHIDCODE],0))</f>
        <v>1</v>
      </c>
      <c r="K895" t="b">
        <f>ISNUMBER(_xlfn.XMATCH(CONTROL[[#This Row],[VEHIDCODE]],PROPERTIES[VEHIDCODE],0))</f>
        <v>1</v>
      </c>
      <c r="L895" t="b">
        <f>ISNUMBER(_xlfn.XLOOKUP(CONTROL[[#This Row],[VEHIDCODE]],roster!A:A,roster!D:D))</f>
        <v>1</v>
      </c>
      <c r="M895" t="b">
        <f>ISNUMBER(_xlfn.XMATCH(CONTROL[[#This Row],[VEHIDCODE]],GRAPHICS_PROPERTIES[VEHIDCODE],0))</f>
        <v>1</v>
      </c>
      <c r="N895" s="21" t="str">
        <f>"item_"&amp;CONTROL[[#This Row],[VEHIDCODE]]</f>
        <v>item_emu_Kawasaki_Hitachi_AEZ_Railcar</v>
      </c>
      <c r="O895" s="21" t="str">
        <f>"str_"&amp;CONTROL[[#This Row],[VEHIDCODE]]</f>
        <v>str_emu_Kawasaki_Hitachi_AEZ_Railcar</v>
      </c>
      <c r="P895" s="7" t="b">
        <f>_xlfn.XLOOKUP(CONTROL[[#This Row],[VEHIDCODE]],PROPERTIES[VEHIDCODE],PROPERTIES[IS_CONCEPT])="IS_CONCEPT"</f>
        <v>0</v>
      </c>
      <c r="Q895" s="7" t="b">
        <f>_xlfn.XLOOKUP(CONTROL[[#This Row],[VEHIDCODE]],PROPERTIES[VEHIDCODE],PROPERTIES[EXCLUDE])</f>
        <v>0</v>
      </c>
      <c r="R895" t="str" cm="1">
        <f t="array" ref="R895">_xlfn.XLOOKUP(CONTROL[[#This Row],[VEHIDCODE]],GRAPHICS_PROPERTIES[VEHIDCODE],GRAPHICS_PROPERTIES[TEMPLATE_ID]&amp;GRAPHICS_PROPERTIES[TEMPLATE_AMENDMENT_CODE])</f>
        <v>TPL_02A</v>
      </c>
    </row>
    <row r="896" spans="1:18" x14ac:dyDescent="0.35">
      <c r="A896" t="s">
        <v>3352</v>
      </c>
      <c r="B896" s="21" t="str">
        <f>_xlfn.TEXTAFTER(CONTROL[[#This Row],[VEHIDCODE]],"_")</f>
        <v>BREL_GEC_Auckland_ART_Concept</v>
      </c>
      <c r="C896" t="str" cm="1">
        <f t="array" ref="C8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96" t="str" cm="1">
        <f t="array" ref="D8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9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8080</v>
      </c>
      <c r="F896" s="32" t="s">
        <v>1810</v>
      </c>
      <c r="G896" t="s">
        <v>523</v>
      </c>
      <c r="H896" s="2" t="b">
        <f>AND(CONTROL[[#This Row],[IS_WAGON_OR_COACH]]=TRUE,OR(RIGHT(CONTROL[[#This Row],[VEHIDCODE]],7)="Powered",RIGHT(CONTROL[[#This Row],[VEHIDCODE]],9)="Unpowered"))</f>
        <v>0</v>
      </c>
      <c r="I8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6" t="b">
        <f>ISNUMBER(_xlfn.XMATCH(CONTROL[[#This Row],[VEHIDCODE]],TRACK_TYPES[VEHIDCODE],0))</f>
        <v>1</v>
      </c>
      <c r="K896" t="b">
        <f>ISNUMBER(_xlfn.XMATCH(CONTROL[[#This Row],[VEHIDCODE]],PROPERTIES[VEHIDCODE],0))</f>
        <v>1</v>
      </c>
      <c r="L896" t="b">
        <f>ISNUMBER(_xlfn.XLOOKUP(CONTROL[[#This Row],[VEHIDCODE]],roster!A:A,roster!D:D))</f>
        <v>1</v>
      </c>
      <c r="M896" t="b">
        <f>ISNUMBER(_xlfn.XMATCH(CONTROL[[#This Row],[VEHIDCODE]],GRAPHICS_PROPERTIES[VEHIDCODE],0))</f>
        <v>1</v>
      </c>
      <c r="N896" s="21" t="str">
        <f>"item_"&amp;CONTROL[[#This Row],[VEHIDCODE]]</f>
        <v>item_emu_BREL_GEC_Auckland_ART_Concept</v>
      </c>
      <c r="O896" s="21" t="str">
        <f>"str_"&amp;CONTROL[[#This Row],[VEHIDCODE]]</f>
        <v>str_emu_BREL_GEC_Auckland_ART_Concept</v>
      </c>
      <c r="P896" s="7" t="b">
        <f>_xlfn.XLOOKUP(CONTROL[[#This Row],[VEHIDCODE]],PROPERTIES[VEHIDCODE],PROPERTIES[IS_CONCEPT])="IS_CONCEPT"</f>
        <v>1</v>
      </c>
      <c r="Q896" s="7" t="b">
        <f>_xlfn.XLOOKUP(CONTROL[[#This Row],[VEHIDCODE]],PROPERTIES[VEHIDCODE],PROPERTIES[EXCLUDE])</f>
        <v>0</v>
      </c>
      <c r="R896" t="str" cm="1">
        <f t="array" ref="R896">_xlfn.XLOOKUP(CONTROL[[#This Row],[VEHIDCODE]],GRAPHICS_PROPERTIES[VEHIDCODE],GRAPHICS_PROPERTIES[TEMPLATE_ID]&amp;GRAPHICS_PROPERTIES[TEMPLATE_AMENDMENT_CODE])</f>
        <v>TPL_02A</v>
      </c>
    </row>
    <row r="897" spans="1:18" x14ac:dyDescent="0.35">
      <c r="A897" t="s">
        <v>3353</v>
      </c>
      <c r="B897" s="21" t="str">
        <f>_xlfn.TEXTAFTER(CONTROL[[#This Row],[VEHIDCODE]],"_")</f>
        <v>Comeng_1100_Railcar</v>
      </c>
      <c r="C897" t="str" cm="1">
        <f t="array" ref="C8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897" t="str" cm="1">
        <f t="array" ref="D8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89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7056</v>
      </c>
      <c r="F897" s="32" t="s">
        <v>2501</v>
      </c>
      <c r="G897" t="s">
        <v>1811</v>
      </c>
      <c r="H897" s="2" t="b">
        <f>AND(CONTROL[[#This Row],[IS_WAGON_OR_COACH]]=TRUE,OR(RIGHT(CONTROL[[#This Row],[VEHIDCODE]],7)="Powered",RIGHT(CONTROL[[#This Row],[VEHIDCODE]],9)="Unpowered"))</f>
        <v>0</v>
      </c>
      <c r="I8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7" t="b">
        <f>ISNUMBER(_xlfn.XMATCH(CONTROL[[#This Row],[VEHIDCODE]],TRACK_TYPES[VEHIDCODE],0))</f>
        <v>1</v>
      </c>
      <c r="K897" t="b">
        <f>ISNUMBER(_xlfn.XMATCH(CONTROL[[#This Row],[VEHIDCODE]],PROPERTIES[VEHIDCODE],0))</f>
        <v>1</v>
      </c>
      <c r="L897" t="b">
        <f>ISNUMBER(_xlfn.XLOOKUP(CONTROL[[#This Row],[VEHIDCODE]],roster!A:A,roster!D:D))</f>
        <v>1</v>
      </c>
      <c r="M897" t="b">
        <f>ISNUMBER(_xlfn.XMATCH(CONTROL[[#This Row],[VEHIDCODE]],GRAPHICS_PROPERTIES[VEHIDCODE],0))</f>
        <v>1</v>
      </c>
      <c r="N897" s="21" t="str">
        <f>"item_"&amp;CONTROL[[#This Row],[VEHIDCODE]]</f>
        <v>item_dmu_Comeng_1100_Railcar</v>
      </c>
      <c r="O897" s="21" t="str">
        <f>"str_"&amp;CONTROL[[#This Row],[VEHIDCODE]]</f>
        <v>str_dmu_Comeng_1100_Railcar</v>
      </c>
      <c r="P897" s="7" t="b">
        <f>_xlfn.XLOOKUP(CONTROL[[#This Row],[VEHIDCODE]],PROPERTIES[VEHIDCODE],PROPERTIES[IS_CONCEPT])="IS_CONCEPT"</f>
        <v>0</v>
      </c>
      <c r="Q897" s="7" t="b">
        <f>_xlfn.XLOOKUP(CONTROL[[#This Row],[VEHIDCODE]],PROPERTIES[VEHIDCODE],PROPERTIES[EXCLUDE])</f>
        <v>0</v>
      </c>
      <c r="R897" t="str" cm="1">
        <f t="array" ref="R897">_xlfn.XLOOKUP(CONTROL[[#This Row],[VEHIDCODE]],GRAPHICS_PROPERTIES[VEHIDCODE],GRAPHICS_PROPERTIES[TEMPLATE_ID]&amp;GRAPHICS_PROPERTIES[TEMPLATE_AMENDMENT_CODE])</f>
        <v>TPL_02A</v>
      </c>
    </row>
    <row r="898" spans="1:18" x14ac:dyDescent="0.35">
      <c r="A898" t="s">
        <v>3354</v>
      </c>
      <c r="B898" s="21" t="str">
        <f>_xlfn.TEXTAFTER(CONTROL[[#This Row],[VEHIDCODE]],"_")</f>
        <v>Thai_Comeng_XPT_Concept</v>
      </c>
      <c r="C898" t="str" cm="1">
        <f t="array" ref="C8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898" t="str" cm="1">
        <f t="array" ref="D8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89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7057</v>
      </c>
      <c r="F898" s="32" t="s">
        <v>1813</v>
      </c>
      <c r="G898" t="s">
        <v>523</v>
      </c>
      <c r="H898" s="2" t="b">
        <f>AND(CONTROL[[#This Row],[IS_WAGON_OR_COACH]]=TRUE,OR(RIGHT(CONTROL[[#This Row],[VEHIDCODE]],7)="Powered",RIGHT(CONTROL[[#This Row],[VEHIDCODE]],9)="Unpowered"))</f>
        <v>0</v>
      </c>
      <c r="I8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8" t="b">
        <f>ISNUMBER(_xlfn.XMATCH(CONTROL[[#This Row],[VEHIDCODE]],TRACK_TYPES[VEHIDCODE],0))</f>
        <v>1</v>
      </c>
      <c r="K898" t="b">
        <f>ISNUMBER(_xlfn.XMATCH(CONTROL[[#This Row],[VEHIDCODE]],PROPERTIES[VEHIDCODE],0))</f>
        <v>1</v>
      </c>
      <c r="L898" t="b">
        <f>ISNUMBER(_xlfn.XLOOKUP(CONTROL[[#This Row],[VEHIDCODE]],roster!A:A,roster!D:D))</f>
        <v>1</v>
      </c>
      <c r="M898" t="b">
        <f>ISNUMBER(_xlfn.XMATCH(CONTROL[[#This Row],[VEHIDCODE]],GRAPHICS_PROPERTIES[VEHIDCODE],0))</f>
        <v>1</v>
      </c>
      <c r="N898" s="21" t="str">
        <f>"item_"&amp;CONTROL[[#This Row],[VEHIDCODE]]</f>
        <v>item_dmu_Thai_Comeng_XPT_Concept</v>
      </c>
      <c r="O898" s="21" t="str">
        <f>"str_"&amp;CONTROL[[#This Row],[VEHIDCODE]]</f>
        <v>str_dmu_Thai_Comeng_XPT_Concept</v>
      </c>
      <c r="P898" s="7" t="b">
        <f>_xlfn.XLOOKUP(CONTROL[[#This Row],[VEHIDCODE]],PROPERTIES[VEHIDCODE],PROPERTIES[IS_CONCEPT])="IS_CONCEPT"</f>
        <v>1</v>
      </c>
      <c r="Q898" s="7" t="b">
        <f>_xlfn.XLOOKUP(CONTROL[[#This Row],[VEHIDCODE]],PROPERTIES[VEHIDCODE],PROPERTIES[EXCLUDE])</f>
        <v>0</v>
      </c>
      <c r="R898" t="str" cm="1">
        <f t="array" ref="R898">_xlfn.XLOOKUP(CONTROL[[#This Row],[VEHIDCODE]],GRAPHICS_PROPERTIES[VEHIDCODE],GRAPHICS_PROPERTIES[TEMPLATE_ID]&amp;GRAPHICS_PROPERTIES[TEMPLATE_AMENDMENT_CODE])</f>
        <v>TPL_02A</v>
      </c>
    </row>
    <row r="899" spans="1:18" x14ac:dyDescent="0.35">
      <c r="A899" s="2" t="s">
        <v>3355</v>
      </c>
      <c r="B899" s="21" t="str">
        <f>_xlfn.TEXTAFTER(CONTROL[[#This Row],[VEHIDCODE]],"_")</f>
        <v>Comeng_NSW_XPT</v>
      </c>
      <c r="C899" t="str" cm="1">
        <f t="array" ref="C8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899" t="str" cm="1">
        <f t="array" ref="D8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89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7058</v>
      </c>
      <c r="F899" s="32" t="s">
        <v>2502</v>
      </c>
      <c r="G899" t="s">
        <v>1814</v>
      </c>
      <c r="H899" s="2" t="b">
        <f>AND(CONTROL[[#This Row],[IS_WAGON_OR_COACH]]=TRUE,OR(RIGHT(CONTROL[[#This Row],[VEHIDCODE]],7)="Powered",RIGHT(CONTROL[[#This Row],[VEHIDCODE]],9)="Unpowered"))</f>
        <v>0</v>
      </c>
      <c r="I8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9" t="b">
        <f>ISNUMBER(_xlfn.XMATCH(CONTROL[[#This Row],[VEHIDCODE]],TRACK_TYPES[VEHIDCODE],0))</f>
        <v>1</v>
      </c>
      <c r="K899" t="b">
        <f>ISNUMBER(_xlfn.XMATCH(CONTROL[[#This Row],[VEHIDCODE]],PROPERTIES[VEHIDCODE],0))</f>
        <v>1</v>
      </c>
      <c r="L899" t="b">
        <f>ISNUMBER(_xlfn.XLOOKUP(CONTROL[[#This Row],[VEHIDCODE]],roster!A:A,roster!D:D))</f>
        <v>1</v>
      </c>
      <c r="M899" t="b">
        <f>ISNUMBER(_xlfn.XMATCH(CONTROL[[#This Row],[VEHIDCODE]],GRAPHICS_PROPERTIES[VEHIDCODE],0))</f>
        <v>1</v>
      </c>
      <c r="N899" s="21" t="str">
        <f>"item_"&amp;CONTROL[[#This Row],[VEHIDCODE]]</f>
        <v>item_dmu_Comeng_NSW_XPT</v>
      </c>
      <c r="O899" s="21" t="str">
        <f>"str_"&amp;CONTROL[[#This Row],[VEHIDCODE]]</f>
        <v>str_dmu_Comeng_NSW_XPT</v>
      </c>
      <c r="P899" s="7" t="b">
        <f>_xlfn.XLOOKUP(CONTROL[[#This Row],[VEHIDCODE]],PROPERTIES[VEHIDCODE],PROPERTIES[IS_CONCEPT])="IS_CONCEPT"</f>
        <v>0</v>
      </c>
      <c r="Q899" s="7" t="b">
        <f>_xlfn.XLOOKUP(CONTROL[[#This Row],[VEHIDCODE]],PROPERTIES[VEHIDCODE],PROPERTIES[EXCLUDE])</f>
        <v>0</v>
      </c>
      <c r="R899" t="str" cm="1">
        <f t="array" ref="R899">_xlfn.XLOOKUP(CONTROL[[#This Row],[VEHIDCODE]],GRAPHICS_PROPERTIES[VEHIDCODE],GRAPHICS_PROPERTIES[TEMPLATE_ID]&amp;GRAPHICS_PROPERTIES[TEMPLATE_AMENDMENT_CODE])</f>
        <v>TPL_02A</v>
      </c>
    </row>
    <row r="900" spans="1:18" x14ac:dyDescent="0.35">
      <c r="A900" t="s">
        <v>3356</v>
      </c>
      <c r="B900" s="21" t="str">
        <f>_xlfn.TEXTAFTER(CONTROL[[#This Row],[VEHIDCODE]],"_")</f>
        <v>Tangara_V_Set_Hybrid_Concept</v>
      </c>
      <c r="C900" t="str" cm="1">
        <f t="array" ref="C9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0" t="str" cm="1">
        <f t="array" ref="D9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8081</v>
      </c>
      <c r="F900" s="32" t="s">
        <v>1815</v>
      </c>
      <c r="G900" t="s">
        <v>523</v>
      </c>
      <c r="H900" s="2" t="b">
        <f>AND(CONTROL[[#This Row],[IS_WAGON_OR_COACH]]=TRUE,OR(RIGHT(CONTROL[[#This Row],[VEHIDCODE]],7)="Powered",RIGHT(CONTROL[[#This Row],[VEHIDCODE]],9)="Unpowered"))</f>
        <v>0</v>
      </c>
      <c r="I9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0" t="b">
        <f>ISNUMBER(_xlfn.XMATCH(CONTROL[[#This Row],[VEHIDCODE]],TRACK_TYPES[VEHIDCODE],0))</f>
        <v>1</v>
      </c>
      <c r="K900" t="b">
        <f>ISNUMBER(_xlfn.XMATCH(CONTROL[[#This Row],[VEHIDCODE]],PROPERTIES[VEHIDCODE],0))</f>
        <v>1</v>
      </c>
      <c r="L900" t="b">
        <f>ISNUMBER(_xlfn.XLOOKUP(CONTROL[[#This Row],[VEHIDCODE]],roster!A:A,roster!D:D))</f>
        <v>1</v>
      </c>
      <c r="M900" t="b">
        <f>ISNUMBER(_xlfn.XMATCH(CONTROL[[#This Row],[VEHIDCODE]],GRAPHICS_PROPERTIES[VEHIDCODE],0))</f>
        <v>1</v>
      </c>
      <c r="N900" s="21" t="str">
        <f>"item_"&amp;CONTROL[[#This Row],[VEHIDCODE]]</f>
        <v>item_emu_Tangara_V_Set_Hybrid_Concept</v>
      </c>
      <c r="O900" s="21" t="str">
        <f>"str_"&amp;CONTROL[[#This Row],[VEHIDCODE]]</f>
        <v>str_emu_Tangara_V_Set_Hybrid_Concept</v>
      </c>
      <c r="P900" s="7" t="b">
        <f>_xlfn.XLOOKUP(CONTROL[[#This Row],[VEHIDCODE]],PROPERTIES[VEHIDCODE],PROPERTIES[IS_CONCEPT])="IS_CONCEPT"</f>
        <v>1</v>
      </c>
      <c r="Q900" s="7" t="b">
        <f>_xlfn.XLOOKUP(CONTROL[[#This Row],[VEHIDCODE]],PROPERTIES[VEHIDCODE],PROPERTIES[EXCLUDE])</f>
        <v>0</v>
      </c>
      <c r="R900" t="str" cm="1">
        <f t="array" ref="R900">_xlfn.XLOOKUP(CONTROL[[#This Row],[VEHIDCODE]],GRAPHICS_PROPERTIES[VEHIDCODE],GRAPHICS_PROPERTIES[TEMPLATE_ID]&amp;GRAPHICS_PROPERTIES[TEMPLATE_AMENDMENT_CODE])</f>
        <v>TPL_02A</v>
      </c>
    </row>
    <row r="901" spans="1:18" x14ac:dyDescent="0.35">
      <c r="A901" t="s">
        <v>3357</v>
      </c>
      <c r="B901" s="21" t="str">
        <f>_xlfn.TEXTAFTER(CONTROL[[#This Row],[VEHIDCODE]],"_")</f>
        <v>NSWGR_800_900_DEB</v>
      </c>
      <c r="C901" t="str" cm="1">
        <f t="array" ref="C9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01" t="str" cm="1">
        <f t="array" ref="D9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0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7059</v>
      </c>
      <c r="F901" s="32" t="s">
        <v>1816</v>
      </c>
      <c r="G901" t="s">
        <v>1817</v>
      </c>
      <c r="H901" s="2" t="b">
        <f>AND(CONTROL[[#This Row],[IS_WAGON_OR_COACH]]=TRUE,OR(RIGHT(CONTROL[[#This Row],[VEHIDCODE]],7)="Powered",RIGHT(CONTROL[[#This Row],[VEHIDCODE]],9)="Unpowered"))</f>
        <v>0</v>
      </c>
      <c r="I9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1" t="b">
        <f>ISNUMBER(_xlfn.XMATCH(CONTROL[[#This Row],[VEHIDCODE]],TRACK_TYPES[VEHIDCODE],0))</f>
        <v>1</v>
      </c>
      <c r="K901" t="b">
        <f>ISNUMBER(_xlfn.XMATCH(CONTROL[[#This Row],[VEHIDCODE]],PROPERTIES[VEHIDCODE],0))</f>
        <v>1</v>
      </c>
      <c r="L901" t="b">
        <f>ISNUMBER(_xlfn.XLOOKUP(CONTROL[[#This Row],[VEHIDCODE]],roster!A:A,roster!D:D))</f>
        <v>1</v>
      </c>
      <c r="M901" t="b">
        <f>ISNUMBER(_xlfn.XMATCH(CONTROL[[#This Row],[VEHIDCODE]],GRAPHICS_PROPERTIES[VEHIDCODE],0))</f>
        <v>1</v>
      </c>
      <c r="N901" s="21" t="str">
        <f>"item_"&amp;CONTROL[[#This Row],[VEHIDCODE]]</f>
        <v>item_dmu_NSWGR_800_900_DEB</v>
      </c>
      <c r="O901" s="21" t="str">
        <f>"str_"&amp;CONTROL[[#This Row],[VEHIDCODE]]</f>
        <v>str_dmu_NSWGR_800_900_DEB</v>
      </c>
      <c r="P901" s="7" t="b">
        <f>_xlfn.XLOOKUP(CONTROL[[#This Row],[VEHIDCODE]],PROPERTIES[VEHIDCODE],PROPERTIES[IS_CONCEPT])="IS_CONCEPT"</f>
        <v>1</v>
      </c>
      <c r="Q901" s="7" t="b">
        <f>_xlfn.XLOOKUP(CONTROL[[#This Row],[VEHIDCODE]],PROPERTIES[VEHIDCODE],PROPERTIES[EXCLUDE])</f>
        <v>0</v>
      </c>
      <c r="R901" t="str" cm="1">
        <f t="array" ref="R901">_xlfn.XLOOKUP(CONTROL[[#This Row],[VEHIDCODE]],GRAPHICS_PROPERTIES[VEHIDCODE],GRAPHICS_PROPERTIES[TEMPLATE_ID]&amp;GRAPHICS_PROPERTIES[TEMPLATE_AMENDMENT_CODE])</f>
        <v>TPL_02A</v>
      </c>
    </row>
    <row r="902" spans="1:18" x14ac:dyDescent="0.35">
      <c r="A902" t="s">
        <v>3358</v>
      </c>
      <c r="B902" s="21" t="str">
        <f>_xlfn.TEXTAFTER(CONTROL[[#This Row],[VEHIDCODE]],"_")</f>
        <v>Goninan_Tangara_4D_Prototype</v>
      </c>
      <c r="C902" t="str" cm="1">
        <f t="array" ref="C9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2" t="str" cm="1">
        <f t="array" ref="D9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8082</v>
      </c>
      <c r="F902" s="32" t="s">
        <v>2503</v>
      </c>
      <c r="G902" t="s">
        <v>1818</v>
      </c>
      <c r="H902" s="2" t="b">
        <f>AND(CONTROL[[#This Row],[IS_WAGON_OR_COACH]]=TRUE,OR(RIGHT(CONTROL[[#This Row],[VEHIDCODE]],7)="Powered",RIGHT(CONTROL[[#This Row],[VEHIDCODE]],9)="Unpowered"))</f>
        <v>0</v>
      </c>
      <c r="I9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2" t="b">
        <f>ISNUMBER(_xlfn.XMATCH(CONTROL[[#This Row],[VEHIDCODE]],TRACK_TYPES[VEHIDCODE],0))</f>
        <v>1</v>
      </c>
      <c r="K902" t="b">
        <f>ISNUMBER(_xlfn.XMATCH(CONTROL[[#This Row],[VEHIDCODE]],PROPERTIES[VEHIDCODE],0))</f>
        <v>1</v>
      </c>
      <c r="L902" t="b">
        <f>ISNUMBER(_xlfn.XLOOKUP(CONTROL[[#This Row],[VEHIDCODE]],roster!A:A,roster!D:D))</f>
        <v>1</v>
      </c>
      <c r="M902" t="b">
        <f>ISNUMBER(_xlfn.XMATCH(CONTROL[[#This Row],[VEHIDCODE]],GRAPHICS_PROPERTIES[VEHIDCODE],0))</f>
        <v>1</v>
      </c>
      <c r="N902" s="21" t="str">
        <f>"item_"&amp;CONTROL[[#This Row],[VEHIDCODE]]</f>
        <v>item_emu_Goninan_Tangara_4D_Prototype</v>
      </c>
      <c r="O902" s="21" t="str">
        <f>"str_"&amp;CONTROL[[#This Row],[VEHIDCODE]]</f>
        <v>str_emu_Goninan_Tangara_4D_Prototype</v>
      </c>
      <c r="P902" s="7" t="b">
        <f>_xlfn.XLOOKUP(CONTROL[[#This Row],[VEHIDCODE]],PROPERTIES[VEHIDCODE],PROPERTIES[IS_CONCEPT])="IS_CONCEPT"</f>
        <v>0</v>
      </c>
      <c r="Q902" s="7" t="b">
        <f>_xlfn.XLOOKUP(CONTROL[[#This Row],[VEHIDCODE]],PROPERTIES[VEHIDCODE],PROPERTIES[EXCLUDE])</f>
        <v>0</v>
      </c>
      <c r="R902" t="str" cm="1">
        <f t="array" ref="R902">_xlfn.XLOOKUP(CONTROL[[#This Row],[VEHIDCODE]],GRAPHICS_PROPERTIES[VEHIDCODE],GRAPHICS_PROPERTIES[TEMPLATE_ID]&amp;GRAPHICS_PROPERTIES[TEMPLATE_AMENDMENT_CODE])</f>
        <v>TPL_02A</v>
      </c>
    </row>
    <row r="903" spans="1:18" x14ac:dyDescent="0.35">
      <c r="A903" t="s">
        <v>3359</v>
      </c>
      <c r="B903" s="21" t="str">
        <f>_xlfn.TEXTAFTER(CONTROL[[#This Row],[VEHIDCODE]],"_")</f>
        <v>Goninan_Tangara_T_Set</v>
      </c>
      <c r="C903" t="str" cm="1">
        <f t="array" ref="C9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3" t="str" cm="1">
        <f t="array" ref="D9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8083</v>
      </c>
      <c r="F903" s="32" t="s">
        <v>2504</v>
      </c>
      <c r="G903" t="s">
        <v>1820</v>
      </c>
      <c r="H903" s="2" t="b">
        <f>AND(CONTROL[[#This Row],[IS_WAGON_OR_COACH]]=TRUE,OR(RIGHT(CONTROL[[#This Row],[VEHIDCODE]],7)="Powered",RIGHT(CONTROL[[#This Row],[VEHIDCODE]],9)="Unpowered"))</f>
        <v>0</v>
      </c>
      <c r="I9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3" t="b">
        <f>ISNUMBER(_xlfn.XMATCH(CONTROL[[#This Row],[VEHIDCODE]],TRACK_TYPES[VEHIDCODE],0))</f>
        <v>1</v>
      </c>
      <c r="K903" t="b">
        <f>ISNUMBER(_xlfn.XMATCH(CONTROL[[#This Row],[VEHIDCODE]],PROPERTIES[VEHIDCODE],0))</f>
        <v>1</v>
      </c>
      <c r="L903" t="b">
        <f>ISNUMBER(_xlfn.XLOOKUP(CONTROL[[#This Row],[VEHIDCODE]],roster!A:A,roster!D:D))</f>
        <v>1</v>
      </c>
      <c r="M903" t="b">
        <f>ISNUMBER(_xlfn.XMATCH(CONTROL[[#This Row],[VEHIDCODE]],GRAPHICS_PROPERTIES[VEHIDCODE],0))</f>
        <v>1</v>
      </c>
      <c r="N903" s="21" t="str">
        <f>"item_"&amp;CONTROL[[#This Row],[VEHIDCODE]]</f>
        <v>item_emu_Goninan_Tangara_T_Set</v>
      </c>
      <c r="O903" s="21" t="str">
        <f>"str_"&amp;CONTROL[[#This Row],[VEHIDCODE]]</f>
        <v>str_emu_Goninan_Tangara_T_Set</v>
      </c>
      <c r="P903" s="7" t="b">
        <f>_xlfn.XLOOKUP(CONTROL[[#This Row],[VEHIDCODE]],PROPERTIES[VEHIDCODE],PROPERTIES[IS_CONCEPT])="IS_CONCEPT"</f>
        <v>0</v>
      </c>
      <c r="Q903" s="7" t="b">
        <f>_xlfn.XLOOKUP(CONTROL[[#This Row],[VEHIDCODE]],PROPERTIES[VEHIDCODE],PROPERTIES[EXCLUDE])</f>
        <v>0</v>
      </c>
      <c r="R903" t="str" cm="1">
        <f t="array" ref="R903">_xlfn.XLOOKUP(CONTROL[[#This Row],[VEHIDCODE]],GRAPHICS_PROPERTIES[VEHIDCODE],GRAPHICS_PROPERTIES[TEMPLATE_ID]&amp;GRAPHICS_PROPERTIES[TEMPLATE_AMENDMENT_CODE])</f>
        <v>TPL_02A</v>
      </c>
    </row>
    <row r="904" spans="1:18" x14ac:dyDescent="0.35">
      <c r="A904" t="s">
        <v>3360</v>
      </c>
      <c r="B904" s="21" t="str">
        <f>_xlfn.TEXTAFTER(CONTROL[[#This Row],[VEHIDCODE]],"_")</f>
        <v>NSWGR_600_700</v>
      </c>
      <c r="C904" t="str" cm="1">
        <f t="array" ref="C9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04" t="str" cm="1">
        <f t="array" ref="D9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0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7060</v>
      </c>
      <c r="F904" s="32" t="s">
        <v>1819</v>
      </c>
      <c r="G904" t="s">
        <v>1821</v>
      </c>
      <c r="H904" s="2" t="b">
        <f>AND(CONTROL[[#This Row],[IS_WAGON_OR_COACH]]=TRUE,OR(RIGHT(CONTROL[[#This Row],[VEHIDCODE]],7)="Powered",RIGHT(CONTROL[[#This Row],[VEHIDCODE]],9)="Unpowered"))</f>
        <v>0</v>
      </c>
      <c r="I9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4" t="b">
        <f>ISNUMBER(_xlfn.XMATCH(CONTROL[[#This Row],[VEHIDCODE]],TRACK_TYPES[VEHIDCODE],0))</f>
        <v>1</v>
      </c>
      <c r="K904" t="b">
        <f>ISNUMBER(_xlfn.XMATCH(CONTROL[[#This Row],[VEHIDCODE]],PROPERTIES[VEHIDCODE],0))</f>
        <v>1</v>
      </c>
      <c r="L904" t="b">
        <f>ISNUMBER(_xlfn.XLOOKUP(CONTROL[[#This Row],[VEHIDCODE]],roster!A:A,roster!D:D))</f>
        <v>1</v>
      </c>
      <c r="M904" t="b">
        <f>ISNUMBER(_xlfn.XMATCH(CONTROL[[#This Row],[VEHIDCODE]],GRAPHICS_PROPERTIES[VEHIDCODE],0))</f>
        <v>1</v>
      </c>
      <c r="N904" s="21" t="str">
        <f>"item_"&amp;CONTROL[[#This Row],[VEHIDCODE]]</f>
        <v>item_dmu_NSWGR_600_700</v>
      </c>
      <c r="O904" s="21" t="str">
        <f>"str_"&amp;CONTROL[[#This Row],[VEHIDCODE]]</f>
        <v>str_dmu_NSWGR_600_700</v>
      </c>
      <c r="P904" s="7" t="b">
        <f>_xlfn.XLOOKUP(CONTROL[[#This Row],[VEHIDCODE]],PROPERTIES[VEHIDCODE],PROPERTIES[IS_CONCEPT])="IS_CONCEPT"</f>
        <v>0</v>
      </c>
      <c r="Q904" s="7" t="b">
        <f>_xlfn.XLOOKUP(CONTROL[[#This Row],[VEHIDCODE]],PROPERTIES[VEHIDCODE],PROPERTIES[EXCLUDE])</f>
        <v>0</v>
      </c>
      <c r="R904" t="str" cm="1">
        <f t="array" ref="R904">_xlfn.XLOOKUP(CONTROL[[#This Row],[VEHIDCODE]],GRAPHICS_PROPERTIES[VEHIDCODE],GRAPHICS_PROPERTIES[TEMPLATE_ID]&amp;GRAPHICS_PROPERTIES[TEMPLATE_AMENDMENT_CODE])</f>
        <v>TPL_02A</v>
      </c>
    </row>
    <row r="905" spans="1:18" x14ac:dyDescent="0.35">
      <c r="A905" t="s">
        <v>3361</v>
      </c>
      <c r="B905" s="21" t="str">
        <f>_xlfn.TEXTAFTER(CONTROL[[#This Row],[VEHIDCODE]],"_")</f>
        <v>Kawasaki_RM_Silver_Fern</v>
      </c>
      <c r="C905" t="str" cm="1">
        <f t="array" ref="C9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05" t="str" cm="1">
        <f t="array" ref="D9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0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7061</v>
      </c>
      <c r="F905" s="32" t="s">
        <v>2505</v>
      </c>
      <c r="G905" t="s">
        <v>1822</v>
      </c>
      <c r="H905" s="2" t="b">
        <f>AND(CONTROL[[#This Row],[IS_WAGON_OR_COACH]]=TRUE,OR(RIGHT(CONTROL[[#This Row],[VEHIDCODE]],7)="Powered",RIGHT(CONTROL[[#This Row],[VEHIDCODE]],9)="Unpowered"))</f>
        <v>0</v>
      </c>
      <c r="I9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5" t="b">
        <f>ISNUMBER(_xlfn.XMATCH(CONTROL[[#This Row],[VEHIDCODE]],TRACK_TYPES[VEHIDCODE],0))</f>
        <v>1</v>
      </c>
      <c r="K905" t="b">
        <f>ISNUMBER(_xlfn.XMATCH(CONTROL[[#This Row],[VEHIDCODE]],PROPERTIES[VEHIDCODE],0))</f>
        <v>1</v>
      </c>
      <c r="L905" t="b">
        <f>ISNUMBER(_xlfn.XLOOKUP(CONTROL[[#This Row],[VEHIDCODE]],roster!A:A,roster!D:D))</f>
        <v>1</v>
      </c>
      <c r="M905" t="b">
        <f>ISNUMBER(_xlfn.XMATCH(CONTROL[[#This Row],[VEHIDCODE]],GRAPHICS_PROPERTIES[VEHIDCODE],0))</f>
        <v>1</v>
      </c>
      <c r="N905" s="21" t="str">
        <f>"item_"&amp;CONTROL[[#This Row],[VEHIDCODE]]</f>
        <v>item_dmu_Kawasaki_RM_Silver_Fern</v>
      </c>
      <c r="O905" s="21" t="str">
        <f>"str_"&amp;CONTROL[[#This Row],[VEHIDCODE]]</f>
        <v>str_dmu_Kawasaki_RM_Silver_Fern</v>
      </c>
      <c r="P905" s="7" t="b">
        <f>_xlfn.XLOOKUP(CONTROL[[#This Row],[VEHIDCODE]],PROPERTIES[VEHIDCODE],PROPERTIES[IS_CONCEPT])="IS_CONCEPT"</f>
        <v>0</v>
      </c>
      <c r="Q905" s="7" t="b">
        <f>_xlfn.XLOOKUP(CONTROL[[#This Row],[VEHIDCODE]],PROPERTIES[VEHIDCODE],PROPERTIES[EXCLUDE])</f>
        <v>0</v>
      </c>
      <c r="R905" t="str" cm="1">
        <f t="array" ref="R905">_xlfn.XLOOKUP(CONTROL[[#This Row],[VEHIDCODE]],GRAPHICS_PROPERTIES[VEHIDCODE],GRAPHICS_PROPERTIES[TEMPLATE_ID]&amp;GRAPHICS_PROPERTIES[TEMPLATE_AMENDMENT_CODE])</f>
        <v>TPL_02A</v>
      </c>
    </row>
    <row r="906" spans="1:18" x14ac:dyDescent="0.35">
      <c r="A906" t="s">
        <v>3362</v>
      </c>
      <c r="B906" s="21" t="str">
        <f>_xlfn.TEXTAFTER(CONTROL[[#This Row],[VEHIDCODE]],"_")</f>
        <v>Comeng_W_Class_Sputnik</v>
      </c>
      <c r="C906" t="str" cm="1">
        <f t="array" ref="C9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6" t="str" cm="1">
        <f t="array" ref="D9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8084</v>
      </c>
      <c r="F906" s="32" t="s">
        <v>2506</v>
      </c>
      <c r="G906" t="s">
        <v>1823</v>
      </c>
      <c r="H906" s="2" t="b">
        <f>AND(CONTROL[[#This Row],[IS_WAGON_OR_COACH]]=TRUE,OR(RIGHT(CONTROL[[#This Row],[VEHIDCODE]],7)="Powered",RIGHT(CONTROL[[#This Row],[VEHIDCODE]],9)="Unpowered"))</f>
        <v>0</v>
      </c>
      <c r="I9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6" t="b">
        <f>ISNUMBER(_xlfn.XMATCH(CONTROL[[#This Row],[VEHIDCODE]],TRACK_TYPES[VEHIDCODE],0))</f>
        <v>1</v>
      </c>
      <c r="K906" t="b">
        <f>ISNUMBER(_xlfn.XMATCH(CONTROL[[#This Row],[VEHIDCODE]],PROPERTIES[VEHIDCODE],0))</f>
        <v>1</v>
      </c>
      <c r="L906" t="b">
        <f>ISNUMBER(_xlfn.XLOOKUP(CONTROL[[#This Row],[VEHIDCODE]],roster!A:A,roster!D:D))</f>
        <v>1</v>
      </c>
      <c r="M906" t="b">
        <f>ISNUMBER(_xlfn.XMATCH(CONTROL[[#This Row],[VEHIDCODE]],GRAPHICS_PROPERTIES[VEHIDCODE],0))</f>
        <v>1</v>
      </c>
      <c r="N906" s="21" t="str">
        <f>"item_"&amp;CONTROL[[#This Row],[VEHIDCODE]]</f>
        <v>item_emu_Comeng_W_Class_Sputnik</v>
      </c>
      <c r="O906" s="21" t="str">
        <f>"str_"&amp;CONTROL[[#This Row],[VEHIDCODE]]</f>
        <v>str_emu_Comeng_W_Class_Sputnik</v>
      </c>
      <c r="P906" s="7" t="b">
        <f>_xlfn.XLOOKUP(CONTROL[[#This Row],[VEHIDCODE]],PROPERTIES[VEHIDCODE],PROPERTIES[IS_CONCEPT])="IS_CONCEPT"</f>
        <v>0</v>
      </c>
      <c r="Q906" s="7" t="b">
        <f>_xlfn.XLOOKUP(CONTROL[[#This Row],[VEHIDCODE]],PROPERTIES[VEHIDCODE],PROPERTIES[EXCLUDE])</f>
        <v>0</v>
      </c>
      <c r="R906" t="str" cm="1">
        <f t="array" ref="R906">_xlfn.XLOOKUP(CONTROL[[#This Row],[VEHIDCODE]],GRAPHICS_PROPERTIES[VEHIDCODE],GRAPHICS_PROPERTIES[TEMPLATE_ID]&amp;GRAPHICS_PROPERTIES[TEMPLATE_AMENDMENT_CODE])</f>
        <v>TPL_02A</v>
      </c>
    </row>
    <row r="907" spans="1:18" x14ac:dyDescent="0.35">
      <c r="A907" t="s">
        <v>3363</v>
      </c>
      <c r="B907" s="21" t="str">
        <f>_xlfn.TEXTAFTER(CONTROL[[#This Row],[VEHIDCODE]],"_")</f>
        <v>Leeds_Clyde_Standard_EMU</v>
      </c>
      <c r="C907" t="str" cm="1">
        <f t="array" ref="C9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7" t="str" cm="1">
        <f t="array" ref="D9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8085</v>
      </c>
      <c r="F907" s="32" t="s">
        <v>2507</v>
      </c>
      <c r="G907" t="s">
        <v>1828</v>
      </c>
      <c r="H907" s="2" t="b">
        <f>AND(CONTROL[[#This Row],[IS_WAGON_OR_COACH]]=TRUE,OR(RIGHT(CONTROL[[#This Row],[VEHIDCODE]],7)="Powered",RIGHT(CONTROL[[#This Row],[VEHIDCODE]],9)="Unpowered"))</f>
        <v>0</v>
      </c>
      <c r="I9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7" t="b">
        <f>ISNUMBER(_xlfn.XMATCH(CONTROL[[#This Row],[VEHIDCODE]],TRACK_TYPES[VEHIDCODE],0))</f>
        <v>1</v>
      </c>
      <c r="K907" t="b">
        <f>ISNUMBER(_xlfn.XMATCH(CONTROL[[#This Row],[VEHIDCODE]],PROPERTIES[VEHIDCODE],0))</f>
        <v>1</v>
      </c>
      <c r="L907" t="b">
        <f>ISNUMBER(_xlfn.XLOOKUP(CONTROL[[#This Row],[VEHIDCODE]],roster!A:A,roster!D:D))</f>
        <v>1</v>
      </c>
      <c r="M907" t="b">
        <f>ISNUMBER(_xlfn.XMATCH(CONTROL[[#This Row],[VEHIDCODE]],GRAPHICS_PROPERTIES[VEHIDCODE],0))</f>
        <v>1</v>
      </c>
      <c r="N907" s="21" t="str">
        <f>"item_"&amp;CONTROL[[#This Row],[VEHIDCODE]]</f>
        <v>item_emu_Leeds_Clyde_Standard_EMU</v>
      </c>
      <c r="O907" s="21" t="str">
        <f>"str_"&amp;CONTROL[[#This Row],[VEHIDCODE]]</f>
        <v>str_emu_Leeds_Clyde_Standard_EMU</v>
      </c>
      <c r="P907" s="7" t="b">
        <f>_xlfn.XLOOKUP(CONTROL[[#This Row],[VEHIDCODE]],PROPERTIES[VEHIDCODE],PROPERTIES[IS_CONCEPT])="IS_CONCEPT"</f>
        <v>0</v>
      </c>
      <c r="Q907" s="7" t="b">
        <f>_xlfn.XLOOKUP(CONTROL[[#This Row],[VEHIDCODE]],PROPERTIES[VEHIDCODE],PROPERTIES[EXCLUDE])</f>
        <v>0</v>
      </c>
      <c r="R907" t="str" cm="1">
        <f t="array" ref="R907">_xlfn.XLOOKUP(CONTROL[[#This Row],[VEHIDCODE]],GRAPHICS_PROPERTIES[VEHIDCODE],GRAPHICS_PROPERTIES[TEMPLATE_ID]&amp;GRAPHICS_PROPERTIES[TEMPLATE_AMENDMENT_CODE])</f>
        <v>TPL_02A</v>
      </c>
    </row>
    <row r="908" spans="1:18" x14ac:dyDescent="0.35">
      <c r="A908" t="s">
        <v>3364</v>
      </c>
      <c r="B908" s="21" t="str">
        <f>_xlfn.TEXTAFTER(CONTROL[[#This Row],[VEHIDCODE]],"_")</f>
        <v>NSWGR_Tulloch_EMU</v>
      </c>
      <c r="C908" t="str" cm="1">
        <f t="array" ref="C9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8" t="str" cm="1">
        <f t="array" ref="D9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8086</v>
      </c>
      <c r="F908" s="32" t="s">
        <v>1829</v>
      </c>
      <c r="G908" t="s">
        <v>1830</v>
      </c>
      <c r="H908" s="2" t="b">
        <f>AND(CONTROL[[#This Row],[IS_WAGON_OR_COACH]]=TRUE,OR(RIGHT(CONTROL[[#This Row],[VEHIDCODE]],7)="Powered",RIGHT(CONTROL[[#This Row],[VEHIDCODE]],9)="Unpowered"))</f>
        <v>0</v>
      </c>
      <c r="I9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8" t="b">
        <f>ISNUMBER(_xlfn.XMATCH(CONTROL[[#This Row],[VEHIDCODE]],TRACK_TYPES[VEHIDCODE],0))</f>
        <v>1</v>
      </c>
      <c r="K908" t="b">
        <f>ISNUMBER(_xlfn.XMATCH(CONTROL[[#This Row],[VEHIDCODE]],PROPERTIES[VEHIDCODE],0))</f>
        <v>1</v>
      </c>
      <c r="L908" t="b">
        <f>ISNUMBER(_xlfn.XLOOKUP(CONTROL[[#This Row],[VEHIDCODE]],roster!A:A,roster!D:D))</f>
        <v>1</v>
      </c>
      <c r="M908" t="b">
        <f>ISNUMBER(_xlfn.XMATCH(CONTROL[[#This Row],[VEHIDCODE]],GRAPHICS_PROPERTIES[VEHIDCODE],0))</f>
        <v>1</v>
      </c>
      <c r="N908" s="21" t="str">
        <f>"item_"&amp;CONTROL[[#This Row],[VEHIDCODE]]</f>
        <v>item_emu_NSWGR_Tulloch_EMU</v>
      </c>
      <c r="O908" s="21" t="str">
        <f>"str_"&amp;CONTROL[[#This Row],[VEHIDCODE]]</f>
        <v>str_emu_NSWGR_Tulloch_EMU</v>
      </c>
      <c r="P908" s="7" t="b">
        <f>_xlfn.XLOOKUP(CONTROL[[#This Row],[VEHIDCODE]],PROPERTIES[VEHIDCODE],PROPERTIES[IS_CONCEPT])="IS_CONCEPT"</f>
        <v>0</v>
      </c>
      <c r="Q908" s="7" t="b">
        <f>_xlfn.XLOOKUP(CONTROL[[#This Row],[VEHIDCODE]],PROPERTIES[VEHIDCODE],PROPERTIES[EXCLUDE])</f>
        <v>0</v>
      </c>
      <c r="R908" t="str" cm="1">
        <f t="array" ref="R908">_xlfn.XLOOKUP(CONTROL[[#This Row],[VEHIDCODE]],GRAPHICS_PROPERTIES[VEHIDCODE],GRAPHICS_PROPERTIES[TEMPLATE_ID]&amp;GRAPHICS_PROPERTIES[TEMPLATE_AMENDMENT_CODE])</f>
        <v>TPL_02A</v>
      </c>
    </row>
    <row r="909" spans="1:18" x14ac:dyDescent="0.35">
      <c r="A909" t="s">
        <v>3365</v>
      </c>
      <c r="B909" s="21" t="str">
        <f>_xlfn.TEXTAFTER(CONTROL[[#This Row],[VEHIDCODE]],"_")</f>
        <v>Alstom_XTrapolis_100_Melbourne</v>
      </c>
      <c r="C909" t="str" cm="1">
        <f t="array" ref="C9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9" t="str" cm="1">
        <f t="array" ref="D9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8087</v>
      </c>
      <c r="F909" s="32" t="s">
        <v>2508</v>
      </c>
      <c r="G909" t="s">
        <v>1831</v>
      </c>
      <c r="H909" s="2" t="b">
        <f>AND(CONTROL[[#This Row],[IS_WAGON_OR_COACH]]=TRUE,OR(RIGHT(CONTROL[[#This Row],[VEHIDCODE]],7)="Powered",RIGHT(CONTROL[[#This Row],[VEHIDCODE]],9)="Unpowered"))</f>
        <v>0</v>
      </c>
      <c r="I9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9" t="b">
        <f>ISNUMBER(_xlfn.XMATCH(CONTROL[[#This Row],[VEHIDCODE]],TRACK_TYPES[VEHIDCODE],0))</f>
        <v>1</v>
      </c>
      <c r="K909" t="b">
        <f>ISNUMBER(_xlfn.XMATCH(CONTROL[[#This Row],[VEHIDCODE]],PROPERTIES[VEHIDCODE],0))</f>
        <v>1</v>
      </c>
      <c r="L909" t="b">
        <f>ISNUMBER(_xlfn.XLOOKUP(CONTROL[[#This Row],[VEHIDCODE]],roster!A:A,roster!D:D))</f>
        <v>1</v>
      </c>
      <c r="M909" t="b">
        <f>ISNUMBER(_xlfn.XMATCH(CONTROL[[#This Row],[VEHIDCODE]],GRAPHICS_PROPERTIES[VEHIDCODE],0))</f>
        <v>1</v>
      </c>
      <c r="N909" s="21" t="str">
        <f>"item_"&amp;CONTROL[[#This Row],[VEHIDCODE]]</f>
        <v>item_emu_Alstom_XTrapolis_100_Melbourne</v>
      </c>
      <c r="O909" s="21" t="str">
        <f>"str_"&amp;CONTROL[[#This Row],[VEHIDCODE]]</f>
        <v>str_emu_Alstom_XTrapolis_100_Melbourne</v>
      </c>
      <c r="P909" s="7" t="b">
        <f>_xlfn.XLOOKUP(CONTROL[[#This Row],[VEHIDCODE]],PROPERTIES[VEHIDCODE],PROPERTIES[IS_CONCEPT])="IS_CONCEPT"</f>
        <v>0</v>
      </c>
      <c r="Q909" s="7" t="b">
        <f>_xlfn.XLOOKUP(CONTROL[[#This Row],[VEHIDCODE]],PROPERTIES[VEHIDCODE],PROPERTIES[EXCLUDE])</f>
        <v>1</v>
      </c>
      <c r="R909" t="str" cm="1">
        <f t="array" ref="R909">_xlfn.XLOOKUP(CONTROL[[#This Row],[VEHIDCODE]],GRAPHICS_PROPERTIES[VEHIDCODE],GRAPHICS_PROPERTIES[TEMPLATE_ID]&amp;GRAPHICS_PROPERTIES[TEMPLATE_AMENDMENT_CODE])</f>
        <v>TPL_02A</v>
      </c>
    </row>
    <row r="910" spans="1:18" x14ac:dyDescent="0.35">
      <c r="A910" t="s">
        <v>1832</v>
      </c>
      <c r="B910" s="21" t="str">
        <f>_xlfn.TEXTAFTER(CONTROL[[#This Row],[VEHIDCODE]],"_")</f>
        <v>Coach_Gen1_American_Style_NZAUS_Coach</v>
      </c>
      <c r="C910" t="str" cm="1">
        <f t="array" ref="C9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0" t="str" cm="1">
        <f t="array" ref="D9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11073</v>
      </c>
      <c r="F910" s="32" t="s">
        <v>3572</v>
      </c>
      <c r="G910" t="s">
        <v>523</v>
      </c>
      <c r="H910" s="2" t="b">
        <f>AND(CONTROL[[#This Row],[IS_WAGON_OR_COACH]]=TRUE,OR(RIGHT(CONTROL[[#This Row],[VEHIDCODE]],7)="Powered",RIGHT(CONTROL[[#This Row],[VEHIDCODE]],9)="Unpowered"))</f>
        <v>0</v>
      </c>
      <c r="I9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0" t="b">
        <f>ISNUMBER(_xlfn.XMATCH(CONTROL[[#This Row],[VEHIDCODE]],TRACK_TYPES[VEHIDCODE],0))</f>
        <v>1</v>
      </c>
      <c r="K910" t="b">
        <f>ISNUMBER(_xlfn.XMATCH(CONTROL[[#This Row],[VEHIDCODE]],PROPERTIES[VEHIDCODE],0))</f>
        <v>1</v>
      </c>
      <c r="L910" t="b">
        <f>ISNUMBER(_xlfn.XLOOKUP(CONTROL[[#This Row],[VEHIDCODE]],roster!A:A,roster!D:D))</f>
        <v>1</v>
      </c>
      <c r="M910" t="b">
        <f>ISNUMBER(_xlfn.XMATCH(CONTROL[[#This Row],[VEHIDCODE]],GRAPHICS_PROPERTIES[VEHIDCODE],0))</f>
        <v>1</v>
      </c>
      <c r="N910" s="21" t="str">
        <f>"item_"&amp;CONTROL[[#This Row],[VEHIDCODE]]</f>
        <v>item_mu_Coach_Gen1_American_Style_NZAUS_Coach</v>
      </c>
      <c r="O910" s="21" t="str">
        <f>"str_"&amp;CONTROL[[#This Row],[VEHIDCODE]]</f>
        <v>str_mu_Coach_Gen1_American_Style_NZAUS_Coach</v>
      </c>
      <c r="P910" s="7" t="b">
        <f>_xlfn.XLOOKUP(CONTROL[[#This Row],[VEHIDCODE]],PROPERTIES[VEHIDCODE],PROPERTIES[IS_CONCEPT])="IS_CONCEPT"</f>
        <v>0</v>
      </c>
      <c r="Q910" s="7" t="b">
        <f>_xlfn.XLOOKUP(CONTROL[[#This Row],[VEHIDCODE]],PROPERTIES[VEHIDCODE],PROPERTIES[EXCLUDE])</f>
        <v>0</v>
      </c>
      <c r="R910" t="str" cm="1">
        <f t="array" ref="R910">_xlfn.XLOOKUP(CONTROL[[#This Row],[VEHIDCODE]],GRAPHICS_PROPERTIES[VEHIDCODE],GRAPHICS_PROPERTIES[TEMPLATE_ID]&amp;GRAPHICS_PROPERTIES[TEMPLATE_AMENDMENT_CODE])</f>
        <v>TPL_04U</v>
      </c>
    </row>
    <row r="911" spans="1:18" x14ac:dyDescent="0.35">
      <c r="A911" t="s">
        <v>1834</v>
      </c>
      <c r="B911" s="21" t="str">
        <f>_xlfn.TEXTAFTER(CONTROL[[#This Row],[VEHIDCODE]],"_")</f>
        <v>Coach_Gen1_American_Style_NZAUS_Mail_Coach</v>
      </c>
      <c r="C911" t="str" cm="1">
        <f t="array" ref="C9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1" t="str" cm="1">
        <f t="array" ref="D9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11074</v>
      </c>
      <c r="F911" s="32" t="s">
        <v>3573</v>
      </c>
      <c r="G911" t="s">
        <v>523</v>
      </c>
      <c r="H911" s="2" t="b">
        <f>AND(CONTROL[[#This Row],[IS_WAGON_OR_COACH]]=TRUE,OR(RIGHT(CONTROL[[#This Row],[VEHIDCODE]],7)="Powered",RIGHT(CONTROL[[#This Row],[VEHIDCODE]],9)="Unpowered"))</f>
        <v>0</v>
      </c>
      <c r="I9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1" t="b">
        <f>ISNUMBER(_xlfn.XMATCH(CONTROL[[#This Row],[VEHIDCODE]],TRACK_TYPES[VEHIDCODE],0))</f>
        <v>1</v>
      </c>
      <c r="K911" t="b">
        <f>ISNUMBER(_xlfn.XMATCH(CONTROL[[#This Row],[VEHIDCODE]],PROPERTIES[VEHIDCODE],0))</f>
        <v>1</v>
      </c>
      <c r="L911" t="b">
        <f>ISNUMBER(_xlfn.XLOOKUP(CONTROL[[#This Row],[VEHIDCODE]],roster!A:A,roster!D:D))</f>
        <v>1</v>
      </c>
      <c r="M911" t="b">
        <f>ISNUMBER(_xlfn.XMATCH(CONTROL[[#This Row],[VEHIDCODE]],GRAPHICS_PROPERTIES[VEHIDCODE],0))</f>
        <v>1</v>
      </c>
      <c r="N911" s="21" t="str">
        <f>"item_"&amp;CONTROL[[#This Row],[VEHIDCODE]]</f>
        <v>item_mu_Coach_Gen1_American_Style_NZAUS_Mail_Coach</v>
      </c>
      <c r="O911" s="21" t="str">
        <f>"str_"&amp;CONTROL[[#This Row],[VEHIDCODE]]</f>
        <v>str_mu_Coach_Gen1_American_Style_NZAUS_Mail_Coach</v>
      </c>
      <c r="P911" s="7" t="b">
        <f>_xlfn.XLOOKUP(CONTROL[[#This Row],[VEHIDCODE]],PROPERTIES[VEHIDCODE],PROPERTIES[IS_CONCEPT])="IS_CONCEPT"</f>
        <v>0</v>
      </c>
      <c r="Q911" s="7" t="b">
        <f>_xlfn.XLOOKUP(CONTROL[[#This Row],[VEHIDCODE]],PROPERTIES[VEHIDCODE],PROPERTIES[EXCLUDE])</f>
        <v>0</v>
      </c>
      <c r="R911" t="str" cm="1">
        <f t="array" ref="R911">_xlfn.XLOOKUP(CONTROL[[#This Row],[VEHIDCODE]],GRAPHICS_PROPERTIES[VEHIDCODE],GRAPHICS_PROPERTIES[TEMPLATE_ID]&amp;GRAPHICS_PROPERTIES[TEMPLATE_AMENDMENT_CODE])</f>
        <v>TPL_04U</v>
      </c>
    </row>
    <row r="912" spans="1:18" x14ac:dyDescent="0.35">
      <c r="A912" t="s">
        <v>1835</v>
      </c>
      <c r="B912" s="21" t="str">
        <f>_xlfn.TEXTAFTER(CONTROL[[#This Row],[VEHIDCODE]],"_")</f>
        <v>Coach_Gen1_2_Axle_NZAUS_Coach</v>
      </c>
      <c r="C912" t="str" cm="1">
        <f t="array" ref="C9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2" t="str" cm="1">
        <f t="array" ref="D9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11075</v>
      </c>
      <c r="F912" s="32" t="s">
        <v>1837</v>
      </c>
      <c r="G912" t="s">
        <v>523</v>
      </c>
      <c r="H912" s="2" t="b">
        <f>AND(CONTROL[[#This Row],[IS_WAGON_OR_COACH]]=TRUE,OR(RIGHT(CONTROL[[#This Row],[VEHIDCODE]],7)="Powered",RIGHT(CONTROL[[#This Row],[VEHIDCODE]],9)="Unpowered"))</f>
        <v>0</v>
      </c>
      <c r="I9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2" t="b">
        <f>ISNUMBER(_xlfn.XMATCH(CONTROL[[#This Row],[VEHIDCODE]],TRACK_TYPES[VEHIDCODE],0))</f>
        <v>1</v>
      </c>
      <c r="K912" t="b">
        <f>ISNUMBER(_xlfn.XMATCH(CONTROL[[#This Row],[VEHIDCODE]],PROPERTIES[VEHIDCODE],0))</f>
        <v>1</v>
      </c>
      <c r="L912" t="b">
        <f>ISNUMBER(_xlfn.XLOOKUP(CONTROL[[#This Row],[VEHIDCODE]],roster!A:A,roster!D:D))</f>
        <v>1</v>
      </c>
      <c r="M912" t="b">
        <f>ISNUMBER(_xlfn.XMATCH(CONTROL[[#This Row],[VEHIDCODE]],GRAPHICS_PROPERTIES[VEHIDCODE],0))</f>
        <v>1</v>
      </c>
      <c r="N912" s="21" t="str">
        <f>"item_"&amp;CONTROL[[#This Row],[VEHIDCODE]]</f>
        <v>item_mu_Coach_Gen1_2_Axle_NZAUS_Coach</v>
      </c>
      <c r="O912" s="21" t="str">
        <f>"str_"&amp;CONTROL[[#This Row],[VEHIDCODE]]</f>
        <v>str_mu_Coach_Gen1_2_Axle_NZAUS_Coach</v>
      </c>
      <c r="P912" s="7" t="b">
        <f>_xlfn.XLOOKUP(CONTROL[[#This Row],[VEHIDCODE]],PROPERTIES[VEHIDCODE],PROPERTIES[IS_CONCEPT])="IS_CONCEPT"</f>
        <v>0</v>
      </c>
      <c r="Q912" s="7" t="b">
        <f>_xlfn.XLOOKUP(CONTROL[[#This Row],[VEHIDCODE]],PROPERTIES[VEHIDCODE],PROPERTIES[EXCLUDE])</f>
        <v>0</v>
      </c>
      <c r="R912" t="str" cm="1">
        <f t="array" ref="R912">_xlfn.XLOOKUP(CONTROL[[#This Row],[VEHIDCODE]],GRAPHICS_PROPERTIES[VEHIDCODE],GRAPHICS_PROPERTIES[TEMPLATE_ID]&amp;GRAPHICS_PROPERTIES[TEMPLATE_AMENDMENT_CODE])</f>
        <v>TPL_04U</v>
      </c>
    </row>
    <row r="913" spans="1:18" x14ac:dyDescent="0.35">
      <c r="A913" t="s">
        <v>1836</v>
      </c>
      <c r="B913" s="21" t="str">
        <f>_xlfn.TEXTAFTER(CONTROL[[#This Row],[VEHIDCODE]],"_")</f>
        <v>Coach_Gen1_2_Axle_NZAUS_Mail_Coach</v>
      </c>
      <c r="C913" t="str" cm="1">
        <f t="array" ref="C9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3" t="str" cm="1">
        <f t="array" ref="D9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11076</v>
      </c>
      <c r="F913" s="32" t="s">
        <v>1838</v>
      </c>
      <c r="G913" t="s">
        <v>523</v>
      </c>
      <c r="H913" s="2" t="b">
        <f>AND(CONTROL[[#This Row],[IS_WAGON_OR_COACH]]=TRUE,OR(RIGHT(CONTROL[[#This Row],[VEHIDCODE]],7)="Powered",RIGHT(CONTROL[[#This Row],[VEHIDCODE]],9)="Unpowered"))</f>
        <v>0</v>
      </c>
      <c r="I9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3" t="b">
        <f>ISNUMBER(_xlfn.XMATCH(CONTROL[[#This Row],[VEHIDCODE]],TRACK_TYPES[VEHIDCODE],0))</f>
        <v>1</v>
      </c>
      <c r="K913" t="b">
        <f>ISNUMBER(_xlfn.XMATCH(CONTROL[[#This Row],[VEHIDCODE]],PROPERTIES[VEHIDCODE],0))</f>
        <v>1</v>
      </c>
      <c r="L913" t="b">
        <f>ISNUMBER(_xlfn.XLOOKUP(CONTROL[[#This Row],[VEHIDCODE]],roster!A:A,roster!D:D))</f>
        <v>1</v>
      </c>
      <c r="M913" t="b">
        <f>ISNUMBER(_xlfn.XMATCH(CONTROL[[#This Row],[VEHIDCODE]],GRAPHICS_PROPERTIES[VEHIDCODE],0))</f>
        <v>1</v>
      </c>
      <c r="N913" s="21" t="str">
        <f>"item_"&amp;CONTROL[[#This Row],[VEHIDCODE]]</f>
        <v>item_mu_Coach_Gen1_2_Axle_NZAUS_Mail_Coach</v>
      </c>
      <c r="O913" s="21" t="str">
        <f>"str_"&amp;CONTROL[[#This Row],[VEHIDCODE]]</f>
        <v>str_mu_Coach_Gen1_2_Axle_NZAUS_Mail_Coach</v>
      </c>
      <c r="P913" s="7" t="b">
        <f>_xlfn.XLOOKUP(CONTROL[[#This Row],[VEHIDCODE]],PROPERTIES[VEHIDCODE],PROPERTIES[IS_CONCEPT])="IS_CONCEPT"</f>
        <v>0</v>
      </c>
      <c r="Q913" s="7" t="b">
        <f>_xlfn.XLOOKUP(CONTROL[[#This Row],[VEHIDCODE]],PROPERTIES[VEHIDCODE],PROPERTIES[EXCLUDE])</f>
        <v>0</v>
      </c>
      <c r="R913" t="str" cm="1">
        <f t="array" ref="R913">_xlfn.XLOOKUP(CONTROL[[#This Row],[VEHIDCODE]],GRAPHICS_PROPERTIES[VEHIDCODE],GRAPHICS_PROPERTIES[TEMPLATE_ID]&amp;GRAPHICS_PROPERTIES[TEMPLATE_AMENDMENT_CODE])</f>
        <v>TPL_04U</v>
      </c>
    </row>
    <row r="914" spans="1:18" x14ac:dyDescent="0.35">
      <c r="A914" t="s">
        <v>1839</v>
      </c>
      <c r="B914" s="21" t="str">
        <f>_xlfn.TEXTAFTER(CONTROL[[#This Row],[VEHIDCODE]],"_")</f>
        <v>Coach_Gen1_End_Platform_2_Axle_NZAUS_Coach</v>
      </c>
      <c r="C914" t="str" cm="1">
        <f t="array" ref="C9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4" t="str" cm="1">
        <f t="array" ref="D9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11077</v>
      </c>
      <c r="F914" s="32" t="s">
        <v>1841</v>
      </c>
      <c r="G914" t="s">
        <v>523</v>
      </c>
      <c r="H914" s="2" t="b">
        <f>AND(CONTROL[[#This Row],[IS_WAGON_OR_COACH]]=TRUE,OR(RIGHT(CONTROL[[#This Row],[VEHIDCODE]],7)="Powered",RIGHT(CONTROL[[#This Row],[VEHIDCODE]],9)="Unpowered"))</f>
        <v>0</v>
      </c>
      <c r="I9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4" t="b">
        <f>ISNUMBER(_xlfn.XMATCH(CONTROL[[#This Row],[VEHIDCODE]],TRACK_TYPES[VEHIDCODE],0))</f>
        <v>1</v>
      </c>
      <c r="K914" t="b">
        <f>ISNUMBER(_xlfn.XMATCH(CONTROL[[#This Row],[VEHIDCODE]],PROPERTIES[VEHIDCODE],0))</f>
        <v>1</v>
      </c>
      <c r="L914" t="b">
        <f>ISNUMBER(_xlfn.XLOOKUP(CONTROL[[#This Row],[VEHIDCODE]],roster!A:A,roster!D:D))</f>
        <v>1</v>
      </c>
      <c r="M914" t="b">
        <f>ISNUMBER(_xlfn.XMATCH(CONTROL[[#This Row],[VEHIDCODE]],GRAPHICS_PROPERTIES[VEHIDCODE],0))</f>
        <v>1</v>
      </c>
      <c r="N914" s="21" t="str">
        <f>"item_"&amp;CONTROL[[#This Row],[VEHIDCODE]]</f>
        <v>item_mu_Coach_Gen1_End_Platform_2_Axle_NZAUS_Coach</v>
      </c>
      <c r="O914" s="21" t="str">
        <f>"str_"&amp;CONTROL[[#This Row],[VEHIDCODE]]</f>
        <v>str_mu_Coach_Gen1_End_Platform_2_Axle_NZAUS_Coach</v>
      </c>
      <c r="P914" s="7" t="b">
        <f>_xlfn.XLOOKUP(CONTROL[[#This Row],[VEHIDCODE]],PROPERTIES[VEHIDCODE],PROPERTIES[IS_CONCEPT])="IS_CONCEPT"</f>
        <v>0</v>
      </c>
      <c r="Q914" s="7" t="b">
        <f>_xlfn.XLOOKUP(CONTROL[[#This Row],[VEHIDCODE]],PROPERTIES[VEHIDCODE],PROPERTIES[EXCLUDE])</f>
        <v>0</v>
      </c>
      <c r="R914" t="str" cm="1">
        <f t="array" ref="R914">_xlfn.XLOOKUP(CONTROL[[#This Row],[VEHIDCODE]],GRAPHICS_PROPERTIES[VEHIDCODE],GRAPHICS_PROPERTIES[TEMPLATE_ID]&amp;GRAPHICS_PROPERTIES[TEMPLATE_AMENDMENT_CODE])</f>
        <v>TPL_04U</v>
      </c>
    </row>
    <row r="915" spans="1:18" x14ac:dyDescent="0.35">
      <c r="A915" t="s">
        <v>1840</v>
      </c>
      <c r="B915" s="21" t="str">
        <f>_xlfn.TEXTAFTER(CONTROL[[#This Row],[VEHIDCODE]],"_")</f>
        <v>Coach_Gen1_Suburban_2_Axle_NZAUS_Coach</v>
      </c>
      <c r="C915" t="str" cm="1">
        <f t="array" ref="C9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5" t="str" cm="1">
        <f t="array" ref="D9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11078</v>
      </c>
      <c r="F915" s="32" t="s">
        <v>1842</v>
      </c>
      <c r="G915" t="s">
        <v>523</v>
      </c>
      <c r="H915" s="2" t="b">
        <f>AND(CONTROL[[#This Row],[IS_WAGON_OR_COACH]]=TRUE,OR(RIGHT(CONTROL[[#This Row],[VEHIDCODE]],7)="Powered",RIGHT(CONTROL[[#This Row],[VEHIDCODE]],9)="Unpowered"))</f>
        <v>0</v>
      </c>
      <c r="I9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5" t="b">
        <f>ISNUMBER(_xlfn.XMATCH(CONTROL[[#This Row],[VEHIDCODE]],TRACK_TYPES[VEHIDCODE],0))</f>
        <v>1</v>
      </c>
      <c r="K915" t="b">
        <f>ISNUMBER(_xlfn.XMATCH(CONTROL[[#This Row],[VEHIDCODE]],PROPERTIES[VEHIDCODE],0))</f>
        <v>1</v>
      </c>
      <c r="L915" t="b">
        <f>ISNUMBER(_xlfn.XLOOKUP(CONTROL[[#This Row],[VEHIDCODE]],roster!A:A,roster!D:D))</f>
        <v>1</v>
      </c>
      <c r="M915" t="b">
        <f>ISNUMBER(_xlfn.XMATCH(CONTROL[[#This Row],[VEHIDCODE]],GRAPHICS_PROPERTIES[VEHIDCODE],0))</f>
        <v>1</v>
      </c>
      <c r="N915" s="21" t="str">
        <f>"item_"&amp;CONTROL[[#This Row],[VEHIDCODE]]</f>
        <v>item_mu_Coach_Gen1_Suburban_2_Axle_NZAUS_Coach</v>
      </c>
      <c r="O915" s="21" t="str">
        <f>"str_"&amp;CONTROL[[#This Row],[VEHIDCODE]]</f>
        <v>str_mu_Coach_Gen1_Suburban_2_Axle_NZAUS_Coach</v>
      </c>
      <c r="P915" s="7" t="b">
        <f>_xlfn.XLOOKUP(CONTROL[[#This Row],[VEHIDCODE]],PROPERTIES[VEHIDCODE],PROPERTIES[IS_CONCEPT])="IS_CONCEPT"</f>
        <v>0</v>
      </c>
      <c r="Q915" s="7" t="b">
        <f>_xlfn.XLOOKUP(CONTROL[[#This Row],[VEHIDCODE]],PROPERTIES[VEHIDCODE],PROPERTIES[EXCLUDE])</f>
        <v>0</v>
      </c>
      <c r="R915" t="str" cm="1">
        <f t="array" ref="R915">_xlfn.XLOOKUP(CONTROL[[#This Row],[VEHIDCODE]],GRAPHICS_PROPERTIES[VEHIDCODE],GRAPHICS_PROPERTIES[TEMPLATE_ID]&amp;GRAPHICS_PROPERTIES[TEMPLATE_AMENDMENT_CODE])</f>
        <v>TPL_04U</v>
      </c>
    </row>
    <row r="916" spans="1:18" x14ac:dyDescent="0.35">
      <c r="A916" t="s">
        <v>1843</v>
      </c>
      <c r="B916" s="21" t="str">
        <f>_xlfn.TEXTAFTER(CONTROL[[#This Row],[VEHIDCODE]],"_")</f>
        <v>Coach_Gen4_BREL_Mk3_Coach</v>
      </c>
      <c r="C916" t="str" cm="1">
        <f t="array" ref="C9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16" t="str" cm="1">
        <f t="array" ref="D9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11079</v>
      </c>
      <c r="F916" s="32" t="s">
        <v>2509</v>
      </c>
      <c r="G916" t="s">
        <v>1845</v>
      </c>
      <c r="H916" s="2" t="b">
        <f>AND(CONTROL[[#This Row],[IS_WAGON_OR_COACH]]=TRUE,OR(RIGHT(CONTROL[[#This Row],[VEHIDCODE]],7)="Powered",RIGHT(CONTROL[[#This Row],[VEHIDCODE]],9)="Unpowered"))</f>
        <v>0</v>
      </c>
      <c r="I9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6" t="b">
        <f>ISNUMBER(_xlfn.XMATCH(CONTROL[[#This Row],[VEHIDCODE]],TRACK_TYPES[VEHIDCODE],0))</f>
        <v>1</v>
      </c>
      <c r="K916" t="b">
        <f>ISNUMBER(_xlfn.XMATCH(CONTROL[[#This Row],[VEHIDCODE]],PROPERTIES[VEHIDCODE],0))</f>
        <v>1</v>
      </c>
      <c r="L916" t="b">
        <f>ISNUMBER(_xlfn.XLOOKUP(CONTROL[[#This Row],[VEHIDCODE]],roster!A:A,roster!D:D))</f>
        <v>1</v>
      </c>
      <c r="M916" t="b">
        <f>ISNUMBER(_xlfn.XMATCH(CONTROL[[#This Row],[VEHIDCODE]],GRAPHICS_PROPERTIES[VEHIDCODE],0))</f>
        <v>1</v>
      </c>
      <c r="N916" s="21" t="str">
        <f>"item_"&amp;CONTROL[[#This Row],[VEHIDCODE]]</f>
        <v>item_mu_Coach_Gen4_BREL_Mk3_Coach</v>
      </c>
      <c r="O916" s="21" t="str">
        <f>"str_"&amp;CONTROL[[#This Row],[VEHIDCODE]]</f>
        <v>str_mu_Coach_Gen4_BREL_Mk3_Coach</v>
      </c>
      <c r="P916" s="7" t="b">
        <f>_xlfn.XLOOKUP(CONTROL[[#This Row],[VEHIDCODE]],PROPERTIES[VEHIDCODE],PROPERTIES[IS_CONCEPT])="IS_CONCEPT"</f>
        <v>0</v>
      </c>
      <c r="Q916" s="7" t="b">
        <f>_xlfn.XLOOKUP(CONTROL[[#This Row],[VEHIDCODE]],PROPERTIES[VEHIDCODE],PROPERTIES[EXCLUDE])</f>
        <v>0</v>
      </c>
      <c r="R916" t="str" cm="1">
        <f t="array" ref="R916">_xlfn.XLOOKUP(CONTROL[[#This Row],[VEHIDCODE]],GRAPHICS_PROPERTIES[VEHIDCODE],GRAPHICS_PROPERTIES[TEMPLATE_ID]&amp;GRAPHICS_PROPERTIES[TEMPLATE_AMENDMENT_CODE])</f>
        <v>TPL_04A</v>
      </c>
    </row>
    <row r="917" spans="1:18" x14ac:dyDescent="0.35">
      <c r="A917" t="s">
        <v>1844</v>
      </c>
      <c r="B917" s="21" t="str">
        <f>_xlfn.TEXTAFTER(CONTROL[[#This Row],[VEHIDCODE]],"_")</f>
        <v>Coach_Gen4_BREL_Mk3_Mail_Coach</v>
      </c>
      <c r="C917" t="str" cm="1">
        <f t="array" ref="C9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17" t="str" cm="1">
        <f t="array" ref="D9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11080</v>
      </c>
      <c r="F917" s="32" t="s">
        <v>2510</v>
      </c>
      <c r="G917" t="s">
        <v>1845</v>
      </c>
      <c r="H917" s="2" t="b">
        <f>AND(CONTROL[[#This Row],[IS_WAGON_OR_COACH]]=TRUE,OR(RIGHT(CONTROL[[#This Row],[VEHIDCODE]],7)="Powered",RIGHT(CONTROL[[#This Row],[VEHIDCODE]],9)="Unpowered"))</f>
        <v>0</v>
      </c>
      <c r="I9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7" t="b">
        <f>ISNUMBER(_xlfn.XMATCH(CONTROL[[#This Row],[VEHIDCODE]],TRACK_TYPES[VEHIDCODE],0))</f>
        <v>1</v>
      </c>
      <c r="K917" t="b">
        <f>ISNUMBER(_xlfn.XMATCH(CONTROL[[#This Row],[VEHIDCODE]],PROPERTIES[VEHIDCODE],0))</f>
        <v>1</v>
      </c>
      <c r="L917" t="b">
        <f>ISNUMBER(_xlfn.XLOOKUP(CONTROL[[#This Row],[VEHIDCODE]],roster!A:A,roster!D:D))</f>
        <v>1</v>
      </c>
      <c r="M917" t="b">
        <f>ISNUMBER(_xlfn.XMATCH(CONTROL[[#This Row],[VEHIDCODE]],GRAPHICS_PROPERTIES[VEHIDCODE],0))</f>
        <v>1</v>
      </c>
      <c r="N917" s="21" t="str">
        <f>"item_"&amp;CONTROL[[#This Row],[VEHIDCODE]]</f>
        <v>item_mu_Coach_Gen4_BREL_Mk3_Mail_Coach</v>
      </c>
      <c r="O917" s="21" t="str">
        <f>"str_"&amp;CONTROL[[#This Row],[VEHIDCODE]]</f>
        <v>str_mu_Coach_Gen4_BREL_Mk3_Mail_Coach</v>
      </c>
      <c r="P917" s="7" t="b">
        <f>_xlfn.XLOOKUP(CONTROL[[#This Row],[VEHIDCODE]],PROPERTIES[VEHIDCODE],PROPERTIES[IS_CONCEPT])="IS_CONCEPT"</f>
        <v>0</v>
      </c>
      <c r="Q917" s="7" t="b">
        <f>_xlfn.XLOOKUP(CONTROL[[#This Row],[VEHIDCODE]],PROPERTIES[VEHIDCODE],PROPERTIES[EXCLUDE])</f>
        <v>0</v>
      </c>
      <c r="R917" t="str" cm="1">
        <f t="array" ref="R917">_xlfn.XLOOKUP(CONTROL[[#This Row],[VEHIDCODE]],GRAPHICS_PROPERTIES[VEHIDCODE],GRAPHICS_PROPERTIES[TEMPLATE_ID]&amp;GRAPHICS_PROPERTIES[TEMPLATE_AMENDMENT_CODE])</f>
        <v>TPL_04U</v>
      </c>
    </row>
    <row r="918" spans="1:18" x14ac:dyDescent="0.35">
      <c r="A918" t="s">
        <v>1846</v>
      </c>
      <c r="B918" s="21" t="str">
        <f>_xlfn.TEXTAFTER(CONTROL[[#This Row],[VEHIDCODE]],"_")</f>
        <v>Coach_Gen4_Comeng_Suburban_Double_Deck_SA2000</v>
      </c>
      <c r="C918" t="str" cm="1">
        <f t="array" ref="C9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18" t="str" cm="1">
        <f t="array" ref="D9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11081</v>
      </c>
      <c r="F918" s="32" t="s">
        <v>1847</v>
      </c>
      <c r="G918" t="s">
        <v>523</v>
      </c>
      <c r="H918" s="2" t="b">
        <f>AND(CONTROL[[#This Row],[IS_WAGON_OR_COACH]]=TRUE,OR(RIGHT(CONTROL[[#This Row],[VEHIDCODE]],7)="Powered",RIGHT(CONTROL[[#This Row],[VEHIDCODE]],9)="Unpowered"))</f>
        <v>0</v>
      </c>
      <c r="I9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8" t="b">
        <f>ISNUMBER(_xlfn.XMATCH(CONTROL[[#This Row],[VEHIDCODE]],TRACK_TYPES[VEHIDCODE],0))</f>
        <v>1</v>
      </c>
      <c r="K918" t="b">
        <f>ISNUMBER(_xlfn.XMATCH(CONTROL[[#This Row],[VEHIDCODE]],PROPERTIES[VEHIDCODE],0))</f>
        <v>1</v>
      </c>
      <c r="L918" t="b">
        <f>ISNUMBER(_xlfn.XLOOKUP(CONTROL[[#This Row],[VEHIDCODE]],roster!A:A,roster!D:D))</f>
        <v>1</v>
      </c>
      <c r="M918" t="b">
        <f>ISNUMBER(_xlfn.XMATCH(CONTROL[[#This Row],[VEHIDCODE]],GRAPHICS_PROPERTIES[VEHIDCODE],0))</f>
        <v>1</v>
      </c>
      <c r="N918" s="21" t="str">
        <f>"item_"&amp;CONTROL[[#This Row],[VEHIDCODE]]</f>
        <v>item_mu_Coach_Gen4_Comeng_Suburban_Double_Deck_SA2000</v>
      </c>
      <c r="O918" s="21" t="str">
        <f>"str_"&amp;CONTROL[[#This Row],[VEHIDCODE]]</f>
        <v>str_mu_Coach_Gen4_Comeng_Suburban_Double_Deck_SA2000</v>
      </c>
      <c r="P918" s="7" t="b">
        <f>_xlfn.XLOOKUP(CONTROL[[#This Row],[VEHIDCODE]],PROPERTIES[VEHIDCODE],PROPERTIES[IS_CONCEPT])="IS_CONCEPT"</f>
        <v>1</v>
      </c>
      <c r="Q918" s="7" t="b">
        <f>_xlfn.XLOOKUP(CONTROL[[#This Row],[VEHIDCODE]],PROPERTIES[VEHIDCODE],PROPERTIES[EXCLUDE])</f>
        <v>0</v>
      </c>
      <c r="R918" t="str" cm="1">
        <f t="array" ref="R918">_xlfn.XLOOKUP(CONTROL[[#This Row],[VEHIDCODE]],GRAPHICS_PROPERTIES[VEHIDCODE],GRAPHICS_PROPERTIES[TEMPLATE_ID]&amp;GRAPHICS_PROPERTIES[TEMPLATE_AMENDMENT_CODE])</f>
        <v>TPL_04U</v>
      </c>
    </row>
    <row r="919" spans="1:18" x14ac:dyDescent="0.35">
      <c r="A919" t="s">
        <v>1848</v>
      </c>
      <c r="B919" s="21" t="str">
        <f>_xlfn.TEXTAFTER(CONTROL[[#This Row],[VEHIDCODE]],"_")</f>
        <v>Coach_Gen4_Gonian_4D_Concept</v>
      </c>
      <c r="C919" t="str" cm="1">
        <f t="array" ref="C9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19" t="str" cm="1">
        <f t="array" ref="D9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11082</v>
      </c>
      <c r="F919" s="32" t="s">
        <v>3546</v>
      </c>
      <c r="G919" t="s">
        <v>523</v>
      </c>
      <c r="H919" s="2" t="b">
        <f>AND(CONTROL[[#This Row],[IS_WAGON_OR_COACH]]=TRUE,OR(RIGHT(CONTROL[[#This Row],[VEHIDCODE]],7)="Powered",RIGHT(CONTROL[[#This Row],[VEHIDCODE]],9)="Unpowered"))</f>
        <v>0</v>
      </c>
      <c r="I9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9" t="b">
        <f>ISNUMBER(_xlfn.XMATCH(CONTROL[[#This Row],[VEHIDCODE]],TRACK_TYPES[VEHIDCODE],0))</f>
        <v>1</v>
      </c>
      <c r="K919" t="b">
        <f>ISNUMBER(_xlfn.XMATCH(CONTROL[[#This Row],[VEHIDCODE]],PROPERTIES[VEHIDCODE],0))</f>
        <v>1</v>
      </c>
      <c r="L919" t="b">
        <f>ISNUMBER(_xlfn.XLOOKUP(CONTROL[[#This Row],[VEHIDCODE]],roster!A:A,roster!D:D))</f>
        <v>1</v>
      </c>
      <c r="M919" t="b">
        <f>ISNUMBER(_xlfn.XMATCH(CONTROL[[#This Row],[VEHIDCODE]],GRAPHICS_PROPERTIES[VEHIDCODE],0))</f>
        <v>1</v>
      </c>
      <c r="N919" s="21" t="str">
        <f>"item_"&amp;CONTROL[[#This Row],[VEHIDCODE]]</f>
        <v>item_mu_Coach_Gen4_Gonian_4D_Concept</v>
      </c>
      <c r="O919" s="21" t="str">
        <f>"str_"&amp;CONTROL[[#This Row],[VEHIDCODE]]</f>
        <v>str_mu_Coach_Gen4_Gonian_4D_Concept</v>
      </c>
      <c r="P919" s="7" t="b">
        <f>_xlfn.XLOOKUP(CONTROL[[#This Row],[VEHIDCODE]],PROPERTIES[VEHIDCODE],PROPERTIES[IS_CONCEPT])="IS_CONCEPT"</f>
        <v>1</v>
      </c>
      <c r="Q919" s="7" t="b">
        <f>_xlfn.XLOOKUP(CONTROL[[#This Row],[VEHIDCODE]],PROPERTIES[VEHIDCODE],PROPERTIES[EXCLUDE])</f>
        <v>0</v>
      </c>
      <c r="R919" t="str" cm="1">
        <f t="array" ref="R919">_xlfn.XLOOKUP(CONTROL[[#This Row],[VEHIDCODE]],GRAPHICS_PROPERTIES[VEHIDCODE],GRAPHICS_PROPERTIES[TEMPLATE_ID]&amp;GRAPHICS_PROPERTIES[TEMPLATE_AMENDMENT_CODE])</f>
        <v>TPL_04U</v>
      </c>
    </row>
    <row r="920" spans="1:18" x14ac:dyDescent="0.35">
      <c r="A920" s="2" t="s">
        <v>1849</v>
      </c>
      <c r="B920" s="21" t="str">
        <f>_xlfn.TEXTAFTER(CONTROL[[#This Row],[VEHIDCODE]],"_")</f>
        <v>Coach_Gen4_Gonian_Tangara_Concept</v>
      </c>
      <c r="C920" t="str" cm="1">
        <f t="array" ref="C9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20" t="str" cm="1">
        <f t="array" ref="D9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11083</v>
      </c>
      <c r="F920" s="32" t="s">
        <v>1850</v>
      </c>
      <c r="G920" t="s">
        <v>523</v>
      </c>
      <c r="H920" s="2" t="b">
        <f>AND(CONTROL[[#This Row],[IS_WAGON_OR_COACH]]=TRUE,OR(RIGHT(CONTROL[[#This Row],[VEHIDCODE]],7)="Powered",RIGHT(CONTROL[[#This Row],[VEHIDCODE]],9)="Unpowered"))</f>
        <v>0</v>
      </c>
      <c r="I9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0" t="b">
        <f>ISNUMBER(_xlfn.XMATCH(CONTROL[[#This Row],[VEHIDCODE]],TRACK_TYPES[VEHIDCODE],0))</f>
        <v>1</v>
      </c>
      <c r="K920" t="b">
        <f>ISNUMBER(_xlfn.XMATCH(CONTROL[[#This Row],[VEHIDCODE]],PROPERTIES[VEHIDCODE],0))</f>
        <v>1</v>
      </c>
      <c r="L920" t="b">
        <f>ISNUMBER(_xlfn.XLOOKUP(CONTROL[[#This Row],[VEHIDCODE]],roster!A:A,roster!D:D))</f>
        <v>1</v>
      </c>
      <c r="M920" t="b">
        <f>ISNUMBER(_xlfn.XMATCH(CONTROL[[#This Row],[VEHIDCODE]],GRAPHICS_PROPERTIES[VEHIDCODE],0))</f>
        <v>1</v>
      </c>
      <c r="N920" s="21" t="str">
        <f>"item_"&amp;CONTROL[[#This Row],[VEHIDCODE]]</f>
        <v>item_mu_Coach_Gen4_Gonian_Tangara_Concept</v>
      </c>
      <c r="O920" s="21" t="str">
        <f>"str_"&amp;CONTROL[[#This Row],[VEHIDCODE]]</f>
        <v>str_mu_Coach_Gen4_Gonian_Tangara_Concept</v>
      </c>
      <c r="P920" s="7" t="b">
        <f>_xlfn.XLOOKUP(CONTROL[[#This Row],[VEHIDCODE]],PROPERTIES[VEHIDCODE],PROPERTIES[IS_CONCEPT])="IS_CONCEPT"</f>
        <v>1</v>
      </c>
      <c r="Q920" s="7" t="b">
        <f>_xlfn.XLOOKUP(CONTROL[[#This Row],[VEHIDCODE]],PROPERTIES[VEHIDCODE],PROPERTIES[EXCLUDE])</f>
        <v>0</v>
      </c>
      <c r="R920" t="str" cm="1">
        <f t="array" ref="R920">_xlfn.XLOOKUP(CONTROL[[#This Row],[VEHIDCODE]],GRAPHICS_PROPERTIES[VEHIDCODE],GRAPHICS_PROPERTIES[TEMPLATE_ID]&amp;GRAPHICS_PROPERTIES[TEMPLATE_AMENDMENT_CODE])</f>
        <v>TPL_04U</v>
      </c>
    </row>
    <row r="921" spans="1:18" x14ac:dyDescent="0.35">
      <c r="A921" t="s">
        <v>1851</v>
      </c>
      <c r="B921" s="21" t="str">
        <f>_xlfn.TEXTAFTER(CONTROL[[#This Row],[VEHIDCODE]],"_")</f>
        <v>Coach_Gen3_Hitachi_Nippon_Sharyo_Silver_Star_Coach</v>
      </c>
      <c r="C921" t="str" cm="1">
        <f t="array" ref="C9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1" t="str" cm="1">
        <f t="array" ref="D9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11084</v>
      </c>
      <c r="F921" s="32" t="s">
        <v>1852</v>
      </c>
      <c r="G921" t="s">
        <v>1873</v>
      </c>
      <c r="H921" s="2" t="b">
        <f>AND(CONTROL[[#This Row],[IS_WAGON_OR_COACH]]=TRUE,OR(RIGHT(CONTROL[[#This Row],[VEHIDCODE]],7)="Powered",RIGHT(CONTROL[[#This Row],[VEHIDCODE]],9)="Unpowered"))</f>
        <v>0</v>
      </c>
      <c r="I9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1" t="b">
        <f>ISNUMBER(_xlfn.XMATCH(CONTROL[[#This Row],[VEHIDCODE]],TRACK_TYPES[VEHIDCODE],0))</f>
        <v>1</v>
      </c>
      <c r="K921" t="b">
        <f>ISNUMBER(_xlfn.XMATCH(CONTROL[[#This Row],[VEHIDCODE]],PROPERTIES[VEHIDCODE],0))</f>
        <v>1</v>
      </c>
      <c r="L921" t="b">
        <f>ISNUMBER(_xlfn.XLOOKUP(CONTROL[[#This Row],[VEHIDCODE]],roster!A:A,roster!D:D))</f>
        <v>1</v>
      </c>
      <c r="M921" t="b">
        <f>ISNUMBER(_xlfn.XMATCH(CONTROL[[#This Row],[VEHIDCODE]],GRAPHICS_PROPERTIES[VEHIDCODE],0))</f>
        <v>1</v>
      </c>
      <c r="N921" s="21" t="str">
        <f>"item_"&amp;CONTROL[[#This Row],[VEHIDCODE]]</f>
        <v>item_mu_Coach_Gen3_Hitachi_Nippon_Sharyo_Silver_Star_Coach</v>
      </c>
      <c r="O921" s="21" t="str">
        <f>"str_"&amp;CONTROL[[#This Row],[VEHIDCODE]]</f>
        <v>str_mu_Coach_Gen3_Hitachi_Nippon_Sharyo_Silver_Star_Coach</v>
      </c>
      <c r="P921" s="7" t="b">
        <f>_xlfn.XLOOKUP(CONTROL[[#This Row],[VEHIDCODE]],PROPERTIES[VEHIDCODE],PROPERTIES[IS_CONCEPT])="IS_CONCEPT"</f>
        <v>0</v>
      </c>
      <c r="Q921" s="7" t="b">
        <f>_xlfn.XLOOKUP(CONTROL[[#This Row],[VEHIDCODE]],PROPERTIES[VEHIDCODE],PROPERTIES[EXCLUDE])</f>
        <v>0</v>
      </c>
      <c r="R921" t="str" cm="1">
        <f t="array" ref="R921">_xlfn.XLOOKUP(CONTROL[[#This Row],[VEHIDCODE]],GRAPHICS_PROPERTIES[VEHIDCODE],GRAPHICS_PROPERTIES[TEMPLATE_ID]&amp;GRAPHICS_PROPERTIES[TEMPLATE_AMENDMENT_CODE])</f>
        <v>TPL_04U</v>
      </c>
    </row>
    <row r="922" spans="1:18" x14ac:dyDescent="0.35">
      <c r="A922" t="s">
        <v>1853</v>
      </c>
      <c r="B922" s="21" t="str">
        <f>_xlfn.TEXTAFTER(CONTROL[[#This Row],[VEHIDCODE]],"_")</f>
        <v>Coach_Gen3_Hitachi_Nippon_Sharyo_Silver_Star_Mail_Coach</v>
      </c>
      <c r="C922" t="str" cm="1">
        <f t="array" ref="C9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2" t="str" cm="1">
        <f t="array" ref="D9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11085</v>
      </c>
      <c r="F922" s="32" t="s">
        <v>1854</v>
      </c>
      <c r="G922" t="s">
        <v>1873</v>
      </c>
      <c r="H922" s="2" t="b">
        <f>AND(CONTROL[[#This Row],[IS_WAGON_OR_COACH]]=TRUE,OR(RIGHT(CONTROL[[#This Row],[VEHIDCODE]],7)="Powered",RIGHT(CONTROL[[#This Row],[VEHIDCODE]],9)="Unpowered"))</f>
        <v>0</v>
      </c>
      <c r="I9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2" t="b">
        <f>ISNUMBER(_xlfn.XMATCH(CONTROL[[#This Row],[VEHIDCODE]],TRACK_TYPES[VEHIDCODE],0))</f>
        <v>1</v>
      </c>
      <c r="K922" t="b">
        <f>ISNUMBER(_xlfn.XMATCH(CONTROL[[#This Row],[VEHIDCODE]],PROPERTIES[VEHIDCODE],0))</f>
        <v>1</v>
      </c>
      <c r="L922" t="b">
        <f>ISNUMBER(_xlfn.XLOOKUP(CONTROL[[#This Row],[VEHIDCODE]],roster!A:A,roster!D:D))</f>
        <v>1</v>
      </c>
      <c r="M922" t="b">
        <f>ISNUMBER(_xlfn.XMATCH(CONTROL[[#This Row],[VEHIDCODE]],GRAPHICS_PROPERTIES[VEHIDCODE],0))</f>
        <v>1</v>
      </c>
      <c r="N922" s="21" t="str">
        <f>"item_"&amp;CONTROL[[#This Row],[VEHIDCODE]]</f>
        <v>item_mu_Coach_Gen3_Hitachi_Nippon_Sharyo_Silver_Star_Mail_Coach</v>
      </c>
      <c r="O922" s="21" t="str">
        <f>"str_"&amp;CONTROL[[#This Row],[VEHIDCODE]]</f>
        <v>str_mu_Coach_Gen3_Hitachi_Nippon_Sharyo_Silver_Star_Mail_Coach</v>
      </c>
      <c r="P922" s="7" t="b">
        <f>_xlfn.XLOOKUP(CONTROL[[#This Row],[VEHIDCODE]],PROPERTIES[VEHIDCODE],PROPERTIES[IS_CONCEPT])="IS_CONCEPT"</f>
        <v>0</v>
      </c>
      <c r="Q922" s="7" t="b">
        <f>_xlfn.XLOOKUP(CONTROL[[#This Row],[VEHIDCODE]],PROPERTIES[VEHIDCODE],PROPERTIES[EXCLUDE])</f>
        <v>0</v>
      </c>
      <c r="R922" t="str" cm="1">
        <f t="array" ref="R922">_xlfn.XLOOKUP(CONTROL[[#This Row],[VEHIDCODE]],GRAPHICS_PROPERTIES[VEHIDCODE],GRAPHICS_PROPERTIES[TEMPLATE_ID]&amp;GRAPHICS_PROPERTIES[TEMPLATE_AMENDMENT_CODE])</f>
        <v>TPL_04U</v>
      </c>
    </row>
    <row r="923" spans="1:18" x14ac:dyDescent="0.35">
      <c r="A923" t="s">
        <v>1855</v>
      </c>
      <c r="B923" s="21" t="str">
        <f>_xlfn.TEXTAFTER(CONTROL[[#This Row],[VEHIDCODE]],"_")</f>
        <v>Coach_Gen3_Comeng_High_Speed_Coach</v>
      </c>
      <c r="C923" t="str" cm="1">
        <f t="array" ref="C9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3" t="str" cm="1">
        <f t="array" ref="D9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11086</v>
      </c>
      <c r="F923" s="32" t="s">
        <v>1857</v>
      </c>
      <c r="G923" t="s">
        <v>523</v>
      </c>
      <c r="H923" s="2" t="b">
        <f>AND(CONTROL[[#This Row],[IS_WAGON_OR_COACH]]=TRUE,OR(RIGHT(CONTROL[[#This Row],[VEHIDCODE]],7)="Powered",RIGHT(CONTROL[[#This Row],[VEHIDCODE]],9)="Unpowered"))</f>
        <v>0</v>
      </c>
      <c r="I9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3" t="b">
        <f>ISNUMBER(_xlfn.XMATCH(CONTROL[[#This Row],[VEHIDCODE]],TRACK_TYPES[VEHIDCODE],0))</f>
        <v>1</v>
      </c>
      <c r="K923" t="b">
        <f>ISNUMBER(_xlfn.XMATCH(CONTROL[[#This Row],[VEHIDCODE]],PROPERTIES[VEHIDCODE],0))</f>
        <v>1</v>
      </c>
      <c r="L923" t="b">
        <f>ISNUMBER(_xlfn.XLOOKUP(CONTROL[[#This Row],[VEHIDCODE]],roster!A:A,roster!D:D))</f>
        <v>1</v>
      </c>
      <c r="M923" t="b">
        <f>ISNUMBER(_xlfn.XMATCH(CONTROL[[#This Row],[VEHIDCODE]],GRAPHICS_PROPERTIES[VEHIDCODE],0))</f>
        <v>1</v>
      </c>
      <c r="N923" s="21" t="str">
        <f>"item_"&amp;CONTROL[[#This Row],[VEHIDCODE]]</f>
        <v>item_mu_Coach_Gen3_Comeng_High_Speed_Coach</v>
      </c>
      <c r="O923" s="21" t="str">
        <f>"str_"&amp;CONTROL[[#This Row],[VEHIDCODE]]</f>
        <v>str_mu_Coach_Gen3_Comeng_High_Speed_Coach</v>
      </c>
      <c r="P923" s="7" t="b">
        <f>_xlfn.XLOOKUP(CONTROL[[#This Row],[VEHIDCODE]],PROPERTIES[VEHIDCODE],PROPERTIES[IS_CONCEPT])="IS_CONCEPT"</f>
        <v>0</v>
      </c>
      <c r="Q923" s="7" t="b">
        <f>_xlfn.XLOOKUP(CONTROL[[#This Row],[VEHIDCODE]],PROPERTIES[VEHIDCODE],PROPERTIES[EXCLUDE])</f>
        <v>0</v>
      </c>
      <c r="R923" t="str" cm="1">
        <f t="array" ref="R923">_xlfn.XLOOKUP(CONTROL[[#This Row],[VEHIDCODE]],GRAPHICS_PROPERTIES[VEHIDCODE],GRAPHICS_PROPERTIES[TEMPLATE_ID]&amp;GRAPHICS_PROPERTIES[TEMPLATE_AMENDMENT_CODE])</f>
        <v>TPL_04U</v>
      </c>
    </row>
    <row r="924" spans="1:18" x14ac:dyDescent="0.35">
      <c r="A924" t="s">
        <v>1856</v>
      </c>
      <c r="B924" s="21" t="str">
        <f>_xlfn.TEXTAFTER(CONTROL[[#This Row],[VEHIDCODE]],"_")</f>
        <v>Coach_Gen3_Comeng_High_Speed_Mail_Coach</v>
      </c>
      <c r="C924" t="str" cm="1">
        <f t="array" ref="C9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4" t="str" cm="1">
        <f t="array" ref="D9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11087</v>
      </c>
      <c r="F924" s="32" t="s">
        <v>1858</v>
      </c>
      <c r="G924" t="s">
        <v>523</v>
      </c>
      <c r="H924" s="2" t="b">
        <f>AND(CONTROL[[#This Row],[IS_WAGON_OR_COACH]]=TRUE,OR(RIGHT(CONTROL[[#This Row],[VEHIDCODE]],7)="Powered",RIGHT(CONTROL[[#This Row],[VEHIDCODE]],9)="Unpowered"))</f>
        <v>0</v>
      </c>
      <c r="I9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4" t="b">
        <f>ISNUMBER(_xlfn.XMATCH(CONTROL[[#This Row],[VEHIDCODE]],TRACK_TYPES[VEHIDCODE],0))</f>
        <v>1</v>
      </c>
      <c r="K924" t="b">
        <f>ISNUMBER(_xlfn.XMATCH(CONTROL[[#This Row],[VEHIDCODE]],PROPERTIES[VEHIDCODE],0))</f>
        <v>1</v>
      </c>
      <c r="L924" t="b">
        <f>ISNUMBER(_xlfn.XLOOKUP(CONTROL[[#This Row],[VEHIDCODE]],roster!A:A,roster!D:D))</f>
        <v>1</v>
      </c>
      <c r="M924" t="b">
        <f>ISNUMBER(_xlfn.XMATCH(CONTROL[[#This Row],[VEHIDCODE]],GRAPHICS_PROPERTIES[VEHIDCODE],0))</f>
        <v>1</v>
      </c>
      <c r="N924" s="21" t="str">
        <f>"item_"&amp;CONTROL[[#This Row],[VEHIDCODE]]</f>
        <v>item_mu_Coach_Gen3_Comeng_High_Speed_Mail_Coach</v>
      </c>
      <c r="O924" s="21" t="str">
        <f>"str_"&amp;CONTROL[[#This Row],[VEHIDCODE]]</f>
        <v>str_mu_Coach_Gen3_Comeng_High_Speed_Mail_Coach</v>
      </c>
      <c r="P924" s="7" t="b">
        <f>_xlfn.XLOOKUP(CONTROL[[#This Row],[VEHIDCODE]],PROPERTIES[VEHIDCODE],PROPERTIES[IS_CONCEPT])="IS_CONCEPT"</f>
        <v>0</v>
      </c>
      <c r="Q924" s="7" t="b">
        <f>_xlfn.XLOOKUP(CONTROL[[#This Row],[VEHIDCODE]],PROPERTIES[VEHIDCODE],PROPERTIES[EXCLUDE])</f>
        <v>0</v>
      </c>
      <c r="R924" t="str" cm="1">
        <f t="array" ref="R924">_xlfn.XLOOKUP(CONTROL[[#This Row],[VEHIDCODE]],GRAPHICS_PROPERTIES[VEHIDCODE],GRAPHICS_PROPERTIES[TEMPLATE_ID]&amp;GRAPHICS_PROPERTIES[TEMPLATE_AMENDMENT_CODE])</f>
        <v>TPL_04U</v>
      </c>
    </row>
    <row r="925" spans="1:18" x14ac:dyDescent="0.35">
      <c r="A925" t="s">
        <v>1860</v>
      </c>
      <c r="B925" s="21" t="str">
        <f>_xlfn.TEXTAFTER(CONTROL[[#This Row],[VEHIDCODE]],"_")</f>
        <v>Coach_Gen4_Comeng_HType_Suburban_Coach</v>
      </c>
      <c r="C925" t="str" cm="1">
        <f t="array" ref="C9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25" t="str" cm="1">
        <f t="array" ref="D9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11088</v>
      </c>
      <c r="F925" s="32" t="s">
        <v>1859</v>
      </c>
      <c r="G925" t="s">
        <v>523</v>
      </c>
      <c r="H925" s="2" t="b">
        <f>AND(CONTROL[[#This Row],[IS_WAGON_OR_COACH]]=TRUE,OR(RIGHT(CONTROL[[#This Row],[VEHIDCODE]],7)="Powered",RIGHT(CONTROL[[#This Row],[VEHIDCODE]],9)="Unpowered"))</f>
        <v>0</v>
      </c>
      <c r="I9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5" t="b">
        <f>ISNUMBER(_xlfn.XMATCH(CONTROL[[#This Row],[VEHIDCODE]],TRACK_TYPES[VEHIDCODE],0))</f>
        <v>1</v>
      </c>
      <c r="K925" t="b">
        <f>ISNUMBER(_xlfn.XMATCH(CONTROL[[#This Row],[VEHIDCODE]],PROPERTIES[VEHIDCODE],0))</f>
        <v>1</v>
      </c>
      <c r="L925" t="b">
        <f>ISNUMBER(_xlfn.XLOOKUP(CONTROL[[#This Row],[VEHIDCODE]],roster!A:A,roster!D:D))</f>
        <v>1</v>
      </c>
      <c r="M925" t="b">
        <f>ISNUMBER(_xlfn.XMATCH(CONTROL[[#This Row],[VEHIDCODE]],GRAPHICS_PROPERTIES[VEHIDCODE],0))</f>
        <v>1</v>
      </c>
      <c r="N925" s="21" t="str">
        <f>"item_"&amp;CONTROL[[#This Row],[VEHIDCODE]]</f>
        <v>item_mu_Coach_Gen4_Comeng_HType_Suburban_Coach</v>
      </c>
      <c r="O925" s="21" t="str">
        <f>"str_"&amp;CONTROL[[#This Row],[VEHIDCODE]]</f>
        <v>str_mu_Coach_Gen4_Comeng_HType_Suburban_Coach</v>
      </c>
      <c r="P925" s="7" t="b">
        <f>_xlfn.XLOOKUP(CONTROL[[#This Row],[VEHIDCODE]],PROPERTIES[VEHIDCODE],PROPERTIES[IS_CONCEPT])="IS_CONCEPT"</f>
        <v>0</v>
      </c>
      <c r="Q925" s="7" t="b">
        <f>_xlfn.XLOOKUP(CONTROL[[#This Row],[VEHIDCODE]],PROPERTIES[VEHIDCODE],PROPERTIES[EXCLUDE])</f>
        <v>0</v>
      </c>
      <c r="R925" t="str" cm="1">
        <f t="array" ref="R925">_xlfn.XLOOKUP(CONTROL[[#This Row],[VEHIDCODE]],GRAPHICS_PROPERTIES[VEHIDCODE],GRAPHICS_PROPERTIES[TEMPLATE_ID]&amp;GRAPHICS_PROPERTIES[TEMPLATE_AMENDMENT_CODE])</f>
        <v>TPL_04U</v>
      </c>
    </row>
    <row r="926" spans="1:18" x14ac:dyDescent="0.35">
      <c r="A926" t="s">
        <v>1862</v>
      </c>
      <c r="B926" s="21" t="str">
        <f>_xlfn.TEXTAFTER(CONTROL[[#This Row],[VEHIDCODE]],"_")</f>
        <v>Coach_Gen3_NSW_Tulloch_RUB_Stock_Coach</v>
      </c>
      <c r="C926" t="str" cm="1">
        <f t="array" ref="C9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6" t="str" cm="1">
        <f t="array" ref="D9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11089</v>
      </c>
      <c r="F926" s="32" t="s">
        <v>1861</v>
      </c>
      <c r="G926" t="s">
        <v>1830</v>
      </c>
      <c r="H926" s="2" t="b">
        <f>AND(CONTROL[[#This Row],[IS_WAGON_OR_COACH]]=TRUE,OR(RIGHT(CONTROL[[#This Row],[VEHIDCODE]],7)="Powered",RIGHT(CONTROL[[#This Row],[VEHIDCODE]],9)="Unpowered"))</f>
        <v>0</v>
      </c>
      <c r="I9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6" t="b">
        <f>ISNUMBER(_xlfn.XMATCH(CONTROL[[#This Row],[VEHIDCODE]],TRACK_TYPES[VEHIDCODE],0))</f>
        <v>1</v>
      </c>
      <c r="K926" t="b">
        <f>ISNUMBER(_xlfn.XMATCH(CONTROL[[#This Row],[VEHIDCODE]],PROPERTIES[VEHIDCODE],0))</f>
        <v>1</v>
      </c>
      <c r="L926" t="b">
        <f>ISNUMBER(_xlfn.XLOOKUP(CONTROL[[#This Row],[VEHIDCODE]],roster!A:A,roster!D:D))</f>
        <v>1</v>
      </c>
      <c r="M926" t="b">
        <f>ISNUMBER(_xlfn.XMATCH(CONTROL[[#This Row],[VEHIDCODE]],GRAPHICS_PROPERTIES[VEHIDCODE],0))</f>
        <v>1</v>
      </c>
      <c r="N926" s="21" t="str">
        <f>"item_"&amp;CONTROL[[#This Row],[VEHIDCODE]]</f>
        <v>item_mu_Coach_Gen3_NSW_Tulloch_RUB_Stock_Coach</v>
      </c>
      <c r="O926" s="21" t="str">
        <f>"str_"&amp;CONTROL[[#This Row],[VEHIDCODE]]</f>
        <v>str_mu_Coach_Gen3_NSW_Tulloch_RUB_Stock_Coach</v>
      </c>
      <c r="P926" s="7" t="b">
        <f>_xlfn.XLOOKUP(CONTROL[[#This Row],[VEHIDCODE]],PROPERTIES[VEHIDCODE],PROPERTIES[IS_CONCEPT])="IS_CONCEPT"</f>
        <v>0</v>
      </c>
      <c r="Q926" s="7" t="b">
        <f>_xlfn.XLOOKUP(CONTROL[[#This Row],[VEHIDCODE]],PROPERTIES[VEHIDCODE],PROPERTIES[EXCLUDE])</f>
        <v>0</v>
      </c>
      <c r="R926" t="str" cm="1">
        <f t="array" ref="R926">_xlfn.XLOOKUP(CONTROL[[#This Row],[VEHIDCODE]],GRAPHICS_PROPERTIES[VEHIDCODE],GRAPHICS_PROPERTIES[TEMPLATE_ID]&amp;GRAPHICS_PROPERTIES[TEMPLATE_AMENDMENT_CODE])</f>
        <v>TPL_04U</v>
      </c>
    </row>
    <row r="927" spans="1:18" x14ac:dyDescent="0.35">
      <c r="A927" t="s">
        <v>1863</v>
      </c>
      <c r="B927" s="21" t="str">
        <f>_xlfn.TEXTAFTER(CONTROL[[#This Row],[VEHIDCODE]],"_")</f>
        <v>Coach_Gen3_NSW_Tulloch_RUB_Stock_Mail_Coach</v>
      </c>
      <c r="C927" t="str" cm="1">
        <f t="array" ref="C9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7" t="str" cm="1">
        <f t="array" ref="D9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11090</v>
      </c>
      <c r="F927" s="32" t="s">
        <v>1864</v>
      </c>
      <c r="G927" t="s">
        <v>1830</v>
      </c>
      <c r="H927" s="2" t="b">
        <f>AND(CONTROL[[#This Row],[IS_WAGON_OR_COACH]]=TRUE,OR(RIGHT(CONTROL[[#This Row],[VEHIDCODE]],7)="Powered",RIGHT(CONTROL[[#This Row],[VEHIDCODE]],9)="Unpowered"))</f>
        <v>0</v>
      </c>
      <c r="I9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7" t="b">
        <f>ISNUMBER(_xlfn.XMATCH(CONTROL[[#This Row],[VEHIDCODE]],TRACK_TYPES[VEHIDCODE],0))</f>
        <v>1</v>
      </c>
      <c r="K927" t="b">
        <f>ISNUMBER(_xlfn.XMATCH(CONTROL[[#This Row],[VEHIDCODE]],PROPERTIES[VEHIDCODE],0))</f>
        <v>1</v>
      </c>
      <c r="L927" t="b">
        <f>ISNUMBER(_xlfn.XLOOKUP(CONTROL[[#This Row],[VEHIDCODE]],roster!A:A,roster!D:D))</f>
        <v>1</v>
      </c>
      <c r="M927" t="b">
        <f>ISNUMBER(_xlfn.XMATCH(CONTROL[[#This Row],[VEHIDCODE]],GRAPHICS_PROPERTIES[VEHIDCODE],0))</f>
        <v>1</v>
      </c>
      <c r="N927" s="21" t="str">
        <f>"item_"&amp;CONTROL[[#This Row],[VEHIDCODE]]</f>
        <v>item_mu_Coach_Gen3_NSW_Tulloch_RUB_Stock_Mail_Coach</v>
      </c>
      <c r="O927" s="21" t="str">
        <f>"str_"&amp;CONTROL[[#This Row],[VEHIDCODE]]</f>
        <v>str_mu_Coach_Gen3_NSW_Tulloch_RUB_Stock_Mail_Coach</v>
      </c>
      <c r="P927" s="7" t="b">
        <f>_xlfn.XLOOKUP(CONTROL[[#This Row],[VEHIDCODE]],PROPERTIES[VEHIDCODE],PROPERTIES[IS_CONCEPT])="IS_CONCEPT"</f>
        <v>0</v>
      </c>
      <c r="Q927" s="7" t="b">
        <f>_xlfn.XLOOKUP(CONTROL[[#This Row],[VEHIDCODE]],PROPERTIES[VEHIDCODE],PROPERTIES[EXCLUDE])</f>
        <v>0</v>
      </c>
      <c r="R927" t="str" cm="1">
        <f t="array" ref="R927">_xlfn.XLOOKUP(CONTROL[[#This Row],[VEHIDCODE]],GRAPHICS_PROPERTIES[VEHIDCODE],GRAPHICS_PROPERTIES[TEMPLATE_ID]&amp;GRAPHICS_PROPERTIES[TEMPLATE_AMENDMENT_CODE])</f>
        <v>TPL_04U</v>
      </c>
    </row>
    <row r="928" spans="1:18" x14ac:dyDescent="0.35">
      <c r="A928" t="s">
        <v>1865</v>
      </c>
      <c r="B928" s="21" t="str">
        <f>_xlfn.TEXTAFTER(CONTROL[[#This Row],[VEHIDCODE]],"_")</f>
        <v>Coach_Gen3_WAGR_AY_Suburban_Coach</v>
      </c>
      <c r="C928" t="str" cm="1">
        <f t="array" ref="C9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8" t="str" cm="1">
        <f t="array" ref="D9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11091</v>
      </c>
      <c r="F928" s="32" t="s">
        <v>1866</v>
      </c>
      <c r="G928" t="s">
        <v>1871</v>
      </c>
      <c r="H928" s="2" t="b">
        <f>AND(CONTROL[[#This Row],[IS_WAGON_OR_COACH]]=TRUE,OR(RIGHT(CONTROL[[#This Row],[VEHIDCODE]],7)="Powered",RIGHT(CONTROL[[#This Row],[VEHIDCODE]],9)="Unpowered"))</f>
        <v>0</v>
      </c>
      <c r="I9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8" t="b">
        <f>ISNUMBER(_xlfn.XMATCH(CONTROL[[#This Row],[VEHIDCODE]],TRACK_TYPES[VEHIDCODE],0))</f>
        <v>1</v>
      </c>
      <c r="K928" t="b">
        <f>ISNUMBER(_xlfn.XMATCH(CONTROL[[#This Row],[VEHIDCODE]],PROPERTIES[VEHIDCODE],0))</f>
        <v>1</v>
      </c>
      <c r="L928" t="b">
        <f>ISNUMBER(_xlfn.XLOOKUP(CONTROL[[#This Row],[VEHIDCODE]],roster!A:A,roster!D:D))</f>
        <v>1</v>
      </c>
      <c r="M928" t="b">
        <f>ISNUMBER(_xlfn.XMATCH(CONTROL[[#This Row],[VEHIDCODE]],GRAPHICS_PROPERTIES[VEHIDCODE],0))</f>
        <v>1</v>
      </c>
      <c r="N928" s="21" t="str">
        <f>"item_"&amp;CONTROL[[#This Row],[VEHIDCODE]]</f>
        <v>item_mu_Coach_Gen3_WAGR_AY_Suburban_Coach</v>
      </c>
      <c r="O928" s="21" t="str">
        <f>"str_"&amp;CONTROL[[#This Row],[VEHIDCODE]]</f>
        <v>str_mu_Coach_Gen3_WAGR_AY_Suburban_Coach</v>
      </c>
      <c r="P928" s="7" t="b">
        <f>_xlfn.XLOOKUP(CONTROL[[#This Row],[VEHIDCODE]],PROPERTIES[VEHIDCODE],PROPERTIES[IS_CONCEPT])="IS_CONCEPT"</f>
        <v>0</v>
      </c>
      <c r="Q928" s="7" t="b">
        <f>_xlfn.XLOOKUP(CONTROL[[#This Row],[VEHIDCODE]],PROPERTIES[VEHIDCODE],PROPERTIES[EXCLUDE])</f>
        <v>0</v>
      </c>
      <c r="R928" t="str" cm="1">
        <f t="array" ref="R928">_xlfn.XLOOKUP(CONTROL[[#This Row],[VEHIDCODE]],GRAPHICS_PROPERTIES[VEHIDCODE],GRAPHICS_PROPERTIES[TEMPLATE_ID]&amp;GRAPHICS_PROPERTIES[TEMPLATE_AMENDMENT_CODE])</f>
        <v>TPL_04U</v>
      </c>
    </row>
    <row r="929" spans="1:18" x14ac:dyDescent="0.35">
      <c r="A929" t="s">
        <v>1867</v>
      </c>
      <c r="B929" s="21" t="str">
        <f>_xlfn.TEXTAFTER(CONTROL[[#This Row],[VEHIDCODE]],"_")</f>
        <v>Coach_Gen3_NZR_56ft_Coach</v>
      </c>
      <c r="C929" t="str" cm="1">
        <f t="array" ref="C9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9" t="str" cm="1">
        <f t="array" ref="D9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11092</v>
      </c>
      <c r="F929" s="32" t="s">
        <v>1869</v>
      </c>
      <c r="G929" t="s">
        <v>1872</v>
      </c>
      <c r="H929" s="2" t="b">
        <f>AND(CONTROL[[#This Row],[IS_WAGON_OR_COACH]]=TRUE,OR(RIGHT(CONTROL[[#This Row],[VEHIDCODE]],7)="Powered",RIGHT(CONTROL[[#This Row],[VEHIDCODE]],9)="Unpowered"))</f>
        <v>0</v>
      </c>
      <c r="I9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9" t="b">
        <f>ISNUMBER(_xlfn.XMATCH(CONTROL[[#This Row],[VEHIDCODE]],TRACK_TYPES[VEHIDCODE],0))</f>
        <v>1</v>
      </c>
      <c r="K929" t="b">
        <f>ISNUMBER(_xlfn.XMATCH(CONTROL[[#This Row],[VEHIDCODE]],PROPERTIES[VEHIDCODE],0))</f>
        <v>1</v>
      </c>
      <c r="L929" t="b">
        <f>ISNUMBER(_xlfn.XLOOKUP(CONTROL[[#This Row],[VEHIDCODE]],roster!A:A,roster!D:D))</f>
        <v>1</v>
      </c>
      <c r="M929" t="b">
        <f>ISNUMBER(_xlfn.XMATCH(CONTROL[[#This Row],[VEHIDCODE]],GRAPHICS_PROPERTIES[VEHIDCODE],0))</f>
        <v>1</v>
      </c>
      <c r="N929" s="21" t="str">
        <f>"item_"&amp;CONTROL[[#This Row],[VEHIDCODE]]</f>
        <v>item_mu_Coach_Gen3_NZR_56ft_Coach</v>
      </c>
      <c r="O929" s="21" t="str">
        <f>"str_"&amp;CONTROL[[#This Row],[VEHIDCODE]]</f>
        <v>str_mu_Coach_Gen3_NZR_56ft_Coach</v>
      </c>
      <c r="P929" s="7" t="b">
        <f>_xlfn.XLOOKUP(CONTROL[[#This Row],[VEHIDCODE]],PROPERTIES[VEHIDCODE],PROPERTIES[IS_CONCEPT])="IS_CONCEPT"</f>
        <v>0</v>
      </c>
      <c r="Q929" s="7" t="b">
        <f>_xlfn.XLOOKUP(CONTROL[[#This Row],[VEHIDCODE]],PROPERTIES[VEHIDCODE],PROPERTIES[EXCLUDE])</f>
        <v>0</v>
      </c>
      <c r="R929" t="str" cm="1">
        <f t="array" ref="R929">_xlfn.XLOOKUP(CONTROL[[#This Row],[VEHIDCODE]],GRAPHICS_PROPERTIES[VEHIDCODE],GRAPHICS_PROPERTIES[TEMPLATE_ID]&amp;GRAPHICS_PROPERTIES[TEMPLATE_AMENDMENT_CODE])</f>
        <v>TPL_04U</v>
      </c>
    </row>
    <row r="930" spans="1:18" x14ac:dyDescent="0.35">
      <c r="A930" t="s">
        <v>1868</v>
      </c>
      <c r="B930" s="21" t="str">
        <f>_xlfn.TEXTAFTER(CONTROL[[#This Row],[VEHIDCODE]],"_")</f>
        <v>Coach_Gen3_NZR_56ft_Mail_Coach</v>
      </c>
      <c r="C930" t="str" cm="1">
        <f t="array" ref="C9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30" t="str" cm="1">
        <f t="array" ref="D9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3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11093</v>
      </c>
      <c r="F930" s="32" t="s">
        <v>1870</v>
      </c>
      <c r="G930" t="s">
        <v>1872</v>
      </c>
      <c r="H930" s="2" t="b">
        <f>AND(CONTROL[[#This Row],[IS_WAGON_OR_COACH]]=TRUE,OR(RIGHT(CONTROL[[#This Row],[VEHIDCODE]],7)="Powered",RIGHT(CONTROL[[#This Row],[VEHIDCODE]],9)="Unpowered"))</f>
        <v>0</v>
      </c>
      <c r="I9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30" t="b">
        <f>ISNUMBER(_xlfn.XMATCH(CONTROL[[#This Row],[VEHIDCODE]],TRACK_TYPES[VEHIDCODE],0))</f>
        <v>1</v>
      </c>
      <c r="K930" t="b">
        <f>ISNUMBER(_xlfn.XMATCH(CONTROL[[#This Row],[VEHIDCODE]],PROPERTIES[VEHIDCODE],0))</f>
        <v>1</v>
      </c>
      <c r="L930" t="b">
        <f>ISNUMBER(_xlfn.XLOOKUP(CONTROL[[#This Row],[VEHIDCODE]],roster!A:A,roster!D:D))</f>
        <v>1</v>
      </c>
      <c r="M930" t="b">
        <f>ISNUMBER(_xlfn.XMATCH(CONTROL[[#This Row],[VEHIDCODE]],GRAPHICS_PROPERTIES[VEHIDCODE],0))</f>
        <v>1</v>
      </c>
      <c r="N930" s="21" t="str">
        <f>"item_"&amp;CONTROL[[#This Row],[VEHIDCODE]]</f>
        <v>item_mu_Coach_Gen3_NZR_56ft_Mail_Coach</v>
      </c>
      <c r="O930" s="21" t="str">
        <f>"str_"&amp;CONTROL[[#This Row],[VEHIDCODE]]</f>
        <v>str_mu_Coach_Gen3_NZR_56ft_Mail_Coach</v>
      </c>
      <c r="P930" s="7" t="b">
        <f>_xlfn.XLOOKUP(CONTROL[[#This Row],[VEHIDCODE]],PROPERTIES[VEHIDCODE],PROPERTIES[IS_CONCEPT])="IS_CONCEPT"</f>
        <v>0</v>
      </c>
      <c r="Q930" s="7" t="b">
        <f>_xlfn.XLOOKUP(CONTROL[[#This Row],[VEHIDCODE]],PROPERTIES[VEHIDCODE],PROPERTIES[EXCLUDE])</f>
        <v>0</v>
      </c>
      <c r="R930" t="str" cm="1">
        <f t="array" ref="R930">_xlfn.XLOOKUP(CONTROL[[#This Row],[VEHIDCODE]],GRAPHICS_PROPERTIES[VEHIDCODE],GRAPHICS_PROPERTIES[TEMPLATE_ID]&amp;GRAPHICS_PROPERTIES[TEMPLATE_AMENDMENT_CODE])</f>
        <v>TPL_04U</v>
      </c>
    </row>
    <row r="931" spans="1:18" x14ac:dyDescent="0.35">
      <c r="A931" s="2" t="s">
        <v>1876</v>
      </c>
      <c r="B931" s="21" t="str">
        <f>_xlfn.TEXTAFTER(CONTROL[[#This Row],[VEHIDCODE]],"_")</f>
        <v>Coach_Gen2_NZR_50ft_Coach</v>
      </c>
      <c r="C931" t="str" cm="1">
        <f t="array" ref="C9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931" t="str" cm="1">
        <f t="array" ref="D9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3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11094</v>
      </c>
      <c r="F931" s="32" t="s">
        <v>1874</v>
      </c>
      <c r="G931" t="s">
        <v>1875</v>
      </c>
      <c r="H931" s="2" t="b">
        <f>AND(CONTROL[[#This Row],[IS_WAGON_OR_COACH]]=TRUE,OR(RIGHT(CONTROL[[#This Row],[VEHIDCODE]],7)="Powered",RIGHT(CONTROL[[#This Row],[VEHIDCODE]],9)="Unpowered"))</f>
        <v>0</v>
      </c>
      <c r="I9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31" t="b">
        <f>ISNUMBER(_xlfn.XMATCH(CONTROL[[#This Row],[VEHIDCODE]],TRACK_TYPES[VEHIDCODE],0))</f>
        <v>1</v>
      </c>
      <c r="K931" t="b">
        <f>ISNUMBER(_xlfn.XMATCH(CONTROL[[#This Row],[VEHIDCODE]],PROPERTIES[VEHIDCODE],0))</f>
        <v>1</v>
      </c>
      <c r="L931" t="b">
        <f>ISNUMBER(_xlfn.XLOOKUP(CONTROL[[#This Row],[VEHIDCODE]],roster!A:A,roster!D:D))</f>
        <v>1</v>
      </c>
      <c r="M931" t="b">
        <f>ISNUMBER(_xlfn.XMATCH(CONTROL[[#This Row],[VEHIDCODE]],GRAPHICS_PROPERTIES[VEHIDCODE],0))</f>
        <v>1</v>
      </c>
      <c r="N931" s="21" t="str">
        <f>"item_"&amp;CONTROL[[#This Row],[VEHIDCODE]]</f>
        <v>item_mu_Coach_Gen2_NZR_50ft_Coach</v>
      </c>
      <c r="O931" s="21" t="str">
        <f>"str_"&amp;CONTROL[[#This Row],[VEHIDCODE]]</f>
        <v>str_mu_Coach_Gen2_NZR_50ft_Coach</v>
      </c>
      <c r="P931" s="7" t="b">
        <f>_xlfn.XLOOKUP(CONTROL[[#This Row],[VEHIDCODE]],PROPERTIES[VEHIDCODE],PROPERTIES[IS_CONCEPT])="IS_CONCEPT"</f>
        <v>0</v>
      </c>
      <c r="Q931" s="7" t="b">
        <f>_xlfn.XLOOKUP(CONTROL[[#This Row],[VEHIDCODE]],PROPERTIES[VEHIDCODE],PROPERTIES[EXCLUDE])</f>
        <v>0</v>
      </c>
      <c r="R931" t="str" cm="1">
        <f t="array" ref="R931">_xlfn.XLOOKUP(CONTROL[[#This Row],[VEHIDCODE]],GRAPHICS_PROPERTIES[VEHIDCODE],GRAPHICS_PROPERTIES[TEMPLATE_ID]&amp;GRAPHICS_PROPERTIES[TEMPLATE_AMENDMENT_CODE])</f>
        <v>TPL_04U</v>
      </c>
    </row>
    <row r="932" spans="1:18" x14ac:dyDescent="0.35">
      <c r="A932" s="2" t="s">
        <v>1877</v>
      </c>
      <c r="B932" s="21" t="str">
        <f>_xlfn.TEXTAFTER(CONTROL[[#This Row],[VEHIDCODE]],"_")</f>
        <v>Coach_Gen2_NZR_50ft_Mail_Coach</v>
      </c>
      <c r="C932" t="str" cm="1">
        <f t="array" ref="C9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932" t="str" cm="1">
        <f t="array" ref="D9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3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11095</v>
      </c>
      <c r="F932" s="32" t="s">
        <v>1878</v>
      </c>
      <c r="G932" t="s">
        <v>1875</v>
      </c>
      <c r="H932" s="2" t="b">
        <f>AND(CONTROL[[#This Row],[IS_WAGON_OR_COACH]]=TRUE,OR(RIGHT(CONTROL[[#This Row],[VEHIDCODE]],7)="Powered",RIGHT(CONTROL[[#This Row],[VEHIDCODE]],9)="Unpowered"))</f>
        <v>0</v>
      </c>
      <c r="I9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32" t="b">
        <f>ISNUMBER(_xlfn.XMATCH(CONTROL[[#This Row],[VEHIDCODE]],TRACK_TYPES[VEHIDCODE],0))</f>
        <v>1</v>
      </c>
      <c r="K932" t="b">
        <f>ISNUMBER(_xlfn.XMATCH(CONTROL[[#This Row],[VEHIDCODE]],PROPERTIES[VEHIDCODE],0))</f>
        <v>1</v>
      </c>
      <c r="L932" t="b">
        <f>ISNUMBER(_xlfn.XLOOKUP(CONTROL[[#This Row],[VEHIDCODE]],roster!A:A,roster!D:D))</f>
        <v>1</v>
      </c>
      <c r="M932" t="b">
        <f>ISNUMBER(_xlfn.XMATCH(CONTROL[[#This Row],[VEHIDCODE]],GRAPHICS_PROPERTIES[VEHIDCODE],0))</f>
        <v>1</v>
      </c>
      <c r="N932" s="21" t="str">
        <f>"item_"&amp;CONTROL[[#This Row],[VEHIDCODE]]</f>
        <v>item_mu_Coach_Gen2_NZR_50ft_Mail_Coach</v>
      </c>
      <c r="O932" s="21" t="str">
        <f>"str_"&amp;CONTROL[[#This Row],[VEHIDCODE]]</f>
        <v>str_mu_Coach_Gen2_NZR_50ft_Mail_Coach</v>
      </c>
      <c r="P932" s="7" t="b">
        <f>_xlfn.XLOOKUP(CONTROL[[#This Row],[VEHIDCODE]],PROPERTIES[VEHIDCODE],PROPERTIES[IS_CONCEPT])="IS_CONCEPT"</f>
        <v>0</v>
      </c>
      <c r="Q932" s="7" t="b">
        <f>_xlfn.XLOOKUP(CONTROL[[#This Row],[VEHIDCODE]],PROPERTIES[VEHIDCODE],PROPERTIES[EXCLUDE])</f>
        <v>0</v>
      </c>
      <c r="R932" t="str" cm="1">
        <f t="array" ref="R932">_xlfn.XLOOKUP(CONTROL[[#This Row],[VEHIDCODE]],GRAPHICS_PROPERTIES[VEHIDCODE],GRAPHICS_PROPERTIES[TEMPLATE_ID]&amp;GRAPHICS_PROPERTIES[TEMPLATE_AMENDMENT_CODE])</f>
        <v>TPL_04U</v>
      </c>
    </row>
    <row r="933" spans="1:18" x14ac:dyDescent="0.35">
      <c r="A933" t="s">
        <v>1879</v>
      </c>
      <c r="B933" s="21" t="str">
        <f>_xlfn.TEXTAFTER(CONTROL[[#This Row],[VEHIDCODE]],"_")</f>
        <v>Coach_Gen1_NSW_KA_Tram_Car</v>
      </c>
      <c r="C933" t="str" cm="1">
        <f t="array" ref="C9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33" t="str" cm="1">
        <f t="array" ref="D9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3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11096</v>
      </c>
      <c r="F933" s="32" t="s">
        <v>1880</v>
      </c>
      <c r="G933" t="s">
        <v>1881</v>
      </c>
      <c r="H933" s="2" t="b">
        <f>AND(CONTROL[[#This Row],[IS_WAGON_OR_COACH]]=TRUE,OR(RIGHT(CONTROL[[#This Row],[VEHIDCODE]],7)="Powered",RIGHT(CONTROL[[#This Row],[VEHIDCODE]],9)="Unpowered"))</f>
        <v>0</v>
      </c>
      <c r="I9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33" t="b">
        <f>ISNUMBER(_xlfn.XMATCH(CONTROL[[#This Row],[VEHIDCODE]],TRACK_TYPES[VEHIDCODE],0))</f>
        <v>1</v>
      </c>
      <c r="K933" t="b">
        <f>ISNUMBER(_xlfn.XMATCH(CONTROL[[#This Row],[VEHIDCODE]],PROPERTIES[VEHIDCODE],0))</f>
        <v>1</v>
      </c>
      <c r="L933" t="b">
        <f>ISNUMBER(_xlfn.XLOOKUP(CONTROL[[#This Row],[VEHIDCODE]],roster!A:A,roster!D:D))</f>
        <v>1</v>
      </c>
      <c r="M933" t="b">
        <f>ISNUMBER(_xlfn.XMATCH(CONTROL[[#This Row],[VEHIDCODE]],GRAPHICS_PROPERTIES[VEHIDCODE],0))</f>
        <v>1</v>
      </c>
      <c r="N933" s="21" t="str">
        <f>"item_"&amp;CONTROL[[#This Row],[VEHIDCODE]]</f>
        <v>item_mu_Coach_Gen1_NSW_KA_Tram_Car</v>
      </c>
      <c r="O933" s="21" t="str">
        <f>"str_"&amp;CONTROL[[#This Row],[VEHIDCODE]]</f>
        <v>str_mu_Coach_Gen1_NSW_KA_Tram_Car</v>
      </c>
      <c r="P933" s="7" t="b">
        <f>_xlfn.XLOOKUP(CONTROL[[#This Row],[VEHIDCODE]],PROPERTIES[VEHIDCODE],PROPERTIES[IS_CONCEPT])="IS_CONCEPT"</f>
        <v>0</v>
      </c>
      <c r="Q933" s="7" t="b">
        <f>_xlfn.XLOOKUP(CONTROL[[#This Row],[VEHIDCODE]],PROPERTIES[VEHIDCODE],PROPERTIES[EXCLUDE])</f>
        <v>0</v>
      </c>
      <c r="R933" t="str" cm="1">
        <f t="array" ref="R933">_xlfn.XLOOKUP(CONTROL[[#This Row],[VEHIDCODE]],GRAPHICS_PROPERTIES[VEHIDCODE],GRAPHICS_PROPERTIES[TEMPLATE_ID]&amp;GRAPHICS_PROPERTIES[TEMPLATE_AMENDMENT_CODE])</f>
        <v>TPL_04U</v>
      </c>
    </row>
    <row r="934" spans="1:18" x14ac:dyDescent="0.35">
      <c r="A934" t="s">
        <v>3366</v>
      </c>
      <c r="B934" s="21" t="str">
        <f>_xlfn.TEXTAFTER(CONTROL[[#This Row],[VEHIDCODE]],"_")</f>
        <v>Comeng_86_Class</v>
      </c>
      <c r="C934" t="str" cm="1">
        <f t="array" ref="C9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34" t="str" cm="1">
        <f t="array" ref="D9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3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6146</v>
      </c>
      <c r="F934" s="32" t="s">
        <v>2511</v>
      </c>
      <c r="G934" s="34" t="s">
        <v>1882</v>
      </c>
      <c r="H934" s="2" t="b">
        <f>AND(CONTROL[[#This Row],[IS_WAGON_OR_COACH]]=TRUE,OR(RIGHT(CONTROL[[#This Row],[VEHIDCODE]],7)="Powered",RIGHT(CONTROL[[#This Row],[VEHIDCODE]],9)="Unpowered"))</f>
        <v>0</v>
      </c>
      <c r="I9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4" t="b">
        <f>ISNUMBER(_xlfn.XMATCH(CONTROL[[#This Row],[VEHIDCODE]],TRACK_TYPES[VEHIDCODE],0))</f>
        <v>1</v>
      </c>
      <c r="K934" t="b">
        <f>ISNUMBER(_xlfn.XMATCH(CONTROL[[#This Row],[VEHIDCODE]],PROPERTIES[VEHIDCODE],0))</f>
        <v>1</v>
      </c>
      <c r="L934" t="b">
        <f>ISNUMBER(_xlfn.XLOOKUP(CONTROL[[#This Row],[VEHIDCODE]],roster!A:A,roster!D:D))</f>
        <v>1</v>
      </c>
      <c r="M934" t="b">
        <f>ISNUMBER(_xlfn.XMATCH(CONTROL[[#This Row],[VEHIDCODE]],GRAPHICS_PROPERTIES[VEHIDCODE],0))</f>
        <v>1</v>
      </c>
      <c r="N934" s="21" t="str">
        <f>"item_"&amp;CONTROL[[#This Row],[VEHIDCODE]]</f>
        <v>item_electric_Comeng_86_Class</v>
      </c>
      <c r="O934" s="21" t="str">
        <f>"str_"&amp;CONTROL[[#This Row],[VEHIDCODE]]</f>
        <v>str_electric_Comeng_86_Class</v>
      </c>
      <c r="P934" s="7" t="b">
        <f>_xlfn.XLOOKUP(CONTROL[[#This Row],[VEHIDCODE]],PROPERTIES[VEHIDCODE],PROPERTIES[IS_CONCEPT])="IS_CONCEPT"</f>
        <v>0</v>
      </c>
      <c r="Q934" s="7" t="b">
        <f>_xlfn.XLOOKUP(CONTROL[[#This Row],[VEHIDCODE]],PROPERTIES[VEHIDCODE],PROPERTIES[EXCLUDE])</f>
        <v>0</v>
      </c>
      <c r="R934" t="str" cm="1">
        <f t="array" ref="R934">_xlfn.XLOOKUP(CONTROL[[#This Row],[VEHIDCODE]],GRAPHICS_PROPERTIES[VEHIDCODE],GRAPHICS_PROPERTIES[TEMPLATE_ID]&amp;GRAPHICS_PROPERTIES[TEMPLATE_AMENDMENT_CODE])</f>
        <v>TPL_01A</v>
      </c>
    </row>
    <row r="935" spans="1:18" x14ac:dyDescent="0.35">
      <c r="A935" t="s">
        <v>3240</v>
      </c>
      <c r="B935" s="21" t="str">
        <f>_xlfn.TEXTAFTER(CONTROL[[#This Row],[VEHIDCODE]],"_")</f>
        <v>Ganz_MAVAG_EM_ET</v>
      </c>
      <c r="C935" t="str" cm="1">
        <f t="array" ref="C9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35" t="str" cm="1">
        <f t="array" ref="D9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3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8088</v>
      </c>
      <c r="F935" s="32" t="s">
        <v>2420</v>
      </c>
      <c r="G935" t="s">
        <v>1589</v>
      </c>
      <c r="H935" s="2" t="b">
        <f>AND(CONTROL[[#This Row],[IS_WAGON_OR_COACH]]=TRUE,OR(RIGHT(CONTROL[[#This Row],[VEHIDCODE]],7)="Powered",RIGHT(CONTROL[[#This Row],[VEHIDCODE]],9)="Unpowered"))</f>
        <v>0</v>
      </c>
      <c r="I9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5" t="b">
        <f>ISNUMBER(_xlfn.XMATCH(CONTROL[[#This Row],[VEHIDCODE]],TRACK_TYPES[VEHIDCODE],0))</f>
        <v>1</v>
      </c>
      <c r="K935" t="b">
        <f>ISNUMBER(_xlfn.XMATCH(CONTROL[[#This Row],[VEHIDCODE]],PROPERTIES[VEHIDCODE],0))</f>
        <v>1</v>
      </c>
      <c r="L935" t="b">
        <f>ISNUMBER(_xlfn.XLOOKUP(CONTROL[[#This Row],[VEHIDCODE]],roster!A:A,roster!D:D))</f>
        <v>1</v>
      </c>
      <c r="M935" t="b">
        <f>ISNUMBER(_xlfn.XMATCH(CONTROL[[#This Row],[VEHIDCODE]],GRAPHICS_PROPERTIES[VEHIDCODE],0))</f>
        <v>1</v>
      </c>
      <c r="N935" s="21" t="str">
        <f>"item_"&amp;CONTROL[[#This Row],[VEHIDCODE]]</f>
        <v>item_emu_Ganz_MAVAG_EM_ET</v>
      </c>
      <c r="O935" s="21" t="str">
        <f>"str_"&amp;CONTROL[[#This Row],[VEHIDCODE]]</f>
        <v>str_emu_Ganz_MAVAG_EM_ET</v>
      </c>
      <c r="P935" s="7" t="b">
        <f>_xlfn.XLOOKUP(CONTROL[[#This Row],[VEHIDCODE]],PROPERTIES[VEHIDCODE],PROPERTIES[IS_CONCEPT])="IS_CONCEPT"</f>
        <v>0</v>
      </c>
      <c r="Q935" s="7" t="b">
        <f>_xlfn.XLOOKUP(CONTROL[[#This Row],[VEHIDCODE]],PROPERTIES[VEHIDCODE],PROPERTIES[EXCLUDE])</f>
        <v>0</v>
      </c>
      <c r="R935" t="str" cm="1">
        <f t="array" ref="R935">_xlfn.XLOOKUP(CONTROL[[#This Row],[VEHIDCODE]],GRAPHICS_PROPERTIES[VEHIDCODE],GRAPHICS_PROPERTIES[TEMPLATE_ID]&amp;GRAPHICS_PROPERTIES[TEMPLATE_AMENDMENT_CODE])</f>
        <v>TPL_02A</v>
      </c>
    </row>
    <row r="936" spans="1:18" x14ac:dyDescent="0.35">
      <c r="A936" t="s">
        <v>3367</v>
      </c>
      <c r="B936" s="21" t="str">
        <f>_xlfn.TEXTAFTER(CONTROL[[#This Row],[VEHIDCODE]],"_")</f>
        <v>EEC_DM_EMU</v>
      </c>
      <c r="C936" t="str" cm="1">
        <f t="array" ref="C9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36" t="str" cm="1">
        <f t="array" ref="D9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3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8089</v>
      </c>
      <c r="F936" s="32" t="s">
        <v>2512</v>
      </c>
      <c r="G936" t="s">
        <v>1883</v>
      </c>
      <c r="H936" s="2" t="b">
        <f>AND(CONTROL[[#This Row],[IS_WAGON_OR_COACH]]=TRUE,OR(RIGHT(CONTROL[[#This Row],[VEHIDCODE]],7)="Powered",RIGHT(CONTROL[[#This Row],[VEHIDCODE]],9)="Unpowered"))</f>
        <v>0</v>
      </c>
      <c r="I9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6" t="b">
        <f>ISNUMBER(_xlfn.XMATCH(CONTROL[[#This Row],[VEHIDCODE]],TRACK_TYPES[VEHIDCODE],0))</f>
        <v>1</v>
      </c>
      <c r="K936" t="b">
        <f>ISNUMBER(_xlfn.XMATCH(CONTROL[[#This Row],[VEHIDCODE]],PROPERTIES[VEHIDCODE],0))</f>
        <v>1</v>
      </c>
      <c r="L936" t="b">
        <f>ISNUMBER(_xlfn.XLOOKUP(CONTROL[[#This Row],[VEHIDCODE]],roster!A:A,roster!D:D))</f>
        <v>1</v>
      </c>
      <c r="M936" t="b">
        <f>ISNUMBER(_xlfn.XMATCH(CONTROL[[#This Row],[VEHIDCODE]],GRAPHICS_PROPERTIES[VEHIDCODE],0))</f>
        <v>1</v>
      </c>
      <c r="N936" s="21" t="str">
        <f>"item_"&amp;CONTROL[[#This Row],[VEHIDCODE]]</f>
        <v>item_emu_EEC_DM_EMU</v>
      </c>
      <c r="O936" s="21" t="str">
        <f>"str_"&amp;CONTROL[[#This Row],[VEHIDCODE]]</f>
        <v>str_emu_EEC_DM_EMU</v>
      </c>
      <c r="P936" s="7" t="b">
        <f>_xlfn.XLOOKUP(CONTROL[[#This Row],[VEHIDCODE]],PROPERTIES[VEHIDCODE],PROPERTIES[IS_CONCEPT])="IS_CONCEPT"</f>
        <v>0</v>
      </c>
      <c r="Q936" s="7" t="b">
        <f>_xlfn.XLOOKUP(CONTROL[[#This Row],[VEHIDCODE]],PROPERTIES[VEHIDCODE],PROPERTIES[EXCLUDE])</f>
        <v>0</v>
      </c>
      <c r="R936" t="str" cm="1">
        <f t="array" ref="R936">_xlfn.XLOOKUP(CONTROL[[#This Row],[VEHIDCODE]],GRAPHICS_PROPERTIES[VEHIDCODE],GRAPHICS_PROPERTIES[TEMPLATE_ID]&amp;GRAPHICS_PROPERTIES[TEMPLATE_AMENDMENT_CODE])</f>
        <v>TPL_02A</v>
      </c>
    </row>
    <row r="937" spans="1:18" x14ac:dyDescent="0.35">
      <c r="A937" t="s">
        <v>3368</v>
      </c>
      <c r="B937" s="21" t="str">
        <f>_xlfn.TEXTAFTER(CONTROL[[#This Row],[VEHIDCODE]],"_")</f>
        <v>Hyundai_Rotem__Mitsui_Matangi</v>
      </c>
      <c r="C937" t="str" cm="1">
        <f t="array" ref="C9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37" t="str" cm="1">
        <f t="array" ref="D9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3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8090</v>
      </c>
      <c r="F937" s="32" t="s">
        <v>3529</v>
      </c>
      <c r="G937" t="s">
        <v>1884</v>
      </c>
      <c r="H937" s="2" t="b">
        <f>AND(CONTROL[[#This Row],[IS_WAGON_OR_COACH]]=TRUE,OR(RIGHT(CONTROL[[#This Row],[VEHIDCODE]],7)="Powered",RIGHT(CONTROL[[#This Row],[VEHIDCODE]],9)="Unpowered"))</f>
        <v>0</v>
      </c>
      <c r="I9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7" t="b">
        <f>ISNUMBER(_xlfn.XMATCH(CONTROL[[#This Row],[VEHIDCODE]],TRACK_TYPES[VEHIDCODE],0))</f>
        <v>1</v>
      </c>
      <c r="K937" t="b">
        <f>ISNUMBER(_xlfn.XMATCH(CONTROL[[#This Row],[VEHIDCODE]],PROPERTIES[VEHIDCODE],0))</f>
        <v>1</v>
      </c>
      <c r="L937" t="b">
        <f>ISNUMBER(_xlfn.XLOOKUP(CONTROL[[#This Row],[VEHIDCODE]],roster!A:A,roster!D:D))</f>
        <v>1</v>
      </c>
      <c r="M937" t="b">
        <f>ISNUMBER(_xlfn.XMATCH(CONTROL[[#This Row],[VEHIDCODE]],GRAPHICS_PROPERTIES[VEHIDCODE],0))</f>
        <v>1</v>
      </c>
      <c r="N937" s="21" t="str">
        <f>"item_"&amp;CONTROL[[#This Row],[VEHIDCODE]]</f>
        <v>item_emu_Hyundai_Rotem__Mitsui_Matangi</v>
      </c>
      <c r="O937" s="21" t="str">
        <f>"str_"&amp;CONTROL[[#This Row],[VEHIDCODE]]</f>
        <v>str_emu_Hyundai_Rotem__Mitsui_Matangi</v>
      </c>
      <c r="P937" s="7" t="b">
        <f>_xlfn.XLOOKUP(CONTROL[[#This Row],[VEHIDCODE]],PROPERTIES[VEHIDCODE],PROPERTIES[IS_CONCEPT])="IS_CONCEPT"</f>
        <v>0</v>
      </c>
      <c r="Q937" s="7" t="b">
        <f>_xlfn.XLOOKUP(CONTROL[[#This Row],[VEHIDCODE]],PROPERTIES[VEHIDCODE],PROPERTIES[EXCLUDE])</f>
        <v>0</v>
      </c>
      <c r="R937" t="str" cm="1">
        <f t="array" ref="R937">_xlfn.XLOOKUP(CONTROL[[#This Row],[VEHIDCODE]],GRAPHICS_PROPERTIES[VEHIDCODE],GRAPHICS_PROPERTIES[TEMPLATE_ID]&amp;GRAPHICS_PROPERTIES[TEMPLATE_AMENDMENT_CODE])</f>
        <v>TPL_02A</v>
      </c>
    </row>
    <row r="938" spans="1:18" x14ac:dyDescent="0.35">
      <c r="A938" t="s">
        <v>3369</v>
      </c>
      <c r="B938" s="21" t="str">
        <f>_xlfn.TEXTAFTER(CONTROL[[#This Row],[VEHIDCODE]],"_")</f>
        <v>Ganz_Hunslet_Budapest_G2</v>
      </c>
      <c r="C938" t="str" cm="1">
        <f t="array" ref="C9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38" t="str" cm="1">
        <f t="array" ref="D9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93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9066</v>
      </c>
      <c r="F938" s="32" t="s">
        <v>2571</v>
      </c>
      <c r="G938" t="s">
        <v>1886</v>
      </c>
      <c r="H938" s="2" t="b">
        <f>AND(CONTROL[[#This Row],[IS_WAGON_OR_COACH]]=TRUE,OR(RIGHT(CONTROL[[#This Row],[VEHIDCODE]],7)="Powered",RIGHT(CONTROL[[#This Row],[VEHIDCODE]],9)="Unpowered"))</f>
        <v>0</v>
      </c>
      <c r="I9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8" t="b">
        <f>ISNUMBER(_xlfn.XMATCH(CONTROL[[#This Row],[VEHIDCODE]],TRACK_TYPES[VEHIDCODE],0))</f>
        <v>1</v>
      </c>
      <c r="K938" t="b">
        <f>ISNUMBER(_xlfn.XMATCH(CONTROL[[#This Row],[VEHIDCODE]],PROPERTIES[VEHIDCODE],0))</f>
        <v>1</v>
      </c>
      <c r="L938" t="b">
        <f>ISNUMBER(_xlfn.XLOOKUP(CONTROL[[#This Row],[VEHIDCODE]],roster!A:A,roster!D:D))</f>
        <v>1</v>
      </c>
      <c r="M938" t="b">
        <f>ISNUMBER(_xlfn.XMATCH(CONTROL[[#This Row],[VEHIDCODE]],GRAPHICS_PROPERTIES[VEHIDCODE],0))</f>
        <v>1</v>
      </c>
      <c r="N938" s="21" t="str">
        <f>"item_"&amp;CONTROL[[#This Row],[VEHIDCODE]]</f>
        <v>item_mtro_Ganz_Hunslet_Budapest_G2</v>
      </c>
      <c r="O938" s="21" t="str">
        <f>"str_"&amp;CONTROL[[#This Row],[VEHIDCODE]]</f>
        <v>str_mtro_Ganz_Hunslet_Budapest_G2</v>
      </c>
      <c r="P938" s="7" t="b">
        <f>_xlfn.XLOOKUP(CONTROL[[#This Row],[VEHIDCODE]],PROPERTIES[VEHIDCODE],PROPERTIES[IS_CONCEPT])="IS_CONCEPT"</f>
        <v>0</v>
      </c>
      <c r="Q938" s="7" t="b">
        <f>_xlfn.XLOOKUP(CONTROL[[#This Row],[VEHIDCODE]],PROPERTIES[VEHIDCODE],PROPERTIES[EXCLUDE])</f>
        <v>0</v>
      </c>
      <c r="R938" t="str" cm="1">
        <f t="array" ref="R938">_xlfn.XLOOKUP(CONTROL[[#This Row],[VEHIDCODE]],GRAPHICS_PROPERTIES[VEHIDCODE],GRAPHICS_PROPERTIES[TEMPLATE_ID]&amp;GRAPHICS_PROPERTIES[TEMPLATE_AMENDMENT_CODE])</f>
        <v>TPL_02C</v>
      </c>
    </row>
    <row r="939" spans="1:18" x14ac:dyDescent="0.35">
      <c r="A939" s="2" t="s">
        <v>3370</v>
      </c>
      <c r="B939" s="21" t="str">
        <f>_xlfn.TEXTAFTER(CONTROL[[#This Row],[VEHIDCODE]],"_")</f>
        <v>BRC_W_NSU_Class</v>
      </c>
      <c r="C939" t="str" cm="1">
        <f t="array" ref="C9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39" t="str" cm="1">
        <f t="array" ref="D9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3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5175</v>
      </c>
      <c r="F939" s="32" t="s">
        <v>2513</v>
      </c>
      <c r="G939" t="s">
        <v>1887</v>
      </c>
      <c r="H939" s="2" t="b">
        <f>AND(CONTROL[[#This Row],[IS_WAGON_OR_COACH]]=TRUE,OR(RIGHT(CONTROL[[#This Row],[VEHIDCODE]],7)="Powered",RIGHT(CONTROL[[#This Row],[VEHIDCODE]],9)="Unpowered"))</f>
        <v>0</v>
      </c>
      <c r="I9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9" t="b">
        <f>ISNUMBER(_xlfn.XMATCH(CONTROL[[#This Row],[VEHIDCODE]],TRACK_TYPES[VEHIDCODE],0))</f>
        <v>1</v>
      </c>
      <c r="K939" t="b">
        <f>ISNUMBER(_xlfn.XMATCH(CONTROL[[#This Row],[VEHIDCODE]],PROPERTIES[VEHIDCODE],0))</f>
        <v>1</v>
      </c>
      <c r="L939" t="b">
        <f>ISNUMBER(_xlfn.XLOOKUP(CONTROL[[#This Row],[VEHIDCODE]],roster!A:A,roster!D:D))</f>
        <v>1</v>
      </c>
      <c r="M939" t="b">
        <f>ISNUMBER(_xlfn.XMATCH(CONTROL[[#This Row],[VEHIDCODE]],GRAPHICS_PROPERTIES[VEHIDCODE],0))</f>
        <v>1</v>
      </c>
      <c r="N939" s="21" t="str">
        <f>"item_"&amp;CONTROL[[#This Row],[VEHIDCODE]]</f>
        <v>item_diesel_BRC_W_NSU_Class</v>
      </c>
      <c r="O939" s="21" t="str">
        <f>"str_"&amp;CONTROL[[#This Row],[VEHIDCODE]]</f>
        <v>str_diesel_BRC_W_NSU_Class</v>
      </c>
      <c r="P939" s="7" t="b">
        <f>_xlfn.XLOOKUP(CONTROL[[#This Row],[VEHIDCODE]],PROPERTIES[VEHIDCODE],PROPERTIES[IS_CONCEPT])="IS_CONCEPT"</f>
        <v>0</v>
      </c>
      <c r="Q939" s="7" t="b">
        <f>_xlfn.XLOOKUP(CONTROL[[#This Row],[VEHIDCODE]],PROPERTIES[VEHIDCODE],PROPERTIES[EXCLUDE])</f>
        <v>0</v>
      </c>
      <c r="R939" t="str" cm="1">
        <f t="array" ref="R939">_xlfn.XLOOKUP(CONTROL[[#This Row],[VEHIDCODE]],GRAPHICS_PROPERTIES[VEHIDCODE],GRAPHICS_PROPERTIES[TEMPLATE_ID]&amp;GRAPHICS_PROPERTIES[TEMPLATE_AMENDMENT_CODE])</f>
        <v>TPL_01A</v>
      </c>
    </row>
    <row r="940" spans="1:18" x14ac:dyDescent="0.35">
      <c r="A940" t="s">
        <v>3371</v>
      </c>
      <c r="B940" s="21" t="str">
        <f>_xlfn.TEXTAFTER(CONTROL[[#This Row],[VEHIDCODE]],"_")</f>
        <v>Itochu_Kinki_Kawasaki_SP1900</v>
      </c>
      <c r="C940" t="str" cm="1">
        <f t="array" ref="C9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40" t="str" cm="1">
        <f t="array" ref="D9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4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8091</v>
      </c>
      <c r="F940" s="32" t="s">
        <v>2514</v>
      </c>
      <c r="G940" t="s">
        <v>1891</v>
      </c>
      <c r="H940" s="2" t="b">
        <f>AND(CONTROL[[#This Row],[IS_WAGON_OR_COACH]]=TRUE,OR(RIGHT(CONTROL[[#This Row],[VEHIDCODE]],7)="Powered",RIGHT(CONTROL[[#This Row],[VEHIDCODE]],9)="Unpowered"))</f>
        <v>0</v>
      </c>
      <c r="I9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0" t="b">
        <f>ISNUMBER(_xlfn.XMATCH(CONTROL[[#This Row],[VEHIDCODE]],TRACK_TYPES[VEHIDCODE],0))</f>
        <v>1</v>
      </c>
      <c r="K940" t="b">
        <f>ISNUMBER(_xlfn.XMATCH(CONTROL[[#This Row],[VEHIDCODE]],PROPERTIES[VEHIDCODE],0))</f>
        <v>1</v>
      </c>
      <c r="L940" t="b">
        <f>ISNUMBER(_xlfn.XLOOKUP(CONTROL[[#This Row],[VEHIDCODE]],roster!A:A,roster!D:D))</f>
        <v>1</v>
      </c>
      <c r="M940" t="b">
        <f>ISNUMBER(_xlfn.XMATCH(CONTROL[[#This Row],[VEHIDCODE]],GRAPHICS_PROPERTIES[VEHIDCODE],0))</f>
        <v>1</v>
      </c>
      <c r="N940" s="21" t="str">
        <f>"item_"&amp;CONTROL[[#This Row],[VEHIDCODE]]</f>
        <v>item_emu_Itochu_Kinki_Kawasaki_SP1900</v>
      </c>
      <c r="O940" s="21" t="str">
        <f>"str_"&amp;CONTROL[[#This Row],[VEHIDCODE]]</f>
        <v>str_emu_Itochu_Kinki_Kawasaki_SP1900</v>
      </c>
      <c r="P940" s="7" t="b">
        <f>_xlfn.XLOOKUP(CONTROL[[#This Row],[VEHIDCODE]],PROPERTIES[VEHIDCODE],PROPERTIES[IS_CONCEPT])="IS_CONCEPT"</f>
        <v>0</v>
      </c>
      <c r="Q940" s="7" t="b">
        <f>_xlfn.XLOOKUP(CONTROL[[#This Row],[VEHIDCODE]],PROPERTIES[VEHIDCODE],PROPERTIES[EXCLUDE])</f>
        <v>0</v>
      </c>
      <c r="R940" t="str" cm="1">
        <f t="array" ref="R940">_xlfn.XLOOKUP(CONTROL[[#This Row],[VEHIDCODE]],GRAPHICS_PROPERTIES[VEHIDCODE],GRAPHICS_PROPERTIES[TEMPLATE_ID]&amp;GRAPHICS_PROPERTIES[TEMPLATE_AMENDMENT_CODE])</f>
        <v>TPL_02D</v>
      </c>
    </row>
    <row r="941" spans="1:18" x14ac:dyDescent="0.35">
      <c r="A941" t="s">
        <v>3372</v>
      </c>
      <c r="B941" s="21" t="str">
        <f>_xlfn.TEXTAFTER(CONTROL[[#This Row],[VEHIDCODE]],"_")</f>
        <v>Alstom_CRRC_Datong_HXD2</v>
      </c>
      <c r="C941" t="str" cm="1">
        <f t="array" ref="C9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41" t="str" cm="1">
        <f t="array" ref="D9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4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6147</v>
      </c>
      <c r="F941" s="32" t="s">
        <v>2515</v>
      </c>
      <c r="G941" t="s">
        <v>1892</v>
      </c>
      <c r="H941" s="2" t="b">
        <f>AND(CONTROL[[#This Row],[IS_WAGON_OR_COACH]]=TRUE,OR(RIGHT(CONTROL[[#This Row],[VEHIDCODE]],7)="Powered",RIGHT(CONTROL[[#This Row],[VEHIDCODE]],9)="Unpowered"))</f>
        <v>0</v>
      </c>
      <c r="I9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1" t="b">
        <f>ISNUMBER(_xlfn.XMATCH(CONTROL[[#This Row],[VEHIDCODE]],TRACK_TYPES[VEHIDCODE],0))</f>
        <v>1</v>
      </c>
      <c r="K941" t="b">
        <f>ISNUMBER(_xlfn.XMATCH(CONTROL[[#This Row],[VEHIDCODE]],PROPERTIES[VEHIDCODE],0))</f>
        <v>1</v>
      </c>
      <c r="L941" t="b">
        <f>ISNUMBER(_xlfn.XLOOKUP(CONTROL[[#This Row],[VEHIDCODE]],roster!A:A,roster!D:D))</f>
        <v>1</v>
      </c>
      <c r="M941" t="b">
        <f>ISNUMBER(_xlfn.XMATCH(CONTROL[[#This Row],[VEHIDCODE]],GRAPHICS_PROPERTIES[VEHIDCODE],0))</f>
        <v>1</v>
      </c>
      <c r="N941" s="21" t="str">
        <f>"item_"&amp;CONTROL[[#This Row],[VEHIDCODE]]</f>
        <v>item_electric_Alstom_CRRC_Datong_HXD2</v>
      </c>
      <c r="O941" s="21" t="str">
        <f>"str_"&amp;CONTROL[[#This Row],[VEHIDCODE]]</f>
        <v>str_electric_Alstom_CRRC_Datong_HXD2</v>
      </c>
      <c r="P941" s="7" t="b">
        <f>_xlfn.XLOOKUP(CONTROL[[#This Row],[VEHIDCODE]],PROPERTIES[VEHIDCODE],PROPERTIES[IS_CONCEPT])="IS_CONCEPT"</f>
        <v>0</v>
      </c>
      <c r="Q941" s="7" t="b">
        <f>_xlfn.XLOOKUP(CONTROL[[#This Row],[VEHIDCODE]],PROPERTIES[VEHIDCODE],PROPERTIES[EXCLUDE])</f>
        <v>0</v>
      </c>
      <c r="R941" t="str" cm="1">
        <f t="array" ref="R941">_xlfn.XLOOKUP(CONTROL[[#This Row],[VEHIDCODE]],GRAPHICS_PROPERTIES[VEHIDCODE],GRAPHICS_PROPERTIES[TEMPLATE_ID]&amp;GRAPHICS_PROPERTIES[TEMPLATE_AMENDMENT_CODE])</f>
        <v>TPL_03D</v>
      </c>
    </row>
    <row r="942" spans="1:18" x14ac:dyDescent="0.35">
      <c r="A942" t="s">
        <v>3373</v>
      </c>
      <c r="B942" s="21" t="str">
        <f>_xlfn.TEXTAFTER(CONTROL[[#This Row],[VEHIDCODE]],"_")</f>
        <v>CRRC_Qishuyan_DF11</v>
      </c>
      <c r="C942" t="str" cm="1">
        <f t="array" ref="C9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42" t="str" cm="1">
        <f t="array" ref="D9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4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5176</v>
      </c>
      <c r="F942" s="32" t="s">
        <v>2516</v>
      </c>
      <c r="G942" t="s">
        <v>1893</v>
      </c>
      <c r="H942" s="2" t="b">
        <f>AND(CONTROL[[#This Row],[IS_WAGON_OR_COACH]]=TRUE,OR(RIGHT(CONTROL[[#This Row],[VEHIDCODE]],7)="Powered",RIGHT(CONTROL[[#This Row],[VEHIDCODE]],9)="Unpowered"))</f>
        <v>0</v>
      </c>
      <c r="I9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2" t="b">
        <f>ISNUMBER(_xlfn.XMATCH(CONTROL[[#This Row],[VEHIDCODE]],TRACK_TYPES[VEHIDCODE],0))</f>
        <v>1</v>
      </c>
      <c r="K942" t="b">
        <f>ISNUMBER(_xlfn.XMATCH(CONTROL[[#This Row],[VEHIDCODE]],PROPERTIES[VEHIDCODE],0))</f>
        <v>1</v>
      </c>
      <c r="L942" t="b">
        <f>ISNUMBER(_xlfn.XLOOKUP(CONTROL[[#This Row],[VEHIDCODE]],roster!A:A,roster!D:D))</f>
        <v>1</v>
      </c>
      <c r="M942" t="b">
        <f>ISNUMBER(_xlfn.XMATCH(CONTROL[[#This Row],[VEHIDCODE]],GRAPHICS_PROPERTIES[VEHIDCODE],0))</f>
        <v>1</v>
      </c>
      <c r="N942" s="21" t="str">
        <f>"item_"&amp;CONTROL[[#This Row],[VEHIDCODE]]</f>
        <v>item_diesel_CRRC_Qishuyan_DF11</v>
      </c>
      <c r="O942" s="21" t="str">
        <f>"str_"&amp;CONTROL[[#This Row],[VEHIDCODE]]</f>
        <v>str_diesel_CRRC_Qishuyan_DF11</v>
      </c>
      <c r="P942" s="7" t="b">
        <f>_xlfn.XLOOKUP(CONTROL[[#This Row],[VEHIDCODE]],PROPERTIES[VEHIDCODE],PROPERTIES[IS_CONCEPT])="IS_CONCEPT"</f>
        <v>0</v>
      </c>
      <c r="Q942" s="7" t="b">
        <f>_xlfn.XLOOKUP(CONTROL[[#This Row],[VEHIDCODE]],PROPERTIES[VEHIDCODE],PROPERTIES[EXCLUDE])</f>
        <v>0</v>
      </c>
      <c r="R942" t="str" cm="1">
        <f t="array" ref="R942">_xlfn.XLOOKUP(CONTROL[[#This Row],[VEHIDCODE]],GRAPHICS_PROPERTIES[VEHIDCODE],GRAPHICS_PROPERTIES[TEMPLATE_ID]&amp;GRAPHICS_PROPERTIES[TEMPLATE_AMENDMENT_CODE])</f>
        <v>TPL_01A</v>
      </c>
    </row>
    <row r="943" spans="1:18" x14ac:dyDescent="0.35">
      <c r="A943" s="2" t="s">
        <v>3374</v>
      </c>
      <c r="B943" s="21" t="str">
        <f>_xlfn.TEXTAFTER(CONTROL[[#This Row],[VEHIDCODE]],"_")</f>
        <v>Zhuzhou_SS8</v>
      </c>
      <c r="C943" t="str" cm="1">
        <f t="array" ref="C9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43" t="str" cm="1">
        <f t="array" ref="D9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4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6148</v>
      </c>
      <c r="F943" s="32" t="s">
        <v>2517</v>
      </c>
      <c r="G943" t="s">
        <v>1894</v>
      </c>
      <c r="H943" s="2" t="b">
        <f>AND(CONTROL[[#This Row],[IS_WAGON_OR_COACH]]=TRUE,OR(RIGHT(CONTROL[[#This Row],[VEHIDCODE]],7)="Powered",RIGHT(CONTROL[[#This Row],[VEHIDCODE]],9)="Unpowered"))</f>
        <v>0</v>
      </c>
      <c r="I9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3" t="b">
        <f>ISNUMBER(_xlfn.XMATCH(CONTROL[[#This Row],[VEHIDCODE]],TRACK_TYPES[VEHIDCODE],0))</f>
        <v>1</v>
      </c>
      <c r="K943" t="b">
        <f>ISNUMBER(_xlfn.XMATCH(CONTROL[[#This Row],[VEHIDCODE]],PROPERTIES[VEHIDCODE],0))</f>
        <v>1</v>
      </c>
      <c r="L943" t="b">
        <f>ISNUMBER(_xlfn.XLOOKUP(CONTROL[[#This Row],[VEHIDCODE]],roster!A:A,roster!D:D))</f>
        <v>1</v>
      </c>
      <c r="M943" t="b">
        <f>ISNUMBER(_xlfn.XMATCH(CONTROL[[#This Row],[VEHIDCODE]],GRAPHICS_PROPERTIES[VEHIDCODE],0))</f>
        <v>1</v>
      </c>
      <c r="N943" s="21" t="str">
        <f>"item_"&amp;CONTROL[[#This Row],[VEHIDCODE]]</f>
        <v>item_electric_Zhuzhou_SS8</v>
      </c>
      <c r="O943" s="21" t="str">
        <f>"str_"&amp;CONTROL[[#This Row],[VEHIDCODE]]</f>
        <v>str_electric_Zhuzhou_SS8</v>
      </c>
      <c r="P943" s="7" t="b">
        <f>_xlfn.XLOOKUP(CONTROL[[#This Row],[VEHIDCODE]],PROPERTIES[VEHIDCODE],PROPERTIES[IS_CONCEPT])="IS_CONCEPT"</f>
        <v>0</v>
      </c>
      <c r="Q943" s="7" t="b">
        <f>_xlfn.XLOOKUP(CONTROL[[#This Row],[VEHIDCODE]],PROPERTIES[VEHIDCODE],PROPERTIES[EXCLUDE])</f>
        <v>0</v>
      </c>
      <c r="R943" t="str" cm="1">
        <f t="array" ref="R943">_xlfn.XLOOKUP(CONTROL[[#This Row],[VEHIDCODE]],GRAPHICS_PROPERTIES[VEHIDCODE],GRAPHICS_PROPERTIES[TEMPLATE_ID]&amp;GRAPHICS_PROPERTIES[TEMPLATE_AMENDMENT_CODE])</f>
        <v>TPL_01A</v>
      </c>
    </row>
    <row r="944" spans="1:18" x14ac:dyDescent="0.35">
      <c r="A944" t="s">
        <v>3375</v>
      </c>
      <c r="B944" s="21" t="str">
        <f>_xlfn.TEXTAFTER(CONTROL[[#This Row],[VEHIDCODE]],"_")</f>
        <v>Alstom_CRRC_Datong_HXD2B</v>
      </c>
      <c r="C944" t="str" cm="1">
        <f t="array" ref="C9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44" t="str" cm="1">
        <f t="array" ref="D9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4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6149</v>
      </c>
      <c r="F944" s="32" t="s">
        <v>2518</v>
      </c>
      <c r="G944" t="s">
        <v>1895</v>
      </c>
      <c r="H944" s="2" t="b">
        <f>AND(CONTROL[[#This Row],[IS_WAGON_OR_COACH]]=TRUE,OR(RIGHT(CONTROL[[#This Row],[VEHIDCODE]],7)="Powered",RIGHT(CONTROL[[#This Row],[VEHIDCODE]],9)="Unpowered"))</f>
        <v>0</v>
      </c>
      <c r="I9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4" t="b">
        <f>ISNUMBER(_xlfn.XMATCH(CONTROL[[#This Row],[VEHIDCODE]],TRACK_TYPES[VEHIDCODE],0))</f>
        <v>1</v>
      </c>
      <c r="K944" t="b">
        <f>ISNUMBER(_xlfn.XMATCH(CONTROL[[#This Row],[VEHIDCODE]],PROPERTIES[VEHIDCODE],0))</f>
        <v>1</v>
      </c>
      <c r="L944" t="b">
        <f>ISNUMBER(_xlfn.XLOOKUP(CONTROL[[#This Row],[VEHIDCODE]],roster!A:A,roster!D:D))</f>
        <v>1</v>
      </c>
      <c r="M944" t="b">
        <f>ISNUMBER(_xlfn.XMATCH(CONTROL[[#This Row],[VEHIDCODE]],GRAPHICS_PROPERTIES[VEHIDCODE],0))</f>
        <v>1</v>
      </c>
      <c r="N944" s="21" t="str">
        <f>"item_"&amp;CONTROL[[#This Row],[VEHIDCODE]]</f>
        <v>item_electric_Alstom_CRRC_Datong_HXD2B</v>
      </c>
      <c r="O944" s="21" t="str">
        <f>"str_"&amp;CONTROL[[#This Row],[VEHIDCODE]]</f>
        <v>str_electric_Alstom_CRRC_Datong_HXD2B</v>
      </c>
      <c r="P944" s="7" t="b">
        <f>_xlfn.XLOOKUP(CONTROL[[#This Row],[VEHIDCODE]],PROPERTIES[VEHIDCODE],PROPERTIES[IS_CONCEPT])="IS_CONCEPT"</f>
        <v>0</v>
      </c>
      <c r="Q944" s="7" t="b">
        <f>_xlfn.XLOOKUP(CONTROL[[#This Row],[VEHIDCODE]],PROPERTIES[VEHIDCODE],PROPERTIES[EXCLUDE])</f>
        <v>0</v>
      </c>
      <c r="R944" t="str" cm="1">
        <f t="array" ref="R944">_xlfn.XLOOKUP(CONTROL[[#This Row],[VEHIDCODE]],GRAPHICS_PROPERTIES[VEHIDCODE],GRAPHICS_PROPERTIES[TEMPLATE_ID]&amp;GRAPHICS_PROPERTIES[TEMPLATE_AMENDMENT_CODE])</f>
        <v>TPL_01A</v>
      </c>
    </row>
    <row r="945" spans="1:18" x14ac:dyDescent="0.35">
      <c r="A945" t="s">
        <v>3376</v>
      </c>
      <c r="B945" s="21" t="str">
        <f>_xlfn.TEXTAFTER(CONTROL[[#This Row],[VEHIDCODE]],"_")</f>
        <v>CRRC_Dalian_HXD3D</v>
      </c>
      <c r="C945" t="str" cm="1">
        <f t="array" ref="C9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45" t="str" cm="1">
        <f t="array" ref="D9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4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6150</v>
      </c>
      <c r="F945" s="32" t="s">
        <v>2567</v>
      </c>
      <c r="G945" t="s">
        <v>1896</v>
      </c>
      <c r="H945" s="2" t="b">
        <f>AND(CONTROL[[#This Row],[IS_WAGON_OR_COACH]]=TRUE,OR(RIGHT(CONTROL[[#This Row],[VEHIDCODE]],7)="Powered",RIGHT(CONTROL[[#This Row],[VEHIDCODE]],9)="Unpowered"))</f>
        <v>0</v>
      </c>
      <c r="I9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5" t="b">
        <f>ISNUMBER(_xlfn.XMATCH(CONTROL[[#This Row],[VEHIDCODE]],TRACK_TYPES[VEHIDCODE],0))</f>
        <v>1</v>
      </c>
      <c r="K945" t="b">
        <f>ISNUMBER(_xlfn.XMATCH(CONTROL[[#This Row],[VEHIDCODE]],PROPERTIES[VEHIDCODE],0))</f>
        <v>1</v>
      </c>
      <c r="L945" t="b">
        <f>ISNUMBER(_xlfn.XLOOKUP(CONTROL[[#This Row],[VEHIDCODE]],roster!A:A,roster!D:D))</f>
        <v>1</v>
      </c>
      <c r="M945" t="b">
        <f>ISNUMBER(_xlfn.XMATCH(CONTROL[[#This Row],[VEHIDCODE]],GRAPHICS_PROPERTIES[VEHIDCODE],0))</f>
        <v>1</v>
      </c>
      <c r="N945" s="21" t="str">
        <f>"item_"&amp;CONTROL[[#This Row],[VEHIDCODE]]</f>
        <v>item_electric_CRRC_Dalian_HXD3D</v>
      </c>
      <c r="O945" s="21" t="str">
        <f>"str_"&amp;CONTROL[[#This Row],[VEHIDCODE]]</f>
        <v>str_electric_CRRC_Dalian_HXD3D</v>
      </c>
      <c r="P945" s="7" t="b">
        <f>_xlfn.XLOOKUP(CONTROL[[#This Row],[VEHIDCODE]],PROPERTIES[VEHIDCODE],PROPERTIES[IS_CONCEPT])="IS_CONCEPT"</f>
        <v>0</v>
      </c>
      <c r="Q945" s="7" t="b">
        <f>_xlfn.XLOOKUP(CONTROL[[#This Row],[VEHIDCODE]],PROPERTIES[VEHIDCODE],PROPERTIES[EXCLUDE])</f>
        <v>0</v>
      </c>
      <c r="R945" t="str" cm="1">
        <f t="array" ref="R945">_xlfn.XLOOKUP(CONTROL[[#This Row],[VEHIDCODE]],GRAPHICS_PROPERTIES[VEHIDCODE],GRAPHICS_PROPERTIES[TEMPLATE_ID]&amp;GRAPHICS_PROPERTIES[TEMPLATE_AMENDMENT_CODE])</f>
        <v>TPL_01A</v>
      </c>
    </row>
    <row r="946" spans="1:18" x14ac:dyDescent="0.35">
      <c r="A946" t="s">
        <v>3377</v>
      </c>
      <c r="B946" s="21" t="str">
        <f>_xlfn.TEXTAFTER(CONTROL[[#This Row],[VEHIDCODE]],"_")</f>
        <v>CRRC_Dalian_DF4</v>
      </c>
      <c r="C946" t="str" cm="1">
        <f t="array" ref="C9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46" t="str" cm="1">
        <f t="array" ref="D9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4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5177</v>
      </c>
      <c r="F946" s="32" t="s">
        <v>2519</v>
      </c>
      <c r="G946" t="s">
        <v>1897</v>
      </c>
      <c r="H946" s="2" t="b">
        <f>AND(CONTROL[[#This Row],[IS_WAGON_OR_COACH]]=TRUE,OR(RIGHT(CONTROL[[#This Row],[VEHIDCODE]],7)="Powered",RIGHT(CONTROL[[#This Row],[VEHIDCODE]],9)="Unpowered"))</f>
        <v>0</v>
      </c>
      <c r="I9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6" t="b">
        <f>ISNUMBER(_xlfn.XMATCH(CONTROL[[#This Row],[VEHIDCODE]],TRACK_TYPES[VEHIDCODE],0))</f>
        <v>1</v>
      </c>
      <c r="K946" t="b">
        <f>ISNUMBER(_xlfn.XMATCH(CONTROL[[#This Row],[VEHIDCODE]],PROPERTIES[VEHIDCODE],0))</f>
        <v>1</v>
      </c>
      <c r="L946" t="b">
        <f>ISNUMBER(_xlfn.XLOOKUP(CONTROL[[#This Row],[VEHIDCODE]],roster!A:A,roster!D:D))</f>
        <v>1</v>
      </c>
      <c r="M946" t="b">
        <f>ISNUMBER(_xlfn.XMATCH(CONTROL[[#This Row],[VEHIDCODE]],GRAPHICS_PROPERTIES[VEHIDCODE],0))</f>
        <v>1</v>
      </c>
      <c r="N946" s="21" t="str">
        <f>"item_"&amp;CONTROL[[#This Row],[VEHIDCODE]]</f>
        <v>item_diesel_CRRC_Dalian_DF4</v>
      </c>
      <c r="O946" s="21" t="str">
        <f>"str_"&amp;CONTROL[[#This Row],[VEHIDCODE]]</f>
        <v>str_diesel_CRRC_Dalian_DF4</v>
      </c>
      <c r="P946" s="7" t="b">
        <f>_xlfn.XLOOKUP(CONTROL[[#This Row],[VEHIDCODE]],PROPERTIES[VEHIDCODE],PROPERTIES[IS_CONCEPT])="IS_CONCEPT"</f>
        <v>0</v>
      </c>
      <c r="Q946" s="7" t="b">
        <f>_xlfn.XLOOKUP(CONTROL[[#This Row],[VEHIDCODE]],PROPERTIES[VEHIDCODE],PROPERTIES[EXCLUDE])</f>
        <v>0</v>
      </c>
      <c r="R946" t="str" cm="1">
        <f t="array" ref="R946">_xlfn.XLOOKUP(CONTROL[[#This Row],[VEHIDCODE]],GRAPHICS_PROPERTIES[VEHIDCODE],GRAPHICS_PROPERTIES[TEMPLATE_ID]&amp;GRAPHICS_PROPERTIES[TEMPLATE_AMENDMENT_CODE])</f>
        <v>TPL_01A</v>
      </c>
    </row>
    <row r="947" spans="1:18" x14ac:dyDescent="0.35">
      <c r="A947" t="s">
        <v>3378</v>
      </c>
      <c r="B947" s="21" t="str">
        <f>_xlfn.TEXTAFTER(CONTROL[[#This Row],[VEHIDCODE]],"_")</f>
        <v>Tangshan_Dalian_Sifang_DF5</v>
      </c>
      <c r="C947" t="str" cm="1">
        <f t="array" ref="C9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47" t="str" cm="1">
        <f t="array" ref="D9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4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5178</v>
      </c>
      <c r="F947" s="32" t="s">
        <v>2520</v>
      </c>
      <c r="G947" s="34" t="s">
        <v>1898</v>
      </c>
      <c r="H947" s="2" t="b">
        <f>AND(CONTROL[[#This Row],[IS_WAGON_OR_COACH]]=TRUE,OR(RIGHT(CONTROL[[#This Row],[VEHIDCODE]],7)="Powered",RIGHT(CONTROL[[#This Row],[VEHIDCODE]],9)="Unpowered"))</f>
        <v>0</v>
      </c>
      <c r="I9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7" t="b">
        <f>ISNUMBER(_xlfn.XMATCH(CONTROL[[#This Row],[VEHIDCODE]],TRACK_TYPES[VEHIDCODE],0))</f>
        <v>1</v>
      </c>
      <c r="K947" t="b">
        <f>ISNUMBER(_xlfn.XMATCH(CONTROL[[#This Row],[VEHIDCODE]],PROPERTIES[VEHIDCODE],0))</f>
        <v>1</v>
      </c>
      <c r="L947" t="b">
        <f>ISNUMBER(_xlfn.XLOOKUP(CONTROL[[#This Row],[VEHIDCODE]],roster!A:A,roster!D:D))</f>
        <v>1</v>
      </c>
      <c r="M947" t="b">
        <f>ISNUMBER(_xlfn.XMATCH(CONTROL[[#This Row],[VEHIDCODE]],GRAPHICS_PROPERTIES[VEHIDCODE],0))</f>
        <v>1</v>
      </c>
      <c r="N947" s="21" t="str">
        <f>"item_"&amp;CONTROL[[#This Row],[VEHIDCODE]]</f>
        <v>item_diesel_Tangshan_Dalian_Sifang_DF5</v>
      </c>
      <c r="O947" s="21" t="str">
        <f>"str_"&amp;CONTROL[[#This Row],[VEHIDCODE]]</f>
        <v>str_diesel_Tangshan_Dalian_Sifang_DF5</v>
      </c>
      <c r="P947" s="7" t="b">
        <f>_xlfn.XLOOKUP(CONTROL[[#This Row],[VEHIDCODE]],PROPERTIES[VEHIDCODE],PROPERTIES[IS_CONCEPT])="IS_CONCEPT"</f>
        <v>0</v>
      </c>
      <c r="Q947" s="7" t="b">
        <f>_xlfn.XLOOKUP(CONTROL[[#This Row],[VEHIDCODE]],PROPERTIES[VEHIDCODE],PROPERTIES[EXCLUDE])</f>
        <v>0</v>
      </c>
      <c r="R947" t="str" cm="1">
        <f t="array" ref="R947">_xlfn.XLOOKUP(CONTROL[[#This Row],[VEHIDCODE]],GRAPHICS_PROPERTIES[VEHIDCODE],GRAPHICS_PROPERTIES[TEMPLATE_ID]&amp;GRAPHICS_PROPERTIES[TEMPLATE_AMENDMENT_CODE])</f>
        <v>TPL_03F</v>
      </c>
    </row>
    <row r="948" spans="1:18" x14ac:dyDescent="0.35">
      <c r="A948" t="s">
        <v>3379</v>
      </c>
      <c r="B948" s="21" t="str">
        <f>_xlfn.TEXTAFTER(CONTROL[[#This Row],[VEHIDCODE]],"_")</f>
        <v>Dalian_2_8_2_JS_Class</v>
      </c>
      <c r="C948" t="str" cm="1">
        <f t="array" ref="C9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48" t="str" cm="1">
        <f t="array" ref="D9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4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4141</v>
      </c>
      <c r="F948" s="32" t="s">
        <v>2521</v>
      </c>
      <c r="G948" t="s">
        <v>1899</v>
      </c>
      <c r="H948" s="2" t="b">
        <f>AND(CONTROL[[#This Row],[IS_WAGON_OR_COACH]]=TRUE,OR(RIGHT(CONTROL[[#This Row],[VEHIDCODE]],7)="Powered",RIGHT(CONTROL[[#This Row],[VEHIDCODE]],9)="Unpowered"))</f>
        <v>0</v>
      </c>
      <c r="I9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8" t="b">
        <f>ISNUMBER(_xlfn.XMATCH(CONTROL[[#This Row],[VEHIDCODE]],TRACK_TYPES[VEHIDCODE],0))</f>
        <v>1</v>
      </c>
      <c r="K948" t="b">
        <f>ISNUMBER(_xlfn.XMATCH(CONTROL[[#This Row],[VEHIDCODE]],PROPERTIES[VEHIDCODE],0))</f>
        <v>1</v>
      </c>
      <c r="L948" t="b">
        <f>ISNUMBER(_xlfn.XLOOKUP(CONTROL[[#This Row],[VEHIDCODE]],roster!A:A,roster!D:D))</f>
        <v>1</v>
      </c>
      <c r="M948" t="b">
        <f>ISNUMBER(_xlfn.XMATCH(CONTROL[[#This Row],[VEHIDCODE]],GRAPHICS_PROPERTIES[VEHIDCODE],0))</f>
        <v>1</v>
      </c>
      <c r="N948" s="21" t="str">
        <f>"item_"&amp;CONTROL[[#This Row],[VEHIDCODE]]</f>
        <v>item_steam_Dalian_2_8_2_JS_Class</v>
      </c>
      <c r="O948" s="21" t="str">
        <f>"str_"&amp;CONTROL[[#This Row],[VEHIDCODE]]</f>
        <v>str_steam_Dalian_2_8_2_JS_Class</v>
      </c>
      <c r="P948" s="7" t="b">
        <f>_xlfn.XLOOKUP(CONTROL[[#This Row],[VEHIDCODE]],PROPERTIES[VEHIDCODE],PROPERTIES[IS_CONCEPT])="IS_CONCEPT"</f>
        <v>0</v>
      </c>
      <c r="Q948" s="7" t="b">
        <f>_xlfn.XLOOKUP(CONTROL[[#This Row],[VEHIDCODE]],PROPERTIES[VEHIDCODE],PROPERTIES[EXCLUDE])</f>
        <v>0</v>
      </c>
      <c r="R948" t="str" cm="1">
        <f t="array" ref="R948">_xlfn.XLOOKUP(CONTROL[[#This Row],[VEHIDCODE]],GRAPHICS_PROPERTIES[VEHIDCODE],GRAPHICS_PROPERTIES[TEMPLATE_ID]&amp;GRAPHICS_PROPERTIES[TEMPLATE_AMENDMENT_CODE])</f>
        <v>TPL_03A</v>
      </c>
    </row>
    <row r="949" spans="1:18" x14ac:dyDescent="0.35">
      <c r="A949" t="s">
        <v>3380</v>
      </c>
      <c r="B949" s="21" t="str">
        <f>_xlfn.TEXTAFTER(CONTROL[[#This Row],[VEHIDCODE]],"_")</f>
        <v>CSR_Sifang_4_6_2_RM</v>
      </c>
      <c r="C949" t="str" cm="1">
        <f t="array" ref="C9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49" t="str" cm="1">
        <f t="array" ref="D9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4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4142</v>
      </c>
      <c r="F949" s="32" t="s">
        <v>2563</v>
      </c>
      <c r="G949" t="s">
        <v>1900</v>
      </c>
      <c r="H949" s="2" t="b">
        <f>AND(CONTROL[[#This Row],[IS_WAGON_OR_COACH]]=TRUE,OR(RIGHT(CONTROL[[#This Row],[VEHIDCODE]],7)="Powered",RIGHT(CONTROL[[#This Row],[VEHIDCODE]],9)="Unpowered"))</f>
        <v>0</v>
      </c>
      <c r="I9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9" t="b">
        <f>ISNUMBER(_xlfn.XMATCH(CONTROL[[#This Row],[VEHIDCODE]],TRACK_TYPES[VEHIDCODE],0))</f>
        <v>1</v>
      </c>
      <c r="K949" t="b">
        <f>ISNUMBER(_xlfn.XMATCH(CONTROL[[#This Row],[VEHIDCODE]],PROPERTIES[VEHIDCODE],0))</f>
        <v>1</v>
      </c>
      <c r="L949" t="b">
        <f>ISNUMBER(_xlfn.XLOOKUP(CONTROL[[#This Row],[VEHIDCODE]],roster!A:A,roster!D:D))</f>
        <v>1</v>
      </c>
      <c r="M949" t="b">
        <f>ISNUMBER(_xlfn.XMATCH(CONTROL[[#This Row],[VEHIDCODE]],GRAPHICS_PROPERTIES[VEHIDCODE],0))</f>
        <v>1</v>
      </c>
      <c r="N949" s="21" t="str">
        <f>"item_"&amp;CONTROL[[#This Row],[VEHIDCODE]]</f>
        <v>item_steam_CSR_Sifang_4_6_2_RM</v>
      </c>
      <c r="O949" s="21" t="str">
        <f>"str_"&amp;CONTROL[[#This Row],[VEHIDCODE]]</f>
        <v>str_steam_CSR_Sifang_4_6_2_RM</v>
      </c>
      <c r="P949" s="7" t="b">
        <f>_xlfn.XLOOKUP(CONTROL[[#This Row],[VEHIDCODE]],PROPERTIES[VEHIDCODE],PROPERTIES[IS_CONCEPT])="IS_CONCEPT"</f>
        <v>0</v>
      </c>
      <c r="Q949" s="7" t="b">
        <f>_xlfn.XLOOKUP(CONTROL[[#This Row],[VEHIDCODE]],PROPERTIES[VEHIDCODE],PROPERTIES[EXCLUDE])</f>
        <v>0</v>
      </c>
      <c r="R949" t="str" cm="1">
        <f t="array" ref="R949">_xlfn.XLOOKUP(CONTROL[[#This Row],[VEHIDCODE]],GRAPHICS_PROPERTIES[VEHIDCODE],GRAPHICS_PROPERTIES[TEMPLATE_ID]&amp;GRAPHICS_PROPERTIES[TEMPLATE_AMENDMENT_CODE])</f>
        <v>TPL_03A</v>
      </c>
    </row>
    <row r="950" spans="1:18" x14ac:dyDescent="0.35">
      <c r="A950" t="s">
        <v>3381</v>
      </c>
      <c r="B950" s="21" t="str">
        <f>_xlfn.TEXTAFTER(CONTROL[[#This Row],[VEHIDCODE]],"_")</f>
        <v>MAV_Ikarus_260</v>
      </c>
      <c r="C950" t="str" cm="1">
        <f t="array" ref="C9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950" t="str" cm="1">
        <f t="array" ref="D9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95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2047</v>
      </c>
      <c r="F950" s="32" t="s">
        <v>1901</v>
      </c>
      <c r="G950" t="s">
        <v>1902</v>
      </c>
      <c r="H950" s="2" t="b">
        <f>AND(CONTROL[[#This Row],[IS_WAGON_OR_COACH]]=TRUE,OR(RIGHT(CONTROL[[#This Row],[VEHIDCODE]],7)="Powered",RIGHT(CONTROL[[#This Row],[VEHIDCODE]],9)="Unpowered"))</f>
        <v>0</v>
      </c>
      <c r="I9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0" t="b">
        <f>ISNUMBER(_xlfn.XMATCH(CONTROL[[#This Row],[VEHIDCODE]],TRACK_TYPES[VEHIDCODE],0))</f>
        <v>1</v>
      </c>
      <c r="K950" t="b">
        <f>ISNUMBER(_xlfn.XMATCH(CONTROL[[#This Row],[VEHIDCODE]],PROPERTIES[VEHIDCODE],0))</f>
        <v>1</v>
      </c>
      <c r="L950" t="b">
        <f>ISNUMBER(_xlfn.XLOOKUP(CONTROL[[#This Row],[VEHIDCODE]],roster!A:A,roster!D:D))</f>
        <v>1</v>
      </c>
      <c r="M950" t="b">
        <f>ISNUMBER(_xlfn.XMATCH(CONTROL[[#This Row],[VEHIDCODE]],GRAPHICS_PROPERTIES[VEHIDCODE],0))</f>
        <v>1</v>
      </c>
      <c r="N950" s="21" t="str">
        <f>"item_"&amp;CONTROL[[#This Row],[VEHIDCODE]]</f>
        <v>item_rbd_MAV_Ikarus_260</v>
      </c>
      <c r="O950" s="21" t="str">
        <f>"str_"&amp;CONTROL[[#This Row],[VEHIDCODE]]</f>
        <v>str_rbd_MAV_Ikarus_260</v>
      </c>
      <c r="P950" s="7" t="b">
        <f>_xlfn.XLOOKUP(CONTROL[[#This Row],[VEHIDCODE]],PROPERTIES[VEHIDCODE],PROPERTIES[IS_CONCEPT])="IS_CONCEPT"</f>
        <v>0</v>
      </c>
      <c r="Q950" s="7" t="b">
        <f>_xlfn.XLOOKUP(CONTROL[[#This Row],[VEHIDCODE]],PROPERTIES[VEHIDCODE],PROPERTIES[EXCLUDE])</f>
        <v>0</v>
      </c>
      <c r="R950" t="str" cm="1">
        <f t="array" ref="R950">_xlfn.XLOOKUP(CONTROL[[#This Row],[VEHIDCODE]],GRAPHICS_PROPERTIES[VEHIDCODE],GRAPHICS_PROPERTIES[TEMPLATE_ID]&amp;GRAPHICS_PROPERTIES[TEMPLATE_AMENDMENT_CODE])</f>
        <v>TPL_01A</v>
      </c>
    </row>
    <row r="951" spans="1:18" x14ac:dyDescent="0.35">
      <c r="A951" s="2" t="s">
        <v>3382</v>
      </c>
      <c r="B951" s="21" t="str">
        <f>_xlfn.TEXTAFTER(CONTROL[[#This Row],[VEHIDCODE]],"_")</f>
        <v>GE_ES43ACi</v>
      </c>
      <c r="C951" t="str" cm="1">
        <f t="array" ref="C9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1" t="str" cm="1">
        <f t="array" ref="D9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5179</v>
      </c>
      <c r="F951" s="32" t="s">
        <v>2035</v>
      </c>
      <c r="G951" t="s">
        <v>1320</v>
      </c>
      <c r="H951" s="2" t="b">
        <f>AND(CONTROL[[#This Row],[IS_WAGON_OR_COACH]]=TRUE,OR(RIGHT(CONTROL[[#This Row],[VEHIDCODE]],7)="Powered",RIGHT(CONTROL[[#This Row],[VEHIDCODE]],9)="Unpowered"))</f>
        <v>0</v>
      </c>
      <c r="I9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1" t="b">
        <f>ISNUMBER(_xlfn.XMATCH(CONTROL[[#This Row],[VEHIDCODE]],TRACK_TYPES[VEHIDCODE],0))</f>
        <v>1</v>
      </c>
      <c r="K951" t="b">
        <f>ISNUMBER(_xlfn.XMATCH(CONTROL[[#This Row],[VEHIDCODE]],PROPERTIES[VEHIDCODE],0))</f>
        <v>1</v>
      </c>
      <c r="L951" t="b">
        <f>ISNUMBER(_xlfn.XLOOKUP(CONTROL[[#This Row],[VEHIDCODE]],roster!A:A,roster!D:D))</f>
        <v>1</v>
      </c>
      <c r="M951" t="b">
        <f>ISNUMBER(_xlfn.XMATCH(CONTROL[[#This Row],[VEHIDCODE]],GRAPHICS_PROPERTIES[VEHIDCODE],0))</f>
        <v>1</v>
      </c>
      <c r="N951" s="21" t="str">
        <f>"item_"&amp;CONTROL[[#This Row],[VEHIDCODE]]</f>
        <v>item_diesel_GE_ES43ACi</v>
      </c>
      <c r="O951" s="21" t="str">
        <f>"str_"&amp;CONTROL[[#This Row],[VEHIDCODE]]</f>
        <v>str_diesel_GE_ES43ACi</v>
      </c>
      <c r="P951" s="7" t="b">
        <f>_xlfn.XLOOKUP(CONTROL[[#This Row],[VEHIDCODE]],PROPERTIES[VEHIDCODE],PROPERTIES[IS_CONCEPT])="IS_CONCEPT"</f>
        <v>0</v>
      </c>
      <c r="Q951" s="7" t="b">
        <f>_xlfn.XLOOKUP(CONTROL[[#This Row],[VEHIDCODE]],PROPERTIES[VEHIDCODE],PROPERTIES[EXCLUDE])</f>
        <v>0</v>
      </c>
      <c r="R951" t="str" cm="1">
        <f t="array" ref="R951">_xlfn.XLOOKUP(CONTROL[[#This Row],[VEHIDCODE]],GRAPHICS_PROPERTIES[VEHIDCODE],GRAPHICS_PROPERTIES[TEMPLATE_ID]&amp;GRAPHICS_PROPERTIES[TEMPLATE_AMENDMENT_CODE])</f>
        <v>TPL_01A</v>
      </c>
    </row>
    <row r="952" spans="1:18" x14ac:dyDescent="0.35">
      <c r="A952" t="s">
        <v>3383</v>
      </c>
      <c r="B952" s="21" t="str">
        <f>_xlfn.TEXTAFTER(CONTROL[[#This Row],[VEHIDCODE]],"_")</f>
        <v>EMD_GP40</v>
      </c>
      <c r="C952" t="str" cm="1">
        <f t="array" ref="C9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2" t="str" cm="1">
        <f t="array" ref="D9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5180</v>
      </c>
      <c r="F952" s="32" t="s">
        <v>1908</v>
      </c>
      <c r="G952" t="s">
        <v>1903</v>
      </c>
      <c r="H952" s="2" t="b">
        <f>AND(CONTROL[[#This Row],[IS_WAGON_OR_COACH]]=TRUE,OR(RIGHT(CONTROL[[#This Row],[VEHIDCODE]],7)="Powered",RIGHT(CONTROL[[#This Row],[VEHIDCODE]],9)="Unpowered"))</f>
        <v>0</v>
      </c>
      <c r="I9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2" t="b">
        <f>ISNUMBER(_xlfn.XMATCH(CONTROL[[#This Row],[VEHIDCODE]],TRACK_TYPES[VEHIDCODE],0))</f>
        <v>1</v>
      </c>
      <c r="K952" t="b">
        <f>ISNUMBER(_xlfn.XMATCH(CONTROL[[#This Row],[VEHIDCODE]],PROPERTIES[VEHIDCODE],0))</f>
        <v>1</v>
      </c>
      <c r="L952" t="b">
        <f>ISNUMBER(_xlfn.XLOOKUP(CONTROL[[#This Row],[VEHIDCODE]],roster!A:A,roster!D:D))</f>
        <v>1</v>
      </c>
      <c r="M952" t="b">
        <f>ISNUMBER(_xlfn.XMATCH(CONTROL[[#This Row],[VEHIDCODE]],GRAPHICS_PROPERTIES[VEHIDCODE],0))</f>
        <v>1</v>
      </c>
      <c r="N952" s="21" t="str">
        <f>"item_"&amp;CONTROL[[#This Row],[VEHIDCODE]]</f>
        <v>item_diesel_EMD_GP40</v>
      </c>
      <c r="O952" s="21" t="str">
        <f>"str_"&amp;CONTROL[[#This Row],[VEHIDCODE]]</f>
        <v>str_diesel_EMD_GP40</v>
      </c>
      <c r="P952" s="7" t="b">
        <f>_xlfn.XLOOKUP(CONTROL[[#This Row],[VEHIDCODE]],PROPERTIES[VEHIDCODE],PROPERTIES[IS_CONCEPT])="IS_CONCEPT"</f>
        <v>0</v>
      </c>
      <c r="Q952" s="7" t="b">
        <f>_xlfn.XLOOKUP(CONTROL[[#This Row],[VEHIDCODE]],PROPERTIES[VEHIDCODE],PROPERTIES[EXCLUDE])</f>
        <v>0</v>
      </c>
      <c r="R952" t="str" cm="1">
        <f t="array" ref="R952">_xlfn.XLOOKUP(CONTROL[[#This Row],[VEHIDCODE]],GRAPHICS_PROPERTIES[VEHIDCODE],GRAPHICS_PROPERTIES[TEMPLATE_ID]&amp;GRAPHICS_PROPERTIES[TEMPLATE_AMENDMENT_CODE])</f>
        <v>TPL_01A</v>
      </c>
    </row>
    <row r="953" spans="1:18" x14ac:dyDescent="0.35">
      <c r="A953" t="s">
        <v>3384</v>
      </c>
      <c r="B953" s="21" t="str">
        <f>_xlfn.TEXTAFTER(CONTROL[[#This Row],[VEHIDCODE]],"_")</f>
        <v>EMD_SD70</v>
      </c>
      <c r="C953" t="str" cm="1">
        <f t="array" ref="C9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3" t="str" cm="1">
        <f t="array" ref="D9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5181</v>
      </c>
      <c r="F953" s="32" t="s">
        <v>1904</v>
      </c>
      <c r="G953" t="s">
        <v>1289</v>
      </c>
      <c r="H953" s="2" t="b">
        <f>AND(CONTROL[[#This Row],[IS_WAGON_OR_COACH]]=TRUE,OR(RIGHT(CONTROL[[#This Row],[VEHIDCODE]],7)="Powered",RIGHT(CONTROL[[#This Row],[VEHIDCODE]],9)="Unpowered"))</f>
        <v>0</v>
      </c>
      <c r="I9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3" t="b">
        <f>ISNUMBER(_xlfn.XMATCH(CONTROL[[#This Row],[VEHIDCODE]],TRACK_TYPES[VEHIDCODE],0))</f>
        <v>1</v>
      </c>
      <c r="K953" t="b">
        <f>ISNUMBER(_xlfn.XMATCH(CONTROL[[#This Row],[VEHIDCODE]],PROPERTIES[VEHIDCODE],0))</f>
        <v>1</v>
      </c>
      <c r="L953" t="b">
        <f>ISNUMBER(_xlfn.XLOOKUP(CONTROL[[#This Row],[VEHIDCODE]],roster!A:A,roster!D:D))</f>
        <v>1</v>
      </c>
      <c r="M953" t="b">
        <f>ISNUMBER(_xlfn.XMATCH(CONTROL[[#This Row],[VEHIDCODE]],GRAPHICS_PROPERTIES[VEHIDCODE],0))</f>
        <v>1</v>
      </c>
      <c r="N953" s="21" t="str">
        <f>"item_"&amp;CONTROL[[#This Row],[VEHIDCODE]]</f>
        <v>item_diesel_EMD_SD70</v>
      </c>
      <c r="O953" s="21" t="str">
        <f>"str_"&amp;CONTROL[[#This Row],[VEHIDCODE]]</f>
        <v>str_diesel_EMD_SD70</v>
      </c>
      <c r="P953" s="7" t="b">
        <f>_xlfn.XLOOKUP(CONTROL[[#This Row],[VEHIDCODE]],PROPERTIES[VEHIDCODE],PROPERTIES[IS_CONCEPT])="IS_CONCEPT"</f>
        <v>0</v>
      </c>
      <c r="Q953" s="7" t="b">
        <f>_xlfn.XLOOKUP(CONTROL[[#This Row],[VEHIDCODE]],PROPERTIES[VEHIDCODE],PROPERTIES[EXCLUDE])</f>
        <v>0</v>
      </c>
      <c r="R953" t="str" cm="1">
        <f t="array" ref="R953">_xlfn.XLOOKUP(CONTROL[[#This Row],[VEHIDCODE]],GRAPHICS_PROPERTIES[VEHIDCODE],GRAPHICS_PROPERTIES[TEMPLATE_ID]&amp;GRAPHICS_PROPERTIES[TEMPLATE_AMENDMENT_CODE])</f>
        <v>TPL_01A</v>
      </c>
    </row>
    <row r="954" spans="1:18" x14ac:dyDescent="0.35">
      <c r="A954" s="2" t="s">
        <v>3385</v>
      </c>
      <c r="B954" s="21" t="str">
        <f>_xlfn.TEXTAFTER(CONTROL[[#This Row],[VEHIDCODE]],"_")</f>
        <v>GE_C30_7_Dash_7</v>
      </c>
      <c r="C954" t="str" cm="1">
        <f t="array" ref="C9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4" t="str" cm="1">
        <f t="array" ref="D9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5182</v>
      </c>
      <c r="F954" s="32" t="s">
        <v>1978</v>
      </c>
      <c r="G954" t="s">
        <v>1905</v>
      </c>
      <c r="H954" s="2" t="b">
        <f>AND(CONTROL[[#This Row],[IS_WAGON_OR_COACH]]=TRUE,OR(RIGHT(CONTROL[[#This Row],[VEHIDCODE]],7)="Powered",RIGHT(CONTROL[[#This Row],[VEHIDCODE]],9)="Unpowered"))</f>
        <v>0</v>
      </c>
      <c r="I9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4" t="b">
        <f>ISNUMBER(_xlfn.XMATCH(CONTROL[[#This Row],[VEHIDCODE]],TRACK_TYPES[VEHIDCODE],0))</f>
        <v>1</v>
      </c>
      <c r="K954" t="b">
        <f>ISNUMBER(_xlfn.XMATCH(CONTROL[[#This Row],[VEHIDCODE]],PROPERTIES[VEHIDCODE],0))</f>
        <v>1</v>
      </c>
      <c r="L954" t="b">
        <f>ISNUMBER(_xlfn.XLOOKUP(CONTROL[[#This Row],[VEHIDCODE]],roster!A:A,roster!D:D))</f>
        <v>1</v>
      </c>
      <c r="M954" t="b">
        <f>ISNUMBER(_xlfn.XMATCH(CONTROL[[#This Row],[VEHIDCODE]],GRAPHICS_PROPERTIES[VEHIDCODE],0))</f>
        <v>1</v>
      </c>
      <c r="N954" s="21" t="str">
        <f>"item_"&amp;CONTROL[[#This Row],[VEHIDCODE]]</f>
        <v>item_diesel_GE_C30_7_Dash_7</v>
      </c>
      <c r="O954" s="21" t="str">
        <f>"str_"&amp;CONTROL[[#This Row],[VEHIDCODE]]</f>
        <v>str_diesel_GE_C30_7_Dash_7</v>
      </c>
      <c r="P954" s="7" t="b">
        <f>_xlfn.XLOOKUP(CONTROL[[#This Row],[VEHIDCODE]],PROPERTIES[VEHIDCODE],PROPERTIES[IS_CONCEPT])="IS_CONCEPT"</f>
        <v>0</v>
      </c>
      <c r="Q954" s="7" t="b">
        <f>_xlfn.XLOOKUP(CONTROL[[#This Row],[VEHIDCODE]],PROPERTIES[VEHIDCODE],PROPERTIES[EXCLUDE])</f>
        <v>0</v>
      </c>
      <c r="R954" t="str" cm="1">
        <f t="array" ref="R954">_xlfn.XLOOKUP(CONTROL[[#This Row],[VEHIDCODE]],GRAPHICS_PROPERTIES[VEHIDCODE],GRAPHICS_PROPERTIES[TEMPLATE_ID]&amp;GRAPHICS_PROPERTIES[TEMPLATE_AMENDMENT_CODE])</f>
        <v>TPL_01A</v>
      </c>
    </row>
    <row r="955" spans="1:18" x14ac:dyDescent="0.35">
      <c r="A955" s="2" t="s">
        <v>3386</v>
      </c>
      <c r="B955" s="21" t="str">
        <f>_xlfn.TEXTAFTER(CONTROL[[#This Row],[VEHIDCODE]],"_")</f>
        <v>GE_C40_8_Dash_8</v>
      </c>
      <c r="C955" t="str" cm="1">
        <f t="array" ref="C9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5" t="str" cm="1">
        <f t="array" ref="D9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5183</v>
      </c>
      <c r="F955" s="32" t="s">
        <v>2522</v>
      </c>
      <c r="G955" t="s">
        <v>1906</v>
      </c>
      <c r="H955" s="2" t="b">
        <f>AND(CONTROL[[#This Row],[IS_WAGON_OR_COACH]]=TRUE,OR(RIGHT(CONTROL[[#This Row],[VEHIDCODE]],7)="Powered",RIGHT(CONTROL[[#This Row],[VEHIDCODE]],9)="Unpowered"))</f>
        <v>0</v>
      </c>
      <c r="I9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5" t="b">
        <f>ISNUMBER(_xlfn.XMATCH(CONTROL[[#This Row],[VEHIDCODE]],TRACK_TYPES[VEHIDCODE],0))</f>
        <v>1</v>
      </c>
      <c r="K955" t="b">
        <f>ISNUMBER(_xlfn.XMATCH(CONTROL[[#This Row],[VEHIDCODE]],PROPERTIES[VEHIDCODE],0))</f>
        <v>1</v>
      </c>
      <c r="L955" t="b">
        <f>ISNUMBER(_xlfn.XLOOKUP(CONTROL[[#This Row],[VEHIDCODE]],roster!A:A,roster!D:D))</f>
        <v>1</v>
      </c>
      <c r="M955" t="b">
        <f>ISNUMBER(_xlfn.XMATCH(CONTROL[[#This Row],[VEHIDCODE]],GRAPHICS_PROPERTIES[VEHIDCODE],0))</f>
        <v>1</v>
      </c>
      <c r="N955" s="21" t="str">
        <f>"item_"&amp;CONTROL[[#This Row],[VEHIDCODE]]</f>
        <v>item_diesel_GE_C40_8_Dash_8</v>
      </c>
      <c r="O955" s="21" t="str">
        <f>"str_"&amp;CONTROL[[#This Row],[VEHIDCODE]]</f>
        <v>str_diesel_GE_C40_8_Dash_8</v>
      </c>
      <c r="P955" s="7" t="b">
        <f>_xlfn.XLOOKUP(CONTROL[[#This Row],[VEHIDCODE]],PROPERTIES[VEHIDCODE],PROPERTIES[IS_CONCEPT])="IS_CONCEPT"</f>
        <v>0</v>
      </c>
      <c r="Q955" s="7" t="b">
        <f>_xlfn.XLOOKUP(CONTROL[[#This Row],[VEHIDCODE]],PROPERTIES[VEHIDCODE],PROPERTIES[EXCLUDE])</f>
        <v>0</v>
      </c>
      <c r="R955" t="str" cm="1">
        <f t="array" ref="R955">_xlfn.XLOOKUP(CONTROL[[#This Row],[VEHIDCODE]],GRAPHICS_PROPERTIES[VEHIDCODE],GRAPHICS_PROPERTIES[TEMPLATE_ID]&amp;GRAPHICS_PROPERTIES[TEMPLATE_AMENDMENT_CODE])</f>
        <v>TPL_01A</v>
      </c>
    </row>
    <row r="956" spans="1:18" x14ac:dyDescent="0.35">
      <c r="A956" t="s">
        <v>3387</v>
      </c>
      <c r="B956" s="21" t="str">
        <f>_xlfn.TEXTAFTER(CONTROL[[#This Row],[VEHIDCODE]],"_")</f>
        <v>GE_C44_9W_Dash_9</v>
      </c>
      <c r="C956" t="str" cm="1">
        <f t="array" ref="C9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6" t="str" cm="1">
        <f t="array" ref="D9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5184</v>
      </c>
      <c r="F956" s="32" t="s">
        <v>1977</v>
      </c>
      <c r="G956" t="s">
        <v>1907</v>
      </c>
      <c r="H956" s="2" t="b">
        <f>AND(CONTROL[[#This Row],[IS_WAGON_OR_COACH]]=TRUE,OR(RIGHT(CONTROL[[#This Row],[VEHIDCODE]],7)="Powered",RIGHT(CONTROL[[#This Row],[VEHIDCODE]],9)="Unpowered"))</f>
        <v>0</v>
      </c>
      <c r="I9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6" t="b">
        <f>ISNUMBER(_xlfn.XMATCH(CONTROL[[#This Row],[VEHIDCODE]],TRACK_TYPES[VEHIDCODE],0))</f>
        <v>1</v>
      </c>
      <c r="K956" t="b">
        <f>ISNUMBER(_xlfn.XMATCH(CONTROL[[#This Row],[VEHIDCODE]],PROPERTIES[VEHIDCODE],0))</f>
        <v>1</v>
      </c>
      <c r="L956" t="b">
        <f>ISNUMBER(_xlfn.XLOOKUP(CONTROL[[#This Row],[VEHIDCODE]],roster!A:A,roster!D:D))</f>
        <v>1</v>
      </c>
      <c r="M956" t="b">
        <f>ISNUMBER(_xlfn.XMATCH(CONTROL[[#This Row],[VEHIDCODE]],GRAPHICS_PROPERTIES[VEHIDCODE],0))</f>
        <v>1</v>
      </c>
      <c r="N956" s="21" t="str">
        <f>"item_"&amp;CONTROL[[#This Row],[VEHIDCODE]]</f>
        <v>item_diesel_GE_C44_9W_Dash_9</v>
      </c>
      <c r="O956" s="21" t="str">
        <f>"str_"&amp;CONTROL[[#This Row],[VEHIDCODE]]</f>
        <v>str_diesel_GE_C44_9W_Dash_9</v>
      </c>
      <c r="P956" s="7" t="b">
        <f>_xlfn.XLOOKUP(CONTROL[[#This Row],[VEHIDCODE]],PROPERTIES[VEHIDCODE],PROPERTIES[IS_CONCEPT])="IS_CONCEPT"</f>
        <v>0</v>
      </c>
      <c r="Q956" s="7" t="b">
        <f>_xlfn.XLOOKUP(CONTROL[[#This Row],[VEHIDCODE]],PROPERTIES[VEHIDCODE],PROPERTIES[EXCLUDE])</f>
        <v>0</v>
      </c>
      <c r="R956" t="str" cm="1">
        <f t="array" ref="R956">_xlfn.XLOOKUP(CONTROL[[#This Row],[VEHIDCODE]],GRAPHICS_PROPERTIES[VEHIDCODE],GRAPHICS_PROPERTIES[TEMPLATE_ID]&amp;GRAPHICS_PROPERTIES[TEMPLATE_AMENDMENT_CODE])</f>
        <v>TPL_01A</v>
      </c>
    </row>
    <row r="957" spans="1:18" x14ac:dyDescent="0.35">
      <c r="A957" t="s">
        <v>3477</v>
      </c>
      <c r="B957" s="21" t="str">
        <f>_xlfn.TEXTAFTER(CONTROL[[#This Row],[VEHIDCODE]],"_")</f>
        <v>EMD_GP40_DNU</v>
      </c>
      <c r="C957" t="str" cm="1">
        <f t="array" ref="C9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7" t="str" cm="1">
        <f t="array" ref="D9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5185</v>
      </c>
      <c r="F957" s="32" t="s">
        <v>1908</v>
      </c>
      <c r="G957" t="s">
        <v>1909</v>
      </c>
      <c r="H957" s="2" t="b">
        <f>AND(CONTROL[[#This Row],[IS_WAGON_OR_COACH]]=TRUE,OR(RIGHT(CONTROL[[#This Row],[VEHIDCODE]],7)="Powered",RIGHT(CONTROL[[#This Row],[VEHIDCODE]],9)="Unpowered"))</f>
        <v>0</v>
      </c>
      <c r="I9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7" t="b">
        <f>ISNUMBER(_xlfn.XMATCH(CONTROL[[#This Row],[VEHIDCODE]],TRACK_TYPES[VEHIDCODE],0))</f>
        <v>1</v>
      </c>
      <c r="K957" t="b">
        <f>ISNUMBER(_xlfn.XMATCH(CONTROL[[#This Row],[VEHIDCODE]],PROPERTIES[VEHIDCODE],0))</f>
        <v>1</v>
      </c>
      <c r="L957" t="b">
        <f>ISNUMBER(_xlfn.XLOOKUP(CONTROL[[#This Row],[VEHIDCODE]],roster!A:A,roster!D:D))</f>
        <v>1</v>
      </c>
      <c r="M957" t="b">
        <f>ISNUMBER(_xlfn.XMATCH(CONTROL[[#This Row],[VEHIDCODE]],GRAPHICS_PROPERTIES[VEHIDCODE],0))</f>
        <v>1</v>
      </c>
      <c r="N957" s="21" t="str">
        <f>"item_"&amp;CONTROL[[#This Row],[VEHIDCODE]]</f>
        <v>item_diesel_EMD_GP40_DNU</v>
      </c>
      <c r="O957" s="21" t="str">
        <f>"str_"&amp;CONTROL[[#This Row],[VEHIDCODE]]</f>
        <v>str_diesel_EMD_GP40_DNU</v>
      </c>
      <c r="P957" s="7" t="b">
        <f>_xlfn.XLOOKUP(CONTROL[[#This Row],[VEHIDCODE]],PROPERTIES[VEHIDCODE],PROPERTIES[IS_CONCEPT])="IS_CONCEPT"</f>
        <v>0</v>
      </c>
      <c r="Q957" s="7" t="b">
        <f>_xlfn.XLOOKUP(CONTROL[[#This Row],[VEHIDCODE]],PROPERTIES[VEHIDCODE],PROPERTIES[EXCLUDE])</f>
        <v>1</v>
      </c>
      <c r="R957" t="str" cm="1">
        <f t="array" ref="R957">_xlfn.XLOOKUP(CONTROL[[#This Row],[VEHIDCODE]],GRAPHICS_PROPERTIES[VEHIDCODE],GRAPHICS_PROPERTIES[TEMPLATE_ID]&amp;GRAPHICS_PROPERTIES[TEMPLATE_AMENDMENT_CODE])</f>
        <v>TPL_01A</v>
      </c>
    </row>
    <row r="958" spans="1:18" x14ac:dyDescent="0.35">
      <c r="A958" t="s">
        <v>3388</v>
      </c>
      <c r="B958" s="21" t="str">
        <f>_xlfn.TEXTAFTER(CONTROL[[#This Row],[VEHIDCODE]],"_")</f>
        <v>Kitson_2_2_2_3166_3171</v>
      </c>
      <c r="C958" t="str" cm="1">
        <f t="array" ref="C9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58" t="str" cm="1">
        <f t="array" ref="D9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5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4143</v>
      </c>
      <c r="F958" s="32" t="s">
        <v>2523</v>
      </c>
      <c r="G958" t="s">
        <v>1911</v>
      </c>
      <c r="H958" s="2" t="b">
        <f>AND(CONTROL[[#This Row],[IS_WAGON_OR_COACH]]=TRUE,OR(RIGHT(CONTROL[[#This Row],[VEHIDCODE]],7)="Powered",RIGHT(CONTROL[[#This Row],[VEHIDCODE]],9)="Unpowered"))</f>
        <v>0</v>
      </c>
      <c r="I9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8" t="b">
        <f>ISNUMBER(_xlfn.XMATCH(CONTROL[[#This Row],[VEHIDCODE]],TRACK_TYPES[VEHIDCODE],0))</f>
        <v>1</v>
      </c>
      <c r="K958" t="b">
        <f>ISNUMBER(_xlfn.XMATCH(CONTROL[[#This Row],[VEHIDCODE]],PROPERTIES[VEHIDCODE],0))</f>
        <v>1</v>
      </c>
      <c r="L958" t="b">
        <f>ISNUMBER(_xlfn.XLOOKUP(CONTROL[[#This Row],[VEHIDCODE]],roster!A:A,roster!D:D))</f>
        <v>1</v>
      </c>
      <c r="M958" t="b">
        <f>ISNUMBER(_xlfn.XMATCH(CONTROL[[#This Row],[VEHIDCODE]],GRAPHICS_PROPERTIES[VEHIDCODE],0))</f>
        <v>1</v>
      </c>
      <c r="N958" s="21" t="str">
        <f>"item_"&amp;CONTROL[[#This Row],[VEHIDCODE]]</f>
        <v>item_steam_Kitson_2_2_2_3166_3171</v>
      </c>
      <c r="O958" s="21" t="str">
        <f>"str_"&amp;CONTROL[[#This Row],[VEHIDCODE]]</f>
        <v>str_steam_Kitson_2_2_2_3166_3171</v>
      </c>
      <c r="P958" s="7" t="b">
        <f>_xlfn.XLOOKUP(CONTROL[[#This Row],[VEHIDCODE]],PROPERTIES[VEHIDCODE],PROPERTIES[IS_CONCEPT])="IS_CONCEPT"</f>
        <v>0</v>
      </c>
      <c r="Q958" s="7" t="b">
        <f>_xlfn.XLOOKUP(CONTROL[[#This Row],[VEHIDCODE]],PROPERTIES[VEHIDCODE],PROPERTIES[EXCLUDE])</f>
        <v>0</v>
      </c>
      <c r="R958" t="str" cm="1">
        <f t="array" ref="R958">_xlfn.XLOOKUP(CONTROL[[#This Row],[VEHIDCODE]],GRAPHICS_PROPERTIES[VEHIDCODE],GRAPHICS_PROPERTIES[TEMPLATE_ID]&amp;GRAPHICS_PROPERTIES[TEMPLATE_AMENDMENT_CODE])</f>
        <v>TPL_03A</v>
      </c>
    </row>
    <row r="959" spans="1:18" x14ac:dyDescent="0.35">
      <c r="A959" t="s">
        <v>3389</v>
      </c>
      <c r="B959" s="21" t="str">
        <f>_xlfn.TEXTAFTER(CONTROL[[#This Row],[VEHIDCODE]],"_")</f>
        <v>Burnham_2_6_0_15857_15871</v>
      </c>
      <c r="C959" t="str" cm="1">
        <f t="array" ref="C9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59" t="str" cm="1">
        <f t="array" ref="D9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5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4144</v>
      </c>
      <c r="F959" s="32" t="s">
        <v>2524</v>
      </c>
      <c r="G959" t="s">
        <v>1910</v>
      </c>
      <c r="H959" s="2" t="b">
        <f>AND(CONTROL[[#This Row],[IS_WAGON_OR_COACH]]=TRUE,OR(RIGHT(CONTROL[[#This Row],[VEHIDCODE]],7)="Powered",RIGHT(CONTROL[[#This Row],[VEHIDCODE]],9)="Unpowered"))</f>
        <v>0</v>
      </c>
      <c r="I9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9" t="b">
        <f>ISNUMBER(_xlfn.XMATCH(CONTROL[[#This Row],[VEHIDCODE]],TRACK_TYPES[VEHIDCODE],0))</f>
        <v>1</v>
      </c>
      <c r="K959" t="b">
        <f>ISNUMBER(_xlfn.XMATCH(CONTROL[[#This Row],[VEHIDCODE]],PROPERTIES[VEHIDCODE],0))</f>
        <v>1</v>
      </c>
      <c r="L959" t="b">
        <f>ISNUMBER(_xlfn.XLOOKUP(CONTROL[[#This Row],[VEHIDCODE]],roster!A:A,roster!D:D))</f>
        <v>1</v>
      </c>
      <c r="M959" t="b">
        <f>ISNUMBER(_xlfn.XMATCH(CONTROL[[#This Row],[VEHIDCODE]],GRAPHICS_PROPERTIES[VEHIDCODE],0))</f>
        <v>1</v>
      </c>
      <c r="N959" s="21" t="str">
        <f>"item_"&amp;CONTROL[[#This Row],[VEHIDCODE]]</f>
        <v>item_steam_Burnham_2_6_0_15857_15871</v>
      </c>
      <c r="O959" s="21" t="str">
        <f>"str_"&amp;CONTROL[[#This Row],[VEHIDCODE]]</f>
        <v>str_steam_Burnham_2_6_0_15857_15871</v>
      </c>
      <c r="P959" s="7" t="b">
        <f>_xlfn.XLOOKUP(CONTROL[[#This Row],[VEHIDCODE]],PROPERTIES[VEHIDCODE],PROPERTIES[IS_CONCEPT])="IS_CONCEPT"</f>
        <v>0</v>
      </c>
      <c r="Q959" s="7" t="b">
        <f>_xlfn.XLOOKUP(CONTROL[[#This Row],[VEHIDCODE]],PROPERTIES[VEHIDCODE],PROPERTIES[EXCLUDE])</f>
        <v>0</v>
      </c>
      <c r="R959" t="str" cm="1">
        <f t="array" ref="R959">_xlfn.XLOOKUP(CONTROL[[#This Row],[VEHIDCODE]],GRAPHICS_PROPERTIES[VEHIDCODE],GRAPHICS_PROPERTIES[TEMPLATE_ID]&amp;GRAPHICS_PROPERTIES[TEMPLATE_AMENDMENT_CODE])</f>
        <v>TPL_03A</v>
      </c>
    </row>
    <row r="960" spans="1:18" x14ac:dyDescent="0.35">
      <c r="A960" t="s">
        <v>3390</v>
      </c>
      <c r="B960" s="21" t="str">
        <f>_xlfn.TEXTAFTER(CONTROL[[#This Row],[VEHIDCODE]],"_")</f>
        <v>SA_Franco_Belge_0_6_0_Class_4</v>
      </c>
      <c r="C960" t="str" cm="1">
        <f t="array" ref="C9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60" t="str" cm="1">
        <f t="array" ref="D9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6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4145</v>
      </c>
      <c r="F960" s="32" t="s">
        <v>2525</v>
      </c>
      <c r="G960" t="s">
        <v>1912</v>
      </c>
      <c r="H960" s="2" t="b">
        <f>AND(CONTROL[[#This Row],[IS_WAGON_OR_COACH]]=TRUE,OR(RIGHT(CONTROL[[#This Row],[VEHIDCODE]],7)="Powered",RIGHT(CONTROL[[#This Row],[VEHIDCODE]],9)="Unpowered"))</f>
        <v>0</v>
      </c>
      <c r="I9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0" t="b">
        <f>ISNUMBER(_xlfn.XMATCH(CONTROL[[#This Row],[VEHIDCODE]],TRACK_TYPES[VEHIDCODE],0))</f>
        <v>1</v>
      </c>
      <c r="K960" t="b">
        <f>ISNUMBER(_xlfn.XMATCH(CONTROL[[#This Row],[VEHIDCODE]],PROPERTIES[VEHIDCODE],0))</f>
        <v>1</v>
      </c>
      <c r="L960" t="b">
        <f>ISNUMBER(_xlfn.XLOOKUP(CONTROL[[#This Row],[VEHIDCODE]],roster!A:A,roster!D:D))</f>
        <v>1</v>
      </c>
      <c r="M960" t="b">
        <f>ISNUMBER(_xlfn.XMATCH(CONTROL[[#This Row],[VEHIDCODE]],GRAPHICS_PROPERTIES[VEHIDCODE],0))</f>
        <v>1</v>
      </c>
      <c r="N960" s="21" t="str">
        <f>"item_"&amp;CONTROL[[#This Row],[VEHIDCODE]]</f>
        <v>item_steam_SA_Franco_Belge_0_6_0_Class_4</v>
      </c>
      <c r="O960" s="21" t="str">
        <f>"str_"&amp;CONTROL[[#This Row],[VEHIDCODE]]</f>
        <v>str_steam_SA_Franco_Belge_0_6_0_Class_4</v>
      </c>
      <c r="P960" s="7" t="b">
        <f>_xlfn.XLOOKUP(CONTROL[[#This Row],[VEHIDCODE]],PROPERTIES[VEHIDCODE],PROPERTIES[IS_CONCEPT])="IS_CONCEPT"</f>
        <v>0</v>
      </c>
      <c r="Q960" s="7" t="b">
        <f>_xlfn.XLOOKUP(CONTROL[[#This Row],[VEHIDCODE]],PROPERTIES[VEHIDCODE],PROPERTIES[EXCLUDE])</f>
        <v>0</v>
      </c>
      <c r="R960" t="str" cm="1">
        <f t="array" ref="R960">_xlfn.XLOOKUP(CONTROL[[#This Row],[VEHIDCODE]],GRAPHICS_PROPERTIES[VEHIDCODE],GRAPHICS_PROPERTIES[TEMPLATE_ID]&amp;GRAPHICS_PROPERTIES[TEMPLATE_AMENDMENT_CODE])</f>
        <v>TPL_03C</v>
      </c>
    </row>
    <row r="961" spans="1:18" x14ac:dyDescent="0.35">
      <c r="A961" s="2" t="s">
        <v>3391</v>
      </c>
      <c r="B961" s="21" t="str">
        <f>_xlfn.TEXTAFTER(CONTROL[[#This Row],[VEHIDCODE]],"_")</f>
        <v>ACME_Corp__Pegasus</v>
      </c>
      <c r="C961" t="str" cm="1">
        <f t="array" ref="C9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src\Maglev</v>
      </c>
      <c r="D961" t="str" cm="1">
        <f t="array" ref="D9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ID_RANGE_MAGLEV</v>
      </c>
      <c r="E96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15002</v>
      </c>
      <c r="F961" s="32" t="s">
        <v>2578</v>
      </c>
      <c r="G961" t="s">
        <v>1913</v>
      </c>
      <c r="H961" s="2" t="b">
        <f>AND(CONTROL[[#This Row],[IS_WAGON_OR_COACH]]=TRUE,OR(RIGHT(CONTROL[[#This Row],[VEHIDCODE]],7)="Powered",RIGHT(CONTROL[[#This Row],[VEHIDCODE]],9)="Unpowered"))</f>
        <v>0</v>
      </c>
      <c r="I9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1" t="b">
        <f>ISNUMBER(_xlfn.XMATCH(CONTROL[[#This Row],[VEHIDCODE]],TRACK_TYPES[VEHIDCODE],0))</f>
        <v>1</v>
      </c>
      <c r="K961" t="b">
        <f>ISNUMBER(_xlfn.XMATCH(CONTROL[[#This Row],[VEHIDCODE]],PROPERTIES[VEHIDCODE],0))</f>
        <v>1</v>
      </c>
      <c r="L961" t="b">
        <f>ISNUMBER(_xlfn.XLOOKUP(CONTROL[[#This Row],[VEHIDCODE]],roster!A:A,roster!D:D))</f>
        <v>1</v>
      </c>
      <c r="M961" t="b">
        <f>ISNUMBER(_xlfn.XMATCH(CONTROL[[#This Row],[VEHIDCODE]],GRAPHICS_PROPERTIES[VEHIDCODE],0))</f>
        <v>1</v>
      </c>
      <c r="N961" s="21" t="str">
        <f>"item_"&amp;CONTROL[[#This Row],[VEHIDCODE]]</f>
        <v>item_mglv_ACME_Corp__Pegasus</v>
      </c>
      <c r="O961" s="21" t="str">
        <f>"str_"&amp;CONTROL[[#This Row],[VEHIDCODE]]</f>
        <v>str_mglv_ACME_Corp__Pegasus</v>
      </c>
      <c r="P961" s="7" t="b">
        <f>_xlfn.XLOOKUP(CONTROL[[#This Row],[VEHIDCODE]],PROPERTIES[VEHIDCODE],PROPERTIES[IS_CONCEPT])="IS_CONCEPT"</f>
        <v>1</v>
      </c>
      <c r="Q961" s="7" t="b">
        <f>_xlfn.XLOOKUP(CONTROL[[#This Row],[VEHIDCODE]],PROPERTIES[VEHIDCODE],PROPERTIES[EXCLUDE])</f>
        <v>0</v>
      </c>
      <c r="R961" t="str" cm="1">
        <f t="array" ref="R961">_xlfn.XLOOKUP(CONTROL[[#This Row],[VEHIDCODE]],GRAPHICS_PROPERTIES[VEHIDCODE],GRAPHICS_PROPERTIES[TEMPLATE_ID]&amp;GRAPHICS_PROPERTIES[TEMPLATE_AMENDMENT_CODE])</f>
        <v>TPL_01A</v>
      </c>
    </row>
    <row r="962" spans="1:18" x14ac:dyDescent="0.35">
      <c r="A962" s="2" t="s">
        <v>3392</v>
      </c>
      <c r="B962" s="21" t="str">
        <f>_xlfn.TEXTAFTER(CONTROL[[#This Row],[VEHIDCODE]],"_")</f>
        <v>ACME_Corp__Chimaera</v>
      </c>
      <c r="C962" t="str" cm="1">
        <f t="array" ref="C9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src\MMU</v>
      </c>
      <c r="D962" t="str" cm="1">
        <f t="array" ref="D9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ID_RANGE_MMU</v>
      </c>
      <c r="E96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10002</v>
      </c>
      <c r="F962" s="32" t="s">
        <v>2579</v>
      </c>
      <c r="G962" t="s">
        <v>1914</v>
      </c>
      <c r="H962" s="2" t="b">
        <f>AND(CONTROL[[#This Row],[IS_WAGON_OR_COACH]]=TRUE,OR(RIGHT(CONTROL[[#This Row],[VEHIDCODE]],7)="Powered",RIGHT(CONTROL[[#This Row],[VEHIDCODE]],9)="Unpowered"))</f>
        <v>0</v>
      </c>
      <c r="I9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2" t="b">
        <f>ISNUMBER(_xlfn.XMATCH(CONTROL[[#This Row],[VEHIDCODE]],TRACK_TYPES[VEHIDCODE],0))</f>
        <v>1</v>
      </c>
      <c r="K962" t="b">
        <f>ISNUMBER(_xlfn.XMATCH(CONTROL[[#This Row],[VEHIDCODE]],PROPERTIES[VEHIDCODE],0))</f>
        <v>1</v>
      </c>
      <c r="L962" t="b">
        <f>ISNUMBER(_xlfn.XLOOKUP(CONTROL[[#This Row],[VEHIDCODE]],roster!A:A,roster!D:D))</f>
        <v>1</v>
      </c>
      <c r="M962" t="b">
        <f>ISNUMBER(_xlfn.XMATCH(CONTROL[[#This Row],[VEHIDCODE]],GRAPHICS_PROPERTIES[VEHIDCODE],0))</f>
        <v>1</v>
      </c>
      <c r="N962" s="21" t="str">
        <f>"item_"&amp;CONTROL[[#This Row],[VEHIDCODE]]</f>
        <v>item_mmu_ACME_Corp__Chimaera</v>
      </c>
      <c r="O962" s="21" t="str">
        <f>"str_"&amp;CONTROL[[#This Row],[VEHIDCODE]]</f>
        <v>str_mmu_ACME_Corp__Chimaera</v>
      </c>
      <c r="P962" s="7" t="b">
        <f>_xlfn.XLOOKUP(CONTROL[[#This Row],[VEHIDCODE]],PROPERTIES[VEHIDCODE],PROPERTIES[IS_CONCEPT])="IS_CONCEPT"</f>
        <v>1</v>
      </c>
      <c r="Q962" s="7" t="b">
        <f>_xlfn.XLOOKUP(CONTROL[[#This Row],[VEHIDCODE]],PROPERTIES[VEHIDCODE],PROPERTIES[EXCLUDE])</f>
        <v>0</v>
      </c>
      <c r="R962" t="str" cm="1">
        <f t="array" ref="R962">_xlfn.XLOOKUP(CONTROL[[#This Row],[VEHIDCODE]],GRAPHICS_PROPERTIES[VEHIDCODE],GRAPHICS_PROPERTIES[TEMPLATE_ID]&amp;GRAPHICS_PROPERTIES[TEMPLATE_AMENDMENT_CODE])</f>
        <v>TPL_02A</v>
      </c>
    </row>
    <row r="963" spans="1:18" x14ac:dyDescent="0.35">
      <c r="A963" t="s">
        <v>1915</v>
      </c>
      <c r="B963" s="21" t="str">
        <f>_xlfn.TEXTAFTER(CONTROL[[#This Row],[VEHIDCODE]],"_")</f>
        <v>coach_Gen7M_Chimaera_Passenger_Coach</v>
      </c>
      <c r="C963" t="str" cm="1">
        <f t="array" ref="C9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src\Coaches_Maglev\Gen7M</v>
      </c>
      <c r="D963" t="str" cm="1">
        <f t="array" ref="D9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ID_RANGE_COACHES_MGLV</v>
      </c>
      <c r="E96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13100</v>
      </c>
      <c r="F963" s="32" t="s">
        <v>2580</v>
      </c>
      <c r="G963" t="s">
        <v>523</v>
      </c>
      <c r="H963" s="2" t="b">
        <f>AND(CONTROL[[#This Row],[IS_WAGON_OR_COACH]]=TRUE,OR(RIGHT(CONTROL[[#This Row],[VEHIDCODE]],7)="Powered",RIGHT(CONTROL[[#This Row],[VEHIDCODE]],9)="Unpowered"))</f>
        <v>0</v>
      </c>
      <c r="I9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63" t="b">
        <f>ISNUMBER(_xlfn.XMATCH(CONTROL[[#This Row],[VEHIDCODE]],TRACK_TYPES[VEHIDCODE],0))</f>
        <v>1</v>
      </c>
      <c r="K963" t="b">
        <f>ISNUMBER(_xlfn.XMATCH(CONTROL[[#This Row],[VEHIDCODE]],PROPERTIES[VEHIDCODE],0))</f>
        <v>1</v>
      </c>
      <c r="L963" t="b">
        <f>ISNUMBER(_xlfn.XLOOKUP(CONTROL[[#This Row],[VEHIDCODE]],roster!A:A,roster!D:D))</f>
        <v>1</v>
      </c>
      <c r="M963" t="b">
        <f>ISNUMBER(_xlfn.XMATCH(CONTROL[[#This Row],[VEHIDCODE]],GRAPHICS_PROPERTIES[VEHIDCODE],0))</f>
        <v>1</v>
      </c>
      <c r="N963" s="21" t="str">
        <f>"item_"&amp;CONTROL[[#This Row],[VEHIDCODE]]</f>
        <v>item_mglv_coach_Gen7M_Chimaera_Passenger_Coach</v>
      </c>
      <c r="O963" s="21" t="str">
        <f>"str_"&amp;CONTROL[[#This Row],[VEHIDCODE]]</f>
        <v>str_mglv_coach_Gen7M_Chimaera_Passenger_Coach</v>
      </c>
      <c r="P963" s="7" t="b">
        <f>_xlfn.XLOOKUP(CONTROL[[#This Row],[VEHIDCODE]],PROPERTIES[VEHIDCODE],PROPERTIES[IS_CONCEPT])="IS_CONCEPT"</f>
        <v>1</v>
      </c>
      <c r="Q963" s="7" t="b">
        <f>_xlfn.XLOOKUP(CONTROL[[#This Row],[VEHIDCODE]],PROPERTIES[VEHIDCODE],PROPERTIES[EXCLUDE])</f>
        <v>0</v>
      </c>
      <c r="R963" t="str" cm="1">
        <f t="array" ref="R963">_xlfn.XLOOKUP(CONTROL[[#This Row],[VEHIDCODE]],GRAPHICS_PROPERTIES[VEHIDCODE],GRAPHICS_PROPERTIES[TEMPLATE_ID]&amp;GRAPHICS_PROPERTIES[TEMPLATE_AMENDMENT_CODE])</f>
        <v>TPL_04U</v>
      </c>
    </row>
    <row r="964" spans="1:18" x14ac:dyDescent="0.35">
      <c r="A964" t="s">
        <v>1916</v>
      </c>
      <c r="B964" s="21" t="str">
        <f>_xlfn.TEXTAFTER(CONTROL[[#This Row],[VEHIDCODE]],"_")</f>
        <v>coach_Gen7M_Chimaera_Mail_Coach</v>
      </c>
      <c r="C964" t="str" cm="1">
        <f t="array" ref="C9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src\Coaches_Maglev\Gen7M</v>
      </c>
      <c r="D964" t="str" cm="1">
        <f t="array" ref="D9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ID_RANGE_COACHES_MGLV</v>
      </c>
      <c r="E96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13101</v>
      </c>
      <c r="F964" s="32" t="s">
        <v>2581</v>
      </c>
      <c r="G964" t="s">
        <v>523</v>
      </c>
      <c r="H964" s="2" t="b">
        <f>AND(CONTROL[[#This Row],[IS_WAGON_OR_COACH]]=TRUE,OR(RIGHT(CONTROL[[#This Row],[VEHIDCODE]],7)="Powered",RIGHT(CONTROL[[#This Row],[VEHIDCODE]],9)="Unpowered"))</f>
        <v>0</v>
      </c>
      <c r="I9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64" t="b">
        <f>ISNUMBER(_xlfn.XMATCH(CONTROL[[#This Row],[VEHIDCODE]],TRACK_TYPES[VEHIDCODE],0))</f>
        <v>1</v>
      </c>
      <c r="K964" t="b">
        <f>ISNUMBER(_xlfn.XMATCH(CONTROL[[#This Row],[VEHIDCODE]],PROPERTIES[VEHIDCODE],0))</f>
        <v>1</v>
      </c>
      <c r="L964" t="b">
        <f>ISNUMBER(_xlfn.XLOOKUP(CONTROL[[#This Row],[VEHIDCODE]],roster!A:A,roster!D:D))</f>
        <v>1</v>
      </c>
      <c r="M964" t="b">
        <f>ISNUMBER(_xlfn.XMATCH(CONTROL[[#This Row],[VEHIDCODE]],GRAPHICS_PROPERTIES[VEHIDCODE],0))</f>
        <v>1</v>
      </c>
      <c r="N964" s="21" t="str">
        <f>"item_"&amp;CONTROL[[#This Row],[VEHIDCODE]]</f>
        <v>item_mglv_coach_Gen7M_Chimaera_Mail_Coach</v>
      </c>
      <c r="O964" s="21" t="str">
        <f>"str_"&amp;CONTROL[[#This Row],[VEHIDCODE]]</f>
        <v>str_mglv_coach_Gen7M_Chimaera_Mail_Coach</v>
      </c>
      <c r="P964" s="7" t="b">
        <f>_xlfn.XLOOKUP(CONTROL[[#This Row],[VEHIDCODE]],PROPERTIES[VEHIDCODE],PROPERTIES[IS_CONCEPT])="IS_CONCEPT"</f>
        <v>1</v>
      </c>
      <c r="Q964" s="7" t="b">
        <f>_xlfn.XLOOKUP(CONTROL[[#This Row],[VEHIDCODE]],PROPERTIES[VEHIDCODE],PROPERTIES[EXCLUDE])</f>
        <v>0</v>
      </c>
      <c r="R964" t="str" cm="1">
        <f t="array" ref="R964">_xlfn.XLOOKUP(CONTROL[[#This Row],[VEHIDCODE]],GRAPHICS_PROPERTIES[VEHIDCODE],GRAPHICS_PROPERTIES[TEMPLATE_ID]&amp;GRAPHICS_PROPERTIES[TEMPLATE_AMENDMENT_CODE])</f>
        <v>TPL_04U</v>
      </c>
    </row>
    <row r="965" spans="1:18" x14ac:dyDescent="0.35">
      <c r="A965" t="s">
        <v>3393</v>
      </c>
      <c r="B965" s="21" t="str">
        <f>_xlfn.TEXTAFTER(CONTROL[[#This Row],[VEHIDCODE]],"_")</f>
        <v>Sharp_BP_0_6_0_BDZ_142_150</v>
      </c>
      <c r="C965" t="str" cm="1">
        <f t="array" ref="C9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65" t="str" cm="1">
        <f t="array" ref="D9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6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4146</v>
      </c>
      <c r="F965" s="32" t="s">
        <v>2526</v>
      </c>
      <c r="G965" t="s">
        <v>1919</v>
      </c>
      <c r="H965" s="2" t="b">
        <f>AND(CONTROL[[#This Row],[IS_WAGON_OR_COACH]]=TRUE,OR(RIGHT(CONTROL[[#This Row],[VEHIDCODE]],7)="Powered",RIGHT(CONTROL[[#This Row],[VEHIDCODE]],9)="Unpowered"))</f>
        <v>0</v>
      </c>
      <c r="I9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5" t="b">
        <f>ISNUMBER(_xlfn.XMATCH(CONTROL[[#This Row],[VEHIDCODE]],TRACK_TYPES[VEHIDCODE],0))</f>
        <v>1</v>
      </c>
      <c r="K965" t="b">
        <f>ISNUMBER(_xlfn.XMATCH(CONTROL[[#This Row],[VEHIDCODE]],PROPERTIES[VEHIDCODE],0))</f>
        <v>1</v>
      </c>
      <c r="L965" t="b">
        <f>ISNUMBER(_xlfn.XLOOKUP(CONTROL[[#This Row],[VEHIDCODE]],roster!A:A,roster!D:D))</f>
        <v>1</v>
      </c>
      <c r="M965" t="b">
        <f>ISNUMBER(_xlfn.XMATCH(CONTROL[[#This Row],[VEHIDCODE]],GRAPHICS_PROPERTIES[VEHIDCODE],0))</f>
        <v>1</v>
      </c>
      <c r="N965" s="21" t="str">
        <f>"item_"&amp;CONTROL[[#This Row],[VEHIDCODE]]</f>
        <v>item_steam_Sharp_BP_0_6_0_BDZ_142_150</v>
      </c>
      <c r="O965" s="21" t="str">
        <f>"str_"&amp;CONTROL[[#This Row],[VEHIDCODE]]</f>
        <v>str_steam_Sharp_BP_0_6_0_BDZ_142_150</v>
      </c>
      <c r="P965" s="7" t="b">
        <f>_xlfn.XLOOKUP(CONTROL[[#This Row],[VEHIDCODE]],PROPERTIES[VEHIDCODE],PROPERTIES[IS_CONCEPT])="IS_CONCEPT"</f>
        <v>0</v>
      </c>
      <c r="Q965" s="7" t="b">
        <f>_xlfn.XLOOKUP(CONTROL[[#This Row],[VEHIDCODE]],PROPERTIES[VEHIDCODE],PROPERTIES[EXCLUDE])</f>
        <v>0</v>
      </c>
      <c r="R965" t="str" cm="1">
        <f t="array" ref="R965">_xlfn.XLOOKUP(CONTROL[[#This Row],[VEHIDCODE]],GRAPHICS_PROPERTIES[VEHIDCODE],GRAPHICS_PROPERTIES[TEMPLATE_ID]&amp;GRAPHICS_PROPERTIES[TEMPLATE_AMENDMENT_CODE])</f>
        <v>TPL_03A</v>
      </c>
    </row>
    <row r="966" spans="1:18" x14ac:dyDescent="0.35">
      <c r="A966" t="s">
        <v>3394</v>
      </c>
      <c r="B966" s="21" t="str">
        <f>_xlfn.TEXTAFTER(CONTROL[[#This Row],[VEHIDCODE]],"_")</f>
        <v>MAVAG_4_4_2_Class_203</v>
      </c>
      <c r="C966" t="str" cm="1">
        <f t="array" ref="C9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66" t="str" cm="1">
        <f t="array" ref="D9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6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4147</v>
      </c>
      <c r="F966" s="32" t="s">
        <v>2527</v>
      </c>
      <c r="G966" t="s">
        <v>1920</v>
      </c>
      <c r="H966" s="2" t="b">
        <f>AND(CONTROL[[#This Row],[IS_WAGON_OR_COACH]]=TRUE,OR(RIGHT(CONTROL[[#This Row],[VEHIDCODE]],7)="Powered",RIGHT(CONTROL[[#This Row],[VEHIDCODE]],9)="Unpowered"))</f>
        <v>0</v>
      </c>
      <c r="I9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6" t="b">
        <f>ISNUMBER(_xlfn.XMATCH(CONTROL[[#This Row],[VEHIDCODE]],TRACK_TYPES[VEHIDCODE],0))</f>
        <v>1</v>
      </c>
      <c r="K966" t="b">
        <f>ISNUMBER(_xlfn.XMATCH(CONTROL[[#This Row],[VEHIDCODE]],PROPERTIES[VEHIDCODE],0))</f>
        <v>1</v>
      </c>
      <c r="L966" t="b">
        <f>ISNUMBER(_xlfn.XLOOKUP(CONTROL[[#This Row],[VEHIDCODE]],roster!A:A,roster!D:D))</f>
        <v>1</v>
      </c>
      <c r="M966" t="b">
        <f>ISNUMBER(_xlfn.XMATCH(CONTROL[[#This Row],[VEHIDCODE]],GRAPHICS_PROPERTIES[VEHIDCODE],0))</f>
        <v>1</v>
      </c>
      <c r="N966" s="21" t="str">
        <f>"item_"&amp;CONTROL[[#This Row],[VEHIDCODE]]</f>
        <v>item_steam_MAVAG_4_4_2_Class_203</v>
      </c>
      <c r="O966" s="21" t="str">
        <f>"str_"&amp;CONTROL[[#This Row],[VEHIDCODE]]</f>
        <v>str_steam_MAVAG_4_4_2_Class_203</v>
      </c>
      <c r="P966" s="7" t="b">
        <f>_xlfn.XLOOKUP(CONTROL[[#This Row],[VEHIDCODE]],PROPERTIES[VEHIDCODE],PROPERTIES[IS_CONCEPT])="IS_CONCEPT"</f>
        <v>0</v>
      </c>
      <c r="Q966" s="7" t="b">
        <f>_xlfn.XLOOKUP(CONTROL[[#This Row],[VEHIDCODE]],PROPERTIES[VEHIDCODE],PROPERTIES[EXCLUDE])</f>
        <v>0</v>
      </c>
      <c r="R966" t="str" cm="1">
        <f t="array" ref="R966">_xlfn.XLOOKUP(CONTROL[[#This Row],[VEHIDCODE]],GRAPHICS_PROPERTIES[VEHIDCODE],GRAPHICS_PROPERTIES[TEMPLATE_ID]&amp;GRAPHICS_PROPERTIES[TEMPLATE_AMENDMENT_CODE])</f>
        <v>TPL_03A</v>
      </c>
    </row>
    <row r="967" spans="1:18" x14ac:dyDescent="0.35">
      <c r="A967" t="s">
        <v>3395</v>
      </c>
      <c r="B967" s="21" t="str">
        <f>_xlfn.TEXTAFTER(CONTROL[[#This Row],[VEHIDCODE]],"_")</f>
        <v>MAVAG_2_6_6_0_Class_601</v>
      </c>
      <c r="C967" t="str" cm="1">
        <f t="array" ref="C9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67" t="str" cm="1">
        <f t="array" ref="D9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6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4148</v>
      </c>
      <c r="F967" s="32" t="s">
        <v>2528</v>
      </c>
      <c r="G967" t="s">
        <v>1921</v>
      </c>
      <c r="H967" s="2" t="b">
        <f>AND(CONTROL[[#This Row],[IS_WAGON_OR_COACH]]=TRUE,OR(RIGHT(CONTROL[[#This Row],[VEHIDCODE]],7)="Powered",RIGHT(CONTROL[[#This Row],[VEHIDCODE]],9)="Unpowered"))</f>
        <v>0</v>
      </c>
      <c r="I9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7" t="b">
        <f>ISNUMBER(_xlfn.XMATCH(CONTROL[[#This Row],[VEHIDCODE]],TRACK_TYPES[VEHIDCODE],0))</f>
        <v>1</v>
      </c>
      <c r="K967" t="b">
        <f>ISNUMBER(_xlfn.XMATCH(CONTROL[[#This Row],[VEHIDCODE]],PROPERTIES[VEHIDCODE],0))</f>
        <v>1</v>
      </c>
      <c r="L967" t="b">
        <f>ISNUMBER(_xlfn.XLOOKUP(CONTROL[[#This Row],[VEHIDCODE]],roster!A:A,roster!D:D))</f>
        <v>1</v>
      </c>
      <c r="M967" t="b">
        <f>ISNUMBER(_xlfn.XMATCH(CONTROL[[#This Row],[VEHIDCODE]],GRAPHICS_PROPERTIES[VEHIDCODE],0))</f>
        <v>1</v>
      </c>
      <c r="N967" s="21" t="str">
        <f>"item_"&amp;CONTROL[[#This Row],[VEHIDCODE]]</f>
        <v>item_steam_MAVAG_2_6_6_0_Class_601</v>
      </c>
      <c r="O967" s="21" t="str">
        <f>"str_"&amp;CONTROL[[#This Row],[VEHIDCODE]]</f>
        <v>str_steam_MAVAG_2_6_6_0_Class_601</v>
      </c>
      <c r="P967" s="7" t="b">
        <f>_xlfn.XLOOKUP(CONTROL[[#This Row],[VEHIDCODE]],PROPERTIES[VEHIDCODE],PROPERTIES[IS_CONCEPT])="IS_CONCEPT"</f>
        <v>0</v>
      </c>
      <c r="Q967" s="7" t="b">
        <f>_xlfn.XLOOKUP(CONTROL[[#This Row],[VEHIDCODE]],PROPERTIES[VEHIDCODE],PROPERTIES[EXCLUDE])</f>
        <v>0</v>
      </c>
      <c r="R967" t="str" cm="1">
        <f t="array" ref="R967">_xlfn.XLOOKUP(CONTROL[[#This Row],[VEHIDCODE]],GRAPHICS_PROPERTIES[VEHIDCODE],GRAPHICS_PROPERTIES[TEMPLATE_ID]&amp;GRAPHICS_PROPERTIES[TEMPLATE_AMENDMENT_CODE])</f>
        <v>TPL_03A</v>
      </c>
    </row>
    <row r="968" spans="1:18" x14ac:dyDescent="0.35">
      <c r="A968" t="s">
        <v>3396</v>
      </c>
      <c r="B968" s="21" t="str">
        <f>_xlfn.TEXTAFTER(CONTROL[[#This Row],[VEHIDCODE]],"_")</f>
        <v>Ganz_MAVAG_VM7_V40</v>
      </c>
      <c r="C968" t="str" cm="1">
        <f t="array" ref="C9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68" t="str" cm="1">
        <f t="array" ref="D9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6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6151</v>
      </c>
      <c r="F968" s="32" t="s">
        <v>2529</v>
      </c>
      <c r="G968" t="s">
        <v>1922</v>
      </c>
      <c r="H968" s="2" t="b">
        <f>AND(CONTROL[[#This Row],[IS_WAGON_OR_COACH]]=TRUE,OR(RIGHT(CONTROL[[#This Row],[VEHIDCODE]],7)="Powered",RIGHT(CONTROL[[#This Row],[VEHIDCODE]],9)="Unpowered"))</f>
        <v>0</v>
      </c>
      <c r="I9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8" t="b">
        <f>ISNUMBER(_xlfn.XMATCH(CONTROL[[#This Row],[VEHIDCODE]],TRACK_TYPES[VEHIDCODE],0))</f>
        <v>1</v>
      </c>
      <c r="K968" t="b">
        <f>ISNUMBER(_xlfn.XMATCH(CONTROL[[#This Row],[VEHIDCODE]],PROPERTIES[VEHIDCODE],0))</f>
        <v>1</v>
      </c>
      <c r="L968" t="b">
        <f>ISNUMBER(_xlfn.XLOOKUP(CONTROL[[#This Row],[VEHIDCODE]],roster!A:A,roster!D:D))</f>
        <v>1</v>
      </c>
      <c r="M968" t="b">
        <f>ISNUMBER(_xlfn.XMATCH(CONTROL[[#This Row],[VEHIDCODE]],GRAPHICS_PROPERTIES[VEHIDCODE],0))</f>
        <v>1</v>
      </c>
      <c r="N968" s="21" t="str">
        <f>"item_"&amp;CONTROL[[#This Row],[VEHIDCODE]]</f>
        <v>item_electric_Ganz_MAVAG_VM7_V40</v>
      </c>
      <c r="O968" s="21" t="str">
        <f>"str_"&amp;CONTROL[[#This Row],[VEHIDCODE]]</f>
        <v>str_electric_Ganz_MAVAG_VM7_V40</v>
      </c>
      <c r="P968" s="7" t="b">
        <f>_xlfn.XLOOKUP(CONTROL[[#This Row],[VEHIDCODE]],PROPERTIES[VEHIDCODE],PROPERTIES[IS_CONCEPT])="IS_CONCEPT"</f>
        <v>0</v>
      </c>
      <c r="Q968" s="7" t="b">
        <f>_xlfn.XLOOKUP(CONTROL[[#This Row],[VEHIDCODE]],PROPERTIES[VEHIDCODE],PROPERTIES[EXCLUDE])</f>
        <v>0</v>
      </c>
      <c r="R968" t="str" cm="1">
        <f t="array" ref="R968">_xlfn.XLOOKUP(CONTROL[[#This Row],[VEHIDCODE]],GRAPHICS_PROPERTIES[VEHIDCODE],GRAPHICS_PROPERTIES[TEMPLATE_ID]&amp;GRAPHICS_PROPERTIES[TEMPLATE_AMENDMENT_CODE])</f>
        <v>TPL_01A</v>
      </c>
    </row>
    <row r="969" spans="1:18" x14ac:dyDescent="0.35">
      <c r="A969" t="s">
        <v>3397</v>
      </c>
      <c r="B969" s="21" t="str">
        <f>_xlfn.TEXTAFTER(CONTROL[[#This Row],[VEHIDCODE]],"_")</f>
        <v>PESA_111D</v>
      </c>
      <c r="C969" t="str" cm="1">
        <f t="array" ref="C9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69" t="str" cm="1">
        <f t="array" ref="D9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6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5186</v>
      </c>
      <c r="F969" s="32" t="s">
        <v>2036</v>
      </c>
      <c r="G969" t="s">
        <v>1923</v>
      </c>
      <c r="H969" s="2" t="b">
        <f>AND(CONTROL[[#This Row],[IS_WAGON_OR_COACH]]=TRUE,OR(RIGHT(CONTROL[[#This Row],[VEHIDCODE]],7)="Powered",RIGHT(CONTROL[[#This Row],[VEHIDCODE]],9)="Unpowered"))</f>
        <v>0</v>
      </c>
      <c r="I9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9" t="b">
        <f>ISNUMBER(_xlfn.XMATCH(CONTROL[[#This Row],[VEHIDCODE]],TRACK_TYPES[VEHIDCODE],0))</f>
        <v>1</v>
      </c>
      <c r="K969" t="b">
        <f>ISNUMBER(_xlfn.XMATCH(CONTROL[[#This Row],[VEHIDCODE]],PROPERTIES[VEHIDCODE],0))</f>
        <v>1</v>
      </c>
      <c r="L969" t="b">
        <f>ISNUMBER(_xlfn.XLOOKUP(CONTROL[[#This Row],[VEHIDCODE]],roster!A:A,roster!D:D))</f>
        <v>1</v>
      </c>
      <c r="M969" t="b">
        <f>ISNUMBER(_xlfn.XMATCH(CONTROL[[#This Row],[VEHIDCODE]],GRAPHICS_PROPERTIES[VEHIDCODE],0))</f>
        <v>1</v>
      </c>
      <c r="N969" s="21" t="str">
        <f>"item_"&amp;CONTROL[[#This Row],[VEHIDCODE]]</f>
        <v>item_diesel_PESA_111D</v>
      </c>
      <c r="O969" s="21" t="str">
        <f>"str_"&amp;CONTROL[[#This Row],[VEHIDCODE]]</f>
        <v>str_diesel_PESA_111D</v>
      </c>
      <c r="P969" s="7" t="b">
        <f>_xlfn.XLOOKUP(CONTROL[[#This Row],[VEHIDCODE]],PROPERTIES[VEHIDCODE],PROPERTIES[IS_CONCEPT])="IS_CONCEPT"</f>
        <v>0</v>
      </c>
      <c r="Q969" s="7" t="b">
        <f>_xlfn.XLOOKUP(CONTROL[[#This Row],[VEHIDCODE]],PROPERTIES[VEHIDCODE],PROPERTIES[EXCLUDE])</f>
        <v>0</v>
      </c>
      <c r="R969" t="str" cm="1">
        <f t="array" ref="R969">_xlfn.XLOOKUP(CONTROL[[#This Row],[VEHIDCODE]],GRAPHICS_PROPERTIES[VEHIDCODE],GRAPHICS_PROPERTIES[TEMPLATE_ID]&amp;GRAPHICS_PROPERTIES[TEMPLATE_AMENDMENT_CODE])</f>
        <v>TPL_01A</v>
      </c>
    </row>
    <row r="970" spans="1:18" x14ac:dyDescent="0.35">
      <c r="A970" t="s">
        <v>3398</v>
      </c>
      <c r="B970" s="21" t="str">
        <f>_xlfn.TEXTAFTER(CONTROL[[#This Row],[VEHIDCODE]],"_")</f>
        <v>Stephenson_BP_2_2_2_LVCI_Class_1</v>
      </c>
      <c r="C970" t="str" cm="1">
        <f t="array" ref="C9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70" t="str" cm="1">
        <f t="array" ref="D9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7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4149</v>
      </c>
      <c r="F970" s="32" t="s">
        <v>2530</v>
      </c>
      <c r="G970" t="s">
        <v>1924</v>
      </c>
      <c r="H970" s="2" t="b">
        <f>AND(CONTROL[[#This Row],[IS_WAGON_OR_COACH]]=TRUE,OR(RIGHT(CONTROL[[#This Row],[VEHIDCODE]],7)="Powered",RIGHT(CONTROL[[#This Row],[VEHIDCODE]],9)="Unpowered"))</f>
        <v>0</v>
      </c>
      <c r="I9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0" t="b">
        <f>ISNUMBER(_xlfn.XMATCH(CONTROL[[#This Row],[VEHIDCODE]],TRACK_TYPES[VEHIDCODE],0))</f>
        <v>1</v>
      </c>
      <c r="K970" t="b">
        <f>ISNUMBER(_xlfn.XMATCH(CONTROL[[#This Row],[VEHIDCODE]],PROPERTIES[VEHIDCODE],0))</f>
        <v>1</v>
      </c>
      <c r="L970" t="b">
        <f>ISNUMBER(_xlfn.XLOOKUP(CONTROL[[#This Row],[VEHIDCODE]],roster!A:A,roster!D:D))</f>
        <v>1</v>
      </c>
      <c r="M970" t="b">
        <f>ISNUMBER(_xlfn.XMATCH(CONTROL[[#This Row],[VEHIDCODE]],GRAPHICS_PROPERTIES[VEHIDCODE],0))</f>
        <v>1</v>
      </c>
      <c r="N970" s="21" t="str">
        <f>"item_"&amp;CONTROL[[#This Row],[VEHIDCODE]]</f>
        <v>item_steam_Stephenson_BP_2_2_2_LVCI_Class_1</v>
      </c>
      <c r="O970" s="21" t="str">
        <f>"str_"&amp;CONTROL[[#This Row],[VEHIDCODE]]</f>
        <v>str_steam_Stephenson_BP_2_2_2_LVCI_Class_1</v>
      </c>
      <c r="P970" s="7" t="b">
        <f>_xlfn.XLOOKUP(CONTROL[[#This Row],[VEHIDCODE]],PROPERTIES[VEHIDCODE],PROPERTIES[IS_CONCEPT])="IS_CONCEPT"</f>
        <v>0</v>
      </c>
      <c r="Q970" s="7" t="b">
        <f>_xlfn.XLOOKUP(CONTROL[[#This Row],[VEHIDCODE]],PROPERTIES[VEHIDCODE],PROPERTIES[EXCLUDE])</f>
        <v>0</v>
      </c>
      <c r="R970" t="str" cm="1">
        <f t="array" ref="R970">_xlfn.XLOOKUP(CONTROL[[#This Row],[VEHIDCODE]],GRAPHICS_PROPERTIES[VEHIDCODE],GRAPHICS_PROPERTIES[TEMPLATE_ID]&amp;GRAPHICS_PROPERTIES[TEMPLATE_AMENDMENT_CODE])</f>
        <v>TPL_03A</v>
      </c>
    </row>
    <row r="971" spans="1:18" x14ac:dyDescent="0.35">
      <c r="A971" t="s">
        <v>3399</v>
      </c>
      <c r="B971" s="21" t="str">
        <f>_xlfn.TEXTAFTER(CONTROL[[#This Row],[VEHIDCODE]],"_")</f>
        <v>Babcock_4_6_2_2_6_4T_462</v>
      </c>
      <c r="C971" t="str" cm="1">
        <f t="array" ref="C9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71" t="str" cm="1">
        <f t="array" ref="D9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7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4150</v>
      </c>
      <c r="F971" s="32" t="s">
        <v>2531</v>
      </c>
      <c r="G971" t="s">
        <v>1925</v>
      </c>
      <c r="H971" s="2" t="b">
        <f>AND(CONTROL[[#This Row],[IS_WAGON_OR_COACH]]=TRUE,OR(RIGHT(CONTROL[[#This Row],[VEHIDCODE]],7)="Powered",RIGHT(CONTROL[[#This Row],[VEHIDCODE]],9)="Unpowered"))</f>
        <v>0</v>
      </c>
      <c r="I9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1" t="b">
        <f>ISNUMBER(_xlfn.XMATCH(CONTROL[[#This Row],[VEHIDCODE]],TRACK_TYPES[VEHIDCODE],0))</f>
        <v>1</v>
      </c>
      <c r="K971" t="b">
        <f>ISNUMBER(_xlfn.XMATCH(CONTROL[[#This Row],[VEHIDCODE]],PROPERTIES[VEHIDCODE],0))</f>
        <v>1</v>
      </c>
      <c r="L971" t="b">
        <f>ISNUMBER(_xlfn.XLOOKUP(CONTROL[[#This Row],[VEHIDCODE]],roster!A:A,roster!D:D))</f>
        <v>1</v>
      </c>
      <c r="M971" t="b">
        <f>ISNUMBER(_xlfn.XMATCH(CONTROL[[#This Row],[VEHIDCODE]],GRAPHICS_PROPERTIES[VEHIDCODE],0))</f>
        <v>1</v>
      </c>
      <c r="N971" s="21" t="str">
        <f>"item_"&amp;CONTROL[[#This Row],[VEHIDCODE]]</f>
        <v>item_steam_Babcock_4_6_2_2_6_4T_462</v>
      </c>
      <c r="O971" s="21" t="str">
        <f>"str_"&amp;CONTROL[[#This Row],[VEHIDCODE]]</f>
        <v>str_steam_Babcock_4_6_2_2_6_4T_462</v>
      </c>
      <c r="P971" s="7" t="b">
        <f>_xlfn.XLOOKUP(CONTROL[[#This Row],[VEHIDCODE]],PROPERTIES[VEHIDCODE],PROPERTIES[IS_CONCEPT])="IS_CONCEPT"</f>
        <v>0</v>
      </c>
      <c r="Q971" s="7" t="b">
        <f>_xlfn.XLOOKUP(CONTROL[[#This Row],[VEHIDCODE]],PROPERTIES[VEHIDCODE],PROPERTIES[EXCLUDE])</f>
        <v>0</v>
      </c>
      <c r="R971" t="str" cm="1">
        <f t="array" ref="R971">_xlfn.XLOOKUP(CONTROL[[#This Row],[VEHIDCODE]],GRAPHICS_PROPERTIES[VEHIDCODE],GRAPHICS_PROPERTIES[TEMPLATE_ID]&amp;GRAPHICS_PROPERTIES[TEMPLATE_AMENDMENT_CODE])</f>
        <v>TPL_17C</v>
      </c>
    </row>
    <row r="972" spans="1:18" x14ac:dyDescent="0.35">
      <c r="A972" s="2" t="s">
        <v>3400</v>
      </c>
      <c r="B972" s="21" t="str">
        <f>_xlfn.TEXTAFTER(CONTROL[[#This Row],[VEHIDCODE]],"_")</f>
        <v>Koechlin_0_6_0_030</v>
      </c>
      <c r="C972" t="str" cm="1">
        <f t="array" ref="C9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72" t="str" cm="1">
        <f t="array" ref="D9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7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4151</v>
      </c>
      <c r="F972" s="32" t="s">
        <v>2532</v>
      </c>
      <c r="G972" s="34" t="s">
        <v>1927</v>
      </c>
      <c r="H972" s="2" t="b">
        <f>AND(CONTROL[[#This Row],[IS_WAGON_OR_COACH]]=TRUE,OR(RIGHT(CONTROL[[#This Row],[VEHIDCODE]],7)="Powered",RIGHT(CONTROL[[#This Row],[VEHIDCODE]],9)="Unpowered"))</f>
        <v>0</v>
      </c>
      <c r="I9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2" t="b">
        <f>ISNUMBER(_xlfn.XMATCH(CONTROL[[#This Row],[VEHIDCODE]],TRACK_TYPES[VEHIDCODE],0))</f>
        <v>1</v>
      </c>
      <c r="K972" t="b">
        <f>ISNUMBER(_xlfn.XMATCH(CONTROL[[#This Row],[VEHIDCODE]],PROPERTIES[VEHIDCODE],0))</f>
        <v>1</v>
      </c>
      <c r="L972" t="b">
        <f>ISNUMBER(_xlfn.XLOOKUP(CONTROL[[#This Row],[VEHIDCODE]],roster!A:A,roster!D:D))</f>
        <v>1</v>
      </c>
      <c r="M972" t="b">
        <f>ISNUMBER(_xlfn.XMATCH(CONTROL[[#This Row],[VEHIDCODE]],GRAPHICS_PROPERTIES[VEHIDCODE],0))</f>
        <v>1</v>
      </c>
      <c r="N972" s="21" t="str">
        <f>"item_"&amp;CONTROL[[#This Row],[VEHIDCODE]]</f>
        <v>item_steam_Koechlin_0_6_0_030</v>
      </c>
      <c r="O972" s="21" t="str">
        <f>"str_"&amp;CONTROL[[#This Row],[VEHIDCODE]]</f>
        <v>str_steam_Koechlin_0_6_0_030</v>
      </c>
      <c r="P972" s="7" t="b">
        <f>_xlfn.XLOOKUP(CONTROL[[#This Row],[VEHIDCODE]],PROPERTIES[VEHIDCODE],PROPERTIES[IS_CONCEPT])="IS_CONCEPT"</f>
        <v>0</v>
      </c>
      <c r="Q972" s="7" t="b">
        <f>_xlfn.XLOOKUP(CONTROL[[#This Row],[VEHIDCODE]],PROPERTIES[VEHIDCODE],PROPERTIES[EXCLUDE])</f>
        <v>0</v>
      </c>
      <c r="R972" t="str" cm="1">
        <f t="array" ref="R972">_xlfn.XLOOKUP(CONTROL[[#This Row],[VEHIDCODE]],GRAPHICS_PROPERTIES[VEHIDCODE],GRAPHICS_PROPERTIES[TEMPLATE_ID]&amp;GRAPHICS_PROPERTIES[TEMPLATE_AMENDMENT_CODE])</f>
        <v>TPL_03C</v>
      </c>
    </row>
    <row r="973" spans="1:18" x14ac:dyDescent="0.35">
      <c r="A973" s="2" t="s">
        <v>3401</v>
      </c>
      <c r="B973" s="21" t="str">
        <f>_xlfn.TEXTAFTER(CONTROL[[#This Row],[VEHIDCODE]],"_")</f>
        <v>Hanomag_ALCO_4_8_0_240</v>
      </c>
      <c r="C973" t="str" cm="1">
        <f t="array" ref="C9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73" t="str" cm="1">
        <f t="array" ref="D9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7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4152</v>
      </c>
      <c r="F973" s="32" t="s">
        <v>2533</v>
      </c>
      <c r="G973" t="s">
        <v>1928</v>
      </c>
      <c r="H973" s="2" t="b">
        <f>AND(CONTROL[[#This Row],[IS_WAGON_OR_COACH]]=TRUE,OR(RIGHT(CONTROL[[#This Row],[VEHIDCODE]],7)="Powered",RIGHT(CONTROL[[#This Row],[VEHIDCODE]],9)="Unpowered"))</f>
        <v>0</v>
      </c>
      <c r="I9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3" t="b">
        <f>ISNUMBER(_xlfn.XMATCH(CONTROL[[#This Row],[VEHIDCODE]],TRACK_TYPES[VEHIDCODE],0))</f>
        <v>1</v>
      </c>
      <c r="K973" t="b">
        <f>ISNUMBER(_xlfn.XMATCH(CONTROL[[#This Row],[VEHIDCODE]],PROPERTIES[VEHIDCODE],0))</f>
        <v>1</v>
      </c>
      <c r="L973" t="b">
        <f>ISNUMBER(_xlfn.XLOOKUP(CONTROL[[#This Row],[VEHIDCODE]],roster!A:A,roster!D:D))</f>
        <v>1</v>
      </c>
      <c r="M973" t="b">
        <f>ISNUMBER(_xlfn.XMATCH(CONTROL[[#This Row],[VEHIDCODE]],GRAPHICS_PROPERTIES[VEHIDCODE],0))</f>
        <v>1</v>
      </c>
      <c r="N973" s="21" t="str">
        <f>"item_"&amp;CONTROL[[#This Row],[VEHIDCODE]]</f>
        <v>item_steam_Hanomag_ALCO_4_8_0_240</v>
      </c>
      <c r="O973" s="21" t="str">
        <f>"str_"&amp;CONTROL[[#This Row],[VEHIDCODE]]</f>
        <v>str_steam_Hanomag_ALCO_4_8_0_240</v>
      </c>
      <c r="P973" s="7" t="b">
        <f>_xlfn.XLOOKUP(CONTROL[[#This Row],[VEHIDCODE]],PROPERTIES[VEHIDCODE],PROPERTIES[IS_CONCEPT])="IS_CONCEPT"</f>
        <v>0</v>
      </c>
      <c r="Q973" s="7" t="b">
        <f>_xlfn.XLOOKUP(CONTROL[[#This Row],[VEHIDCODE]],PROPERTIES[VEHIDCODE],PROPERTIES[EXCLUDE])</f>
        <v>0</v>
      </c>
      <c r="R973" t="str" cm="1">
        <f t="array" ref="R973">_xlfn.XLOOKUP(CONTROL[[#This Row],[VEHIDCODE]],GRAPHICS_PROPERTIES[VEHIDCODE],GRAPHICS_PROPERTIES[TEMPLATE_ID]&amp;GRAPHICS_PROPERTIES[TEMPLATE_AMENDMENT_CODE])</f>
        <v>TPL_03C</v>
      </c>
    </row>
    <row r="974" spans="1:18" x14ac:dyDescent="0.35">
      <c r="A974" t="s">
        <v>3402</v>
      </c>
      <c r="B974" s="21" t="str">
        <f>_xlfn.TEXTAFTER(CONTROL[[#This Row],[VEHIDCODE]],"_")</f>
        <v>CRRC_Sifang_SFB_500</v>
      </c>
      <c r="C974" t="str" cm="1">
        <f t="array" ref="C9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74" t="str" cm="1">
        <f t="array" ref="D9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7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8092</v>
      </c>
      <c r="F974" s="32" t="s">
        <v>2534</v>
      </c>
      <c r="G974" t="s">
        <v>1929</v>
      </c>
      <c r="H974" s="2" t="b">
        <f>AND(CONTROL[[#This Row],[IS_WAGON_OR_COACH]]=TRUE,OR(RIGHT(CONTROL[[#This Row],[VEHIDCODE]],7)="Powered",RIGHT(CONTROL[[#This Row],[VEHIDCODE]],9)="Unpowered"))</f>
        <v>0</v>
      </c>
      <c r="I9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4" t="b">
        <f>ISNUMBER(_xlfn.XMATCH(CONTROL[[#This Row],[VEHIDCODE]],TRACK_TYPES[VEHIDCODE],0))</f>
        <v>1</v>
      </c>
      <c r="K974" t="b">
        <f>ISNUMBER(_xlfn.XMATCH(CONTROL[[#This Row],[VEHIDCODE]],PROPERTIES[VEHIDCODE],0))</f>
        <v>1</v>
      </c>
      <c r="L974" t="b">
        <f>ISNUMBER(_xlfn.XLOOKUP(CONTROL[[#This Row],[VEHIDCODE]],roster!A:A,roster!D:D))</f>
        <v>1</v>
      </c>
      <c r="M974" t="b">
        <f>ISNUMBER(_xlfn.XMATCH(CONTROL[[#This Row],[VEHIDCODE]],GRAPHICS_PROPERTIES[VEHIDCODE],0))</f>
        <v>1</v>
      </c>
      <c r="N974" s="21" t="str">
        <f>"item_"&amp;CONTROL[[#This Row],[VEHIDCODE]]</f>
        <v>item_emu_CRRC_Sifang_SFB_500</v>
      </c>
      <c r="O974" s="21" t="str">
        <f>"str_"&amp;CONTROL[[#This Row],[VEHIDCODE]]</f>
        <v>str_emu_CRRC_Sifang_SFB_500</v>
      </c>
      <c r="P974" s="7" t="b">
        <f>_xlfn.XLOOKUP(CONTROL[[#This Row],[VEHIDCODE]],PROPERTIES[VEHIDCODE],PROPERTIES[IS_CONCEPT])="IS_CONCEPT"</f>
        <v>0</v>
      </c>
      <c r="Q974" s="7" t="b">
        <f>_xlfn.XLOOKUP(CONTROL[[#This Row],[VEHIDCODE]],PROPERTIES[VEHIDCODE],PROPERTIES[EXCLUDE])</f>
        <v>0</v>
      </c>
      <c r="R974" t="str" cm="1">
        <f t="array" ref="R974">_xlfn.XLOOKUP(CONTROL[[#This Row],[VEHIDCODE]],GRAPHICS_PROPERTIES[VEHIDCODE],GRAPHICS_PROPERTIES[TEMPLATE_ID]&amp;GRAPHICS_PROPERTIES[TEMPLATE_AMENDMENT_CODE])</f>
        <v>TPL_02A</v>
      </c>
    </row>
    <row r="975" spans="1:18" x14ac:dyDescent="0.35">
      <c r="A975" t="s">
        <v>3403</v>
      </c>
      <c r="B975" s="21" t="str">
        <f>_xlfn.TEXTAFTER(CONTROL[[#This Row],[VEHIDCODE]],"_")</f>
        <v>EMC_E3</v>
      </c>
      <c r="C975" t="str" cm="1">
        <f t="array" ref="C9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75" t="str" cm="1">
        <f t="array" ref="D9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7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5187</v>
      </c>
      <c r="F975" s="32" t="s">
        <v>1932</v>
      </c>
      <c r="G975" t="s">
        <v>1931</v>
      </c>
      <c r="H975" s="2" t="b">
        <f>AND(CONTROL[[#This Row],[IS_WAGON_OR_COACH]]=TRUE,OR(RIGHT(CONTROL[[#This Row],[VEHIDCODE]],7)="Powered",RIGHT(CONTROL[[#This Row],[VEHIDCODE]],9)="Unpowered"))</f>
        <v>0</v>
      </c>
      <c r="I9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5" t="b">
        <f>ISNUMBER(_xlfn.XMATCH(CONTROL[[#This Row],[VEHIDCODE]],TRACK_TYPES[VEHIDCODE],0))</f>
        <v>1</v>
      </c>
      <c r="K975" t="b">
        <f>ISNUMBER(_xlfn.XMATCH(CONTROL[[#This Row],[VEHIDCODE]],PROPERTIES[VEHIDCODE],0))</f>
        <v>1</v>
      </c>
      <c r="L975" t="b">
        <f>ISNUMBER(_xlfn.XLOOKUP(CONTROL[[#This Row],[VEHIDCODE]],roster!A:A,roster!D:D))</f>
        <v>1</v>
      </c>
      <c r="M975" t="b">
        <f>ISNUMBER(_xlfn.XMATCH(CONTROL[[#This Row],[VEHIDCODE]],GRAPHICS_PROPERTIES[VEHIDCODE],0))</f>
        <v>1</v>
      </c>
      <c r="N975" s="21" t="str">
        <f>"item_"&amp;CONTROL[[#This Row],[VEHIDCODE]]</f>
        <v>item_diesel_EMC_E3</v>
      </c>
      <c r="O975" s="21" t="str">
        <f>"str_"&amp;CONTROL[[#This Row],[VEHIDCODE]]</f>
        <v>str_diesel_EMC_E3</v>
      </c>
      <c r="P975" s="7" t="b">
        <f>_xlfn.XLOOKUP(CONTROL[[#This Row],[VEHIDCODE]],PROPERTIES[VEHIDCODE],PROPERTIES[IS_CONCEPT])="IS_CONCEPT"</f>
        <v>0</v>
      </c>
      <c r="Q975" s="7" t="b">
        <f>_xlfn.XLOOKUP(CONTROL[[#This Row],[VEHIDCODE]],PROPERTIES[VEHIDCODE],PROPERTIES[EXCLUDE])</f>
        <v>0</v>
      </c>
      <c r="R975" t="str" cm="1">
        <f t="array" ref="R975">_xlfn.XLOOKUP(CONTROL[[#This Row],[VEHIDCODE]],GRAPHICS_PROPERTIES[VEHIDCODE],GRAPHICS_PROPERTIES[TEMPLATE_ID]&amp;GRAPHICS_PROPERTIES[TEMPLATE_AMENDMENT_CODE])</f>
        <v>TPL_03F</v>
      </c>
    </row>
    <row r="976" spans="1:18" x14ac:dyDescent="0.35">
      <c r="A976" t="s">
        <v>3404</v>
      </c>
      <c r="B976" s="21" t="str">
        <f>_xlfn.TEXTAFTER(CONTROL[[#This Row],[VEHIDCODE]],"_")</f>
        <v>EMD_FT</v>
      </c>
      <c r="C976" t="str" cm="1">
        <f t="array" ref="C9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76" t="str" cm="1">
        <f t="array" ref="D9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7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5188</v>
      </c>
      <c r="F976" s="32" t="s">
        <v>1933</v>
      </c>
      <c r="G976" t="s">
        <v>1934</v>
      </c>
      <c r="H976" s="2" t="b">
        <f>AND(CONTROL[[#This Row],[IS_WAGON_OR_COACH]]=TRUE,OR(RIGHT(CONTROL[[#This Row],[VEHIDCODE]],7)="Powered",RIGHT(CONTROL[[#This Row],[VEHIDCODE]],9)="Unpowered"))</f>
        <v>0</v>
      </c>
      <c r="I9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6" t="b">
        <f>ISNUMBER(_xlfn.XMATCH(CONTROL[[#This Row],[VEHIDCODE]],TRACK_TYPES[VEHIDCODE],0))</f>
        <v>1</v>
      </c>
      <c r="K976" t="b">
        <f>ISNUMBER(_xlfn.XMATCH(CONTROL[[#This Row],[VEHIDCODE]],PROPERTIES[VEHIDCODE],0))</f>
        <v>1</v>
      </c>
      <c r="L976" t="b">
        <f>ISNUMBER(_xlfn.XLOOKUP(CONTROL[[#This Row],[VEHIDCODE]],roster!A:A,roster!D:D))</f>
        <v>1</v>
      </c>
      <c r="M976" t="b">
        <f>ISNUMBER(_xlfn.XMATCH(CONTROL[[#This Row],[VEHIDCODE]],GRAPHICS_PROPERTIES[VEHIDCODE],0))</f>
        <v>1</v>
      </c>
      <c r="N976" s="21" t="str">
        <f>"item_"&amp;CONTROL[[#This Row],[VEHIDCODE]]</f>
        <v>item_diesel_EMD_FT</v>
      </c>
      <c r="O976" s="21" t="str">
        <f>"str_"&amp;CONTROL[[#This Row],[VEHIDCODE]]</f>
        <v>str_diesel_EMD_FT</v>
      </c>
      <c r="P976" s="7" t="b">
        <f>_xlfn.XLOOKUP(CONTROL[[#This Row],[VEHIDCODE]],PROPERTIES[VEHIDCODE],PROPERTIES[IS_CONCEPT])="IS_CONCEPT"</f>
        <v>0</v>
      </c>
      <c r="Q976" s="7" t="b">
        <f>_xlfn.XLOOKUP(CONTROL[[#This Row],[VEHIDCODE]],PROPERTIES[VEHIDCODE],PROPERTIES[EXCLUDE])</f>
        <v>0</v>
      </c>
      <c r="R976" t="str" cm="1">
        <f t="array" ref="R976">_xlfn.XLOOKUP(CONTROL[[#This Row],[VEHIDCODE]],GRAPHICS_PROPERTIES[VEHIDCODE],GRAPHICS_PROPERTIES[TEMPLATE_ID]&amp;GRAPHICS_PROPERTIES[TEMPLATE_AMENDMENT_CODE])</f>
        <v>TPL_03F</v>
      </c>
    </row>
    <row r="977" spans="1:18" x14ac:dyDescent="0.35">
      <c r="A977" t="s">
        <v>3405</v>
      </c>
      <c r="B977" s="21" t="str">
        <f>_xlfn.TEXTAFTER(CONTROL[[#This Row],[VEHIDCODE]],"_")</f>
        <v>LTZ_TE109</v>
      </c>
      <c r="C977" t="str" cm="1">
        <f t="array" ref="C9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77" t="str" cm="1">
        <f t="array" ref="D9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7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5189</v>
      </c>
      <c r="F977" s="32" t="s">
        <v>1967</v>
      </c>
      <c r="G977" t="s">
        <v>1746</v>
      </c>
      <c r="H977" s="2" t="b">
        <f>AND(CONTROL[[#This Row],[IS_WAGON_OR_COACH]]=TRUE,OR(RIGHT(CONTROL[[#This Row],[VEHIDCODE]],7)="Powered",RIGHT(CONTROL[[#This Row],[VEHIDCODE]],9)="Unpowered"))</f>
        <v>0</v>
      </c>
      <c r="I9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7" t="b">
        <f>ISNUMBER(_xlfn.XMATCH(CONTROL[[#This Row],[VEHIDCODE]],TRACK_TYPES[VEHIDCODE],0))</f>
        <v>1</v>
      </c>
      <c r="K977" t="b">
        <f>ISNUMBER(_xlfn.XMATCH(CONTROL[[#This Row],[VEHIDCODE]],PROPERTIES[VEHIDCODE],0))</f>
        <v>1</v>
      </c>
      <c r="L977" t="b">
        <f>ISNUMBER(_xlfn.XLOOKUP(CONTROL[[#This Row],[VEHIDCODE]],roster!A:A,roster!D:D))</f>
        <v>1</v>
      </c>
      <c r="M977" t="b">
        <f>ISNUMBER(_xlfn.XMATCH(CONTROL[[#This Row],[VEHIDCODE]],GRAPHICS_PROPERTIES[VEHIDCODE],0))</f>
        <v>1</v>
      </c>
      <c r="N977" s="21" t="str">
        <f>"item_"&amp;CONTROL[[#This Row],[VEHIDCODE]]</f>
        <v>item_diesel_LTZ_TE109</v>
      </c>
      <c r="O977" s="21" t="str">
        <f>"str_"&amp;CONTROL[[#This Row],[VEHIDCODE]]</f>
        <v>str_diesel_LTZ_TE109</v>
      </c>
      <c r="P977" s="7" t="b">
        <f>_xlfn.XLOOKUP(CONTROL[[#This Row],[VEHIDCODE]],PROPERTIES[VEHIDCODE],PROPERTIES[IS_CONCEPT])="IS_CONCEPT"</f>
        <v>0</v>
      </c>
      <c r="Q977" s="7" t="b">
        <f>_xlfn.XLOOKUP(CONTROL[[#This Row],[VEHIDCODE]],PROPERTIES[VEHIDCODE],PROPERTIES[EXCLUDE])</f>
        <v>0</v>
      </c>
      <c r="R977" t="str" cm="1">
        <f t="array" ref="R977">_xlfn.XLOOKUP(CONTROL[[#This Row],[VEHIDCODE]],GRAPHICS_PROPERTIES[VEHIDCODE],GRAPHICS_PROPERTIES[TEMPLATE_ID]&amp;GRAPHICS_PROPERTIES[TEMPLATE_AMENDMENT_CODE])</f>
        <v>TPL_01A</v>
      </c>
    </row>
    <row r="978" spans="1:18" x14ac:dyDescent="0.35">
      <c r="A978" s="2" t="s">
        <v>3406</v>
      </c>
      <c r="B978" s="21" t="str">
        <f>_xlfn.TEXTAFTER(CONTROL[[#This Row],[VEHIDCODE]],"_")</f>
        <v>Hitachi_Kawasaki_Shinkansen_Series_100</v>
      </c>
      <c r="C978" t="str" cm="1">
        <f t="array" ref="C9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78" t="str" cm="1">
        <f t="array" ref="D9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7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8093</v>
      </c>
      <c r="F978" s="32" t="s">
        <v>2535</v>
      </c>
      <c r="G978" t="s">
        <v>1935</v>
      </c>
      <c r="H978" s="2" t="b">
        <f>AND(CONTROL[[#This Row],[IS_WAGON_OR_COACH]]=TRUE,OR(RIGHT(CONTROL[[#This Row],[VEHIDCODE]],7)="Powered",RIGHT(CONTROL[[#This Row],[VEHIDCODE]],9)="Unpowered"))</f>
        <v>0</v>
      </c>
      <c r="I9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8" t="b">
        <f>ISNUMBER(_xlfn.XMATCH(CONTROL[[#This Row],[VEHIDCODE]],TRACK_TYPES[VEHIDCODE],0))</f>
        <v>1</v>
      </c>
      <c r="K978" t="b">
        <f>ISNUMBER(_xlfn.XMATCH(CONTROL[[#This Row],[VEHIDCODE]],PROPERTIES[VEHIDCODE],0))</f>
        <v>1</v>
      </c>
      <c r="L978" t="b">
        <f>ISNUMBER(_xlfn.XLOOKUP(CONTROL[[#This Row],[VEHIDCODE]],roster!A:A,roster!D:D))</f>
        <v>1</v>
      </c>
      <c r="M978" t="b">
        <f>ISNUMBER(_xlfn.XMATCH(CONTROL[[#This Row],[VEHIDCODE]],GRAPHICS_PROPERTIES[VEHIDCODE],0))</f>
        <v>1</v>
      </c>
      <c r="N978" s="21" t="str">
        <f>"item_"&amp;CONTROL[[#This Row],[VEHIDCODE]]</f>
        <v>item_emu_Hitachi_Kawasaki_Shinkansen_Series_100</v>
      </c>
      <c r="O978" s="21" t="str">
        <f>"str_"&amp;CONTROL[[#This Row],[VEHIDCODE]]</f>
        <v>str_emu_Hitachi_Kawasaki_Shinkansen_Series_100</v>
      </c>
      <c r="P978" s="7" t="b">
        <f>_xlfn.XLOOKUP(CONTROL[[#This Row],[VEHIDCODE]],PROPERTIES[VEHIDCODE],PROPERTIES[IS_CONCEPT])="IS_CONCEPT"</f>
        <v>0</v>
      </c>
      <c r="Q978" s="7" t="b">
        <f>_xlfn.XLOOKUP(CONTROL[[#This Row],[VEHIDCODE]],PROPERTIES[VEHIDCODE],PROPERTIES[EXCLUDE])</f>
        <v>0</v>
      </c>
      <c r="R978" t="str" cm="1">
        <f t="array" ref="R978">_xlfn.XLOOKUP(CONTROL[[#This Row],[VEHIDCODE]],GRAPHICS_PROPERTIES[VEHIDCODE],GRAPHICS_PROPERTIES[TEMPLATE_ID]&amp;GRAPHICS_PROPERTIES[TEMPLATE_AMENDMENT_CODE])</f>
        <v>TPL_02D</v>
      </c>
    </row>
    <row r="979" spans="1:18" x14ac:dyDescent="0.35">
      <c r="A979" t="s">
        <v>3407</v>
      </c>
      <c r="B979" s="21" t="str">
        <f>_xlfn.TEXTAFTER(CONTROL[[#This Row],[VEHIDCODE]],"_")</f>
        <v>Krauss_Maffei_ML_2200</v>
      </c>
      <c r="C979" t="str" cm="1">
        <f t="array" ref="C9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79" t="str" cm="1">
        <f t="array" ref="D9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7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5190</v>
      </c>
      <c r="F979" s="32" t="s">
        <v>2565</v>
      </c>
      <c r="G979" t="s">
        <v>1936</v>
      </c>
      <c r="H979" s="2" t="b">
        <f>AND(CONTROL[[#This Row],[IS_WAGON_OR_COACH]]=TRUE,OR(RIGHT(CONTROL[[#This Row],[VEHIDCODE]],7)="Powered",RIGHT(CONTROL[[#This Row],[VEHIDCODE]],9)="Unpowered"))</f>
        <v>0</v>
      </c>
      <c r="I9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9" t="b">
        <f>ISNUMBER(_xlfn.XMATCH(CONTROL[[#This Row],[VEHIDCODE]],TRACK_TYPES[VEHIDCODE],0))</f>
        <v>1</v>
      </c>
      <c r="K979" t="b">
        <f>ISNUMBER(_xlfn.XMATCH(CONTROL[[#This Row],[VEHIDCODE]],PROPERTIES[VEHIDCODE],0))</f>
        <v>1</v>
      </c>
      <c r="L979" t="b">
        <f>ISNUMBER(_xlfn.XLOOKUP(CONTROL[[#This Row],[VEHIDCODE]],roster!A:A,roster!D:D))</f>
        <v>1</v>
      </c>
      <c r="M979" t="b">
        <f>ISNUMBER(_xlfn.XMATCH(CONTROL[[#This Row],[VEHIDCODE]],GRAPHICS_PROPERTIES[VEHIDCODE],0))</f>
        <v>1</v>
      </c>
      <c r="N979" s="21" t="str">
        <f>"item_"&amp;CONTROL[[#This Row],[VEHIDCODE]]</f>
        <v>item_diesel_Krauss_Maffei_ML_2200</v>
      </c>
      <c r="O979" s="21" t="str">
        <f>"str_"&amp;CONTROL[[#This Row],[VEHIDCODE]]</f>
        <v>str_diesel_Krauss_Maffei_ML_2200</v>
      </c>
      <c r="P979" s="7" t="b">
        <f>_xlfn.XLOOKUP(CONTROL[[#This Row],[VEHIDCODE]],PROPERTIES[VEHIDCODE],PROPERTIES[IS_CONCEPT])="IS_CONCEPT"</f>
        <v>0</v>
      </c>
      <c r="Q979" s="7" t="b">
        <f>_xlfn.XLOOKUP(CONTROL[[#This Row],[VEHIDCODE]],PROPERTIES[VEHIDCODE],PROPERTIES[EXCLUDE])</f>
        <v>0</v>
      </c>
      <c r="R979" t="str" cm="1">
        <f t="array" ref="R979">_xlfn.XLOOKUP(CONTROL[[#This Row],[VEHIDCODE]],GRAPHICS_PROPERTIES[VEHIDCODE],GRAPHICS_PROPERTIES[TEMPLATE_ID]&amp;GRAPHICS_PROPERTIES[TEMPLATE_AMENDMENT_CODE])</f>
        <v>TPL_01A</v>
      </c>
    </row>
    <row r="980" spans="1:18" x14ac:dyDescent="0.35">
      <c r="A980" t="s">
        <v>3408</v>
      </c>
      <c r="B980" s="21" t="str">
        <f>_xlfn.TEXTAFTER(CONTROL[[#This Row],[VEHIDCODE]],"_")</f>
        <v>Ganz_Hargita_M440</v>
      </c>
      <c r="C980" t="str" cm="1">
        <f t="array" ref="C9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80" t="str" cm="1">
        <f t="array" ref="D9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8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7062</v>
      </c>
      <c r="F980" s="32" t="s">
        <v>2574</v>
      </c>
      <c r="G980" t="s">
        <v>1937</v>
      </c>
      <c r="H980" s="2" t="b">
        <f>AND(CONTROL[[#This Row],[IS_WAGON_OR_COACH]]=TRUE,OR(RIGHT(CONTROL[[#This Row],[VEHIDCODE]],7)="Powered",RIGHT(CONTROL[[#This Row],[VEHIDCODE]],9)="Unpowered"))</f>
        <v>0</v>
      </c>
      <c r="I9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0" t="b">
        <f>ISNUMBER(_xlfn.XMATCH(CONTROL[[#This Row],[VEHIDCODE]],TRACK_TYPES[VEHIDCODE],0))</f>
        <v>1</v>
      </c>
      <c r="K980" t="b">
        <f>ISNUMBER(_xlfn.XMATCH(CONTROL[[#This Row],[VEHIDCODE]],PROPERTIES[VEHIDCODE],0))</f>
        <v>1</v>
      </c>
      <c r="L980" t="b">
        <f>ISNUMBER(_xlfn.XLOOKUP(CONTROL[[#This Row],[VEHIDCODE]],roster!A:A,roster!D:D))</f>
        <v>1</v>
      </c>
      <c r="M980" t="b">
        <f>ISNUMBER(_xlfn.XMATCH(CONTROL[[#This Row],[VEHIDCODE]],GRAPHICS_PROPERTIES[VEHIDCODE],0))</f>
        <v>1</v>
      </c>
      <c r="N980" s="21" t="str">
        <f>"item_"&amp;CONTROL[[#This Row],[VEHIDCODE]]</f>
        <v>item_dmu_Ganz_Hargita_M440</v>
      </c>
      <c r="O980" s="21" t="str">
        <f>"str_"&amp;CONTROL[[#This Row],[VEHIDCODE]]</f>
        <v>str_dmu_Ganz_Hargita_M440</v>
      </c>
      <c r="P980" s="7" t="b">
        <f>_xlfn.XLOOKUP(CONTROL[[#This Row],[VEHIDCODE]],PROPERTIES[VEHIDCODE],PROPERTIES[IS_CONCEPT])="IS_CONCEPT"</f>
        <v>0</v>
      </c>
      <c r="Q980" s="7" t="b">
        <f>_xlfn.XLOOKUP(CONTROL[[#This Row],[VEHIDCODE]],PROPERTIES[VEHIDCODE],PROPERTIES[EXCLUDE])</f>
        <v>0</v>
      </c>
      <c r="R980" t="str" cm="1">
        <f t="array" ref="R980">_xlfn.XLOOKUP(CONTROL[[#This Row],[VEHIDCODE]],GRAPHICS_PROPERTIES[VEHIDCODE],GRAPHICS_PROPERTIES[TEMPLATE_ID]&amp;GRAPHICS_PROPERTIES[TEMPLATE_AMENDMENT_CODE])</f>
        <v>TPL_02A</v>
      </c>
    </row>
    <row r="981" spans="1:18" x14ac:dyDescent="0.35">
      <c r="A981" s="2" t="s">
        <v>3409</v>
      </c>
      <c r="B981" s="21" t="str">
        <f>_xlfn.TEXTAFTER(CONTROL[[#This Row],[VEHIDCODE]],"_")</f>
        <v>SSW_Krauss_E44</v>
      </c>
      <c r="C981" t="str" cm="1">
        <f t="array" ref="C9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1" t="str" cm="1">
        <f t="array" ref="D9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6152</v>
      </c>
      <c r="F981" s="32" t="s">
        <v>2536</v>
      </c>
      <c r="G981" t="s">
        <v>1938</v>
      </c>
      <c r="H981" s="2" t="b">
        <f>AND(CONTROL[[#This Row],[IS_WAGON_OR_COACH]]=TRUE,OR(RIGHT(CONTROL[[#This Row],[VEHIDCODE]],7)="Powered",RIGHT(CONTROL[[#This Row],[VEHIDCODE]],9)="Unpowered"))</f>
        <v>0</v>
      </c>
      <c r="I9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1" t="b">
        <f>ISNUMBER(_xlfn.XMATCH(CONTROL[[#This Row],[VEHIDCODE]],TRACK_TYPES[VEHIDCODE],0))</f>
        <v>1</v>
      </c>
      <c r="K981" t="b">
        <f>ISNUMBER(_xlfn.XMATCH(CONTROL[[#This Row],[VEHIDCODE]],PROPERTIES[VEHIDCODE],0))</f>
        <v>1</v>
      </c>
      <c r="L981" t="b">
        <f>ISNUMBER(_xlfn.XLOOKUP(CONTROL[[#This Row],[VEHIDCODE]],roster!A:A,roster!D:D))</f>
        <v>1</v>
      </c>
      <c r="M981" t="b">
        <f>ISNUMBER(_xlfn.XMATCH(CONTROL[[#This Row],[VEHIDCODE]],GRAPHICS_PROPERTIES[VEHIDCODE],0))</f>
        <v>1</v>
      </c>
      <c r="N981" s="21" t="str">
        <f>"item_"&amp;CONTROL[[#This Row],[VEHIDCODE]]</f>
        <v>item_electric_SSW_Krauss_E44</v>
      </c>
      <c r="O981" s="21" t="str">
        <f>"str_"&amp;CONTROL[[#This Row],[VEHIDCODE]]</f>
        <v>str_electric_SSW_Krauss_E44</v>
      </c>
      <c r="P981" s="7" t="b">
        <f>_xlfn.XLOOKUP(CONTROL[[#This Row],[VEHIDCODE]],PROPERTIES[VEHIDCODE],PROPERTIES[IS_CONCEPT])="IS_CONCEPT"</f>
        <v>0</v>
      </c>
      <c r="Q981" s="7" t="b">
        <f>_xlfn.XLOOKUP(CONTROL[[#This Row],[VEHIDCODE]],PROPERTIES[VEHIDCODE],PROPERTIES[EXCLUDE])</f>
        <v>0</v>
      </c>
      <c r="R981" t="str" cm="1">
        <f t="array" ref="R981">_xlfn.XLOOKUP(CONTROL[[#This Row],[VEHIDCODE]],GRAPHICS_PROPERTIES[VEHIDCODE],GRAPHICS_PROPERTIES[TEMPLATE_ID]&amp;GRAPHICS_PROPERTIES[TEMPLATE_AMENDMENT_CODE])</f>
        <v>TPL_01A</v>
      </c>
    </row>
    <row r="982" spans="1:18" x14ac:dyDescent="0.35">
      <c r="A982" t="s">
        <v>3410</v>
      </c>
      <c r="B982" s="21" t="str">
        <f>_xlfn.TEXTAFTER(CONTROL[[#This Row],[VEHIDCODE]],"_")</f>
        <v>PESA_111MS</v>
      </c>
      <c r="C982" t="str" cm="1">
        <f t="array" ref="C9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2" t="str" cm="1">
        <f t="array" ref="D9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6153</v>
      </c>
      <c r="F982" s="32" t="s">
        <v>1940</v>
      </c>
      <c r="G982" t="s">
        <v>1923</v>
      </c>
      <c r="H982" s="2" t="b">
        <f>AND(CONTROL[[#This Row],[IS_WAGON_OR_COACH]]=TRUE,OR(RIGHT(CONTROL[[#This Row],[VEHIDCODE]],7)="Powered",RIGHT(CONTROL[[#This Row],[VEHIDCODE]],9)="Unpowered"))</f>
        <v>0</v>
      </c>
      <c r="I9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2" t="b">
        <f>ISNUMBER(_xlfn.XMATCH(CONTROL[[#This Row],[VEHIDCODE]],TRACK_TYPES[VEHIDCODE],0))</f>
        <v>1</v>
      </c>
      <c r="K982" t="b">
        <f>ISNUMBER(_xlfn.XMATCH(CONTROL[[#This Row],[VEHIDCODE]],PROPERTIES[VEHIDCODE],0))</f>
        <v>1</v>
      </c>
      <c r="L982" t="b">
        <f>ISNUMBER(_xlfn.XLOOKUP(CONTROL[[#This Row],[VEHIDCODE]],roster!A:A,roster!D:D))</f>
        <v>1</v>
      </c>
      <c r="M982" t="b">
        <f>ISNUMBER(_xlfn.XMATCH(CONTROL[[#This Row],[VEHIDCODE]],GRAPHICS_PROPERTIES[VEHIDCODE],0))</f>
        <v>1</v>
      </c>
      <c r="N982" s="21" t="str">
        <f>"item_"&amp;CONTROL[[#This Row],[VEHIDCODE]]</f>
        <v>item_electric_PESA_111MS</v>
      </c>
      <c r="O982" s="21" t="str">
        <f>"str_"&amp;CONTROL[[#This Row],[VEHIDCODE]]</f>
        <v>str_electric_PESA_111MS</v>
      </c>
      <c r="P982" s="7" t="b">
        <f>_xlfn.XLOOKUP(CONTROL[[#This Row],[VEHIDCODE]],PROPERTIES[VEHIDCODE],PROPERTIES[IS_CONCEPT])="IS_CONCEPT"</f>
        <v>0</v>
      </c>
      <c r="Q982" s="7" t="b">
        <f>_xlfn.XLOOKUP(CONTROL[[#This Row],[VEHIDCODE]],PROPERTIES[VEHIDCODE],PROPERTIES[EXCLUDE])</f>
        <v>0</v>
      </c>
      <c r="R982" t="str" cm="1">
        <f t="array" ref="R982">_xlfn.XLOOKUP(CONTROL[[#This Row],[VEHIDCODE]],GRAPHICS_PROPERTIES[VEHIDCODE],GRAPHICS_PROPERTIES[TEMPLATE_ID]&amp;GRAPHICS_PROPERTIES[TEMPLATE_AMENDMENT_CODE])</f>
        <v>TPL_01A</v>
      </c>
    </row>
    <row r="983" spans="1:18" x14ac:dyDescent="0.35">
      <c r="A983" s="2" t="s">
        <v>3411</v>
      </c>
      <c r="B983" s="21" t="str">
        <f>_xlfn.TEXTAFTER(CONTROL[[#This Row],[VEHIDCODE]],"_")</f>
        <v>Kolomna_VL19</v>
      </c>
      <c r="C983" t="str" cm="1">
        <f t="array" ref="C9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3" t="str" cm="1">
        <f t="array" ref="D9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6154</v>
      </c>
      <c r="F983" s="32" t="s">
        <v>2037</v>
      </c>
      <c r="G983" t="s">
        <v>1941</v>
      </c>
      <c r="H983" s="2" t="b">
        <f>AND(CONTROL[[#This Row],[IS_WAGON_OR_COACH]]=TRUE,OR(RIGHT(CONTROL[[#This Row],[VEHIDCODE]],7)="Powered",RIGHT(CONTROL[[#This Row],[VEHIDCODE]],9)="Unpowered"))</f>
        <v>0</v>
      </c>
      <c r="I9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3" t="b">
        <f>ISNUMBER(_xlfn.XMATCH(CONTROL[[#This Row],[VEHIDCODE]],TRACK_TYPES[VEHIDCODE],0))</f>
        <v>1</v>
      </c>
      <c r="K983" t="b">
        <f>ISNUMBER(_xlfn.XMATCH(CONTROL[[#This Row],[VEHIDCODE]],PROPERTIES[VEHIDCODE],0))</f>
        <v>1</v>
      </c>
      <c r="L983" t="b">
        <f>ISNUMBER(_xlfn.XLOOKUP(CONTROL[[#This Row],[VEHIDCODE]],roster!A:A,roster!D:D))</f>
        <v>1</v>
      </c>
      <c r="M983" t="b">
        <f>ISNUMBER(_xlfn.XMATCH(CONTROL[[#This Row],[VEHIDCODE]],GRAPHICS_PROPERTIES[VEHIDCODE],0))</f>
        <v>1</v>
      </c>
      <c r="N983" s="21" t="str">
        <f>"item_"&amp;CONTROL[[#This Row],[VEHIDCODE]]</f>
        <v>item_electric_Kolomna_VL19</v>
      </c>
      <c r="O983" s="21" t="str">
        <f>"str_"&amp;CONTROL[[#This Row],[VEHIDCODE]]</f>
        <v>str_electric_Kolomna_VL19</v>
      </c>
      <c r="P983" s="7" t="b">
        <f>_xlfn.XLOOKUP(CONTROL[[#This Row],[VEHIDCODE]],PROPERTIES[VEHIDCODE],PROPERTIES[IS_CONCEPT])="IS_CONCEPT"</f>
        <v>0</v>
      </c>
      <c r="Q983" s="7" t="b">
        <f>_xlfn.XLOOKUP(CONTROL[[#This Row],[VEHIDCODE]],PROPERTIES[VEHIDCODE],PROPERTIES[EXCLUDE])</f>
        <v>0</v>
      </c>
      <c r="R983" t="str" cm="1">
        <f t="array" ref="R983">_xlfn.XLOOKUP(CONTROL[[#This Row],[VEHIDCODE]],GRAPHICS_PROPERTIES[VEHIDCODE],GRAPHICS_PROPERTIES[TEMPLATE_ID]&amp;GRAPHICS_PROPERTIES[TEMPLATE_AMENDMENT_CODE])</f>
        <v>TPL_01A</v>
      </c>
    </row>
    <row r="984" spans="1:18" x14ac:dyDescent="0.35">
      <c r="A984" s="2" t="s">
        <v>3412</v>
      </c>
      <c r="B984" s="21" t="str">
        <f>_xlfn.TEXTAFTER(CONTROL[[#This Row],[VEHIDCODE]],"_")</f>
        <v>AEG_Krupp_E18</v>
      </c>
      <c r="C984" t="str" cm="1">
        <f t="array" ref="C9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4" t="str" cm="1">
        <f t="array" ref="D9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6155</v>
      </c>
      <c r="F984" s="32" t="s">
        <v>2537</v>
      </c>
      <c r="G984" t="s">
        <v>1942</v>
      </c>
      <c r="H984" s="2" t="b">
        <f>AND(CONTROL[[#This Row],[IS_WAGON_OR_COACH]]=TRUE,OR(RIGHT(CONTROL[[#This Row],[VEHIDCODE]],7)="Powered",RIGHT(CONTROL[[#This Row],[VEHIDCODE]],9)="Unpowered"))</f>
        <v>0</v>
      </c>
      <c r="I9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4" t="b">
        <f>ISNUMBER(_xlfn.XMATCH(CONTROL[[#This Row],[VEHIDCODE]],TRACK_TYPES[VEHIDCODE],0))</f>
        <v>1</v>
      </c>
      <c r="K984" t="b">
        <f>ISNUMBER(_xlfn.XMATCH(CONTROL[[#This Row],[VEHIDCODE]],PROPERTIES[VEHIDCODE],0))</f>
        <v>1</v>
      </c>
      <c r="L984" t="b">
        <f>ISNUMBER(_xlfn.XLOOKUP(CONTROL[[#This Row],[VEHIDCODE]],roster!A:A,roster!D:D))</f>
        <v>1</v>
      </c>
      <c r="M984" t="b">
        <f>ISNUMBER(_xlfn.XMATCH(CONTROL[[#This Row],[VEHIDCODE]],GRAPHICS_PROPERTIES[VEHIDCODE],0))</f>
        <v>1</v>
      </c>
      <c r="N984" s="21" t="str">
        <f>"item_"&amp;CONTROL[[#This Row],[VEHIDCODE]]</f>
        <v>item_electric_AEG_Krupp_E18</v>
      </c>
      <c r="O984" s="21" t="str">
        <f>"str_"&amp;CONTROL[[#This Row],[VEHIDCODE]]</f>
        <v>str_electric_AEG_Krupp_E18</v>
      </c>
      <c r="P984" s="7" t="b">
        <f>_xlfn.XLOOKUP(CONTROL[[#This Row],[VEHIDCODE]],PROPERTIES[VEHIDCODE],PROPERTIES[IS_CONCEPT])="IS_CONCEPT"</f>
        <v>0</v>
      </c>
      <c r="Q984" s="7" t="b">
        <f>_xlfn.XLOOKUP(CONTROL[[#This Row],[VEHIDCODE]],PROPERTIES[VEHIDCODE],PROPERTIES[EXCLUDE])</f>
        <v>0</v>
      </c>
      <c r="R984" t="str" cm="1">
        <f t="array" ref="R984">_xlfn.XLOOKUP(CONTROL[[#This Row],[VEHIDCODE]],GRAPHICS_PROPERTIES[VEHIDCODE],GRAPHICS_PROPERTIES[TEMPLATE_ID]&amp;GRAPHICS_PROPERTIES[TEMPLATE_AMENDMENT_CODE])</f>
        <v>TPL_01A</v>
      </c>
    </row>
    <row r="985" spans="1:18" x14ac:dyDescent="0.35">
      <c r="A985" t="s">
        <v>3413</v>
      </c>
      <c r="B985" s="21" t="str">
        <f>_xlfn.TEXTAFTER(CONTROL[[#This Row],[VEHIDCODE]],"_")</f>
        <v>Hitachi_Alstom_Zefiro_Class_895_HS2</v>
      </c>
      <c r="C985" t="str" cm="1">
        <f t="array" ref="C9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85" t="str" cm="1">
        <f t="array" ref="D9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8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8094</v>
      </c>
      <c r="F985" s="32" t="s">
        <v>2538</v>
      </c>
      <c r="G985" t="s">
        <v>1943</v>
      </c>
      <c r="H985" s="2" t="b">
        <f>AND(CONTROL[[#This Row],[IS_WAGON_OR_COACH]]=TRUE,OR(RIGHT(CONTROL[[#This Row],[VEHIDCODE]],7)="Powered",RIGHT(CONTROL[[#This Row],[VEHIDCODE]],9)="Unpowered"))</f>
        <v>0</v>
      </c>
      <c r="I9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5" t="b">
        <f>ISNUMBER(_xlfn.XMATCH(CONTROL[[#This Row],[VEHIDCODE]],TRACK_TYPES[VEHIDCODE],0))</f>
        <v>1</v>
      </c>
      <c r="K985" t="b">
        <f>ISNUMBER(_xlfn.XMATCH(CONTROL[[#This Row],[VEHIDCODE]],PROPERTIES[VEHIDCODE],0))</f>
        <v>1</v>
      </c>
      <c r="L985" t="b">
        <f>ISNUMBER(_xlfn.XLOOKUP(CONTROL[[#This Row],[VEHIDCODE]],roster!A:A,roster!D:D))</f>
        <v>1</v>
      </c>
      <c r="M985" t="b">
        <f>ISNUMBER(_xlfn.XMATCH(CONTROL[[#This Row],[VEHIDCODE]],GRAPHICS_PROPERTIES[VEHIDCODE],0))</f>
        <v>1</v>
      </c>
      <c r="N985" s="21" t="str">
        <f>"item_"&amp;CONTROL[[#This Row],[VEHIDCODE]]</f>
        <v>item_emu_Hitachi_Alstom_Zefiro_Class_895_HS2</v>
      </c>
      <c r="O985" s="21" t="str">
        <f>"str_"&amp;CONTROL[[#This Row],[VEHIDCODE]]</f>
        <v>str_emu_Hitachi_Alstom_Zefiro_Class_895_HS2</v>
      </c>
      <c r="P985" s="7" t="b">
        <f>_xlfn.XLOOKUP(CONTROL[[#This Row],[VEHIDCODE]],PROPERTIES[VEHIDCODE],PROPERTIES[IS_CONCEPT])="IS_CONCEPT"</f>
        <v>0</v>
      </c>
      <c r="Q985" s="7" t="b">
        <f>_xlfn.XLOOKUP(CONTROL[[#This Row],[VEHIDCODE]],PROPERTIES[VEHIDCODE],PROPERTIES[EXCLUDE])</f>
        <v>0</v>
      </c>
      <c r="R985" t="str" cm="1">
        <f t="array" ref="R985">_xlfn.XLOOKUP(CONTROL[[#This Row],[VEHIDCODE]],GRAPHICS_PROPERTIES[VEHIDCODE],GRAPHICS_PROPERTIES[TEMPLATE_ID]&amp;GRAPHICS_PROPERTIES[TEMPLATE_AMENDMENT_CODE])</f>
        <v>TPL_02D</v>
      </c>
    </row>
    <row r="986" spans="1:18" x14ac:dyDescent="0.35">
      <c r="A986" t="s">
        <v>3414</v>
      </c>
      <c r="B986" s="21" t="str">
        <f>_xlfn.TEXTAFTER(CONTROL[[#This Row],[VEHIDCODE]],"_")</f>
        <v>EMD_JT22CW</v>
      </c>
      <c r="C986" t="str" cm="1">
        <f t="array" ref="C9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86" t="str" cm="1">
        <f t="array" ref="D9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8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5191</v>
      </c>
      <c r="F986" s="32" t="s">
        <v>1968</v>
      </c>
      <c r="G986" t="s">
        <v>1944</v>
      </c>
      <c r="H986" s="2" t="b">
        <f>AND(CONTROL[[#This Row],[IS_WAGON_OR_COACH]]=TRUE,OR(RIGHT(CONTROL[[#This Row],[VEHIDCODE]],7)="Powered",RIGHT(CONTROL[[#This Row],[VEHIDCODE]],9)="Unpowered"))</f>
        <v>0</v>
      </c>
      <c r="I9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6" t="b">
        <f>ISNUMBER(_xlfn.XMATCH(CONTROL[[#This Row],[VEHIDCODE]],TRACK_TYPES[VEHIDCODE],0))</f>
        <v>1</v>
      </c>
      <c r="K986" t="b">
        <f>ISNUMBER(_xlfn.XMATCH(CONTROL[[#This Row],[VEHIDCODE]],PROPERTIES[VEHIDCODE],0))</f>
        <v>1</v>
      </c>
      <c r="L986" t="b">
        <f>ISNUMBER(_xlfn.XLOOKUP(CONTROL[[#This Row],[VEHIDCODE]],roster!A:A,roster!D:D))</f>
        <v>1</v>
      </c>
      <c r="M986" t="b">
        <f>ISNUMBER(_xlfn.XMATCH(CONTROL[[#This Row],[VEHIDCODE]],GRAPHICS_PROPERTIES[VEHIDCODE],0))</f>
        <v>1</v>
      </c>
      <c r="N986" s="21" t="str">
        <f>"item_"&amp;CONTROL[[#This Row],[VEHIDCODE]]</f>
        <v>item_diesel_EMD_JT22CW</v>
      </c>
      <c r="O986" s="21" t="str">
        <f>"str_"&amp;CONTROL[[#This Row],[VEHIDCODE]]</f>
        <v>str_diesel_EMD_JT22CW</v>
      </c>
      <c r="P986" s="7" t="b">
        <f>_xlfn.XLOOKUP(CONTROL[[#This Row],[VEHIDCODE]],PROPERTIES[VEHIDCODE],PROPERTIES[IS_CONCEPT])="IS_CONCEPT"</f>
        <v>0</v>
      </c>
      <c r="Q986" s="7" t="b">
        <f>_xlfn.XLOOKUP(CONTROL[[#This Row],[VEHIDCODE]],PROPERTIES[VEHIDCODE],PROPERTIES[EXCLUDE])</f>
        <v>0</v>
      </c>
      <c r="R986" t="str" cm="1">
        <f t="array" ref="R986">_xlfn.XLOOKUP(CONTROL[[#This Row],[VEHIDCODE]],GRAPHICS_PROPERTIES[VEHIDCODE],GRAPHICS_PROPERTIES[TEMPLATE_ID]&amp;GRAPHICS_PROPERTIES[TEMPLATE_AMENDMENT_CODE])</f>
        <v>TPL_01A</v>
      </c>
    </row>
    <row r="987" spans="1:18" x14ac:dyDescent="0.35">
      <c r="A987" t="s">
        <v>3415</v>
      </c>
      <c r="B987" s="21" t="str">
        <f>_xlfn.TEXTAFTER(CONTROL[[#This Row],[VEHIDCODE]],"_")</f>
        <v>RVR_DR1A</v>
      </c>
      <c r="C987" t="str" cm="1">
        <f t="array" ref="C9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87" t="str" cm="1">
        <f t="array" ref="D9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8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7063</v>
      </c>
      <c r="F987" s="32" t="s">
        <v>2564</v>
      </c>
      <c r="G987" t="s">
        <v>1952</v>
      </c>
      <c r="H987" s="2" t="b">
        <f>AND(CONTROL[[#This Row],[IS_WAGON_OR_COACH]]=TRUE,OR(RIGHT(CONTROL[[#This Row],[VEHIDCODE]],7)="Powered",RIGHT(CONTROL[[#This Row],[VEHIDCODE]],9)="Unpowered"))</f>
        <v>0</v>
      </c>
      <c r="I9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7" t="b">
        <f>ISNUMBER(_xlfn.XMATCH(CONTROL[[#This Row],[VEHIDCODE]],TRACK_TYPES[VEHIDCODE],0))</f>
        <v>1</v>
      </c>
      <c r="K987" t="b">
        <f>ISNUMBER(_xlfn.XMATCH(CONTROL[[#This Row],[VEHIDCODE]],PROPERTIES[VEHIDCODE],0))</f>
        <v>1</v>
      </c>
      <c r="L987" t="b">
        <f>ISNUMBER(_xlfn.XLOOKUP(CONTROL[[#This Row],[VEHIDCODE]],roster!A:A,roster!D:D))</f>
        <v>1</v>
      </c>
      <c r="M987" t="b">
        <f>ISNUMBER(_xlfn.XMATCH(CONTROL[[#This Row],[VEHIDCODE]],GRAPHICS_PROPERTIES[VEHIDCODE],0))</f>
        <v>1</v>
      </c>
      <c r="N987" s="21" t="str">
        <f>"item_"&amp;CONTROL[[#This Row],[VEHIDCODE]]</f>
        <v>item_dmu_RVR_DR1A</v>
      </c>
      <c r="O987" s="21" t="str">
        <f>"str_"&amp;CONTROL[[#This Row],[VEHIDCODE]]</f>
        <v>str_dmu_RVR_DR1A</v>
      </c>
      <c r="P987" s="7" t="b">
        <f>_xlfn.XLOOKUP(CONTROL[[#This Row],[VEHIDCODE]],PROPERTIES[VEHIDCODE],PROPERTIES[IS_CONCEPT])="IS_CONCEPT"</f>
        <v>0</v>
      </c>
      <c r="Q987" s="7" t="b">
        <f>_xlfn.XLOOKUP(CONTROL[[#This Row],[VEHIDCODE]],PROPERTIES[VEHIDCODE],PROPERTIES[EXCLUDE])</f>
        <v>0</v>
      </c>
      <c r="R987" t="str" cm="1">
        <f t="array" ref="R987">_xlfn.XLOOKUP(CONTROL[[#This Row],[VEHIDCODE]],GRAPHICS_PROPERTIES[VEHIDCODE],GRAPHICS_PROPERTIES[TEMPLATE_ID]&amp;GRAPHICS_PROPERTIES[TEMPLATE_AMENDMENT_CODE])</f>
        <v>TPL_02D</v>
      </c>
    </row>
    <row r="988" spans="1:18" x14ac:dyDescent="0.35">
      <c r="A988" t="s">
        <v>3416</v>
      </c>
      <c r="B988" s="21" t="str">
        <f>_xlfn.TEXTAFTER(CONTROL[[#This Row],[VEHIDCODE]],"_")</f>
        <v>ACME_Corp__HS001</v>
      </c>
      <c r="C988" t="str" cm="1">
        <f t="array" ref="C9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8" t="str" cm="1">
        <f t="array" ref="D9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6156</v>
      </c>
      <c r="F988" s="32" t="s">
        <v>2582</v>
      </c>
      <c r="G988" t="s">
        <v>523</v>
      </c>
      <c r="H988" s="2" t="b">
        <f>AND(CONTROL[[#This Row],[IS_WAGON_OR_COACH]]=TRUE,OR(RIGHT(CONTROL[[#This Row],[VEHIDCODE]],7)="Powered",RIGHT(CONTROL[[#This Row],[VEHIDCODE]],9)="Unpowered"))</f>
        <v>0</v>
      </c>
      <c r="I9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8" t="b">
        <f>ISNUMBER(_xlfn.XMATCH(CONTROL[[#This Row],[VEHIDCODE]],TRACK_TYPES[VEHIDCODE],0))</f>
        <v>1</v>
      </c>
      <c r="K988" t="b">
        <f>ISNUMBER(_xlfn.XMATCH(CONTROL[[#This Row],[VEHIDCODE]],PROPERTIES[VEHIDCODE],0))</f>
        <v>1</v>
      </c>
      <c r="L988" t="b">
        <f>ISNUMBER(_xlfn.XLOOKUP(CONTROL[[#This Row],[VEHIDCODE]],roster!A:A,roster!D:D))</f>
        <v>1</v>
      </c>
      <c r="M988" t="b">
        <f>ISNUMBER(_xlfn.XMATCH(CONTROL[[#This Row],[VEHIDCODE]],GRAPHICS_PROPERTIES[VEHIDCODE],0))</f>
        <v>1</v>
      </c>
      <c r="N988" s="21" t="str">
        <f>"item_"&amp;CONTROL[[#This Row],[VEHIDCODE]]</f>
        <v>item_electric_ACME_Corp__HS001</v>
      </c>
      <c r="O988" s="21" t="str">
        <f>"str_"&amp;CONTROL[[#This Row],[VEHIDCODE]]</f>
        <v>str_electric_ACME_Corp__HS001</v>
      </c>
      <c r="P988" s="7" t="b">
        <f>_xlfn.XLOOKUP(CONTROL[[#This Row],[VEHIDCODE]],PROPERTIES[VEHIDCODE],PROPERTIES[IS_CONCEPT])="IS_CONCEPT"</f>
        <v>1</v>
      </c>
      <c r="Q988" s="7" t="b">
        <f>_xlfn.XLOOKUP(CONTROL[[#This Row],[VEHIDCODE]],PROPERTIES[VEHIDCODE],PROPERTIES[EXCLUDE])</f>
        <v>0</v>
      </c>
      <c r="R988" t="str" cm="1">
        <f t="array" ref="R988">_xlfn.XLOOKUP(CONTROL[[#This Row],[VEHIDCODE]],GRAPHICS_PROPERTIES[VEHIDCODE],GRAPHICS_PROPERTIES[TEMPLATE_ID]&amp;GRAPHICS_PROPERTIES[TEMPLATE_AMENDMENT_CODE])</f>
        <v>TPL_01A</v>
      </c>
    </row>
    <row r="989" spans="1:18" x14ac:dyDescent="0.35">
      <c r="A989" t="s">
        <v>3417</v>
      </c>
      <c r="B989" s="21" t="str">
        <f>_xlfn.TEXTAFTER(CONTROL[[#This Row],[VEHIDCODE]],"_")</f>
        <v>ACME_Corp__HS002</v>
      </c>
      <c r="C989" t="str" cm="1">
        <f t="array" ref="C9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9" t="str" cm="1">
        <f t="array" ref="D9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6157</v>
      </c>
      <c r="F989" s="32" t="s">
        <v>2583</v>
      </c>
      <c r="G989" t="s">
        <v>523</v>
      </c>
      <c r="H989" s="2" t="b">
        <f>AND(CONTROL[[#This Row],[IS_WAGON_OR_COACH]]=TRUE,OR(RIGHT(CONTROL[[#This Row],[VEHIDCODE]],7)="Powered",RIGHT(CONTROL[[#This Row],[VEHIDCODE]],9)="Unpowered"))</f>
        <v>0</v>
      </c>
      <c r="I9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9" t="b">
        <f>ISNUMBER(_xlfn.XMATCH(CONTROL[[#This Row],[VEHIDCODE]],TRACK_TYPES[VEHIDCODE],0))</f>
        <v>1</v>
      </c>
      <c r="K989" t="b">
        <f>ISNUMBER(_xlfn.XMATCH(CONTROL[[#This Row],[VEHIDCODE]],PROPERTIES[VEHIDCODE],0))</f>
        <v>1</v>
      </c>
      <c r="L989" t="b">
        <f>ISNUMBER(_xlfn.XLOOKUP(CONTROL[[#This Row],[VEHIDCODE]],roster!A:A,roster!D:D))</f>
        <v>1</v>
      </c>
      <c r="M989" t="b">
        <f>ISNUMBER(_xlfn.XMATCH(CONTROL[[#This Row],[VEHIDCODE]],GRAPHICS_PROPERTIES[VEHIDCODE],0))</f>
        <v>1</v>
      </c>
      <c r="N989" s="21" t="str">
        <f>"item_"&amp;CONTROL[[#This Row],[VEHIDCODE]]</f>
        <v>item_electric_ACME_Corp__HS002</v>
      </c>
      <c r="O989" s="21" t="str">
        <f>"str_"&amp;CONTROL[[#This Row],[VEHIDCODE]]</f>
        <v>str_electric_ACME_Corp__HS002</v>
      </c>
      <c r="P989" s="7" t="b">
        <f>_xlfn.XLOOKUP(CONTROL[[#This Row],[VEHIDCODE]],PROPERTIES[VEHIDCODE],PROPERTIES[IS_CONCEPT])="IS_CONCEPT"</f>
        <v>1</v>
      </c>
      <c r="Q989" s="7" t="b">
        <f>_xlfn.XLOOKUP(CONTROL[[#This Row],[VEHIDCODE]],PROPERTIES[VEHIDCODE],PROPERTIES[EXCLUDE])</f>
        <v>0</v>
      </c>
      <c r="R989" t="str" cm="1">
        <f t="array" ref="R989">_xlfn.XLOOKUP(CONTROL[[#This Row],[VEHIDCODE]],GRAPHICS_PROPERTIES[VEHIDCODE],GRAPHICS_PROPERTIES[TEMPLATE_ID]&amp;GRAPHICS_PROPERTIES[TEMPLATE_AMENDMENT_CODE])</f>
        <v>TPL_03D</v>
      </c>
    </row>
    <row r="990" spans="1:18" x14ac:dyDescent="0.35">
      <c r="A990" t="s">
        <v>3418</v>
      </c>
      <c r="B990" s="21" t="str">
        <f>_xlfn.TEXTAFTER(CONTROL[[#This Row],[VEHIDCODE]],"_")</f>
        <v>ACME_Corp__V200D_DMU</v>
      </c>
      <c r="C990" t="str" cm="1">
        <f t="array" ref="C9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90" t="str" cm="1">
        <f t="array" ref="D9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9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7064</v>
      </c>
      <c r="F990" s="32" t="s">
        <v>2584</v>
      </c>
      <c r="G990" t="s">
        <v>523</v>
      </c>
      <c r="H990" s="2" t="b">
        <f>AND(CONTROL[[#This Row],[IS_WAGON_OR_COACH]]=TRUE,OR(RIGHT(CONTROL[[#This Row],[VEHIDCODE]],7)="Powered",RIGHT(CONTROL[[#This Row],[VEHIDCODE]],9)="Unpowered"))</f>
        <v>0</v>
      </c>
      <c r="I9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0" t="b">
        <f>ISNUMBER(_xlfn.XMATCH(CONTROL[[#This Row],[VEHIDCODE]],TRACK_TYPES[VEHIDCODE],0))</f>
        <v>1</v>
      </c>
      <c r="K990" t="b">
        <f>ISNUMBER(_xlfn.XMATCH(CONTROL[[#This Row],[VEHIDCODE]],PROPERTIES[VEHIDCODE],0))</f>
        <v>1</v>
      </c>
      <c r="L990" t="b">
        <f>ISNUMBER(_xlfn.XLOOKUP(CONTROL[[#This Row],[VEHIDCODE]],roster!A:A,roster!D:D))</f>
        <v>1</v>
      </c>
      <c r="M990" t="b">
        <f>ISNUMBER(_xlfn.XMATCH(CONTROL[[#This Row],[VEHIDCODE]],GRAPHICS_PROPERTIES[VEHIDCODE],0))</f>
        <v>1</v>
      </c>
      <c r="N990" s="21" t="str">
        <f>"item_"&amp;CONTROL[[#This Row],[VEHIDCODE]]</f>
        <v>item_dmu_ACME_Corp__V200D_DMU</v>
      </c>
      <c r="O990" s="21" t="str">
        <f>"str_"&amp;CONTROL[[#This Row],[VEHIDCODE]]</f>
        <v>str_dmu_ACME_Corp__V200D_DMU</v>
      </c>
      <c r="P990" s="7" t="b">
        <f>_xlfn.XLOOKUP(CONTROL[[#This Row],[VEHIDCODE]],PROPERTIES[VEHIDCODE],PROPERTIES[IS_CONCEPT])="IS_CONCEPT"</f>
        <v>1</v>
      </c>
      <c r="Q990" s="7" t="b">
        <f>_xlfn.XLOOKUP(CONTROL[[#This Row],[VEHIDCODE]],PROPERTIES[VEHIDCODE],PROPERTIES[EXCLUDE])</f>
        <v>0</v>
      </c>
      <c r="R990" t="str" cm="1">
        <f t="array" ref="R990">_xlfn.XLOOKUP(CONTROL[[#This Row],[VEHIDCODE]],GRAPHICS_PROPERTIES[VEHIDCODE],GRAPHICS_PROPERTIES[TEMPLATE_ID]&amp;GRAPHICS_PROPERTIES[TEMPLATE_AMENDMENT_CODE])</f>
        <v>TPL_02G</v>
      </c>
    </row>
    <row r="991" spans="1:18" x14ac:dyDescent="0.35">
      <c r="A991" t="s">
        <v>3419</v>
      </c>
      <c r="B991" s="21" t="str">
        <f>_xlfn.TEXTAFTER(CONTROL[[#This Row],[VEHIDCODE]],"_")</f>
        <v>ACME_Corp__V200E_EMU</v>
      </c>
      <c r="C991" t="str" cm="1">
        <f t="array" ref="C9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91" t="str" cm="1">
        <f t="array" ref="D9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9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8095</v>
      </c>
      <c r="F991" s="32" t="s">
        <v>2585</v>
      </c>
      <c r="G991" t="s">
        <v>523</v>
      </c>
      <c r="H991" s="2" t="b">
        <f>AND(CONTROL[[#This Row],[IS_WAGON_OR_COACH]]=TRUE,OR(RIGHT(CONTROL[[#This Row],[VEHIDCODE]],7)="Powered",RIGHT(CONTROL[[#This Row],[VEHIDCODE]],9)="Unpowered"))</f>
        <v>0</v>
      </c>
      <c r="I9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1" t="b">
        <f>ISNUMBER(_xlfn.XMATCH(CONTROL[[#This Row],[VEHIDCODE]],TRACK_TYPES[VEHIDCODE],0))</f>
        <v>1</v>
      </c>
      <c r="K991" t="b">
        <f>ISNUMBER(_xlfn.XMATCH(CONTROL[[#This Row],[VEHIDCODE]],PROPERTIES[VEHIDCODE],0))</f>
        <v>1</v>
      </c>
      <c r="L991" t="b">
        <f>ISNUMBER(_xlfn.XLOOKUP(CONTROL[[#This Row],[VEHIDCODE]],roster!A:A,roster!D:D))</f>
        <v>1</v>
      </c>
      <c r="M991" t="b">
        <f>ISNUMBER(_xlfn.XMATCH(CONTROL[[#This Row],[VEHIDCODE]],GRAPHICS_PROPERTIES[VEHIDCODE],0))</f>
        <v>1</v>
      </c>
      <c r="N991" s="21" t="str">
        <f>"item_"&amp;CONTROL[[#This Row],[VEHIDCODE]]</f>
        <v>item_emu_ACME_Corp__V200E_EMU</v>
      </c>
      <c r="O991" s="21" t="str">
        <f>"str_"&amp;CONTROL[[#This Row],[VEHIDCODE]]</f>
        <v>str_emu_ACME_Corp__V200E_EMU</v>
      </c>
      <c r="P991" s="7" t="b">
        <f>_xlfn.XLOOKUP(CONTROL[[#This Row],[VEHIDCODE]],PROPERTIES[VEHIDCODE],PROPERTIES[IS_CONCEPT])="IS_CONCEPT"</f>
        <v>1</v>
      </c>
      <c r="Q991" s="7" t="b">
        <f>_xlfn.XLOOKUP(CONTROL[[#This Row],[VEHIDCODE]],PROPERTIES[VEHIDCODE],PROPERTIES[EXCLUDE])</f>
        <v>0</v>
      </c>
      <c r="R991" t="str" cm="1">
        <f t="array" ref="R991">_xlfn.XLOOKUP(CONTROL[[#This Row],[VEHIDCODE]],GRAPHICS_PROPERTIES[VEHIDCODE],GRAPHICS_PROPERTIES[TEMPLATE_ID]&amp;GRAPHICS_PROPERTIES[TEMPLATE_AMENDMENT_CODE])</f>
        <v>TPL_02G</v>
      </c>
    </row>
    <row r="992" spans="1:18" x14ac:dyDescent="0.35">
      <c r="A992" t="s">
        <v>3420</v>
      </c>
      <c r="B992" s="21" t="str">
        <f>_xlfn.TEXTAFTER(CONTROL[[#This Row],[VEHIDCODE]],"_")</f>
        <v>ACME_Corp__DD_CargoEMU</v>
      </c>
      <c r="C992" t="str" cm="1">
        <f t="array" ref="C9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src\CargoEMU</v>
      </c>
      <c r="D992" t="str" cm="1">
        <f t="array" ref="D9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ID_RANGE_CARGOEMU</v>
      </c>
      <c r="E99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14501</v>
      </c>
      <c r="F992" s="32" t="s">
        <v>2587</v>
      </c>
      <c r="G992" t="s">
        <v>523</v>
      </c>
      <c r="H992" s="2" t="b">
        <f>AND(CONTROL[[#This Row],[IS_WAGON_OR_COACH]]=TRUE,OR(RIGHT(CONTROL[[#This Row],[VEHIDCODE]],7)="Powered",RIGHT(CONTROL[[#This Row],[VEHIDCODE]],9)="Unpowered"))</f>
        <v>0</v>
      </c>
      <c r="I9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2" t="b">
        <f>ISNUMBER(_xlfn.XMATCH(CONTROL[[#This Row],[VEHIDCODE]],TRACK_TYPES[VEHIDCODE],0))</f>
        <v>1</v>
      </c>
      <c r="K992" t="b">
        <f>ISNUMBER(_xlfn.XMATCH(CONTROL[[#This Row],[VEHIDCODE]],PROPERTIES[VEHIDCODE],0))</f>
        <v>1</v>
      </c>
      <c r="L992" t="b">
        <f>ISNUMBER(_xlfn.XLOOKUP(CONTROL[[#This Row],[VEHIDCODE]],roster!A:A,roster!D:D))</f>
        <v>1</v>
      </c>
      <c r="M992" t="b">
        <f>ISNUMBER(_xlfn.XMATCH(CONTROL[[#This Row],[VEHIDCODE]],GRAPHICS_PROPERTIES[VEHIDCODE],0))</f>
        <v>1</v>
      </c>
      <c r="N992" s="21" t="str">
        <f>"item_"&amp;CONTROL[[#This Row],[VEHIDCODE]]</f>
        <v>item_cargoemu_ACME_Corp__DD_CargoEMU</v>
      </c>
      <c r="O992" s="21" t="str">
        <f>"str_"&amp;CONTROL[[#This Row],[VEHIDCODE]]</f>
        <v>str_cargoemu_ACME_Corp__DD_CargoEMU</v>
      </c>
      <c r="P992" s="7" t="b">
        <f>_xlfn.XLOOKUP(CONTROL[[#This Row],[VEHIDCODE]],PROPERTIES[VEHIDCODE],PROPERTIES[IS_CONCEPT])="IS_CONCEPT"</f>
        <v>1</v>
      </c>
      <c r="Q992" s="7" t="b">
        <f>_xlfn.XLOOKUP(CONTROL[[#This Row],[VEHIDCODE]],PROPERTIES[VEHIDCODE],PROPERTIES[EXCLUDE])</f>
        <v>0</v>
      </c>
      <c r="R992" t="str" cm="1">
        <f t="array" ref="R992">_xlfn.XLOOKUP(CONTROL[[#This Row],[VEHIDCODE]],GRAPHICS_PROPERTIES[VEHIDCODE],GRAPHICS_PROPERTIES[TEMPLATE_ID]&amp;GRAPHICS_PROPERTIES[TEMPLATE_AMENDMENT_CODE])</f>
        <v>TPL_42C</v>
      </c>
    </row>
    <row r="993" spans="1:18" x14ac:dyDescent="0.35">
      <c r="A993" t="s">
        <v>3421</v>
      </c>
      <c r="B993" s="21" t="str">
        <f>_xlfn.TEXTAFTER(CONTROL[[#This Row],[VEHIDCODE]],"_")</f>
        <v>VEB_LKM_V180</v>
      </c>
      <c r="C993" t="str" cm="1">
        <f t="array" ref="C9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93" t="str" cm="1">
        <f t="array" ref="D9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9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5192</v>
      </c>
      <c r="F993" s="32" t="s">
        <v>3611</v>
      </c>
      <c r="G993" t="s">
        <v>2588</v>
      </c>
      <c r="H993" s="2" t="b">
        <f>AND(CONTROL[[#This Row],[IS_WAGON_OR_COACH]]=TRUE,OR(RIGHT(CONTROL[[#This Row],[VEHIDCODE]],7)="Powered",RIGHT(CONTROL[[#This Row],[VEHIDCODE]],9)="Unpowered"))</f>
        <v>0</v>
      </c>
      <c r="I9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3" t="b">
        <f>ISNUMBER(_xlfn.XMATCH(CONTROL[[#This Row],[VEHIDCODE]],TRACK_TYPES[VEHIDCODE],0))</f>
        <v>1</v>
      </c>
      <c r="K993" t="b">
        <f>ISNUMBER(_xlfn.XMATCH(CONTROL[[#This Row],[VEHIDCODE]],PROPERTIES[VEHIDCODE],0))</f>
        <v>1</v>
      </c>
      <c r="L993" t="b">
        <f>ISNUMBER(_xlfn.XLOOKUP(CONTROL[[#This Row],[VEHIDCODE]],roster!A:A,roster!D:D))</f>
        <v>1</v>
      </c>
      <c r="M993" t="b">
        <f>ISNUMBER(_xlfn.XMATCH(CONTROL[[#This Row],[VEHIDCODE]],GRAPHICS_PROPERTIES[VEHIDCODE],0))</f>
        <v>1</v>
      </c>
      <c r="N993" s="21" t="str">
        <f>"item_"&amp;CONTROL[[#This Row],[VEHIDCODE]]</f>
        <v>item_diesel_VEB_LKM_V180</v>
      </c>
      <c r="O993" s="21" t="str">
        <f>"str_"&amp;CONTROL[[#This Row],[VEHIDCODE]]</f>
        <v>str_diesel_VEB_LKM_V180</v>
      </c>
      <c r="P993" s="7" t="b">
        <f>_xlfn.XLOOKUP(CONTROL[[#This Row],[VEHIDCODE]],PROPERTIES[VEHIDCODE],PROPERTIES[IS_CONCEPT])="IS_CONCEPT"</f>
        <v>0</v>
      </c>
      <c r="Q993" s="7" t="b">
        <f>_xlfn.XLOOKUP(CONTROL[[#This Row],[VEHIDCODE]],PROPERTIES[VEHIDCODE],PROPERTIES[EXCLUDE])</f>
        <v>0</v>
      </c>
      <c r="R993" t="str" cm="1">
        <f t="array" ref="R993">_xlfn.XLOOKUP(CONTROL[[#This Row],[VEHIDCODE]],GRAPHICS_PROPERTIES[VEHIDCODE],GRAPHICS_PROPERTIES[TEMPLATE_ID]&amp;GRAPHICS_PROPERTIES[TEMPLATE_AMENDMENT_CODE])</f>
        <v>TPL_01A</v>
      </c>
    </row>
    <row r="994" spans="1:18" x14ac:dyDescent="0.35">
      <c r="A994" t="s">
        <v>3422</v>
      </c>
      <c r="B994" s="21" t="str">
        <f>_xlfn.TEXTAFTER(CONTROL[[#This Row],[VEHIDCODE]],"_")</f>
        <v>PESA_43WE_DART</v>
      </c>
      <c r="C994" t="str" cm="1">
        <f t="array" ref="C9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94" t="str" cm="1">
        <f t="array" ref="D9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9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8096</v>
      </c>
      <c r="F994" s="32" t="s">
        <v>2590</v>
      </c>
      <c r="G994" t="s">
        <v>2589</v>
      </c>
      <c r="H994" s="2" t="b">
        <f>AND(CONTROL[[#This Row],[IS_WAGON_OR_COACH]]=TRUE,OR(RIGHT(CONTROL[[#This Row],[VEHIDCODE]],7)="Powered",RIGHT(CONTROL[[#This Row],[VEHIDCODE]],9)="Unpowered"))</f>
        <v>0</v>
      </c>
      <c r="I9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4" t="b">
        <f>ISNUMBER(_xlfn.XMATCH(CONTROL[[#This Row],[VEHIDCODE]],TRACK_TYPES[VEHIDCODE],0))</f>
        <v>1</v>
      </c>
      <c r="K994" t="b">
        <f>ISNUMBER(_xlfn.XMATCH(CONTROL[[#This Row],[VEHIDCODE]],PROPERTIES[VEHIDCODE],0))</f>
        <v>1</v>
      </c>
      <c r="L994" t="b">
        <f>ISNUMBER(_xlfn.XLOOKUP(CONTROL[[#This Row],[VEHIDCODE]],roster!A:A,roster!D:D))</f>
        <v>1</v>
      </c>
      <c r="M994" t="b">
        <f>ISNUMBER(_xlfn.XMATCH(CONTROL[[#This Row],[VEHIDCODE]],GRAPHICS_PROPERTIES[VEHIDCODE],0))</f>
        <v>1</v>
      </c>
      <c r="N994" s="21" t="str">
        <f>"item_"&amp;CONTROL[[#This Row],[VEHIDCODE]]</f>
        <v>item_emu_PESA_43WE_DART</v>
      </c>
      <c r="O994" s="21" t="str">
        <f>"str_"&amp;CONTROL[[#This Row],[VEHIDCODE]]</f>
        <v>str_emu_PESA_43WE_DART</v>
      </c>
      <c r="P994" s="42" t="b">
        <f>_xlfn.XLOOKUP(CONTROL[[#This Row],[VEHIDCODE]],PROPERTIES[VEHIDCODE],PROPERTIES[IS_CONCEPT])="IS_CONCEPT"</f>
        <v>0</v>
      </c>
      <c r="Q994" s="7" t="b">
        <f>_xlfn.XLOOKUP(CONTROL[[#This Row],[VEHIDCODE]],PROPERTIES[VEHIDCODE],PROPERTIES[EXCLUDE])</f>
        <v>0</v>
      </c>
      <c r="R994" t="str" cm="1">
        <f t="array" ref="R994">_xlfn.XLOOKUP(CONTROL[[#This Row],[VEHIDCODE]],GRAPHICS_PROPERTIES[VEHIDCODE],GRAPHICS_PROPERTIES[TEMPLATE_ID]&amp;GRAPHICS_PROPERTIES[TEMPLATE_AMENDMENT_CODE])</f>
        <v>TPL_02E</v>
      </c>
    </row>
    <row r="995" spans="1:18" x14ac:dyDescent="0.35">
      <c r="A995" t="s">
        <v>3423</v>
      </c>
      <c r="B995" s="21" t="str">
        <f>_xlfn.TEXTAFTER(CONTROL[[#This Row],[VEHIDCODE]],"_")</f>
        <v>LEW_EL2</v>
      </c>
      <c r="C995" t="str" cm="1">
        <f t="array" ref="C9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95" t="str" cm="1">
        <f t="array" ref="D9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9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6158</v>
      </c>
      <c r="F995" s="32" t="s">
        <v>2591</v>
      </c>
      <c r="G995" t="s">
        <v>2592</v>
      </c>
      <c r="H995" s="2" t="b">
        <f>AND(CONTROL[[#This Row],[IS_WAGON_OR_COACH]]=TRUE,OR(RIGHT(CONTROL[[#This Row],[VEHIDCODE]],7)="Powered",RIGHT(CONTROL[[#This Row],[VEHIDCODE]],9)="Unpowered"))</f>
        <v>0</v>
      </c>
      <c r="I9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5" t="b">
        <f>ISNUMBER(_xlfn.XMATCH(CONTROL[[#This Row],[VEHIDCODE]],TRACK_TYPES[VEHIDCODE],0))</f>
        <v>1</v>
      </c>
      <c r="K995" t="b">
        <f>ISNUMBER(_xlfn.XMATCH(CONTROL[[#This Row],[VEHIDCODE]],PROPERTIES[VEHIDCODE],0))</f>
        <v>1</v>
      </c>
      <c r="L995" t="b">
        <f>ISNUMBER(_xlfn.XLOOKUP(CONTROL[[#This Row],[VEHIDCODE]],roster!A:A,roster!D:D))</f>
        <v>1</v>
      </c>
      <c r="M995" t="b">
        <f>ISNUMBER(_xlfn.XMATCH(CONTROL[[#This Row],[VEHIDCODE]],GRAPHICS_PROPERTIES[VEHIDCODE],0))</f>
        <v>1</v>
      </c>
      <c r="N995" s="21" t="str">
        <f>"item_"&amp;CONTROL[[#This Row],[VEHIDCODE]]</f>
        <v>item_electric_LEW_EL2</v>
      </c>
      <c r="O995" s="21" t="str">
        <f>"str_"&amp;CONTROL[[#This Row],[VEHIDCODE]]</f>
        <v>str_electric_LEW_EL2</v>
      </c>
      <c r="P995" s="42" t="b">
        <f>_xlfn.XLOOKUP(CONTROL[[#This Row],[VEHIDCODE]],PROPERTIES[VEHIDCODE],PROPERTIES[IS_CONCEPT])="IS_CONCEPT"</f>
        <v>0</v>
      </c>
      <c r="Q995" s="7" t="b">
        <f>_xlfn.XLOOKUP(CONTROL[[#This Row],[VEHIDCODE]],PROPERTIES[VEHIDCODE],PROPERTIES[EXCLUDE])</f>
        <v>0</v>
      </c>
      <c r="R995" t="str" cm="1">
        <f t="array" ref="R995">_xlfn.XLOOKUP(CONTROL[[#This Row],[VEHIDCODE]],GRAPHICS_PROPERTIES[VEHIDCODE],GRAPHICS_PROPERTIES[TEMPLATE_ID]&amp;GRAPHICS_PROPERTIES[TEMPLATE_AMENDMENT_CODE])</f>
        <v>TPL_01A</v>
      </c>
    </row>
    <row r="996" spans="1:18" x14ac:dyDescent="0.35">
      <c r="A996" t="s">
        <v>3424</v>
      </c>
      <c r="B996" s="21" t="str">
        <f>_xlfn.TEXTAFTER(CONTROL[[#This Row],[VEHIDCODE]],"_")</f>
        <v>Pafawag_201E</v>
      </c>
      <c r="C996" t="str" cm="1">
        <f t="array" ref="C9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96" t="str" cm="1">
        <f t="array" ref="D9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9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6159</v>
      </c>
      <c r="F996" s="32" t="s">
        <v>2593</v>
      </c>
      <c r="G996" t="s">
        <v>2594</v>
      </c>
      <c r="H996" s="2" t="b">
        <f>AND(CONTROL[[#This Row],[IS_WAGON_OR_COACH]]=TRUE,OR(RIGHT(CONTROL[[#This Row],[VEHIDCODE]],7)="Powered",RIGHT(CONTROL[[#This Row],[VEHIDCODE]],9)="Unpowered"))</f>
        <v>0</v>
      </c>
      <c r="I9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6" t="b">
        <f>ISNUMBER(_xlfn.XMATCH(CONTROL[[#This Row],[VEHIDCODE]],TRACK_TYPES[VEHIDCODE],0))</f>
        <v>1</v>
      </c>
      <c r="K996" t="b">
        <f>ISNUMBER(_xlfn.XMATCH(CONTROL[[#This Row],[VEHIDCODE]],PROPERTIES[VEHIDCODE],0))</f>
        <v>1</v>
      </c>
      <c r="L996" t="b">
        <f>ISNUMBER(_xlfn.XLOOKUP(CONTROL[[#This Row],[VEHIDCODE]],roster!A:A,roster!D:D))</f>
        <v>1</v>
      </c>
      <c r="M996" t="b">
        <f>ISNUMBER(_xlfn.XMATCH(CONTROL[[#This Row],[VEHIDCODE]],GRAPHICS_PROPERTIES[VEHIDCODE],0))</f>
        <v>1</v>
      </c>
      <c r="N996" s="21" t="str">
        <f>"item_"&amp;CONTROL[[#This Row],[VEHIDCODE]]</f>
        <v>item_electric_Pafawag_201E</v>
      </c>
      <c r="O996" s="21" t="str">
        <f>"str_"&amp;CONTROL[[#This Row],[VEHIDCODE]]</f>
        <v>str_electric_Pafawag_201E</v>
      </c>
      <c r="P996" s="42" t="b">
        <f>_xlfn.XLOOKUP(CONTROL[[#This Row],[VEHIDCODE]],PROPERTIES[VEHIDCODE],PROPERTIES[IS_CONCEPT])="IS_CONCEPT"</f>
        <v>0</v>
      </c>
      <c r="Q996" s="7" t="b">
        <f>_xlfn.XLOOKUP(CONTROL[[#This Row],[VEHIDCODE]],PROPERTIES[VEHIDCODE],PROPERTIES[EXCLUDE])</f>
        <v>0</v>
      </c>
      <c r="R996" t="str" cm="1">
        <f t="array" ref="R996">_xlfn.XLOOKUP(CONTROL[[#This Row],[VEHIDCODE]],GRAPHICS_PROPERTIES[VEHIDCODE],GRAPHICS_PROPERTIES[TEMPLATE_ID]&amp;GRAPHICS_PROPERTIES[TEMPLATE_AMENDMENT_CODE])</f>
        <v>TPL_01A</v>
      </c>
    </row>
    <row r="997" spans="1:18" x14ac:dyDescent="0.35">
      <c r="A997" t="s">
        <v>3425</v>
      </c>
      <c r="B997" s="21" t="str">
        <f>_xlfn.TEXTAFTER(CONTROL[[#This Row],[VEHIDCODE]],"_")</f>
        <v>NOHAB_AA16</v>
      </c>
      <c r="C997" t="str" cm="1">
        <f t="array" ref="C9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97" t="str" cm="1">
        <f t="array" ref="D9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9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5193</v>
      </c>
      <c r="F997" s="32" t="s">
        <v>2595</v>
      </c>
      <c r="G997" t="s">
        <v>2596</v>
      </c>
      <c r="H997" s="2" t="b">
        <f>AND(CONTROL[[#This Row],[IS_WAGON_OR_COACH]]=TRUE,OR(RIGHT(CONTROL[[#This Row],[VEHIDCODE]],7)="Powered",RIGHT(CONTROL[[#This Row],[VEHIDCODE]],9)="Unpowered"))</f>
        <v>0</v>
      </c>
      <c r="I9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7" t="b">
        <f>ISNUMBER(_xlfn.XMATCH(CONTROL[[#This Row],[VEHIDCODE]],TRACK_TYPES[VEHIDCODE],0))</f>
        <v>1</v>
      </c>
      <c r="K997" t="b">
        <f>ISNUMBER(_xlfn.XMATCH(CONTROL[[#This Row],[VEHIDCODE]],PROPERTIES[VEHIDCODE],0))</f>
        <v>1</v>
      </c>
      <c r="L997" t="b">
        <f>ISNUMBER(_xlfn.XLOOKUP(CONTROL[[#This Row],[VEHIDCODE]],roster!A:A,roster!D:D))</f>
        <v>1</v>
      </c>
      <c r="M997" t="b">
        <f>ISNUMBER(_xlfn.XMATCH(CONTROL[[#This Row],[VEHIDCODE]],GRAPHICS_PROPERTIES[VEHIDCODE],0))</f>
        <v>1</v>
      </c>
      <c r="N997" s="21" t="str">
        <f>"item_"&amp;CONTROL[[#This Row],[VEHIDCODE]]</f>
        <v>item_diesel_NOHAB_AA16</v>
      </c>
      <c r="O997" s="21" t="str">
        <f>"str_"&amp;CONTROL[[#This Row],[VEHIDCODE]]</f>
        <v>str_diesel_NOHAB_AA16</v>
      </c>
      <c r="P997" s="42" t="b">
        <f>_xlfn.XLOOKUP(CONTROL[[#This Row],[VEHIDCODE]],PROPERTIES[VEHIDCODE],PROPERTIES[IS_CONCEPT])="IS_CONCEPT"</f>
        <v>0</v>
      </c>
      <c r="Q997" s="7" t="b">
        <f>_xlfn.XLOOKUP(CONTROL[[#This Row],[VEHIDCODE]],PROPERTIES[VEHIDCODE],PROPERTIES[EXCLUDE])</f>
        <v>0</v>
      </c>
      <c r="R997" t="str" cm="1">
        <f t="array" ref="R997">_xlfn.XLOOKUP(CONTROL[[#This Row],[VEHIDCODE]],GRAPHICS_PROPERTIES[VEHIDCODE],GRAPHICS_PROPERTIES[TEMPLATE_ID]&amp;GRAPHICS_PROPERTIES[TEMPLATE_AMENDMENT_CODE])</f>
        <v>TPL_01A</v>
      </c>
    </row>
    <row r="998" spans="1:18" x14ac:dyDescent="0.35">
      <c r="A998" t="s">
        <v>3426</v>
      </c>
      <c r="B998" s="21" t="str">
        <f>_xlfn.TEXTAFTER(CONTROL[[#This Row],[VEHIDCODE]],"_")</f>
        <v>LEW_V100</v>
      </c>
      <c r="C998" t="str" cm="1">
        <f t="array" ref="C9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98" t="str" cm="1">
        <f t="array" ref="D9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9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5194</v>
      </c>
      <c r="F998" s="32" t="s">
        <v>2597</v>
      </c>
      <c r="G998" t="s">
        <v>2598</v>
      </c>
      <c r="H998" s="2" t="b">
        <f>AND(CONTROL[[#This Row],[IS_WAGON_OR_COACH]]=TRUE,OR(RIGHT(CONTROL[[#This Row],[VEHIDCODE]],7)="Powered",RIGHT(CONTROL[[#This Row],[VEHIDCODE]],9)="Unpowered"))</f>
        <v>0</v>
      </c>
      <c r="I9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8" t="b">
        <f>ISNUMBER(_xlfn.XMATCH(CONTROL[[#This Row],[VEHIDCODE]],TRACK_TYPES[VEHIDCODE],0))</f>
        <v>1</v>
      </c>
      <c r="K998" t="b">
        <f>ISNUMBER(_xlfn.XMATCH(CONTROL[[#This Row],[VEHIDCODE]],PROPERTIES[VEHIDCODE],0))</f>
        <v>1</v>
      </c>
      <c r="L998" t="b">
        <f>ISNUMBER(_xlfn.XLOOKUP(CONTROL[[#This Row],[VEHIDCODE]],roster!A:A,roster!D:D))</f>
        <v>1</v>
      </c>
      <c r="M998" t="b">
        <f>ISNUMBER(_xlfn.XMATCH(CONTROL[[#This Row],[VEHIDCODE]],GRAPHICS_PROPERTIES[VEHIDCODE],0))</f>
        <v>1</v>
      </c>
      <c r="N998" s="21" t="str">
        <f>"item_"&amp;CONTROL[[#This Row],[VEHIDCODE]]</f>
        <v>item_diesel_LEW_V100</v>
      </c>
      <c r="O998" s="21" t="str">
        <f>"str_"&amp;CONTROL[[#This Row],[VEHIDCODE]]</f>
        <v>str_diesel_LEW_V100</v>
      </c>
      <c r="P998" s="42" t="b">
        <f>_xlfn.XLOOKUP(CONTROL[[#This Row],[VEHIDCODE]],PROPERTIES[VEHIDCODE],PROPERTIES[IS_CONCEPT])="IS_CONCEPT"</f>
        <v>0</v>
      </c>
      <c r="Q998" s="7" t="b">
        <f>_xlfn.XLOOKUP(CONTROL[[#This Row],[VEHIDCODE]],PROPERTIES[VEHIDCODE],PROPERTIES[EXCLUDE])</f>
        <v>0</v>
      </c>
      <c r="R998" t="str" cm="1">
        <f t="array" ref="R998">_xlfn.XLOOKUP(CONTROL[[#This Row],[VEHIDCODE]],GRAPHICS_PROPERTIES[VEHIDCODE],GRAPHICS_PROPERTIES[TEMPLATE_ID]&amp;GRAPHICS_PROPERTIES[TEMPLATE_AMENDMENT_CODE])</f>
        <v>TPL_01A</v>
      </c>
    </row>
    <row r="999" spans="1:18" x14ac:dyDescent="0.35">
      <c r="A999" t="s">
        <v>3427</v>
      </c>
      <c r="B999" s="21" t="str">
        <f>_xlfn.TEXTAFTER(CONTROL[[#This Row],[VEHIDCODE]],"_")</f>
        <v>Fablok_6D</v>
      </c>
      <c r="C999" t="str" cm="1">
        <f t="array" ref="C9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99" t="str" cm="1">
        <f t="array" ref="D9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9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5195</v>
      </c>
      <c r="F999" s="32" t="s">
        <v>2620</v>
      </c>
      <c r="G999" t="s">
        <v>2623</v>
      </c>
      <c r="H999" s="2" t="b">
        <f>AND(CONTROL[[#This Row],[IS_WAGON_OR_COACH]]=TRUE,OR(RIGHT(CONTROL[[#This Row],[VEHIDCODE]],7)="Powered",RIGHT(CONTROL[[#This Row],[VEHIDCODE]],9)="Unpowered"))</f>
        <v>0</v>
      </c>
      <c r="I9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9" t="b">
        <f>ISNUMBER(_xlfn.XMATCH(CONTROL[[#This Row],[VEHIDCODE]],TRACK_TYPES[VEHIDCODE],0))</f>
        <v>1</v>
      </c>
      <c r="K999" t="b">
        <f>ISNUMBER(_xlfn.XMATCH(CONTROL[[#This Row],[VEHIDCODE]],PROPERTIES[VEHIDCODE],0))</f>
        <v>1</v>
      </c>
      <c r="L999" t="b">
        <f>ISNUMBER(_xlfn.XLOOKUP(CONTROL[[#This Row],[VEHIDCODE]],roster!A:A,roster!D:D))</f>
        <v>1</v>
      </c>
      <c r="M999" t="b">
        <f>ISNUMBER(_xlfn.XMATCH(CONTROL[[#This Row],[VEHIDCODE]],GRAPHICS_PROPERTIES[VEHIDCODE],0))</f>
        <v>1</v>
      </c>
      <c r="N999" s="21" t="str">
        <f>"item_"&amp;CONTROL[[#This Row],[VEHIDCODE]]</f>
        <v>item_diesel_Fablok_6D</v>
      </c>
      <c r="O999" s="21" t="str">
        <f>"str_"&amp;CONTROL[[#This Row],[VEHIDCODE]]</f>
        <v>str_diesel_Fablok_6D</v>
      </c>
      <c r="P999" s="42" t="b">
        <f>_xlfn.XLOOKUP(CONTROL[[#This Row],[VEHIDCODE]],PROPERTIES[VEHIDCODE],PROPERTIES[IS_CONCEPT])="IS_CONCEPT"</f>
        <v>0</v>
      </c>
      <c r="Q999" s="7" t="b">
        <f>_xlfn.XLOOKUP(CONTROL[[#This Row],[VEHIDCODE]],PROPERTIES[VEHIDCODE],PROPERTIES[EXCLUDE])</f>
        <v>0</v>
      </c>
      <c r="R999" t="str" cm="1">
        <f t="array" ref="R999">_xlfn.XLOOKUP(CONTROL[[#This Row],[VEHIDCODE]],GRAPHICS_PROPERTIES[VEHIDCODE],GRAPHICS_PROPERTIES[TEMPLATE_ID]&amp;GRAPHICS_PROPERTIES[TEMPLATE_AMENDMENT_CODE])</f>
        <v>TPL_01A</v>
      </c>
    </row>
    <row r="1000" spans="1:18" x14ac:dyDescent="0.35">
      <c r="A1000" t="s">
        <v>3428</v>
      </c>
      <c r="B1000" s="21" t="str">
        <f>_xlfn.TEXTAFTER(CONTROL[[#This Row],[VEHIDCODE]],"_")</f>
        <v>HCP_301D</v>
      </c>
      <c r="C1000" t="str" cm="1">
        <f t="array" ref="C10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00" t="str" cm="1">
        <f t="array" ref="D10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0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5196</v>
      </c>
      <c r="F1000" s="32" t="s">
        <v>2624</v>
      </c>
      <c r="G1000" t="s">
        <v>2625</v>
      </c>
      <c r="H1000" s="2" t="b">
        <f>AND(CONTROL[[#This Row],[IS_WAGON_OR_COACH]]=TRUE,OR(RIGHT(CONTROL[[#This Row],[VEHIDCODE]],7)="Powered",RIGHT(CONTROL[[#This Row],[VEHIDCODE]],9)="Unpowered"))</f>
        <v>0</v>
      </c>
      <c r="I10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0" t="b">
        <f>ISNUMBER(_xlfn.XMATCH(CONTROL[[#This Row],[VEHIDCODE]],TRACK_TYPES[VEHIDCODE],0))</f>
        <v>1</v>
      </c>
      <c r="K1000" t="b">
        <f>ISNUMBER(_xlfn.XMATCH(CONTROL[[#This Row],[VEHIDCODE]],PROPERTIES[VEHIDCODE],0))</f>
        <v>1</v>
      </c>
      <c r="L1000" t="b">
        <f>ISNUMBER(_xlfn.XLOOKUP(CONTROL[[#This Row],[VEHIDCODE]],roster!A:A,roster!D:D))</f>
        <v>1</v>
      </c>
      <c r="M1000" t="b">
        <f>ISNUMBER(_xlfn.XMATCH(CONTROL[[#This Row],[VEHIDCODE]],GRAPHICS_PROPERTIES[VEHIDCODE],0))</f>
        <v>1</v>
      </c>
      <c r="N1000" s="21" t="str">
        <f>"item_"&amp;CONTROL[[#This Row],[VEHIDCODE]]</f>
        <v>item_diesel_HCP_301D</v>
      </c>
      <c r="O1000" s="21" t="str">
        <f>"str_"&amp;CONTROL[[#This Row],[VEHIDCODE]]</f>
        <v>str_diesel_HCP_301D</v>
      </c>
      <c r="P1000" s="42" t="b">
        <f>_xlfn.XLOOKUP(CONTROL[[#This Row],[VEHIDCODE]],PROPERTIES[VEHIDCODE],PROPERTIES[IS_CONCEPT])="IS_CONCEPT"</f>
        <v>0</v>
      </c>
      <c r="Q1000" s="7" t="b">
        <f>_xlfn.XLOOKUP(CONTROL[[#This Row],[VEHIDCODE]],PROPERTIES[VEHIDCODE],PROPERTIES[EXCLUDE])</f>
        <v>0</v>
      </c>
      <c r="R1000" t="str" cm="1">
        <f t="array" ref="R1000">_xlfn.XLOOKUP(CONTROL[[#This Row],[VEHIDCODE]],GRAPHICS_PROPERTIES[VEHIDCODE],GRAPHICS_PROPERTIES[TEMPLATE_ID]&amp;GRAPHICS_PROPERTIES[TEMPLATE_AMENDMENT_CODE])</f>
        <v>TPL_01A</v>
      </c>
    </row>
    <row r="1001" spans="1:18" x14ac:dyDescent="0.35">
      <c r="A1001" t="s">
        <v>3429</v>
      </c>
      <c r="B1001" s="21" t="str">
        <f>_xlfn.TEXTAFTER(CONTROL[[#This Row],[VEHIDCODE]],"_")</f>
        <v>Stadler_Flirt_PowerPack_DMU</v>
      </c>
      <c r="C1001" t="str" cm="1">
        <f t="array" ref="C10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1001" t="str" cm="1">
        <f t="array" ref="D10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100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7065</v>
      </c>
      <c r="F1001" s="32" t="s">
        <v>2622</v>
      </c>
      <c r="G1001" t="s">
        <v>2621</v>
      </c>
      <c r="H1001" s="2" t="b">
        <f>AND(CONTROL[[#This Row],[IS_WAGON_OR_COACH]]=TRUE,OR(RIGHT(CONTROL[[#This Row],[VEHIDCODE]],7)="Powered",RIGHT(CONTROL[[#This Row],[VEHIDCODE]],9)="Unpowered"))</f>
        <v>0</v>
      </c>
      <c r="I10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1" t="b">
        <f>ISNUMBER(_xlfn.XMATCH(CONTROL[[#This Row],[VEHIDCODE]],TRACK_TYPES[VEHIDCODE],0))</f>
        <v>1</v>
      </c>
      <c r="K1001" t="b">
        <f>ISNUMBER(_xlfn.XMATCH(CONTROL[[#This Row],[VEHIDCODE]],PROPERTIES[VEHIDCODE],0))</f>
        <v>1</v>
      </c>
      <c r="L1001" t="b">
        <f>ISNUMBER(_xlfn.XLOOKUP(CONTROL[[#This Row],[VEHIDCODE]],roster!A:A,roster!D:D))</f>
        <v>1</v>
      </c>
      <c r="M1001" t="b">
        <f>ISNUMBER(_xlfn.XMATCH(CONTROL[[#This Row],[VEHIDCODE]],GRAPHICS_PROPERTIES[VEHIDCODE],0))</f>
        <v>1</v>
      </c>
      <c r="N1001" s="21" t="str">
        <f>"item_"&amp;CONTROL[[#This Row],[VEHIDCODE]]</f>
        <v>item_dmu_Stadler_Flirt_PowerPack_DMU</v>
      </c>
      <c r="O1001" s="21" t="str">
        <f>"str_"&amp;CONTROL[[#This Row],[VEHIDCODE]]</f>
        <v>str_dmu_Stadler_Flirt_PowerPack_DMU</v>
      </c>
      <c r="P1001" s="42" t="b">
        <f>_xlfn.XLOOKUP(CONTROL[[#This Row],[VEHIDCODE]],PROPERTIES[VEHIDCODE],PROPERTIES[IS_CONCEPT])="IS_CONCEPT"</f>
        <v>0</v>
      </c>
      <c r="Q1001" s="7" t="b">
        <f>_xlfn.XLOOKUP(CONTROL[[#This Row],[VEHIDCODE]],PROPERTIES[VEHIDCODE],PROPERTIES[EXCLUDE])</f>
        <v>0</v>
      </c>
      <c r="R1001" t="str" cm="1">
        <f t="array" ref="R1001">_xlfn.XLOOKUP(CONTROL[[#This Row],[VEHIDCODE]],GRAPHICS_PROPERTIES[VEHIDCODE],GRAPHICS_PROPERTIES[TEMPLATE_ID]&amp;GRAPHICS_PROPERTIES[TEMPLATE_AMENDMENT_CODE])</f>
        <v>TPL_02E</v>
      </c>
    </row>
    <row r="1002" spans="1:18" x14ac:dyDescent="0.35">
      <c r="A1002" t="s">
        <v>3430</v>
      </c>
      <c r="B1002" s="21" t="str">
        <f>_xlfn.TEXTAFTER(CONTROL[[#This Row],[VEHIDCODE]],"_")</f>
        <v>JNR_Container_Bullet_Train_Concept</v>
      </c>
      <c r="C1002" t="str" cm="1">
        <f t="array" ref="C10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src\CargoEMU</v>
      </c>
      <c r="D1002" t="str" cm="1">
        <f t="array" ref="D10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ID_RANGE_CARGOEMU</v>
      </c>
      <c r="E100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14502</v>
      </c>
      <c r="F1002" s="32" t="s">
        <v>2626</v>
      </c>
      <c r="G1002" t="s">
        <v>2627</v>
      </c>
      <c r="H1002" s="2" t="b">
        <f>AND(CONTROL[[#This Row],[IS_WAGON_OR_COACH]]=TRUE,OR(RIGHT(CONTROL[[#This Row],[VEHIDCODE]],7)="Powered",RIGHT(CONTROL[[#This Row],[VEHIDCODE]],9)="Unpowered"))</f>
        <v>0</v>
      </c>
      <c r="I10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2" t="b">
        <f>ISNUMBER(_xlfn.XMATCH(CONTROL[[#This Row],[VEHIDCODE]],TRACK_TYPES[VEHIDCODE],0))</f>
        <v>1</v>
      </c>
      <c r="K1002" t="b">
        <f>ISNUMBER(_xlfn.XMATCH(CONTROL[[#This Row],[VEHIDCODE]],PROPERTIES[VEHIDCODE],0))</f>
        <v>1</v>
      </c>
      <c r="L1002" t="b">
        <f>ISNUMBER(_xlfn.XLOOKUP(CONTROL[[#This Row],[VEHIDCODE]],roster!A:A,roster!D:D))</f>
        <v>1</v>
      </c>
      <c r="M1002" t="b">
        <f>ISNUMBER(_xlfn.XMATCH(CONTROL[[#This Row],[VEHIDCODE]],GRAPHICS_PROPERTIES[VEHIDCODE],0))</f>
        <v>1</v>
      </c>
      <c r="N1002" s="21" t="str">
        <f>"item_"&amp;CONTROL[[#This Row],[VEHIDCODE]]</f>
        <v>item_cargoemu_JNR_Container_Bullet_Train_Concept</v>
      </c>
      <c r="O1002" s="21" t="str">
        <f>"str_"&amp;CONTROL[[#This Row],[VEHIDCODE]]</f>
        <v>str_cargoemu_JNR_Container_Bullet_Train_Concept</v>
      </c>
      <c r="P1002" s="42" t="b">
        <f>_xlfn.XLOOKUP(CONTROL[[#This Row],[VEHIDCODE]],PROPERTIES[VEHIDCODE],PROPERTIES[IS_CONCEPT])="IS_CONCEPT"</f>
        <v>1</v>
      </c>
      <c r="Q1002" s="7" t="b">
        <f>_xlfn.XLOOKUP(CONTROL[[#This Row],[VEHIDCODE]],PROPERTIES[VEHIDCODE],PROPERTIES[EXCLUDE])</f>
        <v>0</v>
      </c>
      <c r="R1002" t="str" cm="1">
        <f t="array" ref="R1002">_xlfn.XLOOKUP(CONTROL[[#This Row],[VEHIDCODE]],GRAPHICS_PROPERTIES[VEHIDCODE],GRAPHICS_PROPERTIES[TEMPLATE_ID]&amp;GRAPHICS_PROPERTIES[TEMPLATE_AMENDMENT_CODE])</f>
        <v>TPL_42B</v>
      </c>
    </row>
    <row r="1003" spans="1:18" x14ac:dyDescent="0.35">
      <c r="A1003" t="s">
        <v>3431</v>
      </c>
      <c r="B1003" s="21" t="str">
        <f>_xlfn.TEXTAFTER(CONTROL[[#This Row],[VEHIDCODE]],"_")</f>
        <v>Hitachi_WAG_6B_C</v>
      </c>
      <c r="C1003" t="str" cm="1">
        <f t="array" ref="C10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3" t="str" cm="1">
        <f t="array" ref="D10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6160</v>
      </c>
      <c r="F1003" s="32" t="s">
        <v>2630</v>
      </c>
      <c r="G1003" t="s">
        <v>2631</v>
      </c>
      <c r="H1003" s="2" t="b">
        <f>AND(CONTROL[[#This Row],[IS_WAGON_OR_COACH]]=TRUE,OR(RIGHT(CONTROL[[#This Row],[VEHIDCODE]],7)="Powered",RIGHT(CONTROL[[#This Row],[VEHIDCODE]],9)="Unpowered"))</f>
        <v>0</v>
      </c>
      <c r="I10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3" t="b">
        <f>ISNUMBER(_xlfn.XMATCH(CONTROL[[#This Row],[VEHIDCODE]],TRACK_TYPES[VEHIDCODE],0))</f>
        <v>1</v>
      </c>
      <c r="K1003" t="b">
        <f>ISNUMBER(_xlfn.XMATCH(CONTROL[[#This Row],[VEHIDCODE]],PROPERTIES[VEHIDCODE],0))</f>
        <v>1</v>
      </c>
      <c r="L1003" t="b">
        <f>ISNUMBER(_xlfn.XLOOKUP(CONTROL[[#This Row],[VEHIDCODE]],roster!A:A,roster!D:D))</f>
        <v>1</v>
      </c>
      <c r="M1003" t="b">
        <f>ISNUMBER(_xlfn.XMATCH(CONTROL[[#This Row],[VEHIDCODE]],GRAPHICS_PROPERTIES[VEHIDCODE],0))</f>
        <v>1</v>
      </c>
      <c r="N1003" s="21" t="str">
        <f>"item_"&amp;CONTROL[[#This Row],[VEHIDCODE]]</f>
        <v>item_electric_Hitachi_WAG_6B_C</v>
      </c>
      <c r="O1003" s="21" t="str">
        <f>"str_"&amp;CONTROL[[#This Row],[VEHIDCODE]]</f>
        <v>str_electric_Hitachi_WAG_6B_C</v>
      </c>
      <c r="P1003" s="42" t="b">
        <f>_xlfn.XLOOKUP(CONTROL[[#This Row],[VEHIDCODE]],PROPERTIES[VEHIDCODE],PROPERTIES[IS_CONCEPT])="IS_CONCEPT"</f>
        <v>0</v>
      </c>
      <c r="Q1003" s="7" t="b">
        <f>_xlfn.XLOOKUP(CONTROL[[#This Row],[VEHIDCODE]],PROPERTIES[VEHIDCODE],PROPERTIES[EXCLUDE])</f>
        <v>0</v>
      </c>
      <c r="R1003" t="str" cm="1">
        <f t="array" ref="R1003">_xlfn.XLOOKUP(CONTROL[[#This Row],[VEHIDCODE]],GRAPHICS_PROPERTIES[VEHIDCODE],GRAPHICS_PROPERTIES[TEMPLATE_ID]&amp;GRAPHICS_PROPERTIES[TEMPLATE_AMENDMENT_CODE])</f>
        <v>TPL_01A</v>
      </c>
    </row>
    <row r="1004" spans="1:18" x14ac:dyDescent="0.35">
      <c r="A1004" t="s">
        <v>3432</v>
      </c>
      <c r="B1004" s="21" t="str">
        <f>_xlfn.TEXTAFTER(CONTROL[[#This Row],[VEHIDCODE]],"_")</f>
        <v>Toshiba_10E</v>
      </c>
      <c r="C1004" t="str" cm="1">
        <f t="array" ref="C10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4" t="str" cm="1">
        <f t="array" ref="D10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6161</v>
      </c>
      <c r="F1004" s="32" t="s">
        <v>2632</v>
      </c>
      <c r="G1004" t="s">
        <v>2633</v>
      </c>
      <c r="H1004" s="2" t="b">
        <f>AND(CONTROL[[#This Row],[IS_WAGON_OR_COACH]]=TRUE,OR(RIGHT(CONTROL[[#This Row],[VEHIDCODE]],7)="Powered",RIGHT(CONTROL[[#This Row],[VEHIDCODE]],9)="Unpowered"))</f>
        <v>0</v>
      </c>
      <c r="I10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4" t="b">
        <f>ISNUMBER(_xlfn.XMATCH(CONTROL[[#This Row],[VEHIDCODE]],TRACK_TYPES[VEHIDCODE],0))</f>
        <v>1</v>
      </c>
      <c r="K1004" t="b">
        <f>ISNUMBER(_xlfn.XMATCH(CONTROL[[#This Row],[VEHIDCODE]],PROPERTIES[VEHIDCODE],0))</f>
        <v>1</v>
      </c>
      <c r="L1004" t="b">
        <f>ISNUMBER(_xlfn.XLOOKUP(CONTROL[[#This Row],[VEHIDCODE]],roster!A:A,roster!D:D))</f>
        <v>1</v>
      </c>
      <c r="M1004" t="b">
        <f>ISNUMBER(_xlfn.XMATCH(CONTROL[[#This Row],[VEHIDCODE]],GRAPHICS_PROPERTIES[VEHIDCODE],0))</f>
        <v>1</v>
      </c>
      <c r="N1004" s="21" t="str">
        <f>"item_"&amp;CONTROL[[#This Row],[VEHIDCODE]]</f>
        <v>item_electric_Toshiba_10E</v>
      </c>
      <c r="O1004" s="21" t="str">
        <f>"str_"&amp;CONTROL[[#This Row],[VEHIDCODE]]</f>
        <v>str_electric_Toshiba_10E</v>
      </c>
      <c r="P1004" s="42" t="b">
        <f>_xlfn.XLOOKUP(CONTROL[[#This Row],[VEHIDCODE]],PROPERTIES[VEHIDCODE],PROPERTIES[IS_CONCEPT])="IS_CONCEPT"</f>
        <v>0</v>
      </c>
      <c r="Q1004" s="7" t="b">
        <f>_xlfn.XLOOKUP(CONTROL[[#This Row],[VEHIDCODE]],PROPERTIES[VEHIDCODE],PROPERTIES[EXCLUDE])</f>
        <v>0</v>
      </c>
      <c r="R1004" t="str" cm="1">
        <f t="array" ref="R1004">_xlfn.XLOOKUP(CONTROL[[#This Row],[VEHIDCODE]],GRAPHICS_PROPERTIES[VEHIDCODE],GRAPHICS_PROPERTIES[TEMPLATE_ID]&amp;GRAPHICS_PROPERTIES[TEMPLATE_AMENDMENT_CODE])</f>
        <v>TPL_01A</v>
      </c>
    </row>
    <row r="1005" spans="1:18" x14ac:dyDescent="0.35">
      <c r="A1005" s="2" t="s">
        <v>3433</v>
      </c>
      <c r="B1005" s="21" t="str">
        <f>_xlfn.TEXTAFTER(CONTROL[[#This Row],[VEHIDCODE]],"_")</f>
        <v>GEC_9E</v>
      </c>
      <c r="C1005" t="str" cm="1">
        <f t="array" ref="C10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5" t="str" cm="1">
        <f t="array" ref="D10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6162</v>
      </c>
      <c r="F1005" s="32" t="s">
        <v>2634</v>
      </c>
      <c r="G1005" t="s">
        <v>2635</v>
      </c>
      <c r="H1005" s="2" t="b">
        <f>AND(CONTROL[[#This Row],[IS_WAGON_OR_COACH]]=TRUE,OR(RIGHT(CONTROL[[#This Row],[VEHIDCODE]],7)="Powered",RIGHT(CONTROL[[#This Row],[VEHIDCODE]],9)="Unpowered"))</f>
        <v>0</v>
      </c>
      <c r="I10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5" t="b">
        <f>ISNUMBER(_xlfn.XMATCH(CONTROL[[#This Row],[VEHIDCODE]],TRACK_TYPES[VEHIDCODE],0))</f>
        <v>1</v>
      </c>
      <c r="K1005" t="b">
        <f>ISNUMBER(_xlfn.XMATCH(CONTROL[[#This Row],[VEHIDCODE]],PROPERTIES[VEHIDCODE],0))</f>
        <v>1</v>
      </c>
      <c r="L1005" t="b">
        <f>ISNUMBER(_xlfn.XLOOKUP(CONTROL[[#This Row],[VEHIDCODE]],roster!A:A,roster!D:D))</f>
        <v>1</v>
      </c>
      <c r="M1005" t="b">
        <f>ISNUMBER(_xlfn.XMATCH(CONTROL[[#This Row],[VEHIDCODE]],GRAPHICS_PROPERTIES[VEHIDCODE],0))</f>
        <v>1</v>
      </c>
      <c r="N1005" s="21" t="str">
        <f>"item_"&amp;CONTROL[[#This Row],[VEHIDCODE]]</f>
        <v>item_electric_GEC_9E</v>
      </c>
      <c r="O1005" s="21" t="str">
        <f>"str_"&amp;CONTROL[[#This Row],[VEHIDCODE]]</f>
        <v>str_electric_GEC_9E</v>
      </c>
      <c r="P1005" s="42" t="b">
        <f>_xlfn.XLOOKUP(CONTROL[[#This Row],[VEHIDCODE]],PROPERTIES[VEHIDCODE],PROPERTIES[IS_CONCEPT])="IS_CONCEPT"</f>
        <v>0</v>
      </c>
      <c r="Q1005" s="7" t="b">
        <f>_xlfn.XLOOKUP(CONTROL[[#This Row],[VEHIDCODE]],PROPERTIES[VEHIDCODE],PROPERTIES[EXCLUDE])</f>
        <v>0</v>
      </c>
      <c r="R1005" t="str" cm="1">
        <f t="array" ref="R1005">_xlfn.XLOOKUP(CONTROL[[#This Row],[VEHIDCODE]],GRAPHICS_PROPERTIES[VEHIDCODE],GRAPHICS_PROPERTIES[TEMPLATE_ID]&amp;GRAPHICS_PROPERTIES[TEMPLATE_AMENDMENT_CODE])</f>
        <v>TPL_01A</v>
      </c>
    </row>
    <row r="1006" spans="1:18" x14ac:dyDescent="0.35">
      <c r="A1006" t="s">
        <v>3434</v>
      </c>
      <c r="B1006" s="21" t="str">
        <f>_xlfn.TEXTAFTER(CONTROL[[#This Row],[VEHIDCODE]],"_")</f>
        <v>Hitachi_E1100</v>
      </c>
      <c r="C1006" t="str" cm="1">
        <f t="array" ref="C10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6" t="str" cm="1">
        <f t="array" ref="D10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6163</v>
      </c>
      <c r="F1006" s="32" t="s">
        <v>2636</v>
      </c>
      <c r="G1006" t="s">
        <v>2637</v>
      </c>
      <c r="H1006" s="2" t="b">
        <f>AND(CONTROL[[#This Row],[IS_WAGON_OR_COACH]]=TRUE,OR(RIGHT(CONTROL[[#This Row],[VEHIDCODE]],7)="Powered",RIGHT(CONTROL[[#This Row],[VEHIDCODE]],9)="Unpowered"))</f>
        <v>0</v>
      </c>
      <c r="I10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6" t="b">
        <f>ISNUMBER(_xlfn.XMATCH(CONTROL[[#This Row],[VEHIDCODE]],TRACK_TYPES[VEHIDCODE],0))</f>
        <v>1</v>
      </c>
      <c r="K1006" t="b">
        <f>ISNUMBER(_xlfn.XMATCH(CONTROL[[#This Row],[VEHIDCODE]],PROPERTIES[VEHIDCODE],0))</f>
        <v>1</v>
      </c>
      <c r="L1006" t="b">
        <f>ISNUMBER(_xlfn.XLOOKUP(CONTROL[[#This Row],[VEHIDCODE]],roster!A:A,roster!D:D))</f>
        <v>1</v>
      </c>
      <c r="M1006" t="b">
        <f>ISNUMBER(_xlfn.XMATCH(CONTROL[[#This Row],[VEHIDCODE]],GRAPHICS_PROPERTIES[VEHIDCODE],0))</f>
        <v>1</v>
      </c>
      <c r="N1006" s="21" t="str">
        <f>"item_"&amp;CONTROL[[#This Row],[VEHIDCODE]]</f>
        <v>item_electric_Hitachi_E1100</v>
      </c>
      <c r="O1006" s="21" t="str">
        <f>"str_"&amp;CONTROL[[#This Row],[VEHIDCODE]]</f>
        <v>str_electric_Hitachi_E1100</v>
      </c>
      <c r="P1006" s="42" t="b">
        <f>_xlfn.XLOOKUP(CONTROL[[#This Row],[VEHIDCODE]],PROPERTIES[VEHIDCODE],PROPERTIES[IS_CONCEPT])="IS_CONCEPT"</f>
        <v>0</v>
      </c>
      <c r="Q1006" s="7" t="b">
        <f>_xlfn.XLOOKUP(CONTROL[[#This Row],[VEHIDCODE]],PROPERTIES[VEHIDCODE],PROPERTIES[EXCLUDE])</f>
        <v>0</v>
      </c>
      <c r="R1006" t="str" cm="1">
        <f t="array" ref="R1006">_xlfn.XLOOKUP(CONTROL[[#This Row],[VEHIDCODE]],GRAPHICS_PROPERTIES[VEHIDCODE],GRAPHICS_PROPERTIES[TEMPLATE_ID]&amp;GRAPHICS_PROPERTIES[TEMPLATE_AMENDMENT_CODE])</f>
        <v>TPL_01A</v>
      </c>
    </row>
    <row r="1007" spans="1:18" x14ac:dyDescent="0.35">
      <c r="A1007" t="s">
        <v>3435</v>
      </c>
      <c r="B1007" s="21" t="str">
        <f>_xlfn.TEXTAFTER(CONTROL[[#This Row],[VEHIDCODE]],"_")</f>
        <v>RDSO_CLW_WAM_4</v>
      </c>
      <c r="C1007" t="str" cm="1">
        <f t="array" ref="C10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7" t="str" cm="1">
        <f t="array" ref="D10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6164</v>
      </c>
      <c r="F1007" s="32" t="s">
        <v>2638</v>
      </c>
      <c r="G1007" t="s">
        <v>2639</v>
      </c>
      <c r="H1007" s="2" t="b">
        <f>AND(CONTROL[[#This Row],[IS_WAGON_OR_COACH]]=TRUE,OR(RIGHT(CONTROL[[#This Row],[VEHIDCODE]],7)="Powered",RIGHT(CONTROL[[#This Row],[VEHIDCODE]],9)="Unpowered"))</f>
        <v>0</v>
      </c>
      <c r="I10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7" t="b">
        <f>ISNUMBER(_xlfn.XMATCH(CONTROL[[#This Row],[VEHIDCODE]],TRACK_TYPES[VEHIDCODE],0))</f>
        <v>1</v>
      </c>
      <c r="K1007" t="b">
        <f>ISNUMBER(_xlfn.XMATCH(CONTROL[[#This Row],[VEHIDCODE]],PROPERTIES[VEHIDCODE],0))</f>
        <v>1</v>
      </c>
      <c r="L1007" t="b">
        <f>ISNUMBER(_xlfn.XLOOKUP(CONTROL[[#This Row],[VEHIDCODE]],roster!A:A,roster!D:D))</f>
        <v>1</v>
      </c>
      <c r="M1007" t="b">
        <f>ISNUMBER(_xlfn.XMATCH(CONTROL[[#This Row],[VEHIDCODE]],GRAPHICS_PROPERTIES[VEHIDCODE],0))</f>
        <v>1</v>
      </c>
      <c r="N1007" s="21" t="str">
        <f>"item_"&amp;CONTROL[[#This Row],[VEHIDCODE]]</f>
        <v>item_electric_RDSO_CLW_WAM_4</v>
      </c>
      <c r="O1007" s="21" t="str">
        <f>"str_"&amp;CONTROL[[#This Row],[VEHIDCODE]]</f>
        <v>str_electric_RDSO_CLW_WAM_4</v>
      </c>
      <c r="P1007" s="42" t="b">
        <f>_xlfn.XLOOKUP(CONTROL[[#This Row],[VEHIDCODE]],PROPERTIES[VEHIDCODE],PROPERTIES[IS_CONCEPT])="IS_CONCEPT"</f>
        <v>0</v>
      </c>
      <c r="Q1007" s="7" t="b">
        <f>_xlfn.XLOOKUP(CONTROL[[#This Row],[VEHIDCODE]],PROPERTIES[VEHIDCODE],PROPERTIES[EXCLUDE])</f>
        <v>0</v>
      </c>
      <c r="R1007" t="str" cm="1">
        <f t="array" ref="R1007">_xlfn.XLOOKUP(CONTROL[[#This Row],[VEHIDCODE]],GRAPHICS_PROPERTIES[VEHIDCODE],GRAPHICS_PROPERTIES[TEMPLATE_ID]&amp;GRAPHICS_PROPERTIES[TEMPLATE_AMENDMENT_CODE])</f>
        <v>TPL_01A</v>
      </c>
    </row>
    <row r="1008" spans="1:18" x14ac:dyDescent="0.35">
      <c r="A1008" t="s">
        <v>3436</v>
      </c>
      <c r="B1008" s="21" t="str">
        <f>_xlfn.TEXTAFTER(CONTROL[[#This Row],[VEHIDCODE]],"_")</f>
        <v>Groupement_50_Hz_WAM_1</v>
      </c>
      <c r="C1008" t="str" cm="1">
        <f t="array" ref="C10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8" t="str" cm="1">
        <f t="array" ref="D10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6165</v>
      </c>
      <c r="F1008" s="32" t="s">
        <v>2641</v>
      </c>
      <c r="G1008" t="s">
        <v>2642</v>
      </c>
      <c r="H1008" s="2" t="b">
        <f>AND(CONTROL[[#This Row],[IS_WAGON_OR_COACH]]=TRUE,OR(RIGHT(CONTROL[[#This Row],[VEHIDCODE]],7)="Powered",RIGHT(CONTROL[[#This Row],[VEHIDCODE]],9)="Unpowered"))</f>
        <v>0</v>
      </c>
      <c r="I10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8" t="b">
        <f>ISNUMBER(_xlfn.XMATCH(CONTROL[[#This Row],[VEHIDCODE]],TRACK_TYPES[VEHIDCODE],0))</f>
        <v>1</v>
      </c>
      <c r="K1008" t="b">
        <f>ISNUMBER(_xlfn.XMATCH(CONTROL[[#This Row],[VEHIDCODE]],PROPERTIES[VEHIDCODE],0))</f>
        <v>1</v>
      </c>
      <c r="L1008" t="b">
        <f>ISNUMBER(_xlfn.XLOOKUP(CONTROL[[#This Row],[VEHIDCODE]],roster!A:A,roster!D:D))</f>
        <v>1</v>
      </c>
      <c r="M1008" t="b">
        <f>ISNUMBER(_xlfn.XMATCH(CONTROL[[#This Row],[VEHIDCODE]],GRAPHICS_PROPERTIES[VEHIDCODE],0))</f>
        <v>1</v>
      </c>
      <c r="N1008" s="21" t="str">
        <f>"item_"&amp;CONTROL[[#This Row],[VEHIDCODE]]</f>
        <v>item_electric_Groupement_50_Hz_WAM_1</v>
      </c>
      <c r="O1008" s="21" t="str">
        <f>"str_"&amp;CONTROL[[#This Row],[VEHIDCODE]]</f>
        <v>str_electric_Groupement_50_Hz_WAM_1</v>
      </c>
      <c r="P1008" s="42" t="b">
        <f>_xlfn.XLOOKUP(CONTROL[[#This Row],[VEHIDCODE]],PROPERTIES[VEHIDCODE],PROPERTIES[IS_CONCEPT])="IS_CONCEPT"</f>
        <v>0</v>
      </c>
      <c r="Q1008" s="7" t="b">
        <f>_xlfn.XLOOKUP(CONTROL[[#This Row],[VEHIDCODE]],PROPERTIES[VEHIDCODE],PROPERTIES[EXCLUDE])</f>
        <v>0</v>
      </c>
      <c r="R1008" t="str" cm="1">
        <f t="array" ref="R1008">_xlfn.XLOOKUP(CONTROL[[#This Row],[VEHIDCODE]],GRAPHICS_PROPERTIES[VEHIDCODE],GRAPHICS_PROPERTIES[TEMPLATE_ID]&amp;GRAPHICS_PROPERTIES[TEMPLATE_AMENDMENT_CODE])</f>
        <v>TPL_01A</v>
      </c>
    </row>
    <row r="1009" spans="1:18" x14ac:dyDescent="0.35">
      <c r="A1009" t="s">
        <v>3437</v>
      </c>
      <c r="B1009" s="21" t="str">
        <f>_xlfn.TEXTAFTER(CONTROL[[#This Row],[VEHIDCODE]],"_")</f>
        <v>Baldwin_Lima_Hamilton_RF_615_E</v>
      </c>
      <c r="C1009" t="str" cm="1">
        <f t="array" ref="C10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09" t="str" cm="1">
        <f t="array" ref="D10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0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5197</v>
      </c>
      <c r="F1009" s="32" t="s">
        <v>2643</v>
      </c>
      <c r="G1009" t="s">
        <v>2644</v>
      </c>
      <c r="H1009" s="2" t="b">
        <f>AND(CONTROL[[#This Row],[IS_WAGON_OR_COACH]]=TRUE,OR(RIGHT(CONTROL[[#This Row],[VEHIDCODE]],7)="Powered",RIGHT(CONTROL[[#This Row],[VEHIDCODE]],9)="Unpowered"))</f>
        <v>0</v>
      </c>
      <c r="I10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9" t="b">
        <f>ISNUMBER(_xlfn.XMATCH(CONTROL[[#This Row],[VEHIDCODE]],TRACK_TYPES[VEHIDCODE],0))</f>
        <v>1</v>
      </c>
      <c r="K1009" t="b">
        <f>ISNUMBER(_xlfn.XMATCH(CONTROL[[#This Row],[VEHIDCODE]],PROPERTIES[VEHIDCODE],0))</f>
        <v>1</v>
      </c>
      <c r="L1009" t="b">
        <f>ISNUMBER(_xlfn.XLOOKUP(CONTROL[[#This Row],[VEHIDCODE]],roster!A:A,roster!D:D))</f>
        <v>1</v>
      </c>
      <c r="M1009" t="b">
        <f>ISNUMBER(_xlfn.XMATCH(CONTROL[[#This Row],[VEHIDCODE]],GRAPHICS_PROPERTIES[VEHIDCODE],0))</f>
        <v>1</v>
      </c>
      <c r="N1009" s="21" t="str">
        <f>"item_"&amp;CONTROL[[#This Row],[VEHIDCODE]]</f>
        <v>item_diesel_Baldwin_Lima_Hamilton_RF_615_E</v>
      </c>
      <c r="O1009" s="21" t="str">
        <f>"str_"&amp;CONTROL[[#This Row],[VEHIDCODE]]</f>
        <v>str_diesel_Baldwin_Lima_Hamilton_RF_615_E</v>
      </c>
      <c r="P1009" s="42" t="b">
        <f>_xlfn.XLOOKUP(CONTROL[[#This Row],[VEHIDCODE]],PROPERTIES[VEHIDCODE],PROPERTIES[IS_CONCEPT])="IS_CONCEPT"</f>
        <v>0</v>
      </c>
      <c r="Q1009" s="7" t="b">
        <f>_xlfn.XLOOKUP(CONTROL[[#This Row],[VEHIDCODE]],PROPERTIES[VEHIDCODE],PROPERTIES[EXCLUDE])</f>
        <v>0</v>
      </c>
      <c r="R1009" t="str" cm="1">
        <f t="array" ref="R1009">_xlfn.XLOOKUP(CONTROL[[#This Row],[VEHIDCODE]],GRAPHICS_PROPERTIES[VEHIDCODE],GRAPHICS_PROPERTIES[TEMPLATE_ID]&amp;GRAPHICS_PROPERTIES[TEMPLATE_AMENDMENT_CODE])</f>
        <v>TPL_01A</v>
      </c>
    </row>
    <row r="1010" spans="1:18" x14ac:dyDescent="0.35">
      <c r="A1010" t="s">
        <v>3438</v>
      </c>
      <c r="B1010" s="21" t="str">
        <f>_xlfn.TEXTAFTER(CONTROL[[#This Row],[VEHIDCODE]],"_")</f>
        <v>EE_Dick__Kerr___Co_Vulcan_Foundry_DE2</v>
      </c>
      <c r="C1010" t="str" cm="1">
        <f t="array" ref="C10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10" t="str" cm="1">
        <f t="array" ref="D10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1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5198</v>
      </c>
      <c r="F1010" s="32" t="s">
        <v>2645</v>
      </c>
      <c r="G1010" t="s">
        <v>2646</v>
      </c>
      <c r="H1010" s="2" t="b">
        <f>AND(CONTROL[[#This Row],[IS_WAGON_OR_COACH]]=TRUE,OR(RIGHT(CONTROL[[#This Row],[VEHIDCODE]],7)="Powered",RIGHT(CONTROL[[#This Row],[VEHIDCODE]],9)="Unpowered"))</f>
        <v>0</v>
      </c>
      <c r="I10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0" t="b">
        <f>ISNUMBER(_xlfn.XMATCH(CONTROL[[#This Row],[VEHIDCODE]],TRACK_TYPES[VEHIDCODE],0))</f>
        <v>1</v>
      </c>
      <c r="K1010" t="b">
        <f>ISNUMBER(_xlfn.XMATCH(CONTROL[[#This Row],[VEHIDCODE]],PROPERTIES[VEHIDCODE],0))</f>
        <v>1</v>
      </c>
      <c r="L1010" t="b">
        <f>ISNUMBER(_xlfn.XLOOKUP(CONTROL[[#This Row],[VEHIDCODE]],roster!A:A,roster!D:D))</f>
        <v>1</v>
      </c>
      <c r="M1010" t="b">
        <f>ISNUMBER(_xlfn.XMATCH(CONTROL[[#This Row],[VEHIDCODE]],GRAPHICS_PROPERTIES[VEHIDCODE],0))</f>
        <v>1</v>
      </c>
      <c r="N1010" s="21" t="str">
        <f>"item_"&amp;CONTROL[[#This Row],[VEHIDCODE]]</f>
        <v>item_diesel_EE_Dick__Kerr___Co_Vulcan_Foundry_DE2</v>
      </c>
      <c r="O1010" s="21" t="str">
        <f>"str_"&amp;CONTROL[[#This Row],[VEHIDCODE]]</f>
        <v>str_diesel_EE_Dick__Kerr___Co_Vulcan_Foundry_DE2</v>
      </c>
      <c r="P1010" s="42" t="b">
        <f>_xlfn.XLOOKUP(CONTROL[[#This Row],[VEHIDCODE]],PROPERTIES[VEHIDCODE],PROPERTIES[IS_CONCEPT])="IS_CONCEPT"</f>
        <v>0</v>
      </c>
      <c r="Q1010" s="7" t="b">
        <f>_xlfn.XLOOKUP(CONTROL[[#This Row],[VEHIDCODE]],PROPERTIES[VEHIDCODE],PROPERTIES[EXCLUDE])</f>
        <v>0</v>
      </c>
      <c r="R1010" t="str" cm="1">
        <f t="array" ref="R1010">_xlfn.XLOOKUP(CONTROL[[#This Row],[VEHIDCODE]],GRAPHICS_PROPERTIES[VEHIDCODE],GRAPHICS_PROPERTIES[TEMPLATE_ID]&amp;GRAPHICS_PROPERTIES[TEMPLATE_AMENDMENT_CODE])</f>
        <v>TPL_01A</v>
      </c>
    </row>
    <row r="1011" spans="1:18" x14ac:dyDescent="0.35">
      <c r="A1011" t="s">
        <v>3487</v>
      </c>
      <c r="B1011" s="21" t="str">
        <f>_xlfn.TEXTAFTER(CONTROL[[#This Row],[VEHIDCODE]],"_")</f>
        <v>Ingeteam_TD2000_series</v>
      </c>
      <c r="C1011" t="str" cm="1">
        <f t="array" ref="C10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11" t="str" cm="1">
        <f t="array" ref="D10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1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5199</v>
      </c>
      <c r="F1011" s="32" t="s">
        <v>2648</v>
      </c>
      <c r="G1011" t="s">
        <v>2647</v>
      </c>
      <c r="H1011" s="2" t="b">
        <f>AND(CONTROL[[#This Row],[IS_WAGON_OR_COACH]]=TRUE,OR(RIGHT(CONTROL[[#This Row],[VEHIDCODE]],7)="Powered",RIGHT(CONTROL[[#This Row],[VEHIDCODE]],9)="Unpowered"))</f>
        <v>0</v>
      </c>
      <c r="I10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1" t="b">
        <f>ISNUMBER(_xlfn.XMATCH(CONTROL[[#This Row],[VEHIDCODE]],TRACK_TYPES[VEHIDCODE],0))</f>
        <v>1</v>
      </c>
      <c r="K1011" t="b">
        <f>ISNUMBER(_xlfn.XMATCH(CONTROL[[#This Row],[VEHIDCODE]],PROPERTIES[VEHIDCODE],0))</f>
        <v>1</v>
      </c>
      <c r="L1011" t="b">
        <f>ISNUMBER(_xlfn.XLOOKUP(CONTROL[[#This Row],[VEHIDCODE]],roster!A:A,roster!D:D))</f>
        <v>1</v>
      </c>
      <c r="M1011" t="b">
        <f>ISNUMBER(_xlfn.XMATCH(CONTROL[[#This Row],[VEHIDCODE]],GRAPHICS_PROPERTIES[VEHIDCODE],0))</f>
        <v>1</v>
      </c>
      <c r="N1011" s="21" t="str">
        <f>"item_"&amp;CONTROL[[#This Row],[VEHIDCODE]]</f>
        <v>item_diesel_Ingeteam_TD2000_series</v>
      </c>
      <c r="O1011" s="21" t="str">
        <f>"str_"&amp;CONTROL[[#This Row],[VEHIDCODE]]</f>
        <v>str_diesel_Ingeteam_TD2000_series</v>
      </c>
      <c r="P1011" s="42" t="b">
        <f>_xlfn.XLOOKUP(CONTROL[[#This Row],[VEHIDCODE]],PROPERTIES[VEHIDCODE],PROPERTIES[IS_CONCEPT])="IS_CONCEPT"</f>
        <v>0</v>
      </c>
      <c r="Q1011" s="7" t="b">
        <f>_xlfn.XLOOKUP(CONTROL[[#This Row],[VEHIDCODE]],PROPERTIES[VEHIDCODE],PROPERTIES[EXCLUDE])</f>
        <v>0</v>
      </c>
      <c r="R1011" t="str" cm="1">
        <f t="array" ref="R1011">_xlfn.XLOOKUP(CONTROL[[#This Row],[VEHIDCODE]],GRAPHICS_PROPERTIES[VEHIDCODE],GRAPHICS_PROPERTIES[TEMPLATE_ID]&amp;GRAPHICS_PROPERTIES[TEMPLATE_AMENDMENT_CODE])</f>
        <v>TPL_01A</v>
      </c>
    </row>
    <row r="1012" spans="1:18" x14ac:dyDescent="0.35">
      <c r="A1012" s="2" t="s">
        <v>3479</v>
      </c>
      <c r="B1012" s="21" t="str">
        <f>_xlfn.TEXTAFTER(CONTROL[[#This Row],[VEHIDCODE]],"_")</f>
        <v>Tulloch_0_6_0DM_W_Class</v>
      </c>
      <c r="C1012" t="str" cm="1">
        <f t="array" ref="C10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12" t="str" cm="1">
        <f t="array" ref="D10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1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5200</v>
      </c>
      <c r="F1012" s="32" t="s">
        <v>2407</v>
      </c>
      <c r="G1012" t="s">
        <v>1634</v>
      </c>
      <c r="H1012" s="2" t="b">
        <f>AND(CONTROL[[#This Row],[IS_WAGON_OR_COACH]]=TRUE,OR(RIGHT(CONTROL[[#This Row],[VEHIDCODE]],7)="Powered",RIGHT(CONTROL[[#This Row],[VEHIDCODE]],9)="Unpowered"))</f>
        <v>0</v>
      </c>
      <c r="I10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2" t="b">
        <f>ISNUMBER(_xlfn.XMATCH(CONTROL[[#This Row],[VEHIDCODE]],TRACK_TYPES[VEHIDCODE],0))</f>
        <v>1</v>
      </c>
      <c r="K1012" t="b">
        <f>ISNUMBER(_xlfn.XMATCH(CONTROL[[#This Row],[VEHIDCODE]],PROPERTIES[VEHIDCODE],0))</f>
        <v>1</v>
      </c>
      <c r="L1012" t="b">
        <f>ISNUMBER(_xlfn.XLOOKUP(CONTROL[[#This Row],[VEHIDCODE]],roster!A:A,roster!D:D))</f>
        <v>1</v>
      </c>
      <c r="M1012" t="b">
        <f>ISNUMBER(_xlfn.XMATCH(CONTROL[[#This Row],[VEHIDCODE]],GRAPHICS_PROPERTIES[VEHIDCODE],0))</f>
        <v>1</v>
      </c>
      <c r="N1012" s="21" t="str">
        <f>"item_"&amp;CONTROL[[#This Row],[VEHIDCODE]]</f>
        <v>item_diesel_Tulloch_0_6_0DM_W_Class</v>
      </c>
      <c r="O1012" s="21" t="str">
        <f>"str_"&amp;CONTROL[[#This Row],[VEHIDCODE]]</f>
        <v>str_diesel_Tulloch_0_6_0DM_W_Class</v>
      </c>
      <c r="P1012" s="42" t="b">
        <f>_xlfn.XLOOKUP(CONTROL[[#This Row],[VEHIDCODE]],PROPERTIES[VEHIDCODE],PROPERTIES[IS_CONCEPT])="IS_CONCEPT"</f>
        <v>0</v>
      </c>
      <c r="Q1012" s="7" t="b">
        <f>_xlfn.XLOOKUP(CONTROL[[#This Row],[VEHIDCODE]],PROPERTIES[VEHIDCODE],PROPERTIES[EXCLUDE])</f>
        <v>0</v>
      </c>
      <c r="R1012" t="str" cm="1">
        <f t="array" ref="R1012">_xlfn.XLOOKUP(CONTROL[[#This Row],[VEHIDCODE]],GRAPHICS_PROPERTIES[VEHIDCODE],GRAPHICS_PROPERTIES[TEMPLATE_ID]&amp;GRAPHICS_PROPERTIES[TEMPLATE_AMENDMENT_CODE])</f>
        <v>TPL_01A</v>
      </c>
    </row>
    <row r="1013" spans="1:18" x14ac:dyDescent="0.35">
      <c r="A1013" t="s">
        <v>3491</v>
      </c>
      <c r="B1013" s="21" t="str">
        <f>_xlfn.TEXTAFTER(CONTROL[[#This Row],[VEHIDCODE]],"_")</f>
        <v>GE_289_Boxcab</v>
      </c>
      <c r="C1013" t="str" cm="1">
        <f t="array" ref="C10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13" t="str" cm="1">
        <f t="array" ref="D10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1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6166</v>
      </c>
      <c r="F1013" s="32" t="s">
        <v>3496</v>
      </c>
      <c r="G1013" t="s">
        <v>3501</v>
      </c>
      <c r="H1013" s="2" t="b">
        <f>AND(CONTROL[[#This Row],[IS_WAGON_OR_COACH]]=TRUE,OR(RIGHT(CONTROL[[#This Row],[VEHIDCODE]],7)="Powered",RIGHT(CONTROL[[#This Row],[VEHIDCODE]],9)="Unpowered"))</f>
        <v>0</v>
      </c>
      <c r="I10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3" t="b">
        <f>ISNUMBER(_xlfn.XMATCH(CONTROL[[#This Row],[VEHIDCODE]],TRACK_TYPES[VEHIDCODE],0))</f>
        <v>1</v>
      </c>
      <c r="K1013" t="b">
        <f>ISNUMBER(_xlfn.XMATCH(CONTROL[[#This Row],[VEHIDCODE]],PROPERTIES[VEHIDCODE],0))</f>
        <v>1</v>
      </c>
      <c r="L1013" t="b">
        <f>ISNUMBER(_xlfn.XLOOKUP(CONTROL[[#This Row],[VEHIDCODE]],roster!A:A,roster!D:D))</f>
        <v>1</v>
      </c>
      <c r="M1013" t="b">
        <f>ISNUMBER(_xlfn.XMATCH(CONTROL[[#This Row],[VEHIDCODE]],GRAPHICS_PROPERTIES[VEHIDCODE],0))</f>
        <v>1</v>
      </c>
      <c r="N1013" s="21" t="str">
        <f>"item_"&amp;CONTROL[[#This Row],[VEHIDCODE]]</f>
        <v>item_electric_GE_289_Boxcab</v>
      </c>
      <c r="O1013" s="21" t="str">
        <f>"str_"&amp;CONTROL[[#This Row],[VEHIDCODE]]</f>
        <v>str_electric_GE_289_Boxcab</v>
      </c>
      <c r="P1013" s="42" t="b">
        <f>_xlfn.XLOOKUP(CONTROL[[#This Row],[VEHIDCODE]],PROPERTIES[VEHIDCODE],PROPERTIES[IS_CONCEPT])="IS_CONCEPT"</f>
        <v>0</v>
      </c>
      <c r="Q1013" s="7" t="b">
        <f>_xlfn.XLOOKUP(CONTROL[[#This Row],[VEHIDCODE]],PROPERTIES[VEHIDCODE],PROPERTIES[EXCLUDE])</f>
        <v>0</v>
      </c>
      <c r="R1013" t="str" cm="1">
        <f t="array" ref="R1013">_xlfn.XLOOKUP(CONTROL[[#This Row],[VEHIDCODE]],GRAPHICS_PROPERTIES[VEHIDCODE],GRAPHICS_PROPERTIES[TEMPLATE_ID]&amp;GRAPHICS_PROPERTIES[TEMPLATE_AMENDMENT_CODE])</f>
        <v>TPL_01A</v>
      </c>
    </row>
    <row r="1014" spans="1:18" x14ac:dyDescent="0.35">
      <c r="A1014" t="s">
        <v>3494</v>
      </c>
      <c r="B1014" s="21" t="str">
        <f>_xlfn.TEXTAFTER(CONTROL[[#This Row],[VEHIDCODE]],"_")</f>
        <v>Alsthom_EC_386</v>
      </c>
      <c r="C1014" t="str" cm="1">
        <f t="array" ref="C10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14" t="str" cm="1">
        <f t="array" ref="D10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1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6167</v>
      </c>
      <c r="F1014" s="32" t="s">
        <v>3495</v>
      </c>
      <c r="G1014" t="s">
        <v>3497</v>
      </c>
      <c r="H1014" s="2" t="b">
        <f>AND(CONTROL[[#This Row],[IS_WAGON_OR_COACH]]=TRUE,OR(RIGHT(CONTROL[[#This Row],[VEHIDCODE]],7)="Powered",RIGHT(CONTROL[[#This Row],[VEHIDCODE]],9)="Unpowered"))</f>
        <v>0</v>
      </c>
      <c r="I10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4" t="b">
        <f>ISNUMBER(_xlfn.XMATCH(CONTROL[[#This Row],[VEHIDCODE]],TRACK_TYPES[VEHIDCODE],0))</f>
        <v>1</v>
      </c>
      <c r="K1014" t="b">
        <f>ISNUMBER(_xlfn.XMATCH(CONTROL[[#This Row],[VEHIDCODE]],PROPERTIES[VEHIDCODE],0))</f>
        <v>1</v>
      </c>
      <c r="L1014" t="b">
        <f>ISNUMBER(_xlfn.XLOOKUP(CONTROL[[#This Row],[VEHIDCODE]],roster!A:A,roster!D:D))</f>
        <v>1</v>
      </c>
      <c r="M1014" t="b">
        <f>ISNUMBER(_xlfn.XMATCH(CONTROL[[#This Row],[VEHIDCODE]],GRAPHICS_PROPERTIES[VEHIDCODE],0))</f>
        <v>1</v>
      </c>
      <c r="N1014" s="21" t="str">
        <f>"item_"&amp;CONTROL[[#This Row],[VEHIDCODE]]</f>
        <v>item_electric_Alsthom_EC_386</v>
      </c>
      <c r="O1014" s="21" t="str">
        <f>"str_"&amp;CONTROL[[#This Row],[VEHIDCODE]]</f>
        <v>str_electric_Alsthom_EC_386</v>
      </c>
      <c r="P1014" s="42" t="b">
        <f>_xlfn.XLOOKUP(CONTROL[[#This Row],[VEHIDCODE]],PROPERTIES[VEHIDCODE],PROPERTIES[IS_CONCEPT])="IS_CONCEPT"</f>
        <v>0</v>
      </c>
      <c r="Q1014" s="7" t="b">
        <f>_xlfn.XLOOKUP(CONTROL[[#This Row],[VEHIDCODE]],PROPERTIES[VEHIDCODE],PROPERTIES[EXCLUDE])</f>
        <v>0</v>
      </c>
      <c r="R1014" t="str" cm="1">
        <f t="array" ref="R1014">_xlfn.XLOOKUP(CONTROL[[#This Row],[VEHIDCODE]],GRAPHICS_PROPERTIES[VEHIDCODE],GRAPHICS_PROPERTIES[TEMPLATE_ID]&amp;GRAPHICS_PROPERTIES[TEMPLATE_AMENDMENT_CODE])</f>
        <v>TPL_01A</v>
      </c>
    </row>
    <row r="1015" spans="1:18" x14ac:dyDescent="0.35">
      <c r="A1015" t="s">
        <v>3499</v>
      </c>
      <c r="B1015" s="21" t="str">
        <f>_xlfn.TEXTAFTER(CONTROL[[#This Row],[VEHIDCODE]],"_")</f>
        <v>Chesta_Casagrande_E650</v>
      </c>
      <c r="C1015" t="str" cm="1">
        <f t="array" ref="C10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15" t="str" cm="1">
        <f t="array" ref="D10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1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6168</v>
      </c>
      <c r="F1015" s="32" t="s">
        <v>3498</v>
      </c>
      <c r="G1015" t="s">
        <v>523</v>
      </c>
      <c r="H1015" s="2" t="b">
        <f>AND(CONTROL[[#This Row],[IS_WAGON_OR_COACH]]=TRUE,OR(RIGHT(CONTROL[[#This Row],[VEHIDCODE]],7)="Powered",RIGHT(CONTROL[[#This Row],[VEHIDCODE]],9)="Unpowered"))</f>
        <v>0</v>
      </c>
      <c r="I10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5" t="b">
        <f>ISNUMBER(_xlfn.XMATCH(CONTROL[[#This Row],[VEHIDCODE]],TRACK_TYPES[VEHIDCODE],0))</f>
        <v>1</v>
      </c>
      <c r="K1015" t="b">
        <f>ISNUMBER(_xlfn.XMATCH(CONTROL[[#This Row],[VEHIDCODE]],PROPERTIES[VEHIDCODE],0))</f>
        <v>1</v>
      </c>
      <c r="L1015" t="b">
        <f>ISNUMBER(_xlfn.XLOOKUP(CONTROL[[#This Row],[VEHIDCODE]],roster!A:A,roster!D:D))</f>
        <v>1</v>
      </c>
      <c r="M1015" t="b">
        <f>ISNUMBER(_xlfn.XMATCH(CONTROL[[#This Row],[VEHIDCODE]],GRAPHICS_PROPERTIES[VEHIDCODE],0))</f>
        <v>1</v>
      </c>
      <c r="N1015" s="21" t="str">
        <f>"item_"&amp;CONTROL[[#This Row],[VEHIDCODE]]</f>
        <v>item_electric_Chesta_Casagrande_E650</v>
      </c>
      <c r="O1015" s="21" t="str">
        <f>"str_"&amp;CONTROL[[#This Row],[VEHIDCODE]]</f>
        <v>str_electric_Chesta_Casagrande_E650</v>
      </c>
      <c r="P1015" s="42" t="b">
        <f>_xlfn.XLOOKUP(CONTROL[[#This Row],[VEHIDCODE]],PROPERTIES[VEHIDCODE],PROPERTIES[IS_CONCEPT])="IS_CONCEPT"</f>
        <v>0</v>
      </c>
      <c r="Q1015" s="7" t="b">
        <f>_xlfn.XLOOKUP(CONTROL[[#This Row],[VEHIDCODE]],PROPERTIES[VEHIDCODE],PROPERTIES[EXCLUDE])</f>
        <v>0</v>
      </c>
      <c r="R1015" t="str" cm="1">
        <f t="array" ref="R1015">_xlfn.XLOOKUP(CONTROL[[#This Row],[VEHIDCODE]],GRAPHICS_PROPERTIES[VEHIDCODE],GRAPHICS_PROPERTIES[TEMPLATE_ID]&amp;GRAPHICS_PROPERTIES[TEMPLATE_AMENDMENT_CODE])</f>
        <v>TPL_01A</v>
      </c>
    </row>
    <row r="1016" spans="1:18" x14ac:dyDescent="0.35">
      <c r="A1016" t="s">
        <v>3492</v>
      </c>
      <c r="B1016" s="21" t="str">
        <f>_xlfn.TEXTAFTER(CONTROL[[#This Row],[VEHIDCODE]],"_")</f>
        <v>Breda_Marelli_E32</v>
      </c>
      <c r="C1016" t="str" cm="1">
        <f t="array" ref="C10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16" t="str" cm="1">
        <f t="array" ref="D10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1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6169</v>
      </c>
      <c r="F1016" s="32" t="s">
        <v>3493</v>
      </c>
      <c r="G1016" t="s">
        <v>3500</v>
      </c>
      <c r="H1016" s="2" t="b">
        <f>AND(CONTROL[[#This Row],[IS_WAGON_OR_COACH]]=TRUE,OR(RIGHT(CONTROL[[#This Row],[VEHIDCODE]],7)="Powered",RIGHT(CONTROL[[#This Row],[VEHIDCODE]],9)="Unpowered"))</f>
        <v>0</v>
      </c>
      <c r="I10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6" t="b">
        <f>ISNUMBER(_xlfn.XMATCH(CONTROL[[#This Row],[VEHIDCODE]],TRACK_TYPES[VEHIDCODE],0))</f>
        <v>1</v>
      </c>
      <c r="K1016" t="b">
        <f>ISNUMBER(_xlfn.XMATCH(CONTROL[[#This Row],[VEHIDCODE]],PROPERTIES[VEHIDCODE],0))</f>
        <v>1</v>
      </c>
      <c r="L1016" t="b">
        <f>ISNUMBER(_xlfn.XLOOKUP(CONTROL[[#This Row],[VEHIDCODE]],roster!A:A,roster!D:D))</f>
        <v>1</v>
      </c>
      <c r="M1016" t="b">
        <f>ISNUMBER(_xlfn.XMATCH(CONTROL[[#This Row],[VEHIDCODE]],GRAPHICS_PROPERTIES[VEHIDCODE],0))</f>
        <v>1</v>
      </c>
      <c r="N1016" s="21" t="str">
        <f>"item_"&amp;CONTROL[[#This Row],[VEHIDCODE]]</f>
        <v>item_electric_Breda_Marelli_E32</v>
      </c>
      <c r="O1016" s="21" t="str">
        <f>"str_"&amp;CONTROL[[#This Row],[VEHIDCODE]]</f>
        <v>str_electric_Breda_Marelli_E32</v>
      </c>
      <c r="P1016" s="42" t="b">
        <f>_xlfn.XLOOKUP(CONTROL[[#This Row],[VEHIDCODE]],PROPERTIES[VEHIDCODE],PROPERTIES[IS_CONCEPT])="IS_CONCEPT"</f>
        <v>0</v>
      </c>
      <c r="Q1016" s="7" t="b">
        <f>_xlfn.XLOOKUP(CONTROL[[#This Row],[VEHIDCODE]],PROPERTIES[VEHIDCODE],PROPERTIES[EXCLUDE])</f>
        <v>0</v>
      </c>
      <c r="R1016" t="str" cm="1">
        <f t="array" ref="R1016">_xlfn.XLOOKUP(CONTROL[[#This Row],[VEHIDCODE]],GRAPHICS_PROPERTIES[VEHIDCODE],GRAPHICS_PROPERTIES[TEMPLATE_ID]&amp;GRAPHICS_PROPERTIES[TEMPLATE_AMENDMENT_CODE])</f>
        <v>TPL_01A</v>
      </c>
    </row>
    <row r="1017" spans="1:18" x14ac:dyDescent="0.35">
      <c r="A1017" t="s">
        <v>3502</v>
      </c>
      <c r="B1017" s="21" t="str">
        <f>_xlfn.TEXTAFTER(CONTROL[[#This Row],[VEHIDCODE]],"_")</f>
        <v>GE_ES58ACi</v>
      </c>
      <c r="C1017" t="str" cm="1">
        <f t="array" ref="C10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17" t="str" cm="1">
        <f t="array" ref="D10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1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5201</v>
      </c>
      <c r="F1017" s="32" t="s">
        <v>3503</v>
      </c>
      <c r="G1017" t="s">
        <v>1320</v>
      </c>
      <c r="H1017" s="2" t="b">
        <f>AND(CONTROL[[#This Row],[IS_WAGON_OR_COACH]]=TRUE,OR(RIGHT(CONTROL[[#This Row],[VEHIDCODE]],7)="Powered",RIGHT(CONTROL[[#This Row],[VEHIDCODE]],9)="Unpowered"))</f>
        <v>0</v>
      </c>
      <c r="I10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7" t="b">
        <f>ISNUMBER(_xlfn.XMATCH(CONTROL[[#This Row],[VEHIDCODE]],TRACK_TYPES[VEHIDCODE],0))</f>
        <v>1</v>
      </c>
      <c r="K1017" t="b">
        <f>ISNUMBER(_xlfn.XMATCH(CONTROL[[#This Row],[VEHIDCODE]],PROPERTIES[VEHIDCODE],0))</f>
        <v>1</v>
      </c>
      <c r="L1017" t="b">
        <f>ISNUMBER(_xlfn.XLOOKUP(CONTROL[[#This Row],[VEHIDCODE]],roster!A:A,roster!D:D))</f>
        <v>1</v>
      </c>
      <c r="M1017" t="b">
        <f>ISNUMBER(_xlfn.XMATCH(CONTROL[[#This Row],[VEHIDCODE]],GRAPHICS_PROPERTIES[VEHIDCODE],0))</f>
        <v>1</v>
      </c>
      <c r="N1017" s="21" t="str">
        <f>"item_"&amp;CONTROL[[#This Row],[VEHIDCODE]]</f>
        <v>item_diesel_GE_ES58ACi</v>
      </c>
      <c r="O1017" s="21" t="str">
        <f>"str_"&amp;CONTROL[[#This Row],[VEHIDCODE]]</f>
        <v>str_diesel_GE_ES58ACi</v>
      </c>
      <c r="P1017" s="42" t="b">
        <f>_xlfn.XLOOKUP(CONTROL[[#This Row],[VEHIDCODE]],PROPERTIES[VEHIDCODE],PROPERTIES[IS_CONCEPT])="IS_CONCEPT"</f>
        <v>0</v>
      </c>
      <c r="Q1017" s="7" t="b">
        <f>_xlfn.XLOOKUP(CONTROL[[#This Row],[VEHIDCODE]],PROPERTIES[VEHIDCODE],PROPERTIES[EXCLUDE])</f>
        <v>0</v>
      </c>
      <c r="R1017" t="str" cm="1">
        <f t="array" ref="R1017">_xlfn.XLOOKUP(CONTROL[[#This Row],[VEHIDCODE]],GRAPHICS_PROPERTIES[VEHIDCODE],GRAPHICS_PROPERTIES[TEMPLATE_ID]&amp;GRAPHICS_PROPERTIES[TEMPLATE_AMENDMENT_CODE])</f>
        <v>TPL_01A</v>
      </c>
    </row>
    <row r="1018" spans="1:18" x14ac:dyDescent="0.35">
      <c r="A1018" t="s">
        <v>3703</v>
      </c>
      <c r="B1018" s="21" t="str">
        <f>_xlfn.TEXTAFTER(CONTROL[[#This Row],[VEHIDCODE]],"_")</f>
        <v>Ganz_MAVAG_Ikarus_725_00</v>
      </c>
      <c r="C1018" t="str" cm="1">
        <f t="array" ref="C10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018" t="str" cm="1">
        <f t="array" ref="D10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01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2048</v>
      </c>
      <c r="F1018" s="32" t="s">
        <v>3548</v>
      </c>
      <c r="G1018" t="s">
        <v>3542</v>
      </c>
      <c r="H1018" s="2" t="b">
        <f>AND(CONTROL[[#This Row],[IS_WAGON_OR_COACH]]=TRUE,OR(RIGHT(CONTROL[[#This Row],[VEHIDCODE]],7)="Powered",RIGHT(CONTROL[[#This Row],[VEHIDCODE]],9)="Unpowered"))</f>
        <v>0</v>
      </c>
      <c r="I10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8" t="b">
        <f>ISNUMBER(_xlfn.XMATCH(CONTROL[[#This Row],[VEHIDCODE]],TRACK_TYPES[VEHIDCODE],0))</f>
        <v>1</v>
      </c>
      <c r="K1018" t="b">
        <f>ISNUMBER(_xlfn.XMATCH(CONTROL[[#This Row],[VEHIDCODE]],PROPERTIES[VEHIDCODE],0))</f>
        <v>1</v>
      </c>
      <c r="L1018" t="b">
        <f>ISNUMBER(_xlfn.XLOOKUP(CONTROL[[#This Row],[VEHIDCODE]],roster!A:A,roster!D:D))</f>
        <v>1</v>
      </c>
      <c r="M1018" t="b">
        <f>ISNUMBER(_xlfn.XMATCH(CONTROL[[#This Row],[VEHIDCODE]],GRAPHICS_PROPERTIES[VEHIDCODE],0))</f>
        <v>1</v>
      </c>
      <c r="N1018" s="21" t="str">
        <f>"item_"&amp;CONTROL[[#This Row],[VEHIDCODE]]</f>
        <v>item_rbd_Ganz_MAVAG_Ikarus_725_00</v>
      </c>
      <c r="O1018" s="21" t="str">
        <f>"str_"&amp;CONTROL[[#This Row],[VEHIDCODE]]</f>
        <v>str_rbd_Ganz_MAVAG_Ikarus_725_00</v>
      </c>
      <c r="P1018" s="42" t="b">
        <f>_xlfn.XLOOKUP(CONTROL[[#This Row],[VEHIDCODE]],PROPERTIES[VEHIDCODE],PROPERTIES[IS_CONCEPT])="IS_CONCEPT"</f>
        <v>0</v>
      </c>
      <c r="Q1018" s="7" t="b">
        <f>_xlfn.XLOOKUP(CONTROL[[#This Row],[VEHIDCODE]],PROPERTIES[VEHIDCODE],PROPERTIES[EXCLUDE])</f>
        <v>0</v>
      </c>
      <c r="R1018" t="str" cm="1">
        <f t="array" ref="R1018">_xlfn.XLOOKUP(CONTROL[[#This Row],[VEHIDCODE]],GRAPHICS_PROPERTIES[VEHIDCODE],GRAPHICS_PROPERTIES[TEMPLATE_ID]&amp;GRAPHICS_PROPERTIES[TEMPLATE_AMENDMENT_CODE])</f>
        <v>TPL_03E</v>
      </c>
    </row>
    <row r="1019" spans="1:18" x14ac:dyDescent="0.35">
      <c r="A1019" t="s">
        <v>3558</v>
      </c>
      <c r="B1019" s="21" t="str">
        <f>_xlfn.TEXTAFTER(CONTROL[[#This Row],[VEHIDCODE]],"_")</f>
        <v>Alstom_Metropolis</v>
      </c>
      <c r="C1019" t="str" cm="1">
        <f t="array" ref="C10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19" t="str" cm="1">
        <f t="array" ref="D10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101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9067</v>
      </c>
      <c r="F1019" s="32" t="s">
        <v>3559</v>
      </c>
      <c r="G1019" t="s">
        <v>3560</v>
      </c>
      <c r="H1019" s="2" t="b">
        <f>AND(CONTROL[[#This Row],[IS_WAGON_OR_COACH]]=TRUE,OR(RIGHT(CONTROL[[#This Row],[VEHIDCODE]],7)="Powered",RIGHT(CONTROL[[#This Row],[VEHIDCODE]],9)="Unpowered"))</f>
        <v>0</v>
      </c>
      <c r="I10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9" t="b">
        <f>ISNUMBER(_xlfn.XMATCH(CONTROL[[#This Row],[VEHIDCODE]],TRACK_TYPES[VEHIDCODE],0))</f>
        <v>1</v>
      </c>
      <c r="K1019" t="b">
        <f>ISNUMBER(_xlfn.XMATCH(CONTROL[[#This Row],[VEHIDCODE]],PROPERTIES[VEHIDCODE],0))</f>
        <v>1</v>
      </c>
      <c r="L1019" t="b">
        <f>ISNUMBER(_xlfn.XLOOKUP(CONTROL[[#This Row],[VEHIDCODE]],roster!A:A,roster!D:D))</f>
        <v>1</v>
      </c>
      <c r="M1019" t="b">
        <f>ISNUMBER(_xlfn.XMATCH(CONTROL[[#This Row],[VEHIDCODE]],GRAPHICS_PROPERTIES[VEHIDCODE],0))</f>
        <v>1</v>
      </c>
      <c r="N1019" s="21" t="str">
        <f>"item_"&amp;CONTROL[[#This Row],[VEHIDCODE]]</f>
        <v>item_mtro_Alstom_Metropolis</v>
      </c>
      <c r="O1019" s="21" t="str">
        <f>"str_"&amp;CONTROL[[#This Row],[VEHIDCODE]]</f>
        <v>str_mtro_Alstom_Metropolis</v>
      </c>
      <c r="P1019" s="42" t="b">
        <f>_xlfn.XLOOKUP(CONTROL[[#This Row],[VEHIDCODE]],PROPERTIES[VEHIDCODE],PROPERTIES[IS_CONCEPT])="IS_CONCEPT"</f>
        <v>0</v>
      </c>
      <c r="Q1019" s="7" t="b">
        <f>_xlfn.XLOOKUP(CONTROL[[#This Row],[VEHIDCODE]],PROPERTIES[VEHIDCODE],PROPERTIES[EXCLUDE])</f>
        <v>0</v>
      </c>
      <c r="R1019" t="str" cm="1">
        <f t="array" ref="R1019">_xlfn.XLOOKUP(CONTROL[[#This Row],[VEHIDCODE]],GRAPHICS_PROPERTIES[VEHIDCODE],GRAPHICS_PROPERTIES[TEMPLATE_ID]&amp;GRAPHICS_PROPERTIES[TEMPLATE_AMENDMENT_CODE])</f>
        <v>TPL_02C</v>
      </c>
    </row>
    <row r="1020" spans="1:18" x14ac:dyDescent="0.35">
      <c r="A1020" t="s">
        <v>3561</v>
      </c>
      <c r="B1020" s="21" t="str">
        <f>_xlfn.TEXTAFTER(CONTROL[[#This Row],[VEHIDCODE]],"_")</f>
        <v>Sharp_2_2_2_Patriot</v>
      </c>
      <c r="C1020" t="str" cm="1">
        <f t="array" ref="C10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20" t="str" cm="1">
        <f t="array" ref="D10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2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4153</v>
      </c>
      <c r="F1020" s="32" t="s">
        <v>3563</v>
      </c>
      <c r="G1020" t="s">
        <v>3562</v>
      </c>
      <c r="H1020" s="2" t="b">
        <f>AND(CONTROL[[#This Row],[IS_WAGON_OR_COACH]]=TRUE,OR(RIGHT(CONTROL[[#This Row],[VEHIDCODE]],7)="Powered",RIGHT(CONTROL[[#This Row],[VEHIDCODE]],9)="Unpowered"))</f>
        <v>0</v>
      </c>
      <c r="I10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0" t="b">
        <f>ISNUMBER(_xlfn.XMATCH(CONTROL[[#This Row],[VEHIDCODE]],TRACK_TYPES[VEHIDCODE],0))</f>
        <v>1</v>
      </c>
      <c r="K1020" t="b">
        <f>ISNUMBER(_xlfn.XMATCH(CONTROL[[#This Row],[VEHIDCODE]],PROPERTIES[VEHIDCODE],0))</f>
        <v>1</v>
      </c>
      <c r="L1020" t="b">
        <f>ISNUMBER(_xlfn.XLOOKUP(CONTROL[[#This Row],[VEHIDCODE]],roster!A:A,roster!D:D))</f>
        <v>1</v>
      </c>
      <c r="M1020" t="b">
        <f>ISNUMBER(_xlfn.XMATCH(CONTROL[[#This Row],[VEHIDCODE]],GRAPHICS_PROPERTIES[VEHIDCODE],0))</f>
        <v>1</v>
      </c>
      <c r="N1020" s="21" t="str">
        <f>"item_"&amp;CONTROL[[#This Row],[VEHIDCODE]]</f>
        <v>item_steam_Sharp_2_2_2_Patriot</v>
      </c>
      <c r="O1020" s="21" t="str">
        <f>"str_"&amp;CONTROL[[#This Row],[VEHIDCODE]]</f>
        <v>str_steam_Sharp_2_2_2_Patriot</v>
      </c>
      <c r="P1020" s="42" t="b">
        <f>_xlfn.XLOOKUP(CONTROL[[#This Row],[VEHIDCODE]],PROPERTIES[VEHIDCODE],PROPERTIES[IS_CONCEPT])="IS_CONCEPT"</f>
        <v>0</v>
      </c>
      <c r="Q1020" s="7" t="b">
        <f>_xlfn.XLOOKUP(CONTROL[[#This Row],[VEHIDCODE]],PROPERTIES[VEHIDCODE],PROPERTIES[EXCLUDE])</f>
        <v>0</v>
      </c>
      <c r="R1020" t="str" cm="1">
        <f t="array" ref="R1020">_xlfn.XLOOKUP(CONTROL[[#This Row],[VEHIDCODE]],GRAPHICS_PROPERTIES[VEHIDCODE],GRAPHICS_PROPERTIES[TEMPLATE_ID]&amp;GRAPHICS_PROPERTIES[TEMPLATE_AMENDMENT_CODE])</f>
        <v>TPL_03C</v>
      </c>
    </row>
    <row r="1021" spans="1:18" x14ac:dyDescent="0.35">
      <c r="A1021" s="2" t="s">
        <v>3570</v>
      </c>
      <c r="B1021" s="21" t="str">
        <f>_xlfn.TEXTAFTER(CONTROL[[#This Row],[VEHIDCODE]],"_")</f>
        <v>Coach_Gen2_Heavyweight_Regional_Coach</v>
      </c>
      <c r="C1021" t="str" cm="1">
        <f t="array" ref="C10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1021" t="str" cm="1">
        <f t="array" ref="D10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2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11097</v>
      </c>
      <c r="F1021" s="32" t="s">
        <v>3571</v>
      </c>
      <c r="G1021" t="s">
        <v>523</v>
      </c>
      <c r="H1021" s="2" t="b">
        <f>AND(CONTROL[[#This Row],[IS_WAGON_OR_COACH]]=TRUE,OR(RIGHT(CONTROL[[#This Row],[VEHIDCODE]],7)="Powered",RIGHT(CONTROL[[#This Row],[VEHIDCODE]],9)="Unpowered"))</f>
        <v>0</v>
      </c>
      <c r="I10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21" t="b">
        <f>ISNUMBER(_xlfn.XMATCH(CONTROL[[#This Row],[VEHIDCODE]],TRACK_TYPES[VEHIDCODE],0))</f>
        <v>1</v>
      </c>
      <c r="K1021" t="b">
        <f>ISNUMBER(_xlfn.XMATCH(CONTROL[[#This Row],[VEHIDCODE]],PROPERTIES[VEHIDCODE],0))</f>
        <v>1</v>
      </c>
      <c r="L1021" t="b">
        <f>ISNUMBER(_xlfn.XLOOKUP(CONTROL[[#This Row],[VEHIDCODE]],roster!A:A,roster!D:D))</f>
        <v>1</v>
      </c>
      <c r="M1021" t="b">
        <f>ISNUMBER(_xlfn.XMATCH(CONTROL[[#This Row],[VEHIDCODE]],GRAPHICS_PROPERTIES[VEHIDCODE],0))</f>
        <v>1</v>
      </c>
      <c r="N1021" s="21" t="str">
        <f>"item_"&amp;CONTROL[[#This Row],[VEHIDCODE]]</f>
        <v>item_mu_Coach_Gen2_Heavyweight_Regional_Coach</v>
      </c>
      <c r="O1021" s="21" t="str">
        <f>"str_"&amp;CONTROL[[#This Row],[VEHIDCODE]]</f>
        <v>str_mu_Coach_Gen2_Heavyweight_Regional_Coach</v>
      </c>
      <c r="P1021" s="7" t="b">
        <f>_xlfn.XLOOKUP(CONTROL[[#This Row],[VEHIDCODE]],PROPERTIES[VEHIDCODE],PROPERTIES[IS_CONCEPT])="IS_CONCEPT"</f>
        <v>0</v>
      </c>
      <c r="Q1021" s="7" t="b">
        <f>_xlfn.XLOOKUP(CONTROL[[#This Row],[VEHIDCODE]],PROPERTIES[VEHIDCODE],PROPERTIES[EXCLUDE])</f>
        <v>0</v>
      </c>
      <c r="R1021" t="str" cm="1">
        <f t="array" ref="R1021">_xlfn.XLOOKUP(CONTROL[[#This Row],[VEHIDCODE]],GRAPHICS_PROPERTIES[VEHIDCODE],GRAPHICS_PROPERTIES[TEMPLATE_ID]&amp;GRAPHICS_PROPERTIES[TEMPLATE_AMENDMENT_CODE])</f>
        <v>TPL_04A</v>
      </c>
    </row>
    <row r="1022" spans="1:18" x14ac:dyDescent="0.35">
      <c r="A1022" t="s">
        <v>3575</v>
      </c>
      <c r="B1022" s="21" t="str">
        <f>_xlfn.TEXTAFTER(CONTROL[[#This Row],[VEHIDCODE]],"_")</f>
        <v>Coach_Gen1_American_Style_Coach</v>
      </c>
      <c r="C1022" t="str" cm="1">
        <f t="array" ref="C10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1022" t="str" cm="1">
        <f t="array" ref="D10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2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11098</v>
      </c>
      <c r="F1022" s="32" t="s">
        <v>3576</v>
      </c>
      <c r="G1022" t="s">
        <v>523</v>
      </c>
      <c r="H1022" s="2" t="b">
        <f>AND(CONTROL[[#This Row],[IS_WAGON_OR_COACH]]=TRUE,OR(RIGHT(CONTROL[[#This Row],[VEHIDCODE]],7)="Powered",RIGHT(CONTROL[[#This Row],[VEHIDCODE]],9)="Unpowered"))</f>
        <v>0</v>
      </c>
      <c r="I10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22" t="b">
        <f>ISNUMBER(_xlfn.XMATCH(CONTROL[[#This Row],[VEHIDCODE]],TRACK_TYPES[VEHIDCODE],0))</f>
        <v>1</v>
      </c>
      <c r="K1022" t="b">
        <f>ISNUMBER(_xlfn.XMATCH(CONTROL[[#This Row],[VEHIDCODE]],PROPERTIES[VEHIDCODE],0))</f>
        <v>1</v>
      </c>
      <c r="L1022" t="b">
        <f>ISNUMBER(_xlfn.XLOOKUP(CONTROL[[#This Row],[VEHIDCODE]],roster!A:A,roster!D:D))</f>
        <v>1</v>
      </c>
      <c r="M1022" t="b">
        <f>ISNUMBER(_xlfn.XMATCH(CONTROL[[#This Row],[VEHIDCODE]],GRAPHICS_PROPERTIES[VEHIDCODE],0))</f>
        <v>1</v>
      </c>
      <c r="N1022" s="21" t="str">
        <f>"item_"&amp;CONTROL[[#This Row],[VEHIDCODE]]</f>
        <v>item_mu_Coach_Gen1_American_Style_Coach</v>
      </c>
      <c r="O1022" s="21" t="str">
        <f>"str_"&amp;CONTROL[[#This Row],[VEHIDCODE]]</f>
        <v>str_mu_Coach_Gen1_American_Style_Coach</v>
      </c>
      <c r="P1022" s="42" t="b">
        <f>_xlfn.XLOOKUP(CONTROL[[#This Row],[VEHIDCODE]],PROPERTIES[VEHIDCODE],PROPERTIES[IS_CONCEPT])="IS_CONCEPT"</f>
        <v>0</v>
      </c>
      <c r="Q1022" s="7" t="b">
        <f>_xlfn.XLOOKUP(CONTROL[[#This Row],[VEHIDCODE]],PROPERTIES[VEHIDCODE],PROPERTIES[EXCLUDE])</f>
        <v>0</v>
      </c>
      <c r="R1022" t="str" cm="1">
        <f t="array" ref="R1022">_xlfn.XLOOKUP(CONTROL[[#This Row],[VEHIDCODE]],GRAPHICS_PROPERTIES[VEHIDCODE],GRAPHICS_PROPERTIES[TEMPLATE_ID]&amp;GRAPHICS_PROPERTIES[TEMPLATE_AMENDMENT_CODE])</f>
        <v>TPL_04A</v>
      </c>
    </row>
    <row r="1023" spans="1:18" x14ac:dyDescent="0.35">
      <c r="A1023" t="s">
        <v>3574</v>
      </c>
      <c r="B1023" s="21" t="str">
        <f>_xlfn.TEXTAFTER(CONTROL[[#This Row],[VEHIDCODE]],"_")</f>
        <v>Coach_Gen1_American_Style_Mail_Coach</v>
      </c>
      <c r="C1023" t="str" cm="1">
        <f t="array" ref="C10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1023" t="str" cm="1">
        <f t="array" ref="D10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2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11099</v>
      </c>
      <c r="F1023" s="32" t="s">
        <v>3577</v>
      </c>
      <c r="G1023" t="s">
        <v>523</v>
      </c>
      <c r="H1023" s="2" t="b">
        <f>AND(CONTROL[[#This Row],[IS_WAGON_OR_COACH]]=TRUE,OR(RIGHT(CONTROL[[#This Row],[VEHIDCODE]],7)="Powered",RIGHT(CONTROL[[#This Row],[VEHIDCODE]],9)="Unpowered"))</f>
        <v>0</v>
      </c>
      <c r="I10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23" t="b">
        <f>ISNUMBER(_xlfn.XMATCH(CONTROL[[#This Row],[VEHIDCODE]],TRACK_TYPES[VEHIDCODE],0))</f>
        <v>1</v>
      </c>
      <c r="K1023" t="b">
        <f>ISNUMBER(_xlfn.XMATCH(CONTROL[[#This Row],[VEHIDCODE]],PROPERTIES[VEHIDCODE],0))</f>
        <v>1</v>
      </c>
      <c r="L1023" t="b">
        <f>ISNUMBER(_xlfn.XLOOKUP(CONTROL[[#This Row],[VEHIDCODE]],roster!A:A,roster!D:D))</f>
        <v>1</v>
      </c>
      <c r="M1023" t="b">
        <f>ISNUMBER(_xlfn.XMATCH(CONTROL[[#This Row],[VEHIDCODE]],GRAPHICS_PROPERTIES[VEHIDCODE],0))</f>
        <v>1</v>
      </c>
      <c r="N1023" s="21" t="str">
        <f>"item_"&amp;CONTROL[[#This Row],[VEHIDCODE]]</f>
        <v>item_mu_Coach_Gen1_American_Style_Mail_Coach</v>
      </c>
      <c r="O1023" s="21" t="str">
        <f>"str_"&amp;CONTROL[[#This Row],[VEHIDCODE]]</f>
        <v>str_mu_Coach_Gen1_American_Style_Mail_Coach</v>
      </c>
      <c r="P1023" s="42" t="b">
        <f>_xlfn.XLOOKUP(CONTROL[[#This Row],[VEHIDCODE]],PROPERTIES[VEHIDCODE],PROPERTIES[IS_CONCEPT])="IS_CONCEPT"</f>
        <v>0</v>
      </c>
      <c r="Q1023" s="7" t="b">
        <f>_xlfn.XLOOKUP(CONTROL[[#This Row],[VEHIDCODE]],PROPERTIES[VEHIDCODE],PROPERTIES[EXCLUDE])</f>
        <v>0</v>
      </c>
      <c r="R1023" t="str" cm="1">
        <f t="array" ref="R1023">_xlfn.XLOOKUP(CONTROL[[#This Row],[VEHIDCODE]],GRAPHICS_PROPERTIES[VEHIDCODE],GRAPHICS_PROPERTIES[TEMPLATE_ID]&amp;GRAPHICS_PROPERTIES[TEMPLATE_AMENDMENT_CODE])</f>
        <v>TPL_04A</v>
      </c>
    </row>
    <row r="1024" spans="1:18" x14ac:dyDescent="0.35">
      <c r="A1024" s="2" t="s">
        <v>3581</v>
      </c>
      <c r="B1024" s="21" t="str">
        <f>_xlfn.TEXTAFTER(CONTROL[[#This Row],[VEHIDCODE]],"_")</f>
        <v>Coach_Gen3_Steel_Lightweight_Commuter_Coach</v>
      </c>
      <c r="C1024" t="str" cm="1">
        <f t="array" ref="C10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1024" t="str" cm="1">
        <f t="array" ref="D10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2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11100</v>
      </c>
      <c r="F1024" s="32" t="s">
        <v>3582</v>
      </c>
      <c r="G1024" t="s">
        <v>523</v>
      </c>
      <c r="H1024" s="2" t="b">
        <f>AND(CONTROL[[#This Row],[IS_WAGON_OR_COACH]]=TRUE,OR(RIGHT(CONTROL[[#This Row],[VEHIDCODE]],7)="Powered",RIGHT(CONTROL[[#This Row],[VEHIDCODE]],9)="Unpowered"))</f>
        <v>0</v>
      </c>
      <c r="I10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24" t="b">
        <f>ISNUMBER(_xlfn.XMATCH(CONTROL[[#This Row],[VEHIDCODE]],TRACK_TYPES[VEHIDCODE],0))</f>
        <v>1</v>
      </c>
      <c r="K1024" t="b">
        <f>ISNUMBER(_xlfn.XMATCH(CONTROL[[#This Row],[VEHIDCODE]],PROPERTIES[VEHIDCODE],0))</f>
        <v>1</v>
      </c>
      <c r="L1024" t="b">
        <f>ISNUMBER(_xlfn.XLOOKUP(CONTROL[[#This Row],[VEHIDCODE]],roster!A:A,roster!D:D))</f>
        <v>1</v>
      </c>
      <c r="M1024" t="b">
        <f>ISNUMBER(_xlfn.XMATCH(CONTROL[[#This Row],[VEHIDCODE]],GRAPHICS_PROPERTIES[VEHIDCODE],0))</f>
        <v>1</v>
      </c>
      <c r="N1024" s="21" t="str">
        <f>"item_"&amp;CONTROL[[#This Row],[VEHIDCODE]]</f>
        <v>item_mu_Coach_Gen3_Steel_Lightweight_Commuter_Coach</v>
      </c>
      <c r="O1024" s="21" t="str">
        <f>"str_"&amp;CONTROL[[#This Row],[VEHIDCODE]]</f>
        <v>str_mu_Coach_Gen3_Steel_Lightweight_Commuter_Coach</v>
      </c>
      <c r="P1024" s="42" t="b">
        <f>_xlfn.XLOOKUP(CONTROL[[#This Row],[VEHIDCODE]],PROPERTIES[VEHIDCODE],PROPERTIES[IS_CONCEPT])="IS_CONCEPT"</f>
        <v>0</v>
      </c>
      <c r="Q1024" s="7" t="b">
        <f>_xlfn.XLOOKUP(CONTROL[[#This Row],[VEHIDCODE]],PROPERTIES[VEHIDCODE],PROPERTIES[EXCLUDE])</f>
        <v>0</v>
      </c>
      <c r="R1024" t="str" cm="1">
        <f t="array" ref="R1024">_xlfn.XLOOKUP(CONTROL[[#This Row],[VEHIDCODE]],GRAPHICS_PROPERTIES[VEHIDCODE],GRAPHICS_PROPERTIES[TEMPLATE_ID]&amp;GRAPHICS_PROPERTIES[TEMPLATE_AMENDMENT_CODE])</f>
        <v>TPL_04A</v>
      </c>
    </row>
    <row r="1025" spans="1:18" x14ac:dyDescent="0.35">
      <c r="A1025" t="s">
        <v>3583</v>
      </c>
      <c r="B1025" s="21" t="str">
        <f>_xlfn.TEXTAFTER(CONTROL[[#This Row],[VEHIDCODE]],"_")</f>
        <v>ALCO_GE_T_Motor</v>
      </c>
      <c r="C1025" t="str" cm="1">
        <f t="array" ref="C10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25" t="str" cm="1">
        <f t="array" ref="D10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2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6170</v>
      </c>
      <c r="F1025" s="32" t="s">
        <v>3584</v>
      </c>
      <c r="G1025" t="s">
        <v>3585</v>
      </c>
      <c r="H1025" s="2" t="b">
        <f>AND(CONTROL[[#This Row],[IS_WAGON_OR_COACH]]=TRUE,OR(RIGHT(CONTROL[[#This Row],[VEHIDCODE]],7)="Powered",RIGHT(CONTROL[[#This Row],[VEHIDCODE]],9)="Unpowered"))</f>
        <v>0</v>
      </c>
      <c r="I10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5" t="b">
        <f>ISNUMBER(_xlfn.XMATCH(CONTROL[[#This Row],[VEHIDCODE]],TRACK_TYPES[VEHIDCODE],0))</f>
        <v>1</v>
      </c>
      <c r="K1025" t="b">
        <f>ISNUMBER(_xlfn.XMATCH(CONTROL[[#This Row],[VEHIDCODE]],PROPERTIES[VEHIDCODE],0))</f>
        <v>1</v>
      </c>
      <c r="L1025" t="b">
        <f>ISNUMBER(_xlfn.XLOOKUP(CONTROL[[#This Row],[VEHIDCODE]],roster!A:A,roster!D:D))</f>
        <v>1</v>
      </c>
      <c r="M1025" t="b">
        <f>ISNUMBER(_xlfn.XMATCH(CONTROL[[#This Row],[VEHIDCODE]],GRAPHICS_PROPERTIES[VEHIDCODE],0))</f>
        <v>1</v>
      </c>
      <c r="N1025" s="21" t="str">
        <f>"item_"&amp;CONTROL[[#This Row],[VEHIDCODE]]</f>
        <v>item_electric_ALCO_GE_T_Motor</v>
      </c>
      <c r="O1025" s="21" t="str">
        <f>"str_"&amp;CONTROL[[#This Row],[VEHIDCODE]]</f>
        <v>str_electric_ALCO_GE_T_Motor</v>
      </c>
      <c r="P1025" s="42" t="b">
        <f>_xlfn.XLOOKUP(CONTROL[[#This Row],[VEHIDCODE]],PROPERTIES[VEHIDCODE],PROPERTIES[IS_CONCEPT])="IS_CONCEPT"</f>
        <v>0</v>
      </c>
      <c r="Q1025" s="7" t="b">
        <f>_xlfn.XLOOKUP(CONTROL[[#This Row],[VEHIDCODE]],PROPERTIES[VEHIDCODE],PROPERTIES[EXCLUDE])</f>
        <v>0</v>
      </c>
      <c r="R1025" t="str" cm="1">
        <f t="array" ref="R1025">_xlfn.XLOOKUP(CONTROL[[#This Row],[VEHIDCODE]],GRAPHICS_PROPERTIES[VEHIDCODE],GRAPHICS_PROPERTIES[TEMPLATE_ID]&amp;GRAPHICS_PROPERTIES[TEMPLATE_AMENDMENT_CODE])</f>
        <v>TPL_01A</v>
      </c>
    </row>
    <row r="1026" spans="1:18" x14ac:dyDescent="0.35">
      <c r="A1026" t="s">
        <v>3586</v>
      </c>
      <c r="B1026" s="21" t="str">
        <f>_xlfn.TEXTAFTER(CONTROL[[#This Row],[VEHIDCODE]],"_")</f>
        <v>Altoona_Works_DD1</v>
      </c>
      <c r="C1026" t="str" cm="1">
        <f t="array" ref="C10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26" t="str" cm="1">
        <f t="array" ref="D10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2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6171</v>
      </c>
      <c r="F1026" s="32" t="s">
        <v>3587</v>
      </c>
      <c r="G1026" t="s">
        <v>3588</v>
      </c>
      <c r="H1026" s="2" t="b">
        <f>AND(CONTROL[[#This Row],[IS_WAGON_OR_COACH]]=TRUE,OR(RIGHT(CONTROL[[#This Row],[VEHIDCODE]],7)="Powered",RIGHT(CONTROL[[#This Row],[VEHIDCODE]],9)="Unpowered"))</f>
        <v>0</v>
      </c>
      <c r="I10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6" t="b">
        <f>ISNUMBER(_xlfn.XMATCH(CONTROL[[#This Row],[VEHIDCODE]],TRACK_TYPES[VEHIDCODE],0))</f>
        <v>1</v>
      </c>
      <c r="K1026" t="b">
        <f>ISNUMBER(_xlfn.XMATCH(CONTROL[[#This Row],[VEHIDCODE]],PROPERTIES[VEHIDCODE],0))</f>
        <v>1</v>
      </c>
      <c r="L1026" t="b">
        <f>ISNUMBER(_xlfn.XLOOKUP(CONTROL[[#This Row],[VEHIDCODE]],roster!A:A,roster!D:D))</f>
        <v>1</v>
      </c>
      <c r="M1026" t="b">
        <f>ISNUMBER(_xlfn.XMATCH(CONTROL[[#This Row],[VEHIDCODE]],GRAPHICS_PROPERTIES[VEHIDCODE],0))</f>
        <v>1</v>
      </c>
      <c r="N1026" s="21" t="str">
        <f>"item_"&amp;CONTROL[[#This Row],[VEHIDCODE]]</f>
        <v>item_electric_Altoona_Works_DD1</v>
      </c>
      <c r="O1026" s="21" t="str">
        <f>"str_"&amp;CONTROL[[#This Row],[VEHIDCODE]]</f>
        <v>str_electric_Altoona_Works_DD1</v>
      </c>
      <c r="P1026" s="42" t="b">
        <f>_xlfn.XLOOKUP(CONTROL[[#This Row],[VEHIDCODE]],PROPERTIES[VEHIDCODE],PROPERTIES[IS_CONCEPT])="IS_CONCEPT"</f>
        <v>0</v>
      </c>
      <c r="Q1026" s="7" t="b">
        <f>_xlfn.XLOOKUP(CONTROL[[#This Row],[VEHIDCODE]],PROPERTIES[VEHIDCODE],PROPERTIES[EXCLUDE])</f>
        <v>0</v>
      </c>
      <c r="R1026" t="str" cm="1">
        <f t="array" ref="R1026">_xlfn.XLOOKUP(CONTROL[[#This Row],[VEHIDCODE]],GRAPHICS_PROPERTIES[VEHIDCODE],GRAPHICS_PROPERTIES[TEMPLATE_ID]&amp;GRAPHICS_PROPERTIES[TEMPLATE_AMENDMENT_CODE])</f>
        <v>TPL_17E</v>
      </c>
    </row>
    <row r="1027" spans="1:18" x14ac:dyDescent="0.35">
      <c r="A1027" t="s">
        <v>3591</v>
      </c>
      <c r="B1027" s="21" t="str">
        <f>_xlfn.TEXTAFTER(CONTROL[[#This Row],[VEHIDCODE]],"_")</f>
        <v>PRR_MP_70</v>
      </c>
      <c r="C1027" t="str" cm="1">
        <f t="array" ref="C10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1027" t="str" cm="1">
        <f t="array" ref="D10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102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8097</v>
      </c>
      <c r="F1027" s="32" t="s">
        <v>3590</v>
      </c>
      <c r="G1027" t="s">
        <v>3589</v>
      </c>
      <c r="H1027" s="2" t="b">
        <f>AND(CONTROL[[#This Row],[IS_WAGON_OR_COACH]]=TRUE,OR(RIGHT(CONTROL[[#This Row],[VEHIDCODE]],7)="Powered",RIGHT(CONTROL[[#This Row],[VEHIDCODE]],9)="Unpowered"))</f>
        <v>0</v>
      </c>
      <c r="I10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7" t="b">
        <f>ISNUMBER(_xlfn.XMATCH(CONTROL[[#This Row],[VEHIDCODE]],TRACK_TYPES[VEHIDCODE],0))</f>
        <v>1</v>
      </c>
      <c r="K1027" t="b">
        <f>ISNUMBER(_xlfn.XMATCH(CONTROL[[#This Row],[VEHIDCODE]],PROPERTIES[VEHIDCODE],0))</f>
        <v>1</v>
      </c>
      <c r="L1027" t="b">
        <f>ISNUMBER(_xlfn.XLOOKUP(CONTROL[[#This Row],[VEHIDCODE]],roster!A:A,roster!D:D))</f>
        <v>1</v>
      </c>
      <c r="M1027" t="b">
        <f>ISNUMBER(_xlfn.XMATCH(CONTROL[[#This Row],[VEHIDCODE]],GRAPHICS_PROPERTIES[VEHIDCODE],0))</f>
        <v>1</v>
      </c>
      <c r="N1027" s="21" t="str">
        <f>"item_"&amp;CONTROL[[#This Row],[VEHIDCODE]]</f>
        <v>item_emu_PRR_MP_70</v>
      </c>
      <c r="O1027" s="21" t="str">
        <f>"str_"&amp;CONTROL[[#This Row],[VEHIDCODE]]</f>
        <v>str_emu_PRR_MP_70</v>
      </c>
      <c r="P1027" s="42" t="b">
        <f>_xlfn.XLOOKUP(CONTROL[[#This Row],[VEHIDCODE]],PROPERTIES[VEHIDCODE],PROPERTIES[IS_CONCEPT])="IS_CONCEPT"</f>
        <v>0</v>
      </c>
      <c r="Q1027" s="7" t="b">
        <f>_xlfn.XLOOKUP(CONTROL[[#This Row],[VEHIDCODE]],PROPERTIES[VEHIDCODE],PROPERTIES[EXCLUDE])</f>
        <v>0</v>
      </c>
      <c r="R1027" t="str" cm="1">
        <f t="array" ref="R1027">_xlfn.XLOOKUP(CONTROL[[#This Row],[VEHIDCODE]],GRAPHICS_PROPERTIES[VEHIDCODE],GRAPHICS_PROPERTIES[TEMPLATE_ID]&amp;GRAPHICS_PROPERTIES[TEMPLATE_AMENDMENT_CODE])</f>
        <v>TPL_02A</v>
      </c>
    </row>
    <row r="1028" spans="1:18" x14ac:dyDescent="0.35">
      <c r="A1028" t="s">
        <v>3592</v>
      </c>
      <c r="B1028" s="21" t="str">
        <f>_xlfn.TEXTAFTER(CONTROL[[#This Row],[VEHIDCODE]],"_")</f>
        <v>Pullman_Standard_LIRR_MP75</v>
      </c>
      <c r="C1028" t="str" cm="1">
        <f t="array" ref="C10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1028" t="str" cm="1">
        <f t="array" ref="D10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102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8098</v>
      </c>
      <c r="F1028" s="32" t="s">
        <v>3593</v>
      </c>
      <c r="G1028" t="s">
        <v>3594</v>
      </c>
      <c r="H1028" s="2" t="b">
        <f>AND(CONTROL[[#This Row],[IS_WAGON_OR_COACH]]=TRUE,OR(RIGHT(CONTROL[[#This Row],[VEHIDCODE]],7)="Powered",RIGHT(CONTROL[[#This Row],[VEHIDCODE]],9)="Unpowered"))</f>
        <v>0</v>
      </c>
      <c r="I10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8" t="b">
        <f>ISNUMBER(_xlfn.XMATCH(CONTROL[[#This Row],[VEHIDCODE]],TRACK_TYPES[VEHIDCODE],0))</f>
        <v>1</v>
      </c>
      <c r="K1028" t="b">
        <f>ISNUMBER(_xlfn.XMATCH(CONTROL[[#This Row],[VEHIDCODE]],PROPERTIES[VEHIDCODE],0))</f>
        <v>1</v>
      </c>
      <c r="L1028" t="b">
        <f>ISNUMBER(_xlfn.XLOOKUP(CONTROL[[#This Row],[VEHIDCODE]],roster!A:A,roster!D:D))</f>
        <v>1</v>
      </c>
      <c r="M1028" t="b">
        <f>ISNUMBER(_xlfn.XMATCH(CONTROL[[#This Row],[VEHIDCODE]],GRAPHICS_PROPERTIES[VEHIDCODE],0))</f>
        <v>1</v>
      </c>
      <c r="N1028" s="21" t="str">
        <f>"item_"&amp;CONTROL[[#This Row],[VEHIDCODE]]</f>
        <v>item_emu_Pullman_Standard_LIRR_MP75</v>
      </c>
      <c r="O1028" s="21" t="str">
        <f>"str_"&amp;CONTROL[[#This Row],[VEHIDCODE]]</f>
        <v>str_emu_Pullman_Standard_LIRR_MP75</v>
      </c>
      <c r="P1028" s="42" t="b">
        <f>_xlfn.XLOOKUP(CONTROL[[#This Row],[VEHIDCODE]],PROPERTIES[VEHIDCODE],PROPERTIES[IS_CONCEPT])="IS_CONCEPT"</f>
        <v>0</v>
      </c>
      <c r="Q1028" s="7" t="b">
        <f>_xlfn.XLOOKUP(CONTROL[[#This Row],[VEHIDCODE]],PROPERTIES[VEHIDCODE],PROPERTIES[EXCLUDE])</f>
        <v>0</v>
      </c>
      <c r="R1028" t="str" cm="1">
        <f t="array" ref="R1028">_xlfn.XLOOKUP(CONTROL[[#This Row],[VEHIDCODE]],GRAPHICS_PROPERTIES[VEHIDCODE],GRAPHICS_PROPERTIES[TEMPLATE_ID]&amp;GRAPHICS_PROPERTIES[TEMPLATE_AMENDMENT_CODE])</f>
        <v>TPL_02A</v>
      </c>
    </row>
    <row r="1029" spans="1:18" x14ac:dyDescent="0.35">
      <c r="A1029" t="s">
        <v>3596</v>
      </c>
      <c r="B1029" s="21" t="str">
        <f>_xlfn.TEXTAFTER(CONTROL[[#This Row],[VEHIDCODE]],"_")</f>
        <v>ACF_NYCC_Heavyweight</v>
      </c>
      <c r="C1029" t="str" cm="1">
        <f t="array" ref="C10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src\Single_Metro</v>
      </c>
      <c r="D1029" t="str" cm="1">
        <f t="array" ref="D10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ID_RANGE_SINGLEMETRO</v>
      </c>
      <c r="E102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14004</v>
      </c>
      <c r="F1029" s="32" t="s">
        <v>3597</v>
      </c>
      <c r="G1029" t="s">
        <v>3595</v>
      </c>
      <c r="H1029" s="2" t="b">
        <f>AND(CONTROL[[#This Row],[IS_WAGON_OR_COACH]]=TRUE,OR(RIGHT(CONTROL[[#This Row],[VEHIDCODE]],7)="Powered",RIGHT(CONTROL[[#This Row],[VEHIDCODE]],9)="Unpowered"))</f>
        <v>0</v>
      </c>
      <c r="I10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9" t="b">
        <f>ISNUMBER(_xlfn.XMATCH(CONTROL[[#This Row],[VEHIDCODE]],TRACK_TYPES[VEHIDCODE],0))</f>
        <v>1</v>
      </c>
      <c r="K1029" t="b">
        <f>ISNUMBER(_xlfn.XMATCH(CONTROL[[#This Row],[VEHIDCODE]],PROPERTIES[VEHIDCODE],0))</f>
        <v>1</v>
      </c>
      <c r="L1029" t="b">
        <f>ISNUMBER(_xlfn.XLOOKUP(CONTROL[[#This Row],[VEHIDCODE]],roster!A:A,roster!D:D))</f>
        <v>1</v>
      </c>
      <c r="M1029" t="b">
        <f>ISNUMBER(_xlfn.XMATCH(CONTROL[[#This Row],[VEHIDCODE]],GRAPHICS_PROPERTIES[VEHIDCODE],0))</f>
        <v>1</v>
      </c>
      <c r="N1029" s="21" t="str">
        <f>"item_"&amp;CONTROL[[#This Row],[VEHIDCODE]]</f>
        <v>item_singlemtro_ACF_NYCC_Heavyweight</v>
      </c>
      <c r="O1029" s="21" t="str">
        <f>"str_"&amp;CONTROL[[#This Row],[VEHIDCODE]]</f>
        <v>str_singlemtro_ACF_NYCC_Heavyweight</v>
      </c>
      <c r="P1029" s="42" t="b">
        <f>_xlfn.XLOOKUP(CONTROL[[#This Row],[VEHIDCODE]],PROPERTIES[VEHIDCODE],PROPERTIES[IS_CONCEPT])="IS_CONCEPT"</f>
        <v>0</v>
      </c>
      <c r="Q1029" s="7" t="b">
        <f>_xlfn.XLOOKUP(CONTROL[[#This Row],[VEHIDCODE]],PROPERTIES[VEHIDCODE],PROPERTIES[EXCLUDE])</f>
        <v>0</v>
      </c>
      <c r="R1029" t="str" cm="1">
        <f t="array" ref="R1029">_xlfn.XLOOKUP(CONTROL[[#This Row],[VEHIDCODE]],GRAPHICS_PROPERTIES[VEHIDCODE],GRAPHICS_PROPERTIES[TEMPLATE_ID]&amp;GRAPHICS_PROPERTIES[TEMPLATE_AMENDMENT_CODE])</f>
        <v>TPL_01A</v>
      </c>
    </row>
    <row r="1030" spans="1:18" x14ac:dyDescent="0.35">
      <c r="A1030" s="2" t="s">
        <v>3598</v>
      </c>
      <c r="B1030" s="21" t="str">
        <f>_xlfn.TEXTAFTER(CONTROL[[#This Row],[VEHIDCODE]],"_")</f>
        <v>Coach_Gen3_Goerlitz_Doppelstockwagen_Articulated_Coach</v>
      </c>
      <c r="C1030" t="str" cm="1">
        <f t="array" ref="C10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1030" t="str" cm="1">
        <f t="array" ref="D10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3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11101</v>
      </c>
      <c r="F1030" s="32" t="s">
        <v>3599</v>
      </c>
      <c r="G1030" t="s">
        <v>3600</v>
      </c>
      <c r="H1030" s="2" t="b">
        <f>AND(CONTROL[[#This Row],[IS_WAGON_OR_COACH]]=TRUE,OR(RIGHT(CONTROL[[#This Row],[VEHIDCODE]],7)="Powered",RIGHT(CONTROL[[#This Row],[VEHIDCODE]],9)="Unpowered"))</f>
        <v>0</v>
      </c>
      <c r="I10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30" t="b">
        <f>ISNUMBER(_xlfn.XMATCH(CONTROL[[#This Row],[VEHIDCODE]],TRACK_TYPES[VEHIDCODE],0))</f>
        <v>1</v>
      </c>
      <c r="K1030" t="b">
        <f>ISNUMBER(_xlfn.XMATCH(CONTROL[[#This Row],[VEHIDCODE]],PROPERTIES[VEHIDCODE],0))</f>
        <v>1</v>
      </c>
      <c r="L1030" t="b">
        <f>ISNUMBER(_xlfn.XLOOKUP(CONTROL[[#This Row],[VEHIDCODE]],roster!A:A,roster!D:D))</f>
        <v>1</v>
      </c>
      <c r="M1030" t="b">
        <f>ISNUMBER(_xlfn.XMATCH(CONTROL[[#This Row],[VEHIDCODE]],GRAPHICS_PROPERTIES[VEHIDCODE],0))</f>
        <v>1</v>
      </c>
      <c r="N1030" s="21" t="str">
        <f>"item_"&amp;CONTROL[[#This Row],[VEHIDCODE]]</f>
        <v>item_mu_Coach_Gen3_Goerlitz_Doppelstockwagen_Articulated_Coach</v>
      </c>
      <c r="O1030" s="21" t="str">
        <f>"str_"&amp;CONTROL[[#This Row],[VEHIDCODE]]</f>
        <v>str_mu_Coach_Gen3_Goerlitz_Doppelstockwagen_Articulated_Coach</v>
      </c>
      <c r="P1030" s="42" t="b">
        <f>_xlfn.XLOOKUP(CONTROL[[#This Row],[VEHIDCODE]],PROPERTIES[VEHIDCODE],PROPERTIES[IS_CONCEPT])="IS_CONCEPT"</f>
        <v>0</v>
      </c>
      <c r="Q1030" s="7" t="b">
        <f>_xlfn.XLOOKUP(CONTROL[[#This Row],[VEHIDCODE]],PROPERTIES[VEHIDCODE],PROPERTIES[EXCLUDE])</f>
        <v>0</v>
      </c>
      <c r="R1030" t="str" cm="1">
        <f t="array" ref="R1030">_xlfn.XLOOKUP(CONTROL[[#This Row],[VEHIDCODE]],GRAPHICS_PROPERTIES[VEHIDCODE],GRAPHICS_PROPERTIES[TEMPLATE_ID]&amp;GRAPHICS_PROPERTIES[TEMPLATE_AMENDMENT_CODE])</f>
        <v>TPL_04S</v>
      </c>
    </row>
    <row r="1031" spans="1:18" x14ac:dyDescent="0.35">
      <c r="A1031" s="2" t="s">
        <v>3603</v>
      </c>
      <c r="B1031" s="21" t="str">
        <f>_xlfn.TEXTAFTER(CONTROL[[#This Row],[VEHIDCODE]],"_")</f>
        <v>PRR_MP54_3RL</v>
      </c>
      <c r="C1031" t="str" cm="1">
        <f t="array" ref="C10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1031" t="str" cm="1">
        <f t="array" ref="D10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103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8099</v>
      </c>
      <c r="F1031" s="32" t="s">
        <v>383</v>
      </c>
      <c r="G1031" t="s">
        <v>1569</v>
      </c>
      <c r="H1031" s="2" t="b">
        <f>AND(CONTROL[[#This Row],[IS_WAGON_OR_COACH]]=TRUE,OR(RIGHT(CONTROL[[#This Row],[VEHIDCODE]],7)="Powered",RIGHT(CONTROL[[#This Row],[VEHIDCODE]],9)="Unpowered"))</f>
        <v>0</v>
      </c>
      <c r="I10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1" t="b">
        <f>ISNUMBER(_xlfn.XMATCH(CONTROL[[#This Row],[VEHIDCODE]],TRACK_TYPES[VEHIDCODE],0))</f>
        <v>1</v>
      </c>
      <c r="K1031" t="b">
        <f>ISNUMBER(_xlfn.XMATCH(CONTROL[[#This Row],[VEHIDCODE]],PROPERTIES[VEHIDCODE],0))</f>
        <v>1</v>
      </c>
      <c r="L1031" t="b">
        <f>ISNUMBER(_xlfn.XLOOKUP(CONTROL[[#This Row],[VEHIDCODE]],roster!A:A,roster!D:D))</f>
        <v>1</v>
      </c>
      <c r="M1031" t="b">
        <f>ISNUMBER(_xlfn.XMATCH(CONTROL[[#This Row],[VEHIDCODE]],GRAPHICS_PROPERTIES[VEHIDCODE],0))</f>
        <v>1</v>
      </c>
      <c r="N1031" s="21" t="str">
        <f>"item_"&amp;CONTROL[[#This Row],[VEHIDCODE]]</f>
        <v>item_emu_PRR_MP54_3RL</v>
      </c>
      <c r="O1031" s="21" t="str">
        <f>"str_"&amp;CONTROL[[#This Row],[VEHIDCODE]]</f>
        <v>str_emu_PRR_MP54_3RL</v>
      </c>
      <c r="P1031" s="7" t="b">
        <f>_xlfn.XLOOKUP(CONTROL[[#This Row],[VEHIDCODE]],PROPERTIES[VEHIDCODE],PROPERTIES[IS_CONCEPT])="IS_CONCEPT"</f>
        <v>0</v>
      </c>
      <c r="Q1031" s="7" t="b">
        <f>_xlfn.XLOOKUP(CONTROL[[#This Row],[VEHIDCODE]],PROPERTIES[VEHIDCODE],PROPERTIES[EXCLUDE])</f>
        <v>0</v>
      </c>
      <c r="R1031" t="str" cm="1">
        <f t="array" ref="R1031">_xlfn.XLOOKUP(CONTROL[[#This Row],[VEHIDCODE]],GRAPHICS_PROPERTIES[VEHIDCODE],GRAPHICS_PROPERTIES[TEMPLATE_ID]&amp;GRAPHICS_PROPERTIES[TEMPLATE_AMENDMENT_CODE])</f>
        <v>TPL_02A</v>
      </c>
    </row>
    <row r="1032" spans="1:18" x14ac:dyDescent="0.35">
      <c r="A1032" s="2" t="s">
        <v>3604</v>
      </c>
      <c r="B1032" s="21" t="str">
        <f>_xlfn.TEXTAFTER(CONTROL[[#This Row],[VEHIDCODE]],"_")</f>
        <v>PRR_MP54_OHLE</v>
      </c>
      <c r="C1032" t="str" cm="1">
        <f t="array" ref="C10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1032" t="str" cm="1">
        <f t="array" ref="D10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103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8100</v>
      </c>
      <c r="F1032" s="32" t="s">
        <v>383</v>
      </c>
      <c r="G1032" t="s">
        <v>1569</v>
      </c>
      <c r="H1032" s="2" t="b">
        <f>AND(CONTROL[[#This Row],[IS_WAGON_OR_COACH]]=TRUE,OR(RIGHT(CONTROL[[#This Row],[VEHIDCODE]],7)="Powered",RIGHT(CONTROL[[#This Row],[VEHIDCODE]],9)="Unpowered"))</f>
        <v>0</v>
      </c>
      <c r="I10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2" t="b">
        <f>ISNUMBER(_xlfn.XMATCH(CONTROL[[#This Row],[VEHIDCODE]],TRACK_TYPES[VEHIDCODE],0))</f>
        <v>1</v>
      </c>
      <c r="K1032" t="b">
        <f>ISNUMBER(_xlfn.XMATCH(CONTROL[[#This Row],[VEHIDCODE]],PROPERTIES[VEHIDCODE],0))</f>
        <v>1</v>
      </c>
      <c r="L1032" t="b">
        <f>ISNUMBER(_xlfn.XLOOKUP(CONTROL[[#This Row],[VEHIDCODE]],roster!A:A,roster!D:D))</f>
        <v>1</v>
      </c>
      <c r="M1032" t="b">
        <f>ISNUMBER(_xlfn.XMATCH(CONTROL[[#This Row],[VEHIDCODE]],GRAPHICS_PROPERTIES[VEHIDCODE],0))</f>
        <v>1</v>
      </c>
      <c r="N1032" s="21" t="str">
        <f>"item_"&amp;CONTROL[[#This Row],[VEHIDCODE]]</f>
        <v>item_emu_PRR_MP54_OHLE</v>
      </c>
      <c r="O1032" s="21" t="str">
        <f>"str_"&amp;CONTROL[[#This Row],[VEHIDCODE]]</f>
        <v>str_emu_PRR_MP54_OHLE</v>
      </c>
      <c r="P1032" s="7" t="b">
        <f>_xlfn.XLOOKUP(CONTROL[[#This Row],[VEHIDCODE]],PROPERTIES[VEHIDCODE],PROPERTIES[IS_CONCEPT])="IS_CONCEPT"</f>
        <v>0</v>
      </c>
      <c r="Q1032" s="7" t="b">
        <f>_xlfn.XLOOKUP(CONTROL[[#This Row],[VEHIDCODE]],PROPERTIES[VEHIDCODE],PROPERTIES[EXCLUDE])</f>
        <v>0</v>
      </c>
      <c r="R1032" t="str" cm="1">
        <f t="array" ref="R1032">_xlfn.XLOOKUP(CONTROL[[#This Row],[VEHIDCODE]],GRAPHICS_PROPERTIES[VEHIDCODE],GRAPHICS_PROPERTIES[TEMPLATE_ID]&amp;GRAPHICS_PROPERTIES[TEMPLATE_AMENDMENT_CODE])</f>
        <v>TPL_02A</v>
      </c>
    </row>
    <row r="1033" spans="1:18" x14ac:dyDescent="0.35">
      <c r="A1033" s="2" t="s">
        <v>3606</v>
      </c>
      <c r="B1033" s="21" t="str">
        <f>_xlfn.TEXTAFTER(CONTROL[[#This Row],[VEHIDCODE]],"_")</f>
        <v>Coach_Gen2_PRR_MP54_Commuter_Coach</v>
      </c>
      <c r="C1033" t="str" cm="1">
        <f t="array" ref="C10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1033" t="str" cm="1">
        <f t="array" ref="D10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3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11102</v>
      </c>
      <c r="F1033" s="32" t="s">
        <v>3607</v>
      </c>
      <c r="G1033" t="s">
        <v>1569</v>
      </c>
      <c r="H1033" s="2" t="b">
        <f>AND(CONTROL[[#This Row],[IS_WAGON_OR_COACH]]=TRUE,OR(RIGHT(CONTROL[[#This Row],[VEHIDCODE]],7)="Powered",RIGHT(CONTROL[[#This Row],[VEHIDCODE]],9)="Unpowered"))</f>
        <v>0</v>
      </c>
      <c r="I10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33" t="b">
        <f>ISNUMBER(_xlfn.XMATCH(CONTROL[[#This Row],[VEHIDCODE]],TRACK_TYPES[VEHIDCODE],0))</f>
        <v>1</v>
      </c>
      <c r="K1033" t="b">
        <f>ISNUMBER(_xlfn.XMATCH(CONTROL[[#This Row],[VEHIDCODE]],PROPERTIES[VEHIDCODE],0))</f>
        <v>1</v>
      </c>
      <c r="L1033" t="b">
        <f>ISNUMBER(_xlfn.XLOOKUP(CONTROL[[#This Row],[VEHIDCODE]],roster!A:A,roster!D:D))</f>
        <v>1</v>
      </c>
      <c r="M1033" t="b">
        <f>ISNUMBER(_xlfn.XMATCH(CONTROL[[#This Row],[VEHIDCODE]],GRAPHICS_PROPERTIES[VEHIDCODE],0))</f>
        <v>1</v>
      </c>
      <c r="N1033" s="21" t="str">
        <f>"item_"&amp;CONTROL[[#This Row],[VEHIDCODE]]</f>
        <v>item_mu_Coach_Gen2_PRR_MP54_Commuter_Coach</v>
      </c>
      <c r="O1033" s="21" t="str">
        <f>"str_"&amp;CONTROL[[#This Row],[VEHIDCODE]]</f>
        <v>str_mu_Coach_Gen2_PRR_MP54_Commuter_Coach</v>
      </c>
      <c r="P1033" s="42" t="b">
        <f>_xlfn.XLOOKUP(CONTROL[[#This Row],[VEHIDCODE]],PROPERTIES[VEHIDCODE],PROPERTIES[IS_CONCEPT])="IS_CONCEPT"</f>
        <v>0</v>
      </c>
      <c r="Q1033" s="7" t="b">
        <f>_xlfn.XLOOKUP(CONTROL[[#This Row],[VEHIDCODE]],PROPERTIES[VEHIDCODE],PROPERTIES[EXCLUDE])</f>
        <v>0</v>
      </c>
      <c r="R1033" t="str" cm="1">
        <f t="array" ref="R1033">_xlfn.XLOOKUP(CONTROL[[#This Row],[VEHIDCODE]],GRAPHICS_PROPERTIES[VEHIDCODE],GRAPHICS_PROPERTIES[TEMPLATE_ID]&amp;GRAPHICS_PROPERTIES[TEMPLATE_AMENDMENT_CODE])</f>
        <v>TPL_04A</v>
      </c>
    </row>
    <row r="1034" spans="1:18" x14ac:dyDescent="0.35">
      <c r="A1034" s="2" t="s">
        <v>3605</v>
      </c>
      <c r="B1034" s="21" t="str">
        <f>_xlfn.TEXTAFTER(CONTROL[[#This Row],[VEHIDCODE]],"_")</f>
        <v>Coach_Gen2_PRR_MP54_Mail_Coach</v>
      </c>
      <c r="C1034" t="str" cm="1">
        <f t="array" ref="C10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1034" t="str" cm="1">
        <f t="array" ref="D10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3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11103</v>
      </c>
      <c r="F1034" s="32" t="s">
        <v>3608</v>
      </c>
      <c r="G1034" t="s">
        <v>1569</v>
      </c>
      <c r="H1034" s="2" t="b">
        <f>AND(CONTROL[[#This Row],[IS_WAGON_OR_COACH]]=TRUE,OR(RIGHT(CONTROL[[#This Row],[VEHIDCODE]],7)="Powered",RIGHT(CONTROL[[#This Row],[VEHIDCODE]],9)="Unpowered"))</f>
        <v>0</v>
      </c>
      <c r="I10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34" t="b">
        <f>ISNUMBER(_xlfn.XMATCH(CONTROL[[#This Row],[VEHIDCODE]],TRACK_TYPES[VEHIDCODE],0))</f>
        <v>1</v>
      </c>
      <c r="K1034" t="b">
        <f>ISNUMBER(_xlfn.XMATCH(CONTROL[[#This Row],[VEHIDCODE]],PROPERTIES[VEHIDCODE],0))</f>
        <v>1</v>
      </c>
      <c r="L1034" t="b">
        <f>ISNUMBER(_xlfn.XLOOKUP(CONTROL[[#This Row],[VEHIDCODE]],roster!A:A,roster!D:D))</f>
        <v>1</v>
      </c>
      <c r="M1034" t="b">
        <f>ISNUMBER(_xlfn.XMATCH(CONTROL[[#This Row],[VEHIDCODE]],GRAPHICS_PROPERTIES[VEHIDCODE],0))</f>
        <v>1</v>
      </c>
      <c r="N1034" s="21" t="str">
        <f>"item_"&amp;CONTROL[[#This Row],[VEHIDCODE]]</f>
        <v>item_mu_Coach_Gen2_PRR_MP54_Mail_Coach</v>
      </c>
      <c r="O1034" s="21" t="str">
        <f>"str_"&amp;CONTROL[[#This Row],[VEHIDCODE]]</f>
        <v>str_mu_Coach_Gen2_PRR_MP54_Mail_Coach</v>
      </c>
      <c r="P1034" s="42" t="b">
        <f>_xlfn.XLOOKUP(CONTROL[[#This Row],[VEHIDCODE]],PROPERTIES[VEHIDCODE],PROPERTIES[IS_CONCEPT])="IS_CONCEPT"</f>
        <v>0</v>
      </c>
      <c r="Q1034" s="7" t="b">
        <f>_xlfn.XLOOKUP(CONTROL[[#This Row],[VEHIDCODE]],PROPERTIES[VEHIDCODE],PROPERTIES[EXCLUDE])</f>
        <v>0</v>
      </c>
      <c r="R1034" t="str" cm="1">
        <f t="array" ref="R1034">_xlfn.XLOOKUP(CONTROL[[#This Row],[VEHIDCODE]],GRAPHICS_PROPERTIES[VEHIDCODE],GRAPHICS_PROPERTIES[TEMPLATE_ID]&amp;GRAPHICS_PROPERTIES[TEMPLATE_AMENDMENT_CODE])</f>
        <v>TPL_04A</v>
      </c>
    </row>
    <row r="1035" spans="1:18" x14ac:dyDescent="0.35">
      <c r="A1035" s="2" t="s">
        <v>3612</v>
      </c>
      <c r="B1035" s="21" t="str">
        <f>_xlfn.TEXTAFTER(CONTROL[[#This Row],[VEHIDCODE]],"_")</f>
        <v>Coach_Gen3_PRR_P70_Bilevel_Coach</v>
      </c>
      <c r="C1035" t="str" cm="1">
        <f t="array" ref="C10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1035" t="str" cm="1">
        <f t="array" ref="D10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3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11104</v>
      </c>
      <c r="F1035" s="32" t="s">
        <v>3613</v>
      </c>
      <c r="G1035" t="s">
        <v>523</v>
      </c>
      <c r="H1035" s="2" t="b">
        <f>AND(CONTROL[[#This Row],[IS_WAGON_OR_COACH]]=TRUE,OR(RIGHT(CONTROL[[#This Row],[VEHIDCODE]],7)="Powered",RIGHT(CONTROL[[#This Row],[VEHIDCODE]],9)="Unpowered"))</f>
        <v>0</v>
      </c>
      <c r="I10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35" t="b">
        <f>ISNUMBER(_xlfn.XMATCH(CONTROL[[#This Row],[VEHIDCODE]],TRACK_TYPES[VEHIDCODE],0))</f>
        <v>1</v>
      </c>
      <c r="K1035" t="b">
        <f>ISNUMBER(_xlfn.XMATCH(CONTROL[[#This Row],[VEHIDCODE]],PROPERTIES[VEHIDCODE],0))</f>
        <v>1</v>
      </c>
      <c r="L1035" t="b">
        <f>ISNUMBER(_xlfn.XLOOKUP(CONTROL[[#This Row],[VEHIDCODE]],roster!A:A,roster!D:D))</f>
        <v>1</v>
      </c>
      <c r="M1035" t="b">
        <f>ISNUMBER(_xlfn.XMATCH(CONTROL[[#This Row],[VEHIDCODE]],GRAPHICS_PROPERTIES[VEHIDCODE],0))</f>
        <v>1</v>
      </c>
      <c r="N1035" s="21" t="str">
        <f>"item_"&amp;CONTROL[[#This Row],[VEHIDCODE]]</f>
        <v>item_mu_Coach_Gen3_PRR_P70_Bilevel_Coach</v>
      </c>
      <c r="O1035" s="21" t="str">
        <f>"str_"&amp;CONTROL[[#This Row],[VEHIDCODE]]</f>
        <v>str_mu_Coach_Gen3_PRR_P70_Bilevel_Coach</v>
      </c>
      <c r="P1035" s="42" t="b">
        <f>_xlfn.XLOOKUP(CONTROL[[#This Row],[VEHIDCODE]],PROPERTIES[VEHIDCODE],PROPERTIES[IS_CONCEPT])="IS_CONCEPT"</f>
        <v>1</v>
      </c>
      <c r="Q1035" s="7" t="b">
        <f>_xlfn.XLOOKUP(CONTROL[[#This Row],[VEHIDCODE]],PROPERTIES[VEHIDCODE],PROPERTIES[EXCLUDE])</f>
        <v>0</v>
      </c>
      <c r="R1035" t="str" cm="1">
        <f t="array" ref="R1035">_xlfn.XLOOKUP(CONTROL[[#This Row],[VEHIDCODE]],GRAPHICS_PROPERTIES[VEHIDCODE],GRAPHICS_PROPERTIES[TEMPLATE_ID]&amp;GRAPHICS_PROPERTIES[TEMPLATE_AMENDMENT_CODE])</f>
        <v>TPL_04A</v>
      </c>
    </row>
    <row r="1036" spans="1:18" x14ac:dyDescent="0.35">
      <c r="A1036" s="2" t="s">
        <v>3614</v>
      </c>
      <c r="B1036" s="21" t="str">
        <f>_xlfn.TEXTAFTER(CONTROL[[#This Row],[VEHIDCODE]],"_")</f>
        <v>LTZ_TE10M</v>
      </c>
      <c r="C1036" t="str" cm="1">
        <f t="array" ref="C10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36" t="str" cm="1">
        <f t="array" ref="D10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3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5202</v>
      </c>
      <c r="F1036" s="32" t="s">
        <v>2011</v>
      </c>
      <c r="G1036" t="s">
        <v>1310</v>
      </c>
      <c r="H1036" s="2" t="b">
        <f>AND(CONTROL[[#This Row],[IS_WAGON_OR_COACH]]=TRUE,OR(RIGHT(CONTROL[[#This Row],[VEHIDCODE]],7)="Powered",RIGHT(CONTROL[[#This Row],[VEHIDCODE]],9)="Unpowered"))</f>
        <v>0</v>
      </c>
      <c r="I10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6" t="b">
        <f>ISNUMBER(_xlfn.XMATCH(CONTROL[[#This Row],[VEHIDCODE]],TRACK_TYPES[VEHIDCODE],0))</f>
        <v>1</v>
      </c>
      <c r="K1036" t="b">
        <f>ISNUMBER(_xlfn.XMATCH(CONTROL[[#This Row],[VEHIDCODE]],PROPERTIES[VEHIDCODE],0))</f>
        <v>1</v>
      </c>
      <c r="L1036" t="b">
        <f>ISNUMBER(_xlfn.XLOOKUP(CONTROL[[#This Row],[VEHIDCODE]],roster!A:A,roster!D:D))</f>
        <v>1</v>
      </c>
      <c r="M1036" t="b">
        <f>ISNUMBER(_xlfn.XMATCH(CONTROL[[#This Row],[VEHIDCODE]],GRAPHICS_PROPERTIES[VEHIDCODE],0))</f>
        <v>1</v>
      </c>
      <c r="N1036" s="21" t="str">
        <f>"item_"&amp;CONTROL[[#This Row],[VEHIDCODE]]</f>
        <v>item_diesel_LTZ_TE10M</v>
      </c>
      <c r="O1036" s="21" t="str">
        <f>"str_"&amp;CONTROL[[#This Row],[VEHIDCODE]]</f>
        <v>str_diesel_LTZ_TE10M</v>
      </c>
      <c r="P1036" s="42" t="b">
        <f>_xlfn.XLOOKUP(CONTROL[[#This Row],[VEHIDCODE]],PROPERTIES[VEHIDCODE],PROPERTIES[IS_CONCEPT])="IS_CONCEPT"</f>
        <v>0</v>
      </c>
      <c r="Q1036" s="7" t="b">
        <f>_xlfn.XLOOKUP(CONTROL[[#This Row],[VEHIDCODE]],PROPERTIES[VEHIDCODE],PROPERTIES[EXCLUDE])</f>
        <v>0</v>
      </c>
      <c r="R1036" t="str" cm="1">
        <f t="array" ref="R1036">_xlfn.XLOOKUP(CONTROL[[#This Row],[VEHIDCODE]],GRAPHICS_PROPERTIES[VEHIDCODE],GRAPHICS_PROPERTIES[TEMPLATE_ID]&amp;GRAPHICS_PROPERTIES[TEMPLATE_AMENDMENT_CODE])</f>
        <v>TPL_03F</v>
      </c>
    </row>
    <row r="1037" spans="1:18" x14ac:dyDescent="0.35">
      <c r="A1037" s="2" t="s">
        <v>3615</v>
      </c>
      <c r="B1037" s="21" t="str">
        <f>_xlfn.TEXTAFTER(CONTROL[[#This Row],[VEHIDCODE]],"_")</f>
        <v>LTZ_TE126</v>
      </c>
      <c r="C1037" t="str" cm="1">
        <f t="array" ref="C10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37" t="str" cm="1">
        <f t="array" ref="D10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3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5203</v>
      </c>
      <c r="F1037" s="32" t="s">
        <v>2012</v>
      </c>
      <c r="G1037" t="s">
        <v>3673</v>
      </c>
      <c r="H1037" s="2" t="b">
        <f>AND(CONTROL[[#This Row],[IS_WAGON_OR_COACH]]=TRUE,OR(RIGHT(CONTROL[[#This Row],[VEHIDCODE]],7)="Powered",RIGHT(CONTROL[[#This Row],[VEHIDCODE]],9)="Unpowered"))</f>
        <v>0</v>
      </c>
      <c r="I10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7" t="b">
        <f>ISNUMBER(_xlfn.XMATCH(CONTROL[[#This Row],[VEHIDCODE]],TRACK_TYPES[VEHIDCODE],0))</f>
        <v>1</v>
      </c>
      <c r="K1037" t="b">
        <f>ISNUMBER(_xlfn.XMATCH(CONTROL[[#This Row],[VEHIDCODE]],PROPERTIES[VEHIDCODE],0))</f>
        <v>1</v>
      </c>
      <c r="L1037" t="b">
        <f>ISNUMBER(_xlfn.XLOOKUP(CONTROL[[#This Row],[VEHIDCODE]],roster!A:A,roster!D:D))</f>
        <v>1</v>
      </c>
      <c r="M1037" t="b">
        <f>ISNUMBER(_xlfn.XMATCH(CONTROL[[#This Row],[VEHIDCODE]],GRAPHICS_PROPERTIES[VEHIDCODE],0))</f>
        <v>1</v>
      </c>
      <c r="N1037" s="21" t="str">
        <f>"item_"&amp;CONTROL[[#This Row],[VEHIDCODE]]</f>
        <v>item_diesel_LTZ_TE126</v>
      </c>
      <c r="O1037" s="21" t="str">
        <f>"str_"&amp;CONTROL[[#This Row],[VEHIDCODE]]</f>
        <v>str_diesel_LTZ_TE126</v>
      </c>
      <c r="P1037" s="42" t="b">
        <f>_xlfn.XLOOKUP(CONTROL[[#This Row],[VEHIDCODE]],PROPERTIES[VEHIDCODE],PROPERTIES[IS_CONCEPT])="IS_CONCEPT"</f>
        <v>0</v>
      </c>
      <c r="Q1037" s="7" t="b">
        <f>_xlfn.XLOOKUP(CONTROL[[#This Row],[VEHIDCODE]],PROPERTIES[VEHIDCODE],PROPERTIES[EXCLUDE])</f>
        <v>0</v>
      </c>
      <c r="R1037" t="str" cm="1">
        <f t="array" ref="R1037">_xlfn.XLOOKUP(CONTROL[[#This Row],[VEHIDCODE]],GRAPHICS_PROPERTIES[VEHIDCODE],GRAPHICS_PROPERTIES[TEMPLATE_ID]&amp;GRAPHICS_PROPERTIES[TEMPLATE_AMENDMENT_CODE])</f>
        <v>TPL_32D</v>
      </c>
    </row>
    <row r="1038" spans="1:18" x14ac:dyDescent="0.35">
      <c r="A1038" s="2" t="s">
        <v>3616</v>
      </c>
      <c r="B1038" s="21" t="str">
        <f>_xlfn.TEXTAFTER(CONTROL[[#This Row],[VEHIDCODE]],"_")</f>
        <v>LTZ_TE10Ut</v>
      </c>
      <c r="C1038" t="str" cm="1">
        <f t="array" ref="C10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38" t="str" cm="1">
        <f t="array" ref="D10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3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5204</v>
      </c>
      <c r="F1038" s="32" t="s">
        <v>2013</v>
      </c>
      <c r="G1038" t="s">
        <v>1313</v>
      </c>
      <c r="H1038" s="2" t="b">
        <f>AND(CONTROL[[#This Row],[IS_WAGON_OR_COACH]]=TRUE,OR(RIGHT(CONTROL[[#This Row],[VEHIDCODE]],7)="Powered",RIGHT(CONTROL[[#This Row],[VEHIDCODE]],9)="Unpowered"))</f>
        <v>0</v>
      </c>
      <c r="I10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8" t="b">
        <f>ISNUMBER(_xlfn.XMATCH(CONTROL[[#This Row],[VEHIDCODE]],TRACK_TYPES[VEHIDCODE],0))</f>
        <v>1</v>
      </c>
      <c r="K1038" t="b">
        <f>ISNUMBER(_xlfn.XMATCH(CONTROL[[#This Row],[VEHIDCODE]],PROPERTIES[VEHIDCODE],0))</f>
        <v>1</v>
      </c>
      <c r="L1038" t="b">
        <f>ISNUMBER(_xlfn.XLOOKUP(CONTROL[[#This Row],[VEHIDCODE]],roster!A:A,roster!D:D))</f>
        <v>1</v>
      </c>
      <c r="M1038" t="b">
        <f>ISNUMBER(_xlfn.XMATCH(CONTROL[[#This Row],[VEHIDCODE]],GRAPHICS_PROPERTIES[VEHIDCODE],0))</f>
        <v>1</v>
      </c>
      <c r="N1038" s="21" t="str">
        <f>"item_"&amp;CONTROL[[#This Row],[VEHIDCODE]]</f>
        <v>item_diesel_LTZ_TE10Ut</v>
      </c>
      <c r="O1038" s="21" t="str">
        <f>"str_"&amp;CONTROL[[#This Row],[VEHIDCODE]]</f>
        <v>str_diesel_LTZ_TE10Ut</v>
      </c>
      <c r="P1038" s="42" t="b">
        <f>_xlfn.XLOOKUP(CONTROL[[#This Row],[VEHIDCODE]],PROPERTIES[VEHIDCODE],PROPERTIES[IS_CONCEPT])="IS_CONCEPT"</f>
        <v>0</v>
      </c>
      <c r="Q1038" s="7" t="b">
        <f>_xlfn.XLOOKUP(CONTROL[[#This Row],[VEHIDCODE]],PROPERTIES[VEHIDCODE],PROPERTIES[EXCLUDE])</f>
        <v>0</v>
      </c>
      <c r="R1038" t="str" cm="1">
        <f t="array" ref="R1038">_xlfn.XLOOKUP(CONTROL[[#This Row],[VEHIDCODE]],GRAPHICS_PROPERTIES[VEHIDCODE],GRAPHICS_PROPERTIES[TEMPLATE_ID]&amp;GRAPHICS_PROPERTIES[TEMPLATE_AMENDMENT_CODE])</f>
        <v>TPL_03F</v>
      </c>
    </row>
    <row r="1039" spans="1:18" x14ac:dyDescent="0.35">
      <c r="A1039" t="s">
        <v>3656</v>
      </c>
      <c r="B1039" s="21" t="str">
        <f>_xlfn.TEXTAFTER(CONTROL[[#This Row],[VEHIDCODE]],"_")</f>
        <v>Faur_A20DP</v>
      </c>
      <c r="C1039" t="str" cm="1">
        <f t="array" ref="C10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039" t="str" cm="1">
        <f t="array" ref="D10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03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2049</v>
      </c>
      <c r="F1039" s="32" t="s">
        <v>3617</v>
      </c>
      <c r="G1039" t="s">
        <v>3618</v>
      </c>
      <c r="H1039" s="2" t="b">
        <f>AND(CONTROL[[#This Row],[IS_WAGON_OR_COACH]]=TRUE,OR(RIGHT(CONTROL[[#This Row],[VEHIDCODE]],7)="Powered",RIGHT(CONTROL[[#This Row],[VEHIDCODE]],9)="Unpowered"))</f>
        <v>0</v>
      </c>
      <c r="I10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9" t="b">
        <f>ISNUMBER(_xlfn.XMATCH(CONTROL[[#This Row],[VEHIDCODE]],TRACK_TYPES[VEHIDCODE],0))</f>
        <v>1</v>
      </c>
      <c r="K1039" t="b">
        <f>ISNUMBER(_xlfn.XMATCH(CONTROL[[#This Row],[VEHIDCODE]],PROPERTIES[VEHIDCODE],0))</f>
        <v>1</v>
      </c>
      <c r="L1039" t="b">
        <f>ISNUMBER(_xlfn.XLOOKUP(CONTROL[[#This Row],[VEHIDCODE]],roster!A:A,roster!D:D))</f>
        <v>1</v>
      </c>
      <c r="M1039" t="b">
        <f>ISNUMBER(_xlfn.XMATCH(CONTROL[[#This Row],[VEHIDCODE]],GRAPHICS_PROPERTIES[VEHIDCODE],0))</f>
        <v>1</v>
      </c>
      <c r="N1039" s="21" t="str">
        <f>"item_"&amp;CONTROL[[#This Row],[VEHIDCODE]]</f>
        <v>item_rbd_Faur_A20DP</v>
      </c>
      <c r="O1039" s="21" t="str">
        <f>"str_"&amp;CONTROL[[#This Row],[VEHIDCODE]]</f>
        <v>str_rbd_Faur_A20DP</v>
      </c>
      <c r="P1039" s="42" t="b">
        <f>_xlfn.XLOOKUP(CONTROL[[#This Row],[VEHIDCODE]],PROPERTIES[VEHIDCODE],PROPERTIES[IS_CONCEPT])="IS_CONCEPT"</f>
        <v>0</v>
      </c>
      <c r="Q1039" s="7" t="b">
        <f>_xlfn.XLOOKUP(CONTROL[[#This Row],[VEHIDCODE]],PROPERTIES[VEHIDCODE],PROPERTIES[EXCLUDE])</f>
        <v>0</v>
      </c>
      <c r="R1039" t="str" cm="1">
        <f t="array" ref="R1039">_xlfn.XLOOKUP(CONTROL[[#This Row],[VEHIDCODE]],GRAPHICS_PROPERTIES[VEHIDCODE],GRAPHICS_PROPERTIES[TEMPLATE_ID]&amp;GRAPHICS_PROPERTIES[TEMPLATE_AMENDMENT_CODE])</f>
        <v>TPL_01A</v>
      </c>
    </row>
    <row r="1040" spans="1:18" x14ac:dyDescent="0.35">
      <c r="A1040" t="s">
        <v>3619</v>
      </c>
      <c r="B1040" s="21" t="str">
        <f>_xlfn.TEXTAFTER(CONTROL[[#This Row],[VEHIDCODE]],"_")</f>
        <v>Coach_Gen4_Faur_AD20DP_Trailer</v>
      </c>
      <c r="C1040" t="str" cm="1">
        <f t="array" ref="C10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1040" t="str" cm="1">
        <f t="array" ref="D10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4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11105</v>
      </c>
      <c r="F1040" s="32" t="s">
        <v>3620</v>
      </c>
      <c r="G1040" t="s">
        <v>3618</v>
      </c>
      <c r="H1040" s="2" t="b">
        <f>AND(CONTROL[[#This Row],[IS_WAGON_OR_COACH]]=TRUE,OR(RIGHT(CONTROL[[#This Row],[VEHIDCODE]],7)="Powered",RIGHT(CONTROL[[#This Row],[VEHIDCODE]],9)="Unpowered"))</f>
        <v>0</v>
      </c>
      <c r="I10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40" t="b">
        <f>ISNUMBER(_xlfn.XMATCH(CONTROL[[#This Row],[VEHIDCODE]],TRACK_TYPES[VEHIDCODE],0))</f>
        <v>1</v>
      </c>
      <c r="K1040" t="b">
        <f>ISNUMBER(_xlfn.XMATCH(CONTROL[[#This Row],[VEHIDCODE]],PROPERTIES[VEHIDCODE],0))</f>
        <v>1</v>
      </c>
      <c r="L1040" t="b">
        <f>ISNUMBER(_xlfn.XLOOKUP(CONTROL[[#This Row],[VEHIDCODE]],roster!A:A,roster!D:D))</f>
        <v>1</v>
      </c>
      <c r="M1040" t="b">
        <f>ISNUMBER(_xlfn.XMATCH(CONTROL[[#This Row],[VEHIDCODE]],GRAPHICS_PROPERTIES[VEHIDCODE],0))</f>
        <v>1</v>
      </c>
      <c r="N1040" s="21" t="str">
        <f>"item_"&amp;CONTROL[[#This Row],[VEHIDCODE]]</f>
        <v>item_mu_Coach_Gen4_Faur_AD20DP_Trailer</v>
      </c>
      <c r="O1040" s="21" t="str">
        <f>"str_"&amp;CONTROL[[#This Row],[VEHIDCODE]]</f>
        <v>str_mu_Coach_Gen4_Faur_AD20DP_Trailer</v>
      </c>
      <c r="P1040" s="42" t="b">
        <f>_xlfn.XLOOKUP(CONTROL[[#This Row],[VEHIDCODE]],PROPERTIES[VEHIDCODE],PROPERTIES[IS_CONCEPT])="IS_CONCEPT"</f>
        <v>0</v>
      </c>
      <c r="Q1040" s="7" t="b">
        <f>_xlfn.XLOOKUP(CONTROL[[#This Row],[VEHIDCODE]],PROPERTIES[VEHIDCODE],PROPERTIES[EXCLUDE])</f>
        <v>0</v>
      </c>
      <c r="R1040" t="str" cm="1">
        <f t="array" ref="R1040">_xlfn.XLOOKUP(CONTROL[[#This Row],[VEHIDCODE]],GRAPHICS_PROPERTIES[VEHIDCODE],GRAPHICS_PROPERTIES[TEMPLATE_ID]&amp;GRAPHICS_PROPERTIES[TEMPLATE_AMENDMENT_CODE])</f>
        <v>TPL_04U</v>
      </c>
    </row>
    <row r="1041" spans="1:18" x14ac:dyDescent="0.35">
      <c r="A1041" t="s">
        <v>3621</v>
      </c>
      <c r="B1041" s="21" t="str">
        <f>_xlfn.TEXTAFTER(CONTROL[[#This Row],[VEHIDCODE]],"_")</f>
        <v>Faur_L45H</v>
      </c>
      <c r="C1041" t="str" cm="1">
        <f t="array" ref="C10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41" t="str" cm="1">
        <f t="array" ref="D10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4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5205</v>
      </c>
      <c r="F1041" s="32" t="s">
        <v>3622</v>
      </c>
      <c r="G1041" t="s">
        <v>3623</v>
      </c>
      <c r="H1041" s="2" t="b">
        <f>AND(CONTROL[[#This Row],[IS_WAGON_OR_COACH]]=TRUE,OR(RIGHT(CONTROL[[#This Row],[VEHIDCODE]],7)="Powered",RIGHT(CONTROL[[#This Row],[VEHIDCODE]],9)="Unpowered"))</f>
        <v>0</v>
      </c>
      <c r="I10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1" t="b">
        <f>ISNUMBER(_xlfn.XMATCH(CONTROL[[#This Row],[VEHIDCODE]],TRACK_TYPES[VEHIDCODE],0))</f>
        <v>1</v>
      </c>
      <c r="K1041" t="b">
        <f>ISNUMBER(_xlfn.XMATCH(CONTROL[[#This Row],[VEHIDCODE]],PROPERTIES[VEHIDCODE],0))</f>
        <v>1</v>
      </c>
      <c r="L1041" t="b">
        <f>ISNUMBER(_xlfn.XLOOKUP(CONTROL[[#This Row],[VEHIDCODE]],roster!A:A,roster!D:D))</f>
        <v>1</v>
      </c>
      <c r="M1041" t="b">
        <f>ISNUMBER(_xlfn.XMATCH(CONTROL[[#This Row],[VEHIDCODE]],GRAPHICS_PROPERTIES[VEHIDCODE],0))</f>
        <v>1</v>
      </c>
      <c r="N1041" s="21" t="str">
        <f>"item_"&amp;CONTROL[[#This Row],[VEHIDCODE]]</f>
        <v>item_diesel_Faur_L45H</v>
      </c>
      <c r="O1041" s="21" t="str">
        <f>"str_"&amp;CONTROL[[#This Row],[VEHIDCODE]]</f>
        <v>str_diesel_Faur_L45H</v>
      </c>
      <c r="P1041" s="42" t="b">
        <f>_xlfn.XLOOKUP(CONTROL[[#This Row],[VEHIDCODE]],PROPERTIES[VEHIDCODE],PROPERTIES[IS_CONCEPT])="IS_CONCEPT"</f>
        <v>0</v>
      </c>
      <c r="Q1041" s="7" t="b">
        <f>_xlfn.XLOOKUP(CONTROL[[#This Row],[VEHIDCODE]],PROPERTIES[VEHIDCODE],PROPERTIES[EXCLUDE])</f>
        <v>0</v>
      </c>
      <c r="R1041" t="str" cm="1">
        <f t="array" ref="R1041">_xlfn.XLOOKUP(CONTROL[[#This Row],[VEHIDCODE]],GRAPHICS_PROPERTIES[VEHIDCODE],GRAPHICS_PROPERTIES[TEMPLATE_ID]&amp;GRAPHICS_PROPERTIES[TEMPLATE_AMENDMENT_CODE])</f>
        <v>TPL_01A</v>
      </c>
    </row>
    <row r="1042" spans="1:18" x14ac:dyDescent="0.35">
      <c r="A1042" s="2" t="s">
        <v>3625</v>
      </c>
      <c r="B1042" s="21" t="str">
        <f>_xlfn.TEXTAFTER(CONTROL[[#This Row],[VEHIDCODE]],"_")</f>
        <v>Coach_Gen3_Pafawag_3Aw</v>
      </c>
      <c r="C1042" t="str" cm="1">
        <f t="array" ref="C10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1042" t="str" cm="1">
        <f t="array" ref="D10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4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11106</v>
      </c>
      <c r="F1042" s="32" t="s">
        <v>3624</v>
      </c>
      <c r="G1042" t="s">
        <v>3626</v>
      </c>
      <c r="H1042" s="2" t="b">
        <f>AND(CONTROL[[#This Row],[IS_WAGON_OR_COACH]]=TRUE,OR(RIGHT(CONTROL[[#This Row],[VEHIDCODE]],7)="Powered",RIGHT(CONTROL[[#This Row],[VEHIDCODE]],9)="Unpowered"))</f>
        <v>0</v>
      </c>
      <c r="I10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42" t="b">
        <f>ISNUMBER(_xlfn.XMATCH(CONTROL[[#This Row],[VEHIDCODE]],TRACK_TYPES[VEHIDCODE],0))</f>
        <v>1</v>
      </c>
      <c r="K1042" t="b">
        <f>ISNUMBER(_xlfn.XMATCH(CONTROL[[#This Row],[VEHIDCODE]],PROPERTIES[VEHIDCODE],0))</f>
        <v>1</v>
      </c>
      <c r="L1042" t="b">
        <f>ISNUMBER(_xlfn.XLOOKUP(CONTROL[[#This Row],[VEHIDCODE]],roster!A:A,roster!D:D))</f>
        <v>1</v>
      </c>
      <c r="M1042" t="b">
        <f>ISNUMBER(_xlfn.XMATCH(CONTROL[[#This Row],[VEHIDCODE]],GRAPHICS_PROPERTIES[VEHIDCODE],0))</f>
        <v>1</v>
      </c>
      <c r="N1042" s="21" t="str">
        <f>"item_"&amp;CONTROL[[#This Row],[VEHIDCODE]]</f>
        <v>item_mu_Coach_Gen3_Pafawag_3Aw</v>
      </c>
      <c r="O1042" s="21" t="str">
        <f>"str_"&amp;CONTROL[[#This Row],[VEHIDCODE]]</f>
        <v>str_mu_Coach_Gen3_Pafawag_3Aw</v>
      </c>
      <c r="P1042" s="42" t="b">
        <f>_xlfn.XLOOKUP(CONTROL[[#This Row],[VEHIDCODE]],PROPERTIES[VEHIDCODE],PROPERTIES[IS_CONCEPT])="IS_CONCEPT"</f>
        <v>0</v>
      </c>
      <c r="Q1042" s="7" t="b">
        <f>_xlfn.XLOOKUP(CONTROL[[#This Row],[VEHIDCODE]],PROPERTIES[VEHIDCODE],PROPERTIES[EXCLUDE])</f>
        <v>0</v>
      </c>
      <c r="R1042" t="str" cm="1">
        <f t="array" ref="R1042">_xlfn.XLOOKUP(CONTROL[[#This Row],[VEHIDCODE]],GRAPHICS_PROPERTIES[VEHIDCODE],GRAPHICS_PROPERTIES[TEMPLATE_ID]&amp;GRAPHICS_PROPERTIES[TEMPLATE_AMENDMENT_CODE])</f>
        <v>TPL_04U</v>
      </c>
    </row>
    <row r="1043" spans="1:18" x14ac:dyDescent="0.35">
      <c r="A1043" t="s">
        <v>3627</v>
      </c>
      <c r="B1043" s="21" t="str">
        <f>_xlfn.TEXTAFTER(CONTROL[[#This Row],[VEHIDCODE]],"_")</f>
        <v>KMZ_TU7_TGM40</v>
      </c>
      <c r="C1043" t="str" cm="1">
        <f t="array" ref="C10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43" t="str" cm="1">
        <f t="array" ref="D10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4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5206</v>
      </c>
      <c r="F1043" s="32" t="s">
        <v>3628</v>
      </c>
      <c r="G1043" t="s">
        <v>3629</v>
      </c>
      <c r="H1043" s="2" t="b">
        <f>AND(CONTROL[[#This Row],[IS_WAGON_OR_COACH]]=TRUE,OR(RIGHT(CONTROL[[#This Row],[VEHIDCODE]],7)="Powered",RIGHT(CONTROL[[#This Row],[VEHIDCODE]],9)="Unpowered"))</f>
        <v>0</v>
      </c>
      <c r="I10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3" t="b">
        <f>ISNUMBER(_xlfn.XMATCH(CONTROL[[#This Row],[VEHIDCODE]],TRACK_TYPES[VEHIDCODE],0))</f>
        <v>1</v>
      </c>
      <c r="K1043" t="b">
        <f>ISNUMBER(_xlfn.XMATCH(CONTROL[[#This Row],[VEHIDCODE]],PROPERTIES[VEHIDCODE],0))</f>
        <v>1</v>
      </c>
      <c r="L1043" t="b">
        <f>ISNUMBER(_xlfn.XLOOKUP(CONTROL[[#This Row],[VEHIDCODE]],roster!A:A,roster!D:D))</f>
        <v>1</v>
      </c>
      <c r="M1043" t="b">
        <f>ISNUMBER(_xlfn.XMATCH(CONTROL[[#This Row],[VEHIDCODE]],GRAPHICS_PROPERTIES[VEHIDCODE],0))</f>
        <v>1</v>
      </c>
      <c r="N1043" s="21" t="str">
        <f>"item_"&amp;CONTROL[[#This Row],[VEHIDCODE]]</f>
        <v>item_diesel_KMZ_TU7_TGM40</v>
      </c>
      <c r="O1043" s="21" t="str">
        <f>"str_"&amp;CONTROL[[#This Row],[VEHIDCODE]]</f>
        <v>str_diesel_KMZ_TU7_TGM40</v>
      </c>
      <c r="P1043" s="42" t="b">
        <f>_xlfn.XLOOKUP(CONTROL[[#This Row],[VEHIDCODE]],PROPERTIES[VEHIDCODE],PROPERTIES[IS_CONCEPT])="IS_CONCEPT"</f>
        <v>0</v>
      </c>
      <c r="Q1043" s="7" t="b">
        <f>_xlfn.XLOOKUP(CONTROL[[#This Row],[VEHIDCODE]],PROPERTIES[VEHIDCODE],PROPERTIES[EXCLUDE])</f>
        <v>0</v>
      </c>
      <c r="R1043" t="str" cm="1">
        <f t="array" ref="R1043">_xlfn.XLOOKUP(CONTROL[[#This Row],[VEHIDCODE]],GRAPHICS_PROPERTIES[VEHIDCODE],GRAPHICS_PROPERTIES[TEMPLATE_ID]&amp;GRAPHICS_PROPERTIES[TEMPLATE_AMENDMENT_CODE])</f>
        <v>TPL_01A</v>
      </c>
    </row>
    <row r="1044" spans="1:18" x14ac:dyDescent="0.35">
      <c r="A1044" t="s">
        <v>3632</v>
      </c>
      <c r="B1044" s="21" t="str">
        <f>_xlfn.TEXTAFTER(CONTROL[[#This Row],[VEHIDCODE]],"_")</f>
        <v>Alsthom_CC_7100</v>
      </c>
      <c r="C1044" t="str" cm="1">
        <f t="array" ref="C10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44" t="str" cm="1">
        <f t="array" ref="D10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4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6172</v>
      </c>
      <c r="F1044" s="32" t="s">
        <v>3631</v>
      </c>
      <c r="G1044" t="s">
        <v>3634</v>
      </c>
      <c r="H1044" s="2" t="b">
        <f>AND(CONTROL[[#This Row],[IS_WAGON_OR_COACH]]=TRUE,OR(RIGHT(CONTROL[[#This Row],[VEHIDCODE]],7)="Powered",RIGHT(CONTROL[[#This Row],[VEHIDCODE]],9)="Unpowered"))</f>
        <v>0</v>
      </c>
      <c r="I10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4" t="b">
        <f>ISNUMBER(_xlfn.XMATCH(CONTROL[[#This Row],[VEHIDCODE]],TRACK_TYPES[VEHIDCODE],0))</f>
        <v>1</v>
      </c>
      <c r="K1044" t="b">
        <f>ISNUMBER(_xlfn.XMATCH(CONTROL[[#This Row],[VEHIDCODE]],PROPERTIES[VEHIDCODE],0))</f>
        <v>1</v>
      </c>
      <c r="L1044" t="b">
        <f>ISNUMBER(_xlfn.XLOOKUP(CONTROL[[#This Row],[VEHIDCODE]],roster!A:A,roster!D:D))</f>
        <v>1</v>
      </c>
      <c r="M1044" t="b">
        <f>ISNUMBER(_xlfn.XMATCH(CONTROL[[#This Row],[VEHIDCODE]],GRAPHICS_PROPERTIES[VEHIDCODE],0))</f>
        <v>1</v>
      </c>
      <c r="N1044" s="21" t="str">
        <f>"item_"&amp;CONTROL[[#This Row],[VEHIDCODE]]</f>
        <v>item_electric_Alsthom_CC_7100</v>
      </c>
      <c r="O1044" s="21" t="str">
        <f>"str_"&amp;CONTROL[[#This Row],[VEHIDCODE]]</f>
        <v>str_electric_Alsthom_CC_7100</v>
      </c>
      <c r="P1044" s="42" t="b">
        <f>_xlfn.XLOOKUP(CONTROL[[#This Row],[VEHIDCODE]],PROPERTIES[VEHIDCODE],PROPERTIES[IS_CONCEPT])="IS_CONCEPT"</f>
        <v>0</v>
      </c>
      <c r="Q1044" s="7" t="b">
        <f>_xlfn.XLOOKUP(CONTROL[[#This Row],[VEHIDCODE]],PROPERTIES[VEHIDCODE],PROPERTIES[EXCLUDE])</f>
        <v>0</v>
      </c>
      <c r="R1044" t="str" cm="1">
        <f t="array" ref="R1044">_xlfn.XLOOKUP(CONTROL[[#This Row],[VEHIDCODE]],GRAPHICS_PROPERTIES[VEHIDCODE],GRAPHICS_PROPERTIES[TEMPLATE_ID]&amp;GRAPHICS_PROPERTIES[TEMPLATE_AMENDMENT_CODE])</f>
        <v>TPL_01A</v>
      </c>
    </row>
    <row r="1045" spans="1:18" x14ac:dyDescent="0.35">
      <c r="A1045" t="s">
        <v>3630</v>
      </c>
      <c r="B1045" s="21" t="str">
        <f>_xlfn.TEXTAFTER(CONTROL[[#This Row],[VEHIDCODE]],"_")</f>
        <v>Alsthom_F_Series</v>
      </c>
      <c r="C1045" t="str" cm="1">
        <f t="array" ref="C10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45" t="str" cm="1">
        <f t="array" ref="D10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4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6173</v>
      </c>
      <c r="F1045" s="32" t="s">
        <v>3633</v>
      </c>
      <c r="G1045" t="s">
        <v>3635</v>
      </c>
      <c r="H1045" s="2" t="b">
        <f>AND(CONTROL[[#This Row],[IS_WAGON_OR_COACH]]=TRUE,OR(RIGHT(CONTROL[[#This Row],[VEHIDCODE]],7)="Powered",RIGHT(CONTROL[[#This Row],[VEHIDCODE]],9)="Unpowered"))</f>
        <v>0</v>
      </c>
      <c r="I10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5" t="b">
        <f>ISNUMBER(_xlfn.XMATCH(CONTROL[[#This Row],[VEHIDCODE]],TRACK_TYPES[VEHIDCODE],0))</f>
        <v>1</v>
      </c>
      <c r="K1045" t="b">
        <f>ISNUMBER(_xlfn.XMATCH(CONTROL[[#This Row],[VEHIDCODE]],PROPERTIES[VEHIDCODE],0))</f>
        <v>1</v>
      </c>
      <c r="L1045" t="b">
        <f>ISNUMBER(_xlfn.XLOOKUP(CONTROL[[#This Row],[VEHIDCODE]],roster!A:A,roster!D:D))</f>
        <v>1</v>
      </c>
      <c r="M1045" t="b">
        <f>ISNUMBER(_xlfn.XMATCH(CONTROL[[#This Row],[VEHIDCODE]],GRAPHICS_PROPERTIES[VEHIDCODE],0))</f>
        <v>1</v>
      </c>
      <c r="N1045" s="21" t="str">
        <f>"item_"&amp;CONTROL[[#This Row],[VEHIDCODE]]</f>
        <v>item_electric_Alsthom_F_Series</v>
      </c>
      <c r="O1045" s="21" t="str">
        <f>"str_"&amp;CONTROL[[#This Row],[VEHIDCODE]]</f>
        <v>str_electric_Alsthom_F_Series</v>
      </c>
      <c r="P1045" s="42" t="b">
        <f>_xlfn.XLOOKUP(CONTROL[[#This Row],[VEHIDCODE]],PROPERTIES[VEHIDCODE],PROPERTIES[IS_CONCEPT])="IS_CONCEPT"</f>
        <v>0</v>
      </c>
      <c r="Q1045" s="7" t="b">
        <f>_xlfn.XLOOKUP(CONTROL[[#This Row],[VEHIDCODE]],PROPERTIES[VEHIDCODE],PROPERTIES[EXCLUDE])</f>
        <v>0</v>
      </c>
      <c r="R1045" t="str" cm="1">
        <f t="array" ref="R1045">_xlfn.XLOOKUP(CONTROL[[#This Row],[VEHIDCODE]],GRAPHICS_PROPERTIES[VEHIDCODE],GRAPHICS_PROPERTIES[TEMPLATE_ID]&amp;GRAPHICS_PROPERTIES[TEMPLATE_AMENDMENT_CODE])</f>
        <v>TPL_01A</v>
      </c>
    </row>
    <row r="1046" spans="1:18" x14ac:dyDescent="0.35">
      <c r="A1046" t="s">
        <v>3676</v>
      </c>
      <c r="B1046" s="21" t="str">
        <f>_xlfn.TEXTAFTER(CONTROL[[#This Row],[VEHIDCODE]],"_")</f>
        <v>Siemens_Vectron_MS</v>
      </c>
      <c r="C1046" t="str" cm="1">
        <f t="array" ref="C10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46" t="str" cm="1">
        <f t="array" ref="D10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4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6174</v>
      </c>
      <c r="F1046" s="32" t="s">
        <v>3646</v>
      </c>
      <c r="G1046" t="s">
        <v>3642</v>
      </c>
      <c r="H1046" s="2" t="b">
        <f>AND(CONTROL[[#This Row],[IS_WAGON_OR_COACH]]=TRUE,OR(RIGHT(CONTROL[[#This Row],[VEHIDCODE]],7)="Powered",RIGHT(CONTROL[[#This Row],[VEHIDCODE]],9)="Unpowered"))</f>
        <v>0</v>
      </c>
      <c r="I10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6" t="b">
        <f>ISNUMBER(_xlfn.XMATCH(CONTROL[[#This Row],[VEHIDCODE]],TRACK_TYPES[VEHIDCODE],0))</f>
        <v>1</v>
      </c>
      <c r="K1046" t="b">
        <f>ISNUMBER(_xlfn.XMATCH(CONTROL[[#This Row],[VEHIDCODE]],PROPERTIES[VEHIDCODE],0))</f>
        <v>1</v>
      </c>
      <c r="L1046" t="b">
        <f>ISNUMBER(_xlfn.XLOOKUP(CONTROL[[#This Row],[VEHIDCODE]],roster!A:A,roster!D:D))</f>
        <v>1</v>
      </c>
      <c r="M1046" t="b">
        <f>ISNUMBER(_xlfn.XMATCH(CONTROL[[#This Row],[VEHIDCODE]],GRAPHICS_PROPERTIES[VEHIDCODE],0))</f>
        <v>1</v>
      </c>
      <c r="N1046" s="21" t="str">
        <f>"item_"&amp;CONTROL[[#This Row],[VEHIDCODE]]</f>
        <v>item_electric_Siemens_Vectron_MS</v>
      </c>
      <c r="O1046" s="21" t="str">
        <f>"str_"&amp;CONTROL[[#This Row],[VEHIDCODE]]</f>
        <v>str_electric_Siemens_Vectron_MS</v>
      </c>
      <c r="P1046" s="42" t="b">
        <f>_xlfn.XLOOKUP(CONTROL[[#This Row],[VEHIDCODE]],PROPERTIES[VEHIDCODE],PROPERTIES[IS_CONCEPT])="IS_CONCEPT"</f>
        <v>0</v>
      </c>
      <c r="Q1046" s="7" t="b">
        <f>_xlfn.XLOOKUP(CONTROL[[#This Row],[VEHIDCODE]],PROPERTIES[VEHIDCODE],PROPERTIES[EXCLUDE])</f>
        <v>0</v>
      </c>
      <c r="R1046" t="str" cm="1">
        <f t="array" ref="R1046">_xlfn.XLOOKUP(CONTROL[[#This Row],[VEHIDCODE]],GRAPHICS_PROPERTIES[VEHIDCODE],GRAPHICS_PROPERTIES[TEMPLATE_ID]&amp;GRAPHICS_PROPERTIES[TEMPLATE_AMENDMENT_CODE])</f>
        <v>TPL_01A</v>
      </c>
    </row>
    <row r="1047" spans="1:18" x14ac:dyDescent="0.35">
      <c r="A1047" t="s">
        <v>3641</v>
      </c>
      <c r="B1047" s="21" t="str">
        <f>_xlfn.TEXTAFTER(CONTROL[[#This Row],[VEHIDCODE]],"_")</f>
        <v>Siemens_Vectron_DE</v>
      </c>
      <c r="C1047" t="str" cm="1">
        <f t="array" ref="C10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47" t="str" cm="1">
        <f t="array" ref="D10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4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5207</v>
      </c>
      <c r="F1047" s="32" t="s">
        <v>3639</v>
      </c>
      <c r="G1047" t="s">
        <v>3642</v>
      </c>
      <c r="H1047" s="2" t="b">
        <f>AND(CONTROL[[#This Row],[IS_WAGON_OR_COACH]]=TRUE,OR(RIGHT(CONTROL[[#This Row],[VEHIDCODE]],7)="Powered",RIGHT(CONTROL[[#This Row],[VEHIDCODE]],9)="Unpowered"))</f>
        <v>0</v>
      </c>
      <c r="I10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7" t="b">
        <f>ISNUMBER(_xlfn.XMATCH(CONTROL[[#This Row],[VEHIDCODE]],TRACK_TYPES[VEHIDCODE],0))</f>
        <v>1</v>
      </c>
      <c r="K1047" t="b">
        <f>ISNUMBER(_xlfn.XMATCH(CONTROL[[#This Row],[VEHIDCODE]],PROPERTIES[VEHIDCODE],0))</f>
        <v>1</v>
      </c>
      <c r="L1047" t="b">
        <f>ISNUMBER(_xlfn.XLOOKUP(CONTROL[[#This Row],[VEHIDCODE]],roster!A:A,roster!D:D))</f>
        <v>1</v>
      </c>
      <c r="M1047" t="b">
        <f>ISNUMBER(_xlfn.XMATCH(CONTROL[[#This Row],[VEHIDCODE]],GRAPHICS_PROPERTIES[VEHIDCODE],0))</f>
        <v>1</v>
      </c>
      <c r="N1047" s="21" t="str">
        <f>"item_"&amp;CONTROL[[#This Row],[VEHIDCODE]]</f>
        <v>item_diesel_Siemens_Vectron_DE</v>
      </c>
      <c r="O1047" s="21" t="str">
        <f>"str_"&amp;CONTROL[[#This Row],[VEHIDCODE]]</f>
        <v>str_diesel_Siemens_Vectron_DE</v>
      </c>
      <c r="P1047" s="42" t="b">
        <f>_xlfn.XLOOKUP(CONTROL[[#This Row],[VEHIDCODE]],PROPERTIES[VEHIDCODE],PROPERTIES[IS_CONCEPT])="IS_CONCEPT"</f>
        <v>0</v>
      </c>
      <c r="Q1047" s="7" t="b">
        <f>_xlfn.XLOOKUP(CONTROL[[#This Row],[VEHIDCODE]],PROPERTIES[VEHIDCODE],PROPERTIES[EXCLUDE])</f>
        <v>0</v>
      </c>
      <c r="R1047" t="str" cm="1">
        <f t="array" ref="R1047">_xlfn.XLOOKUP(CONTROL[[#This Row],[VEHIDCODE]],GRAPHICS_PROPERTIES[VEHIDCODE],GRAPHICS_PROPERTIES[TEMPLATE_ID]&amp;GRAPHICS_PROPERTIES[TEMPLATE_AMENDMENT_CODE])</f>
        <v>TPL_01A</v>
      </c>
    </row>
    <row r="1048" spans="1:18" x14ac:dyDescent="0.35">
      <c r="A1048" t="s">
        <v>3638</v>
      </c>
      <c r="B1048" s="21" t="str">
        <f>_xlfn.TEXTAFTER(CONTROL[[#This Row],[VEHIDCODE]],"_")</f>
        <v>Siemens_Vectron_Dual_Mode</v>
      </c>
      <c r="C1048" t="str" cm="1">
        <f t="array" ref="C10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48" t="str" cm="1">
        <f t="array" ref="D10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4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6175</v>
      </c>
      <c r="F1048" s="32" t="s">
        <v>3640</v>
      </c>
      <c r="G1048" t="s">
        <v>3642</v>
      </c>
      <c r="H1048" s="2" t="b">
        <f>AND(CONTROL[[#This Row],[IS_WAGON_OR_COACH]]=TRUE,OR(RIGHT(CONTROL[[#This Row],[VEHIDCODE]],7)="Powered",RIGHT(CONTROL[[#This Row],[VEHIDCODE]],9)="Unpowered"))</f>
        <v>0</v>
      </c>
      <c r="I10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8" t="b">
        <f>ISNUMBER(_xlfn.XMATCH(CONTROL[[#This Row],[VEHIDCODE]],TRACK_TYPES[VEHIDCODE],0))</f>
        <v>1</v>
      </c>
      <c r="K1048" t="b">
        <f>ISNUMBER(_xlfn.XMATCH(CONTROL[[#This Row],[VEHIDCODE]],PROPERTIES[VEHIDCODE],0))</f>
        <v>1</v>
      </c>
      <c r="L1048" t="b">
        <f>ISNUMBER(_xlfn.XLOOKUP(CONTROL[[#This Row],[VEHIDCODE]],roster!A:A,roster!D:D))</f>
        <v>1</v>
      </c>
      <c r="M1048" t="b">
        <f>ISNUMBER(_xlfn.XMATCH(CONTROL[[#This Row],[VEHIDCODE]],GRAPHICS_PROPERTIES[VEHIDCODE],0))</f>
        <v>1</v>
      </c>
      <c r="N1048" s="21" t="str">
        <f>"item_"&amp;CONTROL[[#This Row],[VEHIDCODE]]</f>
        <v>item_electric_Siemens_Vectron_Dual_Mode</v>
      </c>
      <c r="O1048" s="21" t="str">
        <f>"str_"&amp;CONTROL[[#This Row],[VEHIDCODE]]</f>
        <v>str_electric_Siemens_Vectron_Dual_Mode</v>
      </c>
      <c r="P1048" s="42" t="b">
        <f>_xlfn.XLOOKUP(CONTROL[[#This Row],[VEHIDCODE]],PROPERTIES[VEHIDCODE],PROPERTIES[IS_CONCEPT])="IS_CONCEPT"</f>
        <v>0</v>
      </c>
      <c r="Q1048" s="7" t="b">
        <f>_xlfn.XLOOKUP(CONTROL[[#This Row],[VEHIDCODE]],PROPERTIES[VEHIDCODE],PROPERTIES[EXCLUDE])</f>
        <v>0</v>
      </c>
      <c r="R1048" t="str" cm="1">
        <f t="array" ref="R1048">_xlfn.XLOOKUP(CONTROL[[#This Row],[VEHIDCODE]],GRAPHICS_PROPERTIES[VEHIDCODE],GRAPHICS_PROPERTIES[TEMPLATE_ID]&amp;GRAPHICS_PROPERTIES[TEMPLATE_AMENDMENT_CODE])</f>
        <v>TPL_01A</v>
      </c>
    </row>
    <row r="1049" spans="1:18" x14ac:dyDescent="0.35">
      <c r="A1049" t="s">
        <v>3659</v>
      </c>
      <c r="B1049" s="21" t="str">
        <f>_xlfn.TEXTAFTER(CONTROL[[#This Row],[VEHIDCODE]],"_")</f>
        <v>Tours_Chapelon_2_12_0_160A</v>
      </c>
      <c r="C1049" t="str" cm="1">
        <f t="array" ref="C10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49" t="str" cm="1">
        <f t="array" ref="D10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4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4154</v>
      </c>
      <c r="F1049" s="32" t="s">
        <v>3657</v>
      </c>
      <c r="G1049" t="s">
        <v>3658</v>
      </c>
      <c r="H1049" s="2" t="b">
        <f>AND(CONTROL[[#This Row],[IS_WAGON_OR_COACH]]=TRUE,OR(RIGHT(CONTROL[[#This Row],[VEHIDCODE]],7)="Powered",RIGHT(CONTROL[[#This Row],[VEHIDCODE]],9)="Unpowered"))</f>
        <v>0</v>
      </c>
      <c r="I10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9" t="b">
        <f>ISNUMBER(_xlfn.XMATCH(CONTROL[[#This Row],[VEHIDCODE]],TRACK_TYPES[VEHIDCODE],0))</f>
        <v>1</v>
      </c>
      <c r="K1049" t="b">
        <f>ISNUMBER(_xlfn.XMATCH(CONTROL[[#This Row],[VEHIDCODE]],PROPERTIES[VEHIDCODE],0))</f>
        <v>1</v>
      </c>
      <c r="L1049" t="b">
        <f>ISNUMBER(_xlfn.XLOOKUP(CONTROL[[#This Row],[VEHIDCODE]],roster!A:A,roster!D:D))</f>
        <v>1</v>
      </c>
      <c r="M1049" t="b">
        <f>ISNUMBER(_xlfn.XMATCH(CONTROL[[#This Row],[VEHIDCODE]],GRAPHICS_PROPERTIES[VEHIDCODE],0))</f>
        <v>1</v>
      </c>
      <c r="N1049" s="21" t="str">
        <f>"item_"&amp;CONTROL[[#This Row],[VEHIDCODE]]</f>
        <v>item_steam_Tours_Chapelon_2_12_0_160A</v>
      </c>
      <c r="O1049" s="21" t="str">
        <f>"str_"&amp;CONTROL[[#This Row],[VEHIDCODE]]</f>
        <v>str_steam_Tours_Chapelon_2_12_0_160A</v>
      </c>
      <c r="P1049" s="42" t="b">
        <f>_xlfn.XLOOKUP(CONTROL[[#This Row],[VEHIDCODE]],PROPERTIES[VEHIDCODE],PROPERTIES[IS_CONCEPT])="IS_CONCEPT"</f>
        <v>0</v>
      </c>
      <c r="Q1049" s="7" t="b">
        <f>_xlfn.XLOOKUP(CONTROL[[#This Row],[VEHIDCODE]],PROPERTIES[VEHIDCODE],PROPERTIES[EXCLUDE])</f>
        <v>0</v>
      </c>
      <c r="R1049" t="str" cm="1">
        <f t="array" ref="R1049">_xlfn.XLOOKUP(CONTROL[[#This Row],[VEHIDCODE]],GRAPHICS_PROPERTIES[VEHIDCODE],GRAPHICS_PROPERTIES[TEMPLATE_ID]&amp;GRAPHICS_PROPERTIES[TEMPLATE_AMENDMENT_CODE])</f>
        <v>TPL_03G</v>
      </c>
    </row>
    <row r="1050" spans="1:18" x14ac:dyDescent="0.35">
      <c r="A1050" t="s">
        <v>3674</v>
      </c>
      <c r="B1050" s="21" t="str">
        <f>_xlfn.TEXTAFTER(CONTROL[[#This Row],[VEHIDCODE]],"_")</f>
        <v>LTZ_TE166</v>
      </c>
      <c r="C1050" t="str" cm="1">
        <f t="array" ref="C10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50" t="str" cm="1">
        <f t="array" ref="D10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5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5208</v>
      </c>
      <c r="F1050" s="32" t="s">
        <v>3675</v>
      </c>
      <c r="G1050" t="s">
        <v>1312</v>
      </c>
      <c r="H1050" s="2" t="b">
        <f>AND(CONTROL[[#This Row],[IS_WAGON_OR_COACH]]=TRUE,OR(RIGHT(CONTROL[[#This Row],[VEHIDCODE]],7)="Powered",RIGHT(CONTROL[[#This Row],[VEHIDCODE]],9)="Unpowered"))</f>
        <v>0</v>
      </c>
      <c r="I10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50" t="b">
        <f>ISNUMBER(_xlfn.XMATCH(CONTROL[[#This Row],[VEHIDCODE]],TRACK_TYPES[VEHIDCODE],0))</f>
        <v>1</v>
      </c>
      <c r="K1050" t="b">
        <f>ISNUMBER(_xlfn.XMATCH(CONTROL[[#This Row],[VEHIDCODE]],PROPERTIES[VEHIDCODE],0))</f>
        <v>1</v>
      </c>
      <c r="L1050" t="b">
        <f>ISNUMBER(_xlfn.XLOOKUP(CONTROL[[#This Row],[VEHIDCODE]],roster!A:A,roster!D:D))</f>
        <v>1</v>
      </c>
      <c r="M1050" t="b">
        <f>ISNUMBER(_xlfn.XMATCH(CONTROL[[#This Row],[VEHIDCODE]],GRAPHICS_PROPERTIES[VEHIDCODE],0))</f>
        <v>1</v>
      </c>
      <c r="N1050" s="21" t="str">
        <f>"item_"&amp;CONTROL[[#This Row],[VEHIDCODE]]</f>
        <v>item_diesel_LTZ_TE166</v>
      </c>
      <c r="O1050" s="21" t="str">
        <f>"str_"&amp;CONTROL[[#This Row],[VEHIDCODE]]</f>
        <v>str_diesel_LTZ_TE166</v>
      </c>
      <c r="P1050" s="42" t="b">
        <f>_xlfn.XLOOKUP(CONTROL[[#This Row],[VEHIDCODE]],PROPERTIES[VEHIDCODE],PROPERTIES[IS_CONCEPT])="IS_CONCEPT"</f>
        <v>0</v>
      </c>
      <c r="Q1050" s="7" t="b">
        <f>_xlfn.XLOOKUP(CONTROL[[#This Row],[VEHIDCODE]],PROPERTIES[VEHIDCODE],PROPERTIES[EXCLUDE])</f>
        <v>0</v>
      </c>
      <c r="R1050" t="str" cm="1">
        <f t="array" ref="R1050">_xlfn.XLOOKUP(CONTROL[[#This Row],[VEHIDCODE]],GRAPHICS_PROPERTIES[VEHIDCODE],GRAPHICS_PROPERTIES[TEMPLATE_ID]&amp;GRAPHICS_PROPERTIES[TEMPLATE_AMENDMENT_CODE])</f>
        <v>TPL_03F</v>
      </c>
    </row>
    <row r="1051" spans="1:18" x14ac:dyDescent="0.35">
      <c r="A1051" t="s">
        <v>3700</v>
      </c>
      <c r="B1051" s="21" t="str">
        <f>_xlfn.TEXTAFTER(CONTROL[[#This Row],[VEHIDCODE]],"_")</f>
        <v>Ganz_MAVAG_SN61</v>
      </c>
      <c r="C1051" t="str" cm="1">
        <f t="array" ref="C10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051" t="str" cm="1">
        <f t="array" ref="D10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05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2050</v>
      </c>
      <c r="F1051" s="32" t="s">
        <v>3702</v>
      </c>
      <c r="G1051" t="s">
        <v>3701</v>
      </c>
      <c r="H1051" s="2" t="b">
        <f>AND(CONTROL[[#This Row],[IS_WAGON_OR_COACH]]=TRUE,OR(RIGHT(CONTROL[[#This Row],[VEHIDCODE]],7)="Powered",RIGHT(CONTROL[[#This Row],[VEHIDCODE]],9)="Unpowered"))</f>
        <v>0</v>
      </c>
      <c r="I10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51" t="b">
        <f>ISNUMBER(_xlfn.XMATCH(CONTROL[[#This Row],[VEHIDCODE]],TRACK_TYPES[VEHIDCODE],0))</f>
        <v>1</v>
      </c>
      <c r="K1051" t="b">
        <f>ISNUMBER(_xlfn.XMATCH(CONTROL[[#This Row],[VEHIDCODE]],PROPERTIES[VEHIDCODE],0))</f>
        <v>1</v>
      </c>
      <c r="L1051" t="b">
        <f>ISNUMBER(_xlfn.XLOOKUP(CONTROL[[#This Row],[VEHIDCODE]],roster!A:A,roster!D:D))</f>
        <v>1</v>
      </c>
      <c r="M1051" t="b">
        <f>ISNUMBER(_xlfn.XMATCH(CONTROL[[#This Row],[VEHIDCODE]],GRAPHICS_PROPERTIES[VEHIDCODE],0))</f>
        <v>1</v>
      </c>
      <c r="N1051" s="21" t="str">
        <f>"item_"&amp;CONTROL[[#This Row],[VEHIDCODE]]</f>
        <v>item_rbd_Ganz_MAVAG_SN61</v>
      </c>
      <c r="O1051" s="21" t="str">
        <f>"str_"&amp;CONTROL[[#This Row],[VEHIDCODE]]</f>
        <v>str_rbd_Ganz_MAVAG_SN61</v>
      </c>
      <c r="P1051" s="42" t="b">
        <f>_xlfn.XLOOKUP(CONTROL[[#This Row],[VEHIDCODE]],PROPERTIES[VEHIDCODE],PROPERTIES[IS_CONCEPT])="IS_CONCEPT"</f>
        <v>0</v>
      </c>
      <c r="Q1051" s="7" t="b">
        <f>_xlfn.XLOOKUP(CONTROL[[#This Row],[VEHIDCODE]],PROPERTIES[VEHIDCODE],PROPERTIES[EXCLUDE])</f>
        <v>0</v>
      </c>
      <c r="R1051" t="str" cm="1">
        <f t="array" ref="R1051">_xlfn.XLOOKUP(CONTROL[[#This Row],[VEHIDCODE]],GRAPHICS_PROPERTIES[VEHIDCODE],GRAPHICS_PROPERTIES[TEMPLATE_ID]&amp;GRAPHICS_PROPERTIES[TEMPLATE_AMENDMENT_CODE])</f>
        <v>TPL_01H</v>
      </c>
    </row>
  </sheetData>
  <conditionalFormatting sqref="A1:A940 A974:A977 A985:A1029 A1031:A1048576">
    <cfRule type="containsText" dxfId="99" priority="37" operator="containsText" text=" ">
      <formula>NOT(ISERROR(SEARCH(" ",A1)))</formula>
    </cfRule>
  </conditionalFormatting>
  <conditionalFormatting sqref="A1:A1048576">
    <cfRule type="expression" dxfId="98" priority="3">
      <formula>$Q1=TRUE</formula>
    </cfRule>
  </conditionalFormatting>
  <conditionalFormatting sqref="A942:A943">
    <cfRule type="containsText" dxfId="97" priority="32" operator="containsText" text=" ">
      <formula>NOT(ISERROR(SEARCH(" ",A942)))</formula>
    </cfRule>
  </conditionalFormatting>
  <conditionalFormatting sqref="A946:A950 A952:A953">
    <cfRule type="containsText" dxfId="96" priority="44" operator="containsText" text=" ">
      <formula>NOT(ISERROR(SEARCH(" ",A946)))</formula>
    </cfRule>
  </conditionalFormatting>
  <conditionalFormatting sqref="A956:A971">
    <cfRule type="containsText" dxfId="95" priority="30" operator="containsText" text=" ">
      <formula>NOT(ISERROR(SEARCH(" ",A956)))</formula>
    </cfRule>
  </conditionalFormatting>
  <conditionalFormatting sqref="A979:A982">
    <cfRule type="containsText" dxfId="94" priority="28" operator="containsText" text=" ">
      <formula>NOT(ISERROR(SEARCH(" ",A979)))</formula>
    </cfRule>
  </conditionalFormatting>
  <conditionalFormatting sqref="B2:E1051 J2:O1051">
    <cfRule type="cellIs" dxfId="93" priority="2" operator="equal">
      <formula>FALSE</formula>
    </cfRule>
  </conditionalFormatting>
  <conditionalFormatting sqref="E2:E1048576">
    <cfRule type="duplicateValues" dxfId="92" priority="43"/>
  </conditionalFormatting>
  <conditionalFormatting sqref="E568">
    <cfRule type="cellIs" dxfId="91" priority="6" operator="equal">
      <formula>FALSE</formula>
    </cfRule>
  </conditionalFormatting>
  <conditionalFormatting sqref="E570:E586">
    <cfRule type="cellIs" dxfId="90" priority="7" operator="equal">
      <formula>FALSE</formula>
    </cfRule>
  </conditionalFormatting>
  <conditionalFormatting sqref="E1006:E1021">
    <cfRule type="cellIs" dxfId="89" priority="22" operator="equal">
      <formula>FALSE</formula>
    </cfRule>
  </conditionalFormatting>
  <conditionalFormatting sqref="F1:F1048576">
    <cfRule type="containsText" dxfId="88" priority="45" operator="containsText" text=")">
      <formula>NOT(ISERROR(SEARCH(")",F1)))</formula>
    </cfRule>
    <cfRule type="containsText" dxfId="87" priority="46" operator="containsText" text="(">
      <formula>NOT(ISERROR(SEARCH("(",F1)))</formula>
    </cfRule>
  </conditionalFormatting>
  <conditionalFormatting sqref="H2:I1051">
    <cfRule type="containsText" dxfId="86" priority="47" operator="containsText" text="FALSE">
      <formula>NOT(ISERROR(SEARCH("FALSE",H2)))</formula>
    </cfRule>
  </conditionalFormatting>
  <conditionalFormatting sqref="H1:M1">
    <cfRule type="cellIs" dxfId="85" priority="15" operator="equal">
      <formula>FALSE</formula>
    </cfRule>
  </conditionalFormatting>
  <conditionalFormatting sqref="N1:P1">
    <cfRule type="cellIs" dxfId="84" priority="49" operator="equal">
      <formula>FALSE</formula>
    </cfRule>
  </conditionalFormatting>
  <conditionalFormatting sqref="P2:Q1048576">
    <cfRule type="cellIs" dxfId="83" priority="25" operator="equal">
      <formula>FALSE</formula>
    </cfRule>
  </conditionalFormatting>
  <conditionalFormatting sqref="Q1">
    <cfRule type="cellIs" dxfId="82" priority="34" operator="equal">
      <formula>FALSE</formula>
    </cfRule>
  </conditionalFormatting>
  <hyperlinks>
    <hyperlink ref="G838" r:id="rId1" xr:uid="{12EF0C75-6325-4715-8E95-066F120B3446}"/>
    <hyperlink ref="G839" r:id="rId2" xr:uid="{4F23DBAA-C560-41A8-A564-73A805E62D42}"/>
    <hyperlink ref="G840" r:id="rId3" xr:uid="{37F6904D-35C9-4CB5-A2DF-6EB6DB29C8CE}"/>
    <hyperlink ref="G857" r:id="rId4" xr:uid="{9A055B8F-E8CD-4D44-B0F7-AF59FB49C4C4}"/>
    <hyperlink ref="G866" r:id="rId5" xr:uid="{AA153D7F-C788-41F4-AEDC-667A53E78A44}"/>
    <hyperlink ref="G867" r:id="rId6" xr:uid="{7A1D9A58-3A2D-416A-8B2B-5CA96562BA6C}"/>
    <hyperlink ref="G876" r:id="rId7" xr:uid="{84F3FA7E-C67B-4558-84C9-53CFC2D34396}"/>
    <hyperlink ref="G875" r:id="rId8" xr:uid="{3A593DE7-13AB-468F-9EE7-CB80BCA7392B}"/>
    <hyperlink ref="G880" r:id="rId9" xr:uid="{5FA4365D-4904-4D56-A42D-397A4B1762B8}"/>
    <hyperlink ref="G895" r:id="rId10" xr:uid="{334DEE80-625C-4D2D-8BD2-A8AB32838676}"/>
    <hyperlink ref="G934" r:id="rId11" xr:uid="{1E8A0D80-2A68-4986-A31A-84B0E0963E54}"/>
    <hyperlink ref="G947" r:id="rId12" xr:uid="{8FC4F709-A5CD-4B82-8FDB-4BBB93ADB9BC}"/>
    <hyperlink ref="G972" r:id="rId13" xr:uid="{4809315E-E6AA-4875-8B0E-B8E7ADC6DC9A}"/>
    <hyperlink ref="G544" r:id="rId14" xr:uid="{C5335419-DB34-446B-AFAE-311FBBED0903}"/>
  </hyperlinks>
  <pageMargins left="0.7" right="0.7" top="0.75" bottom="0.75" header="0.3" footer="0.3"/>
  <pageSetup paperSize="9" orientation="portrait" r:id="rId15"/>
  <legacyDrawing r:id="rId16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AF4D-991D-4FEB-9557-30E861773BC1}">
  <dimension ref="A1:AV1051"/>
  <sheetViews>
    <sheetView tabSelected="1" zoomScale="85" zoomScaleNormal="85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M1" sqref="M1:N1048576"/>
    </sheetView>
  </sheetViews>
  <sheetFormatPr defaultRowHeight="14.5" x14ac:dyDescent="0.35"/>
  <cols>
    <col min="1" max="1" width="50.7265625" bestFit="1" customWidth="1"/>
    <col min="2" max="2" width="11.26953125" bestFit="1" customWidth="1"/>
    <col min="3" max="3" width="11.26953125" customWidth="1"/>
    <col min="4" max="4" width="15.26953125" hidden="1" customWidth="1"/>
    <col min="5" max="5" width="37.54296875" style="40" bestFit="1" customWidth="1"/>
    <col min="6" max="6" width="15.26953125" hidden="1" customWidth="1"/>
    <col min="7" max="7" width="15.26953125" style="40" hidden="1" customWidth="1"/>
    <col min="8" max="8" width="15.81640625" hidden="1" customWidth="1"/>
    <col min="9" max="9" width="17.453125" customWidth="1"/>
    <col min="10" max="10" width="8.54296875" customWidth="1"/>
    <col min="11" max="12" width="9.26953125" customWidth="1"/>
    <col min="13" max="13" width="11" hidden="1" customWidth="1"/>
    <col min="14" max="15" width="6.7265625" hidden="1" customWidth="1"/>
    <col min="16" max="16" width="9" hidden="1" customWidth="1"/>
    <col min="17" max="17" width="12" style="23" customWidth="1"/>
    <col min="18" max="18" width="10.6328125" customWidth="1"/>
    <col min="19" max="20" width="10.6328125" hidden="1" customWidth="1"/>
    <col min="21" max="21" width="10.6328125" customWidth="1"/>
    <col min="22" max="22" width="9.26953125" customWidth="1"/>
    <col min="23" max="24" width="9.26953125" hidden="1" customWidth="1"/>
    <col min="25" max="25" width="9.26953125" customWidth="1"/>
    <col min="26" max="26" width="8.453125" style="20" customWidth="1"/>
    <col min="27" max="27" width="8.453125" customWidth="1"/>
    <col min="28" max="28" width="8.453125" style="20" customWidth="1"/>
    <col min="29" max="29" width="8.453125" customWidth="1"/>
    <col min="30" max="30" width="14.453125" style="17" hidden="1" customWidth="1"/>
    <col min="31" max="31" width="14.453125" style="2" customWidth="1"/>
    <col min="32" max="32" width="11.81640625" bestFit="1" customWidth="1"/>
    <col min="33" max="33" width="12.26953125" bestFit="1" customWidth="1"/>
    <col min="34" max="35" width="11.81640625" customWidth="1"/>
    <col min="36" max="36" width="11.81640625" style="2" customWidth="1"/>
    <col min="37" max="37" width="15.6328125" bestFit="1" customWidth="1"/>
    <col min="38" max="38" width="23" hidden="1" customWidth="1"/>
    <col min="39" max="39" width="35.453125" hidden="1" customWidth="1"/>
    <col min="40" max="40" width="15.6328125" style="2" hidden="1" customWidth="1"/>
    <col min="41" max="41" width="8.81640625" style="46" customWidth="1"/>
    <col min="42" max="45" width="8.81640625" style="50" customWidth="1"/>
    <col min="48" max="48" width="34.453125" bestFit="1" customWidth="1"/>
    <col min="49" max="49" width="33.36328125" bestFit="1" customWidth="1"/>
    <col min="50" max="50" width="15.6328125" bestFit="1" customWidth="1"/>
    <col min="52" max="52" width="17.81640625" bestFit="1" customWidth="1"/>
    <col min="53" max="53" width="12" bestFit="1" customWidth="1"/>
    <col min="54" max="54" width="12.36328125" bestFit="1" customWidth="1"/>
    <col min="55" max="55" width="14.7265625" bestFit="1" customWidth="1"/>
    <col min="59" max="60" width="18.26953125" bestFit="1" customWidth="1"/>
    <col min="61" max="61" width="22.26953125" bestFit="1" customWidth="1"/>
    <col min="62" max="62" width="19.1796875" bestFit="1" customWidth="1"/>
    <col min="63" max="63" width="17.453125" bestFit="1" customWidth="1"/>
    <col min="64" max="64" width="10" bestFit="1" customWidth="1"/>
    <col min="65" max="65" width="24" bestFit="1" customWidth="1"/>
    <col min="66" max="66" width="23.7265625" bestFit="1" customWidth="1"/>
    <col min="67" max="67" width="26.7265625" bestFit="1" customWidth="1"/>
    <col min="68" max="68" width="26.90625" bestFit="1" customWidth="1"/>
    <col min="69" max="69" width="19" bestFit="1" customWidth="1"/>
    <col min="70" max="70" width="25.1796875" bestFit="1" customWidth="1"/>
    <col min="71" max="71" width="20.6328125" bestFit="1" customWidth="1"/>
    <col min="72" max="72" width="11.1796875" customWidth="1"/>
    <col min="73" max="74" width="21.36328125" customWidth="1"/>
    <col min="75" max="75" width="20.90625" bestFit="1" customWidth="1"/>
    <col min="76" max="76" width="18.90625" bestFit="1" customWidth="1"/>
    <col min="78" max="80" width="11.1796875" customWidth="1"/>
    <col min="81" max="81" width="11.54296875" bestFit="1" customWidth="1"/>
  </cols>
  <sheetData>
    <row r="1" spans="1:48" ht="61.5" customHeight="1" x14ac:dyDescent="0.35">
      <c r="A1" s="1" t="s">
        <v>0</v>
      </c>
      <c r="B1" s="1" t="s">
        <v>5</v>
      </c>
      <c r="C1" s="1" t="s">
        <v>1926</v>
      </c>
      <c r="D1" s="11" t="s">
        <v>2</v>
      </c>
      <c r="E1" s="41" t="s">
        <v>2566</v>
      </c>
      <c r="F1" s="1" t="s">
        <v>528</v>
      </c>
      <c r="G1" s="41" t="s">
        <v>1030</v>
      </c>
      <c r="H1" s="11" t="s">
        <v>3</v>
      </c>
      <c r="I1" s="1" t="s">
        <v>1</v>
      </c>
      <c r="J1" s="1" t="s">
        <v>4</v>
      </c>
      <c r="K1" s="1" t="s">
        <v>3662</v>
      </c>
      <c r="L1" s="1" t="s">
        <v>3660</v>
      </c>
      <c r="M1" s="11" t="s">
        <v>6</v>
      </c>
      <c r="N1" s="11" t="s">
        <v>346</v>
      </c>
      <c r="O1" s="11" t="s">
        <v>7</v>
      </c>
      <c r="P1" s="11" t="s">
        <v>8</v>
      </c>
      <c r="Q1" s="22" t="s">
        <v>14</v>
      </c>
      <c r="R1" s="1" t="s">
        <v>9</v>
      </c>
      <c r="S1" s="51" t="s">
        <v>3651</v>
      </c>
      <c r="T1" s="51" t="s">
        <v>3649</v>
      </c>
      <c r="U1" s="51" t="s">
        <v>3650</v>
      </c>
      <c r="V1" s="1" t="s">
        <v>10</v>
      </c>
      <c r="W1" s="51" t="s">
        <v>3652</v>
      </c>
      <c r="X1" s="51" t="s">
        <v>3653</v>
      </c>
      <c r="Y1" s="51" t="s">
        <v>3654</v>
      </c>
      <c r="Z1" s="18" t="s">
        <v>1037</v>
      </c>
      <c r="AA1" s="18" t="s">
        <v>1038</v>
      </c>
      <c r="AB1" s="18" t="s">
        <v>1039</v>
      </c>
      <c r="AC1" s="11" t="s">
        <v>11</v>
      </c>
      <c r="AD1" s="11" t="s">
        <v>12</v>
      </c>
      <c r="AE1" s="5" t="s">
        <v>13</v>
      </c>
      <c r="AF1" s="5" t="s">
        <v>3661</v>
      </c>
      <c r="AG1" t="s">
        <v>46</v>
      </c>
      <c r="AH1" t="s">
        <v>47</v>
      </c>
      <c r="AI1" t="s">
        <v>48</v>
      </c>
      <c r="AJ1" s="2" t="s">
        <v>3517</v>
      </c>
      <c r="AK1" s="1" t="s">
        <v>245</v>
      </c>
      <c r="AL1" s="11" t="s">
        <v>322</v>
      </c>
      <c r="AM1" s="11" t="s">
        <v>323</v>
      </c>
      <c r="AN1" s="11" t="s">
        <v>326</v>
      </c>
      <c r="AO1" s="43" t="s">
        <v>3643</v>
      </c>
      <c r="AP1" s="47" t="s">
        <v>3648</v>
      </c>
      <c r="AQ1" s="47" t="s">
        <v>3647</v>
      </c>
      <c r="AR1" s="47" t="s">
        <v>3664</v>
      </c>
      <c r="AS1" s="47" t="s">
        <v>3663</v>
      </c>
      <c r="AT1" s="3" t="s">
        <v>1885</v>
      </c>
      <c r="AU1" s="3" t="s">
        <v>3698</v>
      </c>
      <c r="AV1" s="1"/>
    </row>
    <row r="2" spans="1:48" x14ac:dyDescent="0.35">
      <c r="A2" s="2" t="s">
        <v>71</v>
      </c>
      <c r="B2">
        <v>2000</v>
      </c>
      <c r="D2" cm="1">
        <f t="array" ref="D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" s="40" t="str">
        <f>_xlfn.XLOOKUP(PROPERTIES[[#This Row],[VEHIDCODE]],CONTROL[VEHIDCODE],CONTROL[ENGLISH])</f>
        <v>Maglev Unit Wagon</v>
      </c>
      <c r="G2" s="40" t="str">
        <f>_xlfn.XLOOKUP(PROPERTIES[[#This Row],[COUNTRY]],COUNTRIES[COUNTRY_DESCRIPTION],COUNTRIES[COUNTRY_LABEL],"")</f>
        <v/>
      </c>
      <c r="H2" t="str" cm="1">
        <f t="array" ref="H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2" t="s">
        <v>15</v>
      </c>
      <c r="J2">
        <v>1</v>
      </c>
      <c r="K2">
        <v>8</v>
      </c>
      <c r="L2">
        <v>0</v>
      </c>
      <c r="M2" t="str" cm="1">
        <f t="array" ref="M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">
        <f>_xlfn.XLOOKUP("LOADINGSPEEDDEF_"&amp;PROPERTIES[[#This Row],[LOADINGSPEED]],LOADINGSPEEDDEF[TYPE],LOADINGSPEEDDEF[SPEED])</f>
        <v>60</v>
      </c>
      <c r="O2" t="str" cm="1">
        <f t="array" ref="O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">
        <f>IF(ISNUMBER(SEARCH("passenger",PROPERTIES[[#This Row],[CARGODEF]])),1,0)</f>
        <v>1</v>
      </c>
      <c r="Q2" s="23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20">
        <v>0</v>
      </c>
      <c r="AA2" s="19">
        <f>IFERROR(PROPERTIES[[#This Row],[TE_STARTING_KN]]/(PROPERTIES[[#This Row],[WEIGHT]]*9.81),0)</f>
        <v>0</v>
      </c>
      <c r="AB2" s="19">
        <v>0.3</v>
      </c>
      <c r="AC2" s="16">
        <f>ROUND(IF(IFERROR(PROPERTIES[[#This Row],[TE_COEFFICIENT_CALC]],0)=0,PROPERTIES[[#This Row],[TE_COEFFICIENT_MANUAL]],PROPERTIES[[#This Row],[TE_COEFFICIENT_CALC]]),3)</f>
        <v>0.3</v>
      </c>
      <c r="AD2" s="38" cm="1">
        <f t="array" ref="AD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2" s="26">
        <v>0</v>
      </c>
      <c r="AF2" s="6">
        <v>0</v>
      </c>
      <c r="AG2" t="s">
        <v>241</v>
      </c>
      <c r="AH2" t="s">
        <v>229</v>
      </c>
      <c r="AI2" t="s">
        <v>229</v>
      </c>
      <c r="AJ2" s="2" t="s">
        <v>229</v>
      </c>
      <c r="AK2" s="2" t="s">
        <v>244</v>
      </c>
      <c r="AL2" t="str">
        <f>"PURCHASECOST_"&amp;_xlfn.XLOOKUP(_xlfn.XLOOKUP(PROPERTIES[[#This Row],[VEHIDCODE]],CONTROL[VEHIDCODE],CONTROL[VEHID_ID_CATEGORY]),VEHICLE_ID_RANGES[ID Type],VEHICLE_ID_RANGES[COST_VALUE_TYPE])&amp;"_VALUE"</f>
        <v>PURCHASECOST_MMU_VALUE</v>
      </c>
      <c r="AM2" t="str">
        <f>"RUNNINGCOST_"&amp;_xlfn.XLOOKUP(_xlfn.XLOOKUP(PROPERTIES[[#This Row],[VEHIDCODE]],CONTROL[VEHIDCODE],CONTROL[VEHID_ID_CATEGORY]),VEHICLE_ID_RANGES[ID Type],VEHICLE_ID_RANGES[COST_VALUE_TYPE])&amp;"_VALUE"</f>
        <v>RUNNINGCOST_MMU_VALUE</v>
      </c>
      <c r="AN2" s="2" t="str">
        <f>SUBSTITUTE(SUBSTITUTE(PROPERTIES[[#This Row],[PURCHASECOST_VALUE]], "PURCHASECOST_", ""), "_VALUE", "")</f>
        <v>MMU</v>
      </c>
      <c r="AO2" s="44" t="b">
        <v>0</v>
      </c>
      <c r="AP2" s="48" t="b">
        <v>0</v>
      </c>
      <c r="AQ2" s="48" t="b">
        <v>0</v>
      </c>
      <c r="AR2" s="48">
        <v>0</v>
      </c>
      <c r="AS2" s="48" t="b">
        <v>0</v>
      </c>
      <c r="AT2" s="7" t="b">
        <v>0</v>
      </c>
      <c r="AU2" s="40" t="str" cm="1">
        <f t="array" ref="AU2">_xlfn.XLOOKUP(PROPERTIES[[#This Row],[VEHIDCODE]],GRAPHICS_PROPERTIES[VEHIDCODE],GRAPHICS_PROPERTIES[TEMPLATE_ID]&amp;GRAPHICS_PROPERTIES[TEMPLATE_AMENDMENT_CODE])</f>
        <v>TPL_01F</v>
      </c>
    </row>
    <row r="3" spans="1:48" x14ac:dyDescent="0.35">
      <c r="A3" s="2" t="s">
        <v>72</v>
      </c>
      <c r="B3">
        <v>2000</v>
      </c>
      <c r="D3" cm="1">
        <f t="array" ref="D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" s="40" t="str">
        <f>_xlfn.XLOOKUP(PROPERTIES[[#This Row],[VEHIDCODE]],CONTROL[VEHIDCODE],CONTROL[ENGLISH])</f>
        <v>Maglev Unit Wagon</v>
      </c>
      <c r="G3" s="40" t="str">
        <f>_xlfn.XLOOKUP(PROPERTIES[[#This Row],[COUNTRY]],COUNTRIES[COUNTRY_DESCRIPTION],COUNTRIES[COUNTRY_LABEL],"")</f>
        <v/>
      </c>
      <c r="H3" t="str" cm="1">
        <f t="array" ref="H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" t="s">
        <v>15</v>
      </c>
      <c r="J3">
        <v>1</v>
      </c>
      <c r="K3">
        <v>8</v>
      </c>
      <c r="L3">
        <v>0</v>
      </c>
      <c r="M3" t="str" cm="1">
        <f t="array" ref="M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">
        <f>_xlfn.XLOOKUP("LOADINGSPEEDDEF_"&amp;PROPERTIES[[#This Row],[LOADINGSPEED]],LOADINGSPEEDDEF[TYPE],LOADINGSPEEDDEF[SPEED])</f>
        <v>60</v>
      </c>
      <c r="O3" t="str" cm="1">
        <f t="array" ref="O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">
        <f>IF(ISNUMBER(SEARCH("passenger",PROPERTIES[[#This Row],[CARGODEF]])),1,0)</f>
        <v>1</v>
      </c>
      <c r="Q3" s="2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s="20">
        <v>0</v>
      </c>
      <c r="AA3" s="19">
        <f>IFERROR(PROPERTIES[[#This Row],[TE_STARTING_KN]]/(PROPERTIES[[#This Row],[WEIGHT]]*9.81),0)</f>
        <v>0</v>
      </c>
      <c r="AB3" s="19">
        <v>0.3</v>
      </c>
      <c r="AC3" s="16">
        <f>ROUND(IF(IFERROR(PROPERTIES[[#This Row],[TE_COEFFICIENT_CALC]],0)=0,PROPERTIES[[#This Row],[TE_COEFFICIENT_MANUAL]],PROPERTIES[[#This Row],[TE_COEFFICIENT_CALC]]),3)</f>
        <v>0.3</v>
      </c>
      <c r="AD3" s="8" cm="1">
        <f t="array" ref="AD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3" s="26">
        <v>0</v>
      </c>
      <c r="AF3" s="6">
        <v>0</v>
      </c>
      <c r="AG3" t="s">
        <v>241</v>
      </c>
      <c r="AH3" t="s">
        <v>229</v>
      </c>
      <c r="AI3" t="s">
        <v>229</v>
      </c>
      <c r="AJ3" s="2" t="s">
        <v>229</v>
      </c>
      <c r="AK3" s="2" t="s">
        <v>244</v>
      </c>
      <c r="AL3" t="str">
        <f>"PURCHASECOST_"&amp;_xlfn.XLOOKUP(_xlfn.XLOOKUP(PROPERTIES[[#This Row],[VEHIDCODE]],CONTROL[VEHIDCODE],CONTROL[VEHID_ID_CATEGORY]),VEHICLE_ID_RANGES[ID Type],VEHICLE_ID_RANGES[COST_VALUE_TYPE])&amp;"_VALUE"</f>
        <v>PURCHASECOST_MMU_VALUE</v>
      </c>
      <c r="AM3" t="str">
        <f>"RUNNINGCOST_"&amp;_xlfn.XLOOKUP(_xlfn.XLOOKUP(PROPERTIES[[#This Row],[VEHIDCODE]],CONTROL[VEHIDCODE],CONTROL[VEHID_ID_CATEGORY]),VEHICLE_ID_RANGES[ID Type],VEHICLE_ID_RANGES[COST_VALUE_TYPE])&amp;"_VALUE"</f>
        <v>RUNNINGCOST_MMU_VALUE</v>
      </c>
      <c r="AN3" s="2" t="str">
        <f>SUBSTITUTE(SUBSTITUTE(PROPERTIES[[#This Row],[PURCHASECOST_VALUE]], "PURCHASECOST_", ""), "_VALUE", "")</f>
        <v>MMU</v>
      </c>
      <c r="AO3" s="44" t="b">
        <v>0</v>
      </c>
      <c r="AP3" s="48" t="b">
        <v>0</v>
      </c>
      <c r="AQ3" s="48" t="b">
        <v>0</v>
      </c>
      <c r="AR3" s="48">
        <v>0</v>
      </c>
      <c r="AS3" s="48" t="b">
        <v>0</v>
      </c>
      <c r="AT3" s="7" t="b">
        <v>0</v>
      </c>
      <c r="AU3" s="40" t="str" cm="1">
        <f t="array" ref="AU3">_xlfn.XLOOKUP(PROPERTIES[[#This Row],[VEHIDCODE]],GRAPHICS_PROPERTIES[VEHIDCODE],GRAPHICS_PROPERTIES[TEMPLATE_ID]&amp;GRAPHICS_PROPERTIES[TEMPLATE_AMENDMENT_CODE])</f>
        <v>TPL_01F</v>
      </c>
    </row>
    <row r="4" spans="1:48" x14ac:dyDescent="0.35">
      <c r="A4" s="2" t="s">
        <v>2649</v>
      </c>
      <c r="B4">
        <v>1903</v>
      </c>
      <c r="D4" cm="1">
        <f t="array" ref="D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" s="40" t="str">
        <f>_xlfn.XLOOKUP(PROPERTIES[[#This Row],[VEHIDCODE]],CONTROL[VEHIDCODE],CONTROL[ENGLISH])</f>
        <v>Komarek NOLB 1</v>
      </c>
      <c r="F4" t="s">
        <v>540</v>
      </c>
      <c r="G4" s="40" t="str">
        <f>_xlfn.XLOOKUP(PROPERTIES[[#This Row],[COUNTRY]],COUNTRIES[COUNTRY_DESCRIPTION],COUNTRIES[COUNTRY_LABEL],"")</f>
        <v>AT</v>
      </c>
      <c r="H4" t="str" cm="1">
        <f t="array" ref="H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4" t="s">
        <v>15</v>
      </c>
      <c r="J4">
        <v>22</v>
      </c>
      <c r="K4">
        <v>5</v>
      </c>
      <c r="L4">
        <v>0</v>
      </c>
      <c r="M4" t="str" cm="1">
        <f t="array" ref="M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">
        <f>_xlfn.XLOOKUP("LOADINGSPEEDDEF_"&amp;PROPERTIES[[#This Row],[LOADINGSPEED]],LOADINGSPEEDDEF[TYPE],LOADINGSPEEDDEF[SPEED])</f>
        <v>60</v>
      </c>
      <c r="O4" cm="1">
        <f t="array" ref="O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">
        <f>IF(ISNUMBER(SEARCH("passenger",PROPERTIES[[#This Row],[CARGODEF]])),1,0)</f>
        <v>1</v>
      </c>
      <c r="Q4" s="23">
        <v>8</v>
      </c>
      <c r="R4">
        <v>39</v>
      </c>
      <c r="S4">
        <v>0</v>
      </c>
      <c r="T4">
        <v>0</v>
      </c>
      <c r="U4">
        <v>0</v>
      </c>
      <c r="V4">
        <v>35</v>
      </c>
      <c r="W4">
        <v>0</v>
      </c>
      <c r="X4">
        <v>0</v>
      </c>
      <c r="Y4">
        <v>0</v>
      </c>
      <c r="Z4" s="20">
        <v>0</v>
      </c>
      <c r="AA4" s="19">
        <f>IFERROR(PROPERTIES[[#This Row],[TE_STARTING_KN]]/(PROPERTIES[[#This Row],[WEIGHT]]*9.81),0)</f>
        <v>0</v>
      </c>
      <c r="AB4" s="19">
        <v>0.18</v>
      </c>
      <c r="AC4" s="16">
        <f>ROUND(IF(IFERROR(PROPERTIES[[#This Row],[TE_COEFFICIENT_CALC]],0)=0,PROPERTIES[[#This Row],[TE_COEFFICIENT_MANUAL]],PROPERTIES[[#This Row],[TE_COEFFICIENT_CALC]]),3)</f>
        <v>0.18</v>
      </c>
      <c r="AD4" s="8" cm="1">
        <f t="array" ref="AD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4" s="26">
        <v>0</v>
      </c>
      <c r="AF4" s="6">
        <v>0</v>
      </c>
      <c r="AG4" t="s">
        <v>230</v>
      </c>
      <c r="AH4" t="s">
        <v>229</v>
      </c>
      <c r="AI4" t="s">
        <v>229</v>
      </c>
      <c r="AJ4" s="2" t="s">
        <v>229</v>
      </c>
      <c r="AK4" s="2" t="s">
        <v>244</v>
      </c>
      <c r="AL4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4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4" s="2" t="str">
        <f>SUBSTITUTE(SUBSTITUTE(PROPERTIES[[#This Row],[PURCHASECOST_VALUE]], "PURCHASECOST_", ""), "_VALUE", "")</f>
        <v>STEAMRAILBUS</v>
      </c>
      <c r="AO4" s="44" t="b">
        <v>0</v>
      </c>
      <c r="AP4" s="48" t="b">
        <v>0</v>
      </c>
      <c r="AQ4" s="48" t="b">
        <v>0</v>
      </c>
      <c r="AR4" s="48">
        <v>0</v>
      </c>
      <c r="AS4" s="48" t="b">
        <v>0</v>
      </c>
      <c r="AT4" s="7" t="b">
        <v>0</v>
      </c>
      <c r="AU4" s="40" t="str" cm="1">
        <f t="array" ref="AU4">_xlfn.XLOOKUP(PROPERTIES[[#This Row],[VEHIDCODE]],GRAPHICS_PROPERTIES[VEHIDCODE],GRAPHICS_PROPERTIES[TEMPLATE_ID]&amp;GRAPHICS_PROPERTIES[TEMPLATE_AMENDMENT_CODE])</f>
        <v>TPL_01B</v>
      </c>
    </row>
    <row r="5" spans="1:48" x14ac:dyDescent="0.35">
      <c r="A5" s="2" t="s">
        <v>2650</v>
      </c>
      <c r="B5">
        <v>1906</v>
      </c>
      <c r="D5" cm="1">
        <f t="array" ref="D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" s="40" t="str">
        <f>_xlfn.XLOOKUP(PROPERTIES[[#This Row],[VEHIDCODE]],CONTROL[VEHIDCODE],CONTROL[ENGLISH])</f>
        <v>Kerr, Stuart &amp; Co. 86</v>
      </c>
      <c r="F5" t="s">
        <v>636</v>
      </c>
      <c r="G5" s="40" t="str">
        <f>_xlfn.XLOOKUP(PROPERTIES[[#This Row],[COUNTRY]],COUNTRIES[COUNTRY_DESCRIPTION],COUNTRIES[COUNTRY_LABEL],"")</f>
        <v>IT</v>
      </c>
      <c r="H5" t="str" cm="1">
        <f t="array" ref="H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5" t="s">
        <v>15</v>
      </c>
      <c r="J5">
        <v>86</v>
      </c>
      <c r="K5">
        <v>8</v>
      </c>
      <c r="L5">
        <v>0</v>
      </c>
      <c r="M5" t="str" cm="1">
        <f t="array" ref="M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">
        <f>_xlfn.XLOOKUP("LOADINGSPEEDDEF_"&amp;PROPERTIES[[#This Row],[LOADINGSPEED]],LOADINGSPEEDDEF[TYPE],LOADINGSPEEDDEF[SPEED])</f>
        <v>60</v>
      </c>
      <c r="O5" cm="1">
        <f t="array" ref="O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">
        <f>IF(ISNUMBER(SEARCH("passenger",PROPERTIES[[#This Row],[CARGODEF]])),1,0)</f>
        <v>1</v>
      </c>
      <c r="Q5" s="23">
        <v>47</v>
      </c>
      <c r="R5">
        <v>170</v>
      </c>
      <c r="S5">
        <v>0</v>
      </c>
      <c r="T5">
        <v>0</v>
      </c>
      <c r="U5">
        <v>0</v>
      </c>
      <c r="V5">
        <v>55</v>
      </c>
      <c r="W5">
        <v>0</v>
      </c>
      <c r="X5">
        <v>0</v>
      </c>
      <c r="Y5">
        <v>0</v>
      </c>
      <c r="Z5" s="20">
        <v>0</v>
      </c>
      <c r="AA5" s="19">
        <f>IFERROR(PROPERTIES[[#This Row],[TE_STARTING_KN]]/(PROPERTIES[[#This Row],[WEIGHT]]*9.81),0)</f>
        <v>0</v>
      </c>
      <c r="AB5" s="19">
        <v>0.08</v>
      </c>
      <c r="AC5" s="16">
        <f>ROUND(IF(IFERROR(PROPERTIES[[#This Row],[TE_COEFFICIENT_CALC]],0)=0,PROPERTIES[[#This Row],[TE_COEFFICIENT_MANUAL]],PROPERTIES[[#This Row],[TE_COEFFICIENT_CALC]]),3)</f>
        <v>0.08</v>
      </c>
      <c r="AD5" s="8" cm="1">
        <f t="array" ref="AD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" s="26">
        <v>0</v>
      </c>
      <c r="AF5" s="6">
        <v>0</v>
      </c>
      <c r="AG5" t="s">
        <v>231</v>
      </c>
      <c r="AH5" t="s">
        <v>229</v>
      </c>
      <c r="AI5" t="s">
        <v>229</v>
      </c>
      <c r="AJ5" s="2" t="s">
        <v>229</v>
      </c>
      <c r="AK5" s="2" t="s">
        <v>244</v>
      </c>
      <c r="AL5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5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5" s="2" t="str">
        <f>SUBSTITUTE(SUBSTITUTE(PROPERTIES[[#This Row],[PURCHASECOST_VALUE]], "PURCHASECOST_", ""), "_VALUE", "")</f>
        <v>STEAMRAILBUS</v>
      </c>
      <c r="AO5" s="44" t="b">
        <v>0</v>
      </c>
      <c r="AP5" s="48" t="b">
        <v>0</v>
      </c>
      <c r="AQ5" s="48" t="b">
        <v>0</v>
      </c>
      <c r="AR5" s="48">
        <v>0</v>
      </c>
      <c r="AS5" s="48" t="b">
        <v>0</v>
      </c>
      <c r="AT5" s="7" t="b">
        <v>0</v>
      </c>
      <c r="AU5" s="40" t="str" cm="1">
        <f t="array" ref="AU5">_xlfn.XLOOKUP(PROPERTIES[[#This Row],[VEHIDCODE]],GRAPHICS_PROPERTIES[VEHIDCODE],GRAPHICS_PROPERTIES[TEMPLATE_ID]&amp;GRAPHICS_PROPERTIES[TEMPLATE_AMENDMENT_CODE])</f>
        <v>TPL_03C</v>
      </c>
    </row>
    <row r="6" spans="1:48" x14ac:dyDescent="0.35">
      <c r="A6" s="2" t="s">
        <v>2651</v>
      </c>
      <c r="B6">
        <v>1883</v>
      </c>
      <c r="D6" cm="1">
        <f t="array" ref="D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" s="40" t="str">
        <f>_xlfn.XLOOKUP(PROPERTIES[[#This Row],[VEHIDCODE]],CONTROL[VEHIDCODE],CONTROL[ENGLISH])</f>
        <v>Victorian Railways Rowan Railmotor</v>
      </c>
      <c r="F6" t="s">
        <v>541</v>
      </c>
      <c r="G6" s="40" t="str">
        <f>_xlfn.XLOOKUP(PROPERTIES[[#This Row],[COUNTRY]],COUNTRIES[COUNTRY_DESCRIPTION],COUNTRIES[COUNTRY_LABEL],"")</f>
        <v>AU</v>
      </c>
      <c r="H6" t="str" cm="1">
        <f t="array" ref="H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" t="s">
        <v>15</v>
      </c>
      <c r="J6">
        <v>42</v>
      </c>
      <c r="K6">
        <v>6</v>
      </c>
      <c r="L6">
        <v>0</v>
      </c>
      <c r="M6" t="str" cm="1">
        <f t="array" ref="M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">
        <f>_xlfn.XLOOKUP("LOADINGSPEEDDEF_"&amp;PROPERTIES[[#This Row],[LOADINGSPEED]],LOADINGSPEEDDEF[TYPE],LOADINGSPEEDDEF[SPEED])</f>
        <v>60</v>
      </c>
      <c r="O6" cm="1">
        <f t="array" ref="O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">
        <f>IF(ISNUMBER(SEARCH("passenger",PROPERTIES[[#This Row],[CARGODEF]])),1,0)</f>
        <v>1</v>
      </c>
      <c r="Q6" s="23">
        <v>15</v>
      </c>
      <c r="R6">
        <v>40</v>
      </c>
      <c r="S6">
        <v>0</v>
      </c>
      <c r="T6">
        <v>0</v>
      </c>
      <c r="U6">
        <v>0</v>
      </c>
      <c r="V6">
        <v>48</v>
      </c>
      <c r="W6">
        <v>0</v>
      </c>
      <c r="X6">
        <v>0</v>
      </c>
      <c r="Y6">
        <v>0</v>
      </c>
      <c r="Z6" s="20">
        <v>16</v>
      </c>
      <c r="AA6" s="19">
        <f>IFERROR(PROPERTIES[[#This Row],[TE_STARTING_KN]]/(PROPERTIES[[#This Row],[WEIGHT]]*9.81),0)</f>
        <v>0.10873258579680598</v>
      </c>
      <c r="AB6" s="19">
        <v>0</v>
      </c>
      <c r="AC6" s="16">
        <f>ROUND(IF(IFERROR(PROPERTIES[[#This Row],[TE_COEFFICIENT_CALC]],0)=0,PROPERTIES[[#This Row],[TE_COEFFICIENT_MANUAL]],PROPERTIES[[#This Row],[TE_COEFFICIENT_CALC]]),3)</f>
        <v>0.109</v>
      </c>
      <c r="AD6" s="8" cm="1">
        <f t="array" ref="AD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6" s="26">
        <v>0</v>
      </c>
      <c r="AF6" s="6">
        <v>0</v>
      </c>
      <c r="AG6" t="s">
        <v>232</v>
      </c>
      <c r="AH6" t="s">
        <v>229</v>
      </c>
      <c r="AI6" t="s">
        <v>229</v>
      </c>
      <c r="AJ6" s="2" t="s">
        <v>229</v>
      </c>
      <c r="AK6" s="2" t="s">
        <v>244</v>
      </c>
      <c r="AL6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6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6" s="2" t="str">
        <f>SUBSTITUTE(SUBSTITUTE(PROPERTIES[[#This Row],[PURCHASECOST_VALUE]], "PURCHASECOST_", ""), "_VALUE", "")</f>
        <v>STEAMRAILBUS</v>
      </c>
      <c r="AO6" s="44" t="b">
        <v>0</v>
      </c>
      <c r="AP6" s="48" t="b">
        <v>0</v>
      </c>
      <c r="AQ6" s="48" t="b">
        <v>0</v>
      </c>
      <c r="AR6" s="48">
        <v>0</v>
      </c>
      <c r="AS6" s="48" t="b">
        <v>0</v>
      </c>
      <c r="AT6" s="7" t="b">
        <v>0</v>
      </c>
      <c r="AU6" s="40" t="str" cm="1">
        <f t="array" ref="AU6">_xlfn.XLOOKUP(PROPERTIES[[#This Row],[VEHIDCODE]],GRAPHICS_PROPERTIES[VEHIDCODE],GRAPHICS_PROPERTIES[TEMPLATE_ID]&amp;GRAPHICS_PROPERTIES[TEMPLATE_AMENDMENT_CODE])</f>
        <v>TPL_03C</v>
      </c>
    </row>
    <row r="7" spans="1:48" x14ac:dyDescent="0.35">
      <c r="A7" s="2" t="s">
        <v>2652</v>
      </c>
      <c r="B7">
        <v>1902</v>
      </c>
      <c r="D7" cm="1">
        <f t="array" ref="D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" s="40" t="str">
        <f>_xlfn.XLOOKUP(PROPERTIES[[#This Row],[VEHIDCODE]],CONTROL[VEHIDCODE],CONTROL[ENGLISH])</f>
        <v>Esslingen Czm 1/2</v>
      </c>
      <c r="F7" t="s">
        <v>570</v>
      </c>
      <c r="G7" s="40" t="str">
        <f>_xlfn.XLOOKUP(PROPERTIES[[#This Row],[COUNTRY]],COUNTRIES[COUNTRY_DESCRIPTION],COUNTRIES[COUNTRY_LABEL],"")</f>
        <v>CH</v>
      </c>
      <c r="H7" t="str" cm="1">
        <f t="array" ref="H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" t="s">
        <v>15</v>
      </c>
      <c r="J7">
        <v>30</v>
      </c>
      <c r="K7">
        <v>5</v>
      </c>
      <c r="L7">
        <v>0</v>
      </c>
      <c r="M7" t="str" cm="1">
        <f t="array" ref="M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">
        <f>_xlfn.XLOOKUP("LOADINGSPEEDDEF_"&amp;PROPERTIES[[#This Row],[LOADINGSPEED]],LOADINGSPEEDDEF[TYPE],LOADINGSPEEDDEF[SPEED])</f>
        <v>60</v>
      </c>
      <c r="O7" cm="1">
        <f t="array" ref="O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">
        <f>IF(ISNUMBER(SEARCH("passenger",PROPERTIES[[#This Row],[CARGODEF]])),1,0)</f>
        <v>1</v>
      </c>
      <c r="Q7" s="23">
        <v>21</v>
      </c>
      <c r="R7">
        <v>99</v>
      </c>
      <c r="S7">
        <v>0</v>
      </c>
      <c r="T7">
        <v>0</v>
      </c>
      <c r="U7">
        <v>0</v>
      </c>
      <c r="V7">
        <v>45</v>
      </c>
      <c r="W7">
        <v>0</v>
      </c>
      <c r="X7">
        <v>0</v>
      </c>
      <c r="Y7">
        <v>0</v>
      </c>
      <c r="Z7" s="20">
        <v>0</v>
      </c>
      <c r="AA7" s="19">
        <f>IFERROR(PROPERTIES[[#This Row],[TE_STARTING_KN]]/(PROPERTIES[[#This Row],[WEIGHT]]*9.81),0)</f>
        <v>0</v>
      </c>
      <c r="AB7" s="19">
        <v>0.34</v>
      </c>
      <c r="AC7" s="16">
        <f>ROUND(IF(IFERROR(PROPERTIES[[#This Row],[TE_COEFFICIENT_CALC]],0)=0,PROPERTIES[[#This Row],[TE_COEFFICIENT_MANUAL]],PROPERTIES[[#This Row],[TE_COEFFICIENT_CALC]]),3)</f>
        <v>0.34</v>
      </c>
      <c r="AD7" s="8" cm="1">
        <f t="array" ref="AD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" s="26">
        <v>0</v>
      </c>
      <c r="AF7" s="6">
        <v>0</v>
      </c>
      <c r="AG7" t="s">
        <v>230</v>
      </c>
      <c r="AH7" t="s">
        <v>229</v>
      </c>
      <c r="AI7" t="s">
        <v>229</v>
      </c>
      <c r="AJ7" s="2" t="s">
        <v>229</v>
      </c>
      <c r="AK7" s="2" t="s">
        <v>244</v>
      </c>
      <c r="AL7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7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7" s="2" t="str">
        <f>SUBSTITUTE(SUBSTITUTE(PROPERTIES[[#This Row],[PURCHASECOST_VALUE]], "PURCHASECOST_", ""), "_VALUE", "")</f>
        <v>STEAMRAILBUS</v>
      </c>
      <c r="AO7" s="44" t="b">
        <v>0</v>
      </c>
      <c r="AP7" s="48" t="b">
        <v>0</v>
      </c>
      <c r="AQ7" s="48" t="b">
        <v>0</v>
      </c>
      <c r="AR7" s="48">
        <v>0</v>
      </c>
      <c r="AS7" s="48" t="b">
        <v>0</v>
      </c>
      <c r="AT7" s="7" t="b">
        <v>0</v>
      </c>
      <c r="AU7" s="40" t="str" cm="1">
        <f t="array" ref="AU7">_xlfn.XLOOKUP(PROPERTIES[[#This Row],[VEHIDCODE]],GRAPHICS_PROPERTIES[VEHIDCODE],GRAPHICS_PROPERTIES[TEMPLATE_ID]&amp;GRAPHICS_PROPERTIES[TEMPLATE_AMENDMENT_CODE])</f>
        <v>TPL_03C</v>
      </c>
    </row>
    <row r="8" spans="1:48" x14ac:dyDescent="0.35">
      <c r="A8" s="2" t="s">
        <v>2653</v>
      </c>
      <c r="B8">
        <v>1906</v>
      </c>
      <c r="D8" cm="1">
        <f t="array" ref="D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" s="40" t="str">
        <f>_xlfn.XLOOKUP(PROPERTIES[[#This Row],[VEHIDCODE]],CONTROL[VEHIDCODE],CONTROL[ENGLISH])</f>
        <v>Maffei MCCi</v>
      </c>
      <c r="F8" t="s">
        <v>584</v>
      </c>
      <c r="G8" s="40" t="str">
        <f>_xlfn.XLOOKUP(PROPERTIES[[#This Row],[COUNTRY]],COUNTRIES[COUNTRY_DESCRIPTION],COUNTRIES[COUNTRY_LABEL],"")</f>
        <v>DE</v>
      </c>
      <c r="H8" t="str" cm="1">
        <f t="array" ref="H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" t="s">
        <v>15</v>
      </c>
      <c r="J8">
        <v>52</v>
      </c>
      <c r="K8">
        <v>8</v>
      </c>
      <c r="L8">
        <v>0</v>
      </c>
      <c r="M8" t="str" cm="1">
        <f t="array" ref="M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">
        <f>_xlfn.XLOOKUP("LOADINGSPEEDDEF_"&amp;PROPERTIES[[#This Row],[LOADINGSPEED]],LOADINGSPEEDDEF[TYPE],LOADINGSPEEDDEF[SPEED])</f>
        <v>60</v>
      </c>
      <c r="O8" cm="1">
        <f t="array" ref="O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">
        <f>IF(ISNUMBER(SEARCH("passenger",PROPERTIES[[#This Row],[CARGODEF]])),1,0)</f>
        <v>1</v>
      </c>
      <c r="Q8" s="23">
        <v>32</v>
      </c>
      <c r="R8">
        <v>195</v>
      </c>
      <c r="S8">
        <v>0</v>
      </c>
      <c r="T8">
        <v>0</v>
      </c>
      <c r="U8">
        <v>0</v>
      </c>
      <c r="V8">
        <v>50</v>
      </c>
      <c r="W8">
        <v>0</v>
      </c>
      <c r="X8">
        <v>0</v>
      </c>
      <c r="Y8">
        <v>0</v>
      </c>
      <c r="Z8" s="20">
        <v>0</v>
      </c>
      <c r="AA8" s="19">
        <f>IFERROR(PROPERTIES[[#This Row],[TE_STARTING_KN]]/(PROPERTIES[[#This Row],[WEIGHT]]*9.81),0)</f>
        <v>0</v>
      </c>
      <c r="AB8" s="19">
        <v>0.34</v>
      </c>
      <c r="AC8" s="16">
        <f>ROUND(IF(IFERROR(PROPERTIES[[#This Row],[TE_COEFFICIENT_CALC]],0)=0,PROPERTIES[[#This Row],[TE_COEFFICIENT_MANUAL]],PROPERTIES[[#This Row],[TE_COEFFICIENT_CALC]]),3)</f>
        <v>0.34</v>
      </c>
      <c r="AD8" s="8" cm="1">
        <f t="array" ref="AD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" s="26">
        <v>0</v>
      </c>
      <c r="AF8" s="6">
        <v>0</v>
      </c>
      <c r="AG8" t="s">
        <v>230</v>
      </c>
      <c r="AH8" t="s">
        <v>229</v>
      </c>
      <c r="AI8" t="s">
        <v>229</v>
      </c>
      <c r="AJ8" s="2" t="s">
        <v>229</v>
      </c>
      <c r="AK8" s="2" t="s">
        <v>244</v>
      </c>
      <c r="AL8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8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8" s="2" t="str">
        <f>SUBSTITUTE(SUBSTITUTE(PROPERTIES[[#This Row],[PURCHASECOST_VALUE]], "PURCHASECOST_", ""), "_VALUE", "")</f>
        <v>STEAMRAILBUS</v>
      </c>
      <c r="AO8" s="44" t="b">
        <v>0</v>
      </c>
      <c r="AP8" s="48" t="b">
        <v>0</v>
      </c>
      <c r="AQ8" s="48" t="b">
        <v>0</v>
      </c>
      <c r="AR8" s="48">
        <v>0</v>
      </c>
      <c r="AS8" s="48" t="b">
        <v>0</v>
      </c>
      <c r="AT8" s="7" t="b">
        <v>0</v>
      </c>
      <c r="AU8" s="40" t="str" cm="1">
        <f t="array" ref="AU8">_xlfn.XLOOKUP(PROPERTIES[[#This Row],[VEHIDCODE]],GRAPHICS_PROPERTIES[VEHIDCODE],GRAPHICS_PROPERTIES[TEMPLATE_ID]&amp;GRAPHICS_PROPERTIES[TEMPLATE_AMENDMENT_CODE])</f>
        <v>TPL_01B</v>
      </c>
    </row>
    <row r="9" spans="1:48" x14ac:dyDescent="0.35">
      <c r="A9" s="2" t="s">
        <v>2654</v>
      </c>
      <c r="B9">
        <v>1906</v>
      </c>
      <c r="D9" cm="1">
        <f t="array" ref="D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" s="40" t="str">
        <f>_xlfn.XLOOKUP(PROPERTIES[[#This Row],[VEHIDCODE]],CONTROL[VEHIDCODE],CONTROL[ENGLISH])</f>
        <v>Kitson &amp; Co. CSAR Railmotor</v>
      </c>
      <c r="F9" t="s">
        <v>771</v>
      </c>
      <c r="G9" s="40" t="str">
        <f>_xlfn.XLOOKUP(PROPERTIES[[#This Row],[COUNTRY]],COUNTRIES[COUNTRY_DESCRIPTION],COUNTRIES[COUNTRY_LABEL],"")</f>
        <v>ZA</v>
      </c>
      <c r="H9" t="str" cm="1">
        <f t="array" ref="H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" t="s">
        <v>15</v>
      </c>
      <c r="J9">
        <v>50</v>
      </c>
      <c r="K9">
        <v>8</v>
      </c>
      <c r="M9" t="str" cm="1">
        <f t="array" ref="M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">
        <f>_xlfn.XLOOKUP("LOADINGSPEEDDEF_"&amp;PROPERTIES[[#This Row],[LOADINGSPEED]],LOADINGSPEEDDEF[TYPE],LOADINGSPEEDDEF[SPEED])</f>
        <v>60</v>
      </c>
      <c r="O9" cm="1">
        <f t="array" ref="O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">
        <f>IF(ISNUMBER(SEARCH("passenger",PROPERTIES[[#This Row],[CARGODEF]])),1,0)</f>
        <v>1</v>
      </c>
      <c r="Q9" s="23">
        <v>48</v>
      </c>
      <c r="R9">
        <v>40</v>
      </c>
      <c r="S9">
        <v>0</v>
      </c>
      <c r="T9">
        <v>0</v>
      </c>
      <c r="U9">
        <v>0</v>
      </c>
      <c r="V9">
        <v>48</v>
      </c>
      <c r="W9">
        <v>0</v>
      </c>
      <c r="X9">
        <v>0</v>
      </c>
      <c r="Y9">
        <v>0</v>
      </c>
      <c r="Z9" s="20">
        <v>28.26</v>
      </c>
      <c r="AA9" s="19">
        <f>IFERROR(PROPERTIES[[#This Row],[TE_STARTING_KN]]/(PROPERTIES[[#This Row],[WEIGHT]]*9.81),0)</f>
        <v>6.0015290519877681E-2</v>
      </c>
      <c r="AB9" s="19">
        <v>0</v>
      </c>
      <c r="AC9" s="16">
        <f>ROUND(IF(IFERROR(PROPERTIES[[#This Row],[TE_COEFFICIENT_CALC]],0)=0,PROPERTIES[[#This Row],[TE_COEFFICIENT_MANUAL]],PROPERTIES[[#This Row],[TE_COEFFICIENT_CALC]]),3)</f>
        <v>0.06</v>
      </c>
      <c r="AD9" s="8" cm="1">
        <f t="array" ref="AD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" s="26">
        <v>0</v>
      </c>
      <c r="AF9" s="6">
        <v>2</v>
      </c>
      <c r="AG9" t="s">
        <v>233</v>
      </c>
      <c r="AH9" t="s">
        <v>229</v>
      </c>
      <c r="AI9" t="s">
        <v>229</v>
      </c>
      <c r="AJ9" s="2" t="s">
        <v>229</v>
      </c>
      <c r="AK9" s="2" t="s">
        <v>244</v>
      </c>
      <c r="AL9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9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9" s="2" t="str">
        <f>SUBSTITUTE(SUBSTITUTE(PROPERTIES[[#This Row],[PURCHASECOST_VALUE]], "PURCHASECOST_", ""), "_VALUE", "")</f>
        <v>STEAMRAILBUS</v>
      </c>
      <c r="AO9" s="44" t="b">
        <v>0</v>
      </c>
      <c r="AP9" s="48" t="b">
        <v>0</v>
      </c>
      <c r="AQ9" s="48" t="b">
        <v>0</v>
      </c>
      <c r="AR9" s="48">
        <v>0</v>
      </c>
      <c r="AS9" s="48" t="b">
        <v>0</v>
      </c>
      <c r="AT9" s="7" t="b">
        <v>0</v>
      </c>
      <c r="AU9" s="40" t="str" cm="1">
        <f t="array" ref="AU9">_xlfn.XLOOKUP(PROPERTIES[[#This Row],[VEHIDCODE]],GRAPHICS_PROPERTIES[VEHIDCODE],GRAPHICS_PROPERTIES[TEMPLATE_ID]&amp;GRAPHICS_PROPERTIES[TEMPLATE_AMENDMENT_CODE])</f>
        <v>TPL_32B</v>
      </c>
    </row>
    <row r="10" spans="1:48" x14ac:dyDescent="0.35">
      <c r="A10" s="2" t="s">
        <v>2655</v>
      </c>
      <c r="B10">
        <v>1912</v>
      </c>
      <c r="D10" cm="1">
        <f t="array" ref="D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" s="40" t="str">
        <f>_xlfn.XLOOKUP(PROPERTIES[[#This Row],[VEHIDCODE]],CONTROL[VEHIDCODE],CONTROL[ENGLISH])</f>
        <v>Kerr, Stuart &amp; Co. Motor Car 3</v>
      </c>
      <c r="F10" t="s">
        <v>541</v>
      </c>
      <c r="G10" s="40" t="str">
        <f>_xlfn.XLOOKUP(PROPERTIES[[#This Row],[COUNTRY]],COUNTRIES[COUNTRY_DESCRIPTION],COUNTRIES[COUNTRY_LABEL],"")</f>
        <v>AU</v>
      </c>
      <c r="H10" t="str" cm="1">
        <f t="array" ref="H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" t="s">
        <v>15</v>
      </c>
      <c r="J10">
        <v>32</v>
      </c>
      <c r="K10">
        <v>6</v>
      </c>
      <c r="L10">
        <v>0</v>
      </c>
      <c r="M10" t="str" cm="1">
        <f t="array" ref="M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">
        <f>_xlfn.XLOOKUP("LOADINGSPEEDDEF_"&amp;PROPERTIES[[#This Row],[LOADINGSPEED]],LOADINGSPEEDDEF[TYPE],LOADINGSPEEDDEF[SPEED])</f>
        <v>60</v>
      </c>
      <c r="O10" cm="1">
        <f t="array" ref="O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">
        <f>IF(ISNUMBER(SEARCH("passenger",PROPERTIES[[#This Row],[CARGODEF]])),1,0)</f>
        <v>1</v>
      </c>
      <c r="Q10" s="23">
        <v>42</v>
      </c>
      <c r="R10">
        <v>91</v>
      </c>
      <c r="S10">
        <v>0</v>
      </c>
      <c r="T10">
        <v>0</v>
      </c>
      <c r="U10">
        <v>0</v>
      </c>
      <c r="V10">
        <v>55</v>
      </c>
      <c r="W10">
        <v>0</v>
      </c>
      <c r="X10">
        <v>0</v>
      </c>
      <c r="Y10">
        <v>0</v>
      </c>
      <c r="Z10" s="20">
        <v>0</v>
      </c>
      <c r="AA10" s="19">
        <f>IFERROR(PROPERTIES[[#This Row],[TE_STARTING_KN]]/(PROPERTIES[[#This Row],[WEIGHT]]*9.81),0)</f>
        <v>0</v>
      </c>
      <c r="AB10" s="19">
        <v>0.14000000000000001</v>
      </c>
      <c r="AC10" s="16">
        <f>ROUND(IF(IFERROR(PROPERTIES[[#This Row],[TE_COEFFICIENT_CALC]],0)=0,PROPERTIES[[#This Row],[TE_COEFFICIENT_MANUAL]],PROPERTIES[[#This Row],[TE_COEFFICIENT_CALC]]),3)</f>
        <v>0.14000000000000001</v>
      </c>
      <c r="AD10" s="8" cm="1">
        <f t="array" ref="AD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" s="26">
        <v>0</v>
      </c>
      <c r="AF10" s="6">
        <v>0</v>
      </c>
      <c r="AG10" t="s">
        <v>232</v>
      </c>
      <c r="AH10" t="s">
        <v>229</v>
      </c>
      <c r="AI10" t="s">
        <v>229</v>
      </c>
      <c r="AJ10" s="2" t="s">
        <v>229</v>
      </c>
      <c r="AK10" s="2" t="s">
        <v>244</v>
      </c>
      <c r="AL10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10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10" s="2" t="str">
        <f>SUBSTITUTE(SUBSTITUTE(PROPERTIES[[#This Row],[PURCHASECOST_VALUE]], "PURCHASECOST_", ""), "_VALUE", "")</f>
        <v>STEAMRAILBUS</v>
      </c>
      <c r="AO10" s="44" t="b">
        <v>0</v>
      </c>
      <c r="AP10" s="48" t="b">
        <v>0</v>
      </c>
      <c r="AQ10" s="48" t="b">
        <v>0</v>
      </c>
      <c r="AR10" s="48">
        <v>0</v>
      </c>
      <c r="AS10" s="48" t="b">
        <v>0</v>
      </c>
      <c r="AT10" s="7" t="b">
        <v>0</v>
      </c>
      <c r="AU10" s="40" t="str" cm="1">
        <f t="array" ref="AU10">_xlfn.XLOOKUP(PROPERTIES[[#This Row],[VEHIDCODE]],GRAPHICS_PROPERTIES[VEHIDCODE],GRAPHICS_PROPERTIES[TEMPLATE_ID]&amp;GRAPHICS_PROPERTIES[TEMPLATE_AMENDMENT_CODE])</f>
        <v>TPL_03C</v>
      </c>
    </row>
    <row r="11" spans="1:48" x14ac:dyDescent="0.35">
      <c r="A11" s="2" t="s">
        <v>2656</v>
      </c>
      <c r="B11">
        <v>1880</v>
      </c>
      <c r="D11" cm="1">
        <f t="array" ref="D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" s="40" t="str">
        <f>_xlfn.XLOOKUP(PROPERTIES[[#This Row],[VEHIDCODE]],CONTROL[VEHIDCODE],CONTROL[ENGLISH])</f>
        <v>KkStB 4.0</v>
      </c>
      <c r="F11" t="s">
        <v>540</v>
      </c>
      <c r="G11" s="40" t="str">
        <f>_xlfn.XLOOKUP(PROPERTIES[[#This Row],[COUNTRY]],COUNTRIES[COUNTRY_DESCRIPTION],COUNTRIES[COUNTRY_LABEL],"")</f>
        <v>AT</v>
      </c>
      <c r="H11" t="str" cm="1">
        <f t="array" ref="H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" t="s">
        <v>19</v>
      </c>
      <c r="J11">
        <v>14</v>
      </c>
      <c r="K11">
        <v>5</v>
      </c>
      <c r="L11">
        <v>0</v>
      </c>
      <c r="M11" t="str" cm="1">
        <f t="array" ref="M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">
        <f>_xlfn.XLOOKUP("LOADINGSPEEDDEF_"&amp;PROPERTIES[[#This Row],[LOADINGSPEED]],LOADINGSPEEDDEF[TYPE],LOADINGSPEEDDEF[SPEED])</f>
        <v>20</v>
      </c>
      <c r="O11" cm="1">
        <f t="array" ref="O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">
        <f>IF(ISNUMBER(SEARCH("passenger",PROPERTIES[[#This Row],[CARGODEF]])),1,0)</f>
        <v>0</v>
      </c>
      <c r="Q11" s="23">
        <v>23</v>
      </c>
      <c r="R11">
        <v>28</v>
      </c>
      <c r="S11">
        <v>0</v>
      </c>
      <c r="T11">
        <v>0</v>
      </c>
      <c r="U11">
        <v>0</v>
      </c>
      <c r="V11">
        <v>80</v>
      </c>
      <c r="W11">
        <v>0</v>
      </c>
      <c r="X11">
        <v>0</v>
      </c>
      <c r="Y11">
        <v>0</v>
      </c>
      <c r="Z11" s="20">
        <v>0</v>
      </c>
      <c r="AA11" s="19">
        <f>IFERROR(PROPERTIES[[#This Row],[TE_STARTING_KN]]/(PROPERTIES[[#This Row],[WEIGHT]]*9.81),0)</f>
        <v>0</v>
      </c>
      <c r="AB11" s="19">
        <v>7.0000000000000007E-2</v>
      </c>
      <c r="AC11" s="16">
        <f>ROUND(IF(IFERROR(PROPERTIES[[#This Row],[TE_COEFFICIENT_CALC]],0)=0,PROPERTIES[[#This Row],[TE_COEFFICIENT_MANUAL]],PROPERTIES[[#This Row],[TE_COEFFICIENT_CALC]]),3)</f>
        <v>7.0000000000000007E-2</v>
      </c>
      <c r="AD11" s="8" cm="1">
        <f t="array" ref="AD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1" s="26">
        <v>0</v>
      </c>
      <c r="AF11" s="6">
        <v>0</v>
      </c>
      <c r="AG11" t="s">
        <v>230</v>
      </c>
      <c r="AH11" t="s">
        <v>229</v>
      </c>
      <c r="AI11" t="s">
        <v>229</v>
      </c>
      <c r="AJ11" s="2" t="s">
        <v>229</v>
      </c>
      <c r="AK11" s="2" t="s">
        <v>244</v>
      </c>
      <c r="AL11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11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11" s="2" t="str">
        <f>SUBSTITUTE(SUBSTITUTE(PROPERTIES[[#This Row],[PURCHASECOST_VALUE]], "PURCHASECOST_", ""), "_VALUE", "")</f>
        <v>STEAMRAILBUS</v>
      </c>
      <c r="AO11" s="44" t="b">
        <v>0</v>
      </c>
      <c r="AP11" s="48" t="b">
        <v>0</v>
      </c>
      <c r="AQ11" s="48" t="b">
        <v>0</v>
      </c>
      <c r="AR11" s="48">
        <v>0</v>
      </c>
      <c r="AS11" s="48" t="b">
        <v>0</v>
      </c>
      <c r="AT11" s="7" t="b">
        <v>0</v>
      </c>
      <c r="AU11" s="40" t="str" cm="1">
        <f t="array" ref="AU11">_xlfn.XLOOKUP(PROPERTIES[[#This Row],[VEHIDCODE]],GRAPHICS_PROPERTIES[VEHIDCODE],GRAPHICS_PROPERTIES[TEMPLATE_ID]&amp;GRAPHICS_PROPERTIES[TEMPLATE_AMENDMENT_CODE])</f>
        <v>TPL_03C</v>
      </c>
    </row>
    <row r="12" spans="1:48" x14ac:dyDescent="0.35">
      <c r="A12" s="2" t="s">
        <v>2657</v>
      </c>
      <c r="B12">
        <v>1922</v>
      </c>
      <c r="D12" cm="1">
        <f t="array" ref="D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" s="40" t="str">
        <f>_xlfn.XLOOKUP(PROPERTIES[[#This Row],[VEHIDCODE]],CONTROL[VEHIDCODE],CONTROL[ENGLISH])</f>
        <v>AEC Railmotor RM1</v>
      </c>
      <c r="F12" t="s">
        <v>541</v>
      </c>
      <c r="G12" s="40" t="str">
        <f>_xlfn.XLOOKUP(PROPERTIES[[#This Row],[COUNTRY]],COUNTRIES[COUNTRY_DESCRIPTION],COUNTRIES[COUNTRY_LABEL],"")</f>
        <v>AU</v>
      </c>
      <c r="H12" t="str" cm="1">
        <f t="array" ref="H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2" t="s">
        <v>15</v>
      </c>
      <c r="J12">
        <v>37</v>
      </c>
      <c r="K12">
        <v>5</v>
      </c>
      <c r="L12">
        <v>0</v>
      </c>
      <c r="M12" t="str" cm="1">
        <f t="array" ref="M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2">
        <f>_xlfn.XLOOKUP("LOADINGSPEEDDEF_"&amp;PROPERTIES[[#This Row],[LOADINGSPEED]],LOADINGSPEEDDEF[TYPE],LOADINGSPEEDDEF[SPEED])</f>
        <v>60</v>
      </c>
      <c r="O12" cm="1">
        <f t="array" ref="O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">
        <f>IF(ISNUMBER(SEARCH("passenger",PROPERTIES[[#This Row],[CARGODEF]])),1,0)</f>
        <v>1</v>
      </c>
      <c r="Q12" s="23">
        <v>24</v>
      </c>
      <c r="R12">
        <v>45</v>
      </c>
      <c r="S12">
        <v>0</v>
      </c>
      <c r="T12">
        <v>0</v>
      </c>
      <c r="U12">
        <v>0</v>
      </c>
      <c r="V12">
        <v>50</v>
      </c>
      <c r="W12">
        <v>0</v>
      </c>
      <c r="X12">
        <v>0</v>
      </c>
      <c r="Y12">
        <v>0</v>
      </c>
      <c r="Z12" s="20">
        <v>0</v>
      </c>
      <c r="AA12" s="19">
        <f>IFERROR(PROPERTIES[[#This Row],[TE_STARTING_KN]]/(PROPERTIES[[#This Row],[WEIGHT]]*9.81),0)</f>
        <v>0</v>
      </c>
      <c r="AB12" s="19">
        <v>0.1</v>
      </c>
      <c r="AC12" s="16">
        <f>ROUND(IF(IFERROR(PROPERTIES[[#This Row],[TE_COEFFICIENT_CALC]],0)=0,PROPERTIES[[#This Row],[TE_COEFFICIENT_MANUAL]],PROPERTIES[[#This Row],[TE_COEFFICIENT_CALC]]),3)</f>
        <v>0.1</v>
      </c>
      <c r="AD12" s="8" cm="1">
        <f t="array" ref="AD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2" s="26">
        <v>0</v>
      </c>
      <c r="AF12" s="6">
        <v>0</v>
      </c>
      <c r="AG12" t="s">
        <v>232</v>
      </c>
      <c r="AH12" t="s">
        <v>229</v>
      </c>
      <c r="AI12" t="s">
        <v>229</v>
      </c>
      <c r="AJ12" s="2" t="s">
        <v>229</v>
      </c>
      <c r="AK12" s="2" t="s">
        <v>244</v>
      </c>
      <c r="AL12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2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2" s="2" t="str">
        <f>SUBSTITUTE(SUBSTITUTE(PROPERTIES[[#This Row],[PURCHASECOST_VALUE]], "PURCHASECOST_", ""), "_VALUE", "")</f>
        <v>DIESELRAILBUS</v>
      </c>
      <c r="AO12" s="44" t="b">
        <v>0</v>
      </c>
      <c r="AP12" s="48" t="b">
        <v>0</v>
      </c>
      <c r="AQ12" s="48" t="b">
        <v>0</v>
      </c>
      <c r="AR12" s="48">
        <v>0</v>
      </c>
      <c r="AS12" s="48" t="b">
        <v>0</v>
      </c>
      <c r="AT12" s="7" t="b">
        <v>0</v>
      </c>
      <c r="AU12" s="40" t="str" cm="1">
        <f t="array" ref="AU12">_xlfn.XLOOKUP(PROPERTIES[[#This Row],[VEHIDCODE]],GRAPHICS_PROPERTIES[VEHIDCODE],GRAPHICS_PROPERTIES[TEMPLATE_ID]&amp;GRAPHICS_PROPERTIES[TEMPLATE_AMENDMENT_CODE])</f>
        <v>TPL_01B</v>
      </c>
    </row>
    <row r="13" spans="1:48" x14ac:dyDescent="0.35">
      <c r="A13" s="2" t="s">
        <v>2658</v>
      </c>
      <c r="B13">
        <v>1932</v>
      </c>
      <c r="D13" cm="1">
        <f t="array" ref="D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" s="40" t="str">
        <f>_xlfn.XLOOKUP(PROPERTIES[[#This Row],[VEHIDCODE]],CONTROL[VEHIDCODE],CONTROL[ENGLISH])</f>
        <v>VT133 Wismar Railcar</v>
      </c>
      <c r="F13" t="s">
        <v>584</v>
      </c>
      <c r="G13" s="40" t="str">
        <f>_xlfn.XLOOKUP(PROPERTIES[[#This Row],[COUNTRY]],COUNTRIES[COUNTRY_DESCRIPTION],COUNTRIES[COUNTRY_LABEL],"")</f>
        <v>DE</v>
      </c>
      <c r="H13" t="str" cm="1">
        <f t="array" ref="H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3" t="s">
        <v>15</v>
      </c>
      <c r="J13">
        <v>24</v>
      </c>
      <c r="K13">
        <v>6</v>
      </c>
      <c r="L13">
        <v>0</v>
      </c>
      <c r="M13" t="str" cm="1">
        <f t="array" ref="M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3">
        <f>_xlfn.XLOOKUP("LOADINGSPEEDDEF_"&amp;PROPERTIES[[#This Row],[LOADINGSPEED]],LOADINGSPEEDDEF[TYPE],LOADINGSPEEDDEF[SPEED])</f>
        <v>60</v>
      </c>
      <c r="O13" cm="1">
        <f t="array" ref="O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">
        <f>IF(ISNUMBER(SEARCH("passenger",PROPERTIES[[#This Row],[CARGODEF]])),1,0)</f>
        <v>1</v>
      </c>
      <c r="Q13" s="23">
        <v>6</v>
      </c>
      <c r="R13">
        <v>38</v>
      </c>
      <c r="S13">
        <v>0</v>
      </c>
      <c r="T13">
        <v>0</v>
      </c>
      <c r="U13">
        <v>0</v>
      </c>
      <c r="V13">
        <v>56</v>
      </c>
      <c r="W13">
        <v>0</v>
      </c>
      <c r="X13">
        <v>0</v>
      </c>
      <c r="Y13">
        <v>0</v>
      </c>
      <c r="Z13" s="20">
        <v>0</v>
      </c>
      <c r="AA13" s="19">
        <f>IFERROR(PROPERTIES[[#This Row],[TE_STARTING_KN]]/(PROPERTIES[[#This Row],[WEIGHT]]*9.81),0)</f>
        <v>0</v>
      </c>
      <c r="AB13" s="19">
        <v>0.5</v>
      </c>
      <c r="AC13" s="16">
        <f>ROUND(IF(IFERROR(PROPERTIES[[#This Row],[TE_COEFFICIENT_CALC]],0)=0,PROPERTIES[[#This Row],[TE_COEFFICIENT_MANUAL]],PROPERTIES[[#This Row],[TE_COEFFICIENT_CALC]]),3)</f>
        <v>0.5</v>
      </c>
      <c r="AD13" s="8" cm="1">
        <f t="array" ref="AD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3" s="26">
        <v>0</v>
      </c>
      <c r="AF13" s="6">
        <v>0</v>
      </c>
      <c r="AG13" t="s">
        <v>230</v>
      </c>
      <c r="AH13" t="s">
        <v>229</v>
      </c>
      <c r="AI13" t="s">
        <v>229</v>
      </c>
      <c r="AJ13" s="2" t="s">
        <v>229</v>
      </c>
      <c r="AK13" s="2" t="s">
        <v>244</v>
      </c>
      <c r="AL13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3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3" s="2" t="str">
        <f>SUBSTITUTE(SUBSTITUTE(PROPERTIES[[#This Row],[PURCHASECOST_VALUE]], "PURCHASECOST_", ""), "_VALUE", "")</f>
        <v>DIESELRAILBUS</v>
      </c>
      <c r="AO13" s="44" t="b">
        <v>0</v>
      </c>
      <c r="AP13" s="48" t="b">
        <v>0</v>
      </c>
      <c r="AQ13" s="48" t="b">
        <v>0</v>
      </c>
      <c r="AR13" s="48">
        <v>0</v>
      </c>
      <c r="AS13" s="48" t="b">
        <v>0</v>
      </c>
      <c r="AT13" s="7" t="b">
        <v>0</v>
      </c>
      <c r="AU13" s="40" t="str" cm="1">
        <f t="array" ref="AU13">_xlfn.XLOOKUP(PROPERTIES[[#This Row],[VEHIDCODE]],GRAPHICS_PROPERTIES[VEHIDCODE],GRAPHICS_PROPERTIES[TEMPLATE_ID]&amp;GRAPHICS_PROPERTIES[TEMPLATE_AMENDMENT_CODE])</f>
        <v>TPL_01B</v>
      </c>
    </row>
    <row r="14" spans="1:48" x14ac:dyDescent="0.35">
      <c r="A14" s="2" t="s">
        <v>2659</v>
      </c>
      <c r="B14">
        <v>1934</v>
      </c>
      <c r="D14" cm="1">
        <f t="array" ref="D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" s="40" t="str">
        <f>_xlfn.XLOOKUP(PROPERTIES[[#This Row],[VEHIDCODE]],CONTROL[VEHIDCODE],CONTROL[ENGLISH])</f>
        <v>AEC Railcar</v>
      </c>
      <c r="F14" t="s">
        <v>603</v>
      </c>
      <c r="G14" s="40" t="str">
        <f>_xlfn.XLOOKUP(PROPERTIES[[#This Row],[COUNTRY]],COUNTRIES[COUNTRY_DESCRIPTION],COUNTRIES[COUNTRY_LABEL],"")</f>
        <v>GB</v>
      </c>
      <c r="H14" t="str" cm="1">
        <f t="array" ref="H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4" t="s">
        <v>15</v>
      </c>
      <c r="J14">
        <v>69</v>
      </c>
      <c r="K14">
        <v>6</v>
      </c>
      <c r="L14">
        <v>0</v>
      </c>
      <c r="M14" t="str" cm="1">
        <f t="array" ref="M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4">
        <f>_xlfn.XLOOKUP("LOADINGSPEEDDEF_"&amp;PROPERTIES[[#This Row],[LOADINGSPEED]],LOADINGSPEEDDEF[TYPE],LOADINGSPEEDDEF[SPEED])</f>
        <v>60</v>
      </c>
      <c r="O14" cm="1">
        <f t="array" ref="O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">
        <f>IF(ISNUMBER(SEARCH("passenger",PROPERTIES[[#This Row],[CARGODEF]])),1,0)</f>
        <v>1</v>
      </c>
      <c r="Q14" s="23">
        <v>24</v>
      </c>
      <c r="R14">
        <v>130</v>
      </c>
      <c r="S14">
        <v>0</v>
      </c>
      <c r="T14">
        <v>0</v>
      </c>
      <c r="U14">
        <v>0</v>
      </c>
      <c r="V14">
        <v>101</v>
      </c>
      <c r="W14">
        <v>0</v>
      </c>
      <c r="X14">
        <v>0</v>
      </c>
      <c r="Y14">
        <v>0</v>
      </c>
      <c r="Z14" s="20">
        <v>0</v>
      </c>
      <c r="AA14" s="19">
        <f>IFERROR(PROPERTIES[[#This Row],[TE_STARTING_KN]]/(PROPERTIES[[#This Row],[WEIGHT]]*9.81),0)</f>
        <v>0</v>
      </c>
      <c r="AB14" s="19">
        <v>0.27</v>
      </c>
      <c r="AC14" s="16">
        <f>ROUND(IF(IFERROR(PROPERTIES[[#This Row],[TE_COEFFICIENT_CALC]],0)=0,PROPERTIES[[#This Row],[TE_COEFFICIENT_MANUAL]],PROPERTIES[[#This Row],[TE_COEFFICIENT_CALC]]),3)</f>
        <v>0.27</v>
      </c>
      <c r="AD14" s="8" cm="1">
        <f t="array" ref="AD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" s="26">
        <v>0</v>
      </c>
      <c r="AF14" s="6">
        <v>0</v>
      </c>
      <c r="AG14" t="s">
        <v>234</v>
      </c>
      <c r="AH14" t="s">
        <v>229</v>
      </c>
      <c r="AI14" t="s">
        <v>229</v>
      </c>
      <c r="AJ14" s="2" t="s">
        <v>229</v>
      </c>
      <c r="AK14" s="2" t="s">
        <v>244</v>
      </c>
      <c r="AL14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4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4" s="2" t="str">
        <f>SUBSTITUTE(SUBSTITUTE(PROPERTIES[[#This Row],[PURCHASECOST_VALUE]], "PURCHASECOST_", ""), "_VALUE", "")</f>
        <v>DIESELRAILBUS</v>
      </c>
      <c r="AO14" s="44" t="b">
        <v>0</v>
      </c>
      <c r="AP14" s="48" t="b">
        <v>0</v>
      </c>
      <c r="AQ14" s="48" t="b">
        <v>0</v>
      </c>
      <c r="AR14" s="48">
        <v>0</v>
      </c>
      <c r="AS14" s="48" t="b">
        <v>0</v>
      </c>
      <c r="AT14" s="7" t="b">
        <v>0</v>
      </c>
      <c r="AU14" s="40" t="str" cm="1">
        <f t="array" ref="AU14">_xlfn.XLOOKUP(PROPERTIES[[#This Row],[VEHIDCODE]],GRAPHICS_PROPERTIES[VEHIDCODE],GRAPHICS_PROPERTIES[TEMPLATE_ID]&amp;GRAPHICS_PROPERTIES[TEMPLATE_AMENDMENT_CODE])</f>
        <v>TPL_01B</v>
      </c>
    </row>
    <row r="15" spans="1:48" x14ac:dyDescent="0.35">
      <c r="A15" s="2" t="s">
        <v>2660</v>
      </c>
      <c r="B15">
        <v>1935</v>
      </c>
      <c r="D15" cm="1">
        <f t="array" ref="D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" s="40" t="str">
        <f>_xlfn.XLOOKUP(PROPERTIES[[#This Row],[VEHIDCODE]],CONTROL[VEHIDCODE],CONTROL[ENGLISH])</f>
        <v>Simmering VT42</v>
      </c>
      <c r="F15" t="s">
        <v>540</v>
      </c>
      <c r="G15" s="40" t="str">
        <f>_xlfn.XLOOKUP(PROPERTIES[[#This Row],[COUNTRY]],COUNTRIES[COUNTRY_DESCRIPTION],COUNTRIES[COUNTRY_LABEL],"")</f>
        <v>AT</v>
      </c>
      <c r="H15" t="str" cm="1">
        <f t="array" ref="H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5" t="s">
        <v>15</v>
      </c>
      <c r="J15">
        <v>78</v>
      </c>
      <c r="K15">
        <v>8</v>
      </c>
      <c r="L15">
        <v>0</v>
      </c>
      <c r="M15" t="str" cm="1">
        <f t="array" ref="M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5">
        <f>_xlfn.XLOOKUP("LOADINGSPEEDDEF_"&amp;PROPERTIES[[#This Row],[LOADINGSPEED]],LOADINGSPEEDDEF[TYPE],LOADINGSPEEDDEF[SPEED])</f>
        <v>60</v>
      </c>
      <c r="O15" cm="1">
        <f t="array" ref="O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">
        <f>IF(ISNUMBER(SEARCH("passenger",PROPERTIES[[#This Row],[CARGODEF]])),1,0)</f>
        <v>1</v>
      </c>
      <c r="Q15" s="23">
        <v>59</v>
      </c>
      <c r="R15">
        <v>210</v>
      </c>
      <c r="S15">
        <v>0</v>
      </c>
      <c r="T15">
        <v>0</v>
      </c>
      <c r="U15">
        <v>0</v>
      </c>
      <c r="V15">
        <v>110</v>
      </c>
      <c r="W15">
        <v>0</v>
      </c>
      <c r="X15">
        <v>0</v>
      </c>
      <c r="Y15">
        <v>0</v>
      </c>
      <c r="Z15" s="20">
        <v>50</v>
      </c>
      <c r="AA15" s="19">
        <f>IFERROR(PROPERTIES[[#This Row],[TE_STARTING_KN]]/(PROPERTIES[[#This Row],[WEIGHT]]*9.81),0)</f>
        <v>8.6387117952970841E-2</v>
      </c>
      <c r="AB15" s="19">
        <v>0</v>
      </c>
      <c r="AC15" s="16">
        <f>ROUND(IF(IFERROR(PROPERTIES[[#This Row],[TE_COEFFICIENT_CALC]],0)=0,PROPERTIES[[#This Row],[TE_COEFFICIENT_MANUAL]],PROPERTIES[[#This Row],[TE_COEFFICIENT_CALC]]),3)</f>
        <v>8.5999999999999993E-2</v>
      </c>
      <c r="AD15" s="8" cm="1">
        <f t="array" ref="AD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5" s="26">
        <v>0</v>
      </c>
      <c r="AF15" s="6">
        <v>0</v>
      </c>
      <c r="AG15" t="s">
        <v>230</v>
      </c>
      <c r="AH15" t="s">
        <v>229</v>
      </c>
      <c r="AI15" t="s">
        <v>229</v>
      </c>
      <c r="AJ15" s="2" t="s">
        <v>229</v>
      </c>
      <c r="AK15" s="2" t="s">
        <v>244</v>
      </c>
      <c r="AL15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5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5" s="2" t="str">
        <f>SUBSTITUTE(SUBSTITUTE(PROPERTIES[[#This Row],[PURCHASECOST_VALUE]], "PURCHASECOST_", ""), "_VALUE", "")</f>
        <v>DIESELRAILBUS</v>
      </c>
      <c r="AO15" s="44" t="b">
        <v>0</v>
      </c>
      <c r="AP15" s="48" t="b">
        <v>1</v>
      </c>
      <c r="AQ15" s="48" t="b">
        <v>0</v>
      </c>
      <c r="AR15" s="48">
        <v>0</v>
      </c>
      <c r="AS15" s="48" t="b">
        <v>0</v>
      </c>
      <c r="AT15" s="7" t="b">
        <v>0</v>
      </c>
      <c r="AU15" s="40" t="str" cm="1">
        <f t="array" ref="AU15">_xlfn.XLOOKUP(PROPERTIES[[#This Row],[VEHIDCODE]],GRAPHICS_PROPERTIES[VEHIDCODE],GRAPHICS_PROPERTIES[TEMPLATE_ID]&amp;GRAPHICS_PROPERTIES[TEMPLATE_AMENDMENT_CODE])</f>
        <v>TPL_01B</v>
      </c>
    </row>
    <row r="16" spans="1:48" x14ac:dyDescent="0.35">
      <c r="A16" s="2" t="s">
        <v>2661</v>
      </c>
      <c r="B16">
        <v>1940</v>
      </c>
      <c r="D16" cm="1">
        <f t="array" ref="D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" s="40" t="str">
        <f>_xlfn.XLOOKUP(PROPERTIES[[#This Row],[VEHIDCODE]],CONTROL[VEHIDCODE],CONTROL[ENGLISH])</f>
        <v>Hutt RM31</v>
      </c>
      <c r="F16" t="s">
        <v>697</v>
      </c>
      <c r="G16" s="40" t="str">
        <f>_xlfn.XLOOKUP(PROPERTIES[[#This Row],[COUNTRY]],COUNTRIES[COUNTRY_DESCRIPTION],COUNTRIES[COUNTRY_LABEL],"")</f>
        <v>NZ</v>
      </c>
      <c r="H16" t="str" cm="1">
        <f t="array" ref="H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6" t="s">
        <v>15</v>
      </c>
      <c r="J16">
        <v>50</v>
      </c>
      <c r="K16">
        <v>8</v>
      </c>
      <c r="L16">
        <v>0</v>
      </c>
      <c r="M16" t="str" cm="1">
        <f t="array" ref="M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6">
        <f>_xlfn.XLOOKUP("LOADINGSPEEDDEF_"&amp;PROPERTIES[[#This Row],[LOADINGSPEED]],LOADINGSPEEDDEF[TYPE],LOADINGSPEEDDEF[SPEED])</f>
        <v>60</v>
      </c>
      <c r="O16" cm="1">
        <f t="array" ref="O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">
        <f>IF(ISNUMBER(SEARCH("passenger",PROPERTIES[[#This Row],[CARGODEF]])),1,0)</f>
        <v>1</v>
      </c>
      <c r="Q16" s="23">
        <v>30</v>
      </c>
      <c r="R16">
        <f>114*2</f>
        <v>228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  <c r="Y16">
        <v>0</v>
      </c>
      <c r="Z16" s="20">
        <v>0</v>
      </c>
      <c r="AA16" s="19">
        <f>IFERROR(PROPERTIES[[#This Row],[TE_STARTING_KN]]/(PROPERTIES[[#This Row],[WEIGHT]]*9.81),0)</f>
        <v>0</v>
      </c>
      <c r="AB16" s="19">
        <v>0.2</v>
      </c>
      <c r="AC16" s="16">
        <f>ROUND(IF(IFERROR(PROPERTIES[[#This Row],[TE_COEFFICIENT_CALC]],0)=0,PROPERTIES[[#This Row],[TE_COEFFICIENT_MANUAL]],PROPERTIES[[#This Row],[TE_COEFFICIENT_CALC]]),3)</f>
        <v>0.2</v>
      </c>
      <c r="AD16" s="8" cm="1">
        <f t="array" ref="AD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" s="26">
        <v>0</v>
      </c>
      <c r="AF16" s="6">
        <v>0</v>
      </c>
      <c r="AG16" t="s">
        <v>232</v>
      </c>
      <c r="AH16" t="s">
        <v>229</v>
      </c>
      <c r="AI16" t="s">
        <v>229</v>
      </c>
      <c r="AJ16" s="2" t="s">
        <v>229</v>
      </c>
      <c r="AK16" s="2" t="s">
        <v>244</v>
      </c>
      <c r="AL16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6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6" s="2" t="str">
        <f>SUBSTITUTE(SUBSTITUTE(PROPERTIES[[#This Row],[PURCHASECOST_VALUE]], "PURCHASECOST_", ""), "_VALUE", "")</f>
        <v>DIESELRAILBUS</v>
      </c>
      <c r="AO16" s="44" t="b">
        <v>0</v>
      </c>
      <c r="AP16" s="48" t="b">
        <v>1</v>
      </c>
      <c r="AQ16" s="48" t="b">
        <v>0</v>
      </c>
      <c r="AR16" s="48">
        <v>0</v>
      </c>
      <c r="AS16" s="48" t="b">
        <v>0</v>
      </c>
      <c r="AT16" s="7" t="b">
        <v>0</v>
      </c>
      <c r="AU16" s="40" t="str" cm="1">
        <f t="array" ref="AU16">_xlfn.XLOOKUP(PROPERTIES[[#This Row],[VEHIDCODE]],GRAPHICS_PROPERTIES[VEHIDCODE],GRAPHICS_PROPERTIES[TEMPLATE_ID]&amp;GRAPHICS_PROPERTIES[TEMPLATE_AMENDMENT_CODE])</f>
        <v>TPL_01B</v>
      </c>
    </row>
    <row r="17" spans="1:47" x14ac:dyDescent="0.35">
      <c r="A17" s="2" t="s">
        <v>2662</v>
      </c>
      <c r="B17">
        <v>1948</v>
      </c>
      <c r="D17" cm="1">
        <f t="array" ref="D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" s="40" t="str">
        <f>_xlfn.XLOOKUP(PROPERTIES[[#This Row],[VEHIDCODE]],CONTROL[VEHIDCODE],CONTROL[ENGLISH])</f>
        <v>NOHAB CP 0100</v>
      </c>
      <c r="F17" t="s">
        <v>710</v>
      </c>
      <c r="G17" s="40" t="str">
        <f>_xlfn.XLOOKUP(PROPERTIES[[#This Row],[COUNTRY]],COUNTRIES[COUNTRY_DESCRIPTION],COUNTRIES[COUNTRY_LABEL],"")</f>
        <v>PT</v>
      </c>
      <c r="H17" t="str" cm="1">
        <f t="array" ref="H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" t="s">
        <v>15</v>
      </c>
      <c r="J17">
        <v>70</v>
      </c>
      <c r="K17">
        <v>8</v>
      </c>
      <c r="L17">
        <v>0</v>
      </c>
      <c r="M17" t="str" cm="1">
        <f t="array" ref="M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7">
        <f>_xlfn.XLOOKUP("LOADINGSPEEDDEF_"&amp;PROPERTIES[[#This Row],[LOADINGSPEED]],LOADINGSPEEDDEF[TYPE],LOADINGSPEEDDEF[SPEED])</f>
        <v>60</v>
      </c>
      <c r="O17" cm="1">
        <f t="array" ref="O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">
        <f>IF(ISNUMBER(SEARCH("passenger",PROPERTIES[[#This Row],[CARGODEF]])),1,0)</f>
        <v>1</v>
      </c>
      <c r="Q17" s="23">
        <v>34</v>
      </c>
      <c r="R17">
        <v>350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  <c r="Y17">
        <v>0</v>
      </c>
      <c r="Z17" s="20">
        <v>0</v>
      </c>
      <c r="AA17" s="19">
        <f>IFERROR(PROPERTIES[[#This Row],[TE_STARTING_KN]]/(PROPERTIES[[#This Row],[WEIGHT]]*9.81),0)</f>
        <v>0</v>
      </c>
      <c r="AB17" s="19">
        <v>0.12</v>
      </c>
      <c r="AC17" s="16">
        <f>ROUND(IF(IFERROR(PROPERTIES[[#This Row],[TE_COEFFICIENT_CALC]],0)=0,PROPERTIES[[#This Row],[TE_COEFFICIENT_MANUAL]],PROPERTIES[[#This Row],[TE_COEFFICIENT_CALC]]),3)</f>
        <v>0.12</v>
      </c>
      <c r="AD17" s="8" cm="1">
        <f t="array" ref="AD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7" s="26">
        <v>0</v>
      </c>
      <c r="AF17" s="6">
        <v>0</v>
      </c>
      <c r="AG17" t="s">
        <v>231</v>
      </c>
      <c r="AH17" t="s">
        <v>229</v>
      </c>
      <c r="AI17" t="s">
        <v>229</v>
      </c>
      <c r="AJ17" s="2" t="s">
        <v>229</v>
      </c>
      <c r="AK17" s="2" t="s">
        <v>244</v>
      </c>
      <c r="AL17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7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7" s="2" t="str">
        <f>SUBSTITUTE(SUBSTITUTE(PROPERTIES[[#This Row],[PURCHASECOST_VALUE]], "PURCHASECOST_", ""), "_VALUE", "")</f>
        <v>DIESELRAILBUS</v>
      </c>
      <c r="AO17" s="44" t="b">
        <v>0</v>
      </c>
      <c r="AP17" s="48" t="b">
        <v>1</v>
      </c>
      <c r="AQ17" s="48" t="b">
        <v>0</v>
      </c>
      <c r="AR17" s="48">
        <v>0</v>
      </c>
      <c r="AS17" s="48" t="b">
        <v>0</v>
      </c>
      <c r="AT17" s="7" t="b">
        <v>0</v>
      </c>
      <c r="AU17" s="40" t="str" cm="1">
        <f t="array" ref="AU17">_xlfn.XLOOKUP(PROPERTIES[[#This Row],[VEHIDCODE]],GRAPHICS_PROPERTIES[VEHIDCODE],GRAPHICS_PROPERTIES[TEMPLATE_ID]&amp;GRAPHICS_PROPERTIES[TEMPLATE_AMENDMENT_CODE])</f>
        <v>TPL_01B</v>
      </c>
    </row>
    <row r="18" spans="1:47" x14ac:dyDescent="0.35">
      <c r="A18" s="2" t="s">
        <v>2663</v>
      </c>
      <c r="B18">
        <v>1949</v>
      </c>
      <c r="D18" cm="1">
        <f t="array" ref="D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" s="40" t="str">
        <f>_xlfn.XLOOKUP(PROPERTIES[[#This Row],[VEHIDCODE]],CONTROL[VEHIDCODE],CONTROL[ENGLISH])</f>
        <v>Budd RDC</v>
      </c>
      <c r="F18" t="s">
        <v>757</v>
      </c>
      <c r="G18" s="40" t="str">
        <f>_xlfn.XLOOKUP(PROPERTIES[[#This Row],[COUNTRY]],COUNTRIES[COUNTRY_DESCRIPTION],COUNTRIES[COUNTRY_LABEL],"")</f>
        <v>US</v>
      </c>
      <c r="H18" t="str" cm="1">
        <f t="array" ref="H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" t="s">
        <v>15</v>
      </c>
      <c r="J18">
        <v>90</v>
      </c>
      <c r="K18">
        <v>8</v>
      </c>
      <c r="L18">
        <v>0</v>
      </c>
      <c r="M18" t="str" cm="1">
        <f t="array" ref="M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8">
        <f>_xlfn.XLOOKUP("LOADINGSPEEDDEF_"&amp;PROPERTIES[[#This Row],[LOADINGSPEED]],LOADINGSPEEDDEF[TYPE],LOADINGSPEEDDEF[SPEED])</f>
        <v>60</v>
      </c>
      <c r="O18" cm="1">
        <f t="array" ref="O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">
        <f>IF(ISNUMBER(SEARCH("passenger",PROPERTIES[[#This Row],[CARGODEF]])),1,0)</f>
        <v>1</v>
      </c>
      <c r="Q18" s="23">
        <v>49</v>
      </c>
      <c r="R18">
        <v>550</v>
      </c>
      <c r="S18">
        <v>0</v>
      </c>
      <c r="T18">
        <v>0</v>
      </c>
      <c r="U18">
        <v>0</v>
      </c>
      <c r="V18">
        <v>136</v>
      </c>
      <c r="W18">
        <v>0</v>
      </c>
      <c r="X18">
        <v>0</v>
      </c>
      <c r="Y18">
        <v>0</v>
      </c>
      <c r="Z18" s="20">
        <v>0</v>
      </c>
      <c r="AA18" s="19">
        <f>IFERROR(PROPERTIES[[#This Row],[TE_STARTING_KN]]/(PROPERTIES[[#This Row],[WEIGHT]]*9.81),0)</f>
        <v>0</v>
      </c>
      <c r="AB18" s="19">
        <v>0.1</v>
      </c>
      <c r="AC18" s="16">
        <f>ROUND(IF(IFERROR(PROPERTIES[[#This Row],[TE_COEFFICIENT_CALC]],0)=0,PROPERTIES[[#This Row],[TE_COEFFICIENT_MANUAL]],PROPERTIES[[#This Row],[TE_COEFFICIENT_CALC]]),3)</f>
        <v>0.1</v>
      </c>
      <c r="AD18" s="8" cm="1">
        <f t="array" ref="AD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8" s="26">
        <v>0</v>
      </c>
      <c r="AF18" s="6">
        <v>0</v>
      </c>
      <c r="AG18" t="s">
        <v>240</v>
      </c>
      <c r="AH18" t="s">
        <v>1947</v>
      </c>
      <c r="AI18" t="s">
        <v>229</v>
      </c>
      <c r="AJ18" s="2" t="s">
        <v>229</v>
      </c>
      <c r="AK18" s="2" t="s">
        <v>244</v>
      </c>
      <c r="AL1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8" s="2" t="str">
        <f>SUBSTITUTE(SUBSTITUTE(PROPERTIES[[#This Row],[PURCHASECOST_VALUE]], "PURCHASECOST_", ""), "_VALUE", "")</f>
        <v>DIESELRAILBUS</v>
      </c>
      <c r="AO18" s="44" t="b">
        <v>0</v>
      </c>
      <c r="AP18" s="48" t="b">
        <v>1</v>
      </c>
      <c r="AQ18" s="48" t="b">
        <v>0</v>
      </c>
      <c r="AR18" s="48">
        <v>0</v>
      </c>
      <c r="AS18" s="48" t="b">
        <v>0</v>
      </c>
      <c r="AT18" s="7" t="b">
        <v>0</v>
      </c>
      <c r="AU18" s="40" t="str" cm="1">
        <f t="array" ref="AU18">_xlfn.XLOOKUP(PROPERTIES[[#This Row],[VEHIDCODE]],GRAPHICS_PROPERTIES[VEHIDCODE],GRAPHICS_PROPERTIES[TEMPLATE_ID]&amp;GRAPHICS_PROPERTIES[TEMPLATE_AMENDMENT_CODE])</f>
        <v>TPL_01B</v>
      </c>
    </row>
    <row r="19" spans="1:47" x14ac:dyDescent="0.35">
      <c r="A19" s="2" t="s">
        <v>2664</v>
      </c>
      <c r="B19">
        <v>1953</v>
      </c>
      <c r="D19" cm="1">
        <f t="array" ref="D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" s="40" t="str">
        <f>_xlfn.XLOOKUP(PROPERTIES[[#This Row],[VEHIDCODE]],CONTROL[VEHIDCODE],CONTROL[ENGLISH])</f>
        <v>Uerdingen railbus</v>
      </c>
      <c r="F19" t="s">
        <v>584</v>
      </c>
      <c r="G19" s="40" t="str">
        <f>_xlfn.XLOOKUP(PROPERTIES[[#This Row],[COUNTRY]],COUNTRIES[COUNTRY_DESCRIPTION],COUNTRIES[COUNTRY_LABEL],"")</f>
        <v>DE</v>
      </c>
      <c r="H19" t="str" cm="1">
        <f t="array" ref="H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" t="s">
        <v>15</v>
      </c>
      <c r="J19">
        <v>56</v>
      </c>
      <c r="K19">
        <v>6</v>
      </c>
      <c r="L19">
        <v>0</v>
      </c>
      <c r="M19" t="str" cm="1">
        <f t="array" ref="M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9">
        <f>_xlfn.XLOOKUP("LOADINGSPEEDDEF_"&amp;PROPERTIES[[#This Row],[LOADINGSPEED]],LOADINGSPEEDDEF[TYPE],LOADINGSPEEDDEF[SPEED])</f>
        <v>60</v>
      </c>
      <c r="O19" cm="1">
        <f t="array" ref="O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">
        <f>IF(ISNUMBER(SEARCH("passenger",PROPERTIES[[#This Row],[CARGODEF]])),1,0)</f>
        <v>1</v>
      </c>
      <c r="Q19" s="23">
        <v>21</v>
      </c>
      <c r="R19">
        <v>300</v>
      </c>
      <c r="S19">
        <v>0</v>
      </c>
      <c r="T19">
        <v>0</v>
      </c>
      <c r="U19">
        <v>0</v>
      </c>
      <c r="V19">
        <v>90</v>
      </c>
      <c r="W19">
        <v>0</v>
      </c>
      <c r="X19">
        <v>0</v>
      </c>
      <c r="Y19">
        <v>0</v>
      </c>
      <c r="Z19" s="20">
        <v>0</v>
      </c>
      <c r="AA19" s="19">
        <f>IFERROR(PROPERTIES[[#This Row],[TE_STARTING_KN]]/(PROPERTIES[[#This Row],[WEIGHT]]*9.81),0)</f>
        <v>0</v>
      </c>
      <c r="AB19" s="19">
        <v>0.2</v>
      </c>
      <c r="AC19" s="16">
        <f>ROUND(IF(IFERROR(PROPERTIES[[#This Row],[TE_COEFFICIENT_CALC]],0)=0,PROPERTIES[[#This Row],[TE_COEFFICIENT_MANUAL]],PROPERTIES[[#This Row],[TE_COEFFICIENT_CALC]]),3)</f>
        <v>0.2</v>
      </c>
      <c r="AD19" s="8" cm="1">
        <f t="array" ref="AD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" s="26">
        <v>0</v>
      </c>
      <c r="AF19" s="6">
        <v>0</v>
      </c>
      <c r="AG19" t="s">
        <v>230</v>
      </c>
      <c r="AH19" t="s">
        <v>229</v>
      </c>
      <c r="AI19" t="s">
        <v>229</v>
      </c>
      <c r="AJ19" s="2" t="s">
        <v>229</v>
      </c>
      <c r="AK19" s="2" t="s">
        <v>244</v>
      </c>
      <c r="AL1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9" s="2" t="str">
        <f>SUBSTITUTE(SUBSTITUTE(PROPERTIES[[#This Row],[PURCHASECOST_VALUE]], "PURCHASECOST_", ""), "_VALUE", "")</f>
        <v>DIESELRAILBUS</v>
      </c>
      <c r="AO19" s="44" t="b">
        <v>0</v>
      </c>
      <c r="AP19" s="48" t="b">
        <v>1</v>
      </c>
      <c r="AQ19" s="48" t="b">
        <v>0</v>
      </c>
      <c r="AR19" s="48">
        <v>0</v>
      </c>
      <c r="AS19" s="48" t="b">
        <v>0</v>
      </c>
      <c r="AT19" s="7" t="b">
        <v>0</v>
      </c>
      <c r="AU19" s="40" t="str" cm="1">
        <f t="array" ref="AU19">_xlfn.XLOOKUP(PROPERTIES[[#This Row],[VEHIDCODE]],GRAPHICS_PROPERTIES[VEHIDCODE],GRAPHICS_PROPERTIES[TEMPLATE_ID]&amp;GRAPHICS_PROPERTIES[TEMPLATE_AMENDMENT_CODE])</f>
        <v>TPL_01B</v>
      </c>
    </row>
    <row r="20" spans="1:47" x14ac:dyDescent="0.35">
      <c r="A20" s="2" t="s">
        <v>2665</v>
      </c>
      <c r="B20">
        <v>1959</v>
      </c>
      <c r="D20" cm="1">
        <f t="array" ref="D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" s="40" t="str">
        <f>_xlfn.XLOOKUP(PROPERTIES[[#This Row],[VEHIDCODE]],CONTROL[VEHIDCODE],CONTROL[ENGLISH])</f>
        <v>MaK GDT</v>
      </c>
      <c r="F20" t="s">
        <v>584</v>
      </c>
      <c r="G20" s="40" t="str">
        <f>_xlfn.XLOOKUP(PROPERTIES[[#This Row],[COUNTRY]],COUNTRIES[COUNTRY_DESCRIPTION],COUNTRIES[COUNTRY_LABEL],"")</f>
        <v>DE</v>
      </c>
      <c r="H20" t="str" cm="1">
        <f t="array" ref="H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" t="s">
        <v>15</v>
      </c>
      <c r="J20">
        <v>108</v>
      </c>
      <c r="K20">
        <v>8</v>
      </c>
      <c r="L20">
        <v>0</v>
      </c>
      <c r="M20" t="str" cm="1">
        <f t="array" ref="M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0">
        <f>_xlfn.XLOOKUP("LOADINGSPEEDDEF_"&amp;PROPERTIES[[#This Row],[LOADINGSPEED]],LOADINGSPEEDDEF[TYPE],LOADINGSPEEDDEF[SPEED])</f>
        <v>60</v>
      </c>
      <c r="O20" cm="1">
        <f t="array" ref="O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">
        <f>IF(ISNUMBER(SEARCH("passenger",PROPERTIES[[#This Row],[CARGODEF]])),1,0)</f>
        <v>1</v>
      </c>
      <c r="Q20" s="23">
        <v>39</v>
      </c>
      <c r="R20">
        <v>440</v>
      </c>
      <c r="S20">
        <v>0</v>
      </c>
      <c r="T20">
        <v>0</v>
      </c>
      <c r="U20">
        <v>0</v>
      </c>
      <c r="V20">
        <v>70</v>
      </c>
      <c r="W20">
        <v>0</v>
      </c>
      <c r="X20">
        <v>0</v>
      </c>
      <c r="Y20">
        <v>0</v>
      </c>
      <c r="Z20" s="20">
        <v>0</v>
      </c>
      <c r="AA20" s="19">
        <f>IFERROR(PROPERTIES[[#This Row],[TE_STARTING_KN]]/(PROPERTIES[[#This Row],[WEIGHT]]*9.81),0)</f>
        <v>0</v>
      </c>
      <c r="AB20" s="19">
        <v>0.25</v>
      </c>
      <c r="AC20" s="16">
        <f>ROUND(IF(IFERROR(PROPERTIES[[#This Row],[TE_COEFFICIENT_CALC]],0)=0,PROPERTIES[[#This Row],[TE_COEFFICIENT_MANUAL]],PROPERTIES[[#This Row],[TE_COEFFICIENT_CALC]]),3)</f>
        <v>0.25</v>
      </c>
      <c r="AD20" s="8" cm="1">
        <f t="array" ref="AD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" s="26">
        <v>0</v>
      </c>
      <c r="AF20" s="6">
        <v>0</v>
      </c>
      <c r="AG20" t="s">
        <v>230</v>
      </c>
      <c r="AH20" t="s">
        <v>229</v>
      </c>
      <c r="AI20" t="s">
        <v>229</v>
      </c>
      <c r="AJ20" s="2" t="s">
        <v>229</v>
      </c>
      <c r="AK20" s="2" t="s">
        <v>244</v>
      </c>
      <c r="AL20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0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0" s="2" t="str">
        <f>SUBSTITUTE(SUBSTITUTE(PROPERTIES[[#This Row],[PURCHASECOST_VALUE]], "PURCHASECOST_", ""), "_VALUE", "")</f>
        <v>DIESELRAILBUS</v>
      </c>
      <c r="AO20" s="44" t="b">
        <v>0</v>
      </c>
      <c r="AP20" s="48" t="b">
        <v>1</v>
      </c>
      <c r="AQ20" s="48" t="b">
        <v>0</v>
      </c>
      <c r="AR20" s="48">
        <v>0</v>
      </c>
      <c r="AS20" s="48" t="b">
        <v>0</v>
      </c>
      <c r="AT20" s="7" t="b">
        <v>0</v>
      </c>
      <c r="AU20" s="40" t="str" cm="1">
        <f t="array" ref="AU20">_xlfn.XLOOKUP(PROPERTIES[[#This Row],[VEHIDCODE]],GRAPHICS_PROPERTIES[VEHIDCODE],GRAPHICS_PROPERTIES[TEMPLATE_ID]&amp;GRAPHICS_PROPERTIES[TEMPLATE_AMENDMENT_CODE])</f>
        <v>TPL_01B</v>
      </c>
    </row>
    <row r="21" spans="1:47" x14ac:dyDescent="0.35">
      <c r="A21" s="2" t="s">
        <v>2666</v>
      </c>
      <c r="B21">
        <v>1954</v>
      </c>
      <c r="D21" cm="1">
        <f t="array" ref="D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" s="40" t="str">
        <f>_xlfn.XLOOKUP(PROPERTIES[[#This Row],[VEHIDCODE]],CONTROL[VEHIDCODE],CONTROL[ENGLISH])</f>
        <v>Allan 'Kameel'</v>
      </c>
      <c r="F21" t="s">
        <v>692</v>
      </c>
      <c r="G21" s="40" t="str">
        <f>_xlfn.XLOOKUP(PROPERTIES[[#This Row],[COUNTRY]],COUNTRIES[COUNTRY_DESCRIPTION],COUNTRIES[COUNTRY_LABEL],"")</f>
        <v>NL</v>
      </c>
      <c r="H21" t="str" cm="1">
        <f t="array" ref="H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" t="s">
        <v>15</v>
      </c>
      <c r="J21">
        <v>28</v>
      </c>
      <c r="K21">
        <v>8</v>
      </c>
      <c r="L21">
        <v>0</v>
      </c>
      <c r="M21" t="str" cm="1">
        <f t="array" ref="M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1">
        <f>_xlfn.XLOOKUP("LOADINGSPEEDDEF_"&amp;PROPERTIES[[#This Row],[LOADINGSPEED]],LOADINGSPEEDDEF[TYPE],LOADINGSPEEDDEF[SPEED])</f>
        <v>60</v>
      </c>
      <c r="O21" cm="1">
        <f t="array" ref="O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">
        <f>IF(ISNUMBER(SEARCH("passenger",PROPERTIES[[#This Row],[CARGODEF]])),1,0)</f>
        <v>1</v>
      </c>
      <c r="Q21" s="23">
        <v>58</v>
      </c>
      <c r="R21">
        <v>285</v>
      </c>
      <c r="S21">
        <v>0</v>
      </c>
      <c r="T21">
        <v>0</v>
      </c>
      <c r="U21">
        <v>0</v>
      </c>
      <c r="V21">
        <v>125</v>
      </c>
      <c r="W21">
        <v>0</v>
      </c>
      <c r="X21">
        <v>0</v>
      </c>
      <c r="Y21">
        <v>0</v>
      </c>
      <c r="Z21" s="20">
        <v>0</v>
      </c>
      <c r="AA21" s="19">
        <f>IFERROR(PROPERTIES[[#This Row],[TE_STARTING_KN]]/(PROPERTIES[[#This Row],[WEIGHT]]*9.81),0)</f>
        <v>0</v>
      </c>
      <c r="AB21" s="19">
        <v>0.12</v>
      </c>
      <c r="AC21" s="16">
        <f>ROUND(IF(IFERROR(PROPERTIES[[#This Row],[TE_COEFFICIENT_CALC]],0)=0,PROPERTIES[[#This Row],[TE_COEFFICIENT_MANUAL]],PROPERTIES[[#This Row],[TE_COEFFICIENT_CALC]]),3)</f>
        <v>0.12</v>
      </c>
      <c r="AD21" s="8" cm="1">
        <f t="array" ref="AD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" s="26">
        <v>0</v>
      </c>
      <c r="AF21" s="6">
        <v>0</v>
      </c>
      <c r="AG21" t="s">
        <v>230</v>
      </c>
      <c r="AH21" t="s">
        <v>229</v>
      </c>
      <c r="AI21" t="s">
        <v>229</v>
      </c>
      <c r="AJ21" s="2" t="s">
        <v>229</v>
      </c>
      <c r="AK21" s="2" t="s">
        <v>244</v>
      </c>
      <c r="AL21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1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1" s="2" t="str">
        <f>SUBSTITUTE(SUBSTITUTE(PROPERTIES[[#This Row],[PURCHASECOST_VALUE]], "PURCHASECOST_", ""), "_VALUE", "")</f>
        <v>DIESELRAILBUS</v>
      </c>
      <c r="AO21" s="44" t="b">
        <v>0</v>
      </c>
      <c r="AP21" s="48" t="b">
        <v>1</v>
      </c>
      <c r="AQ21" s="48" t="b">
        <v>0</v>
      </c>
      <c r="AR21" s="48">
        <v>0</v>
      </c>
      <c r="AS21" s="48" t="b">
        <v>0</v>
      </c>
      <c r="AT21" s="7" t="b">
        <v>0</v>
      </c>
      <c r="AU21" s="40" t="str" cm="1">
        <f t="array" ref="AU21">_xlfn.XLOOKUP(PROPERTIES[[#This Row],[VEHIDCODE]],GRAPHICS_PROPERTIES[VEHIDCODE],GRAPHICS_PROPERTIES[TEMPLATE_ID]&amp;GRAPHICS_PROPERTIES[TEMPLATE_AMENDMENT_CODE])</f>
        <v>TPL_01B</v>
      </c>
    </row>
    <row r="22" spans="1:47" x14ac:dyDescent="0.35">
      <c r="A22" s="2" t="s">
        <v>2667</v>
      </c>
      <c r="B22">
        <v>1984</v>
      </c>
      <c r="D22" cm="1">
        <f t="array" ref="D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" s="40" t="str">
        <f>_xlfn.XLOOKUP(PROPERTIES[[#This Row],[VEHIDCODE]],CONTROL[VEHIDCODE],CONTROL[ENGLISH])</f>
        <v>NS DH1</v>
      </c>
      <c r="F22" t="s">
        <v>692</v>
      </c>
      <c r="G22" s="40" t="str">
        <f>_xlfn.XLOOKUP(PROPERTIES[[#This Row],[COUNTRY]],COUNTRIES[COUNTRY_DESCRIPTION],COUNTRIES[COUNTRY_LABEL],"")</f>
        <v>NL</v>
      </c>
      <c r="H22" t="str" cm="1">
        <f t="array" ref="H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" t="s">
        <v>15</v>
      </c>
      <c r="J22">
        <v>56</v>
      </c>
      <c r="K22">
        <v>8</v>
      </c>
      <c r="L22">
        <v>0</v>
      </c>
      <c r="M22" t="str" cm="1">
        <f t="array" ref="M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2">
        <f>_xlfn.XLOOKUP("LOADINGSPEEDDEF_"&amp;PROPERTIES[[#This Row],[LOADINGSPEED]],LOADINGSPEEDDEF[TYPE],LOADINGSPEEDDEF[SPEED])</f>
        <v>60</v>
      </c>
      <c r="O22" cm="1">
        <f t="array" ref="O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2">
        <f>IF(ISNUMBER(SEARCH("passenger",PROPERTIES[[#This Row],[CARGODEF]])),1,0)</f>
        <v>1</v>
      </c>
      <c r="Q22" s="23">
        <v>37</v>
      </c>
      <c r="R22">
        <v>285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  <c r="Y22">
        <v>0</v>
      </c>
      <c r="Z22" s="20">
        <v>0</v>
      </c>
      <c r="AA22" s="19">
        <f>IFERROR(PROPERTIES[[#This Row],[TE_STARTING_KN]]/(PROPERTIES[[#This Row],[WEIGHT]]*9.81),0)</f>
        <v>0</v>
      </c>
      <c r="AB22" s="19">
        <v>0.23</v>
      </c>
      <c r="AC22" s="16">
        <f>ROUND(IF(IFERROR(PROPERTIES[[#This Row],[TE_COEFFICIENT_CALC]],0)=0,PROPERTIES[[#This Row],[TE_COEFFICIENT_MANUAL]],PROPERTIES[[#This Row],[TE_COEFFICIENT_CALC]]),3)</f>
        <v>0.23</v>
      </c>
      <c r="AD22" s="8" cm="1">
        <f t="array" ref="AD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" s="26">
        <v>0</v>
      </c>
      <c r="AF22" s="6">
        <v>0</v>
      </c>
      <c r="AG22" t="s">
        <v>239</v>
      </c>
      <c r="AH22" t="s">
        <v>237</v>
      </c>
      <c r="AI22" t="s">
        <v>229</v>
      </c>
      <c r="AJ22" s="2" t="s">
        <v>229</v>
      </c>
      <c r="AK22" s="2" t="s">
        <v>244</v>
      </c>
      <c r="AL22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2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2" s="2" t="str">
        <f>SUBSTITUTE(SUBSTITUTE(PROPERTIES[[#This Row],[PURCHASECOST_VALUE]], "PURCHASECOST_", ""), "_VALUE", "")</f>
        <v>DIESELRAILBUS</v>
      </c>
      <c r="AO22" s="44" t="b">
        <v>0</v>
      </c>
      <c r="AP22" s="48" t="b">
        <v>1</v>
      </c>
      <c r="AQ22" s="48" t="b">
        <v>0</v>
      </c>
      <c r="AR22" s="48">
        <v>0</v>
      </c>
      <c r="AS22" s="48" t="b">
        <v>0</v>
      </c>
      <c r="AT22" s="7" t="b">
        <v>0</v>
      </c>
      <c r="AU22" s="40" t="str" cm="1">
        <f t="array" ref="AU22">_xlfn.XLOOKUP(PROPERTIES[[#This Row],[VEHIDCODE]],GRAPHICS_PROPERTIES[VEHIDCODE],GRAPHICS_PROPERTIES[TEMPLATE_ID]&amp;GRAPHICS_PROPERTIES[TEMPLATE_AMENDMENT_CODE])</f>
        <v>TPL_01B</v>
      </c>
    </row>
    <row r="23" spans="1:47" x14ac:dyDescent="0.35">
      <c r="A23" s="2" t="s">
        <v>2668</v>
      </c>
      <c r="B23">
        <v>1987</v>
      </c>
      <c r="D23" cm="1">
        <f t="array" ref="D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" s="40" t="str">
        <f>_xlfn.XLOOKUP(PROPERTIES[[#This Row],[VEHIDCODE]],CONTROL[VEHIDCODE],CONTROL[ENGLISH])</f>
        <v>Jenbacher Werke 5047</v>
      </c>
      <c r="F23" t="s">
        <v>540</v>
      </c>
      <c r="G23" s="40" t="str">
        <f>_xlfn.XLOOKUP(PROPERTIES[[#This Row],[COUNTRY]],COUNTRIES[COUNTRY_DESCRIPTION],COUNTRIES[COUNTRY_LABEL],"")</f>
        <v>AT</v>
      </c>
      <c r="H23" t="str" cm="1">
        <f t="array" ref="H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" t="s">
        <v>15</v>
      </c>
      <c r="J23">
        <v>62</v>
      </c>
      <c r="K23">
        <v>8</v>
      </c>
      <c r="L23">
        <v>0</v>
      </c>
      <c r="M23" t="str" cm="1">
        <f t="array" ref="M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3">
        <f>_xlfn.XLOOKUP("LOADINGSPEEDDEF_"&amp;PROPERTIES[[#This Row],[LOADINGSPEED]],LOADINGSPEEDDEF[TYPE],LOADINGSPEEDDEF[SPEED])</f>
        <v>60</v>
      </c>
      <c r="O23" t="str" cm="1">
        <f t="array" ref="O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">
        <f>IF(ISNUMBER(SEARCH("passenger",PROPERTIES[[#This Row],[CARGODEF]])),1,0)</f>
        <v>1</v>
      </c>
      <c r="Q23" s="23">
        <v>44</v>
      </c>
      <c r="R23">
        <v>562</v>
      </c>
      <c r="S23">
        <v>0</v>
      </c>
      <c r="T23">
        <v>0</v>
      </c>
      <c r="U23">
        <v>0</v>
      </c>
      <c r="V23">
        <v>120</v>
      </c>
      <c r="W23">
        <v>0</v>
      </c>
      <c r="X23">
        <v>0</v>
      </c>
      <c r="Y23">
        <v>0</v>
      </c>
      <c r="Z23" s="20">
        <v>0</v>
      </c>
      <c r="AA23" s="19">
        <f>IFERROR(PROPERTIES[[#This Row],[TE_STARTING_KN]]/(PROPERTIES[[#This Row],[WEIGHT]]*9.81),0)</f>
        <v>0</v>
      </c>
      <c r="AB23" s="19">
        <v>0.11</v>
      </c>
      <c r="AC23" s="16">
        <f>ROUND(IF(IFERROR(PROPERTIES[[#This Row],[TE_COEFFICIENT_CALC]],0)=0,PROPERTIES[[#This Row],[TE_COEFFICIENT_MANUAL]],PROPERTIES[[#This Row],[TE_COEFFICIENT_CALC]]),3)</f>
        <v>0.11</v>
      </c>
      <c r="AD23" s="8" cm="1">
        <f t="array" ref="AD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3" s="26">
        <v>0</v>
      </c>
      <c r="AF23" s="6">
        <v>0</v>
      </c>
      <c r="AG23" t="s">
        <v>230</v>
      </c>
      <c r="AH23" t="s">
        <v>229</v>
      </c>
      <c r="AI23" t="s">
        <v>229</v>
      </c>
      <c r="AJ23" s="2" t="s">
        <v>229</v>
      </c>
      <c r="AK23" s="2" t="s">
        <v>244</v>
      </c>
      <c r="AL23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3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3" s="2" t="str">
        <f>SUBSTITUTE(SUBSTITUTE(PROPERTIES[[#This Row],[PURCHASECOST_VALUE]], "PURCHASECOST_", ""), "_VALUE", "")</f>
        <v>DIESELRAILBUS</v>
      </c>
      <c r="AO23" s="44" t="b">
        <v>0</v>
      </c>
      <c r="AP23" s="48" t="b">
        <v>1</v>
      </c>
      <c r="AQ23" s="48" t="b">
        <v>0</v>
      </c>
      <c r="AR23" s="48">
        <v>0</v>
      </c>
      <c r="AS23" s="48" t="b">
        <v>0</v>
      </c>
      <c r="AT23" s="7" t="b">
        <v>0</v>
      </c>
      <c r="AU23" s="40" t="str" cm="1">
        <f t="array" ref="AU23">_xlfn.XLOOKUP(PROPERTIES[[#This Row],[VEHIDCODE]],GRAPHICS_PROPERTIES[VEHIDCODE],GRAPHICS_PROPERTIES[TEMPLATE_ID]&amp;GRAPHICS_PROPERTIES[TEMPLATE_AMENDMENT_CODE])</f>
        <v>TPL_01B</v>
      </c>
    </row>
    <row r="24" spans="1:47" x14ac:dyDescent="0.35">
      <c r="A24" s="2" t="s">
        <v>2669</v>
      </c>
      <c r="B24">
        <v>1991</v>
      </c>
      <c r="D24" cm="1">
        <f t="array" ref="D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" s="40" t="str">
        <f>_xlfn.XLOOKUP(PROPERTIES[[#This Row],[VEHIDCODE]],CONTROL[VEHIDCODE],CONTROL[ENGLISH])</f>
        <v>Hunslet-Barclay 'Super Sprinter'</v>
      </c>
      <c r="F24" t="s">
        <v>603</v>
      </c>
      <c r="G24" s="40" t="str">
        <f>_xlfn.XLOOKUP(PROPERTIES[[#This Row],[COUNTRY]],COUNTRIES[COUNTRY_DESCRIPTION],COUNTRIES[COUNTRY_LABEL],"")</f>
        <v>GB</v>
      </c>
      <c r="H24" t="str" cm="1">
        <f t="array" ref="H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" t="s">
        <v>15</v>
      </c>
      <c r="J24">
        <v>75</v>
      </c>
      <c r="K24">
        <v>8</v>
      </c>
      <c r="L24">
        <v>0</v>
      </c>
      <c r="M24" t="str" cm="1">
        <f t="array" ref="M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4">
        <f>_xlfn.XLOOKUP("LOADINGSPEEDDEF_"&amp;PROPERTIES[[#This Row],[LOADINGSPEED]],LOADINGSPEEDDEF[TYPE],LOADINGSPEEDDEF[SPEED])</f>
        <v>60</v>
      </c>
      <c r="O24" t="str" cm="1">
        <f t="array" ref="O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4">
        <f>IF(ISNUMBER(SEARCH("passenger",PROPERTIES[[#This Row],[CARGODEF]])),1,0)</f>
        <v>1</v>
      </c>
      <c r="Q24" s="23">
        <v>42</v>
      </c>
      <c r="R24">
        <v>285</v>
      </c>
      <c r="S24">
        <v>0</v>
      </c>
      <c r="T24">
        <v>0</v>
      </c>
      <c r="U24">
        <v>0</v>
      </c>
      <c r="V24">
        <v>120</v>
      </c>
      <c r="W24">
        <v>0</v>
      </c>
      <c r="X24">
        <v>0</v>
      </c>
      <c r="Y24">
        <v>0</v>
      </c>
      <c r="Z24" s="20">
        <v>0</v>
      </c>
      <c r="AA24" s="19">
        <f>IFERROR(PROPERTIES[[#This Row],[TE_STARTING_KN]]/(PROPERTIES[[#This Row],[WEIGHT]]*9.81),0)</f>
        <v>0</v>
      </c>
      <c r="AB24" s="19">
        <v>0.1</v>
      </c>
      <c r="AC24" s="16">
        <f>ROUND(IF(IFERROR(PROPERTIES[[#This Row],[TE_COEFFICIENT_CALC]],0)=0,PROPERTIES[[#This Row],[TE_COEFFICIENT_MANUAL]],PROPERTIES[[#This Row],[TE_COEFFICIENT_CALC]]),3)</f>
        <v>0.1</v>
      </c>
      <c r="AD24" s="8" cm="1">
        <f t="array" ref="AD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" s="26">
        <v>0</v>
      </c>
      <c r="AF24" s="6">
        <v>0</v>
      </c>
      <c r="AG24" t="s">
        <v>234</v>
      </c>
      <c r="AH24" t="s">
        <v>229</v>
      </c>
      <c r="AI24" t="s">
        <v>229</v>
      </c>
      <c r="AJ24" s="2" t="s">
        <v>229</v>
      </c>
      <c r="AK24" s="2" t="s">
        <v>244</v>
      </c>
      <c r="AL24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4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4" s="2" t="str">
        <f>SUBSTITUTE(SUBSTITUTE(PROPERTIES[[#This Row],[PURCHASECOST_VALUE]], "PURCHASECOST_", ""), "_VALUE", "")</f>
        <v>DIESELRAILBUS</v>
      </c>
      <c r="AO24" s="44" t="b">
        <v>0</v>
      </c>
      <c r="AP24" s="48" t="b">
        <v>1</v>
      </c>
      <c r="AQ24" s="48" t="b">
        <v>0</v>
      </c>
      <c r="AR24" s="48">
        <v>0</v>
      </c>
      <c r="AS24" s="48" t="b">
        <v>0</v>
      </c>
      <c r="AT24" s="7" t="b">
        <v>0</v>
      </c>
      <c r="AU24" s="40" t="str" cm="1">
        <f t="array" ref="AU24">_xlfn.XLOOKUP(PROPERTIES[[#This Row],[VEHIDCODE]],GRAPHICS_PROPERTIES[VEHIDCODE],GRAPHICS_PROPERTIES[TEMPLATE_ID]&amp;GRAPHICS_PROPERTIES[TEMPLATE_AMENDMENT_CODE])</f>
        <v>TPL_01B</v>
      </c>
    </row>
    <row r="25" spans="1:47" x14ac:dyDescent="0.35">
      <c r="A25" s="2" t="s">
        <v>2670</v>
      </c>
      <c r="B25">
        <v>1996</v>
      </c>
      <c r="D25" cm="1">
        <f t="array" ref="D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" s="40" t="str">
        <f>_xlfn.XLOOKUP(PROPERTIES[[#This Row],[VEHIDCODE]],CONTROL[VEHIDCODE],CONTROL[ENGLISH])</f>
        <v>Vagonka Studenka 809</v>
      </c>
      <c r="F25" t="s">
        <v>583</v>
      </c>
      <c r="G25" s="40" t="str">
        <f>_xlfn.XLOOKUP(PROPERTIES[[#This Row],[COUNTRY]],COUNTRIES[COUNTRY_DESCRIPTION],COUNTRIES[COUNTRY_LABEL],"")</f>
        <v>CZ</v>
      </c>
      <c r="H25" t="str" cm="1">
        <f t="array" ref="H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" t="s">
        <v>15</v>
      </c>
      <c r="J25">
        <v>95</v>
      </c>
      <c r="K25">
        <v>7</v>
      </c>
      <c r="L25">
        <v>0</v>
      </c>
      <c r="M25" t="str" cm="1">
        <f t="array" ref="M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5">
        <f>_xlfn.XLOOKUP("LOADINGSPEEDDEF_"&amp;PROPERTIES[[#This Row],[LOADINGSPEED]],LOADINGSPEEDDEF[TYPE],LOADINGSPEEDDEF[SPEED])</f>
        <v>60</v>
      </c>
      <c r="O25" t="str" cm="1">
        <f t="array" ref="O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">
        <f>IF(ISNUMBER(SEARCH("passenger",PROPERTIES[[#This Row],[CARGODEF]])),1,0)</f>
        <v>1</v>
      </c>
      <c r="Q25" s="23">
        <v>20</v>
      </c>
      <c r="R25">
        <v>210</v>
      </c>
      <c r="S25">
        <v>0</v>
      </c>
      <c r="T25">
        <v>0</v>
      </c>
      <c r="U25">
        <v>0</v>
      </c>
      <c r="V25">
        <v>80</v>
      </c>
      <c r="W25">
        <v>0</v>
      </c>
      <c r="X25">
        <v>0</v>
      </c>
      <c r="Y25">
        <v>0</v>
      </c>
      <c r="Z25" s="20">
        <v>0</v>
      </c>
      <c r="AA25" s="19">
        <f>IFERROR(PROPERTIES[[#This Row],[TE_STARTING_KN]]/(PROPERTIES[[#This Row],[WEIGHT]]*9.81),0)</f>
        <v>0</v>
      </c>
      <c r="AB25" s="19">
        <v>0.15</v>
      </c>
      <c r="AC25" s="16">
        <f>ROUND(IF(IFERROR(PROPERTIES[[#This Row],[TE_COEFFICIENT_CALC]],0)=0,PROPERTIES[[#This Row],[TE_COEFFICIENT_MANUAL]],PROPERTIES[[#This Row],[TE_COEFFICIENT_CALC]]),3)</f>
        <v>0.15</v>
      </c>
      <c r="AD25" s="8" cm="1">
        <f t="array" ref="AD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" s="26">
        <v>0</v>
      </c>
      <c r="AF25" s="6">
        <v>0</v>
      </c>
      <c r="AG25" t="s">
        <v>236</v>
      </c>
      <c r="AH25" t="s">
        <v>229</v>
      </c>
      <c r="AI25" t="s">
        <v>229</v>
      </c>
      <c r="AJ25" s="2" t="s">
        <v>229</v>
      </c>
      <c r="AK25" s="2" t="s">
        <v>244</v>
      </c>
      <c r="AL25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5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5" s="2" t="str">
        <f>SUBSTITUTE(SUBSTITUTE(PROPERTIES[[#This Row],[PURCHASECOST_VALUE]], "PURCHASECOST_", ""), "_VALUE", "")</f>
        <v>DIESELRAILBUS</v>
      </c>
      <c r="AO25" s="44" t="b">
        <v>0</v>
      </c>
      <c r="AP25" s="48" t="b">
        <v>1</v>
      </c>
      <c r="AQ25" s="48" t="b">
        <v>0</v>
      </c>
      <c r="AR25" s="48">
        <v>0</v>
      </c>
      <c r="AS25" s="48" t="b">
        <v>0</v>
      </c>
      <c r="AT25" s="7" t="b">
        <v>0</v>
      </c>
      <c r="AU25" s="40" t="str" cm="1">
        <f t="array" ref="AU25">_xlfn.XLOOKUP(PROPERTIES[[#This Row],[VEHIDCODE]],GRAPHICS_PROPERTIES[VEHIDCODE],GRAPHICS_PROPERTIES[TEMPLATE_ID]&amp;GRAPHICS_PROPERTIES[TEMPLATE_AMENDMENT_CODE])</f>
        <v>TPL_01B</v>
      </c>
    </row>
    <row r="26" spans="1:47" x14ac:dyDescent="0.35">
      <c r="A26" s="2" t="s">
        <v>2671</v>
      </c>
      <c r="B26">
        <v>1996</v>
      </c>
      <c r="D26" cm="1">
        <f t="array" ref="D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" s="40" t="str">
        <f>_xlfn.XLOOKUP(PROPERTIES[[#This Row],[VEHIDCODE]],CONTROL[VEHIDCODE],CONTROL[ENGLISH])</f>
        <v>DWA 670</v>
      </c>
      <c r="F26" t="s">
        <v>584</v>
      </c>
      <c r="G26" s="40" t="str">
        <f>_xlfn.XLOOKUP(PROPERTIES[[#This Row],[COUNTRY]],COUNTRIES[COUNTRY_DESCRIPTION],COUNTRIES[COUNTRY_LABEL],"")</f>
        <v>DE</v>
      </c>
      <c r="H26" t="str" cm="1">
        <f t="array" ref="H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" t="s">
        <v>15</v>
      </c>
      <c r="J26">
        <v>110</v>
      </c>
      <c r="K26">
        <v>7</v>
      </c>
      <c r="L26">
        <v>0</v>
      </c>
      <c r="M26" t="str" cm="1">
        <f t="array" ref="M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6">
        <f>_xlfn.XLOOKUP("LOADINGSPEEDDEF_"&amp;PROPERTIES[[#This Row],[LOADINGSPEED]],LOADINGSPEEDDEF[TYPE],LOADINGSPEEDDEF[SPEED])</f>
        <v>60</v>
      </c>
      <c r="O26" t="str" cm="1">
        <f t="array" ref="O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">
        <f>IF(ISNUMBER(SEARCH("passenger",PROPERTIES[[#This Row],[CARGODEF]])),1,0)</f>
        <v>1</v>
      </c>
      <c r="Q26" s="23">
        <v>34</v>
      </c>
      <c r="R26">
        <v>335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  <c r="Y26">
        <v>0</v>
      </c>
      <c r="Z26" s="20">
        <v>0</v>
      </c>
      <c r="AA26" s="19">
        <f>IFERROR(PROPERTIES[[#This Row],[TE_STARTING_KN]]/(PROPERTIES[[#This Row],[WEIGHT]]*9.81),0)</f>
        <v>0</v>
      </c>
      <c r="AB26" s="19">
        <v>0.21</v>
      </c>
      <c r="AC26" s="16">
        <f>ROUND(IF(IFERROR(PROPERTIES[[#This Row],[TE_COEFFICIENT_CALC]],0)=0,PROPERTIES[[#This Row],[TE_COEFFICIENT_MANUAL]],PROPERTIES[[#This Row],[TE_COEFFICIENT_CALC]]),3)</f>
        <v>0.21</v>
      </c>
      <c r="AD26" s="8" cm="1">
        <f t="array" ref="AD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6" s="26">
        <v>0</v>
      </c>
      <c r="AF26" s="6">
        <v>0</v>
      </c>
      <c r="AG26" t="s">
        <v>230</v>
      </c>
      <c r="AH26" t="s">
        <v>229</v>
      </c>
      <c r="AI26" t="s">
        <v>229</v>
      </c>
      <c r="AJ26" s="2" t="s">
        <v>229</v>
      </c>
      <c r="AK26" s="2" t="s">
        <v>244</v>
      </c>
      <c r="AL26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6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6" s="2" t="str">
        <f>SUBSTITUTE(SUBSTITUTE(PROPERTIES[[#This Row],[PURCHASECOST_VALUE]], "PURCHASECOST_", ""), "_VALUE", "")</f>
        <v>DIESELRAILBUS</v>
      </c>
      <c r="AO26" s="44" t="b">
        <v>0</v>
      </c>
      <c r="AP26" s="48" t="b">
        <v>1</v>
      </c>
      <c r="AQ26" s="48" t="b">
        <v>0</v>
      </c>
      <c r="AR26" s="48">
        <v>0</v>
      </c>
      <c r="AS26" s="48" t="b">
        <v>0</v>
      </c>
      <c r="AT26" s="7" t="b">
        <v>0</v>
      </c>
      <c r="AU26" s="40" t="str" cm="1">
        <f t="array" ref="AU26">_xlfn.XLOOKUP(PROPERTIES[[#This Row],[VEHIDCODE]],GRAPHICS_PROPERTIES[VEHIDCODE],GRAPHICS_PROPERTIES[TEMPLATE_ID]&amp;GRAPHICS_PROPERTIES[TEMPLATE_AMENDMENT_CODE])</f>
        <v>TPL_01B</v>
      </c>
    </row>
    <row r="27" spans="1:47" x14ac:dyDescent="0.35">
      <c r="A27" s="2" t="s">
        <v>2672</v>
      </c>
      <c r="B27">
        <v>1997</v>
      </c>
      <c r="D27" cm="1">
        <f t="array" ref="D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" s="40" t="str">
        <f>_xlfn.XLOOKUP(PROPERTIES[[#This Row],[VEHIDCODE]],CONTROL[VEHIDCODE],CONTROL[ENGLISH])</f>
        <v>RVR AR2</v>
      </c>
      <c r="F27" t="s">
        <v>659</v>
      </c>
      <c r="G27" s="40" t="str">
        <f>_xlfn.XLOOKUP(PROPERTIES[[#This Row],[COUNTRY]],COUNTRIES[COUNTRY_DESCRIPTION],COUNTRIES[COUNTRY_LABEL],"")</f>
        <v>LT</v>
      </c>
      <c r="H27" t="str" cm="1">
        <f t="array" ref="H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" t="s">
        <v>15</v>
      </c>
      <c r="J27">
        <v>76</v>
      </c>
      <c r="K27">
        <v>8</v>
      </c>
      <c r="L27">
        <v>0</v>
      </c>
      <c r="M27" t="str" cm="1">
        <f t="array" ref="M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7">
        <f>_xlfn.XLOOKUP("LOADINGSPEEDDEF_"&amp;PROPERTIES[[#This Row],[LOADINGSPEED]],LOADINGSPEEDDEF[TYPE],LOADINGSPEEDDEF[SPEED])</f>
        <v>60</v>
      </c>
      <c r="O27" t="str" cm="1">
        <f t="array" ref="O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7">
        <f>IF(ISNUMBER(SEARCH("passenger",PROPERTIES[[#This Row],[CARGODEF]])),1,0)</f>
        <v>1</v>
      </c>
      <c r="Q27" s="23">
        <v>32</v>
      </c>
      <c r="R27">
        <v>400</v>
      </c>
      <c r="S27">
        <v>0</v>
      </c>
      <c r="T27">
        <v>0</v>
      </c>
      <c r="U27">
        <v>0</v>
      </c>
      <c r="V27">
        <v>120</v>
      </c>
      <c r="W27">
        <v>0</v>
      </c>
      <c r="X27">
        <v>0</v>
      </c>
      <c r="Y27">
        <v>0</v>
      </c>
      <c r="Z27" s="20">
        <v>0</v>
      </c>
      <c r="AA27" s="19">
        <f>IFERROR(PROPERTIES[[#This Row],[TE_STARTING_KN]]/(PROPERTIES[[#This Row],[WEIGHT]]*9.81),0)</f>
        <v>0</v>
      </c>
      <c r="AB27" s="19">
        <v>0.12</v>
      </c>
      <c r="AC27" s="16">
        <f>ROUND(IF(IFERROR(PROPERTIES[[#This Row],[TE_COEFFICIENT_CALC]],0)=0,PROPERTIES[[#This Row],[TE_COEFFICIENT_MANUAL]],PROPERTIES[[#This Row],[TE_COEFFICIENT_CALC]]),3)</f>
        <v>0.12</v>
      </c>
      <c r="AD27" s="8" cm="1">
        <f t="array" ref="AD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" s="26">
        <v>0</v>
      </c>
      <c r="AF27" s="6">
        <v>0</v>
      </c>
      <c r="AG27" t="s">
        <v>234</v>
      </c>
      <c r="AH27" t="s">
        <v>229</v>
      </c>
      <c r="AI27" t="s">
        <v>229</v>
      </c>
      <c r="AJ27" s="2" t="s">
        <v>229</v>
      </c>
      <c r="AK27" s="2" t="s">
        <v>244</v>
      </c>
      <c r="AL27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7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7" s="2" t="str">
        <f>SUBSTITUTE(SUBSTITUTE(PROPERTIES[[#This Row],[PURCHASECOST_VALUE]], "PURCHASECOST_", ""), "_VALUE", "")</f>
        <v>DIESELRAILBUS</v>
      </c>
      <c r="AO27" s="44" t="b">
        <v>0</v>
      </c>
      <c r="AP27" s="48" t="b">
        <v>1</v>
      </c>
      <c r="AQ27" s="48" t="b">
        <v>0</v>
      </c>
      <c r="AR27" s="48">
        <v>0</v>
      </c>
      <c r="AS27" s="48" t="b">
        <v>0</v>
      </c>
      <c r="AT27" s="7" t="b">
        <v>0</v>
      </c>
      <c r="AU27" s="40" t="str" cm="1">
        <f t="array" ref="AU27">_xlfn.XLOOKUP(PROPERTIES[[#This Row],[VEHIDCODE]],GRAPHICS_PROPERTIES[VEHIDCODE],GRAPHICS_PROPERTIES[TEMPLATE_ID]&amp;GRAPHICS_PROPERTIES[TEMPLATE_AMENDMENT_CODE])</f>
        <v>TPL_01B</v>
      </c>
    </row>
    <row r="28" spans="1:47" x14ac:dyDescent="0.35">
      <c r="A28" s="2" t="s">
        <v>2673</v>
      </c>
      <c r="B28">
        <v>1902</v>
      </c>
      <c r="D28" cm="1">
        <f t="array" ref="D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" s="40" t="str">
        <f>_xlfn.XLOOKUP(PROPERTIES[[#This Row],[VEHIDCODE]],CONTROL[VEHIDCODE],CONTROL[ENGLISH])</f>
        <v>Austro-Daimler Z1</v>
      </c>
      <c r="F28" t="s">
        <v>540</v>
      </c>
      <c r="G28" s="40" t="str">
        <f>_xlfn.XLOOKUP(PROPERTIES[[#This Row],[COUNTRY]],COUNTRIES[COUNTRY_DESCRIPTION],COUNTRIES[COUNTRY_LABEL],"")</f>
        <v>AT</v>
      </c>
      <c r="H28" t="str" cm="1">
        <f t="array" ref="H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" t="s">
        <v>15</v>
      </c>
      <c r="J28">
        <v>16</v>
      </c>
      <c r="K28">
        <v>4</v>
      </c>
      <c r="L28">
        <v>0</v>
      </c>
      <c r="M28" t="str" cm="1">
        <f t="array" ref="M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8">
        <f>_xlfn.XLOOKUP("LOADINGSPEEDDEF_"&amp;PROPERTIES[[#This Row],[LOADINGSPEED]],LOADINGSPEEDDEF[TYPE],LOADINGSPEEDDEF[SPEED])</f>
        <v>60</v>
      </c>
      <c r="O28" cm="1">
        <f t="array" ref="O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">
        <f>IF(ISNUMBER(SEARCH("passenger",PROPERTIES[[#This Row],[CARGODEF]])),1,0)</f>
        <v>1</v>
      </c>
      <c r="Q28" s="23">
        <v>13</v>
      </c>
      <c r="R28">
        <v>55</v>
      </c>
      <c r="S28">
        <v>0</v>
      </c>
      <c r="T28">
        <v>0</v>
      </c>
      <c r="U28">
        <v>0</v>
      </c>
      <c r="V28">
        <v>35</v>
      </c>
      <c r="W28">
        <v>0</v>
      </c>
      <c r="X28">
        <v>0</v>
      </c>
      <c r="Y28">
        <v>0</v>
      </c>
      <c r="Z28" s="20">
        <v>0</v>
      </c>
      <c r="AA28" s="19">
        <f>IFERROR(PROPERTIES[[#This Row],[TE_STARTING_KN]]/(PROPERTIES[[#This Row],[WEIGHT]]*9.81),0)</f>
        <v>0</v>
      </c>
      <c r="AB28" s="19">
        <v>0.34</v>
      </c>
      <c r="AC28" s="16">
        <f>ROUND(IF(IFERROR(PROPERTIES[[#This Row],[TE_COEFFICIENT_CALC]],0)=0,PROPERTIES[[#This Row],[TE_COEFFICIENT_MANUAL]],PROPERTIES[[#This Row],[TE_COEFFICIENT_CALC]]),3)</f>
        <v>0.34</v>
      </c>
      <c r="AD28" s="8" cm="1">
        <f t="array" ref="AD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8" s="26">
        <v>0</v>
      </c>
      <c r="AF28" s="6">
        <v>0</v>
      </c>
      <c r="AG28" t="s">
        <v>230</v>
      </c>
      <c r="AH28" t="s">
        <v>229</v>
      </c>
      <c r="AI28" t="s">
        <v>229</v>
      </c>
      <c r="AJ28" s="2" t="s">
        <v>229</v>
      </c>
      <c r="AK28" s="2" t="s">
        <v>244</v>
      </c>
      <c r="AL2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8" s="2" t="str">
        <f>SUBSTITUTE(SUBSTITUTE(PROPERTIES[[#This Row],[PURCHASECOST_VALUE]], "PURCHASECOST_", ""), "_VALUE", "")</f>
        <v>DIESELRAILBUS</v>
      </c>
      <c r="AO28" s="44" t="b">
        <v>0</v>
      </c>
      <c r="AP28" s="48" t="b">
        <v>0</v>
      </c>
      <c r="AQ28" s="48" t="b">
        <v>0</v>
      </c>
      <c r="AR28" s="48">
        <v>0</v>
      </c>
      <c r="AS28" s="48" t="b">
        <v>0</v>
      </c>
      <c r="AT28" s="7" t="b">
        <v>0</v>
      </c>
      <c r="AU28" s="40" t="str" cm="1">
        <f t="array" ref="AU28">_xlfn.XLOOKUP(PROPERTIES[[#This Row],[VEHIDCODE]],GRAPHICS_PROPERTIES[VEHIDCODE],GRAPHICS_PROPERTIES[TEMPLATE_ID]&amp;GRAPHICS_PROPERTIES[TEMPLATE_AMENDMENT_CODE])</f>
        <v>TPL_01B</v>
      </c>
    </row>
    <row r="29" spans="1:47" x14ac:dyDescent="0.35">
      <c r="A29" s="2" t="s">
        <v>2674</v>
      </c>
      <c r="B29">
        <v>1909</v>
      </c>
      <c r="D29" cm="1">
        <f t="array" ref="D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" s="40" t="str">
        <f>_xlfn.XLOOKUP(PROPERTIES[[#This Row],[VEHIDCODE]],CONTROL[VEHIDCODE],CONTROL[ENGLISH])</f>
        <v>McKeen Motor Car 70</v>
      </c>
      <c r="F29" t="s">
        <v>757</v>
      </c>
      <c r="G29" s="40" t="str">
        <f>_xlfn.XLOOKUP(PROPERTIES[[#This Row],[COUNTRY]],COUNTRIES[COUNTRY_DESCRIPTION],COUNTRIES[COUNTRY_LABEL],"")</f>
        <v>US</v>
      </c>
      <c r="H29" t="str" cm="1">
        <f t="array" ref="H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" t="s">
        <v>15</v>
      </c>
      <c r="J29">
        <v>84</v>
      </c>
      <c r="K29">
        <v>8</v>
      </c>
      <c r="L29">
        <v>0</v>
      </c>
      <c r="M29" t="str" cm="1">
        <f t="array" ref="M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9">
        <f>_xlfn.XLOOKUP("LOADINGSPEEDDEF_"&amp;PROPERTIES[[#This Row],[LOADINGSPEED]],LOADINGSPEEDDEF[TYPE],LOADINGSPEEDDEF[SPEED])</f>
        <v>60</v>
      </c>
      <c r="O29" cm="1">
        <f t="array" ref="O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9">
        <f>IF(ISNUMBER(SEARCH("passenger",PROPERTIES[[#This Row],[CARGODEF]])),1,0)</f>
        <v>1</v>
      </c>
      <c r="Q29" s="23">
        <v>30</v>
      </c>
      <c r="R29">
        <v>200</v>
      </c>
      <c r="S29">
        <v>0</v>
      </c>
      <c r="T29">
        <v>0</v>
      </c>
      <c r="U29">
        <v>0</v>
      </c>
      <c r="V29">
        <v>52</v>
      </c>
      <c r="W29">
        <v>0</v>
      </c>
      <c r="X29">
        <v>0</v>
      </c>
      <c r="Y29">
        <v>0</v>
      </c>
      <c r="Z29" s="20">
        <v>0</v>
      </c>
      <c r="AA29" s="19">
        <f>IFERROR(PROPERTIES[[#This Row],[TE_STARTING_KN]]/(PROPERTIES[[#This Row],[WEIGHT]]*9.81),0)</f>
        <v>0</v>
      </c>
      <c r="AB29" s="19">
        <v>0.34</v>
      </c>
      <c r="AC29" s="16">
        <f>ROUND(IF(IFERROR(PROPERTIES[[#This Row],[TE_COEFFICIENT_CALC]],0)=0,PROPERTIES[[#This Row],[TE_COEFFICIENT_MANUAL]],PROPERTIES[[#This Row],[TE_COEFFICIENT_CALC]]),3)</f>
        <v>0.34</v>
      </c>
      <c r="AD29" s="8" cm="1">
        <f t="array" ref="AD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9" s="26">
        <v>0</v>
      </c>
      <c r="AF29" s="6">
        <v>0</v>
      </c>
      <c r="AG29" t="s">
        <v>235</v>
      </c>
      <c r="AH29" t="s">
        <v>229</v>
      </c>
      <c r="AI29" t="s">
        <v>229</v>
      </c>
      <c r="AJ29" s="2" t="s">
        <v>229</v>
      </c>
      <c r="AK29" s="2" t="s">
        <v>244</v>
      </c>
      <c r="AL2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9" s="2" t="str">
        <f>SUBSTITUTE(SUBSTITUTE(PROPERTIES[[#This Row],[PURCHASECOST_VALUE]], "PURCHASECOST_", ""), "_VALUE", "")</f>
        <v>DIESELRAILBUS</v>
      </c>
      <c r="AO29" s="44" t="b">
        <v>0</v>
      </c>
      <c r="AP29" s="48" t="b">
        <v>0</v>
      </c>
      <c r="AQ29" s="48" t="b">
        <v>0</v>
      </c>
      <c r="AR29" s="48">
        <v>0</v>
      </c>
      <c r="AS29" s="48" t="b">
        <v>0</v>
      </c>
      <c r="AT29" s="7" t="b">
        <v>0</v>
      </c>
      <c r="AU29" s="40" t="str" cm="1">
        <f t="array" ref="AU29">_xlfn.XLOOKUP(PROPERTIES[[#This Row],[VEHIDCODE]],GRAPHICS_PROPERTIES[VEHIDCODE],GRAPHICS_PROPERTIES[TEMPLATE_ID]&amp;GRAPHICS_PROPERTIES[TEMPLATE_AMENDMENT_CODE])</f>
        <v>TPL_01B</v>
      </c>
    </row>
    <row r="30" spans="1:47" x14ac:dyDescent="0.35">
      <c r="A30" s="2" t="s">
        <v>2675</v>
      </c>
      <c r="B30">
        <v>1914</v>
      </c>
      <c r="D30" cm="1">
        <f t="array" ref="D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0" s="40" t="str">
        <f>_xlfn.XLOOKUP(PROPERTIES[[#This Row],[VEHIDCODE]],CONTROL[VEHIDCODE],CONTROL[ENGLISH])</f>
        <v>BBC DET 1-2 'Sächsischer'</v>
      </c>
      <c r="F30" t="s">
        <v>584</v>
      </c>
      <c r="G30" s="40" t="str">
        <f>_xlfn.XLOOKUP(PROPERTIES[[#This Row],[COUNTRY]],COUNTRIES[COUNTRY_DESCRIPTION],COUNTRIES[COUNTRY_LABEL],"")</f>
        <v>DE</v>
      </c>
      <c r="H30" t="str" cm="1">
        <f t="array" ref="H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0" t="s">
        <v>15</v>
      </c>
      <c r="J30">
        <v>79</v>
      </c>
      <c r="K30">
        <v>8</v>
      </c>
      <c r="M30" t="str" cm="1">
        <f t="array" ref="M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0">
        <f>_xlfn.XLOOKUP("LOADINGSPEEDDEF_"&amp;PROPERTIES[[#This Row],[LOADINGSPEED]],LOADINGSPEEDDEF[TYPE],LOADINGSPEEDDEF[SPEED])</f>
        <v>60</v>
      </c>
      <c r="O30" cm="1">
        <f t="array" ref="O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">
        <f>IF(ISNUMBER(SEARCH("passenger",PROPERTIES[[#This Row],[CARGODEF]])),1,0)</f>
        <v>1</v>
      </c>
      <c r="Q30" s="23">
        <v>64</v>
      </c>
      <c r="R30">
        <v>200</v>
      </c>
      <c r="S30">
        <v>0</v>
      </c>
      <c r="T30">
        <v>0</v>
      </c>
      <c r="U30">
        <v>0</v>
      </c>
      <c r="V30">
        <v>70</v>
      </c>
      <c r="W30">
        <v>0</v>
      </c>
      <c r="X30">
        <v>0</v>
      </c>
      <c r="Y30">
        <v>0</v>
      </c>
      <c r="Z30" s="20">
        <v>0</v>
      </c>
      <c r="AA30" s="19">
        <f>IFERROR(PROPERTIES[[#This Row],[TE_STARTING_KN]]/(PROPERTIES[[#This Row],[WEIGHT]]*9.81),0)</f>
        <v>0</v>
      </c>
      <c r="AB30" s="19">
        <v>0.34</v>
      </c>
      <c r="AC30" s="16">
        <f>ROUND(IF(IFERROR(PROPERTIES[[#This Row],[TE_COEFFICIENT_CALC]],0)=0,PROPERTIES[[#This Row],[TE_COEFFICIENT_MANUAL]],PROPERTIES[[#This Row],[TE_COEFFICIENT_CALC]]),3)</f>
        <v>0.34</v>
      </c>
      <c r="AD30" s="8" cm="1">
        <f t="array" ref="AD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0" s="26">
        <v>0</v>
      </c>
      <c r="AF30" s="6">
        <v>2</v>
      </c>
      <c r="AG30" t="s">
        <v>230</v>
      </c>
      <c r="AH30" t="s">
        <v>229</v>
      </c>
      <c r="AI30" t="s">
        <v>229</v>
      </c>
      <c r="AJ30" s="2" t="s">
        <v>229</v>
      </c>
      <c r="AK30" s="2" t="s">
        <v>244</v>
      </c>
      <c r="AL30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0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0" s="2" t="str">
        <f>SUBSTITUTE(SUBSTITUTE(PROPERTIES[[#This Row],[PURCHASECOST_VALUE]], "PURCHASECOST_", ""), "_VALUE", "")</f>
        <v>DIESELRAILBUS</v>
      </c>
      <c r="AO30" s="44" t="b">
        <v>0</v>
      </c>
      <c r="AP30" s="48" t="b">
        <v>0</v>
      </c>
      <c r="AQ30" s="48" t="b">
        <v>0</v>
      </c>
      <c r="AR30" s="48">
        <v>0</v>
      </c>
      <c r="AS30" s="48" t="b">
        <v>0</v>
      </c>
      <c r="AT30" s="7" t="b">
        <v>0</v>
      </c>
      <c r="AU30" s="40" t="str" cm="1">
        <f t="array" ref="AU30">_xlfn.XLOOKUP(PROPERTIES[[#This Row],[VEHIDCODE]],GRAPHICS_PROPERTIES[VEHIDCODE],GRAPHICS_PROPERTIES[TEMPLATE_ID]&amp;GRAPHICS_PROPERTIES[TEMPLATE_AMENDMENT_CODE])</f>
        <v>TPL_16A</v>
      </c>
    </row>
    <row r="31" spans="1:47" x14ac:dyDescent="0.35">
      <c r="A31" s="2" t="s">
        <v>2676</v>
      </c>
      <c r="B31">
        <v>1921</v>
      </c>
      <c r="D31" cm="1">
        <f t="array" ref="D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1" s="40" t="str">
        <f>_xlfn.XLOOKUP(PROPERTIES[[#This Row],[VEHIDCODE]],CONTROL[VEHIDCODE],CONTROL[ENGLISH])</f>
        <v>WC&amp;PR Drewry Railcar</v>
      </c>
      <c r="F31" t="s">
        <v>603</v>
      </c>
      <c r="G31" s="40" t="str">
        <f>_xlfn.XLOOKUP(PROPERTIES[[#This Row],[COUNTRY]],COUNTRIES[COUNTRY_DESCRIPTION],COUNTRIES[COUNTRY_LABEL],"")</f>
        <v>GB</v>
      </c>
      <c r="H31" t="str" cm="1">
        <f t="array" ref="H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1" t="s">
        <v>15</v>
      </c>
      <c r="J31">
        <v>42</v>
      </c>
      <c r="K31">
        <v>4</v>
      </c>
      <c r="L31">
        <v>0</v>
      </c>
      <c r="M31" t="str" cm="1">
        <f t="array" ref="M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1">
        <f>_xlfn.XLOOKUP("LOADINGSPEEDDEF_"&amp;PROPERTIES[[#This Row],[LOADINGSPEED]],LOADINGSPEEDDEF[TYPE],LOADINGSPEEDDEF[SPEED])</f>
        <v>60</v>
      </c>
      <c r="O31" cm="1">
        <f t="array" ref="O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1">
        <f>IF(ISNUMBER(SEARCH("passenger",PROPERTIES[[#This Row],[CARGODEF]])),1,0)</f>
        <v>1</v>
      </c>
      <c r="Q31" s="23">
        <v>10</v>
      </c>
      <c r="R31">
        <v>35</v>
      </c>
      <c r="S31">
        <v>0</v>
      </c>
      <c r="T31">
        <v>0</v>
      </c>
      <c r="U31">
        <v>0</v>
      </c>
      <c r="V31">
        <v>40</v>
      </c>
      <c r="W31">
        <v>0</v>
      </c>
      <c r="X31">
        <v>0</v>
      </c>
      <c r="Y31">
        <v>0</v>
      </c>
      <c r="Z31" s="20">
        <v>0</v>
      </c>
      <c r="AA31" s="19">
        <f>IFERROR(PROPERTIES[[#This Row],[TE_STARTING_KN]]/(PROPERTIES[[#This Row],[WEIGHT]]*9.81),0)</f>
        <v>0</v>
      </c>
      <c r="AB31" s="19">
        <v>0.21</v>
      </c>
      <c r="AC31" s="16">
        <f>ROUND(IF(IFERROR(PROPERTIES[[#This Row],[TE_COEFFICIENT_CALC]],0)=0,PROPERTIES[[#This Row],[TE_COEFFICIENT_MANUAL]],PROPERTIES[[#This Row],[TE_COEFFICIENT_CALC]]),3)</f>
        <v>0.21</v>
      </c>
      <c r="AD31" s="8" cm="1">
        <f t="array" ref="AD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1" s="26">
        <v>0</v>
      </c>
      <c r="AF31" s="6">
        <v>0</v>
      </c>
      <c r="AG31" t="s">
        <v>234</v>
      </c>
      <c r="AH31" t="s">
        <v>229</v>
      </c>
      <c r="AI31" t="s">
        <v>229</v>
      </c>
      <c r="AJ31" s="2" t="s">
        <v>229</v>
      </c>
      <c r="AK31" s="2" t="s">
        <v>244</v>
      </c>
      <c r="AL31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1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1" s="2" t="str">
        <f>SUBSTITUTE(SUBSTITUTE(PROPERTIES[[#This Row],[PURCHASECOST_VALUE]], "PURCHASECOST_", ""), "_VALUE", "")</f>
        <v>DIESELRAILBUS</v>
      </c>
      <c r="AO31" s="44" t="b">
        <v>0</v>
      </c>
      <c r="AP31" s="48" t="b">
        <v>0</v>
      </c>
      <c r="AQ31" s="48" t="b">
        <v>0</v>
      </c>
      <c r="AR31" s="48">
        <v>0</v>
      </c>
      <c r="AS31" s="48" t="b">
        <v>0</v>
      </c>
      <c r="AT31" s="7" t="b">
        <v>0</v>
      </c>
      <c r="AU31" s="40" t="str" cm="1">
        <f t="array" ref="AU31">_xlfn.XLOOKUP(PROPERTIES[[#This Row],[VEHIDCODE]],GRAPHICS_PROPERTIES[VEHIDCODE],GRAPHICS_PROPERTIES[TEMPLATE_ID]&amp;GRAPHICS_PROPERTIES[TEMPLATE_AMENDMENT_CODE])</f>
        <v>TPL_01B</v>
      </c>
    </row>
    <row r="32" spans="1:47" x14ac:dyDescent="0.35">
      <c r="A32" s="2" t="s">
        <v>2677</v>
      </c>
      <c r="B32">
        <v>1922</v>
      </c>
      <c r="C32">
        <v>1955</v>
      </c>
      <c r="D32" cm="1">
        <f t="array" ref="D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2" s="40" t="str">
        <f>_xlfn.XLOOKUP(PROPERTIES[[#This Row],[VEHIDCODE]],CONTROL[VEHIDCODE],CONTROL[ENGLISH])</f>
        <v>LHW BSt 6001</v>
      </c>
      <c r="F32" t="s">
        <v>584</v>
      </c>
      <c r="G32" s="40" t="str">
        <f>_xlfn.XLOOKUP(PROPERTIES[[#This Row],[COUNTRY]],COUNTRIES[COUNTRY_DESCRIPTION],COUNTRIES[COUNTRY_LABEL],"")</f>
        <v>DE</v>
      </c>
      <c r="H32" t="str" cm="1">
        <f t="array" ref="H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2" t="s">
        <v>15</v>
      </c>
      <c r="J32">
        <v>38</v>
      </c>
      <c r="K32">
        <v>5</v>
      </c>
      <c r="L32">
        <v>0</v>
      </c>
      <c r="M32" t="str" cm="1">
        <f t="array" ref="M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2">
        <f>_xlfn.XLOOKUP("LOADINGSPEEDDEF_"&amp;PROPERTIES[[#This Row],[LOADINGSPEED]],LOADINGSPEEDDEF[TYPE],LOADINGSPEEDDEF[SPEED])</f>
        <v>60</v>
      </c>
      <c r="O32" cm="1">
        <f t="array" ref="O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2">
        <f>IF(ISNUMBER(SEARCH("passenger",PROPERTIES[[#This Row],[CARGODEF]])),1,0)</f>
        <v>1</v>
      </c>
      <c r="Q32" s="23">
        <v>11</v>
      </c>
      <c r="R32">
        <v>75</v>
      </c>
      <c r="S32">
        <v>0</v>
      </c>
      <c r="T32">
        <v>0</v>
      </c>
      <c r="U32">
        <v>0</v>
      </c>
      <c r="V32">
        <v>40</v>
      </c>
      <c r="W32">
        <v>0</v>
      </c>
      <c r="X32">
        <v>0</v>
      </c>
      <c r="Y32">
        <v>0</v>
      </c>
      <c r="Z32" s="20">
        <v>0</v>
      </c>
      <c r="AA32" s="19">
        <f>IFERROR(PROPERTIES[[#This Row],[TE_STARTING_KN]]/(PROPERTIES[[#This Row],[WEIGHT]]*9.81),0)</f>
        <v>0</v>
      </c>
      <c r="AB32" s="19">
        <v>0.34</v>
      </c>
      <c r="AC32" s="16">
        <f>ROUND(IF(IFERROR(PROPERTIES[[#This Row],[TE_COEFFICIENT_CALC]],0)=0,PROPERTIES[[#This Row],[TE_COEFFICIENT_MANUAL]],PROPERTIES[[#This Row],[TE_COEFFICIENT_CALC]]),3)</f>
        <v>0.34</v>
      </c>
      <c r="AD32" s="8" cm="1">
        <f t="array" ref="AD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32" s="26">
        <v>0</v>
      </c>
      <c r="AF32" s="6">
        <v>0</v>
      </c>
      <c r="AG32" t="s">
        <v>230</v>
      </c>
      <c r="AH32" t="s">
        <v>229</v>
      </c>
      <c r="AI32" t="s">
        <v>229</v>
      </c>
      <c r="AJ32" s="2" t="s">
        <v>229</v>
      </c>
      <c r="AK32" s="2" t="s">
        <v>244</v>
      </c>
      <c r="AL32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2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2" s="2" t="str">
        <f>SUBSTITUTE(SUBSTITUTE(PROPERTIES[[#This Row],[PURCHASECOST_VALUE]], "PURCHASECOST_", ""), "_VALUE", "")</f>
        <v>DIESELRAILBUS</v>
      </c>
      <c r="AO32" s="44" t="b">
        <v>0</v>
      </c>
      <c r="AP32" s="48" t="b">
        <v>0</v>
      </c>
      <c r="AQ32" s="48" t="b">
        <v>0</v>
      </c>
      <c r="AR32" s="48">
        <v>0</v>
      </c>
      <c r="AS32" s="48" t="b">
        <v>0</v>
      </c>
      <c r="AT32" s="7" t="b">
        <v>0</v>
      </c>
      <c r="AU32" s="40" t="str" cm="1">
        <f t="array" ref="AU32">_xlfn.XLOOKUP(PROPERTIES[[#This Row],[VEHIDCODE]],GRAPHICS_PROPERTIES[VEHIDCODE],GRAPHICS_PROPERTIES[TEMPLATE_ID]&amp;GRAPHICS_PROPERTIES[TEMPLATE_AMENDMENT_CODE])</f>
        <v>TPL_01B</v>
      </c>
    </row>
    <row r="33" spans="1:47" x14ac:dyDescent="0.35">
      <c r="A33" s="2" t="s">
        <v>2678</v>
      </c>
      <c r="B33">
        <v>1928</v>
      </c>
      <c r="C33">
        <v>1981</v>
      </c>
      <c r="D33" cm="1">
        <f t="array" ref="D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3" s="40" t="str">
        <f>_xlfn.XLOOKUP(PROPERTIES[[#This Row],[VEHIDCODE]],CONTROL[VEHIDCODE],CONTROL[ENGLISH])</f>
        <v>EMC DERM</v>
      </c>
      <c r="F33" t="s">
        <v>541</v>
      </c>
      <c r="G33" s="40" t="str">
        <f>_xlfn.XLOOKUP(PROPERTIES[[#This Row],[COUNTRY]],COUNTRIES[COUNTRY_DESCRIPTION],COUNTRIES[COUNTRY_LABEL],"")</f>
        <v>AU</v>
      </c>
      <c r="H33" t="str" cm="1">
        <f t="array" ref="H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3" t="s">
        <v>15</v>
      </c>
      <c r="J33">
        <v>40</v>
      </c>
      <c r="K33">
        <v>7</v>
      </c>
      <c r="L33">
        <v>0</v>
      </c>
      <c r="M33" t="str" cm="1">
        <f t="array" ref="M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3">
        <f>_xlfn.XLOOKUP("LOADINGSPEEDDEF_"&amp;PROPERTIES[[#This Row],[LOADINGSPEED]],LOADINGSPEEDDEF[TYPE],LOADINGSPEEDDEF[SPEED])</f>
        <v>60</v>
      </c>
      <c r="O33" cm="1">
        <f t="array" ref="O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">
        <f>IF(ISNUMBER(SEARCH("passenger",PROPERTIES[[#This Row],[CARGODEF]])),1,0)</f>
        <v>1</v>
      </c>
      <c r="Q33" s="23">
        <v>43</v>
      </c>
      <c r="R33">
        <v>255</v>
      </c>
      <c r="S33">
        <v>0</v>
      </c>
      <c r="T33">
        <v>0</v>
      </c>
      <c r="U33">
        <v>0</v>
      </c>
      <c r="V33">
        <v>100</v>
      </c>
      <c r="W33">
        <v>0</v>
      </c>
      <c r="X33">
        <v>0</v>
      </c>
      <c r="Y33">
        <v>0</v>
      </c>
      <c r="Z33" s="20">
        <v>0</v>
      </c>
      <c r="AA33" s="19">
        <f>IFERROR(PROPERTIES[[#This Row],[TE_STARTING_KN]]/(PROPERTIES[[#This Row],[WEIGHT]]*9.81),0)</f>
        <v>0</v>
      </c>
      <c r="AB33" s="19">
        <v>0.34</v>
      </c>
      <c r="AC33" s="16">
        <f>ROUND(IF(IFERROR(PROPERTIES[[#This Row],[TE_COEFFICIENT_CALC]],0)=0,PROPERTIES[[#This Row],[TE_COEFFICIENT_MANUAL]],PROPERTIES[[#This Row],[TE_COEFFICIENT_CALC]]),3)</f>
        <v>0.34</v>
      </c>
      <c r="AD33" s="8" cm="1">
        <f t="array" ref="AD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33" s="26">
        <v>0</v>
      </c>
      <c r="AF33" s="6">
        <v>0</v>
      </c>
      <c r="AG33" t="s">
        <v>232</v>
      </c>
      <c r="AH33" t="s">
        <v>229</v>
      </c>
      <c r="AI33" t="s">
        <v>229</v>
      </c>
      <c r="AJ33" s="2" t="s">
        <v>229</v>
      </c>
      <c r="AK33" s="2" t="s">
        <v>244</v>
      </c>
      <c r="AL33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3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3" s="2" t="str">
        <f>SUBSTITUTE(SUBSTITUTE(PROPERTIES[[#This Row],[PURCHASECOST_VALUE]], "PURCHASECOST_", ""), "_VALUE", "")</f>
        <v>DIESELRAILBUS</v>
      </c>
      <c r="AO33" s="44" t="b">
        <v>0</v>
      </c>
      <c r="AP33" s="48" t="b">
        <v>0</v>
      </c>
      <c r="AQ33" s="48" t="b">
        <v>0</v>
      </c>
      <c r="AR33" s="48">
        <v>0</v>
      </c>
      <c r="AS33" s="48" t="b">
        <v>0</v>
      </c>
      <c r="AT33" s="7" t="b">
        <v>0</v>
      </c>
      <c r="AU33" s="40" t="str" cm="1">
        <f t="array" ref="AU33">_xlfn.XLOOKUP(PROPERTIES[[#This Row],[VEHIDCODE]],GRAPHICS_PROPERTIES[VEHIDCODE],GRAPHICS_PROPERTIES[TEMPLATE_ID]&amp;GRAPHICS_PROPERTIES[TEMPLATE_AMENDMENT_CODE])</f>
        <v>TPL_01B</v>
      </c>
    </row>
    <row r="34" spans="1:47" x14ac:dyDescent="0.35">
      <c r="A34" s="2" t="s">
        <v>2679</v>
      </c>
      <c r="B34">
        <v>1930</v>
      </c>
      <c r="C34">
        <v>1958</v>
      </c>
      <c r="D34" cm="1">
        <f t="array" ref="D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4" s="40" t="str">
        <f>_xlfn.XLOOKUP(PROPERTIES[[#This Row],[VEHIDCODE]],CONTROL[VEHIDCODE],CONTROL[ENGLISH])</f>
        <v>Tatra M120.4</v>
      </c>
      <c r="F34" t="s">
        <v>583</v>
      </c>
      <c r="G34" s="40" t="str">
        <f>_xlfn.XLOOKUP(PROPERTIES[[#This Row],[COUNTRY]],COUNTRIES[COUNTRY_DESCRIPTION],COUNTRIES[COUNTRY_LABEL],"")</f>
        <v>CZ</v>
      </c>
      <c r="H34" t="str" cm="1">
        <f t="array" ref="H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4" t="s">
        <v>15</v>
      </c>
      <c r="J34">
        <v>38</v>
      </c>
      <c r="K34">
        <v>5</v>
      </c>
      <c r="L34">
        <v>0</v>
      </c>
      <c r="M34" t="str" cm="1">
        <f t="array" ref="M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4">
        <f>_xlfn.XLOOKUP("LOADINGSPEEDDEF_"&amp;PROPERTIES[[#This Row],[LOADINGSPEED]],LOADINGSPEEDDEF[TYPE],LOADINGSPEEDDEF[SPEED])</f>
        <v>60</v>
      </c>
      <c r="O34" cm="1">
        <f t="array" ref="O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4">
        <f>IF(ISNUMBER(SEARCH("passenger",PROPERTIES[[#This Row],[CARGODEF]])),1,0)</f>
        <v>1</v>
      </c>
      <c r="Q34" s="23">
        <v>13</v>
      </c>
      <c r="R34">
        <v>120</v>
      </c>
      <c r="S34">
        <v>0</v>
      </c>
      <c r="T34">
        <v>0</v>
      </c>
      <c r="U34">
        <v>0</v>
      </c>
      <c r="V34">
        <v>60</v>
      </c>
      <c r="W34">
        <v>0</v>
      </c>
      <c r="X34">
        <v>0</v>
      </c>
      <c r="Y34">
        <v>0</v>
      </c>
      <c r="Z34" s="20">
        <v>0</v>
      </c>
      <c r="AA34" s="19">
        <f>IFERROR(PROPERTIES[[#This Row],[TE_STARTING_KN]]/(PROPERTIES[[#This Row],[WEIGHT]]*9.81),0)</f>
        <v>0</v>
      </c>
      <c r="AB34" s="19">
        <v>0.15</v>
      </c>
      <c r="AC34" s="16">
        <f>ROUND(IF(IFERROR(PROPERTIES[[#This Row],[TE_COEFFICIENT_CALC]],0)=0,PROPERTIES[[#This Row],[TE_COEFFICIENT_MANUAL]],PROPERTIES[[#This Row],[TE_COEFFICIENT_CALC]]),3)</f>
        <v>0.15</v>
      </c>
      <c r="AD34" s="8" cm="1">
        <f t="array" ref="AD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4" s="26">
        <v>0</v>
      </c>
      <c r="AF34" s="6">
        <v>0</v>
      </c>
      <c r="AG34" t="s">
        <v>236</v>
      </c>
      <c r="AH34" t="s">
        <v>229</v>
      </c>
      <c r="AI34" t="s">
        <v>229</v>
      </c>
      <c r="AJ34" s="2" t="s">
        <v>229</v>
      </c>
      <c r="AK34" s="2" t="s">
        <v>244</v>
      </c>
      <c r="AL34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4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4" s="2" t="str">
        <f>SUBSTITUTE(SUBSTITUTE(PROPERTIES[[#This Row],[PURCHASECOST_VALUE]], "PURCHASECOST_", ""), "_VALUE", "")</f>
        <v>DIESELRAILBUS</v>
      </c>
      <c r="AO34" s="44" t="b">
        <v>0</v>
      </c>
      <c r="AP34" s="48" t="b">
        <v>1</v>
      </c>
      <c r="AQ34" s="48" t="b">
        <v>0</v>
      </c>
      <c r="AR34" s="48">
        <v>0</v>
      </c>
      <c r="AS34" s="48" t="b">
        <v>0</v>
      </c>
      <c r="AT34" s="7" t="b">
        <v>0</v>
      </c>
      <c r="AU34" s="40" t="str" cm="1">
        <f t="array" ref="AU34">_xlfn.XLOOKUP(PROPERTIES[[#This Row],[VEHIDCODE]],GRAPHICS_PROPERTIES[VEHIDCODE],GRAPHICS_PROPERTIES[TEMPLATE_ID]&amp;GRAPHICS_PROPERTIES[TEMPLATE_AMENDMENT_CODE])</f>
        <v>TPL_01B</v>
      </c>
    </row>
    <row r="35" spans="1:47" x14ac:dyDescent="0.35">
      <c r="A35" s="2" t="s">
        <v>2680</v>
      </c>
      <c r="B35">
        <v>1930</v>
      </c>
      <c r="C35">
        <v>1939</v>
      </c>
      <c r="D35" cm="1">
        <f t="array" ref="D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" s="40" t="str">
        <f>_xlfn.XLOOKUP(PROPERTIES[[#This Row],[VEHIDCODE]],CONTROL[VEHIDCODE],CONTROL[ENGLISH])</f>
        <v>Franz Kruckenberg Schienenzeppelin</v>
      </c>
      <c r="F35" t="s">
        <v>584</v>
      </c>
      <c r="G35" s="40" t="str">
        <f>_xlfn.XLOOKUP(PROPERTIES[[#This Row],[COUNTRY]],COUNTRIES[COUNTRY_DESCRIPTION],COUNTRIES[COUNTRY_LABEL],"")</f>
        <v>DE</v>
      </c>
      <c r="H35" t="str" cm="1">
        <f t="array" ref="H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5" t="s">
        <v>15</v>
      </c>
      <c r="J35">
        <v>40</v>
      </c>
      <c r="K35">
        <v>8</v>
      </c>
      <c r="L35">
        <v>0</v>
      </c>
      <c r="M35" t="str" cm="1">
        <f t="array" ref="M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35">
        <f>_xlfn.XLOOKUP("LOADINGSPEEDDEF_"&amp;PROPERTIES[[#This Row],[LOADINGSPEED]],LOADINGSPEEDDEF[TYPE],LOADINGSPEEDDEF[SPEED])</f>
        <v>20</v>
      </c>
      <c r="O35" cm="1">
        <f t="array" ref="O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">
        <f>IF(ISNUMBER(SEARCH("passenger",PROPERTIES[[#This Row],[CARGODEF]])),1,0)</f>
        <v>1</v>
      </c>
      <c r="Q35" s="23">
        <v>20</v>
      </c>
      <c r="R35">
        <v>600</v>
      </c>
      <c r="S35">
        <v>0</v>
      </c>
      <c r="T35">
        <v>0</v>
      </c>
      <c r="U35">
        <v>0</v>
      </c>
      <c r="V35">
        <v>230</v>
      </c>
      <c r="W35">
        <v>0</v>
      </c>
      <c r="X35">
        <v>0</v>
      </c>
      <c r="Y35">
        <v>0</v>
      </c>
      <c r="Z35" s="20">
        <v>0</v>
      </c>
      <c r="AA35" s="19">
        <f>IFERROR(PROPERTIES[[#This Row],[TE_STARTING_KN]]/(PROPERTIES[[#This Row],[WEIGHT]]*9.81),0)</f>
        <v>0</v>
      </c>
      <c r="AB35" s="19">
        <v>0.39</v>
      </c>
      <c r="AC35" s="16">
        <f>ROUND(IF(IFERROR(PROPERTIES[[#This Row],[TE_COEFFICIENT_CALC]],0)=0,PROPERTIES[[#This Row],[TE_COEFFICIENT_MANUAL]],PROPERTIES[[#This Row],[TE_COEFFICIENT_CALC]]),3)</f>
        <v>0.39</v>
      </c>
      <c r="AD35" s="8" cm="1">
        <f t="array" ref="AD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5" s="26">
        <v>0</v>
      </c>
      <c r="AF35" s="6">
        <v>0</v>
      </c>
      <c r="AG35" t="s">
        <v>230</v>
      </c>
      <c r="AH35" t="s">
        <v>229</v>
      </c>
      <c r="AI35" t="s">
        <v>229</v>
      </c>
      <c r="AJ35" s="2" t="s">
        <v>229</v>
      </c>
      <c r="AK35" s="2" t="s">
        <v>244</v>
      </c>
      <c r="AL35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5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5" s="2" t="str">
        <f>SUBSTITUTE(SUBSTITUTE(PROPERTIES[[#This Row],[PURCHASECOST_VALUE]], "PURCHASECOST_", ""), "_VALUE", "")</f>
        <v>DIESELRAILBUS</v>
      </c>
      <c r="AO35" s="44" t="b">
        <v>0</v>
      </c>
      <c r="AP35" s="48" t="b">
        <v>0</v>
      </c>
      <c r="AQ35" s="48" t="b">
        <v>0</v>
      </c>
      <c r="AR35" s="48">
        <v>0</v>
      </c>
      <c r="AS35" s="48" t="b">
        <v>0</v>
      </c>
      <c r="AT35" s="7" t="b">
        <v>0</v>
      </c>
      <c r="AU35" s="40" t="str" cm="1">
        <f t="array" ref="AU35">_xlfn.XLOOKUP(PROPERTIES[[#This Row],[VEHIDCODE]],GRAPHICS_PROPERTIES[VEHIDCODE],GRAPHICS_PROPERTIES[TEMPLATE_ID]&amp;GRAPHICS_PROPERTIES[TEMPLATE_AMENDMENT_CODE])</f>
        <v>TPL_03C</v>
      </c>
    </row>
    <row r="36" spans="1:47" x14ac:dyDescent="0.35">
      <c r="A36" s="2" t="s">
        <v>2681</v>
      </c>
      <c r="B36">
        <v>1935</v>
      </c>
      <c r="C36">
        <v>1969</v>
      </c>
      <c r="D36" cm="1">
        <f t="array" ref="D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" s="40" t="str">
        <f>_xlfn.XLOOKUP(PROPERTIES[[#This Row],[VEHIDCODE]],CONTROL[VEHIDCODE],CONTROL[ENGLISH])</f>
        <v>DSB MO Serie 1</v>
      </c>
      <c r="F36" t="s">
        <v>586</v>
      </c>
      <c r="G36" s="40" t="str">
        <f>_xlfn.XLOOKUP(PROPERTIES[[#This Row],[COUNTRY]],COUNTRIES[COUNTRY_DESCRIPTION],COUNTRIES[COUNTRY_LABEL],"")</f>
        <v>DK</v>
      </c>
      <c r="H36" t="str" cm="1">
        <f t="array" ref="H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6" t="s">
        <v>15</v>
      </c>
      <c r="J36">
        <v>52</v>
      </c>
      <c r="K36">
        <v>8</v>
      </c>
      <c r="L36">
        <v>0</v>
      </c>
      <c r="M36" t="str" cm="1">
        <f t="array" ref="M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6">
        <f>_xlfn.XLOOKUP("LOADINGSPEEDDEF_"&amp;PROPERTIES[[#This Row],[LOADINGSPEED]],LOADINGSPEEDDEF[TYPE],LOADINGSPEEDDEF[SPEED])</f>
        <v>60</v>
      </c>
      <c r="O36" cm="1">
        <f t="array" ref="O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">
        <f>IF(ISNUMBER(SEARCH("passenger",PROPERTIES[[#This Row],[CARGODEF]])),1,0)</f>
        <v>1</v>
      </c>
      <c r="Q36" s="23">
        <v>65</v>
      </c>
      <c r="R36">
        <v>500</v>
      </c>
      <c r="S36">
        <v>0</v>
      </c>
      <c r="T36">
        <v>0</v>
      </c>
      <c r="U36">
        <v>0</v>
      </c>
      <c r="V36">
        <v>120</v>
      </c>
      <c r="W36">
        <v>0</v>
      </c>
      <c r="X36">
        <v>0</v>
      </c>
      <c r="Y36">
        <v>0</v>
      </c>
      <c r="Z36" s="20">
        <v>0</v>
      </c>
      <c r="AA36" s="19">
        <f>IFERROR(PROPERTIES[[#This Row],[TE_STARTING_KN]]/(PROPERTIES[[#This Row],[WEIGHT]]*9.81),0)</f>
        <v>0</v>
      </c>
      <c r="AB36" s="19">
        <v>0.31</v>
      </c>
      <c r="AC36" s="16">
        <f>ROUND(IF(IFERROR(PROPERTIES[[#This Row],[TE_COEFFICIENT_CALC]],0)=0,PROPERTIES[[#This Row],[TE_COEFFICIENT_MANUAL]],PROPERTIES[[#This Row],[TE_COEFFICIENT_CALC]]),3)</f>
        <v>0.31</v>
      </c>
      <c r="AD36" s="8" cm="1">
        <f t="array" ref="AD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36" s="26">
        <v>0</v>
      </c>
      <c r="AF36" s="6">
        <v>0</v>
      </c>
      <c r="AG36" t="s">
        <v>234</v>
      </c>
      <c r="AH36" t="s">
        <v>229</v>
      </c>
      <c r="AI36" t="s">
        <v>229</v>
      </c>
      <c r="AJ36" s="2" t="s">
        <v>229</v>
      </c>
      <c r="AK36" s="2" t="s">
        <v>244</v>
      </c>
      <c r="AL36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6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6" s="2" t="str">
        <f>SUBSTITUTE(SUBSTITUTE(PROPERTIES[[#This Row],[PURCHASECOST_VALUE]], "PURCHASECOST_", ""), "_VALUE", "")</f>
        <v>DIESELRAILBUS</v>
      </c>
      <c r="AO36" s="44" t="b">
        <v>0</v>
      </c>
      <c r="AP36" s="48" t="b">
        <v>1</v>
      </c>
      <c r="AQ36" s="48" t="b">
        <v>0</v>
      </c>
      <c r="AR36" s="48">
        <v>0</v>
      </c>
      <c r="AS36" s="48" t="b">
        <v>0</v>
      </c>
      <c r="AT36" s="7" t="b">
        <v>0</v>
      </c>
      <c r="AU36" s="40" t="str" cm="1">
        <f t="array" ref="AU36">_xlfn.XLOOKUP(PROPERTIES[[#This Row],[VEHIDCODE]],GRAPHICS_PROPERTIES[VEHIDCODE],GRAPHICS_PROPERTIES[TEMPLATE_ID]&amp;GRAPHICS_PROPERTIES[TEMPLATE_AMENDMENT_CODE])</f>
        <v>TPL_01B</v>
      </c>
    </row>
    <row r="37" spans="1:47" x14ac:dyDescent="0.35">
      <c r="A37" s="2" t="s">
        <v>2682</v>
      </c>
      <c r="B37">
        <v>1935</v>
      </c>
      <c r="C37">
        <v>1955</v>
      </c>
      <c r="D37" cm="1">
        <f t="array" ref="D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" s="40" t="str">
        <f>_xlfn.XLOOKUP(PROPERTIES[[#This Row],[VEHIDCODE]],CONTROL[VEHIDCODE],CONTROL[ENGLISH])</f>
        <v>Strommens Kristine Valdresdatter</v>
      </c>
      <c r="F37" t="s">
        <v>693</v>
      </c>
      <c r="G37" s="40" t="str">
        <f>_xlfn.XLOOKUP(PROPERTIES[[#This Row],[COUNTRY]],COUNTRIES[COUNTRY_DESCRIPTION],COUNTRIES[COUNTRY_LABEL],"")</f>
        <v>NO</v>
      </c>
      <c r="H37" t="str" cm="1">
        <f t="array" ref="H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7" t="s">
        <v>15</v>
      </c>
      <c r="J37">
        <v>40</v>
      </c>
      <c r="K37">
        <v>6</v>
      </c>
      <c r="L37">
        <v>0</v>
      </c>
      <c r="M37" t="str" cm="1">
        <f t="array" ref="M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7">
        <f>_xlfn.XLOOKUP("LOADINGSPEEDDEF_"&amp;PROPERTIES[[#This Row],[LOADINGSPEED]],LOADINGSPEEDDEF[TYPE],LOADINGSPEEDDEF[SPEED])</f>
        <v>60</v>
      </c>
      <c r="O37" cm="1">
        <f t="array" ref="O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">
        <f>IF(ISNUMBER(SEARCH("passenger",PROPERTIES[[#This Row],[CARGODEF]])),1,0)</f>
        <v>1</v>
      </c>
      <c r="Q37" s="23">
        <v>10</v>
      </c>
      <c r="R37">
        <v>120</v>
      </c>
      <c r="S37">
        <v>0</v>
      </c>
      <c r="T37">
        <v>0</v>
      </c>
      <c r="U37">
        <v>0</v>
      </c>
      <c r="V37">
        <v>100</v>
      </c>
      <c r="W37">
        <v>0</v>
      </c>
      <c r="X37">
        <v>0</v>
      </c>
      <c r="Y37">
        <v>0</v>
      </c>
      <c r="Z37" s="20">
        <v>0</v>
      </c>
      <c r="AA37" s="19">
        <f>IFERROR(PROPERTIES[[#This Row],[TE_STARTING_KN]]/(PROPERTIES[[#This Row],[WEIGHT]]*9.81),0)</f>
        <v>0</v>
      </c>
      <c r="AB37" s="19">
        <v>0.41</v>
      </c>
      <c r="AC37" s="16">
        <f>ROUND(IF(IFERROR(PROPERTIES[[#This Row],[TE_COEFFICIENT_CALC]],0)=0,PROPERTIES[[#This Row],[TE_COEFFICIENT_MANUAL]],PROPERTIES[[#This Row],[TE_COEFFICIENT_CALC]]),3)</f>
        <v>0.41</v>
      </c>
      <c r="AD37" s="8" cm="1">
        <f t="array" ref="AD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7" s="26">
        <v>0</v>
      </c>
      <c r="AF37" s="6">
        <v>0</v>
      </c>
      <c r="AG37" t="s">
        <v>234</v>
      </c>
      <c r="AH37" t="s">
        <v>229</v>
      </c>
      <c r="AI37" t="s">
        <v>229</v>
      </c>
      <c r="AJ37" s="2" t="s">
        <v>229</v>
      </c>
      <c r="AK37" s="2" t="s">
        <v>244</v>
      </c>
      <c r="AL37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7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7" s="2" t="str">
        <f>SUBSTITUTE(SUBSTITUTE(PROPERTIES[[#This Row],[PURCHASECOST_VALUE]], "PURCHASECOST_", ""), "_VALUE", "")</f>
        <v>DIESELRAILBUS</v>
      </c>
      <c r="AO37" s="44" t="b">
        <v>0</v>
      </c>
      <c r="AP37" s="48" t="b">
        <v>1</v>
      </c>
      <c r="AQ37" s="48" t="b">
        <v>0</v>
      </c>
      <c r="AR37" s="48">
        <v>0</v>
      </c>
      <c r="AS37" s="48" t="b">
        <v>0</v>
      </c>
      <c r="AT37" s="7" t="b">
        <v>0</v>
      </c>
      <c r="AU37" s="40" t="str" cm="1">
        <f t="array" ref="AU37">_xlfn.XLOOKUP(PROPERTIES[[#This Row],[VEHIDCODE]],GRAPHICS_PROPERTIES[VEHIDCODE],GRAPHICS_PROPERTIES[TEMPLATE_ID]&amp;GRAPHICS_PROPERTIES[TEMPLATE_AMENDMENT_CODE])</f>
        <v>TPL_01B</v>
      </c>
    </row>
    <row r="38" spans="1:47" x14ac:dyDescent="0.35">
      <c r="A38" s="2" t="s">
        <v>2683</v>
      </c>
      <c r="B38">
        <v>1936</v>
      </c>
      <c r="C38">
        <v>1953</v>
      </c>
      <c r="D38" cm="1">
        <f t="array" ref="D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" s="40" t="str">
        <f>_xlfn.XLOOKUP(PROPERTIES[[#This Row],[VEHIDCODE]],CONTROL[VEHIDCODE],CONTROL[ENGLISH])</f>
        <v>Tatra M290</v>
      </c>
      <c r="F38" t="s">
        <v>583</v>
      </c>
      <c r="G38" s="40" t="str">
        <f>_xlfn.XLOOKUP(PROPERTIES[[#This Row],[COUNTRY]],COUNTRIES[COUNTRY_DESCRIPTION],COUNTRIES[COUNTRY_LABEL],"")</f>
        <v>CZ</v>
      </c>
      <c r="H38" t="str" cm="1">
        <f t="array" ref="H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8" t="s">
        <v>15</v>
      </c>
      <c r="J38">
        <v>72</v>
      </c>
      <c r="K38">
        <v>7</v>
      </c>
      <c r="L38">
        <v>0</v>
      </c>
      <c r="M38" t="str" cm="1">
        <f t="array" ref="M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8">
        <f>_xlfn.XLOOKUP("LOADINGSPEEDDEF_"&amp;PROPERTIES[[#This Row],[LOADINGSPEED]],LOADINGSPEEDDEF[TYPE],LOADINGSPEEDDEF[SPEED])</f>
        <v>60</v>
      </c>
      <c r="O38" cm="1">
        <f t="array" ref="O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">
        <f>IF(ISNUMBER(SEARCH("passenger",PROPERTIES[[#This Row],[CARGODEF]])),1,0)</f>
        <v>1</v>
      </c>
      <c r="Q38" s="23">
        <v>36</v>
      </c>
      <c r="R38">
        <v>330</v>
      </c>
      <c r="S38">
        <v>0</v>
      </c>
      <c r="T38">
        <v>0</v>
      </c>
      <c r="U38">
        <v>0</v>
      </c>
      <c r="V38">
        <v>130</v>
      </c>
      <c r="W38">
        <v>0</v>
      </c>
      <c r="X38">
        <v>0</v>
      </c>
      <c r="Y38">
        <v>0</v>
      </c>
      <c r="Z38" s="20">
        <v>0</v>
      </c>
      <c r="AA38" s="19">
        <f>IFERROR(PROPERTIES[[#This Row],[TE_STARTING_KN]]/(PROPERTIES[[#This Row],[WEIGHT]]*9.81),0)</f>
        <v>0</v>
      </c>
      <c r="AB38" s="19">
        <v>0.33</v>
      </c>
      <c r="AC38" s="16">
        <f>ROUND(IF(IFERROR(PROPERTIES[[#This Row],[TE_COEFFICIENT_CALC]],0)=0,PROPERTIES[[#This Row],[TE_COEFFICIENT_MANUAL]],PROPERTIES[[#This Row],[TE_COEFFICIENT_CALC]]),3)</f>
        <v>0.33</v>
      </c>
      <c r="AD38" s="8" cm="1">
        <f t="array" ref="AD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8" s="26">
        <v>0</v>
      </c>
      <c r="AF38" s="6">
        <v>0</v>
      </c>
      <c r="AG38" t="s">
        <v>236</v>
      </c>
      <c r="AH38" t="s">
        <v>229</v>
      </c>
      <c r="AI38" t="s">
        <v>229</v>
      </c>
      <c r="AJ38" s="2" t="s">
        <v>229</v>
      </c>
      <c r="AK38" s="2" t="s">
        <v>244</v>
      </c>
      <c r="AL3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8" s="2" t="str">
        <f>SUBSTITUTE(SUBSTITUTE(PROPERTIES[[#This Row],[PURCHASECOST_VALUE]], "PURCHASECOST_", ""), "_VALUE", "")</f>
        <v>DIESELRAILBUS</v>
      </c>
      <c r="AO38" s="44" t="b">
        <v>0</v>
      </c>
      <c r="AP38" s="48" t="b">
        <v>0</v>
      </c>
      <c r="AQ38" s="48" t="b">
        <v>0</v>
      </c>
      <c r="AR38" s="48">
        <v>0</v>
      </c>
      <c r="AS38" s="48" t="b">
        <v>0</v>
      </c>
      <c r="AT38" s="7" t="b">
        <v>0</v>
      </c>
      <c r="AU38" s="40" t="str" cm="1">
        <f t="array" ref="AU38">_xlfn.XLOOKUP(PROPERTIES[[#This Row],[VEHIDCODE]],GRAPHICS_PROPERTIES[VEHIDCODE],GRAPHICS_PROPERTIES[TEMPLATE_ID]&amp;GRAPHICS_PROPERTIES[TEMPLATE_AMENDMENT_CODE])</f>
        <v>TPL_01B</v>
      </c>
    </row>
    <row r="39" spans="1:47" x14ac:dyDescent="0.35">
      <c r="A39" s="2" t="s">
        <v>2684</v>
      </c>
      <c r="B39">
        <v>1937</v>
      </c>
      <c r="C39">
        <v>1950</v>
      </c>
      <c r="D39" cm="1">
        <f t="array" ref="D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" s="40" t="str">
        <f>_xlfn.XLOOKUP(PROPERTIES[[#This Row],[VEHIDCODE]],CONTROL[VEHIDCODE],CONTROL[ENGLISH])</f>
        <v>Werkspoor DM37</v>
      </c>
      <c r="F39" t="s">
        <v>692</v>
      </c>
      <c r="G39" s="40" t="str">
        <f>_xlfn.XLOOKUP(PROPERTIES[[#This Row],[COUNTRY]],COUNTRIES[COUNTRY_DESCRIPTION],COUNTRIES[COUNTRY_LABEL],"")</f>
        <v>NL</v>
      </c>
      <c r="H39" t="str" cm="1">
        <f t="array" ref="H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9" t="s">
        <v>15</v>
      </c>
      <c r="J39">
        <f>15+56+8+8</f>
        <v>87</v>
      </c>
      <c r="K39">
        <v>8</v>
      </c>
      <c r="L39">
        <v>0</v>
      </c>
      <c r="M39" t="str" cm="1">
        <f t="array" ref="M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9">
        <f>_xlfn.XLOOKUP("LOADINGSPEEDDEF_"&amp;PROPERTIES[[#This Row],[LOADINGSPEED]],LOADINGSPEEDDEF[TYPE],LOADINGSPEEDDEF[SPEED])</f>
        <v>60</v>
      </c>
      <c r="O39" cm="1">
        <f t="array" ref="O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">
        <f>IF(ISNUMBER(SEARCH("passenger",PROPERTIES[[#This Row],[CARGODEF]])),1,0)</f>
        <v>1</v>
      </c>
      <c r="Q39" s="23">
        <v>53</v>
      </c>
      <c r="R39">
        <v>294</v>
      </c>
      <c r="S39">
        <v>0</v>
      </c>
      <c r="T39">
        <v>0</v>
      </c>
      <c r="U39">
        <v>0</v>
      </c>
      <c r="V39">
        <v>105</v>
      </c>
      <c r="W39">
        <v>0</v>
      </c>
      <c r="X39">
        <v>0</v>
      </c>
      <c r="Y39">
        <v>0</v>
      </c>
      <c r="Z39" s="20">
        <v>0</v>
      </c>
      <c r="AA39" s="19">
        <f>IFERROR(PROPERTIES[[#This Row],[TE_STARTING_KN]]/(PROPERTIES[[#This Row],[WEIGHT]]*9.81),0)</f>
        <v>0</v>
      </c>
      <c r="AB39" s="19">
        <v>0.34</v>
      </c>
      <c r="AC39" s="16">
        <f>ROUND(IF(IFERROR(PROPERTIES[[#This Row],[TE_COEFFICIENT_CALC]],0)=0,PROPERTIES[[#This Row],[TE_COEFFICIENT_MANUAL]],PROPERTIES[[#This Row],[TE_COEFFICIENT_CALC]]),3)</f>
        <v>0.34</v>
      </c>
      <c r="AD39" s="8" cm="1">
        <f t="array" ref="AD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9" s="26">
        <v>0</v>
      </c>
      <c r="AF39" s="6">
        <v>0</v>
      </c>
      <c r="AG39" t="s">
        <v>230</v>
      </c>
      <c r="AH39" t="s">
        <v>229</v>
      </c>
      <c r="AI39" t="s">
        <v>229</v>
      </c>
      <c r="AJ39" s="2" t="s">
        <v>229</v>
      </c>
      <c r="AK39" s="2" t="s">
        <v>244</v>
      </c>
      <c r="AL3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9" s="2" t="str">
        <f>SUBSTITUTE(SUBSTITUTE(PROPERTIES[[#This Row],[PURCHASECOST_VALUE]], "PURCHASECOST_", ""), "_VALUE", "")</f>
        <v>DIESELRAILBUS</v>
      </c>
      <c r="AO39" s="44" t="b">
        <v>0</v>
      </c>
      <c r="AP39" s="48" t="b">
        <v>1</v>
      </c>
      <c r="AQ39" s="48" t="b">
        <v>0</v>
      </c>
      <c r="AR39" s="48">
        <v>0</v>
      </c>
      <c r="AS39" s="48" t="b">
        <v>0</v>
      </c>
      <c r="AT39" s="7" t="b">
        <v>0</v>
      </c>
      <c r="AU39" s="40" t="str" cm="1">
        <f t="array" ref="AU39">_xlfn.XLOOKUP(PROPERTIES[[#This Row],[VEHIDCODE]],GRAPHICS_PROPERTIES[VEHIDCODE],GRAPHICS_PROPERTIES[TEMPLATE_ID]&amp;GRAPHICS_PROPERTIES[TEMPLATE_AMENDMENT_CODE])</f>
        <v>TPL_01B</v>
      </c>
    </row>
    <row r="40" spans="1:47" x14ac:dyDescent="0.35">
      <c r="A40" s="2" t="s">
        <v>2685</v>
      </c>
      <c r="B40">
        <v>1938</v>
      </c>
      <c r="C40">
        <v>1983</v>
      </c>
      <c r="D40" cm="1">
        <f t="array" ref="D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" s="40" t="str">
        <f>_xlfn.XLOOKUP(PROPERTIES[[#This Row],[VEHIDCODE]],CONTROL[VEHIDCODE],CONTROL[ENGLISH])</f>
        <v>Eveleigh 400 Class</v>
      </c>
      <c r="F40" t="s">
        <v>541</v>
      </c>
      <c r="G40" s="40" t="str">
        <f>_xlfn.XLOOKUP(PROPERTIES[[#This Row],[COUNTRY]],COUNTRIES[COUNTRY_DESCRIPTION],COUNTRIES[COUNTRY_LABEL],"")</f>
        <v>AU</v>
      </c>
      <c r="H40" t="str" cm="1">
        <f t="array" ref="H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0" t="s">
        <v>15</v>
      </c>
      <c r="J40">
        <v>56</v>
      </c>
      <c r="K40">
        <v>7</v>
      </c>
      <c r="L40">
        <v>0</v>
      </c>
      <c r="M40" t="str" cm="1">
        <f t="array" ref="M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0">
        <f>_xlfn.XLOOKUP("LOADINGSPEEDDEF_"&amp;PROPERTIES[[#This Row],[LOADINGSPEED]],LOADINGSPEEDDEF[TYPE],LOADINGSPEEDDEF[SPEED])</f>
        <v>60</v>
      </c>
      <c r="O40" cm="1">
        <f t="array" ref="O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">
        <f>IF(ISNUMBER(SEARCH("passenger",PROPERTIES[[#This Row],[CARGODEF]])),1,0)</f>
        <v>1</v>
      </c>
      <c r="Q40" s="23">
        <v>48</v>
      </c>
      <c r="R40">
        <v>300</v>
      </c>
      <c r="S40">
        <v>0</v>
      </c>
      <c r="T40">
        <v>0</v>
      </c>
      <c r="U40">
        <v>0</v>
      </c>
      <c r="V40">
        <v>100</v>
      </c>
      <c r="W40">
        <v>0</v>
      </c>
      <c r="X40">
        <v>0</v>
      </c>
      <c r="Y40">
        <v>0</v>
      </c>
      <c r="Z40" s="20">
        <v>0</v>
      </c>
      <c r="AA40" s="19">
        <f>IFERROR(PROPERTIES[[#This Row],[TE_STARTING_KN]]/(PROPERTIES[[#This Row],[WEIGHT]]*9.81),0)</f>
        <v>0</v>
      </c>
      <c r="AB40" s="19">
        <v>0.34</v>
      </c>
      <c r="AC40" s="16">
        <f>ROUND(IF(IFERROR(PROPERTIES[[#This Row],[TE_COEFFICIENT_CALC]],0)=0,PROPERTIES[[#This Row],[TE_COEFFICIENT_MANUAL]],PROPERTIES[[#This Row],[TE_COEFFICIENT_CALC]]),3)</f>
        <v>0.34</v>
      </c>
      <c r="AD40" s="8" cm="1">
        <f t="array" ref="AD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0" s="26">
        <v>0</v>
      </c>
      <c r="AF40" s="6">
        <v>0</v>
      </c>
      <c r="AG40" t="s">
        <v>232</v>
      </c>
      <c r="AH40" t="s">
        <v>229</v>
      </c>
      <c r="AI40" t="s">
        <v>229</v>
      </c>
      <c r="AJ40" s="2" t="s">
        <v>229</v>
      </c>
      <c r="AK40" s="2" t="s">
        <v>244</v>
      </c>
      <c r="AL40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0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0" s="2" t="str">
        <f>SUBSTITUTE(SUBSTITUTE(PROPERTIES[[#This Row],[PURCHASECOST_VALUE]], "PURCHASECOST_", ""), "_VALUE", "")</f>
        <v>DIESELRAILBUS</v>
      </c>
      <c r="AO40" s="44" t="b">
        <v>0</v>
      </c>
      <c r="AP40" s="48" t="b">
        <v>0</v>
      </c>
      <c r="AQ40" s="48" t="b">
        <v>0</v>
      </c>
      <c r="AR40" s="48">
        <v>0</v>
      </c>
      <c r="AS40" s="48" t="b">
        <v>0</v>
      </c>
      <c r="AT40" s="7" t="b">
        <v>0</v>
      </c>
      <c r="AU40" s="40" t="str" cm="1">
        <f t="array" ref="AU40">_xlfn.XLOOKUP(PROPERTIES[[#This Row],[VEHIDCODE]],GRAPHICS_PROPERTIES[VEHIDCODE],GRAPHICS_PROPERTIES[TEMPLATE_ID]&amp;GRAPHICS_PROPERTIES[TEMPLATE_AMENDMENT_CODE])</f>
        <v>TPL_01B</v>
      </c>
    </row>
    <row r="41" spans="1:47" x14ac:dyDescent="0.35">
      <c r="A41" s="2" t="s">
        <v>2686</v>
      </c>
      <c r="B41">
        <v>1941</v>
      </c>
      <c r="C41">
        <v>1980</v>
      </c>
      <c r="D41" cm="1">
        <f t="array" ref="D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" s="40" t="str">
        <f>_xlfn.XLOOKUP(PROPERTIES[[#This Row],[VEHIDCODE]],CONTROL[VEHIDCODE],CONTROL[ENGLISH])</f>
        <v>Vale do Vouga ME51-55</v>
      </c>
      <c r="F41" t="s">
        <v>710</v>
      </c>
      <c r="G41" s="40" t="str">
        <f>_xlfn.XLOOKUP(PROPERTIES[[#This Row],[COUNTRY]],COUNTRIES[COUNTRY_DESCRIPTION],COUNTRIES[COUNTRY_LABEL],"")</f>
        <v>PT</v>
      </c>
      <c r="H41" t="str" cm="1">
        <f t="array" ref="H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1" t="s">
        <v>15</v>
      </c>
      <c r="J41">
        <v>25</v>
      </c>
      <c r="K41">
        <v>5</v>
      </c>
      <c r="L41">
        <v>0</v>
      </c>
      <c r="M41" t="str" cm="1">
        <f t="array" ref="M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1">
        <f>_xlfn.XLOOKUP("LOADINGSPEEDDEF_"&amp;PROPERTIES[[#This Row],[LOADINGSPEED]],LOADINGSPEEDDEF[TYPE],LOADINGSPEEDDEF[SPEED])</f>
        <v>60</v>
      </c>
      <c r="O41" cm="1">
        <f t="array" ref="O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">
        <f>IF(ISNUMBER(SEARCH("passenger",PROPERTIES[[#This Row],[CARGODEF]])),1,0)</f>
        <v>1</v>
      </c>
      <c r="Q41" s="23">
        <v>8</v>
      </c>
      <c r="R41">
        <v>90</v>
      </c>
      <c r="S41">
        <v>0</v>
      </c>
      <c r="T41">
        <v>0</v>
      </c>
      <c r="U41">
        <v>0</v>
      </c>
      <c r="V41">
        <v>89</v>
      </c>
      <c r="W41">
        <v>0</v>
      </c>
      <c r="X41">
        <v>0</v>
      </c>
      <c r="Y41">
        <v>0</v>
      </c>
      <c r="Z41" s="20">
        <v>0</v>
      </c>
      <c r="AA41" s="19">
        <f>IFERROR(PROPERTIES[[#This Row],[TE_STARTING_KN]]/(PROPERTIES[[#This Row],[WEIGHT]]*9.81),0)</f>
        <v>0</v>
      </c>
      <c r="AB41" s="19">
        <v>0.2</v>
      </c>
      <c r="AC41" s="16">
        <f>ROUND(IF(IFERROR(PROPERTIES[[#This Row],[TE_COEFFICIENT_CALC]],0)=0,PROPERTIES[[#This Row],[TE_COEFFICIENT_MANUAL]],PROPERTIES[[#This Row],[TE_COEFFICIENT_CALC]]),3)</f>
        <v>0.2</v>
      </c>
      <c r="AD41" s="8" cm="1">
        <f t="array" ref="AD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39</v>
      </c>
      <c r="AE41" s="26">
        <v>0</v>
      </c>
      <c r="AF41" s="6">
        <v>0</v>
      </c>
      <c r="AG41" t="s">
        <v>231</v>
      </c>
      <c r="AH41" t="s">
        <v>229</v>
      </c>
      <c r="AI41" t="s">
        <v>229</v>
      </c>
      <c r="AJ41" s="2" t="s">
        <v>229</v>
      </c>
      <c r="AK41" s="2" t="s">
        <v>244</v>
      </c>
      <c r="AL41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1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1" s="2" t="str">
        <f>SUBSTITUTE(SUBSTITUTE(PROPERTIES[[#This Row],[PURCHASECOST_VALUE]], "PURCHASECOST_", ""), "_VALUE", "")</f>
        <v>DIESELRAILBUS</v>
      </c>
      <c r="AO41" s="44" t="b">
        <v>0</v>
      </c>
      <c r="AP41" s="48" t="b">
        <v>0</v>
      </c>
      <c r="AQ41" s="48" t="b">
        <v>0</v>
      </c>
      <c r="AR41" s="48">
        <v>0</v>
      </c>
      <c r="AS41" s="48" t="b">
        <v>0</v>
      </c>
      <c r="AT41" s="7" t="b">
        <v>0</v>
      </c>
      <c r="AU41" s="40" t="str" cm="1">
        <f t="array" ref="AU41">_xlfn.XLOOKUP(PROPERTIES[[#This Row],[VEHIDCODE]],GRAPHICS_PROPERTIES[VEHIDCODE],GRAPHICS_PROPERTIES[TEMPLATE_ID]&amp;GRAPHICS_PROPERTIES[TEMPLATE_AMENDMENT_CODE])</f>
        <v>TPL_01B</v>
      </c>
    </row>
    <row r="42" spans="1:47" x14ac:dyDescent="0.35">
      <c r="A42" s="2" t="s">
        <v>2687</v>
      </c>
      <c r="B42">
        <v>1954</v>
      </c>
      <c r="C42">
        <v>1984</v>
      </c>
      <c r="D42" cm="1">
        <f t="array" ref="D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" s="40" t="str">
        <f>_xlfn.XLOOKUP(PROPERTIES[[#This Row],[VEHIDCODE]],CONTROL[VEHIDCODE],CONTROL[ENGLISH])</f>
        <v>Ateliers Germain 42/43</v>
      </c>
      <c r="F42" t="s">
        <v>548</v>
      </c>
      <c r="G42" s="40" t="str">
        <f>_xlfn.XLOOKUP(PROPERTIES[[#This Row],[COUNTRY]],COUNTRIES[COUNTRY_DESCRIPTION],COUNTRIES[COUNTRY_LABEL],"")</f>
        <v>BE</v>
      </c>
      <c r="H42" t="str" cm="1">
        <f t="array" ref="H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2" t="s">
        <v>15</v>
      </c>
      <c r="J42">
        <v>99</v>
      </c>
      <c r="K42">
        <v>7</v>
      </c>
      <c r="L42">
        <v>0</v>
      </c>
      <c r="M42" t="str" cm="1">
        <f t="array" ref="M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2">
        <f>_xlfn.XLOOKUP("LOADINGSPEEDDEF_"&amp;PROPERTIES[[#This Row],[LOADINGSPEED]],LOADINGSPEEDDEF[TYPE],LOADINGSPEEDDEF[SPEED])</f>
        <v>60</v>
      </c>
      <c r="O42" cm="1">
        <f t="array" ref="O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">
        <f>IF(ISNUMBER(SEARCH("passenger",PROPERTIES[[#This Row],[CARGODEF]])),1,0)</f>
        <v>1</v>
      </c>
      <c r="Q42" s="23">
        <v>54</v>
      </c>
      <c r="R42">
        <v>400</v>
      </c>
      <c r="S42">
        <v>0</v>
      </c>
      <c r="T42">
        <v>0</v>
      </c>
      <c r="U42">
        <v>0</v>
      </c>
      <c r="V42">
        <v>90</v>
      </c>
      <c r="W42">
        <v>0</v>
      </c>
      <c r="X42">
        <v>0</v>
      </c>
      <c r="Y42">
        <v>0</v>
      </c>
      <c r="Z42" s="20">
        <v>0</v>
      </c>
      <c r="AA42" s="19">
        <f>IFERROR(PROPERTIES[[#This Row],[TE_STARTING_KN]]/(PROPERTIES[[#This Row],[WEIGHT]]*9.81),0)</f>
        <v>0</v>
      </c>
      <c r="AB42" s="19">
        <v>0.34</v>
      </c>
      <c r="AC42" s="16">
        <f>ROUND(IF(IFERROR(PROPERTIES[[#This Row],[TE_COEFFICIENT_CALC]],0)=0,PROPERTIES[[#This Row],[TE_COEFFICIENT_MANUAL]],PROPERTIES[[#This Row],[TE_COEFFICIENT_CALC]]),3)</f>
        <v>0.34</v>
      </c>
      <c r="AD42" s="8" cm="1">
        <f t="array" ref="AD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2" s="26">
        <v>0</v>
      </c>
      <c r="AF42" s="6">
        <v>0</v>
      </c>
      <c r="AG42" t="s">
        <v>230</v>
      </c>
      <c r="AH42" t="s">
        <v>229</v>
      </c>
      <c r="AI42" t="s">
        <v>229</v>
      </c>
      <c r="AJ42" s="2" t="s">
        <v>229</v>
      </c>
      <c r="AK42" s="2" t="s">
        <v>244</v>
      </c>
      <c r="AL42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2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2" s="2" t="str">
        <f>SUBSTITUTE(SUBSTITUTE(PROPERTIES[[#This Row],[PURCHASECOST_VALUE]], "PURCHASECOST_", ""), "_VALUE", "")</f>
        <v>DIESELRAILBUS</v>
      </c>
      <c r="AO42" s="44" t="b">
        <v>0</v>
      </c>
      <c r="AP42" s="48" t="b">
        <v>1</v>
      </c>
      <c r="AQ42" s="48" t="b">
        <v>0</v>
      </c>
      <c r="AR42" s="48">
        <v>0</v>
      </c>
      <c r="AS42" s="48" t="b">
        <v>0</v>
      </c>
      <c r="AT42" s="7" t="b">
        <v>0</v>
      </c>
      <c r="AU42" s="40" t="str" cm="1">
        <f t="array" ref="AU42">_xlfn.XLOOKUP(PROPERTIES[[#This Row],[VEHIDCODE]],GRAPHICS_PROPERTIES[VEHIDCODE],GRAPHICS_PROPERTIES[TEMPLATE_ID]&amp;GRAPHICS_PROPERTIES[TEMPLATE_AMENDMENT_CODE])</f>
        <v>TPL_01B</v>
      </c>
    </row>
    <row r="43" spans="1:47" x14ac:dyDescent="0.35">
      <c r="A43" s="2" t="s">
        <v>2688</v>
      </c>
      <c r="B43">
        <v>1960</v>
      </c>
      <c r="D43" cm="1">
        <f t="array" ref="D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" s="40" t="str">
        <f>_xlfn.XLOOKUP(PROPERTIES[[#This Row],[VEHIDCODE]],CONTROL[VEHIDCODE],CONTROL[ENGLISH])</f>
        <v>SGP 77783/1960</v>
      </c>
      <c r="F43" t="s">
        <v>550</v>
      </c>
      <c r="G43" s="40" t="str">
        <f>_xlfn.XLOOKUP(PROPERTIES[[#This Row],[COUNTRY]],COUNTRIES[COUNTRY_DESCRIPTION],COUNTRIES[COUNTRY_LABEL],"")</f>
        <v>BG</v>
      </c>
      <c r="H43" t="str" cm="1">
        <f t="array" ref="H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3" t="s">
        <v>15</v>
      </c>
      <c r="J43">
        <v>37</v>
      </c>
      <c r="K43">
        <v>8</v>
      </c>
      <c r="L43">
        <v>0</v>
      </c>
      <c r="M43" t="str" cm="1">
        <f t="array" ref="M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3">
        <f>_xlfn.XLOOKUP("LOADINGSPEEDDEF_"&amp;PROPERTIES[[#This Row],[LOADINGSPEED]],LOADINGSPEEDDEF[TYPE],LOADINGSPEEDDEF[SPEED])</f>
        <v>60</v>
      </c>
      <c r="O43" cm="1">
        <f t="array" ref="O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">
        <f>IF(ISNUMBER(SEARCH("passenger",PROPERTIES[[#This Row],[CARGODEF]])),1,0)</f>
        <v>1</v>
      </c>
      <c r="Q43" s="23">
        <v>53</v>
      </c>
      <c r="R43">
        <f>2*265</f>
        <v>530</v>
      </c>
      <c r="S43">
        <v>0</v>
      </c>
      <c r="T43">
        <v>0</v>
      </c>
      <c r="U43">
        <v>0</v>
      </c>
      <c r="V43">
        <v>125</v>
      </c>
      <c r="W43">
        <v>0</v>
      </c>
      <c r="X43">
        <v>0</v>
      </c>
      <c r="Y43">
        <v>0</v>
      </c>
      <c r="Z43" s="20">
        <v>0</v>
      </c>
      <c r="AA43" s="19">
        <f>IFERROR(PROPERTIES[[#This Row],[TE_STARTING_KN]]/(PROPERTIES[[#This Row],[WEIGHT]]*9.81),0)</f>
        <v>0</v>
      </c>
      <c r="AB43" s="19">
        <v>0.2</v>
      </c>
      <c r="AC43" s="16">
        <f>ROUND(IF(IFERROR(PROPERTIES[[#This Row],[TE_COEFFICIENT_CALC]],0)=0,PROPERTIES[[#This Row],[TE_COEFFICIENT_MANUAL]],PROPERTIES[[#This Row],[TE_COEFFICIENT_CALC]]),3)</f>
        <v>0.2</v>
      </c>
      <c r="AD43" s="8" cm="1">
        <f t="array" ref="AD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" s="26">
        <v>0</v>
      </c>
      <c r="AF43" s="6">
        <v>0</v>
      </c>
      <c r="AG43" t="s">
        <v>236</v>
      </c>
      <c r="AH43" t="s">
        <v>229</v>
      </c>
      <c r="AI43" t="s">
        <v>229</v>
      </c>
      <c r="AJ43" s="2" t="s">
        <v>229</v>
      </c>
      <c r="AK43" s="2" t="s">
        <v>244</v>
      </c>
      <c r="AL43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3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3" s="2" t="str">
        <f>SUBSTITUTE(SUBSTITUTE(PROPERTIES[[#This Row],[PURCHASECOST_VALUE]], "PURCHASECOST_", ""), "_VALUE", "")</f>
        <v>DIESELRAILBUS</v>
      </c>
      <c r="AO43" s="44" t="b">
        <v>0</v>
      </c>
      <c r="AP43" s="48" t="b">
        <v>1</v>
      </c>
      <c r="AQ43" s="48" t="b">
        <v>0</v>
      </c>
      <c r="AR43" s="48">
        <v>0</v>
      </c>
      <c r="AS43" s="48" t="b">
        <v>0</v>
      </c>
      <c r="AT43" s="7" t="b">
        <v>0</v>
      </c>
      <c r="AU43" s="40" t="str" cm="1">
        <f t="array" ref="AU43">_xlfn.XLOOKUP(PROPERTIES[[#This Row],[VEHIDCODE]],GRAPHICS_PROPERTIES[VEHIDCODE],GRAPHICS_PROPERTIES[TEMPLATE_ID]&amp;GRAPHICS_PROPERTIES[TEMPLATE_AMENDMENT_CODE])</f>
        <v>TPL_01B</v>
      </c>
    </row>
    <row r="44" spans="1:47" x14ac:dyDescent="0.35">
      <c r="A44" s="2" t="s">
        <v>2689</v>
      </c>
      <c r="B44">
        <v>1962</v>
      </c>
      <c r="D44" cm="1">
        <f t="array" ref="D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" s="40" t="str">
        <f>_xlfn.XLOOKUP(PROPERTIES[[#This Row],[VEHIDCODE]],CONTROL[VEHIDCODE],CONTROL[ENGLISH])</f>
        <v>Ferrostaal-Esslingen AA.71</v>
      </c>
      <c r="F44" t="s">
        <v>615</v>
      </c>
      <c r="G44" s="40" t="str">
        <f>_xlfn.XLOOKUP(PROPERTIES[[#This Row],[COUNTRY]],COUNTRIES[COUNTRY_DESCRIPTION],COUNTRIES[COUNTRY_LABEL],"")</f>
        <v>GR</v>
      </c>
      <c r="H44" t="str" cm="1">
        <f t="array" ref="H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4" t="s">
        <v>15</v>
      </c>
      <c r="J44">
        <v>68</v>
      </c>
      <c r="K44">
        <v>8</v>
      </c>
      <c r="L44">
        <v>0</v>
      </c>
      <c r="M44" t="str" cm="1">
        <f t="array" ref="M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4">
        <f>_xlfn.XLOOKUP("LOADINGSPEEDDEF_"&amp;PROPERTIES[[#This Row],[LOADINGSPEED]],LOADINGSPEEDDEF[TYPE],LOADINGSPEEDDEF[SPEED])</f>
        <v>60</v>
      </c>
      <c r="O44" cm="1">
        <f t="array" ref="O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4">
        <f>IF(ISNUMBER(SEARCH("passenger",PROPERTIES[[#This Row],[CARGODEF]])),1,0)</f>
        <v>1</v>
      </c>
      <c r="Q44" s="23">
        <v>48</v>
      </c>
      <c r="R44">
        <v>790</v>
      </c>
      <c r="S44">
        <v>0</v>
      </c>
      <c r="T44">
        <v>0</v>
      </c>
      <c r="U44">
        <v>0</v>
      </c>
      <c r="V44">
        <v>105</v>
      </c>
      <c r="W44">
        <v>0</v>
      </c>
      <c r="X44">
        <v>0</v>
      </c>
      <c r="Y44">
        <v>0</v>
      </c>
      <c r="Z44" s="20">
        <v>0</v>
      </c>
      <c r="AA44" s="19">
        <f>IFERROR(PROPERTIES[[#This Row],[TE_STARTING_KN]]/(PROPERTIES[[#This Row],[WEIGHT]]*9.81),0)</f>
        <v>0</v>
      </c>
      <c r="AB44" s="19">
        <v>0.19</v>
      </c>
      <c r="AC44" s="16">
        <f>ROUND(IF(IFERROR(PROPERTIES[[#This Row],[TE_COEFFICIENT_CALC]],0)=0,PROPERTIES[[#This Row],[TE_COEFFICIENT_MANUAL]],PROPERTIES[[#This Row],[TE_COEFFICIENT_CALC]]),3)</f>
        <v>0.19</v>
      </c>
      <c r="AD44" s="8" cm="1">
        <f t="array" ref="AD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" s="26">
        <v>0</v>
      </c>
      <c r="AF44" s="6">
        <v>0</v>
      </c>
      <c r="AG44" t="s">
        <v>231</v>
      </c>
      <c r="AH44" t="s">
        <v>229</v>
      </c>
      <c r="AI44" t="s">
        <v>229</v>
      </c>
      <c r="AJ44" s="2" t="s">
        <v>229</v>
      </c>
      <c r="AK44" s="2" t="s">
        <v>244</v>
      </c>
      <c r="AL44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4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4" s="2" t="str">
        <f>SUBSTITUTE(SUBSTITUTE(PROPERTIES[[#This Row],[PURCHASECOST_VALUE]], "PURCHASECOST_", ""), "_VALUE", "")</f>
        <v>DIESELRAILBUS</v>
      </c>
      <c r="AO44" s="44" t="b">
        <v>0</v>
      </c>
      <c r="AP44" s="48" t="b">
        <v>1</v>
      </c>
      <c r="AQ44" s="48" t="b">
        <v>0</v>
      </c>
      <c r="AR44" s="48">
        <v>0</v>
      </c>
      <c r="AS44" s="48" t="b">
        <v>0</v>
      </c>
      <c r="AT44" s="7" t="b">
        <v>0</v>
      </c>
      <c r="AU44" s="40" t="str" cm="1">
        <f t="array" ref="AU44">_xlfn.XLOOKUP(PROPERTIES[[#This Row],[VEHIDCODE]],GRAPHICS_PROPERTIES[VEHIDCODE],GRAPHICS_PROPERTIES[TEMPLATE_ID]&amp;GRAPHICS_PROPERTIES[TEMPLATE_AMENDMENT_CODE])</f>
        <v>TPL_01B</v>
      </c>
    </row>
    <row r="45" spans="1:47" x14ac:dyDescent="0.35">
      <c r="A45" s="2" t="s">
        <v>2690</v>
      </c>
      <c r="B45">
        <v>1975</v>
      </c>
      <c r="D45" cm="1">
        <f t="array" ref="D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5" s="40" t="str">
        <f>_xlfn.XLOOKUP(PROPERTIES[[#This Row],[VEHIDCODE]],CONTROL[VEHIDCODE],CONTROL[ENGLISH])</f>
        <v>Alsthom Z-431</v>
      </c>
      <c r="F45" t="s">
        <v>748</v>
      </c>
      <c r="G45" s="40" t="str">
        <f>_xlfn.XLOOKUP(PROPERTIES[[#This Row],[COUNTRY]],COUNTRIES[COUNTRY_DESCRIPTION],COUNTRIES[COUNTRY_LABEL],"")</f>
        <v>TN</v>
      </c>
      <c r="H45" t="str" cm="1">
        <f t="array" ref="H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" t="s">
        <v>15</v>
      </c>
      <c r="J45">
        <v>54</v>
      </c>
      <c r="K45">
        <v>8</v>
      </c>
      <c r="L45">
        <v>0</v>
      </c>
      <c r="M45" t="str" cm="1">
        <f t="array" ref="M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">
        <f>_xlfn.XLOOKUP("LOADINGSPEEDDEF_"&amp;PROPERTIES[[#This Row],[LOADINGSPEED]],LOADINGSPEEDDEF[TYPE],LOADINGSPEEDDEF[SPEED])</f>
        <v>60</v>
      </c>
      <c r="O45" cm="1">
        <f t="array" ref="O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">
        <f>IF(ISNUMBER(SEARCH("passenger",PROPERTIES[[#This Row],[CARGODEF]])),1,0)</f>
        <v>1</v>
      </c>
      <c r="Q45" s="23">
        <v>60</v>
      </c>
      <c r="R45">
        <v>1045</v>
      </c>
      <c r="S45">
        <v>0</v>
      </c>
      <c r="T45">
        <v>0</v>
      </c>
      <c r="U45">
        <v>0</v>
      </c>
      <c r="V45">
        <v>130</v>
      </c>
      <c r="W45">
        <v>0</v>
      </c>
      <c r="X45">
        <v>0</v>
      </c>
      <c r="Y45">
        <v>0</v>
      </c>
      <c r="Z45" s="20">
        <v>0</v>
      </c>
      <c r="AA45" s="19">
        <f>IFERROR(PROPERTIES[[#This Row],[TE_STARTING_KN]]/(PROPERTIES[[#This Row],[WEIGHT]]*9.81),0)</f>
        <v>0</v>
      </c>
      <c r="AB45" s="19">
        <v>0.38</v>
      </c>
      <c r="AC45" s="16">
        <f>ROUND(IF(IFERROR(PROPERTIES[[#This Row],[TE_COEFFICIENT_CALC]],0)=0,PROPERTIES[[#This Row],[TE_COEFFICIENT_MANUAL]],PROPERTIES[[#This Row],[TE_COEFFICIENT_CALC]]),3)</f>
        <v>0.38</v>
      </c>
      <c r="AD45" s="8" cm="1">
        <f t="array" ref="AD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" s="26">
        <v>0</v>
      </c>
      <c r="AF45" s="6">
        <v>0</v>
      </c>
      <c r="AG45" t="s">
        <v>233</v>
      </c>
      <c r="AH45" t="s">
        <v>229</v>
      </c>
      <c r="AI45" t="s">
        <v>229</v>
      </c>
      <c r="AJ45" s="2" t="s">
        <v>229</v>
      </c>
      <c r="AK45" s="2" t="s">
        <v>244</v>
      </c>
      <c r="AL45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5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5" s="2" t="str">
        <f>SUBSTITUTE(SUBSTITUTE(PROPERTIES[[#This Row],[PURCHASECOST_VALUE]], "PURCHASECOST_", ""), "_VALUE", "")</f>
        <v>DIESELRAILBUS</v>
      </c>
      <c r="AO45" s="44" t="b">
        <v>0</v>
      </c>
      <c r="AP45" s="48" t="b">
        <v>1</v>
      </c>
      <c r="AQ45" s="48" t="b">
        <v>0</v>
      </c>
      <c r="AR45" s="48">
        <v>0</v>
      </c>
      <c r="AS45" s="48" t="b">
        <v>0</v>
      </c>
      <c r="AT45" s="7" t="b">
        <v>0</v>
      </c>
      <c r="AU45" s="40" t="str" cm="1">
        <f t="array" ref="AU45">_xlfn.XLOOKUP(PROPERTIES[[#This Row],[VEHIDCODE]],GRAPHICS_PROPERTIES[VEHIDCODE],GRAPHICS_PROPERTIES[TEMPLATE_ID]&amp;GRAPHICS_PROPERTIES[TEMPLATE_AMENDMENT_CODE])</f>
        <v>TPL_01B</v>
      </c>
    </row>
    <row r="46" spans="1:47" x14ac:dyDescent="0.35">
      <c r="A46" s="2" t="s">
        <v>2691</v>
      </c>
      <c r="B46">
        <v>1979</v>
      </c>
      <c r="C46">
        <v>2000</v>
      </c>
      <c r="D46" cm="1">
        <f t="array" ref="D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6" s="40" t="str">
        <f>_xlfn.XLOOKUP(PROPERTIES[[#This Row],[VEHIDCODE]],CONTROL[VEHIDCODE],CONTROL[ENGLISH])</f>
        <v>Budd SPV-2000</v>
      </c>
      <c r="F46" t="s">
        <v>757</v>
      </c>
      <c r="G46" s="40" t="str">
        <f>_xlfn.XLOOKUP(PROPERTIES[[#This Row],[COUNTRY]],COUNTRIES[COUNTRY_DESCRIPTION],COUNTRIES[COUNTRY_LABEL],"")</f>
        <v>US</v>
      </c>
      <c r="H46" t="str" cm="1">
        <f t="array" ref="H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" t="s">
        <v>15</v>
      </c>
      <c r="J46">
        <v>86</v>
      </c>
      <c r="K46">
        <v>8</v>
      </c>
      <c r="L46">
        <v>0</v>
      </c>
      <c r="M46" t="str" cm="1">
        <f t="array" ref="M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">
        <f>_xlfn.XLOOKUP("LOADINGSPEEDDEF_"&amp;PROPERTIES[[#This Row],[LOADINGSPEED]],LOADINGSPEEDDEF[TYPE],LOADINGSPEEDDEF[SPEED])</f>
        <v>60</v>
      </c>
      <c r="O46" cm="1">
        <f t="array" ref="O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6">
        <f>IF(ISNUMBER(SEARCH("passenger",PROPERTIES[[#This Row],[CARGODEF]])),1,0)</f>
        <v>1</v>
      </c>
      <c r="Q46" s="23">
        <v>58</v>
      </c>
      <c r="R46">
        <v>360</v>
      </c>
      <c r="S46">
        <v>0</v>
      </c>
      <c r="T46">
        <v>0</v>
      </c>
      <c r="U46">
        <v>0</v>
      </c>
      <c r="V46">
        <v>130</v>
      </c>
      <c r="W46">
        <v>0</v>
      </c>
      <c r="X46">
        <v>0</v>
      </c>
      <c r="Y46">
        <v>0</v>
      </c>
      <c r="Z46" s="20">
        <v>0</v>
      </c>
      <c r="AA46" s="19">
        <f>IFERROR(PROPERTIES[[#This Row],[TE_STARTING_KN]]/(PROPERTIES[[#This Row],[WEIGHT]]*9.81),0)</f>
        <v>0</v>
      </c>
      <c r="AB46" s="19">
        <v>0.26</v>
      </c>
      <c r="AC46" s="16">
        <f>ROUND(IF(IFERROR(PROPERTIES[[#This Row],[TE_COEFFICIENT_CALC]],0)=0,PROPERTIES[[#This Row],[TE_COEFFICIENT_MANUAL]],PROPERTIES[[#This Row],[TE_COEFFICIENT_CALC]]),3)</f>
        <v>0.26</v>
      </c>
      <c r="AD46" s="8" cm="1">
        <f t="array" ref="AD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" s="26">
        <v>0</v>
      </c>
      <c r="AF46" s="6">
        <v>0</v>
      </c>
      <c r="AG46" t="s">
        <v>235</v>
      </c>
      <c r="AH46" t="s">
        <v>233</v>
      </c>
      <c r="AI46" t="s">
        <v>229</v>
      </c>
      <c r="AJ46" s="2" t="s">
        <v>229</v>
      </c>
      <c r="AK46" s="2" t="s">
        <v>244</v>
      </c>
      <c r="AL46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6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6" s="2" t="str">
        <f>SUBSTITUTE(SUBSTITUTE(PROPERTIES[[#This Row],[PURCHASECOST_VALUE]], "PURCHASECOST_", ""), "_VALUE", "")</f>
        <v>DIESELRAILBUS</v>
      </c>
      <c r="AO46" s="44" t="b">
        <v>0</v>
      </c>
      <c r="AP46" s="48" t="b">
        <v>1</v>
      </c>
      <c r="AQ46" s="48" t="b">
        <v>0</v>
      </c>
      <c r="AR46" s="48">
        <v>0</v>
      </c>
      <c r="AS46" s="48" t="b">
        <v>0</v>
      </c>
      <c r="AT46" s="7" t="b">
        <v>0</v>
      </c>
      <c r="AU46" s="40" t="str" cm="1">
        <f t="array" ref="AU46">_xlfn.XLOOKUP(PROPERTIES[[#This Row],[VEHIDCODE]],GRAPHICS_PROPERTIES[VEHIDCODE],GRAPHICS_PROPERTIES[TEMPLATE_ID]&amp;GRAPHICS_PROPERTIES[TEMPLATE_AMENDMENT_CODE])</f>
        <v>TPL_01B</v>
      </c>
    </row>
    <row r="47" spans="1:47" x14ac:dyDescent="0.35">
      <c r="A47" s="2" t="s">
        <v>2692</v>
      </c>
      <c r="B47">
        <v>2005</v>
      </c>
      <c r="D47" cm="1">
        <f t="array" ref="D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7" s="40" t="str">
        <f>_xlfn.XLOOKUP(PROPERTIES[[#This Row],[VEHIDCODE]],CONTROL[VEHIDCODE],CONTROL[ENGLISH])</f>
        <v>CKD Vagonka Dm12</v>
      </c>
      <c r="F47" t="s">
        <v>597</v>
      </c>
      <c r="G47" s="40" t="str">
        <f>_xlfn.XLOOKUP(PROPERTIES[[#This Row],[COUNTRY]],COUNTRIES[COUNTRY_DESCRIPTION],COUNTRIES[COUNTRY_LABEL],"")</f>
        <v>FI</v>
      </c>
      <c r="H47" t="str" cm="1">
        <f t="array" ref="H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" t="s">
        <v>15</v>
      </c>
      <c r="J47">
        <v>63</v>
      </c>
      <c r="K47">
        <v>8</v>
      </c>
      <c r="L47">
        <v>0</v>
      </c>
      <c r="M47" t="str" cm="1">
        <f t="array" ref="M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">
        <f>_xlfn.XLOOKUP("LOADINGSPEEDDEF_"&amp;PROPERTIES[[#This Row],[LOADINGSPEED]],LOADINGSPEEDDEF[TYPE],LOADINGSPEEDDEF[SPEED])</f>
        <v>60</v>
      </c>
      <c r="O47" t="str" cm="1">
        <f t="array" ref="O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">
        <f>IF(ISNUMBER(SEARCH("passenger",PROPERTIES[[#This Row],[CARGODEF]])),1,0)</f>
        <v>1</v>
      </c>
      <c r="Q47" s="23">
        <v>48</v>
      </c>
      <c r="R47">
        <v>404</v>
      </c>
      <c r="S47">
        <v>0</v>
      </c>
      <c r="T47">
        <v>0</v>
      </c>
      <c r="U47">
        <v>0</v>
      </c>
      <c r="V47">
        <v>120</v>
      </c>
      <c r="W47">
        <v>0</v>
      </c>
      <c r="X47">
        <v>0</v>
      </c>
      <c r="Y47">
        <v>0</v>
      </c>
      <c r="Z47" s="20">
        <v>0</v>
      </c>
      <c r="AA47" s="19">
        <f>IFERROR(PROPERTIES[[#This Row],[TE_STARTING_KN]]/(PROPERTIES[[#This Row],[WEIGHT]]*9.81),0)</f>
        <v>0</v>
      </c>
      <c r="AB47" s="19">
        <v>0.35</v>
      </c>
      <c r="AC47" s="16">
        <f>ROUND(IF(IFERROR(PROPERTIES[[#This Row],[TE_COEFFICIENT_CALC]],0)=0,PROPERTIES[[#This Row],[TE_COEFFICIENT_MANUAL]],PROPERTIES[[#This Row],[TE_COEFFICIENT_CALC]]),3)</f>
        <v>0.35</v>
      </c>
      <c r="AD47" s="8" cm="1">
        <f t="array" ref="AD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" s="26">
        <v>0</v>
      </c>
      <c r="AF47" s="6">
        <v>0</v>
      </c>
      <c r="AG47" t="s">
        <v>234</v>
      </c>
      <c r="AH47" t="s">
        <v>229</v>
      </c>
      <c r="AI47" t="s">
        <v>229</v>
      </c>
      <c r="AJ47" s="2" t="s">
        <v>229</v>
      </c>
      <c r="AK47" s="2" t="s">
        <v>244</v>
      </c>
      <c r="AL47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7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7" s="2" t="str">
        <f>SUBSTITUTE(SUBSTITUTE(PROPERTIES[[#This Row],[PURCHASECOST_VALUE]], "PURCHASECOST_", ""), "_VALUE", "")</f>
        <v>DIESELRAILBUS</v>
      </c>
      <c r="AO47" s="44" t="b">
        <v>0</v>
      </c>
      <c r="AP47" s="48" t="b">
        <v>1</v>
      </c>
      <c r="AQ47" s="48" t="b">
        <v>0</v>
      </c>
      <c r="AR47" s="48">
        <v>0</v>
      </c>
      <c r="AS47" s="48" t="b">
        <v>0</v>
      </c>
      <c r="AT47" s="7" t="b">
        <v>0</v>
      </c>
      <c r="AU47" s="40" t="str" cm="1">
        <f t="array" ref="AU47">_xlfn.XLOOKUP(PROPERTIES[[#This Row],[VEHIDCODE]],GRAPHICS_PROPERTIES[VEHIDCODE],GRAPHICS_PROPERTIES[TEMPLATE_ID]&amp;GRAPHICS_PROPERTIES[TEMPLATE_AMENDMENT_CODE])</f>
        <v>TPL_01B</v>
      </c>
    </row>
    <row r="48" spans="1:47" x14ac:dyDescent="0.35">
      <c r="A48" s="2" t="s">
        <v>3454</v>
      </c>
      <c r="B48">
        <v>2011</v>
      </c>
      <c r="D48" cm="1">
        <f t="array" ref="D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8" s="40" t="str">
        <f>_xlfn.XLOOKUP(PROPERTIES[[#This Row],[VEHIDCODE]],CONTROL[VEHIDCODE],CONTROL[ENGLISH])</f>
        <v>Stadler Regio-Shuttle RS1</v>
      </c>
      <c r="F48" t="s">
        <v>583</v>
      </c>
      <c r="G48" s="40" t="str">
        <f>_xlfn.XLOOKUP(PROPERTIES[[#This Row],[COUNTRY]],COUNTRIES[COUNTRY_DESCRIPTION],COUNTRIES[COUNTRY_LABEL],"")</f>
        <v>CZ</v>
      </c>
      <c r="H48" t="str" cm="1">
        <f t="array" ref="H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" t="s">
        <v>15</v>
      </c>
      <c r="J48">
        <v>140</v>
      </c>
      <c r="K48">
        <v>8</v>
      </c>
      <c r="L48">
        <v>0</v>
      </c>
      <c r="M48" t="str" cm="1">
        <f t="array" ref="M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">
        <f>_xlfn.XLOOKUP("LOADINGSPEEDDEF_"&amp;PROPERTIES[[#This Row],[LOADINGSPEED]],LOADINGSPEEDDEF[TYPE],LOADINGSPEEDDEF[SPEED])</f>
        <v>60</v>
      </c>
      <c r="O48" t="str" cm="1">
        <f t="array" ref="O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">
        <f>IF(ISNUMBER(SEARCH("passenger",PROPERTIES[[#This Row],[CARGODEF]])),1,0)</f>
        <v>1</v>
      </c>
      <c r="Q48" s="23">
        <v>40</v>
      </c>
      <c r="R48">
        <v>710</v>
      </c>
      <c r="S48">
        <v>0</v>
      </c>
      <c r="T48">
        <v>0</v>
      </c>
      <c r="U48">
        <v>0</v>
      </c>
      <c r="V48">
        <v>120</v>
      </c>
      <c r="W48">
        <v>0</v>
      </c>
      <c r="X48">
        <v>0</v>
      </c>
      <c r="Y48">
        <v>0</v>
      </c>
      <c r="Z48" s="20">
        <v>100</v>
      </c>
      <c r="AA48" s="19">
        <f>IFERROR(PROPERTIES[[#This Row],[TE_STARTING_KN]]/(PROPERTIES[[#This Row],[WEIGHT]]*9.81),0)</f>
        <v>0.254841997961264</v>
      </c>
      <c r="AB48" s="19">
        <v>0</v>
      </c>
      <c r="AC48" s="16">
        <f>ROUND(IF(IFERROR(PROPERTIES[[#This Row],[TE_COEFFICIENT_CALC]],0)=0,PROPERTIES[[#This Row],[TE_COEFFICIENT_MANUAL]],PROPERTIES[[#This Row],[TE_COEFFICIENT_CALC]]),3)</f>
        <v>0.255</v>
      </c>
      <c r="AD48" s="8" cm="1">
        <f t="array" ref="AD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8" s="26">
        <v>0</v>
      </c>
      <c r="AF48" s="6">
        <v>0</v>
      </c>
      <c r="AG48" t="s">
        <v>236</v>
      </c>
      <c r="AH48" t="s">
        <v>229</v>
      </c>
      <c r="AI48" t="s">
        <v>229</v>
      </c>
      <c r="AJ48" s="2" t="s">
        <v>229</v>
      </c>
      <c r="AK48" s="2" t="s">
        <v>244</v>
      </c>
      <c r="AL4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8" s="2" t="str">
        <f>SUBSTITUTE(SUBSTITUTE(PROPERTIES[[#This Row],[PURCHASECOST_VALUE]], "PURCHASECOST_", ""), "_VALUE", "")</f>
        <v>DIESELRAILBUS</v>
      </c>
      <c r="AO48" s="44" t="b">
        <v>0</v>
      </c>
      <c r="AP48" s="48" t="b">
        <v>1</v>
      </c>
      <c r="AQ48" s="48" t="b">
        <v>0</v>
      </c>
      <c r="AR48" s="48">
        <v>0</v>
      </c>
      <c r="AS48" s="48" t="b">
        <v>0</v>
      </c>
      <c r="AT48" s="7" t="b">
        <v>0</v>
      </c>
      <c r="AU48" s="40" t="str" cm="1">
        <f t="array" ref="AU48">_xlfn.XLOOKUP(PROPERTIES[[#This Row],[VEHIDCODE]],GRAPHICS_PROPERTIES[VEHIDCODE],GRAPHICS_PROPERTIES[TEMPLATE_ID]&amp;GRAPHICS_PROPERTIES[TEMPLATE_AMENDMENT_CODE])</f>
        <v>TPL_01B</v>
      </c>
    </row>
    <row r="49" spans="1:47" x14ac:dyDescent="0.35">
      <c r="A49" s="2" t="s">
        <v>2693</v>
      </c>
      <c r="B49">
        <v>1956</v>
      </c>
      <c r="D49" cm="1">
        <f t="array" ref="D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9" s="40" t="str">
        <f>_xlfn.XLOOKUP(PROPERTIES[[#This Row],[VEHIDCODE]],CONTROL[VEHIDCODE],CONTROL[ENGLISH])</f>
        <v>Fiat Ferroviaria ALn 668.1400</v>
      </c>
      <c r="F49" t="s">
        <v>636</v>
      </c>
      <c r="G49" s="40" t="str">
        <f>_xlfn.XLOOKUP(PROPERTIES[[#This Row],[COUNTRY]],COUNTRIES[COUNTRY_DESCRIPTION],COUNTRIES[COUNTRY_LABEL],"")</f>
        <v>IT</v>
      </c>
      <c r="H49" t="str" cm="1">
        <f t="array" ref="H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" t="s">
        <v>15</v>
      </c>
      <c r="J49">
        <v>68</v>
      </c>
      <c r="K49">
        <v>8</v>
      </c>
      <c r="L49">
        <v>0</v>
      </c>
      <c r="M49" t="str" cm="1">
        <f t="array" ref="M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">
        <f>_xlfn.XLOOKUP("LOADINGSPEEDDEF_"&amp;PROPERTIES[[#This Row],[LOADINGSPEED]],LOADINGSPEEDDEF[TYPE],LOADINGSPEEDDEF[SPEED])</f>
        <v>60</v>
      </c>
      <c r="O49" cm="1">
        <f t="array" ref="O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9">
        <f>IF(ISNUMBER(SEARCH("passenger",PROPERTIES[[#This Row],[CARGODEF]])),1,0)</f>
        <v>1</v>
      </c>
      <c r="Q49" s="23">
        <v>36</v>
      </c>
      <c r="R49">
        <v>335</v>
      </c>
      <c r="S49">
        <v>0</v>
      </c>
      <c r="T49">
        <v>0</v>
      </c>
      <c r="U49">
        <v>0</v>
      </c>
      <c r="V49">
        <v>130</v>
      </c>
      <c r="W49">
        <v>0</v>
      </c>
      <c r="X49">
        <v>0</v>
      </c>
      <c r="Y49">
        <v>0</v>
      </c>
      <c r="Z49" s="20">
        <v>0</v>
      </c>
      <c r="AA49" s="19">
        <f>IFERROR(PROPERTIES[[#This Row],[TE_STARTING_KN]]/(PROPERTIES[[#This Row],[WEIGHT]]*9.81),0)</f>
        <v>0</v>
      </c>
      <c r="AB49" s="19">
        <v>0.23</v>
      </c>
      <c r="AC49" s="16">
        <f>ROUND(IF(IFERROR(PROPERTIES[[#This Row],[TE_COEFFICIENT_CALC]],0)=0,PROPERTIES[[#This Row],[TE_COEFFICIENT_MANUAL]],PROPERTIES[[#This Row],[TE_COEFFICIENT_CALC]]),3)</f>
        <v>0.23</v>
      </c>
      <c r="AD49" s="8" cm="1">
        <f t="array" ref="AD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9" s="26">
        <v>0</v>
      </c>
      <c r="AF49" s="6">
        <v>0</v>
      </c>
      <c r="AG49" t="s">
        <v>231</v>
      </c>
      <c r="AH49" t="s">
        <v>229</v>
      </c>
      <c r="AI49" t="s">
        <v>229</v>
      </c>
      <c r="AJ49" s="2" t="s">
        <v>229</v>
      </c>
      <c r="AK49" s="2" t="s">
        <v>244</v>
      </c>
      <c r="AL4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9" s="2" t="str">
        <f>SUBSTITUTE(SUBSTITUTE(PROPERTIES[[#This Row],[PURCHASECOST_VALUE]], "PURCHASECOST_", ""), "_VALUE", "")</f>
        <v>DIESELRAILBUS</v>
      </c>
      <c r="AO49" s="44" t="b">
        <v>0</v>
      </c>
      <c r="AP49" s="48" t="b">
        <v>1</v>
      </c>
      <c r="AQ49" s="48" t="b">
        <v>0</v>
      </c>
      <c r="AR49" s="48">
        <v>0</v>
      </c>
      <c r="AS49" s="48" t="b">
        <v>0</v>
      </c>
      <c r="AT49" s="7" t="b">
        <v>0</v>
      </c>
      <c r="AU49" s="40" t="str" cm="1">
        <f t="array" ref="AU49">_xlfn.XLOOKUP(PROPERTIES[[#This Row],[VEHIDCODE]],GRAPHICS_PROPERTIES[VEHIDCODE],GRAPHICS_PROPERTIES[TEMPLATE_ID]&amp;GRAPHICS_PROPERTIES[TEMPLATE_AMENDMENT_CODE])</f>
        <v>TPL_01B</v>
      </c>
    </row>
    <row r="50" spans="1:47" x14ac:dyDescent="0.35">
      <c r="A50" s="2" t="s">
        <v>2694</v>
      </c>
      <c r="B50">
        <v>1903</v>
      </c>
      <c r="C50">
        <v>1937</v>
      </c>
      <c r="D50" cm="1">
        <f t="array" ref="D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0" s="40" t="str">
        <f>_xlfn.XLOOKUP(PROPERTIES[[#This Row],[VEHIDCODE]],CONTROL[VEHIDCODE],CONTROL[ENGLISH])</f>
        <v>Ringhoffer 40.001</v>
      </c>
      <c r="F50" t="s">
        <v>583</v>
      </c>
      <c r="G50" s="40" t="str">
        <f>_xlfn.XLOOKUP(PROPERTIES[[#This Row],[COUNTRY]],COUNTRIES[COUNTRY_DESCRIPTION],COUNTRIES[COUNTRY_LABEL],"")</f>
        <v>CZ</v>
      </c>
      <c r="H50" t="str" cm="1">
        <f t="array" ref="H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0" t="s">
        <v>15</v>
      </c>
      <c r="J50">
        <v>40</v>
      </c>
      <c r="K50">
        <v>7</v>
      </c>
      <c r="L50">
        <v>0</v>
      </c>
      <c r="M50" t="str" cm="1">
        <f t="array" ref="M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">
        <f>_xlfn.XLOOKUP("LOADINGSPEEDDEF_"&amp;PROPERTIES[[#This Row],[LOADINGSPEED]],LOADINGSPEEDDEF[TYPE],LOADINGSPEEDDEF[SPEED])</f>
        <v>60</v>
      </c>
      <c r="O50" cm="1">
        <f t="array" ref="O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">
        <f>IF(ISNUMBER(SEARCH("passenger",PROPERTIES[[#This Row],[CARGODEF]])),1,0)</f>
        <v>1</v>
      </c>
      <c r="Q50" s="23">
        <v>23</v>
      </c>
      <c r="R50">
        <v>150</v>
      </c>
      <c r="S50">
        <v>0</v>
      </c>
      <c r="T50">
        <v>0</v>
      </c>
      <c r="U50">
        <v>0</v>
      </c>
      <c r="V50">
        <v>35</v>
      </c>
      <c r="W50">
        <v>0</v>
      </c>
      <c r="X50">
        <v>0</v>
      </c>
      <c r="Y50">
        <v>0</v>
      </c>
      <c r="Z50" s="20">
        <v>0</v>
      </c>
      <c r="AA50" s="19">
        <f>IFERROR(PROPERTIES[[#This Row],[TE_STARTING_KN]]/(PROPERTIES[[#This Row],[WEIGHT]]*9.81),0)</f>
        <v>0</v>
      </c>
      <c r="AB50" s="19">
        <v>0.33</v>
      </c>
      <c r="AC50" s="16">
        <f>ROUND(IF(IFERROR(PROPERTIES[[#This Row],[TE_COEFFICIENT_CALC]],0)=0,PROPERTIES[[#This Row],[TE_COEFFICIENT_MANUAL]],PROPERTIES[[#This Row],[TE_COEFFICIENT_CALC]]),3)</f>
        <v>0.33</v>
      </c>
      <c r="AD50" s="8" cm="1">
        <f t="array" ref="AD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50" s="26">
        <v>0</v>
      </c>
      <c r="AF50" s="6">
        <v>0</v>
      </c>
      <c r="AG50" t="s">
        <v>236</v>
      </c>
      <c r="AH50" t="s">
        <v>229</v>
      </c>
      <c r="AI50" t="s">
        <v>229</v>
      </c>
      <c r="AJ50" s="2" t="s">
        <v>229</v>
      </c>
      <c r="AK50" s="2" t="s">
        <v>244</v>
      </c>
      <c r="AL50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0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0" s="2" t="str">
        <f>SUBSTITUTE(SUBSTITUTE(PROPERTIES[[#This Row],[PURCHASECOST_VALUE]], "PURCHASECOST_", ""), "_VALUE", "")</f>
        <v>ELECTRICRAILBUS</v>
      </c>
      <c r="AO50" s="44" t="b">
        <v>0</v>
      </c>
      <c r="AP50" s="48" t="b">
        <v>0</v>
      </c>
      <c r="AQ50" s="48" t="b">
        <v>0</v>
      </c>
      <c r="AR50" s="48">
        <v>0</v>
      </c>
      <c r="AS50" s="48" t="b">
        <v>0</v>
      </c>
      <c r="AT50" s="7" t="b">
        <v>0</v>
      </c>
      <c r="AU50" s="40" t="str" cm="1">
        <f t="array" ref="AU50">_xlfn.XLOOKUP(PROPERTIES[[#This Row],[VEHIDCODE]],GRAPHICS_PROPERTIES[VEHIDCODE],GRAPHICS_PROPERTIES[TEMPLATE_ID]&amp;GRAPHICS_PROPERTIES[TEMPLATE_AMENDMENT_CODE])</f>
        <v>TPL_01B</v>
      </c>
    </row>
    <row r="51" spans="1:47" x14ac:dyDescent="0.35">
      <c r="A51" s="2" t="s">
        <v>2695</v>
      </c>
      <c r="B51">
        <v>1960</v>
      </c>
      <c r="C51">
        <v>2006</v>
      </c>
      <c r="D51" cm="1">
        <f t="array" ref="D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1" s="40" t="str">
        <f>_xlfn.XLOOKUP(PROPERTIES[[#This Row],[VEHIDCODE]],CONTROL[VEHIDCODE],CONTROL[ENGLISH])</f>
        <v>Decauville Z 7100</v>
      </c>
      <c r="F51" t="s">
        <v>602</v>
      </c>
      <c r="G51" s="40" t="str">
        <f>_xlfn.XLOOKUP(PROPERTIES[[#This Row],[COUNTRY]],COUNTRIES[COUNTRY_DESCRIPTION],COUNTRIES[COUNTRY_LABEL],"")</f>
        <v>FR</v>
      </c>
      <c r="H51" t="str" cm="1">
        <f t="array" ref="H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" t="s">
        <v>15</v>
      </c>
      <c r="J51">
        <v>70</v>
      </c>
      <c r="K51">
        <v>8</v>
      </c>
      <c r="L51">
        <v>0</v>
      </c>
      <c r="M51" t="str" cm="1">
        <f t="array" ref="M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">
        <f>_xlfn.XLOOKUP("LOADINGSPEEDDEF_"&amp;PROPERTIES[[#This Row],[LOADINGSPEED]],LOADINGSPEEDDEF[TYPE],LOADINGSPEEDDEF[SPEED])</f>
        <v>60</v>
      </c>
      <c r="O51" cm="1">
        <f t="array" ref="O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">
        <f>IF(ISNUMBER(SEARCH("passenger",PROPERTIES[[#This Row],[CARGODEF]])),1,0)</f>
        <v>1</v>
      </c>
      <c r="Q51" s="23">
        <v>55</v>
      </c>
      <c r="R51">
        <v>1260</v>
      </c>
      <c r="S51">
        <v>0</v>
      </c>
      <c r="T51">
        <v>0</v>
      </c>
      <c r="U51">
        <v>0</v>
      </c>
      <c r="V51">
        <v>130</v>
      </c>
      <c r="W51">
        <v>0</v>
      </c>
      <c r="X51">
        <v>0</v>
      </c>
      <c r="Y51">
        <v>0</v>
      </c>
      <c r="Z51" s="20">
        <v>0</v>
      </c>
      <c r="AA51" s="19">
        <f>IFERROR(PROPERTIES[[#This Row],[TE_STARTING_KN]]/(PROPERTIES[[#This Row],[WEIGHT]]*9.81),0)</f>
        <v>0</v>
      </c>
      <c r="AB51" s="19">
        <v>0.21</v>
      </c>
      <c r="AC51" s="16">
        <f>ROUND(IF(IFERROR(PROPERTIES[[#This Row],[TE_COEFFICIENT_CALC]],0)=0,PROPERTIES[[#This Row],[TE_COEFFICIENT_MANUAL]],PROPERTIES[[#This Row],[TE_COEFFICIENT_CALC]]),3)</f>
        <v>0.21</v>
      </c>
      <c r="AD51" s="8" cm="1">
        <f t="array" ref="AD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51" s="26">
        <v>0</v>
      </c>
      <c r="AF51" s="6">
        <v>0</v>
      </c>
      <c r="AG51" t="s">
        <v>230</v>
      </c>
      <c r="AH51" t="s">
        <v>229</v>
      </c>
      <c r="AI51" t="s">
        <v>229</v>
      </c>
      <c r="AJ51" s="2" t="s">
        <v>229</v>
      </c>
      <c r="AK51" s="2" t="s">
        <v>244</v>
      </c>
      <c r="AL51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1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1" s="2" t="str">
        <f>SUBSTITUTE(SUBSTITUTE(PROPERTIES[[#This Row],[PURCHASECOST_VALUE]], "PURCHASECOST_", ""), "_VALUE", "")</f>
        <v>ELECTRICRAILBUS</v>
      </c>
      <c r="AO51" s="44" t="b">
        <v>0</v>
      </c>
      <c r="AP51" s="48" t="b">
        <v>1</v>
      </c>
      <c r="AQ51" s="48" t="b">
        <v>0</v>
      </c>
      <c r="AR51" s="48">
        <v>0</v>
      </c>
      <c r="AS51" s="48" t="b">
        <v>0</v>
      </c>
      <c r="AT51" s="7" t="b">
        <v>0</v>
      </c>
      <c r="AU51" s="40" t="str" cm="1">
        <f t="array" ref="AU51">_xlfn.XLOOKUP(PROPERTIES[[#This Row],[VEHIDCODE]],GRAPHICS_PROPERTIES[VEHIDCODE],GRAPHICS_PROPERTIES[TEMPLATE_ID]&amp;GRAPHICS_PROPERTIES[TEMPLATE_AMENDMENT_CODE])</f>
        <v>TPL_01B</v>
      </c>
    </row>
    <row r="52" spans="1:47" x14ac:dyDescent="0.35">
      <c r="A52" s="2" t="s">
        <v>2696</v>
      </c>
      <c r="B52">
        <v>1930</v>
      </c>
      <c r="C52">
        <v>1980</v>
      </c>
      <c r="D52" cm="1">
        <f t="array" ref="D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2" s="40" t="str">
        <f>_xlfn.XLOOKUP(PROPERTIES[[#This Row],[VEHIDCODE]],CONTROL[VEHIDCODE],CONTROL[ENGLISH])</f>
        <v>HAWA/AEG Kleinbahn Nr. 1-3</v>
      </c>
      <c r="F52" t="s">
        <v>584</v>
      </c>
      <c r="G52" s="40" t="str">
        <f>_xlfn.XLOOKUP(PROPERTIES[[#This Row],[COUNTRY]],COUNTRIES[COUNTRY_DESCRIPTION],COUNTRIES[COUNTRY_LABEL],"")</f>
        <v>DE</v>
      </c>
      <c r="H52" t="str" cm="1">
        <f t="array" ref="H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" t="s">
        <v>15</v>
      </c>
      <c r="J52">
        <v>50</v>
      </c>
      <c r="K52">
        <v>4</v>
      </c>
      <c r="L52">
        <v>0</v>
      </c>
      <c r="M52" t="str" cm="1">
        <f t="array" ref="M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">
        <f>_xlfn.XLOOKUP("LOADINGSPEEDDEF_"&amp;PROPERTIES[[#This Row],[LOADINGSPEED]],LOADINGSPEEDDEF[TYPE],LOADINGSPEEDDEF[SPEED])</f>
        <v>60</v>
      </c>
      <c r="O52" cm="1">
        <f t="array" ref="O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">
        <f>IF(ISNUMBER(SEARCH("passenger",PROPERTIES[[#This Row],[CARGODEF]])),1,0)</f>
        <v>1</v>
      </c>
      <c r="Q52" s="23">
        <v>23</v>
      </c>
      <c r="R52">
        <v>175</v>
      </c>
      <c r="S52">
        <v>0</v>
      </c>
      <c r="T52">
        <v>0</v>
      </c>
      <c r="U52">
        <v>0</v>
      </c>
      <c r="V52">
        <v>50</v>
      </c>
      <c r="W52">
        <v>0</v>
      </c>
      <c r="X52">
        <v>0</v>
      </c>
      <c r="Y52">
        <v>0</v>
      </c>
      <c r="Z52" s="20">
        <v>0</v>
      </c>
      <c r="AA52" s="19">
        <f>IFERROR(PROPERTIES[[#This Row],[TE_STARTING_KN]]/(PROPERTIES[[#This Row],[WEIGHT]]*9.81),0)</f>
        <v>0</v>
      </c>
      <c r="AB52" s="19">
        <v>0.08</v>
      </c>
      <c r="AC52" s="16">
        <f>ROUND(IF(IFERROR(PROPERTIES[[#This Row],[TE_COEFFICIENT_CALC]],0)=0,PROPERTIES[[#This Row],[TE_COEFFICIENT_MANUAL]],PROPERTIES[[#This Row],[TE_COEFFICIENT_CALC]]),3)</f>
        <v>0.08</v>
      </c>
      <c r="AD52" s="8" cm="1">
        <f t="array" ref="AD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52" s="26">
        <v>0</v>
      </c>
      <c r="AF52" s="6">
        <v>0</v>
      </c>
      <c r="AG52" t="s">
        <v>230</v>
      </c>
      <c r="AH52" t="s">
        <v>229</v>
      </c>
      <c r="AI52" t="s">
        <v>229</v>
      </c>
      <c r="AJ52" s="2" t="s">
        <v>229</v>
      </c>
      <c r="AK52" s="2" t="s">
        <v>244</v>
      </c>
      <c r="AL52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2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2" s="2" t="str">
        <f>SUBSTITUTE(SUBSTITUTE(PROPERTIES[[#This Row],[PURCHASECOST_VALUE]], "PURCHASECOST_", ""), "_VALUE", "")</f>
        <v>ELECTRICRAILBUS</v>
      </c>
      <c r="AO52" s="44" t="b">
        <v>0</v>
      </c>
      <c r="AP52" s="48" t="b">
        <v>0</v>
      </c>
      <c r="AQ52" s="48" t="b">
        <v>0</v>
      </c>
      <c r="AR52" s="48">
        <v>0</v>
      </c>
      <c r="AS52" s="48" t="b">
        <v>0</v>
      </c>
      <c r="AT52" s="7" t="b">
        <v>0</v>
      </c>
      <c r="AU52" s="40" t="str" cm="1">
        <f t="array" ref="AU52">_xlfn.XLOOKUP(PROPERTIES[[#This Row],[VEHIDCODE]],GRAPHICS_PROPERTIES[VEHIDCODE],GRAPHICS_PROPERTIES[TEMPLATE_ID]&amp;GRAPHICS_PROPERTIES[TEMPLATE_AMENDMENT_CODE])</f>
        <v>TPL_01B</v>
      </c>
    </row>
    <row r="53" spans="1:47" x14ac:dyDescent="0.35">
      <c r="A53" s="2" t="s">
        <v>3471</v>
      </c>
      <c r="B53">
        <v>1982</v>
      </c>
      <c r="C53">
        <v>2008</v>
      </c>
      <c r="D53" cm="1">
        <f t="array" ref="D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3" s="40" t="str">
        <f>_xlfn.XLOOKUP(PROPERTIES[[#This Row],[VEHIDCODE]],CONTROL[VEHIDCODE],CONTROL[ENGLISH])</f>
        <v>RAW Schoneweide 479.201</v>
      </c>
      <c r="F53" t="s">
        <v>584</v>
      </c>
      <c r="G53" s="40" t="str">
        <f>_xlfn.XLOOKUP(PROPERTIES[[#This Row],[COUNTRY]],COUNTRIES[COUNTRY_DESCRIPTION],COUNTRIES[COUNTRY_LABEL],"")</f>
        <v>DE</v>
      </c>
      <c r="H53" t="str" cm="1">
        <f t="array" ref="H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" t="s">
        <v>15</v>
      </c>
      <c r="J53">
        <f>(24+84)/2</f>
        <v>54</v>
      </c>
      <c r="K53">
        <v>5</v>
      </c>
      <c r="L53">
        <v>0</v>
      </c>
      <c r="M53" t="str" cm="1">
        <f t="array" ref="M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">
        <f>_xlfn.XLOOKUP("LOADINGSPEEDDEF_"&amp;PROPERTIES[[#This Row],[LOADINGSPEED]],LOADINGSPEEDDEF[TYPE],LOADINGSPEEDDEF[SPEED])</f>
        <v>60</v>
      </c>
      <c r="O53" cm="1">
        <f t="array" ref="O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3">
        <f>IF(ISNUMBER(SEARCH("passenger",PROPERTIES[[#This Row],[CARGODEF]])),1,0)</f>
        <v>1</v>
      </c>
      <c r="Q53" s="23">
        <v>28</v>
      </c>
      <c r="R53">
        <v>285</v>
      </c>
      <c r="S53">
        <v>0</v>
      </c>
      <c r="T53">
        <v>0</v>
      </c>
      <c r="U53">
        <v>0</v>
      </c>
      <c r="V53">
        <v>50</v>
      </c>
      <c r="W53">
        <v>0</v>
      </c>
      <c r="X53">
        <v>0</v>
      </c>
      <c r="Y53">
        <v>0</v>
      </c>
      <c r="Z53" s="20">
        <v>60</v>
      </c>
      <c r="AA53" s="19">
        <f>IFERROR(PROPERTIES[[#This Row],[TE_STARTING_KN]]/(PROPERTIES[[#This Row],[WEIGHT]]*9.81),0)</f>
        <v>0.218435998252512</v>
      </c>
      <c r="AB53" s="19">
        <v>0</v>
      </c>
      <c r="AC53" s="16">
        <f>ROUND(IF(IFERROR(PROPERTIES[[#This Row],[TE_COEFFICIENT_CALC]],0)=0,PROPERTIES[[#This Row],[TE_COEFFICIENT_MANUAL]],PROPERTIES[[#This Row],[TE_COEFFICIENT_CALC]]),3)</f>
        <v>0.218</v>
      </c>
      <c r="AD53" s="8" cm="1">
        <f t="array" ref="AD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" s="26">
        <v>0</v>
      </c>
      <c r="AF53" s="6">
        <v>0</v>
      </c>
      <c r="AG53" t="s">
        <v>230</v>
      </c>
      <c r="AH53" t="s">
        <v>229</v>
      </c>
      <c r="AI53" t="s">
        <v>229</v>
      </c>
      <c r="AJ53" s="2" t="s">
        <v>229</v>
      </c>
      <c r="AK53" s="2" t="s">
        <v>244</v>
      </c>
      <c r="AL53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3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3" s="2" t="str">
        <f>SUBSTITUTE(SUBSTITUTE(PROPERTIES[[#This Row],[PURCHASECOST_VALUE]], "PURCHASECOST_", ""), "_VALUE", "")</f>
        <v>ELECTRICRAILBUS</v>
      </c>
      <c r="AO53" s="44" t="b">
        <v>0</v>
      </c>
      <c r="AP53" s="48" t="b">
        <v>0</v>
      </c>
      <c r="AQ53" s="48" t="b">
        <v>0</v>
      </c>
      <c r="AR53" s="48">
        <v>0</v>
      </c>
      <c r="AS53" s="48" t="b">
        <v>0</v>
      </c>
      <c r="AT53" s="7" t="b">
        <v>0</v>
      </c>
      <c r="AU53" s="40" t="str" cm="1">
        <f t="array" ref="AU53">_xlfn.XLOOKUP(PROPERTIES[[#This Row],[VEHIDCODE]],GRAPHICS_PROPERTIES[VEHIDCODE],GRAPHICS_PROPERTIES[TEMPLATE_ID]&amp;GRAPHICS_PROPERTIES[TEMPLATE_AMENDMENT_CODE])</f>
        <v>TPL_01B</v>
      </c>
    </row>
    <row r="54" spans="1:47" x14ac:dyDescent="0.35">
      <c r="A54" s="2" t="s">
        <v>2697</v>
      </c>
      <c r="B54">
        <v>1930</v>
      </c>
      <c r="C54">
        <v>1970</v>
      </c>
      <c r="D54" cm="1">
        <f t="array" ref="D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4" s="40" t="str">
        <f>_xlfn.XLOOKUP(PROPERTIES[[#This Row],[VEHIDCODE]],CONTROL[VEHIDCODE],CONTROL[ENGLISH])</f>
        <v>Studenka 425.95</v>
      </c>
      <c r="F54" t="s">
        <v>727</v>
      </c>
      <c r="G54" s="40" t="str">
        <f>_xlfn.XLOOKUP(PROPERTIES[[#This Row],[COUNTRY]],COUNTRIES[COUNTRY_DESCRIPTION],COUNTRIES[COUNTRY_LABEL],"")</f>
        <v>SK</v>
      </c>
      <c r="H54" t="str" cm="1">
        <f t="array" ref="H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" t="s">
        <v>15</v>
      </c>
      <c r="J54">
        <v>48</v>
      </c>
      <c r="K54">
        <v>7</v>
      </c>
      <c r="L54">
        <v>0</v>
      </c>
      <c r="M54" t="str" cm="1">
        <f t="array" ref="M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">
        <f>_xlfn.XLOOKUP("LOADINGSPEEDDEF_"&amp;PROPERTIES[[#This Row],[LOADINGSPEED]],LOADINGSPEEDDEF[TYPE],LOADINGSPEEDDEF[SPEED])</f>
        <v>60</v>
      </c>
      <c r="O54" cm="1">
        <f t="array" ref="O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4">
        <f>IF(ISNUMBER(SEARCH("passenger",PROPERTIES[[#This Row],[CARGODEF]])),1,0)</f>
        <v>1</v>
      </c>
      <c r="Q54" s="23">
        <v>45</v>
      </c>
      <c r="R54">
        <v>240</v>
      </c>
      <c r="S54">
        <v>0</v>
      </c>
      <c r="T54">
        <v>0</v>
      </c>
      <c r="U54">
        <v>0</v>
      </c>
      <c r="V54">
        <v>40</v>
      </c>
      <c r="W54">
        <v>0</v>
      </c>
      <c r="X54">
        <v>0</v>
      </c>
      <c r="Y54">
        <v>0</v>
      </c>
      <c r="Z54" s="20">
        <v>0</v>
      </c>
      <c r="AA54" s="19">
        <f>IFERROR(PROPERTIES[[#This Row],[TE_STARTING_KN]]/(PROPERTIES[[#This Row],[WEIGHT]]*9.81),0)</f>
        <v>0</v>
      </c>
      <c r="AB54" s="19">
        <v>0.2</v>
      </c>
      <c r="AC54" s="16">
        <f>ROUND(IF(IFERROR(PROPERTIES[[#This Row],[TE_COEFFICIENT_CALC]],0)=0,PROPERTIES[[#This Row],[TE_COEFFICIENT_MANUAL]],PROPERTIES[[#This Row],[TE_COEFFICIENT_CALC]]),3)</f>
        <v>0.2</v>
      </c>
      <c r="AD54" s="8" cm="1">
        <f t="array" ref="AD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" s="26">
        <v>0</v>
      </c>
      <c r="AF54" s="6">
        <v>0</v>
      </c>
      <c r="AG54" t="s">
        <v>236</v>
      </c>
      <c r="AH54" t="s">
        <v>229</v>
      </c>
      <c r="AI54" t="s">
        <v>229</v>
      </c>
      <c r="AJ54" s="2" t="s">
        <v>229</v>
      </c>
      <c r="AK54" s="2" t="s">
        <v>244</v>
      </c>
      <c r="AL54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4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4" s="2" t="str">
        <f>SUBSTITUTE(SUBSTITUTE(PROPERTIES[[#This Row],[PURCHASECOST_VALUE]], "PURCHASECOST_", ""), "_VALUE", "")</f>
        <v>ELECTRICRAILBUS</v>
      </c>
      <c r="AO54" s="44" t="b">
        <v>0</v>
      </c>
      <c r="AP54" s="48" t="b">
        <v>1</v>
      </c>
      <c r="AQ54" s="48" t="b">
        <v>0</v>
      </c>
      <c r="AR54" s="48">
        <v>0</v>
      </c>
      <c r="AS54" s="48" t="b">
        <v>0</v>
      </c>
      <c r="AT54" s="7" t="b">
        <v>0</v>
      </c>
      <c r="AU54" s="40" t="str" cm="1">
        <f t="array" ref="AU54">_xlfn.XLOOKUP(PROPERTIES[[#This Row],[VEHIDCODE]],GRAPHICS_PROPERTIES[VEHIDCODE],GRAPHICS_PROPERTIES[TEMPLATE_ID]&amp;GRAPHICS_PROPERTIES[TEMPLATE_AMENDMENT_CODE])</f>
        <v>TPL_01B</v>
      </c>
    </row>
    <row r="55" spans="1:47" x14ac:dyDescent="0.35">
      <c r="A55" s="2" t="s">
        <v>2698</v>
      </c>
      <c r="B55">
        <v>1949</v>
      </c>
      <c r="C55">
        <v>2005</v>
      </c>
      <c r="D55" cm="1">
        <f t="array" ref="D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5" s="40" t="str">
        <f>_xlfn.XLOOKUP(PROPERTIES[[#This Row],[VEHIDCODE]],CONTROL[VEHIDCODE],CONTROL[ENGLISH])</f>
        <v>Pozzuoli - OCREN OM ALe 840</v>
      </c>
      <c r="F55" t="s">
        <v>636</v>
      </c>
      <c r="G55" s="40" t="str">
        <f>_xlfn.XLOOKUP(PROPERTIES[[#This Row],[COUNTRY]],COUNTRIES[COUNTRY_DESCRIPTION],COUNTRIES[COUNTRY_LABEL],"")</f>
        <v>IT</v>
      </c>
      <c r="H55" t="str" cm="1">
        <f t="array" ref="H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" t="s">
        <v>15</v>
      </c>
      <c r="J55">
        <v>84</v>
      </c>
      <c r="K55">
        <v>8</v>
      </c>
      <c r="L55">
        <v>0</v>
      </c>
      <c r="M55" t="str" cm="1">
        <f t="array" ref="M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5">
        <f>_xlfn.XLOOKUP("LOADINGSPEEDDEF_"&amp;PROPERTIES[[#This Row],[LOADINGSPEED]],LOADINGSPEEDDEF[TYPE],LOADINGSPEEDDEF[SPEED])</f>
        <v>60</v>
      </c>
      <c r="O55" cm="1">
        <f t="array" ref="O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5">
        <f>IF(ISNUMBER(SEARCH("passenger",PROPERTIES[[#This Row],[CARGODEF]])),1,0)</f>
        <v>1</v>
      </c>
      <c r="Q55" s="23">
        <v>58</v>
      </c>
      <c r="R55">
        <v>800</v>
      </c>
      <c r="S55">
        <v>0</v>
      </c>
      <c r="T55">
        <v>0</v>
      </c>
      <c r="U55">
        <v>0</v>
      </c>
      <c r="V55">
        <v>150</v>
      </c>
      <c r="W55">
        <v>0</v>
      </c>
      <c r="X55">
        <v>0</v>
      </c>
      <c r="Y55">
        <v>0</v>
      </c>
      <c r="Z55" s="20">
        <v>0</v>
      </c>
      <c r="AA55" s="19">
        <f>IFERROR(PROPERTIES[[#This Row],[TE_STARTING_KN]]/(PROPERTIES[[#This Row],[WEIGHT]]*9.81),0)</f>
        <v>0</v>
      </c>
      <c r="AB55" s="19">
        <v>0.21</v>
      </c>
      <c r="AC55" s="16">
        <f>ROUND(IF(IFERROR(PROPERTIES[[#This Row],[TE_COEFFICIENT_CALC]],0)=0,PROPERTIES[[#This Row],[TE_COEFFICIENT_MANUAL]],PROPERTIES[[#This Row],[TE_COEFFICIENT_CALC]]),3)</f>
        <v>0.21</v>
      </c>
      <c r="AD55" s="8" cm="1">
        <f t="array" ref="AD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55" s="26">
        <v>0</v>
      </c>
      <c r="AF55" s="6">
        <v>0</v>
      </c>
      <c r="AG55" t="s">
        <v>231</v>
      </c>
      <c r="AH55" t="s">
        <v>229</v>
      </c>
      <c r="AI55" t="s">
        <v>229</v>
      </c>
      <c r="AJ55" s="2" t="s">
        <v>229</v>
      </c>
      <c r="AK55" s="2" t="s">
        <v>244</v>
      </c>
      <c r="AL55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5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5" s="2" t="str">
        <f>SUBSTITUTE(SUBSTITUTE(PROPERTIES[[#This Row],[PURCHASECOST_VALUE]], "PURCHASECOST_", ""), "_VALUE", "")</f>
        <v>ELECTRICRAILBUS</v>
      </c>
      <c r="AO55" s="44" t="b">
        <v>0</v>
      </c>
      <c r="AP55" s="48" t="b">
        <v>1</v>
      </c>
      <c r="AQ55" s="48" t="b">
        <v>0</v>
      </c>
      <c r="AR55" s="48">
        <v>0</v>
      </c>
      <c r="AS55" s="48" t="b">
        <v>0</v>
      </c>
      <c r="AT55" s="7" t="b">
        <v>0</v>
      </c>
      <c r="AU55" s="40" t="str" cm="1">
        <f t="array" ref="AU55">_xlfn.XLOOKUP(PROPERTIES[[#This Row],[VEHIDCODE]],GRAPHICS_PROPERTIES[VEHIDCODE],GRAPHICS_PROPERTIES[TEMPLATE_ID]&amp;GRAPHICS_PROPERTIES[TEMPLATE_AMENDMENT_CODE])</f>
        <v>TPL_01B</v>
      </c>
    </row>
    <row r="56" spans="1:47" x14ac:dyDescent="0.35">
      <c r="A56" s="2" t="s">
        <v>2699</v>
      </c>
      <c r="B56">
        <v>1981</v>
      </c>
      <c r="D56" cm="1">
        <f t="array" ref="D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" s="40" t="str">
        <f>_xlfn.XLOOKUP(PROPERTIES[[#This Row],[VEHIDCODE]],CONTROL[VEHIDCODE],CONTROL[ENGLISH])</f>
        <v>Stanga ALe 80</v>
      </c>
      <c r="F56" t="s">
        <v>636</v>
      </c>
      <c r="G56" s="40" t="str">
        <f>_xlfn.XLOOKUP(PROPERTIES[[#This Row],[COUNTRY]],COUNTRIES[COUNTRY_DESCRIPTION],COUNTRIES[COUNTRY_LABEL],"")</f>
        <v>IT</v>
      </c>
      <c r="H56" t="str" cm="1">
        <f t="array" ref="H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6" t="s">
        <v>15</v>
      </c>
      <c r="J56">
        <v>80</v>
      </c>
      <c r="K56">
        <v>7</v>
      </c>
      <c r="L56">
        <v>0</v>
      </c>
      <c r="M56" t="str" cm="1">
        <f t="array" ref="M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6">
        <f>_xlfn.XLOOKUP("LOADINGSPEEDDEF_"&amp;PROPERTIES[[#This Row],[LOADINGSPEED]],LOADINGSPEEDDEF[TYPE],LOADINGSPEEDDEF[SPEED])</f>
        <v>60</v>
      </c>
      <c r="O56" cm="1">
        <f t="array" ref="O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6">
        <f>IF(ISNUMBER(SEARCH("passenger",PROPERTIES[[#This Row],[CARGODEF]])),1,0)</f>
        <v>1</v>
      </c>
      <c r="Q56" s="23">
        <v>49</v>
      </c>
      <c r="R56">
        <v>770</v>
      </c>
      <c r="S56">
        <v>0</v>
      </c>
      <c r="T56">
        <v>0</v>
      </c>
      <c r="U56">
        <v>0</v>
      </c>
      <c r="V56">
        <v>110</v>
      </c>
      <c r="W56">
        <v>0</v>
      </c>
      <c r="X56">
        <v>0</v>
      </c>
      <c r="Y56">
        <v>0</v>
      </c>
      <c r="Z56" s="20">
        <v>0</v>
      </c>
      <c r="AA56" s="19">
        <f>IFERROR(PROPERTIES[[#This Row],[TE_STARTING_KN]]/(PROPERTIES[[#This Row],[WEIGHT]]*9.81),0)</f>
        <v>0</v>
      </c>
      <c r="AB56" s="19">
        <v>0.17</v>
      </c>
      <c r="AC56" s="16">
        <f>ROUND(IF(IFERROR(PROPERTIES[[#This Row],[TE_COEFFICIENT_CALC]],0)=0,PROPERTIES[[#This Row],[TE_COEFFICIENT_MANUAL]],PROPERTIES[[#This Row],[TE_COEFFICIENT_CALC]]),3)</f>
        <v>0.17</v>
      </c>
      <c r="AD56" s="8" cm="1">
        <f t="array" ref="AD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6" s="26">
        <v>0</v>
      </c>
      <c r="AF56" s="6">
        <v>0</v>
      </c>
      <c r="AG56" t="s">
        <v>231</v>
      </c>
      <c r="AH56" t="s">
        <v>229</v>
      </c>
      <c r="AI56" t="s">
        <v>229</v>
      </c>
      <c r="AJ56" s="2" t="s">
        <v>229</v>
      </c>
      <c r="AK56" s="2" t="s">
        <v>244</v>
      </c>
      <c r="AL56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6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6" s="2" t="str">
        <f>SUBSTITUTE(SUBSTITUTE(PROPERTIES[[#This Row],[PURCHASECOST_VALUE]], "PURCHASECOST_", ""), "_VALUE", "")</f>
        <v>ELECTRICRAILBUS</v>
      </c>
      <c r="AO56" s="44" t="b">
        <v>0</v>
      </c>
      <c r="AP56" s="48" t="b">
        <v>1</v>
      </c>
      <c r="AQ56" s="48" t="b">
        <v>0</v>
      </c>
      <c r="AR56" s="48">
        <v>0</v>
      </c>
      <c r="AS56" s="48" t="b">
        <v>0</v>
      </c>
      <c r="AT56" s="7" t="b">
        <v>0</v>
      </c>
      <c r="AU56" s="40" t="str" cm="1">
        <f t="array" ref="AU56">_xlfn.XLOOKUP(PROPERTIES[[#This Row],[VEHIDCODE]],GRAPHICS_PROPERTIES[VEHIDCODE],GRAPHICS_PROPERTIES[TEMPLATE_ID]&amp;GRAPHICS_PROPERTIES[TEMPLATE_AMENDMENT_CODE])</f>
        <v>TPL_01B</v>
      </c>
    </row>
    <row r="57" spans="1:47" x14ac:dyDescent="0.35">
      <c r="A57" s="2" t="s">
        <v>2700</v>
      </c>
      <c r="B57">
        <v>1950</v>
      </c>
      <c r="C57">
        <v>2002</v>
      </c>
      <c r="D57" cm="1">
        <f t="array" ref="D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" s="40" t="str">
        <f>_xlfn.XLOOKUP(PROPERTIES[[#This Row],[VEHIDCODE]],CONTROL[VEHIDCODE],CONTROL[ENGLISH])</f>
        <v>FS E.623</v>
      </c>
      <c r="F57" t="s">
        <v>636</v>
      </c>
      <c r="G57" s="40" t="str">
        <f>_xlfn.XLOOKUP(PROPERTIES[[#This Row],[COUNTRY]],COUNTRIES[COUNTRY_DESCRIPTION],COUNTRIES[COUNTRY_LABEL],"")</f>
        <v>IT</v>
      </c>
      <c r="H57" t="str" cm="1">
        <f t="array" ref="H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7" t="s">
        <v>15</v>
      </c>
      <c r="J57">
        <v>54</v>
      </c>
      <c r="K57">
        <v>8</v>
      </c>
      <c r="L57">
        <v>0</v>
      </c>
      <c r="M57" t="str" cm="1">
        <f t="array" ref="M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7">
        <f>_xlfn.XLOOKUP("LOADINGSPEEDDEF_"&amp;PROPERTIES[[#This Row],[LOADINGSPEED]],LOADINGSPEEDDEF[TYPE],LOADINGSPEEDDEF[SPEED])</f>
        <v>60</v>
      </c>
      <c r="O57" cm="1">
        <f t="array" ref="O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7">
        <f>IF(ISNUMBER(SEARCH("passenger",PROPERTIES[[#This Row],[CARGODEF]])),1,0)</f>
        <v>1</v>
      </c>
      <c r="Q57" s="23">
        <v>66</v>
      </c>
      <c r="R57">
        <v>965</v>
      </c>
      <c r="S57">
        <v>0</v>
      </c>
      <c r="T57">
        <v>0</v>
      </c>
      <c r="U57">
        <v>0</v>
      </c>
      <c r="V57">
        <v>110</v>
      </c>
      <c r="W57">
        <v>0</v>
      </c>
      <c r="X57">
        <v>0</v>
      </c>
      <c r="Y57">
        <v>0</v>
      </c>
      <c r="Z57" s="20">
        <v>0</v>
      </c>
      <c r="AA57" s="19">
        <f>IFERROR(PROPERTIES[[#This Row],[TE_STARTING_KN]]/(PROPERTIES[[#This Row],[WEIGHT]]*9.81),0)</f>
        <v>0</v>
      </c>
      <c r="AB57" s="19">
        <v>0.08</v>
      </c>
      <c r="AC57" s="16">
        <f>ROUND(IF(IFERROR(PROPERTIES[[#This Row],[TE_COEFFICIENT_CALC]],0)=0,PROPERTIES[[#This Row],[TE_COEFFICIENT_MANUAL]],PROPERTIES[[#This Row],[TE_COEFFICIENT_CALC]]),3)</f>
        <v>0.08</v>
      </c>
      <c r="AD57" s="8" cm="1">
        <f t="array" ref="AD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57" s="26">
        <v>0</v>
      </c>
      <c r="AF57" s="6">
        <v>0</v>
      </c>
      <c r="AG57" t="s">
        <v>231</v>
      </c>
      <c r="AH57" t="s">
        <v>229</v>
      </c>
      <c r="AI57" t="s">
        <v>229</v>
      </c>
      <c r="AJ57" s="2" t="s">
        <v>229</v>
      </c>
      <c r="AK57" s="2" t="s">
        <v>244</v>
      </c>
      <c r="AL57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7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7" s="2" t="str">
        <f>SUBSTITUTE(SUBSTITUTE(PROPERTIES[[#This Row],[PURCHASECOST_VALUE]], "PURCHASECOST_", ""), "_VALUE", "")</f>
        <v>ELECTRICRAILBUS</v>
      </c>
      <c r="AO57" s="44" t="b">
        <v>0</v>
      </c>
      <c r="AP57" s="48" t="b">
        <v>0</v>
      </c>
      <c r="AQ57" s="48" t="b">
        <v>0</v>
      </c>
      <c r="AR57" s="48">
        <v>0</v>
      </c>
      <c r="AS57" s="48" t="b">
        <v>0</v>
      </c>
      <c r="AT57" s="7" t="b">
        <v>0</v>
      </c>
      <c r="AU57" s="40" t="str" cm="1">
        <f t="array" ref="AU57">_xlfn.XLOOKUP(PROPERTIES[[#This Row],[VEHIDCODE]],GRAPHICS_PROPERTIES[VEHIDCODE],GRAPHICS_PROPERTIES[TEMPLATE_ID]&amp;GRAPHICS_PROPERTIES[TEMPLATE_AMENDMENT_CODE])</f>
        <v>TPL_01B</v>
      </c>
    </row>
    <row r="58" spans="1:47" x14ac:dyDescent="0.35">
      <c r="A58" s="2" t="s">
        <v>2701</v>
      </c>
      <c r="B58">
        <v>1927</v>
      </c>
      <c r="D58" cm="1">
        <f t="array" ref="D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" s="40" t="str">
        <f>_xlfn.XLOOKUP(PROPERTIES[[#This Row],[VEHIDCODE]],CONTROL[VEHIDCODE],CONTROL[ENGLISH])</f>
        <v>ONCF ZAB1000</v>
      </c>
      <c r="F58" t="s">
        <v>663</v>
      </c>
      <c r="G58" s="40" t="str">
        <f>_xlfn.XLOOKUP(PROPERTIES[[#This Row],[COUNTRY]],COUNTRIES[COUNTRY_DESCRIPTION],COUNTRIES[COUNTRY_LABEL],"")</f>
        <v>MA</v>
      </c>
      <c r="H58" t="str" cm="1">
        <f t="array" ref="H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8" t="s">
        <v>15</v>
      </c>
      <c r="J58">
        <v>44</v>
      </c>
      <c r="K58">
        <v>8</v>
      </c>
      <c r="L58">
        <v>0</v>
      </c>
      <c r="M58" t="str" cm="1">
        <f t="array" ref="M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8">
        <f>_xlfn.XLOOKUP("LOADINGSPEEDDEF_"&amp;PROPERTIES[[#This Row],[LOADINGSPEED]],LOADINGSPEEDDEF[TYPE],LOADINGSPEEDDEF[SPEED])</f>
        <v>60</v>
      </c>
      <c r="O58" cm="1">
        <f t="array" ref="O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8">
        <f>IF(ISNUMBER(SEARCH("passenger",PROPERTIES[[#This Row],[CARGODEF]])),1,0)</f>
        <v>1</v>
      </c>
      <c r="Q58" s="23">
        <v>40</v>
      </c>
      <c r="R58">
        <v>480</v>
      </c>
      <c r="S58">
        <v>0</v>
      </c>
      <c r="T58">
        <v>0</v>
      </c>
      <c r="U58">
        <v>0</v>
      </c>
      <c r="V58">
        <v>85</v>
      </c>
      <c r="W58">
        <v>0</v>
      </c>
      <c r="X58">
        <v>0</v>
      </c>
      <c r="Y58">
        <v>0</v>
      </c>
      <c r="Z58" s="20">
        <v>0</v>
      </c>
      <c r="AA58" s="19">
        <f>IFERROR(PROPERTIES[[#This Row],[TE_STARTING_KN]]/(PROPERTIES[[#This Row],[WEIGHT]]*9.81),0)</f>
        <v>0</v>
      </c>
      <c r="AB58" s="19">
        <v>0.13</v>
      </c>
      <c r="AC58" s="16">
        <f>ROUND(IF(IFERROR(PROPERTIES[[#This Row],[TE_COEFFICIENT_CALC]],0)=0,PROPERTIES[[#This Row],[TE_COEFFICIENT_MANUAL]],PROPERTIES[[#This Row],[TE_COEFFICIENT_CALC]]),3)</f>
        <v>0.13</v>
      </c>
      <c r="AD58" s="8" cm="1">
        <f t="array" ref="AD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8" s="26">
        <v>0</v>
      </c>
      <c r="AF58" s="6">
        <v>0</v>
      </c>
      <c r="AG58" t="s">
        <v>233</v>
      </c>
      <c r="AH58" t="s">
        <v>229</v>
      </c>
      <c r="AI58" t="s">
        <v>229</v>
      </c>
      <c r="AJ58" s="2" t="s">
        <v>229</v>
      </c>
      <c r="AK58" s="2" t="s">
        <v>244</v>
      </c>
      <c r="AL58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8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8" s="2" t="str">
        <f>SUBSTITUTE(SUBSTITUTE(PROPERTIES[[#This Row],[PURCHASECOST_VALUE]], "PURCHASECOST_", ""), "_VALUE", "")</f>
        <v>ELECTRICRAILBUS</v>
      </c>
      <c r="AO58" s="44" t="b">
        <v>0</v>
      </c>
      <c r="AP58" s="48" t="b">
        <v>0</v>
      </c>
      <c r="AQ58" s="48" t="b">
        <v>0</v>
      </c>
      <c r="AR58" s="48">
        <v>0</v>
      </c>
      <c r="AS58" s="48" t="b">
        <v>0</v>
      </c>
      <c r="AT58" s="7" t="b">
        <v>0</v>
      </c>
      <c r="AU58" s="40" t="str" cm="1">
        <f t="array" ref="AU58">_xlfn.XLOOKUP(PROPERTIES[[#This Row],[VEHIDCODE]],GRAPHICS_PROPERTIES[VEHIDCODE],GRAPHICS_PROPERTIES[TEMPLATE_ID]&amp;GRAPHICS_PROPERTIES[TEMPLATE_AMENDMENT_CODE])</f>
        <v>TPL_01B</v>
      </c>
    </row>
    <row r="59" spans="1:47" x14ac:dyDescent="0.35">
      <c r="A59" s="2" t="s">
        <v>2702</v>
      </c>
      <c r="B59">
        <v>2005</v>
      </c>
      <c r="D59" cm="1">
        <f t="array" ref="D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" s="40" t="str">
        <f>_xlfn.XLOOKUP(PROPERTIES[[#This Row],[VEHIDCODE]],CONTROL[VEHIDCODE],CONTROL[ENGLISH])</f>
        <v>Pesa 308B</v>
      </c>
      <c r="F59" t="s">
        <v>705</v>
      </c>
      <c r="G59" s="40" t="str">
        <f>_xlfn.XLOOKUP(PROPERTIES[[#This Row],[COUNTRY]],COUNTRIES[COUNTRY_DESCRIPTION],COUNTRIES[COUNTRY_LABEL],"")</f>
        <v>PL</v>
      </c>
      <c r="H59" t="str" cm="1">
        <f t="array" ref="H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" t="s">
        <v>15</v>
      </c>
      <c r="J59">
        <v>140</v>
      </c>
      <c r="K59">
        <v>8</v>
      </c>
      <c r="L59">
        <v>0</v>
      </c>
      <c r="M59" t="str" cm="1">
        <f t="array" ref="M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">
        <f>_xlfn.XLOOKUP("LOADINGSPEEDDEF_"&amp;PROPERTIES[[#This Row],[LOADINGSPEED]],LOADINGSPEEDDEF[TYPE],LOADINGSPEEDDEF[SPEED])</f>
        <v>60</v>
      </c>
      <c r="O59" t="str" cm="1">
        <f t="array" ref="O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9">
        <f>IF(ISNUMBER(SEARCH("passenger",PROPERTIES[[#This Row],[CARGODEF]])),1,0)</f>
        <v>1</v>
      </c>
      <c r="Q59" s="23">
        <v>53</v>
      </c>
      <c r="R59">
        <v>750</v>
      </c>
      <c r="S59">
        <v>0</v>
      </c>
      <c r="T59">
        <v>0</v>
      </c>
      <c r="U59">
        <v>0</v>
      </c>
      <c r="V59">
        <v>120</v>
      </c>
      <c r="W59">
        <v>0</v>
      </c>
      <c r="X59">
        <v>0</v>
      </c>
      <c r="Y59">
        <v>0</v>
      </c>
      <c r="Z59" s="20">
        <v>0</v>
      </c>
      <c r="AA59" s="19">
        <f>IFERROR(PROPERTIES[[#This Row],[TE_STARTING_KN]]/(PROPERTIES[[#This Row],[WEIGHT]]*9.81),0)</f>
        <v>0</v>
      </c>
      <c r="AB59" s="19">
        <v>0.08</v>
      </c>
      <c r="AC59" s="16">
        <f>ROUND(IF(IFERROR(PROPERTIES[[#This Row],[TE_COEFFICIENT_CALC]],0)=0,PROPERTIES[[#This Row],[TE_COEFFICIENT_MANUAL]],PROPERTIES[[#This Row],[TE_COEFFICIENT_CALC]]),3)</f>
        <v>0.08</v>
      </c>
      <c r="AD59" s="8" cm="1">
        <f t="array" ref="AD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9" s="26">
        <v>0</v>
      </c>
      <c r="AF59" s="6">
        <v>0</v>
      </c>
      <c r="AG59" t="s">
        <v>236</v>
      </c>
      <c r="AH59" t="s">
        <v>229</v>
      </c>
      <c r="AI59" t="s">
        <v>229</v>
      </c>
      <c r="AJ59" s="2" t="s">
        <v>229</v>
      </c>
      <c r="AK59" s="2" t="s">
        <v>244</v>
      </c>
      <c r="AL59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" s="2" t="str">
        <f>SUBSTITUTE(SUBSTITUTE(PROPERTIES[[#This Row],[PURCHASECOST_VALUE]], "PURCHASECOST_", ""), "_VALUE", "")</f>
        <v>ELECTRICRAILBUS</v>
      </c>
      <c r="AO59" s="44" t="b">
        <v>0</v>
      </c>
      <c r="AP59" s="48" t="b">
        <v>1</v>
      </c>
      <c r="AQ59" s="48" t="b">
        <v>0</v>
      </c>
      <c r="AR59" s="48">
        <v>0</v>
      </c>
      <c r="AS59" s="48" t="b">
        <v>0</v>
      </c>
      <c r="AT59" s="7" t="b">
        <v>0</v>
      </c>
      <c r="AU59" s="40" t="str" cm="1">
        <f t="array" ref="AU59">_xlfn.XLOOKUP(PROPERTIES[[#This Row],[VEHIDCODE]],GRAPHICS_PROPERTIES[VEHIDCODE],GRAPHICS_PROPERTIES[TEMPLATE_ID]&amp;GRAPHICS_PROPERTIES[TEMPLATE_AMENDMENT_CODE])</f>
        <v>TPL_01B</v>
      </c>
    </row>
    <row r="60" spans="1:47" x14ac:dyDescent="0.35">
      <c r="A60" s="2" t="s">
        <v>2703</v>
      </c>
      <c r="B60">
        <v>1989</v>
      </c>
      <c r="C60">
        <v>2017</v>
      </c>
      <c r="D60" cm="1">
        <f t="array" ref="D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" s="40" t="str">
        <f>_xlfn.XLOOKUP(PROPERTIES[[#This Row],[VEHIDCODE]],CONTROL[VEHIDCODE],CONTROL[ENGLISH])</f>
        <v>Franz Knotz 4855</v>
      </c>
      <c r="F60" t="s">
        <v>540</v>
      </c>
      <c r="G60" s="40" t="str">
        <f>_xlfn.XLOOKUP(PROPERTIES[[#This Row],[COUNTRY]],COUNTRIES[COUNTRY_DESCRIPTION],COUNTRIES[COUNTRY_LABEL],"")</f>
        <v>AT</v>
      </c>
      <c r="H60" t="str" cm="1">
        <f t="array" ref="H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" t="s">
        <v>15</v>
      </c>
      <c r="J60">
        <f>64+62</f>
        <v>126</v>
      </c>
      <c r="K60">
        <v>8</v>
      </c>
      <c r="L60">
        <v>0</v>
      </c>
      <c r="M60" t="str" cm="1">
        <f t="array" ref="M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0">
        <f>_xlfn.XLOOKUP("LOADINGSPEEDDEF_"&amp;PROPERTIES[[#This Row],[LOADINGSPEED]],LOADINGSPEEDDEF[TYPE],LOADINGSPEEDDEF[SPEED])</f>
        <v>60</v>
      </c>
      <c r="O60" t="str" cm="1">
        <f t="array" ref="O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0">
        <f>IF(ISNUMBER(SEARCH("passenger",PROPERTIES[[#This Row],[CARGODEF]])),1,0)</f>
        <v>1</v>
      </c>
      <c r="Q60" s="23">
        <v>42</v>
      </c>
      <c r="R60">
        <v>643</v>
      </c>
      <c r="S60">
        <v>0</v>
      </c>
      <c r="T60">
        <v>0</v>
      </c>
      <c r="U60">
        <v>0</v>
      </c>
      <c r="V60">
        <v>120</v>
      </c>
      <c r="W60">
        <v>0</v>
      </c>
      <c r="X60">
        <v>0</v>
      </c>
      <c r="Y60">
        <v>0</v>
      </c>
      <c r="Z60" s="20">
        <v>0</v>
      </c>
      <c r="AA60" s="19">
        <f>IFERROR(PROPERTIES[[#This Row],[TE_STARTING_KN]]/(PROPERTIES[[#This Row],[WEIGHT]]*9.81),0)</f>
        <v>0</v>
      </c>
      <c r="AB60" s="19">
        <v>0.21</v>
      </c>
      <c r="AC60" s="16">
        <f>ROUND(IF(IFERROR(PROPERTIES[[#This Row],[TE_COEFFICIENT_CALC]],0)=0,PROPERTIES[[#This Row],[TE_COEFFICIENT_MANUAL]],PROPERTIES[[#This Row],[TE_COEFFICIENT_CALC]]),3)</f>
        <v>0.21</v>
      </c>
      <c r="AD60" s="8" cm="1">
        <f t="array" ref="AD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0" s="26">
        <v>0</v>
      </c>
      <c r="AF60" s="6">
        <v>0</v>
      </c>
      <c r="AG60" t="s">
        <v>230</v>
      </c>
      <c r="AH60" t="s">
        <v>229</v>
      </c>
      <c r="AI60" t="s">
        <v>229</v>
      </c>
      <c r="AJ60" s="2" t="s">
        <v>229</v>
      </c>
      <c r="AK60" s="2" t="s">
        <v>244</v>
      </c>
      <c r="AL60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0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0" s="2" t="str">
        <f>SUBSTITUTE(SUBSTITUTE(PROPERTIES[[#This Row],[PURCHASECOST_VALUE]], "PURCHASECOST_", ""), "_VALUE", "")</f>
        <v>ELECTRICRAILBUS</v>
      </c>
      <c r="AO60" s="44" t="b">
        <v>0</v>
      </c>
      <c r="AP60" s="48" t="b">
        <v>1</v>
      </c>
      <c r="AQ60" s="48" t="b">
        <v>0</v>
      </c>
      <c r="AR60" s="48">
        <v>0</v>
      </c>
      <c r="AS60" s="48" t="b">
        <v>0</v>
      </c>
      <c r="AT60" s="7" t="b">
        <v>0</v>
      </c>
      <c r="AU60" s="40" t="str" cm="1">
        <f t="array" ref="AU60">_xlfn.XLOOKUP(PROPERTIES[[#This Row],[VEHIDCODE]],GRAPHICS_PROPERTIES[VEHIDCODE],GRAPHICS_PROPERTIES[TEMPLATE_ID]&amp;GRAPHICS_PROPERTIES[TEMPLATE_AMENDMENT_CODE])</f>
        <v>TPL_01B</v>
      </c>
    </row>
    <row r="61" spans="1:47" x14ac:dyDescent="0.35">
      <c r="A61" s="2" t="s">
        <v>2704</v>
      </c>
      <c r="B61">
        <v>2001</v>
      </c>
      <c r="C61">
        <v>2030</v>
      </c>
      <c r="D61" cm="1">
        <f t="array" ref="D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" s="40" t="str">
        <f>_xlfn.XLOOKUP(PROPERTIES[[#This Row],[VEHIDCODE]],CONTROL[VEHIDCODE],CONTROL[ENGLISH])</f>
        <v>Lindner/Talbot ET 10.109</v>
      </c>
      <c r="F61" t="s">
        <v>540</v>
      </c>
      <c r="G61" s="40" t="str">
        <f>_xlfn.XLOOKUP(PROPERTIES[[#This Row],[COUNTRY]],COUNTRIES[COUNTRY_DESCRIPTION],COUNTRIES[COUNTRY_LABEL],"")</f>
        <v>AT</v>
      </c>
      <c r="H61" t="str" cm="1">
        <f t="array" ref="H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" t="s">
        <v>15</v>
      </c>
      <c r="J61">
        <v>150</v>
      </c>
      <c r="K61">
        <v>8</v>
      </c>
      <c r="L61">
        <v>0</v>
      </c>
      <c r="M61" t="str" cm="1">
        <f t="array" ref="M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1">
        <f>_xlfn.XLOOKUP("LOADINGSPEEDDEF_"&amp;PROPERTIES[[#This Row],[LOADINGSPEED]],LOADINGSPEEDDEF[TYPE],LOADINGSPEEDDEF[SPEED])</f>
        <v>60</v>
      </c>
      <c r="O61" t="str" cm="1">
        <f t="array" ref="O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">
        <f>IF(ISNUMBER(SEARCH("passenger",PROPERTIES[[#This Row],[CARGODEF]])),1,0)</f>
        <v>1</v>
      </c>
      <c r="Q61" s="23">
        <v>52</v>
      </c>
      <c r="R61">
        <v>1475</v>
      </c>
      <c r="S61">
        <v>0</v>
      </c>
      <c r="T61">
        <v>0</v>
      </c>
      <c r="U61">
        <v>0</v>
      </c>
      <c r="V61">
        <v>90</v>
      </c>
      <c r="W61">
        <v>0</v>
      </c>
      <c r="X61">
        <v>0</v>
      </c>
      <c r="Y61">
        <v>0</v>
      </c>
      <c r="Z61" s="20">
        <v>0</v>
      </c>
      <c r="AA61" s="19">
        <f>IFERROR(PROPERTIES[[#This Row],[TE_STARTING_KN]]/(PROPERTIES[[#This Row],[WEIGHT]]*9.81),0)</f>
        <v>0</v>
      </c>
      <c r="AB61" s="19">
        <v>0.28999999999999998</v>
      </c>
      <c r="AC61" s="16">
        <f>ROUND(IF(IFERROR(PROPERTIES[[#This Row],[TE_COEFFICIENT_CALC]],0)=0,PROPERTIES[[#This Row],[TE_COEFFICIENT_MANUAL]],PROPERTIES[[#This Row],[TE_COEFFICIENT_CALC]]),3)</f>
        <v>0.28999999999999998</v>
      </c>
      <c r="AD61" s="8" cm="1">
        <f t="array" ref="AD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1" s="26">
        <v>0</v>
      </c>
      <c r="AF61" s="6">
        <v>0</v>
      </c>
      <c r="AG61" t="s">
        <v>230</v>
      </c>
      <c r="AH61" t="s">
        <v>229</v>
      </c>
      <c r="AI61" t="s">
        <v>229</v>
      </c>
      <c r="AJ61" s="2" t="s">
        <v>229</v>
      </c>
      <c r="AK61" s="2" t="s">
        <v>244</v>
      </c>
      <c r="AL61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1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1" s="2" t="str">
        <f>SUBSTITUTE(SUBSTITUTE(PROPERTIES[[#This Row],[PURCHASECOST_VALUE]], "PURCHASECOST_", ""), "_VALUE", "")</f>
        <v>ELECTRICRAILBUS</v>
      </c>
      <c r="AO61" s="44" t="b">
        <v>0</v>
      </c>
      <c r="AP61" s="48" t="b">
        <v>1</v>
      </c>
      <c r="AQ61" s="48" t="b">
        <v>0</v>
      </c>
      <c r="AR61" s="48">
        <v>0</v>
      </c>
      <c r="AS61" s="48" t="b">
        <v>0</v>
      </c>
      <c r="AT61" s="7" t="b">
        <v>0</v>
      </c>
      <c r="AU61" s="40" t="str" cm="1">
        <f t="array" ref="AU61">_xlfn.XLOOKUP(PROPERTIES[[#This Row],[VEHIDCODE]],GRAPHICS_PROPERTIES[VEHIDCODE],GRAPHICS_PROPERTIES[TEMPLATE_ID]&amp;GRAPHICS_PROPERTIES[TEMPLATE_AMENDMENT_CODE])</f>
        <v>TPL_01B</v>
      </c>
    </row>
    <row r="62" spans="1:47" x14ac:dyDescent="0.35">
      <c r="A62" s="2" t="s">
        <v>2705</v>
      </c>
      <c r="B62">
        <v>1927</v>
      </c>
      <c r="C62">
        <v>1977</v>
      </c>
      <c r="D62" cm="1">
        <f t="array" ref="D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2" s="40" t="str">
        <f>_xlfn.XLOOKUP(PROPERTIES[[#This Row],[VEHIDCODE]],CONTROL[VEHIDCODE],CONTROL[ENGLISH])</f>
        <v>Waggonfabrik Fuchs ET 85</v>
      </c>
      <c r="F62" t="s">
        <v>584</v>
      </c>
      <c r="G62" s="40" t="str">
        <f>_xlfn.XLOOKUP(PROPERTIES[[#This Row],[COUNTRY]],COUNTRIES[COUNTRY_DESCRIPTION],COUNTRIES[COUNTRY_LABEL],"")</f>
        <v>DE</v>
      </c>
      <c r="H62" t="str" cm="1">
        <f t="array" ref="H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" t="s">
        <v>15</v>
      </c>
      <c r="J62">
        <v>75</v>
      </c>
      <c r="K62">
        <v>8</v>
      </c>
      <c r="L62">
        <v>0</v>
      </c>
      <c r="M62" t="str" cm="1">
        <f t="array" ref="M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">
        <f>_xlfn.XLOOKUP("LOADINGSPEEDDEF_"&amp;PROPERTIES[[#This Row],[LOADINGSPEED]],LOADINGSPEEDDEF[TYPE],LOADINGSPEEDDEF[SPEED])</f>
        <v>60</v>
      </c>
      <c r="O62" cm="1">
        <f t="array" ref="O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">
        <f>IF(ISNUMBER(SEARCH("passenger",PROPERTIES[[#This Row],[CARGODEF]])),1,0)</f>
        <v>1</v>
      </c>
      <c r="Q62" s="23">
        <v>61</v>
      </c>
      <c r="R62">
        <v>740</v>
      </c>
      <c r="S62">
        <v>0</v>
      </c>
      <c r="T62">
        <v>0</v>
      </c>
      <c r="U62">
        <v>0</v>
      </c>
      <c r="V62">
        <v>75</v>
      </c>
      <c r="W62">
        <v>0</v>
      </c>
      <c r="X62">
        <v>0</v>
      </c>
      <c r="Y62">
        <v>0</v>
      </c>
      <c r="Z62" s="20">
        <v>0</v>
      </c>
      <c r="AA62" s="19">
        <f>IFERROR(PROPERTIES[[#This Row],[TE_STARTING_KN]]/(PROPERTIES[[#This Row],[WEIGHT]]*9.81),0)</f>
        <v>0</v>
      </c>
      <c r="AB62" s="19">
        <v>0.16</v>
      </c>
      <c r="AC62" s="16">
        <f>ROUND(IF(IFERROR(PROPERTIES[[#This Row],[TE_COEFFICIENT_CALC]],0)=0,PROPERTIES[[#This Row],[TE_COEFFICIENT_MANUAL]],PROPERTIES[[#This Row],[TE_COEFFICIENT_CALC]]),3)</f>
        <v>0.16</v>
      </c>
      <c r="AD62" s="8" cm="1">
        <f t="array" ref="AD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62" s="26">
        <v>0</v>
      </c>
      <c r="AF62" s="6">
        <v>0</v>
      </c>
      <c r="AG62" t="s">
        <v>230</v>
      </c>
      <c r="AH62" t="s">
        <v>229</v>
      </c>
      <c r="AI62" t="s">
        <v>229</v>
      </c>
      <c r="AJ62" s="2" t="s">
        <v>229</v>
      </c>
      <c r="AK62" s="2" t="s">
        <v>244</v>
      </c>
      <c r="AL62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2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2" s="2" t="str">
        <f>SUBSTITUTE(SUBSTITUTE(PROPERTIES[[#This Row],[PURCHASECOST_VALUE]], "PURCHASECOST_", ""), "_VALUE", "")</f>
        <v>ELECTRICRAILBUS</v>
      </c>
      <c r="AO62" s="44" t="b">
        <v>0</v>
      </c>
      <c r="AP62" s="48" t="b">
        <v>0</v>
      </c>
      <c r="AQ62" s="48" t="b">
        <v>0</v>
      </c>
      <c r="AR62" s="48">
        <v>0</v>
      </c>
      <c r="AS62" s="48" t="b">
        <v>0</v>
      </c>
      <c r="AT62" s="7" t="b">
        <v>0</v>
      </c>
      <c r="AU62" s="40" t="str" cm="1">
        <f t="array" ref="AU62">_xlfn.XLOOKUP(PROPERTIES[[#This Row],[VEHIDCODE]],GRAPHICS_PROPERTIES[VEHIDCODE],GRAPHICS_PROPERTIES[TEMPLATE_ID]&amp;GRAPHICS_PROPERTIES[TEMPLATE_AMENDMENT_CODE])</f>
        <v>TPL_01B</v>
      </c>
    </row>
    <row r="63" spans="1:47" x14ac:dyDescent="0.35">
      <c r="A63" s="2" t="s">
        <v>2706</v>
      </c>
      <c r="B63">
        <v>1955</v>
      </c>
      <c r="C63">
        <v>1987</v>
      </c>
      <c r="D63" cm="1">
        <f t="array" ref="D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" s="40" t="str">
        <f>_xlfn.XLOOKUP(PROPERTIES[[#This Row],[VEHIDCODE]],CONTROL[VEHIDCODE],CONTROL[ENGLISH])</f>
        <v>ASJ Y6</v>
      </c>
      <c r="F63" t="s">
        <v>722</v>
      </c>
      <c r="G63" s="40" t="str">
        <f>_xlfn.XLOOKUP(PROPERTIES[[#This Row],[COUNTRY]],COUNTRIES[COUNTRY_DESCRIPTION],COUNTRIES[COUNTRY_LABEL],"")</f>
        <v>SE</v>
      </c>
      <c r="H63" t="str" cm="1">
        <f t="array" ref="H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" t="s">
        <v>15</v>
      </c>
      <c r="J63">
        <v>90</v>
      </c>
      <c r="K63">
        <v>6</v>
      </c>
      <c r="L63">
        <v>0</v>
      </c>
      <c r="M63" t="str" cm="1">
        <f t="array" ref="M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3">
        <f>_xlfn.XLOOKUP("LOADINGSPEEDDEF_"&amp;PROPERTIES[[#This Row],[LOADINGSPEED]],LOADINGSPEEDDEF[TYPE],LOADINGSPEEDDEF[SPEED])</f>
        <v>60</v>
      </c>
      <c r="O63" cm="1">
        <f t="array" ref="O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">
        <f>IF(ISNUMBER(SEARCH("passenger",PROPERTIES[[#This Row],[CARGODEF]])),1,0)</f>
        <v>1</v>
      </c>
      <c r="Q63" s="23">
        <v>21</v>
      </c>
      <c r="R63">
        <v>230</v>
      </c>
      <c r="S63">
        <v>0</v>
      </c>
      <c r="T63">
        <v>0</v>
      </c>
      <c r="U63">
        <v>0</v>
      </c>
      <c r="V63">
        <v>110</v>
      </c>
      <c r="W63">
        <v>0</v>
      </c>
      <c r="X63">
        <v>0</v>
      </c>
      <c r="Y63">
        <v>0</v>
      </c>
      <c r="Z63" s="20">
        <v>15</v>
      </c>
      <c r="AA63" s="19">
        <f>IFERROR(PROPERTIES[[#This Row],[TE_STARTING_KN]]/(PROPERTIES[[#This Row],[WEIGHT]]*9.81),0)</f>
        <v>7.2811999417503992E-2</v>
      </c>
      <c r="AB63" s="19">
        <v>0</v>
      </c>
      <c r="AC63" s="16">
        <f>ROUND(IF(IFERROR(PROPERTIES[[#This Row],[TE_COEFFICIENT_CALC]],0)=0,PROPERTIES[[#This Row],[TE_COEFFICIENT_MANUAL]],PROPERTIES[[#This Row],[TE_COEFFICIENT_CALC]]),3)</f>
        <v>7.2999999999999995E-2</v>
      </c>
      <c r="AD63" s="8" cm="1">
        <f t="array" ref="AD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" s="26">
        <v>0</v>
      </c>
      <c r="AF63" s="6">
        <v>0</v>
      </c>
      <c r="AG63" t="s">
        <v>234</v>
      </c>
      <c r="AH63" t="s">
        <v>229</v>
      </c>
      <c r="AI63" t="s">
        <v>229</v>
      </c>
      <c r="AJ63" s="2" t="s">
        <v>229</v>
      </c>
      <c r="AK63" s="2" t="s">
        <v>244</v>
      </c>
      <c r="AL63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3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3" s="2" t="str">
        <f>SUBSTITUTE(SUBSTITUTE(PROPERTIES[[#This Row],[PURCHASECOST_VALUE]], "PURCHASECOST_", ""), "_VALUE", "")</f>
        <v>ELECTRICRAILBUS</v>
      </c>
      <c r="AO63" s="44" t="b">
        <v>0</v>
      </c>
      <c r="AP63" s="48" t="b">
        <v>1</v>
      </c>
      <c r="AQ63" s="48" t="b">
        <v>0</v>
      </c>
      <c r="AR63" s="48">
        <v>0</v>
      </c>
      <c r="AS63" s="48" t="b">
        <v>0</v>
      </c>
      <c r="AT63" s="7" t="b">
        <v>0</v>
      </c>
      <c r="AU63" s="40" t="str" cm="1">
        <f t="array" ref="AU63">_xlfn.XLOOKUP(PROPERTIES[[#This Row],[VEHIDCODE]],GRAPHICS_PROPERTIES[VEHIDCODE],GRAPHICS_PROPERTIES[TEMPLATE_ID]&amp;GRAPHICS_PROPERTIES[TEMPLATE_AMENDMENT_CODE])</f>
        <v>TPL_01B</v>
      </c>
    </row>
    <row r="64" spans="1:47" x14ac:dyDescent="0.35">
      <c r="A64" s="2" t="s">
        <v>2707</v>
      </c>
      <c r="B64">
        <v>1963</v>
      </c>
      <c r="C64">
        <v>2012</v>
      </c>
      <c r="D64" cm="1">
        <f t="array" ref="D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" s="40" t="str">
        <f>_xlfn.XLOOKUP(PROPERTIES[[#This Row],[VEHIDCODE]],CONTROL[VEHIDCODE],CONTROL[ENGLISH])</f>
        <v>Budd Silverliner II</v>
      </c>
      <c r="F64" t="s">
        <v>757</v>
      </c>
      <c r="G64" s="40" t="str">
        <f>_xlfn.XLOOKUP(PROPERTIES[[#This Row],[COUNTRY]],COUNTRIES[COUNTRY_DESCRIPTION],COUNTRIES[COUNTRY_LABEL],"")</f>
        <v>US</v>
      </c>
      <c r="H64" t="str" cm="1">
        <f t="array" ref="H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" t="s">
        <v>15</v>
      </c>
      <c r="J64">
        <v>124</v>
      </c>
      <c r="K64">
        <v>8</v>
      </c>
      <c r="L64">
        <v>0</v>
      </c>
      <c r="M64" t="str" cm="1">
        <f t="array" ref="M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">
        <f>_xlfn.XLOOKUP("LOADINGSPEEDDEF_"&amp;PROPERTIES[[#This Row],[LOADINGSPEED]],LOADINGSPEEDDEF[TYPE],LOADINGSPEEDDEF[SPEED])</f>
        <v>60</v>
      </c>
      <c r="O64" cm="1">
        <f t="array" ref="O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4">
        <f>IF(ISNUMBER(SEARCH("passenger",PROPERTIES[[#This Row],[CARGODEF]])),1,0)</f>
        <v>1</v>
      </c>
      <c r="Q64" s="23">
        <v>46</v>
      </c>
      <c r="R64">
        <v>550</v>
      </c>
      <c r="S64">
        <v>0</v>
      </c>
      <c r="T64">
        <v>0</v>
      </c>
      <c r="U64">
        <v>0</v>
      </c>
      <c r="V64">
        <v>137</v>
      </c>
      <c r="W64">
        <v>0</v>
      </c>
      <c r="X64">
        <v>0</v>
      </c>
      <c r="Y64">
        <v>0</v>
      </c>
      <c r="Z64" s="20">
        <v>0</v>
      </c>
      <c r="AA64" s="19">
        <f>IFERROR(PROPERTIES[[#This Row],[TE_STARTING_KN]]/(PROPERTIES[[#This Row],[WEIGHT]]*9.81),0)</f>
        <v>0</v>
      </c>
      <c r="AB64" s="19">
        <v>0.18</v>
      </c>
      <c r="AC64" s="16">
        <f>ROUND(IF(IFERROR(PROPERTIES[[#This Row],[TE_COEFFICIENT_CALC]],0)=0,PROPERTIES[[#This Row],[TE_COEFFICIENT_MANUAL]],PROPERTIES[[#This Row],[TE_COEFFICIENT_CALC]]),3)</f>
        <v>0.18</v>
      </c>
      <c r="AD64" s="8" cm="1">
        <f t="array" ref="AD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64" s="26">
        <v>0</v>
      </c>
      <c r="AF64" s="6">
        <v>0</v>
      </c>
      <c r="AG64" t="s">
        <v>235</v>
      </c>
      <c r="AH64" t="s">
        <v>229</v>
      </c>
      <c r="AI64" t="s">
        <v>229</v>
      </c>
      <c r="AJ64" s="2" t="s">
        <v>229</v>
      </c>
      <c r="AK64" s="2" t="s">
        <v>244</v>
      </c>
      <c r="AL64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4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4" s="2" t="str">
        <f>SUBSTITUTE(SUBSTITUTE(PROPERTIES[[#This Row],[PURCHASECOST_VALUE]], "PURCHASECOST_", ""), "_VALUE", "")</f>
        <v>ELECTRICRAILBUS</v>
      </c>
      <c r="AO64" s="44" t="b">
        <v>0</v>
      </c>
      <c r="AP64" s="48" t="b">
        <v>1</v>
      </c>
      <c r="AQ64" s="48" t="b">
        <v>0</v>
      </c>
      <c r="AR64" s="48">
        <v>0</v>
      </c>
      <c r="AS64" s="48" t="b">
        <v>0</v>
      </c>
      <c r="AT64" s="7" t="b">
        <v>0</v>
      </c>
      <c r="AU64" s="40" t="str" cm="1">
        <f t="array" ref="AU64">_xlfn.XLOOKUP(PROPERTIES[[#This Row],[VEHIDCODE]],GRAPHICS_PROPERTIES[VEHIDCODE],GRAPHICS_PROPERTIES[TEMPLATE_ID]&amp;GRAPHICS_PROPERTIES[TEMPLATE_AMENDMENT_CODE])</f>
        <v>TPL_01B</v>
      </c>
    </row>
    <row r="65" spans="1:47" x14ac:dyDescent="0.35">
      <c r="A65" s="2" t="s">
        <v>2708</v>
      </c>
      <c r="B65">
        <v>2010</v>
      </c>
      <c r="D65" cm="1">
        <f t="array" ref="D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" s="40" t="str">
        <f>_xlfn.XLOOKUP(PROPERTIES[[#This Row],[VEHIDCODE]],CONTROL[VEHIDCODE],CONTROL[ENGLISH])</f>
        <v>Hyundai Rotem Silverliner V</v>
      </c>
      <c r="F65" t="s">
        <v>757</v>
      </c>
      <c r="G65" s="40" t="str">
        <f>_xlfn.XLOOKUP(PROPERTIES[[#This Row],[COUNTRY]],COUNTRIES[COUNTRY_DESCRIPTION],COUNTRIES[COUNTRY_LABEL],"")</f>
        <v>US</v>
      </c>
      <c r="H65" t="str" cm="1">
        <f t="array" ref="H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5" t="s">
        <v>15</v>
      </c>
      <c r="J65">
        <v>110</v>
      </c>
      <c r="K65">
        <v>8</v>
      </c>
      <c r="L65">
        <v>0</v>
      </c>
      <c r="M65" t="str" cm="1">
        <f t="array" ref="M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65">
        <f>_xlfn.XLOOKUP("LOADINGSPEEDDEF_"&amp;PROPERTIES[[#This Row],[LOADINGSPEED]],LOADINGSPEEDDEF[TYPE],LOADINGSPEEDDEF[SPEED])</f>
        <v>20</v>
      </c>
      <c r="O65" t="str" cm="1">
        <f t="array" ref="O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">
        <f>IF(ISNUMBER(SEARCH("passenger",PROPERTIES[[#This Row],[CARGODEF]])),1,0)</f>
        <v>1</v>
      </c>
      <c r="Q65" s="23">
        <v>66</v>
      </c>
      <c r="R65">
        <v>680</v>
      </c>
      <c r="S65">
        <v>0</v>
      </c>
      <c r="T65">
        <v>0</v>
      </c>
      <c r="U65">
        <v>0</v>
      </c>
      <c r="V65">
        <v>180</v>
      </c>
      <c r="W65">
        <v>0</v>
      </c>
      <c r="X65">
        <v>0</v>
      </c>
      <c r="Y65">
        <v>0</v>
      </c>
      <c r="Z65" s="20">
        <v>0</v>
      </c>
      <c r="AA65" s="19">
        <f>IFERROR(PROPERTIES[[#This Row],[TE_STARTING_KN]]/(PROPERTIES[[#This Row],[WEIGHT]]*9.81),0)</f>
        <v>0</v>
      </c>
      <c r="AB65" s="19">
        <v>0.17</v>
      </c>
      <c r="AC65" s="16">
        <f>ROUND(IF(IFERROR(PROPERTIES[[#This Row],[TE_COEFFICIENT_CALC]],0)=0,PROPERTIES[[#This Row],[TE_COEFFICIENT_MANUAL]],PROPERTIES[[#This Row],[TE_COEFFICIENT_CALC]]),3)</f>
        <v>0.17</v>
      </c>
      <c r="AD65" s="8" cm="1">
        <f t="array" ref="AD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5" s="26">
        <v>0</v>
      </c>
      <c r="AF65" s="6">
        <v>0</v>
      </c>
      <c r="AG65" t="s">
        <v>235</v>
      </c>
      <c r="AH65" t="s">
        <v>229</v>
      </c>
      <c r="AI65" t="s">
        <v>229</v>
      </c>
      <c r="AJ65" s="2" t="s">
        <v>229</v>
      </c>
      <c r="AK65" s="2" t="s">
        <v>244</v>
      </c>
      <c r="AL65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5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5" s="2" t="str">
        <f>SUBSTITUTE(SUBSTITUTE(PROPERTIES[[#This Row],[PURCHASECOST_VALUE]], "PURCHASECOST_", ""), "_VALUE", "")</f>
        <v>ELECTRICRAILBUS</v>
      </c>
      <c r="AO65" s="44" t="b">
        <v>0</v>
      </c>
      <c r="AP65" s="48" t="b">
        <v>1</v>
      </c>
      <c r="AQ65" s="48" t="b">
        <v>0</v>
      </c>
      <c r="AR65" s="48">
        <v>0</v>
      </c>
      <c r="AS65" s="48" t="b">
        <v>0</v>
      </c>
      <c r="AT65" s="7" t="b">
        <v>0</v>
      </c>
      <c r="AU65" s="40" t="str" cm="1">
        <f t="array" ref="AU65">_xlfn.XLOOKUP(PROPERTIES[[#This Row],[VEHIDCODE]],GRAPHICS_PROPERTIES[VEHIDCODE],GRAPHICS_PROPERTIES[TEMPLATE_ID]&amp;GRAPHICS_PROPERTIES[TEMPLATE_AMENDMENT_CODE])</f>
        <v>TPL_01B</v>
      </c>
    </row>
    <row r="66" spans="1:47" x14ac:dyDescent="0.35">
      <c r="A66" s="2" t="s">
        <v>2709</v>
      </c>
      <c r="B66">
        <v>1835</v>
      </c>
      <c r="C66">
        <v>1869</v>
      </c>
      <c r="D66" cm="1">
        <f t="array" ref="D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" s="40" t="str">
        <f>_xlfn.XLOOKUP(PROPERTIES[[#This Row],[VEHIDCODE]],CONTROL[VEHIDCODE],CONTROL[ENGLISH])</f>
        <v>John Cockerill &amp; Cie. Le Belge</v>
      </c>
      <c r="F66" t="s">
        <v>548</v>
      </c>
      <c r="G66" s="40" t="str">
        <f>_xlfn.XLOOKUP(PROPERTIES[[#This Row],[COUNTRY]],COUNTRIES[COUNTRY_DESCRIPTION],COUNTRIES[COUNTRY_LABEL],"")</f>
        <v>BE</v>
      </c>
      <c r="H66" t="str" cm="1">
        <f t="array" ref="H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6" t="s">
        <v>17</v>
      </c>
      <c r="J66">
        <v>0</v>
      </c>
      <c r="K66">
        <v>7</v>
      </c>
      <c r="L66">
        <v>0</v>
      </c>
      <c r="M66" t="str" cm="1">
        <f t="array" ref="M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">
        <f>_xlfn.XLOOKUP("LOADINGSPEEDDEF_"&amp;PROPERTIES[[#This Row],[LOADINGSPEED]],LOADINGSPEEDDEF[TYPE],LOADINGSPEEDDEF[SPEED])</f>
        <v>20</v>
      </c>
      <c r="O66" cm="1">
        <f t="array" ref="O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6">
        <f>IF(ISNUMBER(SEARCH("passenger",PROPERTIES[[#This Row],[CARGODEF]])),1,0)</f>
        <v>0</v>
      </c>
      <c r="Q66" s="23">
        <v>60</v>
      </c>
      <c r="R66">
        <v>50</v>
      </c>
      <c r="S66">
        <v>0</v>
      </c>
      <c r="T66">
        <v>0</v>
      </c>
      <c r="U66">
        <v>0</v>
      </c>
      <c r="V66">
        <v>35</v>
      </c>
      <c r="W66">
        <v>0</v>
      </c>
      <c r="X66">
        <v>0</v>
      </c>
      <c r="Y66">
        <v>0</v>
      </c>
      <c r="Z66" s="20">
        <v>12.65</v>
      </c>
      <c r="AA66" s="19">
        <f>IFERROR(PROPERTIES[[#This Row],[TE_STARTING_KN]]/(PROPERTIES[[#This Row],[WEIGHT]]*9.81),0)</f>
        <v>2.1491675161399933E-2</v>
      </c>
      <c r="AB66" s="19">
        <v>0</v>
      </c>
      <c r="AC66" s="16">
        <f>ROUND(IF(IFERROR(PROPERTIES[[#This Row],[TE_COEFFICIENT_CALC]],0)=0,PROPERTIES[[#This Row],[TE_COEFFICIENT_MANUAL]],PROPERTIES[[#This Row],[TE_COEFFICIENT_CALC]]),3)</f>
        <v>2.1000000000000001E-2</v>
      </c>
      <c r="AD66" s="8" cm="1">
        <f t="array" ref="AD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66" s="26">
        <v>0</v>
      </c>
      <c r="AF66" s="6">
        <v>0</v>
      </c>
      <c r="AG66" t="s">
        <v>230</v>
      </c>
      <c r="AH66" t="s">
        <v>229</v>
      </c>
      <c r="AI66" t="s">
        <v>229</v>
      </c>
      <c r="AJ66" s="2" t="s">
        <v>229</v>
      </c>
      <c r="AK66" s="2" t="s">
        <v>244</v>
      </c>
      <c r="AL6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6" s="2" t="str">
        <f>SUBSTITUTE(SUBSTITUTE(PROPERTIES[[#This Row],[PURCHASECOST_VALUE]], "PURCHASECOST_", ""), "_VALUE", "")</f>
        <v>STEAMENGINE</v>
      </c>
      <c r="AO66" s="44" t="b">
        <v>0</v>
      </c>
      <c r="AP66" s="48" t="b">
        <v>0</v>
      </c>
      <c r="AQ66" s="48" t="b">
        <v>0</v>
      </c>
      <c r="AR66" s="48">
        <v>0</v>
      </c>
      <c r="AS66" s="48" t="b">
        <v>0</v>
      </c>
      <c r="AT66" s="7" t="b">
        <v>0</v>
      </c>
      <c r="AU66" s="40" t="str" cm="1">
        <f t="array" ref="AU66">_xlfn.XLOOKUP(PROPERTIES[[#This Row],[VEHIDCODE]],GRAPHICS_PROPERTIES[VEHIDCODE],GRAPHICS_PROPERTIES[TEMPLATE_ID]&amp;GRAPHICS_PROPERTIES[TEMPLATE_AMENDMENT_CODE])</f>
        <v>TPL_03C</v>
      </c>
    </row>
    <row r="67" spans="1:47" x14ac:dyDescent="0.35">
      <c r="A67" s="2" t="s">
        <v>2710</v>
      </c>
      <c r="B67">
        <v>1857</v>
      </c>
      <c r="D67" cm="1">
        <f t="array" ref="D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" s="40" t="str">
        <f>_xlfn.XLOOKUP(PROPERTIES[[#This Row],[VEHIDCODE]],CONTROL[VEHIDCODE],CONTROL[ENGLISH])</f>
        <v>Breese, Kneeland &amp; Co. 4-4-0 'No 1'</v>
      </c>
      <c r="F67" t="s">
        <v>757</v>
      </c>
      <c r="G67" s="40" t="str">
        <f>_xlfn.XLOOKUP(PROPERTIES[[#This Row],[COUNTRY]],COUNTRIES[COUNTRY_DESCRIPTION],COUNTRIES[COUNTRY_LABEL],"")</f>
        <v>US</v>
      </c>
      <c r="H67" t="str" cm="1">
        <f t="array" ref="H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7" t="s">
        <v>17</v>
      </c>
      <c r="J67">
        <v>0</v>
      </c>
      <c r="K67">
        <v>6</v>
      </c>
      <c r="L67">
        <v>0</v>
      </c>
      <c r="M67" t="str" cm="1">
        <f t="array" ref="M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">
        <f>_xlfn.XLOOKUP("LOADINGSPEEDDEF_"&amp;PROPERTIES[[#This Row],[LOADINGSPEED]],LOADINGSPEEDDEF[TYPE],LOADINGSPEEDDEF[SPEED])</f>
        <v>20</v>
      </c>
      <c r="O67" cm="1">
        <f t="array" ref="O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7">
        <f>IF(ISNUMBER(SEARCH("passenger",PROPERTIES[[#This Row],[CARGODEF]])),1,0)</f>
        <v>0</v>
      </c>
      <c r="Q67" s="23">
        <v>23</v>
      </c>
      <c r="R67">
        <v>250</v>
      </c>
      <c r="S67">
        <v>0</v>
      </c>
      <c r="T67">
        <v>0</v>
      </c>
      <c r="U67">
        <v>0</v>
      </c>
      <c r="V67">
        <v>96</v>
      </c>
      <c r="W67">
        <v>0</v>
      </c>
      <c r="X67">
        <v>0</v>
      </c>
      <c r="Y67">
        <v>0</v>
      </c>
      <c r="Z67" s="20">
        <v>32.1</v>
      </c>
      <c r="AA67" s="19">
        <f>IFERROR(PROPERTIES[[#This Row],[TE_STARTING_KN]]/(PROPERTIES[[#This Row],[WEIGHT]]*9.81),0)</f>
        <v>0.14226831538359261</v>
      </c>
      <c r="AB67" s="19">
        <v>0</v>
      </c>
      <c r="AC67" s="16">
        <f>ROUND(IF(IFERROR(PROPERTIES[[#This Row],[TE_COEFFICIENT_CALC]],0)=0,PROPERTIES[[#This Row],[TE_COEFFICIENT_MANUAL]],PROPERTIES[[#This Row],[TE_COEFFICIENT_CALC]]),3)</f>
        <v>0.14199999999999999</v>
      </c>
      <c r="AD67" s="8" cm="1">
        <f t="array" ref="AD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67" s="26">
        <v>0</v>
      </c>
      <c r="AF67" s="6">
        <v>4</v>
      </c>
      <c r="AG67" t="s">
        <v>235</v>
      </c>
      <c r="AH67" t="s">
        <v>229</v>
      </c>
      <c r="AI67" t="s">
        <v>229</v>
      </c>
      <c r="AJ67" s="2" t="s">
        <v>229</v>
      </c>
      <c r="AK67" s="2" t="s">
        <v>244</v>
      </c>
      <c r="AL6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7" s="2" t="str">
        <f>SUBSTITUTE(SUBSTITUTE(PROPERTIES[[#This Row],[PURCHASECOST_VALUE]], "PURCHASECOST_", ""), "_VALUE", "")</f>
        <v>STEAMENGINE</v>
      </c>
      <c r="AO67" s="44" t="b">
        <v>0</v>
      </c>
      <c r="AP67" s="48" t="b">
        <v>0</v>
      </c>
      <c r="AQ67" s="48" t="b">
        <v>0</v>
      </c>
      <c r="AR67" s="48">
        <v>0</v>
      </c>
      <c r="AS67" s="48" t="b">
        <v>0</v>
      </c>
      <c r="AT67" s="7" t="b">
        <v>0</v>
      </c>
      <c r="AU67" s="40" t="str" cm="1">
        <f t="array" ref="AU67">_xlfn.XLOOKUP(PROPERTIES[[#This Row],[VEHIDCODE]],GRAPHICS_PROPERTIES[VEHIDCODE],GRAPHICS_PROPERTIES[TEMPLATE_ID]&amp;GRAPHICS_PROPERTIES[TEMPLATE_AMENDMENT_CODE])</f>
        <v>TPL_03A</v>
      </c>
    </row>
    <row r="68" spans="1:47" x14ac:dyDescent="0.35">
      <c r="A68" s="2" t="s">
        <v>2711</v>
      </c>
      <c r="B68">
        <v>1854</v>
      </c>
      <c r="C68">
        <v>1886</v>
      </c>
      <c r="D68" cm="1">
        <f t="array" ref="D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" s="40" t="str">
        <f>_xlfn.XLOOKUP(PROPERTIES[[#This Row],[VEHIDCODE]],CONTROL[VEHIDCODE],CONTROL[ENGLISH])</f>
        <v>Esslingen Ec 2/5</v>
      </c>
      <c r="F68" t="s">
        <v>570</v>
      </c>
      <c r="G68" s="40" t="str">
        <f>_xlfn.XLOOKUP(PROPERTIES[[#This Row],[COUNTRY]],COUNTRIES[COUNTRY_DESCRIPTION],COUNTRIES[COUNTRY_LABEL],"")</f>
        <v>CH</v>
      </c>
      <c r="H68" t="str" cm="1">
        <f t="array" ref="H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8" t="s">
        <v>17</v>
      </c>
      <c r="J68">
        <v>0</v>
      </c>
      <c r="K68">
        <v>5</v>
      </c>
      <c r="L68">
        <v>0</v>
      </c>
      <c r="M68" t="str" cm="1">
        <f t="array" ref="M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">
        <f>_xlfn.XLOOKUP("LOADINGSPEEDDEF_"&amp;PROPERTIES[[#This Row],[LOADINGSPEED]],LOADINGSPEEDDEF[TYPE],LOADINGSPEEDDEF[SPEED])</f>
        <v>20</v>
      </c>
      <c r="O68" cm="1">
        <f t="array" ref="O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8">
        <f>IF(ISNUMBER(SEARCH("passenger",PROPERTIES[[#This Row],[CARGODEF]])),1,0)</f>
        <v>0</v>
      </c>
      <c r="Q68" s="23">
        <v>45</v>
      </c>
      <c r="R68">
        <v>400</v>
      </c>
      <c r="S68">
        <v>0</v>
      </c>
      <c r="T68">
        <v>0</v>
      </c>
      <c r="U68">
        <v>0</v>
      </c>
      <c r="V68">
        <v>60</v>
      </c>
      <c r="W68">
        <v>0</v>
      </c>
      <c r="X68">
        <v>0</v>
      </c>
      <c r="Y68">
        <v>0</v>
      </c>
      <c r="Z68" s="20">
        <v>0</v>
      </c>
      <c r="AA68" s="19">
        <f>IFERROR(PROPERTIES[[#This Row],[TE_STARTING_KN]]/(PROPERTIES[[#This Row],[WEIGHT]]*9.81),0)</f>
        <v>0</v>
      </c>
      <c r="AB68" s="19">
        <v>0.2</v>
      </c>
      <c r="AC68" s="16">
        <f>ROUND(IF(IFERROR(PROPERTIES[[#This Row],[TE_COEFFICIENT_CALC]],0)=0,PROPERTIES[[#This Row],[TE_COEFFICIENT_MANUAL]],PROPERTIES[[#This Row],[TE_COEFFICIENT_CALC]]),3)</f>
        <v>0.2</v>
      </c>
      <c r="AD68" s="8" cm="1">
        <f t="array" ref="AD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68" s="26">
        <v>0</v>
      </c>
      <c r="AF68" s="6">
        <v>0</v>
      </c>
      <c r="AG68" t="s">
        <v>230</v>
      </c>
      <c r="AH68" t="s">
        <v>229</v>
      </c>
      <c r="AI68" t="s">
        <v>229</v>
      </c>
      <c r="AJ68" s="2" t="s">
        <v>229</v>
      </c>
      <c r="AK68" s="2" t="s">
        <v>244</v>
      </c>
      <c r="AL6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8" s="2" t="str">
        <f>SUBSTITUTE(SUBSTITUTE(PROPERTIES[[#This Row],[PURCHASECOST_VALUE]], "PURCHASECOST_", ""), "_VALUE", "")</f>
        <v>STEAMENGINE</v>
      </c>
      <c r="AO68" s="44" t="b">
        <v>0</v>
      </c>
      <c r="AP68" s="48" t="b">
        <v>0</v>
      </c>
      <c r="AQ68" s="48" t="b">
        <v>0</v>
      </c>
      <c r="AR68" s="48">
        <v>0</v>
      </c>
      <c r="AS68" s="48" t="b">
        <v>0</v>
      </c>
      <c r="AT68" s="7" t="b">
        <v>0</v>
      </c>
      <c r="AU68" s="40" t="str" cm="1">
        <f t="array" ref="AU68">_xlfn.XLOOKUP(PROPERTIES[[#This Row],[VEHIDCODE]],GRAPHICS_PROPERTIES[VEHIDCODE],GRAPHICS_PROPERTIES[TEMPLATE_ID]&amp;GRAPHICS_PROPERTIES[TEMPLATE_AMENDMENT_CODE])</f>
        <v>TPL_03C</v>
      </c>
    </row>
    <row r="69" spans="1:47" x14ac:dyDescent="0.35">
      <c r="A69" s="2" t="s">
        <v>2712</v>
      </c>
      <c r="B69">
        <v>1869</v>
      </c>
      <c r="D69" cm="1">
        <f t="array" ref="D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" s="40" t="str">
        <f>_xlfn.XLOOKUP(PROPERTIES[[#This Row],[VEHIDCODE]],CONTROL[VEHIDCODE],CONTROL[ENGLISH])</f>
        <v>Baldwin Class D 4-6-0 'Ten-wheeler'</v>
      </c>
      <c r="F69" t="s">
        <v>757</v>
      </c>
      <c r="G69" s="40" t="str">
        <f>_xlfn.XLOOKUP(PROPERTIES[[#This Row],[COUNTRY]],COUNTRIES[COUNTRY_DESCRIPTION],COUNTRIES[COUNTRY_LABEL],"")</f>
        <v>US</v>
      </c>
      <c r="H69" t="str" cm="1">
        <f t="array" ref="H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9" t="s">
        <v>17</v>
      </c>
      <c r="J69">
        <v>0</v>
      </c>
      <c r="K69">
        <v>7</v>
      </c>
      <c r="L69">
        <v>0</v>
      </c>
      <c r="M69" t="str" cm="1">
        <f t="array" ref="M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">
        <f>_xlfn.XLOOKUP("LOADINGSPEEDDEF_"&amp;PROPERTIES[[#This Row],[LOADINGSPEED]],LOADINGSPEEDDEF[TYPE],LOADINGSPEEDDEF[SPEED])</f>
        <v>20</v>
      </c>
      <c r="O69" cm="1">
        <f t="array" ref="O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9">
        <f>IF(ISNUMBER(SEARCH("passenger",PROPERTIES[[#This Row],[CARGODEF]])),1,0)</f>
        <v>0</v>
      </c>
      <c r="Q69" s="23">
        <v>57</v>
      </c>
      <c r="R69">
        <v>375</v>
      </c>
      <c r="S69">
        <v>0</v>
      </c>
      <c r="T69">
        <v>0</v>
      </c>
      <c r="U69">
        <v>0</v>
      </c>
      <c r="V69">
        <v>95</v>
      </c>
      <c r="W69">
        <v>0</v>
      </c>
      <c r="X69">
        <v>0</v>
      </c>
      <c r="Y69">
        <v>0</v>
      </c>
      <c r="Z69" s="20">
        <f>13524*0.00445</f>
        <v>60.181800000000003</v>
      </c>
      <c r="AA69" s="19">
        <f>IFERROR(PROPERTIES[[#This Row],[TE_STARTING_KN]]/(PROPERTIES[[#This Row],[WEIGHT]]*9.81),0)</f>
        <v>0.10762701861687858</v>
      </c>
      <c r="AB69" s="19">
        <v>0</v>
      </c>
      <c r="AC69" s="16">
        <f>ROUND(IF(IFERROR(PROPERTIES[[#This Row],[TE_COEFFICIENT_CALC]],0)=0,PROPERTIES[[#This Row],[TE_COEFFICIENT_MANUAL]],PROPERTIES[[#This Row],[TE_COEFFICIENT_CALC]]),3)</f>
        <v>0.108</v>
      </c>
      <c r="AD69" s="8" cm="1">
        <f t="array" ref="AD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69" s="26">
        <v>0</v>
      </c>
      <c r="AF69" s="6">
        <v>4</v>
      </c>
      <c r="AG69" t="s">
        <v>235</v>
      </c>
      <c r="AH69" t="s">
        <v>229</v>
      </c>
      <c r="AI69" t="s">
        <v>229</v>
      </c>
      <c r="AJ69" s="2" t="s">
        <v>229</v>
      </c>
      <c r="AK69" s="2" t="s">
        <v>244</v>
      </c>
      <c r="AL6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9" s="2" t="str">
        <f>SUBSTITUTE(SUBSTITUTE(PROPERTIES[[#This Row],[PURCHASECOST_VALUE]], "PURCHASECOST_", ""), "_VALUE", "")</f>
        <v>STEAMENGINE</v>
      </c>
      <c r="AO69" s="44" t="b">
        <v>0</v>
      </c>
      <c r="AP69" s="48" t="b">
        <v>0</v>
      </c>
      <c r="AQ69" s="48" t="b">
        <v>0</v>
      </c>
      <c r="AR69" s="48">
        <v>0</v>
      </c>
      <c r="AS69" s="48" t="b">
        <v>0</v>
      </c>
      <c r="AT69" s="7" t="b">
        <v>0</v>
      </c>
      <c r="AU69" s="40" t="str" cm="1">
        <f t="array" ref="AU69">_xlfn.XLOOKUP(PROPERTIES[[#This Row],[VEHIDCODE]],GRAPHICS_PROPERTIES[VEHIDCODE],GRAPHICS_PROPERTIES[TEMPLATE_ID]&amp;GRAPHICS_PROPERTIES[TEMPLATE_AMENDMENT_CODE])</f>
        <v>TPL_03A</v>
      </c>
    </row>
    <row r="70" spans="1:47" x14ac:dyDescent="0.35">
      <c r="A70" s="2" t="s">
        <v>2713</v>
      </c>
      <c r="B70">
        <v>1875</v>
      </c>
      <c r="D70" cm="1">
        <f t="array" ref="D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" s="40" t="str">
        <f>_xlfn.XLOOKUP(PROPERTIES[[#This Row],[VEHIDCODE]],CONTROL[VEHIDCODE],CONTROL[ENGLISH])</f>
        <v>Baldwin 2-8-0 'Consolidation'</v>
      </c>
      <c r="F70" t="s">
        <v>757</v>
      </c>
      <c r="G70" s="40" t="str">
        <f>_xlfn.XLOOKUP(PROPERTIES[[#This Row],[COUNTRY]],COUNTRIES[COUNTRY_DESCRIPTION],COUNTRIES[COUNTRY_LABEL],"")</f>
        <v>US</v>
      </c>
      <c r="H70" t="str" cm="1">
        <f t="array" ref="H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0" t="s">
        <v>17</v>
      </c>
      <c r="J70">
        <v>0</v>
      </c>
      <c r="K70">
        <v>8</v>
      </c>
      <c r="M70" t="str" cm="1">
        <f t="array" ref="M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">
        <f>_xlfn.XLOOKUP("LOADINGSPEEDDEF_"&amp;PROPERTIES[[#This Row],[LOADINGSPEED]],LOADINGSPEEDDEF[TYPE],LOADINGSPEEDDEF[SPEED])</f>
        <v>20</v>
      </c>
      <c r="O70" cm="1">
        <f t="array" ref="O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0">
        <f>IF(ISNUMBER(SEARCH("passenger",PROPERTIES[[#This Row],[CARGODEF]])),1,0)</f>
        <v>0</v>
      </c>
      <c r="Q70" s="23">
        <v>71</v>
      </c>
      <c r="R70">
        <v>475</v>
      </c>
      <c r="S70">
        <v>0</v>
      </c>
      <c r="T70">
        <v>0</v>
      </c>
      <c r="U70">
        <v>0</v>
      </c>
      <c r="V70">
        <v>55</v>
      </c>
      <c r="W70">
        <v>0</v>
      </c>
      <c r="X70">
        <v>0</v>
      </c>
      <c r="Y70">
        <v>0</v>
      </c>
      <c r="Z70" s="20">
        <f>20400*0.00445</f>
        <v>90.78</v>
      </c>
      <c r="AA70" s="19">
        <f>IFERROR(PROPERTIES[[#This Row],[TE_STARTING_KN]]/(PROPERTIES[[#This Row],[WEIGHT]]*9.81),0)</f>
        <v>0.13033552999956929</v>
      </c>
      <c r="AB70" s="19">
        <v>0</v>
      </c>
      <c r="AC70" s="16">
        <f>ROUND(IF(IFERROR(PROPERTIES[[#This Row],[TE_COEFFICIENT_CALC]],0)=0,PROPERTIES[[#This Row],[TE_COEFFICIENT_MANUAL]],PROPERTIES[[#This Row],[TE_COEFFICIENT_CALC]]),3)</f>
        <v>0.13</v>
      </c>
      <c r="AD70" s="8" cm="1">
        <f t="array" ref="AD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0" s="26">
        <v>0</v>
      </c>
      <c r="AF70" s="6">
        <v>5</v>
      </c>
      <c r="AG70" t="s">
        <v>235</v>
      </c>
      <c r="AH70" t="s">
        <v>229</v>
      </c>
      <c r="AI70" t="s">
        <v>229</v>
      </c>
      <c r="AJ70" s="2" t="s">
        <v>229</v>
      </c>
      <c r="AK70" s="2" t="s">
        <v>244</v>
      </c>
      <c r="AL7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0" s="2" t="str">
        <f>SUBSTITUTE(SUBSTITUTE(PROPERTIES[[#This Row],[PURCHASECOST_VALUE]], "PURCHASECOST_", ""), "_VALUE", "")</f>
        <v>STEAMENGINE</v>
      </c>
      <c r="AO70" s="44" t="b">
        <v>0</v>
      </c>
      <c r="AP70" s="48" t="b">
        <v>0</v>
      </c>
      <c r="AQ70" s="48" t="b">
        <v>0</v>
      </c>
      <c r="AR70" s="48">
        <v>0</v>
      </c>
      <c r="AS70" s="48" t="b">
        <v>0</v>
      </c>
      <c r="AT70" s="7" t="b">
        <v>0</v>
      </c>
      <c r="AU70" s="40" t="str" cm="1">
        <f t="array" ref="AU70">_xlfn.XLOOKUP(PROPERTIES[[#This Row],[VEHIDCODE]],GRAPHICS_PROPERTIES[VEHIDCODE],GRAPHICS_PROPERTIES[TEMPLATE_ID]&amp;GRAPHICS_PROPERTIES[TEMPLATE_AMENDMENT_CODE])</f>
        <v>TPL_03A</v>
      </c>
    </row>
    <row r="71" spans="1:47" x14ac:dyDescent="0.35">
      <c r="A71" s="2" t="s">
        <v>2714</v>
      </c>
      <c r="B71">
        <v>1885</v>
      </c>
      <c r="C71">
        <v>1937</v>
      </c>
      <c r="D71" cm="1">
        <f t="array" ref="D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" s="40" t="str">
        <f>_xlfn.XLOOKUP(PROPERTIES[[#This Row],[VEHIDCODE]],CONTROL[VEHIDCODE],CONTROL[ENGLISH])</f>
        <v>MAV 377</v>
      </c>
      <c r="F71" t="s">
        <v>626</v>
      </c>
      <c r="G71" s="40" t="str">
        <f>_xlfn.XLOOKUP(PROPERTIES[[#This Row],[COUNTRY]],COUNTRIES[COUNTRY_DESCRIPTION],COUNTRIES[COUNTRY_LABEL],"")</f>
        <v>HU</v>
      </c>
      <c r="H71" t="str" cm="1">
        <f t="array" ref="H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1" t="s">
        <v>17</v>
      </c>
      <c r="J71">
        <v>0</v>
      </c>
      <c r="K71">
        <v>6</v>
      </c>
      <c r="L71">
        <v>0</v>
      </c>
      <c r="M71" t="str" cm="1">
        <f t="array" ref="M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">
        <f>_xlfn.XLOOKUP("LOADINGSPEEDDEF_"&amp;PROPERTIES[[#This Row],[LOADINGSPEED]],LOADINGSPEEDDEF[TYPE],LOADINGSPEEDDEF[SPEED])</f>
        <v>20</v>
      </c>
      <c r="O71" cm="1">
        <f t="array" ref="O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1">
        <f>IF(ISNUMBER(SEARCH("passenger",PROPERTIES[[#This Row],[CARGODEF]])),1,0)</f>
        <v>0</v>
      </c>
      <c r="Q71" s="23">
        <v>27</v>
      </c>
      <c r="R71">
        <v>170</v>
      </c>
      <c r="S71">
        <v>0</v>
      </c>
      <c r="T71">
        <v>0</v>
      </c>
      <c r="U71">
        <v>0</v>
      </c>
      <c r="V71">
        <v>45</v>
      </c>
      <c r="W71">
        <v>0</v>
      </c>
      <c r="X71">
        <v>0</v>
      </c>
      <c r="Y71">
        <v>0</v>
      </c>
      <c r="Z71" s="20">
        <v>31.2</v>
      </c>
      <c r="AA71" s="19">
        <f>IFERROR(PROPERTIES[[#This Row],[TE_STARTING_KN]]/(PROPERTIES[[#This Row],[WEIGHT]]*9.81),0)</f>
        <v>0.11779363461320648</v>
      </c>
      <c r="AB71" s="19">
        <v>0</v>
      </c>
      <c r="AC71" s="16">
        <f>ROUND(IF(IFERROR(PROPERTIES[[#This Row],[TE_COEFFICIENT_CALC]],0)=0,PROPERTIES[[#This Row],[TE_COEFFICIENT_MANUAL]],PROPERTIES[[#This Row],[TE_COEFFICIENT_CALC]]),3)</f>
        <v>0.11799999999999999</v>
      </c>
      <c r="AD71" s="8" cm="1">
        <f t="array" ref="AD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71" s="26">
        <v>0</v>
      </c>
      <c r="AF71" s="6">
        <v>0</v>
      </c>
      <c r="AG71" t="s">
        <v>236</v>
      </c>
      <c r="AH71" t="s">
        <v>229</v>
      </c>
      <c r="AI71" t="s">
        <v>229</v>
      </c>
      <c r="AJ71" s="2" t="s">
        <v>229</v>
      </c>
      <c r="AK71" s="2" t="s">
        <v>244</v>
      </c>
      <c r="AL7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1" s="2" t="str">
        <f>SUBSTITUTE(SUBSTITUTE(PROPERTIES[[#This Row],[PURCHASECOST_VALUE]], "PURCHASECOST_", ""), "_VALUE", "")</f>
        <v>STEAMENGINE</v>
      </c>
      <c r="AO71" s="44" t="b">
        <v>0</v>
      </c>
      <c r="AP71" s="48" t="b">
        <v>0</v>
      </c>
      <c r="AQ71" s="48" t="b">
        <v>0</v>
      </c>
      <c r="AR71" s="48">
        <v>0</v>
      </c>
      <c r="AS71" s="48" t="b">
        <v>0</v>
      </c>
      <c r="AT71" s="7" t="b">
        <v>0</v>
      </c>
      <c r="AU71" s="40" t="str" cm="1">
        <f t="array" ref="AU71">_xlfn.XLOOKUP(PROPERTIES[[#This Row],[VEHIDCODE]],GRAPHICS_PROPERTIES[VEHIDCODE],GRAPHICS_PROPERTIES[TEMPLATE_ID]&amp;GRAPHICS_PROPERTIES[TEMPLATE_AMENDMENT_CODE])</f>
        <v>TPL_03C</v>
      </c>
    </row>
    <row r="72" spans="1:47" x14ac:dyDescent="0.35">
      <c r="A72" s="2" t="s">
        <v>2715</v>
      </c>
      <c r="B72">
        <v>1897</v>
      </c>
      <c r="C72">
        <v>1968</v>
      </c>
      <c r="D72" cm="1">
        <f t="array" ref="D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" s="40" t="str">
        <f>_xlfn.XLOOKUP(PROPERTIES[[#This Row],[VEHIDCODE]],CONTROL[VEHIDCODE],CONTROL[ENGLISH])</f>
        <v>Krauss KkStB 99</v>
      </c>
      <c r="F72" t="s">
        <v>540</v>
      </c>
      <c r="G72" s="40" t="str">
        <f>_xlfn.XLOOKUP(PROPERTIES[[#This Row],[COUNTRY]],COUNTRIES[COUNTRY_DESCRIPTION],COUNTRIES[COUNTRY_LABEL],"")</f>
        <v>AT</v>
      </c>
      <c r="H72" t="str" cm="1">
        <f t="array" ref="H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2" t="s">
        <v>17</v>
      </c>
      <c r="J72">
        <v>0</v>
      </c>
      <c r="K72">
        <v>6</v>
      </c>
      <c r="L72">
        <v>0</v>
      </c>
      <c r="M72" t="str" cm="1">
        <f t="array" ref="M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2">
        <f>_xlfn.XLOOKUP("LOADINGSPEEDDEF_"&amp;PROPERTIES[[#This Row],[LOADINGSPEED]],LOADINGSPEEDDEF[TYPE],LOADINGSPEEDDEF[SPEED])</f>
        <v>20</v>
      </c>
      <c r="O72" cm="1">
        <f t="array" ref="O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2">
        <f>IF(ISNUMBER(SEARCH("passenger",PROPERTIES[[#This Row],[CARGODEF]])),1,0)</f>
        <v>0</v>
      </c>
      <c r="Q72" s="23">
        <v>39</v>
      </c>
      <c r="R72">
        <v>320</v>
      </c>
      <c r="S72">
        <v>0</v>
      </c>
      <c r="T72">
        <v>0</v>
      </c>
      <c r="U72">
        <v>0</v>
      </c>
      <c r="V72">
        <v>50</v>
      </c>
      <c r="W72">
        <v>0</v>
      </c>
      <c r="X72">
        <v>0</v>
      </c>
      <c r="Y72">
        <v>0</v>
      </c>
      <c r="Z72" s="20">
        <v>0</v>
      </c>
      <c r="AA72" s="19">
        <f>IFERROR(PROPERTIES[[#This Row],[TE_STARTING_KN]]/(PROPERTIES[[#This Row],[WEIGHT]]*9.81),0)</f>
        <v>0</v>
      </c>
      <c r="AB72" s="19">
        <v>0.23</v>
      </c>
      <c r="AC72" s="16">
        <f>ROUND(IF(IFERROR(PROPERTIES[[#This Row],[TE_COEFFICIENT_CALC]],0)=0,PROPERTIES[[#This Row],[TE_COEFFICIENT_MANUAL]],PROPERTIES[[#This Row],[TE_COEFFICIENT_CALC]]),3)</f>
        <v>0.23</v>
      </c>
      <c r="AD72" s="8" cm="1">
        <f t="array" ref="AD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71</v>
      </c>
      <c r="AE72" s="26">
        <v>0</v>
      </c>
      <c r="AF72" s="6">
        <v>0</v>
      </c>
      <c r="AG72" t="s">
        <v>230</v>
      </c>
      <c r="AH72" t="s">
        <v>229</v>
      </c>
      <c r="AI72" t="s">
        <v>229</v>
      </c>
      <c r="AJ72" s="2" t="s">
        <v>229</v>
      </c>
      <c r="AK72" s="2" t="s">
        <v>244</v>
      </c>
      <c r="AL7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2" s="2" t="str">
        <f>SUBSTITUTE(SUBSTITUTE(PROPERTIES[[#This Row],[PURCHASECOST_VALUE]], "PURCHASECOST_", ""), "_VALUE", "")</f>
        <v>STEAMENGINE</v>
      </c>
      <c r="AO72" s="44" t="b">
        <v>0</v>
      </c>
      <c r="AP72" s="48" t="b">
        <v>0</v>
      </c>
      <c r="AQ72" s="48" t="b">
        <v>0</v>
      </c>
      <c r="AR72" s="48">
        <v>0</v>
      </c>
      <c r="AS72" s="48" t="b">
        <v>0</v>
      </c>
      <c r="AT72" s="7" t="b">
        <v>0</v>
      </c>
      <c r="AU72" s="40" t="str" cm="1">
        <f t="array" ref="AU72">_xlfn.XLOOKUP(PROPERTIES[[#This Row],[VEHIDCODE]],GRAPHICS_PROPERTIES[VEHIDCODE],GRAPHICS_PROPERTIES[TEMPLATE_ID]&amp;GRAPHICS_PROPERTIES[TEMPLATE_AMENDMENT_CODE])</f>
        <v>TPL_03C</v>
      </c>
    </row>
    <row r="73" spans="1:47" x14ac:dyDescent="0.35">
      <c r="A73" s="2" t="s">
        <v>2716</v>
      </c>
      <c r="B73">
        <v>1900</v>
      </c>
      <c r="C73">
        <v>1962</v>
      </c>
      <c r="D73" cm="1">
        <f t="array" ref="D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" s="40" t="str">
        <f>_xlfn.XLOOKUP(PROPERTIES[[#This Row],[VEHIDCODE]],CONTROL[VEHIDCODE],CONTROL[ENGLISH])</f>
        <v>McIntosh [Caledonian Railway] 439</v>
      </c>
      <c r="F73" t="s">
        <v>603</v>
      </c>
      <c r="G73" s="40" t="str">
        <f>_xlfn.XLOOKUP(PROPERTIES[[#This Row],[COUNTRY]],COUNTRIES[COUNTRY_DESCRIPTION],COUNTRIES[COUNTRY_LABEL],"")</f>
        <v>GB</v>
      </c>
      <c r="H73" t="str" cm="1">
        <f t="array" ref="H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3" t="s">
        <v>17</v>
      </c>
      <c r="J73">
        <v>0</v>
      </c>
      <c r="K73">
        <v>7</v>
      </c>
      <c r="L73">
        <v>0</v>
      </c>
      <c r="M73" t="str" cm="1">
        <f t="array" ref="M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3">
        <f>_xlfn.XLOOKUP("LOADINGSPEEDDEF_"&amp;PROPERTIES[[#This Row],[LOADINGSPEED]],LOADINGSPEEDDEF[TYPE],LOADINGSPEEDDEF[SPEED])</f>
        <v>20</v>
      </c>
      <c r="O73" cm="1">
        <f t="array" ref="O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3">
        <f>IF(ISNUMBER(SEARCH("passenger",PROPERTIES[[#This Row],[CARGODEF]])),1,0)</f>
        <v>0</v>
      </c>
      <c r="Q73" s="23">
        <v>53</v>
      </c>
      <c r="R73">
        <v>540</v>
      </c>
      <c r="S73">
        <v>0</v>
      </c>
      <c r="T73">
        <v>0</v>
      </c>
      <c r="U73">
        <v>0</v>
      </c>
      <c r="V73">
        <v>80</v>
      </c>
      <c r="W73">
        <v>0</v>
      </c>
      <c r="X73">
        <v>0</v>
      </c>
      <c r="Y73">
        <v>0</v>
      </c>
      <c r="Z73" s="20">
        <v>83.1</v>
      </c>
      <c r="AA73" s="19">
        <f>IFERROR(PROPERTIES[[#This Row],[TE_STARTING_KN]]/(PROPERTIES[[#This Row],[WEIGHT]]*9.81),0)</f>
        <v>0.15982920777797008</v>
      </c>
      <c r="AB73" s="19">
        <v>0</v>
      </c>
      <c r="AC73" s="16">
        <f>ROUND(IF(IFERROR(PROPERTIES[[#This Row],[TE_COEFFICIENT_CALC]],0)=0,PROPERTIES[[#This Row],[TE_COEFFICIENT_MANUAL]],PROPERTIES[[#This Row],[TE_COEFFICIENT_CALC]]),3)</f>
        <v>0.16</v>
      </c>
      <c r="AD73" s="8" cm="1">
        <f t="array" ref="AD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62</v>
      </c>
      <c r="AE73" s="26">
        <v>0</v>
      </c>
      <c r="AF73" s="6">
        <v>0</v>
      </c>
      <c r="AG73" t="s">
        <v>234</v>
      </c>
      <c r="AH73" t="s">
        <v>229</v>
      </c>
      <c r="AI73" t="s">
        <v>229</v>
      </c>
      <c r="AJ73" s="2" t="s">
        <v>229</v>
      </c>
      <c r="AK73" s="2" t="s">
        <v>244</v>
      </c>
      <c r="AL7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3" s="2" t="str">
        <f>SUBSTITUTE(SUBSTITUTE(PROPERTIES[[#This Row],[PURCHASECOST_VALUE]], "PURCHASECOST_", ""), "_VALUE", "")</f>
        <v>STEAMENGINE</v>
      </c>
      <c r="AO73" s="44" t="b">
        <v>0</v>
      </c>
      <c r="AP73" s="48" t="b">
        <v>0</v>
      </c>
      <c r="AQ73" s="48" t="b">
        <v>0</v>
      </c>
      <c r="AR73" s="48">
        <v>0</v>
      </c>
      <c r="AS73" s="48" t="b">
        <v>0</v>
      </c>
      <c r="AT73" s="7" t="b">
        <v>0</v>
      </c>
      <c r="AU73" s="40" t="str" cm="1">
        <f t="array" ref="AU73">_xlfn.XLOOKUP(PROPERTIES[[#This Row],[VEHIDCODE]],GRAPHICS_PROPERTIES[VEHIDCODE],GRAPHICS_PROPERTIES[TEMPLATE_ID]&amp;GRAPHICS_PROPERTIES[TEMPLATE_AMENDMENT_CODE])</f>
        <v>TPL_03C</v>
      </c>
    </row>
    <row r="74" spans="1:47" x14ac:dyDescent="0.35">
      <c r="A74" s="2" t="s">
        <v>2717</v>
      </c>
      <c r="B74">
        <v>1902</v>
      </c>
      <c r="C74">
        <v>1933</v>
      </c>
      <c r="D74" cm="1">
        <f t="array" ref="D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" s="40" t="str">
        <f>_xlfn.XLOOKUP(PROPERTIES[[#This Row],[VEHIDCODE]],CONTROL[VEHIDCODE],CONTROL[ENGLISH])</f>
        <v>SLM Winterthur A 3/5</v>
      </c>
      <c r="F74" t="s">
        <v>570</v>
      </c>
      <c r="G74" s="40" t="str">
        <f>_xlfn.XLOOKUP(PROPERTIES[[#This Row],[COUNTRY]],COUNTRIES[COUNTRY_DESCRIPTION],COUNTRIES[COUNTRY_LABEL],"")</f>
        <v>CH</v>
      </c>
      <c r="H74" t="str" cm="1">
        <f t="array" ref="H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4" t="s">
        <v>17</v>
      </c>
      <c r="J74">
        <v>0</v>
      </c>
      <c r="K74">
        <v>8</v>
      </c>
      <c r="M74" t="str" cm="1">
        <f t="array" ref="M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4">
        <f>_xlfn.XLOOKUP("LOADINGSPEEDDEF_"&amp;PROPERTIES[[#This Row],[LOADINGSPEED]],LOADINGSPEEDDEF[TYPE],LOADINGSPEEDDEF[SPEED])</f>
        <v>20</v>
      </c>
      <c r="O74" cm="1">
        <f t="array" ref="O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4">
        <f>IF(ISNUMBER(SEARCH("passenger",PROPERTIES[[#This Row],[CARGODEF]])),1,0)</f>
        <v>0</v>
      </c>
      <c r="Q74" s="23">
        <v>106</v>
      </c>
      <c r="R74">
        <v>1340</v>
      </c>
      <c r="S74">
        <v>0</v>
      </c>
      <c r="T74">
        <v>0</v>
      </c>
      <c r="U74">
        <v>0</v>
      </c>
      <c r="V74">
        <v>100</v>
      </c>
      <c r="W74">
        <v>0</v>
      </c>
      <c r="X74">
        <v>0</v>
      </c>
      <c r="Y74">
        <v>0</v>
      </c>
      <c r="Z74" s="20">
        <v>0</v>
      </c>
      <c r="AA74" s="19">
        <f>IFERROR(PROPERTIES[[#This Row],[TE_STARTING_KN]]/(PROPERTIES[[#This Row],[WEIGHT]]*9.81),0)</f>
        <v>0</v>
      </c>
      <c r="AB74" s="19">
        <v>0.16</v>
      </c>
      <c r="AC74" s="16">
        <f>ROUND(IF(IFERROR(PROPERTIES[[#This Row],[TE_COEFFICIENT_CALC]],0)=0,PROPERTIES[[#This Row],[TE_COEFFICIENT_MANUAL]],PROPERTIES[[#This Row],[TE_COEFFICIENT_CALC]]),3)</f>
        <v>0.16</v>
      </c>
      <c r="AD74" s="8" cm="1">
        <f t="array" ref="AD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31</v>
      </c>
      <c r="AE74" s="26">
        <v>0</v>
      </c>
      <c r="AF74" s="6">
        <v>4</v>
      </c>
      <c r="AG74" t="s">
        <v>230</v>
      </c>
      <c r="AH74" t="s">
        <v>229</v>
      </c>
      <c r="AI74" t="s">
        <v>229</v>
      </c>
      <c r="AJ74" s="2" t="s">
        <v>229</v>
      </c>
      <c r="AK74" s="2" t="s">
        <v>244</v>
      </c>
      <c r="AL7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4" s="2" t="str">
        <f>SUBSTITUTE(SUBSTITUTE(PROPERTIES[[#This Row],[PURCHASECOST_VALUE]], "PURCHASECOST_", ""), "_VALUE", "")</f>
        <v>STEAMENGINE</v>
      </c>
      <c r="AO74" s="44" t="b">
        <v>0</v>
      </c>
      <c r="AP74" s="48" t="b">
        <v>0</v>
      </c>
      <c r="AQ74" s="48" t="b">
        <v>0</v>
      </c>
      <c r="AR74" s="48">
        <v>0</v>
      </c>
      <c r="AS74" s="48" t="b">
        <v>0</v>
      </c>
      <c r="AT74" s="7" t="b">
        <v>0</v>
      </c>
      <c r="AU74" s="40" t="str" cm="1">
        <f t="array" ref="AU74">_xlfn.XLOOKUP(PROPERTIES[[#This Row],[VEHIDCODE]],GRAPHICS_PROPERTIES[VEHIDCODE],GRAPHICS_PROPERTIES[TEMPLATE_ID]&amp;GRAPHICS_PROPERTIES[TEMPLATE_AMENDMENT_CODE])</f>
        <v>TPL_03A</v>
      </c>
    </row>
    <row r="75" spans="1:47" x14ac:dyDescent="0.35">
      <c r="A75" s="2" t="s">
        <v>2718</v>
      </c>
      <c r="B75">
        <v>1902</v>
      </c>
      <c r="C75">
        <v>1951</v>
      </c>
      <c r="D75" cm="1">
        <f t="array" ref="D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" s="40" t="str">
        <f>_xlfn.XLOOKUP(PROPERTIES[[#This Row],[VEHIDCODE]],CONTROL[VEHIDCODE],CONTROL[ENGLISH])</f>
        <v>SLM Winterthur E 3/3</v>
      </c>
      <c r="F75" t="s">
        <v>570</v>
      </c>
      <c r="G75" s="40" t="str">
        <f>_xlfn.XLOOKUP(PROPERTIES[[#This Row],[COUNTRY]],COUNTRIES[COUNTRY_DESCRIPTION],COUNTRIES[COUNTRY_LABEL],"")</f>
        <v>CH</v>
      </c>
      <c r="H75" t="str" cm="1">
        <f t="array" ref="H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5" t="s">
        <v>17</v>
      </c>
      <c r="J75">
        <v>0</v>
      </c>
      <c r="K75">
        <v>6</v>
      </c>
      <c r="L75">
        <v>0</v>
      </c>
      <c r="M75" t="str" cm="1">
        <f t="array" ref="M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5">
        <f>_xlfn.XLOOKUP("LOADINGSPEEDDEF_"&amp;PROPERTIES[[#This Row],[LOADINGSPEED]],LOADINGSPEEDDEF[TYPE],LOADINGSPEEDDEF[SPEED])</f>
        <v>20</v>
      </c>
      <c r="O75" cm="1">
        <f t="array" ref="O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5">
        <f>IF(ISNUMBER(SEARCH("passenger",PROPERTIES[[#This Row],[CARGODEF]])),1,0)</f>
        <v>0</v>
      </c>
      <c r="Q75" s="23">
        <v>35</v>
      </c>
      <c r="R75">
        <v>493</v>
      </c>
      <c r="S75">
        <v>0</v>
      </c>
      <c r="T75">
        <v>0</v>
      </c>
      <c r="U75">
        <v>0</v>
      </c>
      <c r="V75">
        <v>45</v>
      </c>
      <c r="W75">
        <v>0</v>
      </c>
      <c r="X75">
        <v>0</v>
      </c>
      <c r="Y75">
        <v>0</v>
      </c>
      <c r="Z75" s="20">
        <v>0</v>
      </c>
      <c r="AA75" s="19">
        <f>IFERROR(PROPERTIES[[#This Row],[TE_STARTING_KN]]/(PROPERTIES[[#This Row],[WEIGHT]]*9.81),0)</f>
        <v>0</v>
      </c>
      <c r="AB75" s="19">
        <v>0.25</v>
      </c>
      <c r="AC75" s="16">
        <f>ROUND(IF(IFERROR(PROPERTIES[[#This Row],[TE_COEFFICIENT_CALC]],0)=0,PROPERTIES[[#This Row],[TE_COEFFICIENT_MANUAL]],PROPERTIES[[#This Row],[TE_COEFFICIENT_CALC]]),3)</f>
        <v>0.25</v>
      </c>
      <c r="AD75" s="8" cm="1">
        <f t="array" ref="AD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75" s="26">
        <v>0</v>
      </c>
      <c r="AF75" s="6">
        <v>0</v>
      </c>
      <c r="AG75" t="s">
        <v>230</v>
      </c>
      <c r="AH75" t="s">
        <v>229</v>
      </c>
      <c r="AI75" t="s">
        <v>229</v>
      </c>
      <c r="AJ75" s="2" t="s">
        <v>229</v>
      </c>
      <c r="AK75" s="2" t="s">
        <v>244</v>
      </c>
      <c r="AL7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5" s="2" t="str">
        <f>SUBSTITUTE(SUBSTITUTE(PROPERTIES[[#This Row],[PURCHASECOST_VALUE]], "PURCHASECOST_", ""), "_VALUE", "")</f>
        <v>STEAMENGINE</v>
      </c>
      <c r="AO75" s="44" t="b">
        <v>0</v>
      </c>
      <c r="AP75" s="48" t="b">
        <v>0</v>
      </c>
      <c r="AQ75" s="48" t="b">
        <v>0</v>
      </c>
      <c r="AR75" s="48">
        <v>0</v>
      </c>
      <c r="AS75" s="48" t="b">
        <v>0</v>
      </c>
      <c r="AT75" s="7" t="b">
        <v>0</v>
      </c>
      <c r="AU75" s="40" t="str" cm="1">
        <f t="array" ref="AU75">_xlfn.XLOOKUP(PROPERTIES[[#This Row],[VEHIDCODE]],GRAPHICS_PROPERTIES[VEHIDCODE],GRAPHICS_PROPERTIES[TEMPLATE_ID]&amp;GRAPHICS_PROPERTIES[TEMPLATE_AMENDMENT_CODE])</f>
        <v>TPL_03C</v>
      </c>
    </row>
    <row r="76" spans="1:47" x14ac:dyDescent="0.35">
      <c r="A76" s="2" t="s">
        <v>2719</v>
      </c>
      <c r="B76">
        <v>1910</v>
      </c>
      <c r="C76">
        <v>1960</v>
      </c>
      <c r="D76" cm="1">
        <f t="array" ref="D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" s="40" t="str">
        <f>_xlfn.XLOOKUP(PROPERTIES[[#This Row],[VEHIDCODE]],CONTROL[VEHIDCODE],CONTROL[ENGLISH])</f>
        <v>Krauss 299</v>
      </c>
      <c r="F76" t="s">
        <v>540</v>
      </c>
      <c r="G76" s="40" t="str">
        <f>_xlfn.XLOOKUP(PROPERTIES[[#This Row],[COUNTRY]],COUNTRIES[COUNTRY_DESCRIPTION],COUNTRIES[COUNTRY_LABEL],"")</f>
        <v>AT</v>
      </c>
      <c r="H76" t="str" cm="1">
        <f t="array" ref="H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6" t="s">
        <v>17</v>
      </c>
      <c r="J76">
        <v>0</v>
      </c>
      <c r="K76">
        <v>7</v>
      </c>
      <c r="L76">
        <v>0</v>
      </c>
      <c r="M76" t="str" cm="1">
        <f t="array" ref="M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6">
        <f>_xlfn.XLOOKUP("LOADINGSPEEDDEF_"&amp;PROPERTIES[[#This Row],[LOADINGSPEED]],LOADINGSPEEDDEF[TYPE],LOADINGSPEEDDEF[SPEED])</f>
        <v>20</v>
      </c>
      <c r="O76" cm="1">
        <f t="array" ref="O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6">
        <f>IF(ISNUMBER(SEARCH("passenger",PROPERTIES[[#This Row],[CARGODEF]])),1,0)</f>
        <v>0</v>
      </c>
      <c r="Q76" s="23">
        <v>42</v>
      </c>
      <c r="R76">
        <v>480</v>
      </c>
      <c r="S76">
        <v>0</v>
      </c>
      <c r="T76">
        <v>0</v>
      </c>
      <c r="U76">
        <v>0</v>
      </c>
      <c r="V76">
        <v>60</v>
      </c>
      <c r="W76">
        <v>0</v>
      </c>
      <c r="X76">
        <v>0</v>
      </c>
      <c r="Y76">
        <v>0</v>
      </c>
      <c r="Z76" s="20">
        <v>0</v>
      </c>
      <c r="AA76" s="19">
        <f>IFERROR(PROPERTIES[[#This Row],[TE_STARTING_KN]]/(PROPERTIES[[#This Row],[WEIGHT]]*9.81),0)</f>
        <v>0</v>
      </c>
      <c r="AB76" s="19">
        <v>0.26</v>
      </c>
      <c r="AC76" s="16">
        <f>ROUND(IF(IFERROR(PROPERTIES[[#This Row],[TE_COEFFICIENT_CALC]],0)=0,PROPERTIES[[#This Row],[TE_COEFFICIENT_MANUAL]],PROPERTIES[[#This Row],[TE_COEFFICIENT_CALC]]),3)</f>
        <v>0.26</v>
      </c>
      <c r="AD76" s="8" cm="1">
        <f t="array" ref="AD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76" s="26">
        <v>0</v>
      </c>
      <c r="AF76" s="6">
        <v>0</v>
      </c>
      <c r="AG76" t="s">
        <v>230</v>
      </c>
      <c r="AH76" t="s">
        <v>229</v>
      </c>
      <c r="AI76" t="s">
        <v>229</v>
      </c>
      <c r="AJ76" s="2" t="s">
        <v>229</v>
      </c>
      <c r="AK76" s="2" t="s">
        <v>244</v>
      </c>
      <c r="AL7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6" s="2" t="str">
        <f>SUBSTITUTE(SUBSTITUTE(PROPERTIES[[#This Row],[PURCHASECOST_VALUE]], "PURCHASECOST_", ""), "_VALUE", "")</f>
        <v>STEAMENGINE</v>
      </c>
      <c r="AO76" s="44" t="b">
        <v>0</v>
      </c>
      <c r="AP76" s="48" t="b">
        <v>0</v>
      </c>
      <c r="AQ76" s="48" t="b">
        <v>0</v>
      </c>
      <c r="AR76" s="48">
        <v>0</v>
      </c>
      <c r="AS76" s="48" t="b">
        <v>0</v>
      </c>
      <c r="AT76" s="7" t="b">
        <v>0</v>
      </c>
      <c r="AU76" s="40" t="str" cm="1">
        <f t="array" ref="AU76">_xlfn.XLOOKUP(PROPERTIES[[#This Row],[VEHIDCODE]],GRAPHICS_PROPERTIES[VEHIDCODE],GRAPHICS_PROPERTIES[TEMPLATE_ID]&amp;GRAPHICS_PROPERTIES[TEMPLATE_AMENDMENT_CODE])</f>
        <v>TPL_03C</v>
      </c>
    </row>
    <row r="77" spans="1:47" x14ac:dyDescent="0.35">
      <c r="A77" s="2" t="s">
        <v>2720</v>
      </c>
      <c r="B77">
        <v>1908</v>
      </c>
      <c r="C77">
        <v>1968</v>
      </c>
      <c r="D77" cm="1">
        <f t="array" ref="D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" s="40" t="str">
        <f>_xlfn.XLOOKUP(PROPERTIES[[#This Row],[VEHIDCODE]],CONTROL[VEHIDCODE],CONTROL[ENGLISH])</f>
        <v>NZR X</v>
      </c>
      <c r="F77" t="s">
        <v>697</v>
      </c>
      <c r="G77" s="40" t="str">
        <f>_xlfn.XLOOKUP(PROPERTIES[[#This Row],[COUNTRY]],COUNTRIES[COUNTRY_DESCRIPTION],COUNTRIES[COUNTRY_LABEL],"")</f>
        <v>NZ</v>
      </c>
      <c r="H77" t="str" cm="1">
        <f t="array" ref="H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7" t="s">
        <v>17</v>
      </c>
      <c r="J77">
        <v>0</v>
      </c>
      <c r="K77">
        <v>8</v>
      </c>
      <c r="M77" t="str" cm="1">
        <f t="array" ref="M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7">
        <f>_xlfn.XLOOKUP("LOADINGSPEEDDEF_"&amp;PROPERTIES[[#This Row],[LOADINGSPEED]],LOADINGSPEEDDEF[TYPE],LOADINGSPEEDDEF[SPEED])</f>
        <v>20</v>
      </c>
      <c r="O77" cm="1">
        <f t="array" ref="O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7">
        <f>IF(ISNUMBER(SEARCH("passenger",PROPERTIES[[#This Row],[CARGODEF]])),1,0)</f>
        <v>0</v>
      </c>
      <c r="Q77" s="23">
        <v>94</v>
      </c>
      <c r="R77">
        <v>850</v>
      </c>
      <c r="S77">
        <v>0</v>
      </c>
      <c r="T77">
        <v>0</v>
      </c>
      <c r="U77">
        <v>0</v>
      </c>
      <c r="V77">
        <v>48</v>
      </c>
      <c r="W77">
        <v>0</v>
      </c>
      <c r="X77">
        <v>0</v>
      </c>
      <c r="Y77">
        <v>0</v>
      </c>
      <c r="Z77" s="20">
        <v>0</v>
      </c>
      <c r="AA77" s="19">
        <f>IFERROR(PROPERTIES[[#This Row],[TE_STARTING_KN]]/(PROPERTIES[[#This Row],[WEIGHT]]*9.81),0)</f>
        <v>0</v>
      </c>
      <c r="AB77" s="19">
        <v>0.22</v>
      </c>
      <c r="AC77" s="16">
        <f>ROUND(IF(IFERROR(PROPERTIES[[#This Row],[TE_COEFFICIENT_CALC]],0)=0,PROPERTIES[[#This Row],[TE_COEFFICIENT_MANUAL]],PROPERTIES[[#This Row],[TE_COEFFICIENT_CALC]]),3)</f>
        <v>0.22</v>
      </c>
      <c r="AD77" s="8" cm="1">
        <f t="array" ref="AD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77" s="26">
        <v>0</v>
      </c>
      <c r="AF77" s="6">
        <v>6</v>
      </c>
      <c r="AG77" t="s">
        <v>232</v>
      </c>
      <c r="AH77" t="s">
        <v>229</v>
      </c>
      <c r="AI77" t="s">
        <v>229</v>
      </c>
      <c r="AJ77" s="2" t="s">
        <v>229</v>
      </c>
      <c r="AK77" s="2" t="s">
        <v>244</v>
      </c>
      <c r="AL7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7" s="2" t="str">
        <f>SUBSTITUTE(SUBSTITUTE(PROPERTIES[[#This Row],[PURCHASECOST_VALUE]], "PURCHASECOST_", ""), "_VALUE", "")</f>
        <v>STEAMENGINE</v>
      </c>
      <c r="AO77" s="44" t="b">
        <v>0</v>
      </c>
      <c r="AP77" s="48" t="b">
        <v>0</v>
      </c>
      <c r="AQ77" s="48" t="b">
        <v>0</v>
      </c>
      <c r="AR77" s="48">
        <v>0</v>
      </c>
      <c r="AS77" s="48" t="b">
        <v>0</v>
      </c>
      <c r="AT77" s="7" t="b">
        <v>0</v>
      </c>
      <c r="AU77" s="40" t="str" cm="1">
        <f t="array" ref="AU77">_xlfn.XLOOKUP(PROPERTIES[[#This Row],[VEHIDCODE]],GRAPHICS_PROPERTIES[VEHIDCODE],GRAPHICS_PROPERTIES[TEMPLATE_ID]&amp;GRAPHICS_PROPERTIES[TEMPLATE_AMENDMENT_CODE])</f>
        <v>TPL_03A</v>
      </c>
    </row>
    <row r="78" spans="1:47" x14ac:dyDescent="0.35">
      <c r="A78" s="2" t="s">
        <v>3450</v>
      </c>
      <c r="B78">
        <v>1914</v>
      </c>
      <c r="C78">
        <v>1970</v>
      </c>
      <c r="D78" cm="1">
        <f t="array" ref="D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" s="40" t="str">
        <f>_xlfn.XLOOKUP(PROPERTIES[[#This Row],[VEHIDCODE]],CONTROL[VEHIDCODE],CONTROL[ENGLISH])</f>
        <v>MAVAG 375</v>
      </c>
      <c r="F78" t="s">
        <v>624</v>
      </c>
      <c r="G78" s="40" t="str">
        <f>_xlfn.XLOOKUP(PROPERTIES[[#This Row],[COUNTRY]],COUNTRIES[COUNTRY_DESCRIPTION],COUNTRIES[COUNTRY_LABEL],"")</f>
        <v>HR</v>
      </c>
      <c r="H78" t="str" cm="1">
        <f t="array" ref="H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8" t="s">
        <v>17</v>
      </c>
      <c r="J78">
        <v>0</v>
      </c>
      <c r="K78">
        <v>6</v>
      </c>
      <c r="L78">
        <v>0</v>
      </c>
      <c r="M78" t="str" cm="1">
        <f t="array" ref="M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8">
        <f>_xlfn.XLOOKUP("LOADINGSPEEDDEF_"&amp;PROPERTIES[[#This Row],[LOADINGSPEED]],LOADINGSPEEDDEF[TYPE],LOADINGSPEEDDEF[SPEED])</f>
        <v>20</v>
      </c>
      <c r="O78" cm="1">
        <f t="array" ref="O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8">
        <f>IF(ISNUMBER(SEARCH("passenger",PROPERTIES[[#This Row],[CARGODEF]])),1,0)</f>
        <v>0</v>
      </c>
      <c r="Q78" s="23">
        <v>52</v>
      </c>
      <c r="R78">
        <v>330</v>
      </c>
      <c r="S78">
        <v>0</v>
      </c>
      <c r="T78">
        <v>0</v>
      </c>
      <c r="U78">
        <v>0</v>
      </c>
      <c r="V78">
        <v>60</v>
      </c>
      <c r="W78">
        <v>0</v>
      </c>
      <c r="X78">
        <v>0</v>
      </c>
      <c r="Y78">
        <v>0</v>
      </c>
      <c r="Z78" s="20">
        <v>0</v>
      </c>
      <c r="AA78" s="19">
        <f>IFERROR(PROPERTIES[[#This Row],[TE_STARTING_KN]]/(PROPERTIES[[#This Row],[WEIGHT]]*9.81),0)</f>
        <v>0</v>
      </c>
      <c r="AB78" s="19">
        <v>0.19</v>
      </c>
      <c r="AC78" s="16">
        <f>ROUND(IF(IFERROR(PROPERTIES[[#This Row],[TE_COEFFICIENT_CALC]],0)=0,PROPERTIES[[#This Row],[TE_COEFFICIENT_MANUAL]],PROPERTIES[[#This Row],[TE_COEFFICIENT_CALC]]),3)</f>
        <v>0.19</v>
      </c>
      <c r="AD78" s="8" cm="1">
        <f t="array" ref="AD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78" s="26">
        <v>0</v>
      </c>
      <c r="AF78" s="6">
        <v>0</v>
      </c>
      <c r="AG78" t="s">
        <v>236</v>
      </c>
      <c r="AH78" t="s">
        <v>229</v>
      </c>
      <c r="AI78" t="s">
        <v>229</v>
      </c>
      <c r="AJ78" s="2" t="s">
        <v>229</v>
      </c>
      <c r="AK78" s="2" t="s">
        <v>244</v>
      </c>
      <c r="AL7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8" s="2" t="str">
        <f>SUBSTITUTE(SUBSTITUTE(PROPERTIES[[#This Row],[PURCHASECOST_VALUE]], "PURCHASECOST_", ""), "_VALUE", "")</f>
        <v>STEAMENGINE</v>
      </c>
      <c r="AO78" s="44" t="b">
        <v>0</v>
      </c>
      <c r="AP78" s="48" t="b">
        <v>0</v>
      </c>
      <c r="AQ78" s="48" t="b">
        <v>0</v>
      </c>
      <c r="AR78" s="48">
        <v>0</v>
      </c>
      <c r="AS78" s="48" t="b">
        <v>0</v>
      </c>
      <c r="AT78" s="7" t="b">
        <v>0</v>
      </c>
      <c r="AU78" s="40" t="str" cm="1">
        <f t="array" ref="AU78">_xlfn.XLOOKUP(PROPERTIES[[#This Row],[VEHIDCODE]],GRAPHICS_PROPERTIES[VEHIDCODE],GRAPHICS_PROPERTIES[TEMPLATE_ID]&amp;GRAPHICS_PROPERTIES[TEMPLATE_AMENDMENT_CODE])</f>
        <v>TPL_03C</v>
      </c>
    </row>
    <row r="79" spans="1:47" x14ac:dyDescent="0.35">
      <c r="A79" s="2" t="s">
        <v>2721</v>
      </c>
      <c r="B79">
        <v>1916</v>
      </c>
      <c r="C79">
        <v>1978</v>
      </c>
      <c r="D79" cm="1">
        <f t="array" ref="D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" s="40" t="str">
        <f>_xlfn.XLOOKUP(PROPERTIES[[#This Row],[VEHIDCODE]],CONTROL[VEHIDCODE],CONTROL[ENGLISH])</f>
        <v>FS 880</v>
      </c>
      <c r="F79" t="s">
        <v>636</v>
      </c>
      <c r="G79" s="40" t="str">
        <f>_xlfn.XLOOKUP(PROPERTIES[[#This Row],[COUNTRY]],COUNTRIES[COUNTRY_DESCRIPTION],COUNTRIES[COUNTRY_LABEL],"")</f>
        <v>IT</v>
      </c>
      <c r="H79" t="str" cm="1">
        <f t="array" ref="H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" t="s">
        <v>17</v>
      </c>
      <c r="J79">
        <v>0</v>
      </c>
      <c r="K79">
        <v>6</v>
      </c>
      <c r="L79">
        <v>0</v>
      </c>
      <c r="M79" t="str" cm="1">
        <f t="array" ref="M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">
        <f>_xlfn.XLOOKUP("LOADINGSPEEDDEF_"&amp;PROPERTIES[[#This Row],[LOADINGSPEED]],LOADINGSPEEDDEF[TYPE],LOADINGSPEEDDEF[SPEED])</f>
        <v>20</v>
      </c>
      <c r="O79" cm="1">
        <f t="array" ref="O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">
        <f>IF(ISNUMBER(SEARCH("passenger",PROPERTIES[[#This Row],[CARGODEF]])),1,0)</f>
        <v>0</v>
      </c>
      <c r="Q79" s="23">
        <v>92</v>
      </c>
      <c r="R79">
        <v>540</v>
      </c>
      <c r="S79">
        <v>0</v>
      </c>
      <c r="T79">
        <v>0</v>
      </c>
      <c r="U79">
        <v>0</v>
      </c>
      <c r="V79">
        <v>75</v>
      </c>
      <c r="W79">
        <v>0</v>
      </c>
      <c r="X79">
        <v>0</v>
      </c>
      <c r="Y79">
        <v>0</v>
      </c>
      <c r="Z79" s="20">
        <v>0</v>
      </c>
      <c r="AA79" s="19">
        <f>IFERROR(PROPERTIES[[#This Row],[TE_STARTING_KN]]/(PROPERTIES[[#This Row],[WEIGHT]]*9.81),0)</f>
        <v>0</v>
      </c>
      <c r="AB79" s="19">
        <v>0.2</v>
      </c>
      <c r="AC79" s="16">
        <f>ROUND(IF(IFERROR(PROPERTIES[[#This Row],[TE_COEFFICIENT_CALC]],0)=0,PROPERTIES[[#This Row],[TE_COEFFICIENT_MANUAL]],PROPERTIES[[#This Row],[TE_COEFFICIENT_CALC]]),3)</f>
        <v>0.2</v>
      </c>
      <c r="AD79" s="8" cm="1">
        <f t="array" ref="AD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62</v>
      </c>
      <c r="AE79" s="26">
        <v>0</v>
      </c>
      <c r="AF79" s="6">
        <v>0</v>
      </c>
      <c r="AG79" t="s">
        <v>231</v>
      </c>
      <c r="AH79" t="s">
        <v>229</v>
      </c>
      <c r="AI79" t="s">
        <v>229</v>
      </c>
      <c r="AJ79" s="2" t="s">
        <v>229</v>
      </c>
      <c r="AK79" s="2" t="s">
        <v>244</v>
      </c>
      <c r="AL7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9" s="2" t="str">
        <f>SUBSTITUTE(SUBSTITUTE(PROPERTIES[[#This Row],[PURCHASECOST_VALUE]], "PURCHASECOST_", ""), "_VALUE", "")</f>
        <v>STEAMENGINE</v>
      </c>
      <c r="AO79" s="44" t="b">
        <v>0</v>
      </c>
      <c r="AP79" s="48" t="b">
        <v>0</v>
      </c>
      <c r="AQ79" s="48" t="b">
        <v>0</v>
      </c>
      <c r="AR79" s="48">
        <v>0</v>
      </c>
      <c r="AS79" s="48" t="b">
        <v>0</v>
      </c>
      <c r="AT79" s="7" t="b">
        <v>0</v>
      </c>
      <c r="AU79" s="40" t="str" cm="1">
        <f t="array" ref="AU79">_xlfn.XLOOKUP(PROPERTIES[[#This Row],[VEHIDCODE]],GRAPHICS_PROPERTIES[VEHIDCODE],GRAPHICS_PROPERTIES[TEMPLATE_ID]&amp;GRAPHICS_PROPERTIES[TEMPLATE_AMENDMENT_CODE])</f>
        <v>TPL_03C</v>
      </c>
    </row>
    <row r="80" spans="1:47" x14ac:dyDescent="0.35">
      <c r="A80" s="2" t="s">
        <v>2722</v>
      </c>
      <c r="B80">
        <v>1910</v>
      </c>
      <c r="D80" cm="1">
        <f t="array" ref="D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" s="40" t="str">
        <f>_xlfn.XLOOKUP(PROPERTIES[[#This Row],[VEHIDCODE]],CONTROL[VEHIDCODE],CONTROL[ENGLISH])</f>
        <v>FCNEA 11B 2-8-0</v>
      </c>
      <c r="F80" t="s">
        <v>538</v>
      </c>
      <c r="G80" s="40" t="str">
        <f>_xlfn.XLOOKUP(PROPERTIES[[#This Row],[COUNTRY]],COUNTRIES[COUNTRY_DESCRIPTION],COUNTRIES[COUNTRY_LABEL],"")</f>
        <v>AR</v>
      </c>
      <c r="H80" t="str" cm="1">
        <f t="array" ref="H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0" t="s">
        <v>17</v>
      </c>
      <c r="J80">
        <v>0</v>
      </c>
      <c r="K80">
        <v>7</v>
      </c>
      <c r="L80">
        <v>0</v>
      </c>
      <c r="M80" t="str" cm="1">
        <f t="array" ref="M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">
        <f>_xlfn.XLOOKUP("LOADINGSPEEDDEF_"&amp;PROPERTIES[[#This Row],[LOADINGSPEED]],LOADINGSPEEDDEF[TYPE],LOADINGSPEEDDEF[SPEED])</f>
        <v>20</v>
      </c>
      <c r="O80" cm="1">
        <f t="array" ref="O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0">
        <f>IF(ISNUMBER(SEARCH("passenger",PROPERTIES[[#This Row],[CARGODEF]])),1,0)</f>
        <v>0</v>
      </c>
      <c r="Q80" s="23">
        <v>92</v>
      </c>
      <c r="R80">
        <v>850</v>
      </c>
      <c r="S80">
        <v>0</v>
      </c>
      <c r="T80">
        <v>0</v>
      </c>
      <c r="U80">
        <v>0</v>
      </c>
      <c r="V80">
        <v>64</v>
      </c>
      <c r="W80">
        <v>0</v>
      </c>
      <c r="X80">
        <v>0</v>
      </c>
      <c r="Y80">
        <v>0</v>
      </c>
      <c r="Z80" s="20">
        <v>0</v>
      </c>
      <c r="AA80" s="19">
        <f>IFERROR(PROPERTIES[[#This Row],[TE_STARTING_KN]]/(PROPERTIES[[#This Row],[WEIGHT]]*9.81),0)</f>
        <v>0</v>
      </c>
      <c r="AB80" s="19">
        <v>0.22</v>
      </c>
      <c r="AC80" s="16">
        <f>ROUND(IF(IFERROR(PROPERTIES[[#This Row],[TE_COEFFICIENT_CALC]],0)=0,PROPERTIES[[#This Row],[TE_COEFFICIENT_MANUAL]],PROPERTIES[[#This Row],[TE_COEFFICIENT_CALC]]),3)</f>
        <v>0.22</v>
      </c>
      <c r="AD80" s="8" cm="1">
        <f t="array" ref="AD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0" s="26">
        <v>0</v>
      </c>
      <c r="AF80" s="6">
        <v>4</v>
      </c>
      <c r="AG80" t="s">
        <v>237</v>
      </c>
      <c r="AH80" t="s">
        <v>229</v>
      </c>
      <c r="AI80" t="s">
        <v>229</v>
      </c>
      <c r="AJ80" s="2" t="s">
        <v>229</v>
      </c>
      <c r="AK80" s="2" t="s">
        <v>244</v>
      </c>
      <c r="AL8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0" s="2" t="str">
        <f>SUBSTITUTE(SUBSTITUTE(PROPERTIES[[#This Row],[PURCHASECOST_VALUE]], "PURCHASECOST_", ""), "_VALUE", "")</f>
        <v>STEAMENGINE</v>
      </c>
      <c r="AO80" s="44" t="b">
        <v>0</v>
      </c>
      <c r="AP80" s="48" t="b">
        <v>0</v>
      </c>
      <c r="AQ80" s="48" t="b">
        <v>0</v>
      </c>
      <c r="AR80" s="48">
        <v>0</v>
      </c>
      <c r="AS80" s="48" t="b">
        <v>0</v>
      </c>
      <c r="AT80" s="7" t="b">
        <v>0</v>
      </c>
      <c r="AU80" s="40" t="str" cm="1">
        <f t="array" ref="AU80">_xlfn.XLOOKUP(PROPERTIES[[#This Row],[VEHIDCODE]],GRAPHICS_PROPERTIES[VEHIDCODE],GRAPHICS_PROPERTIES[TEMPLATE_ID]&amp;GRAPHICS_PROPERTIES[TEMPLATE_AMENDMENT_CODE])</f>
        <v>TPL_03A</v>
      </c>
    </row>
    <row r="81" spans="1:47" x14ac:dyDescent="0.35">
      <c r="A81" s="2" t="s">
        <v>2723</v>
      </c>
      <c r="B81">
        <v>1913</v>
      </c>
      <c r="C81">
        <v>1971</v>
      </c>
      <c r="D81" cm="1">
        <f t="array" ref="D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" s="40" t="str">
        <f>_xlfn.XLOOKUP(PROPERTIES[[#This Row],[VEHIDCODE]],CONTROL[VEHIDCODE],CONTROL[ENGLISH])</f>
        <v>Schneider et Cie 140C</v>
      </c>
      <c r="F81" t="s">
        <v>602</v>
      </c>
      <c r="G81" s="40" t="str">
        <f>_xlfn.XLOOKUP(PROPERTIES[[#This Row],[COUNTRY]],COUNTRIES[COUNTRY_DESCRIPTION],COUNTRIES[COUNTRY_LABEL],"")</f>
        <v>FR</v>
      </c>
      <c r="H81" t="str" cm="1">
        <f t="array" ref="H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1" t="s">
        <v>17</v>
      </c>
      <c r="J81">
        <v>0</v>
      </c>
      <c r="K81">
        <v>7</v>
      </c>
      <c r="L81">
        <v>0</v>
      </c>
      <c r="M81" t="str" cm="1">
        <f t="array" ref="M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">
        <f>_xlfn.XLOOKUP("LOADINGSPEEDDEF_"&amp;PROPERTIES[[#This Row],[LOADINGSPEED]],LOADINGSPEEDDEF[TYPE],LOADINGSPEEDDEF[SPEED])</f>
        <v>20</v>
      </c>
      <c r="O81" cm="1">
        <f t="array" ref="O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1">
        <f>IF(ISNUMBER(SEARCH("passenger",PROPERTIES[[#This Row],[CARGODEF]])),1,0)</f>
        <v>0</v>
      </c>
      <c r="Q81" s="23">
        <v>118</v>
      </c>
      <c r="R81">
        <v>1500</v>
      </c>
      <c r="S81">
        <v>0</v>
      </c>
      <c r="T81">
        <v>0</v>
      </c>
      <c r="U81">
        <v>0</v>
      </c>
      <c r="V81">
        <v>80</v>
      </c>
      <c r="W81">
        <v>0</v>
      </c>
      <c r="X81">
        <v>0</v>
      </c>
      <c r="Y81">
        <v>0</v>
      </c>
      <c r="Z81" s="20">
        <v>0</v>
      </c>
      <c r="AA81" s="19">
        <f>IFERROR(PROPERTIES[[#This Row],[TE_STARTING_KN]]/(PROPERTIES[[#This Row],[WEIGHT]]*9.81),0)</f>
        <v>0</v>
      </c>
      <c r="AB81" s="19">
        <v>0.16</v>
      </c>
      <c r="AC81" s="16">
        <f>ROUND(IF(IFERROR(PROPERTIES[[#This Row],[TE_COEFFICIENT_CALC]],0)=0,PROPERTIES[[#This Row],[TE_COEFFICIENT_MANUAL]],PROPERTIES[[#This Row],[TE_COEFFICIENT_CALC]]),3)</f>
        <v>0.16</v>
      </c>
      <c r="AD81" s="8" cm="1">
        <f t="array" ref="AD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81" s="26">
        <v>0</v>
      </c>
      <c r="AF81" s="6">
        <v>4</v>
      </c>
      <c r="AG81" t="s">
        <v>230</v>
      </c>
      <c r="AH81" t="s">
        <v>229</v>
      </c>
      <c r="AI81" t="s">
        <v>229</v>
      </c>
      <c r="AJ81" s="2" t="s">
        <v>229</v>
      </c>
      <c r="AK81" s="2" t="s">
        <v>244</v>
      </c>
      <c r="AL8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1" s="2" t="str">
        <f>SUBSTITUTE(SUBSTITUTE(PROPERTIES[[#This Row],[PURCHASECOST_VALUE]], "PURCHASECOST_", ""), "_VALUE", "")</f>
        <v>STEAMENGINE</v>
      </c>
      <c r="AO81" s="44" t="b">
        <v>0</v>
      </c>
      <c r="AP81" s="48" t="b">
        <v>0</v>
      </c>
      <c r="AQ81" s="48" t="b">
        <v>0</v>
      </c>
      <c r="AR81" s="48">
        <v>0</v>
      </c>
      <c r="AS81" s="48" t="b">
        <v>0</v>
      </c>
      <c r="AT81" s="7" t="b">
        <v>0</v>
      </c>
      <c r="AU81" s="40" t="str" cm="1">
        <f t="array" ref="AU81">_xlfn.XLOOKUP(PROPERTIES[[#This Row],[VEHIDCODE]],GRAPHICS_PROPERTIES[VEHIDCODE],GRAPHICS_PROPERTIES[TEMPLATE_ID]&amp;GRAPHICS_PROPERTIES[TEMPLATE_AMENDMENT_CODE])</f>
        <v>TPL_03A</v>
      </c>
    </row>
    <row r="82" spans="1:47" x14ac:dyDescent="0.35">
      <c r="A82" s="2" t="s">
        <v>3472</v>
      </c>
      <c r="B82">
        <v>1911</v>
      </c>
      <c r="C82">
        <v>1971</v>
      </c>
      <c r="D82" cm="1">
        <f t="array" ref="D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2" s="40" t="str">
        <f>_xlfn.XLOOKUP(PROPERTIES[[#This Row],[VEHIDCODE]],CONTROL[VEHIDCODE],CONTROL[ENGLISH])</f>
        <v>Union Giesserei 2-8-2T</v>
      </c>
      <c r="F82" t="s">
        <v>602</v>
      </c>
      <c r="G82" s="40" t="str">
        <f>_xlfn.XLOOKUP(PROPERTIES[[#This Row],[COUNTRY]],COUNTRIES[COUNTRY_DESCRIPTION],COUNTRIES[COUNTRY_LABEL],"")</f>
        <v>FR</v>
      </c>
      <c r="H82" t="str" cm="1">
        <f t="array" ref="H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2" t="s">
        <v>17</v>
      </c>
      <c r="J82">
        <v>0</v>
      </c>
      <c r="K82">
        <v>7</v>
      </c>
      <c r="L82">
        <v>0</v>
      </c>
      <c r="M82" t="str" cm="1">
        <f t="array" ref="M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2">
        <f>_xlfn.XLOOKUP("LOADINGSPEEDDEF_"&amp;PROPERTIES[[#This Row],[LOADINGSPEED]],LOADINGSPEEDDEF[TYPE],LOADINGSPEEDDEF[SPEED])</f>
        <v>20</v>
      </c>
      <c r="O82" cm="1">
        <f t="array" ref="O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">
        <f>IF(ISNUMBER(SEARCH("passenger",PROPERTIES[[#This Row],[CARGODEF]])),1,0)</f>
        <v>0</v>
      </c>
      <c r="Q82" s="23">
        <v>94</v>
      </c>
      <c r="R82">
        <v>1360</v>
      </c>
      <c r="S82">
        <v>0</v>
      </c>
      <c r="T82">
        <v>0</v>
      </c>
      <c r="U82">
        <v>0</v>
      </c>
      <c r="V82">
        <v>70</v>
      </c>
      <c r="W82">
        <v>0</v>
      </c>
      <c r="X82">
        <v>0</v>
      </c>
      <c r="Y82">
        <v>0</v>
      </c>
      <c r="Z82" s="20">
        <v>0</v>
      </c>
      <c r="AA82" s="19">
        <f>IFERROR(PROPERTIES[[#This Row],[TE_STARTING_KN]]/(PROPERTIES[[#This Row],[WEIGHT]]*9.81),0)</f>
        <v>0</v>
      </c>
      <c r="AB82" s="19">
        <v>0.18</v>
      </c>
      <c r="AC82" s="16">
        <f>ROUND(IF(IFERROR(PROPERTIES[[#This Row],[TE_COEFFICIENT_CALC]],0)=0,PROPERTIES[[#This Row],[TE_COEFFICIENT_MANUAL]],PROPERTIES[[#This Row],[TE_COEFFICIENT_CALC]]),3)</f>
        <v>0.18</v>
      </c>
      <c r="AD82" s="8" cm="1">
        <f t="array" ref="AD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82" s="26">
        <v>0</v>
      </c>
      <c r="AF82" s="6">
        <v>0</v>
      </c>
      <c r="AG82" t="s">
        <v>230</v>
      </c>
      <c r="AH82" t="s">
        <v>229</v>
      </c>
      <c r="AI82" t="s">
        <v>229</v>
      </c>
      <c r="AJ82" s="2" t="s">
        <v>229</v>
      </c>
      <c r="AK82" s="2" t="s">
        <v>244</v>
      </c>
      <c r="AL8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2" s="2" t="str">
        <f>SUBSTITUTE(SUBSTITUTE(PROPERTIES[[#This Row],[PURCHASECOST_VALUE]], "PURCHASECOST_", ""), "_VALUE", "")</f>
        <v>STEAMENGINE</v>
      </c>
      <c r="AO82" s="44" t="b">
        <v>0</v>
      </c>
      <c r="AP82" s="48" t="b">
        <v>0</v>
      </c>
      <c r="AQ82" s="48" t="b">
        <v>0</v>
      </c>
      <c r="AR82" s="48">
        <v>0</v>
      </c>
      <c r="AS82" s="48" t="b">
        <v>0</v>
      </c>
      <c r="AT82" s="7" t="b">
        <v>0</v>
      </c>
      <c r="AU82" s="40" t="str" cm="1">
        <f t="array" ref="AU82">_xlfn.XLOOKUP(PROPERTIES[[#This Row],[VEHIDCODE]],GRAPHICS_PROPERTIES[VEHIDCODE],GRAPHICS_PROPERTIES[TEMPLATE_ID]&amp;GRAPHICS_PROPERTIES[TEMPLATE_AMENDMENT_CODE])</f>
        <v>TPL_03C</v>
      </c>
    </row>
    <row r="83" spans="1:47" x14ac:dyDescent="0.35">
      <c r="A83" s="2" t="s">
        <v>2724</v>
      </c>
      <c r="B83">
        <v>1928</v>
      </c>
      <c r="C83">
        <v>1959</v>
      </c>
      <c r="D83" cm="1">
        <f t="array" ref="D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" s="40" t="str">
        <f>_xlfn.XLOOKUP(PROPERTIES[[#This Row],[VEHIDCODE]],CONTROL[VEHIDCODE],CONTROL[ENGLISH])</f>
        <v>GWR 4900 'Hall'</v>
      </c>
      <c r="F83" t="s">
        <v>603</v>
      </c>
      <c r="G83" s="40" t="str">
        <f>_xlfn.XLOOKUP(PROPERTIES[[#This Row],[COUNTRY]],COUNTRIES[COUNTRY_DESCRIPTION],COUNTRIES[COUNTRY_LABEL],"")</f>
        <v>GB</v>
      </c>
      <c r="H83" t="str" cm="1">
        <f t="array" ref="H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" t="s">
        <v>17</v>
      </c>
      <c r="J83">
        <v>0</v>
      </c>
      <c r="K83">
        <v>8</v>
      </c>
      <c r="M83" t="str" cm="1">
        <f t="array" ref="M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">
        <f>_xlfn.XLOOKUP("LOADINGSPEEDDEF_"&amp;PROPERTIES[[#This Row],[LOADINGSPEED]],LOADINGSPEEDDEF[TYPE],LOADINGSPEEDDEF[SPEED])</f>
        <v>20</v>
      </c>
      <c r="O83" cm="1">
        <f t="array" ref="O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">
        <f>IF(ISNUMBER(SEARCH("passenger",PROPERTIES[[#This Row],[CARGODEF]])),1,0)</f>
        <v>0</v>
      </c>
      <c r="Q83" s="23">
        <v>122</v>
      </c>
      <c r="R83">
        <v>1450</v>
      </c>
      <c r="S83">
        <v>0</v>
      </c>
      <c r="T83">
        <v>0</v>
      </c>
      <c r="U83">
        <v>0</v>
      </c>
      <c r="V83">
        <v>130</v>
      </c>
      <c r="W83">
        <v>0</v>
      </c>
      <c r="X83">
        <v>0</v>
      </c>
      <c r="Y83">
        <v>0</v>
      </c>
      <c r="Z83" s="20">
        <v>0</v>
      </c>
      <c r="AA83" s="19">
        <f>IFERROR(PROPERTIES[[#This Row],[TE_STARTING_KN]]/(PROPERTIES[[#This Row],[WEIGHT]]*9.81),0)</f>
        <v>0</v>
      </c>
      <c r="AB83" s="19">
        <v>0.11</v>
      </c>
      <c r="AC83" s="16">
        <f>ROUND(IF(IFERROR(PROPERTIES[[#This Row],[TE_COEFFICIENT_CALC]],0)=0,PROPERTIES[[#This Row],[TE_COEFFICIENT_MANUAL]],PROPERTIES[[#This Row],[TE_COEFFICIENT_CALC]]),3)</f>
        <v>0.11</v>
      </c>
      <c r="AD83" s="8" cm="1">
        <f t="array" ref="AD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31</v>
      </c>
      <c r="AE83" s="26">
        <v>0</v>
      </c>
      <c r="AF83" s="6">
        <v>6</v>
      </c>
      <c r="AG83" t="s">
        <v>234</v>
      </c>
      <c r="AH83" t="s">
        <v>229</v>
      </c>
      <c r="AI83" t="s">
        <v>229</v>
      </c>
      <c r="AJ83" s="2" t="s">
        <v>229</v>
      </c>
      <c r="AK83" s="2" t="s">
        <v>244</v>
      </c>
      <c r="AL8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" s="2" t="str">
        <f>SUBSTITUTE(SUBSTITUTE(PROPERTIES[[#This Row],[PURCHASECOST_VALUE]], "PURCHASECOST_", ""), "_VALUE", "")</f>
        <v>STEAMENGINE</v>
      </c>
      <c r="AO83" s="44" t="b">
        <v>0</v>
      </c>
      <c r="AP83" s="48" t="b">
        <v>0</v>
      </c>
      <c r="AQ83" s="48" t="b">
        <v>0</v>
      </c>
      <c r="AR83" s="48">
        <v>0</v>
      </c>
      <c r="AS83" s="48" t="b">
        <v>0</v>
      </c>
      <c r="AT83" s="7" t="b">
        <v>0</v>
      </c>
      <c r="AU83" s="40" t="str" cm="1">
        <f t="array" ref="AU83">_xlfn.XLOOKUP(PROPERTIES[[#This Row],[VEHIDCODE]],GRAPHICS_PROPERTIES[VEHIDCODE],GRAPHICS_PROPERTIES[TEMPLATE_ID]&amp;GRAPHICS_PROPERTIES[TEMPLATE_AMENDMENT_CODE])</f>
        <v>TPL_03A</v>
      </c>
    </row>
    <row r="84" spans="1:47" x14ac:dyDescent="0.35">
      <c r="A84" s="2" t="s">
        <v>2725</v>
      </c>
      <c r="B84">
        <v>1929</v>
      </c>
      <c r="C84">
        <v>1956</v>
      </c>
      <c r="D84" cm="1">
        <f t="array" ref="D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" s="40" t="str">
        <f>_xlfn.XLOOKUP(PROPERTIES[[#This Row],[VEHIDCODE]],CONTROL[VEHIDCODE],CONTROL[ENGLISH])</f>
        <v>GWR 5700 'Pannier'</v>
      </c>
      <c r="F84" t="s">
        <v>603</v>
      </c>
      <c r="G84" s="40" t="str">
        <f>_xlfn.XLOOKUP(PROPERTIES[[#This Row],[COUNTRY]],COUNTRIES[COUNTRY_DESCRIPTION],COUNTRIES[COUNTRY_LABEL],"")</f>
        <v>GB</v>
      </c>
      <c r="H84" t="str" cm="1">
        <f t="array" ref="H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" t="s">
        <v>17</v>
      </c>
      <c r="J84">
        <v>0</v>
      </c>
      <c r="K84">
        <v>6</v>
      </c>
      <c r="L84">
        <v>0</v>
      </c>
      <c r="M84" t="str" cm="1">
        <f t="array" ref="M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">
        <f>_xlfn.XLOOKUP("LOADINGSPEEDDEF_"&amp;PROPERTIES[[#This Row],[LOADINGSPEED]],LOADINGSPEEDDEF[TYPE],LOADINGSPEEDDEF[SPEED])</f>
        <v>20</v>
      </c>
      <c r="O84" cm="1">
        <f t="array" ref="O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">
        <f>IF(ISNUMBER(SEARCH("passenger",PROPERTIES[[#This Row],[CARGODEF]])),1,0)</f>
        <v>0</v>
      </c>
      <c r="Q84" s="23">
        <v>48</v>
      </c>
      <c r="R84">
        <v>700</v>
      </c>
      <c r="S84">
        <v>0</v>
      </c>
      <c r="T84">
        <v>0</v>
      </c>
      <c r="U84">
        <v>0</v>
      </c>
      <c r="V84">
        <v>72</v>
      </c>
      <c r="W84">
        <v>0</v>
      </c>
      <c r="X84">
        <v>0</v>
      </c>
      <c r="Y84">
        <v>0</v>
      </c>
      <c r="Z84" s="20">
        <v>0</v>
      </c>
      <c r="AA84" s="19">
        <f>IFERROR(PROPERTIES[[#This Row],[TE_STARTING_KN]]/(PROPERTIES[[#This Row],[WEIGHT]]*9.81),0)</f>
        <v>0</v>
      </c>
      <c r="AB84" s="19">
        <v>0.21</v>
      </c>
      <c r="AC84" s="16">
        <f>ROUND(IF(IFERROR(PROPERTIES[[#This Row],[TE_COEFFICIENT_CALC]],0)=0,PROPERTIES[[#This Row],[TE_COEFFICIENT_MANUAL]],PROPERTIES[[#This Row],[TE_COEFFICIENT_CALC]]),3)</f>
        <v>0.21</v>
      </c>
      <c r="AD84" s="8" cm="1">
        <f t="array" ref="AD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4" s="26">
        <v>0</v>
      </c>
      <c r="AF84" s="6">
        <v>0</v>
      </c>
      <c r="AG84" t="s">
        <v>234</v>
      </c>
      <c r="AH84" t="s">
        <v>229</v>
      </c>
      <c r="AI84" t="s">
        <v>229</v>
      </c>
      <c r="AJ84" s="2" t="s">
        <v>229</v>
      </c>
      <c r="AK84" s="2" t="s">
        <v>244</v>
      </c>
      <c r="AL8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" s="2" t="str">
        <f>SUBSTITUTE(SUBSTITUTE(PROPERTIES[[#This Row],[PURCHASECOST_VALUE]], "PURCHASECOST_", ""), "_VALUE", "")</f>
        <v>STEAMENGINE</v>
      </c>
      <c r="AO84" s="44" t="b">
        <v>0</v>
      </c>
      <c r="AP84" s="48" t="b">
        <v>0</v>
      </c>
      <c r="AQ84" s="48" t="b">
        <v>0</v>
      </c>
      <c r="AR84" s="48">
        <v>0</v>
      </c>
      <c r="AS84" s="48" t="b">
        <v>0</v>
      </c>
      <c r="AT84" s="7" t="b">
        <v>0</v>
      </c>
      <c r="AU84" s="40" t="str" cm="1">
        <f t="array" ref="AU84">_xlfn.XLOOKUP(PROPERTIES[[#This Row],[VEHIDCODE]],GRAPHICS_PROPERTIES[VEHIDCODE],GRAPHICS_PROPERTIES[TEMPLATE_ID]&amp;GRAPHICS_PROPERTIES[TEMPLATE_AMENDMENT_CODE])</f>
        <v>TPL_03C</v>
      </c>
    </row>
    <row r="85" spans="1:47" x14ac:dyDescent="0.35">
      <c r="A85" s="2" t="s">
        <v>2726</v>
      </c>
      <c r="B85">
        <v>1930</v>
      </c>
      <c r="C85">
        <v>1957</v>
      </c>
      <c r="D85" cm="1">
        <f t="array" ref="D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" s="40" t="str">
        <f>_xlfn.XLOOKUP(PROPERTIES[[#This Row],[VEHIDCODE]],CONTROL[VEHIDCODE],CONTROL[ENGLISH])</f>
        <v>Henschel &amp; Sohn series 6300</v>
      </c>
      <c r="F85" t="s">
        <v>692</v>
      </c>
      <c r="G85" s="40" t="str">
        <f>_xlfn.XLOOKUP(PROPERTIES[[#This Row],[COUNTRY]],COUNTRIES[COUNTRY_DESCRIPTION],COUNTRIES[COUNTRY_LABEL],"")</f>
        <v>NL</v>
      </c>
      <c r="H85" t="str" cm="1">
        <f t="array" ref="H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5" t="s">
        <v>17</v>
      </c>
      <c r="J85">
        <v>0</v>
      </c>
      <c r="K85">
        <v>8</v>
      </c>
      <c r="L85">
        <v>0</v>
      </c>
      <c r="M85" t="str" cm="1">
        <f t="array" ref="M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">
        <f>_xlfn.XLOOKUP("LOADINGSPEEDDEF_"&amp;PROPERTIES[[#This Row],[LOADINGSPEED]],LOADINGSPEEDDEF[TYPE],LOADINGSPEEDDEF[SPEED])</f>
        <v>20</v>
      </c>
      <c r="O85" cm="1">
        <f t="array" ref="O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5">
        <f>IF(ISNUMBER(SEARCH("passenger",PROPERTIES[[#This Row],[CARGODEF]])),1,0)</f>
        <v>0</v>
      </c>
      <c r="Q85" s="23">
        <v>127</v>
      </c>
      <c r="R85">
        <v>1609</v>
      </c>
      <c r="S85">
        <v>0</v>
      </c>
      <c r="T85">
        <v>0</v>
      </c>
      <c r="U85">
        <v>0</v>
      </c>
      <c r="V85">
        <v>90</v>
      </c>
      <c r="W85">
        <v>0</v>
      </c>
      <c r="X85">
        <v>0</v>
      </c>
      <c r="Y85">
        <v>0</v>
      </c>
      <c r="Z85" s="20">
        <v>0</v>
      </c>
      <c r="AA85" s="19">
        <f>IFERROR(PROPERTIES[[#This Row],[TE_STARTING_KN]]/(PROPERTIES[[#This Row],[WEIGHT]]*9.81),0)</f>
        <v>0</v>
      </c>
      <c r="AB85" s="19">
        <v>0.12</v>
      </c>
      <c r="AC85" s="16">
        <f>ROUND(IF(IFERROR(PROPERTIES[[#This Row],[TE_COEFFICIENT_CALC]],0)=0,PROPERTIES[[#This Row],[TE_COEFFICIENT_MANUAL]],PROPERTIES[[#This Row],[TE_COEFFICIENT_CALC]]),3)</f>
        <v>0.12</v>
      </c>
      <c r="AD85" s="8" cm="1">
        <f t="array" ref="AD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5" s="26">
        <v>0</v>
      </c>
      <c r="AF85" s="6">
        <v>0</v>
      </c>
      <c r="AG85" t="s">
        <v>230</v>
      </c>
      <c r="AH85" t="s">
        <v>229</v>
      </c>
      <c r="AI85" t="s">
        <v>229</v>
      </c>
      <c r="AJ85" s="2" t="s">
        <v>229</v>
      </c>
      <c r="AK85" s="2" t="s">
        <v>244</v>
      </c>
      <c r="AL8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5" s="2" t="str">
        <f>SUBSTITUTE(SUBSTITUTE(PROPERTIES[[#This Row],[PURCHASECOST_VALUE]], "PURCHASECOST_", ""), "_VALUE", "")</f>
        <v>STEAMENGINE</v>
      </c>
      <c r="AO85" s="44" t="b">
        <v>0</v>
      </c>
      <c r="AP85" s="48" t="b">
        <v>0</v>
      </c>
      <c r="AQ85" s="48" t="b">
        <v>0</v>
      </c>
      <c r="AR85" s="48">
        <v>0</v>
      </c>
      <c r="AS85" s="48" t="b">
        <v>0</v>
      </c>
      <c r="AT85" s="7" t="b">
        <v>0</v>
      </c>
      <c r="AU85" s="40" t="str" cm="1">
        <f t="array" ref="AU85">_xlfn.XLOOKUP(PROPERTIES[[#This Row],[VEHIDCODE]],GRAPHICS_PROPERTIES[VEHIDCODE],GRAPHICS_PROPERTIES[TEMPLATE_ID]&amp;GRAPHICS_PROPERTIES[TEMPLATE_AMENDMENT_CODE])</f>
        <v>TPL_03C</v>
      </c>
    </row>
    <row r="86" spans="1:47" x14ac:dyDescent="0.35">
      <c r="A86" s="2" t="s">
        <v>2727</v>
      </c>
      <c r="B86">
        <v>1930</v>
      </c>
      <c r="C86">
        <v>1957</v>
      </c>
      <c r="D86" cm="1">
        <f t="array" ref="D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" s="40" t="str">
        <f>_xlfn.XLOOKUP(PROPERTIES[[#This Row],[VEHIDCODE]],CONTROL[VEHIDCODE],CONTROL[ENGLISH])</f>
        <v>Baldwin 5000 'Madame Queen'</v>
      </c>
      <c r="F86" t="s">
        <v>757</v>
      </c>
      <c r="G86" s="40" t="str">
        <f>_xlfn.XLOOKUP(PROPERTIES[[#This Row],[COUNTRY]],COUNTRIES[COUNTRY_DESCRIPTION],COUNTRIES[COUNTRY_LABEL],"")</f>
        <v>US</v>
      </c>
      <c r="H86" t="str" cm="1">
        <f t="array" ref="H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6" t="s">
        <v>17</v>
      </c>
      <c r="J86">
        <v>0</v>
      </c>
      <c r="K86">
        <v>8</v>
      </c>
      <c r="M86" t="str" cm="1">
        <f t="array" ref="M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">
        <f>_xlfn.XLOOKUP("LOADINGSPEEDDEF_"&amp;PROPERTIES[[#This Row],[LOADINGSPEED]],LOADINGSPEEDDEF[TYPE],LOADINGSPEEDDEF[SPEED])</f>
        <v>20</v>
      </c>
      <c r="O86" cm="1">
        <f t="array" ref="O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6">
        <f>IF(ISNUMBER(SEARCH("passenger",PROPERTIES[[#This Row],[CARGODEF]])),1,0)</f>
        <v>0</v>
      </c>
      <c r="Q86" s="23">
        <v>415</v>
      </c>
      <c r="R86">
        <v>5000</v>
      </c>
      <c r="S86">
        <v>0</v>
      </c>
      <c r="T86">
        <v>0</v>
      </c>
      <c r="U86">
        <v>0</v>
      </c>
      <c r="V86">
        <v>110</v>
      </c>
      <c r="W86">
        <v>0</v>
      </c>
      <c r="X86">
        <v>0</v>
      </c>
      <c r="Y86">
        <v>0</v>
      </c>
      <c r="Z86" s="20">
        <v>0</v>
      </c>
      <c r="AA86" s="19">
        <f>IFERROR(PROPERTIES[[#This Row],[TE_STARTING_KN]]/(PROPERTIES[[#This Row],[WEIGHT]]*9.81),0)</f>
        <v>0</v>
      </c>
      <c r="AB86" s="19">
        <v>0.11</v>
      </c>
      <c r="AC86" s="16">
        <f>ROUND(IF(IFERROR(PROPERTIES[[#This Row],[TE_COEFFICIENT_CALC]],0)=0,PROPERTIES[[#This Row],[TE_COEFFICIENT_MANUAL]],PROPERTIES[[#This Row],[TE_COEFFICIENT_CALC]]),3)</f>
        <v>0.11</v>
      </c>
      <c r="AD86" s="8" cm="1">
        <f t="array" ref="AD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6" s="26">
        <v>0</v>
      </c>
      <c r="AF86" s="6">
        <v>6</v>
      </c>
      <c r="AG86" t="s">
        <v>235</v>
      </c>
      <c r="AH86" t="s">
        <v>229</v>
      </c>
      <c r="AI86" t="s">
        <v>229</v>
      </c>
      <c r="AJ86" s="2" t="s">
        <v>229</v>
      </c>
      <c r="AK86" s="2" t="s">
        <v>244</v>
      </c>
      <c r="AL8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6" s="2" t="str">
        <f>SUBSTITUTE(SUBSTITUTE(PROPERTIES[[#This Row],[PURCHASECOST_VALUE]], "PURCHASECOST_", ""), "_VALUE", "")</f>
        <v>STEAMENGINE</v>
      </c>
      <c r="AO86" s="44" t="b">
        <v>0</v>
      </c>
      <c r="AP86" s="48" t="b">
        <v>0</v>
      </c>
      <c r="AQ86" s="48" t="b">
        <v>0</v>
      </c>
      <c r="AR86" s="48">
        <v>0</v>
      </c>
      <c r="AS86" s="48" t="b">
        <v>0</v>
      </c>
      <c r="AT86" s="7" t="b">
        <v>0</v>
      </c>
      <c r="AU86" s="40" t="str" cm="1">
        <f t="array" ref="AU86">_xlfn.XLOOKUP(PROPERTIES[[#This Row],[VEHIDCODE]],GRAPHICS_PROPERTIES[VEHIDCODE],GRAPHICS_PROPERTIES[TEMPLATE_ID]&amp;GRAPHICS_PROPERTIES[TEMPLATE_AMENDMENT_CODE])</f>
        <v>TPL_03A</v>
      </c>
    </row>
    <row r="87" spans="1:47" x14ac:dyDescent="0.35">
      <c r="A87" s="2" t="s">
        <v>2728</v>
      </c>
      <c r="B87">
        <v>1910</v>
      </c>
      <c r="C87">
        <v>1954</v>
      </c>
      <c r="D87" cm="1">
        <f t="array" ref="D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" s="40" t="str">
        <f>_xlfn.XLOOKUP(PROPERTIES[[#This Row],[VEHIDCODE]],CONTROL[VEHIDCODE],CONTROL[ENGLISH])</f>
        <v>Schwartzkopff S 10 'Prussian'</v>
      </c>
      <c r="F87" t="s">
        <v>584</v>
      </c>
      <c r="G87" s="40" t="str">
        <f>_xlfn.XLOOKUP(PROPERTIES[[#This Row],[COUNTRY]],COUNTRIES[COUNTRY_DESCRIPTION],COUNTRIES[COUNTRY_LABEL],"")</f>
        <v>DE</v>
      </c>
      <c r="H87" t="str" cm="1">
        <f t="array" ref="H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7" t="s">
        <v>17</v>
      </c>
      <c r="J87">
        <v>0</v>
      </c>
      <c r="K87">
        <v>8</v>
      </c>
      <c r="M87" t="str" cm="1">
        <f t="array" ref="M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">
        <f>_xlfn.XLOOKUP("LOADINGSPEEDDEF_"&amp;PROPERTIES[[#This Row],[LOADINGSPEED]],LOADINGSPEEDDEF[TYPE],LOADINGSPEEDDEF[SPEED])</f>
        <v>20</v>
      </c>
      <c r="O87" cm="1">
        <f t="array" ref="O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">
        <f>IF(ISNUMBER(SEARCH("passenger",PROPERTIES[[#This Row],[CARGODEF]])),1,0)</f>
        <v>0</v>
      </c>
      <c r="Q87" s="23">
        <v>140</v>
      </c>
      <c r="R87">
        <v>1500</v>
      </c>
      <c r="S87">
        <v>0</v>
      </c>
      <c r="T87">
        <v>0</v>
      </c>
      <c r="U87">
        <v>0</v>
      </c>
      <c r="V87">
        <v>110</v>
      </c>
      <c r="W87">
        <v>0</v>
      </c>
      <c r="X87">
        <v>0</v>
      </c>
      <c r="Y87">
        <v>0</v>
      </c>
      <c r="Z87" s="20">
        <v>0</v>
      </c>
      <c r="AA87" s="19">
        <f>IFERROR(PROPERTIES[[#This Row],[TE_STARTING_KN]]/(PROPERTIES[[#This Row],[WEIGHT]]*9.81),0)</f>
        <v>0</v>
      </c>
      <c r="AB87" s="19">
        <v>0.1</v>
      </c>
      <c r="AC87" s="16">
        <f>ROUND(IF(IFERROR(PROPERTIES[[#This Row],[TE_COEFFICIENT_CALC]],0)=0,PROPERTIES[[#This Row],[TE_COEFFICIENT_MANUAL]],PROPERTIES[[#This Row],[TE_COEFFICIENT_CALC]]),3)</f>
        <v>0.1</v>
      </c>
      <c r="AD87" s="8" cm="1">
        <f t="array" ref="AD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44</v>
      </c>
      <c r="AE87" s="26">
        <v>0</v>
      </c>
      <c r="AF87" s="6">
        <v>4</v>
      </c>
      <c r="AG87" t="s">
        <v>236</v>
      </c>
      <c r="AH87" t="s">
        <v>229</v>
      </c>
      <c r="AI87" t="s">
        <v>229</v>
      </c>
      <c r="AJ87" s="2" t="s">
        <v>229</v>
      </c>
      <c r="AK87" s="2" t="s">
        <v>244</v>
      </c>
      <c r="AL8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7" s="2" t="str">
        <f>SUBSTITUTE(SUBSTITUTE(PROPERTIES[[#This Row],[PURCHASECOST_VALUE]], "PURCHASECOST_", ""), "_VALUE", "")</f>
        <v>STEAMENGINE</v>
      </c>
      <c r="AO87" s="44" t="b">
        <v>0</v>
      </c>
      <c r="AP87" s="48" t="b">
        <v>0</v>
      </c>
      <c r="AQ87" s="48" t="b">
        <v>0</v>
      </c>
      <c r="AR87" s="48">
        <v>0</v>
      </c>
      <c r="AS87" s="48" t="b">
        <v>0</v>
      </c>
      <c r="AT87" s="7" t="b">
        <v>0</v>
      </c>
      <c r="AU87" s="40" t="str" cm="1">
        <f t="array" ref="AU87">_xlfn.XLOOKUP(PROPERTIES[[#This Row],[VEHIDCODE]],GRAPHICS_PROPERTIES[VEHIDCODE],GRAPHICS_PROPERTIES[TEMPLATE_ID]&amp;GRAPHICS_PROPERTIES[TEMPLATE_AMENDMENT_CODE])</f>
        <v>TPL_03A</v>
      </c>
    </row>
    <row r="88" spans="1:47" x14ac:dyDescent="0.35">
      <c r="A88" s="2" t="s">
        <v>2729</v>
      </c>
      <c r="B88">
        <v>1934</v>
      </c>
      <c r="C88">
        <v>1961</v>
      </c>
      <c r="D88" cm="1">
        <f t="array" ref="D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" s="40" t="str">
        <f>_xlfn.XLOOKUP(PROPERTIES[[#This Row],[VEHIDCODE]],CONTROL[VEHIDCODE],CONTROL[ENGLISH])</f>
        <v>LMS 5MT 'Black Five'</v>
      </c>
      <c r="F88" t="s">
        <v>603</v>
      </c>
      <c r="G88" s="40" t="str">
        <f>_xlfn.XLOOKUP(PROPERTIES[[#This Row],[COUNTRY]],COUNTRIES[COUNTRY_DESCRIPTION],COUNTRIES[COUNTRY_LABEL],"")</f>
        <v>GB</v>
      </c>
      <c r="H88" t="str" cm="1">
        <f t="array" ref="H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" t="s">
        <v>17</v>
      </c>
      <c r="J88">
        <v>0</v>
      </c>
      <c r="K88">
        <v>8</v>
      </c>
      <c r="M88" t="str" cm="1">
        <f t="array" ref="M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">
        <f>_xlfn.XLOOKUP("LOADINGSPEEDDEF_"&amp;PROPERTIES[[#This Row],[LOADINGSPEED]],LOADINGSPEEDDEF[TYPE],LOADINGSPEEDDEF[SPEED])</f>
        <v>20</v>
      </c>
      <c r="O88" cm="1">
        <f t="array" ref="O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">
        <f>IF(ISNUMBER(SEARCH("passenger",PROPERTIES[[#This Row],[CARGODEF]])),1,0)</f>
        <v>0</v>
      </c>
      <c r="Q88" s="23">
        <v>125</v>
      </c>
      <c r="R88">
        <v>1600</v>
      </c>
      <c r="S88">
        <v>0</v>
      </c>
      <c r="T88">
        <v>0</v>
      </c>
      <c r="U88">
        <v>0</v>
      </c>
      <c r="V88">
        <v>145</v>
      </c>
      <c r="W88">
        <v>0</v>
      </c>
      <c r="X88">
        <v>0</v>
      </c>
      <c r="Y88">
        <v>0</v>
      </c>
      <c r="Z88" s="20">
        <v>0</v>
      </c>
      <c r="AA88" s="19">
        <f>IFERROR(PROPERTIES[[#This Row],[TE_STARTING_KN]]/(PROPERTIES[[#This Row],[WEIGHT]]*9.81),0)</f>
        <v>0</v>
      </c>
      <c r="AB88" s="19">
        <v>0.11</v>
      </c>
      <c r="AC88" s="16">
        <f>ROUND(IF(IFERROR(PROPERTIES[[#This Row],[TE_COEFFICIENT_CALC]],0)=0,PROPERTIES[[#This Row],[TE_COEFFICIENT_MANUAL]],PROPERTIES[[#This Row],[TE_COEFFICIENT_CALC]]),3)</f>
        <v>0.11</v>
      </c>
      <c r="AD88" s="8" cm="1">
        <f t="array" ref="AD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8" s="26">
        <v>0</v>
      </c>
      <c r="AF88" s="6">
        <v>5</v>
      </c>
      <c r="AG88" t="s">
        <v>234</v>
      </c>
      <c r="AH88" t="s">
        <v>229</v>
      </c>
      <c r="AI88" t="s">
        <v>229</v>
      </c>
      <c r="AJ88" s="2" t="s">
        <v>229</v>
      </c>
      <c r="AK88" s="2" t="s">
        <v>244</v>
      </c>
      <c r="AL8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" s="2" t="str">
        <f>SUBSTITUTE(SUBSTITUTE(PROPERTIES[[#This Row],[PURCHASECOST_VALUE]], "PURCHASECOST_", ""), "_VALUE", "")</f>
        <v>STEAMENGINE</v>
      </c>
      <c r="AO88" s="44" t="b">
        <v>0</v>
      </c>
      <c r="AP88" s="48" t="b">
        <v>0</v>
      </c>
      <c r="AQ88" s="48" t="b">
        <v>0</v>
      </c>
      <c r="AR88" s="48">
        <v>0</v>
      </c>
      <c r="AS88" s="48" t="b">
        <v>0</v>
      </c>
      <c r="AT88" s="7" t="b">
        <v>0</v>
      </c>
      <c r="AU88" s="40" t="str" cm="1">
        <f t="array" ref="AU88">_xlfn.XLOOKUP(PROPERTIES[[#This Row],[VEHIDCODE]],GRAPHICS_PROPERTIES[VEHIDCODE],GRAPHICS_PROPERTIES[TEMPLATE_ID]&amp;GRAPHICS_PROPERTIES[TEMPLATE_AMENDMENT_CODE])</f>
        <v>TPL_03A</v>
      </c>
    </row>
    <row r="89" spans="1:47" x14ac:dyDescent="0.35">
      <c r="A89" s="2" t="s">
        <v>2730</v>
      </c>
      <c r="B89">
        <v>1935</v>
      </c>
      <c r="D89" cm="1">
        <f t="array" ref="D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9" s="40" t="str">
        <f>_xlfn.XLOOKUP(PROPERTIES[[#This Row],[VEHIDCODE]],CONTROL[VEHIDCODE],CONTROL[ENGLISH])</f>
        <v>Kolomna 9P</v>
      </c>
      <c r="F89" t="s">
        <v>716</v>
      </c>
      <c r="G89" s="40" t="str">
        <f>_xlfn.XLOOKUP(PROPERTIES[[#This Row],[COUNTRY]],COUNTRIES[COUNTRY_DESCRIPTION],COUNTRIES[COUNTRY_LABEL],"")</f>
        <v>RU</v>
      </c>
      <c r="H89" t="str" cm="1">
        <f t="array" ref="H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9" t="s">
        <v>17</v>
      </c>
      <c r="J89">
        <v>0</v>
      </c>
      <c r="K89">
        <v>6</v>
      </c>
      <c r="L89">
        <v>0</v>
      </c>
      <c r="M89" t="str" cm="1">
        <f t="array" ref="M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">
        <f>_xlfn.XLOOKUP("LOADINGSPEEDDEF_"&amp;PROPERTIES[[#This Row],[LOADINGSPEED]],LOADINGSPEEDDEF[TYPE],LOADINGSPEEDDEF[SPEED])</f>
        <v>20</v>
      </c>
      <c r="O89" cm="1">
        <f t="array" ref="O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">
        <f>IF(ISNUMBER(SEARCH("passenger",PROPERTIES[[#This Row],[CARGODEF]])),1,0)</f>
        <v>0</v>
      </c>
      <c r="Q89" s="23">
        <v>55</v>
      </c>
      <c r="R89">
        <v>450</v>
      </c>
      <c r="S89">
        <v>0</v>
      </c>
      <c r="T89">
        <v>0</v>
      </c>
      <c r="U89">
        <v>0</v>
      </c>
      <c r="V89">
        <v>35</v>
      </c>
      <c r="W89">
        <v>0</v>
      </c>
      <c r="X89">
        <v>0</v>
      </c>
      <c r="Y89">
        <v>0</v>
      </c>
      <c r="Z89" s="20">
        <v>0</v>
      </c>
      <c r="AA89" s="19">
        <f>IFERROR(PROPERTIES[[#This Row],[TE_STARTING_KN]]/(PROPERTIES[[#This Row],[WEIGHT]]*9.81),0)</f>
        <v>0</v>
      </c>
      <c r="AB89" s="19">
        <v>0.18</v>
      </c>
      <c r="AC89" s="16">
        <f>ROUND(IF(IFERROR(PROPERTIES[[#This Row],[TE_COEFFICIENT_CALC]],0)=0,PROPERTIES[[#This Row],[TE_COEFFICIENT_MANUAL]],PROPERTIES[[#This Row],[TE_COEFFICIENT_CALC]]),3)</f>
        <v>0.18</v>
      </c>
      <c r="AD89" s="8" cm="1">
        <f t="array" ref="AD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9" s="26">
        <v>0</v>
      </c>
      <c r="AF89" s="6">
        <v>0</v>
      </c>
      <c r="AG89" t="s">
        <v>1951</v>
      </c>
      <c r="AH89" t="s">
        <v>229</v>
      </c>
      <c r="AI89" t="s">
        <v>229</v>
      </c>
      <c r="AJ89" s="2" t="s">
        <v>229</v>
      </c>
      <c r="AK89" s="2" t="s">
        <v>244</v>
      </c>
      <c r="AL8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9" s="2" t="str">
        <f>SUBSTITUTE(SUBSTITUTE(PROPERTIES[[#This Row],[PURCHASECOST_VALUE]], "PURCHASECOST_", ""), "_VALUE", "")</f>
        <v>STEAMENGINE</v>
      </c>
      <c r="AO89" s="44" t="b">
        <v>0</v>
      </c>
      <c r="AP89" s="48" t="b">
        <v>0</v>
      </c>
      <c r="AQ89" s="48" t="b">
        <v>0</v>
      </c>
      <c r="AR89" s="48">
        <v>0</v>
      </c>
      <c r="AS89" s="48" t="b">
        <v>0</v>
      </c>
      <c r="AT89" s="7" t="b">
        <v>0</v>
      </c>
      <c r="AU89" s="40" t="str" cm="1">
        <f t="array" ref="AU89">_xlfn.XLOOKUP(PROPERTIES[[#This Row],[VEHIDCODE]],GRAPHICS_PROPERTIES[VEHIDCODE],GRAPHICS_PROPERTIES[TEMPLATE_ID]&amp;GRAPHICS_PROPERTIES[TEMPLATE_AMENDMENT_CODE])</f>
        <v>TPL_03C</v>
      </c>
    </row>
    <row r="90" spans="1:47" x14ac:dyDescent="0.35">
      <c r="A90" s="2" t="s">
        <v>2731</v>
      </c>
      <c r="B90">
        <v>1935</v>
      </c>
      <c r="C90">
        <v>1962</v>
      </c>
      <c r="D90" cm="1">
        <f t="array" ref="D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0" s="40" t="str">
        <f>_xlfn.XLOOKUP(PROPERTIES[[#This Row],[VEHIDCODE]],CONTROL[VEHIDCODE],CONTROL[ENGLISH])</f>
        <v>LNER A4 'Gresley'</v>
      </c>
      <c r="F90" t="s">
        <v>603</v>
      </c>
      <c r="G90" s="40" t="str">
        <f>_xlfn.XLOOKUP(PROPERTIES[[#This Row],[COUNTRY]],COUNTRIES[COUNTRY_DESCRIPTION],COUNTRIES[COUNTRY_LABEL],"")</f>
        <v>GB</v>
      </c>
      <c r="H90" t="str" cm="1">
        <f t="array" ref="H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0" t="s">
        <v>17</v>
      </c>
      <c r="J90">
        <v>0</v>
      </c>
      <c r="K90">
        <v>8</v>
      </c>
      <c r="M90" t="str" cm="1">
        <f t="array" ref="M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0">
        <f>_xlfn.XLOOKUP("LOADINGSPEEDDEF_"&amp;PROPERTIES[[#This Row],[LOADINGSPEED]],LOADINGSPEEDDEF[TYPE],LOADINGSPEEDDEF[SPEED])</f>
        <v>20</v>
      </c>
      <c r="O90" cm="1">
        <f t="array" ref="O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">
        <f>IF(ISNUMBER(SEARCH("passenger",PROPERTIES[[#This Row],[CARGODEF]])),1,0)</f>
        <v>0</v>
      </c>
      <c r="Q90" s="23">
        <v>170</v>
      </c>
      <c r="R90">
        <v>2200</v>
      </c>
      <c r="S90">
        <v>0</v>
      </c>
      <c r="T90">
        <v>0</v>
      </c>
      <c r="U90">
        <v>0</v>
      </c>
      <c r="V90">
        <v>160</v>
      </c>
      <c r="W90">
        <v>0</v>
      </c>
      <c r="X90">
        <v>0</v>
      </c>
      <c r="Y90">
        <v>0</v>
      </c>
      <c r="Z90" s="20">
        <v>0</v>
      </c>
      <c r="AA90" s="19">
        <f>IFERROR(PROPERTIES[[#This Row],[TE_STARTING_KN]]/(PROPERTIES[[#This Row],[WEIGHT]]*9.81),0)</f>
        <v>0</v>
      </c>
      <c r="AB90" s="19">
        <v>0.09</v>
      </c>
      <c r="AC90" s="16">
        <f>ROUND(IF(IFERROR(PROPERTIES[[#This Row],[TE_COEFFICIENT_CALC]],0)=0,PROPERTIES[[#This Row],[TE_COEFFICIENT_MANUAL]],PROPERTIES[[#This Row],[TE_COEFFICIENT_CALC]]),3)</f>
        <v>0.09</v>
      </c>
      <c r="AD90" s="8" cm="1">
        <f t="array" ref="AD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0" s="26">
        <v>0</v>
      </c>
      <c r="AF90" s="6">
        <v>6</v>
      </c>
      <c r="AG90" t="s">
        <v>234</v>
      </c>
      <c r="AH90" t="s">
        <v>229</v>
      </c>
      <c r="AI90" t="s">
        <v>229</v>
      </c>
      <c r="AJ90" s="2" t="s">
        <v>229</v>
      </c>
      <c r="AK90" s="2" t="s">
        <v>244</v>
      </c>
      <c r="AL9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0" s="2" t="str">
        <f>SUBSTITUTE(SUBSTITUTE(PROPERTIES[[#This Row],[PURCHASECOST_VALUE]], "PURCHASECOST_", ""), "_VALUE", "")</f>
        <v>STEAMENGINE</v>
      </c>
      <c r="AO90" s="44" t="b">
        <v>0</v>
      </c>
      <c r="AP90" s="48" t="b">
        <v>0</v>
      </c>
      <c r="AQ90" s="48" t="b">
        <v>0</v>
      </c>
      <c r="AR90" s="48">
        <v>0</v>
      </c>
      <c r="AS90" s="48" t="b">
        <v>0</v>
      </c>
      <c r="AT90" s="7" t="b">
        <v>0</v>
      </c>
      <c r="AU90" s="40" t="str" cm="1">
        <f t="array" ref="AU90">_xlfn.XLOOKUP(PROPERTIES[[#This Row],[VEHIDCODE]],GRAPHICS_PROPERTIES[VEHIDCODE],GRAPHICS_PROPERTIES[TEMPLATE_ID]&amp;GRAPHICS_PROPERTIES[TEMPLATE_AMENDMENT_CODE])</f>
        <v>TPL_03A</v>
      </c>
    </row>
    <row r="91" spans="1:47" x14ac:dyDescent="0.35">
      <c r="A91" s="2" t="s">
        <v>2732</v>
      </c>
      <c r="B91">
        <v>1937</v>
      </c>
      <c r="C91">
        <v>1959</v>
      </c>
      <c r="D91" cm="1">
        <f t="array" ref="D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" s="40" t="str">
        <f>_xlfn.XLOOKUP(PROPERTIES[[#This Row],[VEHIDCODE]],CONTROL[VEHIDCODE],CONTROL[ENGLISH])</f>
        <v>MLW 'Royal Hudson'</v>
      </c>
      <c r="F91" t="s">
        <v>565</v>
      </c>
      <c r="G91" s="40" t="str">
        <f>_xlfn.XLOOKUP(PROPERTIES[[#This Row],[COUNTRY]],COUNTRIES[COUNTRY_DESCRIPTION],COUNTRIES[COUNTRY_LABEL],"")</f>
        <v>CA</v>
      </c>
      <c r="H91" t="str" cm="1">
        <f t="array" ref="H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1" t="s">
        <v>17</v>
      </c>
      <c r="J91">
        <v>0</v>
      </c>
      <c r="K91">
        <v>8</v>
      </c>
      <c r="M91" t="str" cm="1">
        <f t="array" ref="M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1">
        <f>_xlfn.XLOOKUP("LOADINGSPEEDDEF_"&amp;PROPERTIES[[#This Row],[LOADINGSPEED]],LOADINGSPEEDDEF[TYPE],LOADINGSPEEDDEF[SPEED])</f>
        <v>20</v>
      </c>
      <c r="O91" cm="1">
        <f t="array" ref="O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1">
        <f>IF(ISNUMBER(SEARCH("passenger",PROPERTIES[[#This Row],[CARGODEF]])),1,0)</f>
        <v>0</v>
      </c>
      <c r="Q91" s="23">
        <v>286</v>
      </c>
      <c r="R91">
        <v>3100</v>
      </c>
      <c r="S91">
        <v>0</v>
      </c>
      <c r="T91">
        <v>0</v>
      </c>
      <c r="U91">
        <v>0</v>
      </c>
      <c r="V91">
        <v>144</v>
      </c>
      <c r="W91">
        <v>0</v>
      </c>
      <c r="X91">
        <v>0</v>
      </c>
      <c r="Y91">
        <v>0</v>
      </c>
      <c r="Z91" s="20">
        <v>0</v>
      </c>
      <c r="AA91" s="19">
        <f>IFERROR(PROPERTIES[[#This Row],[TE_STARTING_KN]]/(PROPERTIES[[#This Row],[WEIGHT]]*9.81),0)</f>
        <v>0</v>
      </c>
      <c r="AB91" s="19">
        <v>7.0000000000000007E-2</v>
      </c>
      <c r="AC91" s="16">
        <f>ROUND(IF(IFERROR(PROPERTIES[[#This Row],[TE_COEFFICIENT_CALC]],0)=0,PROPERTIES[[#This Row],[TE_COEFFICIENT_MANUAL]],PROPERTIES[[#This Row],[TE_COEFFICIENT_CALC]]),3)</f>
        <v>7.0000000000000007E-2</v>
      </c>
      <c r="AD91" s="8" cm="1">
        <f t="array" ref="AD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1" s="26">
        <v>0</v>
      </c>
      <c r="AF91" s="6">
        <v>6</v>
      </c>
      <c r="AG91" t="s">
        <v>235</v>
      </c>
      <c r="AH91" t="s">
        <v>229</v>
      </c>
      <c r="AI91" t="s">
        <v>229</v>
      </c>
      <c r="AJ91" s="2" t="s">
        <v>229</v>
      </c>
      <c r="AK91" s="2" t="s">
        <v>244</v>
      </c>
      <c r="AL9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1" s="2" t="str">
        <f>SUBSTITUTE(SUBSTITUTE(PROPERTIES[[#This Row],[PURCHASECOST_VALUE]], "PURCHASECOST_", ""), "_VALUE", "")</f>
        <v>STEAMENGINE</v>
      </c>
      <c r="AO91" s="44" t="b">
        <v>0</v>
      </c>
      <c r="AP91" s="48" t="b">
        <v>0</v>
      </c>
      <c r="AQ91" s="48" t="b">
        <v>0</v>
      </c>
      <c r="AR91" s="48">
        <v>0</v>
      </c>
      <c r="AS91" s="48" t="b">
        <v>0</v>
      </c>
      <c r="AT91" s="7" t="b">
        <v>0</v>
      </c>
      <c r="AU91" s="40" t="str" cm="1">
        <f t="array" ref="AU91">_xlfn.XLOOKUP(PROPERTIES[[#This Row],[VEHIDCODE]],GRAPHICS_PROPERTIES[VEHIDCODE],GRAPHICS_PROPERTIES[TEMPLATE_ID]&amp;GRAPHICS_PROPERTIES[TEMPLATE_AMENDMENT_CODE])</f>
        <v>TPL_03A</v>
      </c>
    </row>
    <row r="92" spans="1:47" x14ac:dyDescent="0.35">
      <c r="A92" s="2" t="s">
        <v>2733</v>
      </c>
      <c r="B92">
        <v>1937</v>
      </c>
      <c r="C92">
        <v>1972</v>
      </c>
      <c r="D92" cm="1">
        <f t="array" ref="D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" s="40" t="str">
        <f>_xlfn.XLOOKUP(PROPERTIES[[#This Row],[VEHIDCODE]],CONTROL[VEHIDCODE],CONTROL[ENGLISH])</f>
        <v>NOHAB 4-6-2 'F'</v>
      </c>
      <c r="F92" t="s">
        <v>586</v>
      </c>
      <c r="G92" s="40" t="str">
        <f>_xlfn.XLOOKUP(PROPERTIES[[#This Row],[COUNTRY]],COUNTRIES[COUNTRY_DESCRIPTION],COUNTRIES[COUNTRY_LABEL],"")</f>
        <v>DK</v>
      </c>
      <c r="H92" t="str" cm="1">
        <f t="array" ref="H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2" t="s">
        <v>17</v>
      </c>
      <c r="J92">
        <v>0</v>
      </c>
      <c r="K92">
        <v>8</v>
      </c>
      <c r="M92" t="str" cm="1">
        <f t="array" ref="M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2">
        <f>_xlfn.XLOOKUP("LOADINGSPEEDDEF_"&amp;PROPERTIES[[#This Row],[LOADINGSPEED]],LOADINGSPEEDDEF[TYPE],LOADINGSPEEDDEF[SPEED])</f>
        <v>20</v>
      </c>
      <c r="O92" cm="1">
        <f t="array" ref="O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2">
        <f>IF(ISNUMBER(SEARCH("passenger",PROPERTIES[[#This Row],[CARGODEF]])),1,0)</f>
        <v>0</v>
      </c>
      <c r="Q92" s="23">
        <v>132</v>
      </c>
      <c r="R92">
        <v>1600</v>
      </c>
      <c r="S92">
        <v>0</v>
      </c>
      <c r="T92">
        <v>0</v>
      </c>
      <c r="U92">
        <v>0</v>
      </c>
      <c r="V92">
        <v>110</v>
      </c>
      <c r="W92">
        <v>0</v>
      </c>
      <c r="X92">
        <v>0</v>
      </c>
      <c r="Y92">
        <v>0</v>
      </c>
      <c r="Z92" s="20">
        <v>0</v>
      </c>
      <c r="AA92" s="19">
        <f>IFERROR(PROPERTIES[[#This Row],[TE_STARTING_KN]]/(PROPERTIES[[#This Row],[WEIGHT]]*9.81),0)</f>
        <v>0</v>
      </c>
      <c r="AB92" s="19">
        <v>0.09</v>
      </c>
      <c r="AC92" s="16">
        <f>ROUND(IF(IFERROR(PROPERTIES[[#This Row],[TE_COEFFICIENT_CALC]],0)=0,PROPERTIES[[#This Row],[TE_COEFFICIENT_MANUAL]],PROPERTIES[[#This Row],[TE_COEFFICIENT_CALC]]),3)</f>
        <v>0.09</v>
      </c>
      <c r="AD92" s="8" cm="1">
        <f t="array" ref="AD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92" s="26">
        <v>0</v>
      </c>
      <c r="AF92" s="6">
        <v>4</v>
      </c>
      <c r="AG92" t="s">
        <v>234</v>
      </c>
      <c r="AH92" t="s">
        <v>229</v>
      </c>
      <c r="AI92" t="s">
        <v>229</v>
      </c>
      <c r="AJ92" s="2" t="s">
        <v>229</v>
      </c>
      <c r="AK92" s="2" t="s">
        <v>244</v>
      </c>
      <c r="AL9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2" s="2" t="str">
        <f>SUBSTITUTE(SUBSTITUTE(PROPERTIES[[#This Row],[PURCHASECOST_VALUE]], "PURCHASECOST_", ""), "_VALUE", "")</f>
        <v>STEAMENGINE</v>
      </c>
      <c r="AO92" s="44" t="b">
        <v>0</v>
      </c>
      <c r="AP92" s="48" t="b">
        <v>0</v>
      </c>
      <c r="AQ92" s="48" t="b">
        <v>0</v>
      </c>
      <c r="AR92" s="48">
        <v>0</v>
      </c>
      <c r="AS92" s="48" t="b">
        <v>0</v>
      </c>
      <c r="AT92" s="7" t="b">
        <v>0</v>
      </c>
      <c r="AU92" s="40" t="str" cm="1">
        <f t="array" ref="AU92">_xlfn.XLOOKUP(PROPERTIES[[#This Row],[VEHIDCODE]],GRAPHICS_PROPERTIES[VEHIDCODE],GRAPHICS_PROPERTIES[TEMPLATE_ID]&amp;GRAPHICS_PROPERTIES[TEMPLATE_AMENDMENT_CODE])</f>
        <v>TPL_03A</v>
      </c>
    </row>
    <row r="93" spans="1:47" x14ac:dyDescent="0.35">
      <c r="A93" s="2" t="s">
        <v>2734</v>
      </c>
      <c r="B93">
        <v>1942</v>
      </c>
      <c r="C93">
        <v>1962</v>
      </c>
      <c r="D93" cm="1">
        <f t="array" ref="D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" s="40" t="str">
        <f>_xlfn.XLOOKUP(PROPERTIES[[#This Row],[VEHIDCODE]],CONTROL[VEHIDCODE],CONTROL[ENGLISH])</f>
        <v>GGL/HAS 52</v>
      </c>
      <c r="F93" t="s">
        <v>584</v>
      </c>
      <c r="G93" s="40" t="str">
        <f>_xlfn.XLOOKUP(PROPERTIES[[#This Row],[COUNTRY]],COUNTRIES[COUNTRY_DESCRIPTION],COUNTRIES[COUNTRY_LABEL],"")</f>
        <v>DE</v>
      </c>
      <c r="H93" t="str" cm="1">
        <f t="array" ref="H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3" t="s">
        <v>17</v>
      </c>
      <c r="J93">
        <v>0</v>
      </c>
      <c r="K93">
        <v>8</v>
      </c>
      <c r="M93" t="str" cm="1">
        <f t="array" ref="M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3">
        <f>_xlfn.XLOOKUP("LOADINGSPEEDDEF_"&amp;PROPERTIES[[#This Row],[LOADINGSPEED]],LOADINGSPEEDDEF[TYPE],LOADINGSPEEDDEF[SPEED])</f>
        <v>20</v>
      </c>
      <c r="O93" cm="1">
        <f t="array" ref="O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3">
        <f>IF(ISNUMBER(SEARCH("passenger",PROPERTIES[[#This Row],[CARGODEF]])),1,0)</f>
        <v>0</v>
      </c>
      <c r="Q93" s="23">
        <v>150</v>
      </c>
      <c r="R93">
        <v>1600</v>
      </c>
      <c r="S93">
        <v>0</v>
      </c>
      <c r="T93">
        <v>0</v>
      </c>
      <c r="U93">
        <v>0</v>
      </c>
      <c r="V93">
        <v>80</v>
      </c>
      <c r="W93">
        <v>0</v>
      </c>
      <c r="X93">
        <v>0</v>
      </c>
      <c r="Y93">
        <v>0</v>
      </c>
      <c r="Z93" s="20">
        <v>0</v>
      </c>
      <c r="AA93" s="19">
        <f>IFERROR(PROPERTIES[[#This Row],[TE_STARTING_KN]]/(PROPERTIES[[#This Row],[WEIGHT]]*9.81),0)</f>
        <v>0</v>
      </c>
      <c r="AB93" s="19">
        <v>0.12</v>
      </c>
      <c r="AC93" s="16">
        <f>ROUND(IF(IFERROR(PROPERTIES[[#This Row],[TE_COEFFICIENT_CALC]],0)=0,PROPERTIES[[#This Row],[TE_COEFFICIENT_MANUAL]],PROPERTIES[[#This Row],[TE_COEFFICIENT_CALC]]),3)</f>
        <v>0.12</v>
      </c>
      <c r="AD93" s="8" cm="1">
        <f t="array" ref="AD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3" s="26">
        <v>0</v>
      </c>
      <c r="AF93" s="6">
        <v>6</v>
      </c>
      <c r="AG93" t="s">
        <v>239</v>
      </c>
      <c r="AH93" t="s">
        <v>238</v>
      </c>
      <c r="AI93" t="s">
        <v>229</v>
      </c>
      <c r="AJ93" s="2" t="s">
        <v>229</v>
      </c>
      <c r="AK93" s="2" t="s">
        <v>244</v>
      </c>
      <c r="AL9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3" s="2" t="str">
        <f>SUBSTITUTE(SUBSTITUTE(PROPERTIES[[#This Row],[PURCHASECOST_VALUE]], "PURCHASECOST_", ""), "_VALUE", "")</f>
        <v>STEAMENGINE</v>
      </c>
      <c r="AO93" s="44" t="b">
        <v>0</v>
      </c>
      <c r="AP93" s="48" t="b">
        <v>0</v>
      </c>
      <c r="AQ93" s="48" t="b">
        <v>0</v>
      </c>
      <c r="AR93" s="48">
        <v>0</v>
      </c>
      <c r="AS93" s="48" t="b">
        <v>0</v>
      </c>
      <c r="AT93" s="7" t="b">
        <v>0</v>
      </c>
      <c r="AU93" s="40" t="str" cm="1">
        <f t="array" ref="AU93">_xlfn.XLOOKUP(PROPERTIES[[#This Row],[VEHIDCODE]],GRAPHICS_PROPERTIES[VEHIDCODE],GRAPHICS_PROPERTIES[TEMPLATE_ID]&amp;GRAPHICS_PROPERTIES[TEMPLATE_AMENDMENT_CODE])</f>
        <v>TPL_03A</v>
      </c>
    </row>
    <row r="94" spans="1:47" x14ac:dyDescent="0.35">
      <c r="A94" s="2" t="s">
        <v>2735</v>
      </c>
      <c r="B94">
        <v>1948</v>
      </c>
      <c r="C94">
        <v>1962</v>
      </c>
      <c r="D94" cm="1">
        <f t="array" ref="D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" s="40" t="str">
        <f>_xlfn.XLOOKUP(PROPERTIES[[#This Row],[VEHIDCODE]],CONTROL[VEHIDCODE],CONTROL[ENGLISH])</f>
        <v>Doncaster/Darlington 'Peppercorn'</v>
      </c>
      <c r="F94" t="s">
        <v>603</v>
      </c>
      <c r="G94" s="40" t="str">
        <f>_xlfn.XLOOKUP(PROPERTIES[[#This Row],[COUNTRY]],COUNTRIES[COUNTRY_DESCRIPTION],COUNTRIES[COUNTRY_LABEL],"")</f>
        <v>GB</v>
      </c>
      <c r="H94" t="str" cm="1">
        <f t="array" ref="H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4" t="s">
        <v>17</v>
      </c>
      <c r="J94">
        <v>0</v>
      </c>
      <c r="K94">
        <v>8</v>
      </c>
      <c r="M94" t="str" cm="1">
        <f t="array" ref="M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">
        <f>_xlfn.XLOOKUP("LOADINGSPEEDDEF_"&amp;PROPERTIES[[#This Row],[LOADINGSPEED]],LOADINGSPEEDDEF[TYPE],LOADINGSPEEDDEF[SPEED])</f>
        <v>20</v>
      </c>
      <c r="O94" cm="1">
        <f t="array" ref="O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4">
        <f>IF(ISNUMBER(SEARCH("passenger",PROPERTIES[[#This Row],[CARGODEF]])),1,0)</f>
        <v>0</v>
      </c>
      <c r="Q94" s="23">
        <v>162</v>
      </c>
      <c r="R94">
        <v>2400</v>
      </c>
      <c r="S94">
        <v>0</v>
      </c>
      <c r="T94">
        <v>0</v>
      </c>
      <c r="U94">
        <v>0</v>
      </c>
      <c r="V94">
        <v>160</v>
      </c>
      <c r="W94">
        <v>0</v>
      </c>
      <c r="X94">
        <v>0</v>
      </c>
      <c r="Y94">
        <v>0</v>
      </c>
      <c r="Z94" s="20">
        <v>0</v>
      </c>
      <c r="AA94" s="19">
        <f>IFERROR(PROPERTIES[[#This Row],[TE_STARTING_KN]]/(PROPERTIES[[#This Row],[WEIGHT]]*9.81),0)</f>
        <v>0</v>
      </c>
      <c r="AB94" s="19">
        <v>0.11</v>
      </c>
      <c r="AC94" s="16">
        <f>ROUND(IF(IFERROR(PROPERTIES[[#This Row],[TE_COEFFICIENT_CALC]],0)=0,PROPERTIES[[#This Row],[TE_COEFFICIENT_MANUAL]],PROPERTIES[[#This Row],[TE_COEFFICIENT_CALC]]),3)</f>
        <v>0.11</v>
      </c>
      <c r="AD94" s="8" cm="1">
        <f t="array" ref="AD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4" s="26">
        <v>0</v>
      </c>
      <c r="AF94" s="6">
        <v>5</v>
      </c>
      <c r="AG94" t="s">
        <v>234</v>
      </c>
      <c r="AH94" t="s">
        <v>229</v>
      </c>
      <c r="AI94" t="s">
        <v>229</v>
      </c>
      <c r="AJ94" s="2" t="s">
        <v>229</v>
      </c>
      <c r="AK94" s="2" t="s">
        <v>244</v>
      </c>
      <c r="AL9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4" s="2" t="str">
        <f>SUBSTITUTE(SUBSTITUTE(PROPERTIES[[#This Row],[PURCHASECOST_VALUE]], "PURCHASECOST_", ""), "_VALUE", "")</f>
        <v>STEAMENGINE</v>
      </c>
      <c r="AO94" s="44" t="b">
        <v>0</v>
      </c>
      <c r="AP94" s="48" t="b">
        <v>0</v>
      </c>
      <c r="AQ94" s="48" t="b">
        <v>0</v>
      </c>
      <c r="AR94" s="48">
        <v>0</v>
      </c>
      <c r="AS94" s="48" t="b">
        <v>0</v>
      </c>
      <c r="AT94" s="7" t="b">
        <v>0</v>
      </c>
      <c r="AU94" s="40" t="str" cm="1">
        <f t="array" ref="AU94">_xlfn.XLOOKUP(PROPERTIES[[#This Row],[VEHIDCODE]],GRAPHICS_PROPERTIES[VEHIDCODE],GRAPHICS_PROPERTIES[TEMPLATE_ID]&amp;GRAPHICS_PROPERTIES[TEMPLATE_AMENDMENT_CODE])</f>
        <v>TPL_03A</v>
      </c>
    </row>
    <row r="95" spans="1:47" x14ac:dyDescent="0.35">
      <c r="A95" s="2" t="s">
        <v>2736</v>
      </c>
      <c r="B95">
        <v>1953</v>
      </c>
      <c r="C95">
        <v>1973</v>
      </c>
      <c r="D95" cm="1">
        <f t="array" ref="D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" s="40" t="str">
        <f>_xlfn.XLOOKUP(PROPERTIES[[#This Row],[VEHIDCODE]],CONTROL[VEHIDCODE],CONTROL[ENGLISH])</f>
        <v>Henschel &amp; Sohn 'Condenser'</v>
      </c>
      <c r="F95" t="s">
        <v>771</v>
      </c>
      <c r="G95" s="40" t="str">
        <f>_xlfn.XLOOKUP(PROPERTIES[[#This Row],[COUNTRY]],COUNTRIES[COUNTRY_DESCRIPTION],COUNTRIES[COUNTRY_LABEL],"")</f>
        <v>ZA</v>
      </c>
      <c r="H95" t="str" cm="1">
        <f t="array" ref="H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5" t="s">
        <v>17</v>
      </c>
      <c r="J95">
        <v>0</v>
      </c>
      <c r="K95">
        <v>8</v>
      </c>
      <c r="M95" t="str" cm="1">
        <f t="array" ref="M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">
        <f>_xlfn.XLOOKUP("LOADINGSPEEDDEF_"&amp;PROPERTIES[[#This Row],[LOADINGSPEED]],LOADINGSPEEDDEF[TYPE],LOADINGSPEEDDEF[SPEED])</f>
        <v>20</v>
      </c>
      <c r="O95" cm="1">
        <f t="array" ref="O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">
        <f>IF(ISNUMBER(SEARCH("passenger",PROPERTIES[[#This Row],[CARGODEF]])),1,0)</f>
        <v>0</v>
      </c>
      <c r="Q95" s="23">
        <v>231</v>
      </c>
      <c r="R95">
        <v>3000</v>
      </c>
      <c r="S95">
        <v>0</v>
      </c>
      <c r="T95">
        <v>0</v>
      </c>
      <c r="U95">
        <v>0</v>
      </c>
      <c r="V95">
        <v>100</v>
      </c>
      <c r="W95">
        <v>0</v>
      </c>
      <c r="X95">
        <v>0</v>
      </c>
      <c r="Y95">
        <v>0</v>
      </c>
      <c r="Z95" s="20">
        <v>201</v>
      </c>
      <c r="AA95" s="19">
        <f>IFERROR(PROPERTIES[[#This Row],[TE_STARTING_KN]]/(PROPERTIES[[#This Row],[WEIGHT]]*9.81),0)</f>
        <v>8.8698253835868504E-2</v>
      </c>
      <c r="AB95" s="19">
        <v>0</v>
      </c>
      <c r="AC95" s="16">
        <f>ROUND(IF(IFERROR(PROPERTIES[[#This Row],[TE_COEFFICIENT_CALC]],0)=0,PROPERTIES[[#This Row],[TE_COEFFICIENT_MANUAL]],PROPERTIES[[#This Row],[TE_COEFFICIENT_CALC]]),3)</f>
        <v>8.8999999999999996E-2</v>
      </c>
      <c r="AD95" s="8" cm="1">
        <f t="array" ref="AD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" s="26">
        <v>0</v>
      </c>
      <c r="AF95" s="6">
        <v>5</v>
      </c>
      <c r="AG95" t="s">
        <v>233</v>
      </c>
      <c r="AH95" t="s">
        <v>229</v>
      </c>
      <c r="AI95" t="s">
        <v>229</v>
      </c>
      <c r="AJ95" s="2" t="s">
        <v>229</v>
      </c>
      <c r="AK95" s="2" t="s">
        <v>244</v>
      </c>
      <c r="AL9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5" s="2" t="str">
        <f>SUBSTITUTE(SUBSTITUTE(PROPERTIES[[#This Row],[PURCHASECOST_VALUE]], "PURCHASECOST_", ""), "_VALUE", "")</f>
        <v>STEAMENGINE</v>
      </c>
      <c r="AO95" s="44" t="b">
        <v>0</v>
      </c>
      <c r="AP95" s="48" t="b">
        <v>0</v>
      </c>
      <c r="AQ95" s="48" t="b">
        <v>0</v>
      </c>
      <c r="AR95" s="48">
        <v>0</v>
      </c>
      <c r="AS95" s="48" t="b">
        <v>0</v>
      </c>
      <c r="AT95" s="7" t="b">
        <v>0</v>
      </c>
      <c r="AU95" s="40" t="str" cm="1">
        <f t="array" ref="AU95">_xlfn.XLOOKUP(PROPERTIES[[#This Row],[VEHIDCODE]],GRAPHICS_PROPERTIES[VEHIDCODE],GRAPHICS_PROPERTIES[TEMPLATE_ID]&amp;GRAPHICS_PROPERTIES[TEMPLATE_AMENDMENT_CODE])</f>
        <v>TPL_03A</v>
      </c>
    </row>
    <row r="96" spans="1:47" x14ac:dyDescent="0.35">
      <c r="A96" s="2" t="s">
        <v>2737</v>
      </c>
      <c r="B96">
        <v>1954</v>
      </c>
      <c r="C96">
        <v>1965</v>
      </c>
      <c r="D96" cm="1">
        <f t="array" ref="D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" s="40" t="str">
        <f>_xlfn.XLOOKUP(PROPERTIES[[#This Row],[VEHIDCODE]],CONTROL[VEHIDCODE],CONTROL[ENGLISH])</f>
        <v>Kolomna P36</v>
      </c>
      <c r="F96" t="s">
        <v>716</v>
      </c>
      <c r="G96" s="40" t="str">
        <f>_xlfn.XLOOKUP(PROPERTIES[[#This Row],[COUNTRY]],COUNTRIES[COUNTRY_DESCRIPTION],COUNTRIES[COUNTRY_LABEL],"")</f>
        <v>RU</v>
      </c>
      <c r="H96" t="str" cm="1">
        <f t="array" ref="H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6" t="s">
        <v>17</v>
      </c>
      <c r="J96">
        <v>0</v>
      </c>
      <c r="K96">
        <v>8</v>
      </c>
      <c r="M96" t="str" cm="1">
        <f t="array" ref="M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">
        <f>_xlfn.XLOOKUP("LOADINGSPEEDDEF_"&amp;PROPERTIES[[#This Row],[LOADINGSPEED]],LOADINGSPEEDDEF[TYPE],LOADINGSPEEDDEF[SPEED])</f>
        <v>20</v>
      </c>
      <c r="O96" cm="1">
        <f t="array" ref="O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">
        <f>IF(ISNUMBER(SEARCH("passenger",PROPERTIES[[#This Row],[CARGODEF]])),1,0)</f>
        <v>0</v>
      </c>
      <c r="Q96" s="23">
        <v>254</v>
      </c>
      <c r="R96">
        <v>3000</v>
      </c>
      <c r="S96">
        <v>0</v>
      </c>
      <c r="T96">
        <v>0</v>
      </c>
      <c r="U96">
        <v>0</v>
      </c>
      <c r="V96">
        <v>125</v>
      </c>
      <c r="W96">
        <v>0</v>
      </c>
      <c r="X96">
        <v>0</v>
      </c>
      <c r="Y96">
        <v>0</v>
      </c>
      <c r="Z96" s="20">
        <v>176</v>
      </c>
      <c r="AA96" s="19">
        <f>IFERROR(PROPERTIES[[#This Row],[TE_STARTING_KN]]/(PROPERTIES[[#This Row],[WEIGHT]]*9.81),0)</f>
        <v>7.0633372663279473E-2</v>
      </c>
      <c r="AB96" s="19">
        <v>0</v>
      </c>
      <c r="AC96" s="16">
        <f>ROUND(IF(IFERROR(PROPERTIES[[#This Row],[TE_COEFFICIENT_CALC]],0)=0,PROPERTIES[[#This Row],[TE_COEFFICIENT_MANUAL]],PROPERTIES[[#This Row],[TE_COEFFICIENT_CALC]]),3)</f>
        <v>7.0999999999999994E-2</v>
      </c>
      <c r="AD96" s="8" cm="1">
        <f t="array" ref="AD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6" s="26">
        <v>0</v>
      </c>
      <c r="AF96" s="6">
        <v>6</v>
      </c>
      <c r="AG96" t="s">
        <v>1951</v>
      </c>
      <c r="AH96" t="s">
        <v>229</v>
      </c>
      <c r="AI96" t="s">
        <v>229</v>
      </c>
      <c r="AJ96" s="2" t="s">
        <v>229</v>
      </c>
      <c r="AK96" s="2" t="s">
        <v>244</v>
      </c>
      <c r="AL9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6" s="2" t="str">
        <f>SUBSTITUTE(SUBSTITUTE(PROPERTIES[[#This Row],[PURCHASECOST_VALUE]], "PURCHASECOST_", ""), "_VALUE", "")</f>
        <v>STEAMENGINE</v>
      </c>
      <c r="AO96" s="44" t="b">
        <v>0</v>
      </c>
      <c r="AP96" s="48" t="b">
        <v>0</v>
      </c>
      <c r="AQ96" s="48" t="b">
        <v>0</v>
      </c>
      <c r="AR96" s="48">
        <v>0</v>
      </c>
      <c r="AS96" s="48" t="b">
        <v>0</v>
      </c>
      <c r="AT96" s="7" t="b">
        <v>0</v>
      </c>
      <c r="AU96" s="40" t="str" cm="1">
        <f t="array" ref="AU96">_xlfn.XLOOKUP(PROPERTIES[[#This Row],[VEHIDCODE]],GRAPHICS_PROPERTIES[VEHIDCODE],GRAPHICS_PROPERTIES[TEMPLATE_ID]&amp;GRAPHICS_PROPERTIES[TEMPLATE_AMENDMENT_CODE])</f>
        <v>TPL_03A</v>
      </c>
    </row>
    <row r="97" spans="1:47" x14ac:dyDescent="0.35">
      <c r="A97" s="2" t="s">
        <v>2738</v>
      </c>
      <c r="B97">
        <v>1934</v>
      </c>
      <c r="C97">
        <v>1968</v>
      </c>
      <c r="D97" cm="1">
        <f t="array" ref="D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" s="40" t="str">
        <f>_xlfn.XLOOKUP(PROPERTIES[[#This Row],[VEHIDCODE]],CONTROL[VEHIDCODE],CONTROL[ENGLISH])</f>
        <v>ANF/DEL 150B</v>
      </c>
      <c r="F97" t="s">
        <v>602</v>
      </c>
      <c r="G97" s="40" t="str">
        <f>_xlfn.XLOOKUP(PROPERTIES[[#This Row],[COUNTRY]],COUNTRIES[COUNTRY_DESCRIPTION],COUNTRIES[COUNTRY_LABEL],"")</f>
        <v>FR</v>
      </c>
      <c r="H97" t="str" cm="1">
        <f t="array" ref="H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7" t="s">
        <v>17</v>
      </c>
      <c r="J97">
        <v>0</v>
      </c>
      <c r="K97">
        <v>8</v>
      </c>
      <c r="M97" t="str" cm="1">
        <f t="array" ref="M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">
        <f>_xlfn.XLOOKUP("LOADINGSPEEDDEF_"&amp;PROPERTIES[[#This Row],[LOADINGSPEED]],LOADINGSPEEDDEF[TYPE],LOADINGSPEEDDEF[SPEED])</f>
        <v>20</v>
      </c>
      <c r="O97" cm="1">
        <f t="array" ref="O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">
        <f>IF(ISNUMBER(SEARCH("passenger",PROPERTIES[[#This Row],[CARGODEF]])),1,0)</f>
        <v>0</v>
      </c>
      <c r="Q97" s="23">
        <v>119</v>
      </c>
      <c r="R97">
        <v>1500</v>
      </c>
      <c r="S97">
        <v>0</v>
      </c>
      <c r="T97">
        <v>0</v>
      </c>
      <c r="U97">
        <v>0</v>
      </c>
      <c r="V97">
        <v>105</v>
      </c>
      <c r="W97">
        <v>0</v>
      </c>
      <c r="X97">
        <v>0</v>
      </c>
      <c r="Y97">
        <v>0</v>
      </c>
      <c r="Z97" s="20">
        <v>253</v>
      </c>
      <c r="AA97" s="19">
        <f>IFERROR(PROPERTIES[[#This Row],[TE_STARTING_KN]]/(PROPERTIES[[#This Row],[WEIGHT]]*9.81),0)</f>
        <v>0.21672277473680601</v>
      </c>
      <c r="AB97" s="19">
        <v>0</v>
      </c>
      <c r="AC97" s="16">
        <f>ROUND(IF(IFERROR(PROPERTIES[[#This Row],[TE_COEFFICIENT_CALC]],0)=0,PROPERTIES[[#This Row],[TE_COEFFICIENT_MANUAL]],PROPERTIES[[#This Row],[TE_COEFFICIENT_CALC]]),3)</f>
        <v>0.217</v>
      </c>
      <c r="AD97" s="8" cm="1">
        <f t="array" ref="AD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97" s="26">
        <v>0</v>
      </c>
      <c r="AF97" s="6">
        <v>5</v>
      </c>
      <c r="AG97" t="s">
        <v>230</v>
      </c>
      <c r="AH97" t="s">
        <v>229</v>
      </c>
      <c r="AI97" t="s">
        <v>229</v>
      </c>
      <c r="AJ97" s="2" t="s">
        <v>229</v>
      </c>
      <c r="AK97" s="2" t="s">
        <v>244</v>
      </c>
      <c r="AL9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7" s="2" t="str">
        <f>SUBSTITUTE(SUBSTITUTE(PROPERTIES[[#This Row],[PURCHASECOST_VALUE]], "PURCHASECOST_", ""), "_VALUE", "")</f>
        <v>STEAMENGINE</v>
      </c>
      <c r="AO97" s="44" t="b">
        <v>0</v>
      </c>
      <c r="AP97" s="48" t="b">
        <v>0</v>
      </c>
      <c r="AQ97" s="48" t="b">
        <v>0</v>
      </c>
      <c r="AR97" s="48">
        <v>0</v>
      </c>
      <c r="AS97" s="48" t="b">
        <v>0</v>
      </c>
      <c r="AT97" s="7" t="b">
        <v>0</v>
      </c>
      <c r="AU97" s="40" t="str" cm="1">
        <f t="array" ref="AU97">_xlfn.XLOOKUP(PROPERTIES[[#This Row],[VEHIDCODE]],GRAPHICS_PROPERTIES[VEHIDCODE],GRAPHICS_PROPERTIES[TEMPLATE_ID]&amp;GRAPHICS_PROPERTIES[TEMPLATE_AMENDMENT_CODE])</f>
        <v>TPL_03A</v>
      </c>
    </row>
    <row r="98" spans="1:47" x14ac:dyDescent="0.35">
      <c r="A98" s="2" t="s">
        <v>2739</v>
      </c>
      <c r="B98">
        <v>1908</v>
      </c>
      <c r="C98">
        <v>1972</v>
      </c>
      <c r="D98" cm="1">
        <f t="array" ref="D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" s="40" t="str">
        <f>_xlfn.XLOOKUP(PROPERTIES[[#This Row],[VEHIDCODE]],CONTROL[VEHIDCODE],CONTROL[ENGLISH])</f>
        <v>Henschel 895</v>
      </c>
      <c r="F98" t="s">
        <v>636</v>
      </c>
      <c r="G98" s="40" t="str">
        <f>_xlfn.XLOOKUP(PROPERTIES[[#This Row],[COUNTRY]],COUNTRIES[COUNTRY_DESCRIPTION],COUNTRIES[COUNTRY_LABEL],"")</f>
        <v>IT</v>
      </c>
      <c r="H98" t="str" cm="1">
        <f t="array" ref="H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8" t="s">
        <v>17</v>
      </c>
      <c r="J98">
        <v>0</v>
      </c>
      <c r="K98">
        <v>5</v>
      </c>
      <c r="L98">
        <v>0</v>
      </c>
      <c r="M98" t="str" cm="1">
        <f t="array" ref="M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">
        <f>_xlfn.XLOOKUP("LOADINGSPEEDDEF_"&amp;PROPERTIES[[#This Row],[LOADINGSPEED]],LOADINGSPEEDDEF[TYPE],LOADINGSPEEDDEF[SPEED])</f>
        <v>20</v>
      </c>
      <c r="O98" cm="1">
        <f t="array" ref="O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">
        <f>IF(ISNUMBER(SEARCH("passenger",PROPERTIES[[#This Row],[CARGODEF]])),1,0)</f>
        <v>0</v>
      </c>
      <c r="Q98" s="23">
        <v>55</v>
      </c>
      <c r="R98">
        <v>500</v>
      </c>
      <c r="S98">
        <v>0</v>
      </c>
      <c r="T98">
        <v>0</v>
      </c>
      <c r="U98">
        <v>0</v>
      </c>
      <c r="V98">
        <v>40</v>
      </c>
      <c r="W98">
        <v>0</v>
      </c>
      <c r="X98">
        <v>0</v>
      </c>
      <c r="Y98">
        <v>0</v>
      </c>
      <c r="Z98" s="20">
        <v>0</v>
      </c>
      <c r="AA98" s="19">
        <f>IFERROR(PROPERTIES[[#This Row],[TE_STARTING_KN]]/(PROPERTIES[[#This Row],[WEIGHT]]*9.81),0)</f>
        <v>0</v>
      </c>
      <c r="AB98" s="19">
        <v>0.21</v>
      </c>
      <c r="AC98" s="16">
        <f>ROUND(IF(IFERROR(PROPERTIES[[#This Row],[TE_COEFFICIENT_CALC]],0)=0,PROPERTIES[[#This Row],[TE_COEFFICIENT_MANUAL]],PROPERTIES[[#This Row],[TE_COEFFICIENT_CALC]]),3)</f>
        <v>0.21</v>
      </c>
      <c r="AD98" s="8" cm="1">
        <f t="array" ref="AD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64</v>
      </c>
      <c r="AE98" s="26">
        <v>0</v>
      </c>
      <c r="AF98" s="6">
        <v>0</v>
      </c>
      <c r="AG98" t="s">
        <v>231</v>
      </c>
      <c r="AH98" t="s">
        <v>229</v>
      </c>
      <c r="AI98" t="s">
        <v>229</v>
      </c>
      <c r="AJ98" s="2" t="s">
        <v>229</v>
      </c>
      <c r="AK98" s="2" t="s">
        <v>244</v>
      </c>
      <c r="AL9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8" s="2" t="str">
        <f>SUBSTITUTE(SUBSTITUTE(PROPERTIES[[#This Row],[PURCHASECOST_VALUE]], "PURCHASECOST_", ""), "_VALUE", "")</f>
        <v>STEAMENGINE</v>
      </c>
      <c r="AO98" s="44" t="b">
        <v>0</v>
      </c>
      <c r="AP98" s="48" t="b">
        <v>0</v>
      </c>
      <c r="AQ98" s="48" t="b">
        <v>0</v>
      </c>
      <c r="AR98" s="48">
        <v>0</v>
      </c>
      <c r="AS98" s="48" t="b">
        <v>0</v>
      </c>
      <c r="AT98" s="7" t="b">
        <v>0</v>
      </c>
      <c r="AU98" s="40" t="str" cm="1">
        <f t="array" ref="AU98">_xlfn.XLOOKUP(PROPERTIES[[#This Row],[VEHIDCODE]],GRAPHICS_PROPERTIES[VEHIDCODE],GRAPHICS_PROPERTIES[TEMPLATE_ID]&amp;GRAPHICS_PROPERTIES[TEMPLATE_AMENDMENT_CODE])</f>
        <v>TPL_03C</v>
      </c>
    </row>
    <row r="99" spans="1:47" x14ac:dyDescent="0.35">
      <c r="A99" s="2" t="s">
        <v>2740</v>
      </c>
      <c r="B99">
        <v>1934</v>
      </c>
      <c r="C99">
        <v>1939</v>
      </c>
      <c r="D99" cm="1">
        <f t="array" ref="D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" s="40" t="str">
        <f>_xlfn.XLOOKUP(PROPERTIES[[#This Row],[VEHIDCODE]],CONTROL[VEHIDCODE],CONTROL[ENGLISH])</f>
        <v>H. Cegielski OKz32</v>
      </c>
      <c r="F99" t="s">
        <v>705</v>
      </c>
      <c r="G99" s="40" t="str">
        <f>_xlfn.XLOOKUP(PROPERTIES[[#This Row],[COUNTRY]],COUNTRIES[COUNTRY_DESCRIPTION],COUNTRIES[COUNTRY_LABEL],"")</f>
        <v>PL</v>
      </c>
      <c r="H99" t="str" cm="1">
        <f t="array" ref="H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9" t="s">
        <v>17</v>
      </c>
      <c r="J99">
        <v>0</v>
      </c>
      <c r="K99">
        <v>7</v>
      </c>
      <c r="L99">
        <v>0</v>
      </c>
      <c r="M99" t="str" cm="1">
        <f t="array" ref="M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">
        <f>_xlfn.XLOOKUP("LOADINGSPEEDDEF_"&amp;PROPERTIES[[#This Row],[LOADINGSPEED]],LOADINGSPEEDDEF[TYPE],LOADINGSPEEDDEF[SPEED])</f>
        <v>20</v>
      </c>
      <c r="O99" cm="1">
        <f t="array" ref="O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9">
        <f>IF(ISNUMBER(SEARCH("passenger",PROPERTIES[[#This Row],[CARGODEF]])),1,0)</f>
        <v>0</v>
      </c>
      <c r="Q99" s="23">
        <v>118</v>
      </c>
      <c r="R99">
        <v>1868</v>
      </c>
      <c r="S99">
        <v>0</v>
      </c>
      <c r="T99">
        <v>0</v>
      </c>
      <c r="U99">
        <v>0</v>
      </c>
      <c r="V99">
        <v>75</v>
      </c>
      <c r="W99">
        <v>0</v>
      </c>
      <c r="X99">
        <v>0</v>
      </c>
      <c r="Y99">
        <v>0</v>
      </c>
      <c r="Z99" s="20">
        <v>0</v>
      </c>
      <c r="AA99" s="19">
        <f>IFERROR(PROPERTIES[[#This Row],[TE_STARTING_KN]]/(PROPERTIES[[#This Row],[WEIGHT]]*9.81),0)</f>
        <v>0</v>
      </c>
      <c r="AB99" s="19">
        <v>0.11</v>
      </c>
      <c r="AC99" s="16">
        <f>ROUND(IF(IFERROR(PROPERTIES[[#This Row],[TE_COEFFICIENT_CALC]],0)=0,PROPERTIES[[#This Row],[TE_COEFFICIENT_MANUAL]],PROPERTIES[[#This Row],[TE_COEFFICIENT_CALC]]),3)</f>
        <v>0.11</v>
      </c>
      <c r="AD99" s="8" cm="1">
        <f t="array" ref="AD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9" s="26">
        <v>0</v>
      </c>
      <c r="AF99" s="6">
        <v>0</v>
      </c>
      <c r="AG99" t="s">
        <v>236</v>
      </c>
      <c r="AH99" t="s">
        <v>229</v>
      </c>
      <c r="AI99" t="s">
        <v>229</v>
      </c>
      <c r="AJ99" s="2" t="s">
        <v>229</v>
      </c>
      <c r="AK99" s="2" t="s">
        <v>244</v>
      </c>
      <c r="AL9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9" s="2" t="str">
        <f>SUBSTITUTE(SUBSTITUTE(PROPERTIES[[#This Row],[PURCHASECOST_VALUE]], "PURCHASECOST_", ""), "_VALUE", "")</f>
        <v>STEAMENGINE</v>
      </c>
      <c r="AO99" s="44" t="b">
        <v>0</v>
      </c>
      <c r="AP99" s="48" t="b">
        <v>0</v>
      </c>
      <c r="AQ99" s="48" t="b">
        <v>0</v>
      </c>
      <c r="AR99" s="48">
        <v>0</v>
      </c>
      <c r="AS99" s="48" t="b">
        <v>0</v>
      </c>
      <c r="AT99" s="7" t="b">
        <v>0</v>
      </c>
      <c r="AU99" s="40" t="str" cm="1">
        <f t="array" ref="AU99">_xlfn.XLOOKUP(PROPERTIES[[#This Row],[VEHIDCODE]],GRAPHICS_PROPERTIES[VEHIDCODE],GRAPHICS_PROPERTIES[TEMPLATE_ID]&amp;GRAPHICS_PROPERTIES[TEMPLATE_AMENDMENT_CODE])</f>
        <v>TPL_03C</v>
      </c>
    </row>
    <row r="100" spans="1:47" x14ac:dyDescent="0.35">
      <c r="A100" s="2" t="s">
        <v>2741</v>
      </c>
      <c r="B100">
        <v>1913</v>
      </c>
      <c r="C100">
        <v>1968</v>
      </c>
      <c r="D100" cm="1">
        <f t="array" ref="D1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" s="40" t="str">
        <f>_xlfn.XLOOKUP(PROPERTIES[[#This Row],[VEHIDCODE]],CONTROL[VEHIDCODE],CONTROL[ENGLISH])</f>
        <v>SLM C 5/6 'Elephant'</v>
      </c>
      <c r="F100" t="s">
        <v>570</v>
      </c>
      <c r="G100" s="40" t="str">
        <f>_xlfn.XLOOKUP(PROPERTIES[[#This Row],[COUNTRY]],COUNTRIES[COUNTRY_DESCRIPTION],COUNTRIES[COUNTRY_LABEL],"")</f>
        <v>CH</v>
      </c>
      <c r="H100" t="str" cm="1">
        <f t="array" ref="H1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0" t="s">
        <v>17</v>
      </c>
      <c r="J100">
        <v>0</v>
      </c>
      <c r="K100">
        <v>8</v>
      </c>
      <c r="M100" t="str" cm="1">
        <f t="array" ref="M1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">
        <f>_xlfn.XLOOKUP("LOADINGSPEEDDEF_"&amp;PROPERTIES[[#This Row],[LOADINGSPEED]],LOADINGSPEEDDEF[TYPE],LOADINGSPEEDDEF[SPEED])</f>
        <v>20</v>
      </c>
      <c r="O100" cm="1">
        <f t="array" ref="O1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">
        <f>IF(ISNUMBER(SEARCH("passenger",PROPERTIES[[#This Row],[CARGODEF]])),1,0)</f>
        <v>0</v>
      </c>
      <c r="Q100" s="23">
        <v>151</v>
      </c>
      <c r="R100">
        <v>1620</v>
      </c>
      <c r="S100">
        <v>0</v>
      </c>
      <c r="T100">
        <v>0</v>
      </c>
      <c r="U100">
        <v>0</v>
      </c>
      <c r="V100">
        <v>65</v>
      </c>
      <c r="W100">
        <v>0</v>
      </c>
      <c r="X100">
        <v>0</v>
      </c>
      <c r="Y100">
        <v>0</v>
      </c>
      <c r="Z100" s="20">
        <v>0</v>
      </c>
      <c r="AA100" s="19">
        <f>IFERROR(PROPERTIES[[#This Row],[TE_STARTING_KN]]/(PROPERTIES[[#This Row],[WEIGHT]]*9.81),0)</f>
        <v>0</v>
      </c>
      <c r="AB100" s="19">
        <v>0.12</v>
      </c>
      <c r="AC100" s="16">
        <f>ROUND(IF(IFERROR(PROPERTIES[[#This Row],[TE_COEFFICIENT_CALC]],0)=0,PROPERTIES[[#This Row],[TE_COEFFICIENT_MANUAL]],PROPERTIES[[#This Row],[TE_COEFFICIENT_CALC]]),3)</f>
        <v>0.12</v>
      </c>
      <c r="AD100" s="8" cm="1">
        <f t="array" ref="AD1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55</v>
      </c>
      <c r="AE100" s="26">
        <v>0</v>
      </c>
      <c r="AF100" s="6">
        <v>4</v>
      </c>
      <c r="AG100" t="s">
        <v>230</v>
      </c>
      <c r="AH100" t="s">
        <v>229</v>
      </c>
      <c r="AI100" t="s">
        <v>229</v>
      </c>
      <c r="AJ100" s="2" t="s">
        <v>229</v>
      </c>
      <c r="AK100" s="2" t="s">
        <v>244</v>
      </c>
      <c r="AL10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0" s="2" t="str">
        <f>SUBSTITUTE(SUBSTITUTE(PROPERTIES[[#This Row],[PURCHASECOST_VALUE]], "PURCHASECOST_", ""), "_VALUE", "")</f>
        <v>STEAMENGINE</v>
      </c>
      <c r="AO100" s="44" t="b">
        <v>0</v>
      </c>
      <c r="AP100" s="48" t="b">
        <v>0</v>
      </c>
      <c r="AQ100" s="48" t="b">
        <v>0</v>
      </c>
      <c r="AR100" s="48">
        <v>0</v>
      </c>
      <c r="AS100" s="48" t="b">
        <v>0</v>
      </c>
      <c r="AT100" s="7" t="b">
        <v>0</v>
      </c>
      <c r="AU100" s="40" t="str" cm="1">
        <f t="array" ref="AU100">_xlfn.XLOOKUP(PROPERTIES[[#This Row],[VEHIDCODE]],GRAPHICS_PROPERTIES[VEHIDCODE],GRAPHICS_PROPERTIES[TEMPLATE_ID]&amp;GRAPHICS_PROPERTIES[TEMPLATE_AMENDMENT_CODE])</f>
        <v>TPL_03A</v>
      </c>
    </row>
    <row r="101" spans="1:47" x14ac:dyDescent="0.35">
      <c r="A101" s="2" t="s">
        <v>2742</v>
      </c>
      <c r="B101">
        <v>1941</v>
      </c>
      <c r="C101">
        <v>1959</v>
      </c>
      <c r="D101" cm="1">
        <f t="array" ref="D1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" s="40" t="str">
        <f>_xlfn.XLOOKUP(PROPERTIES[[#This Row],[VEHIDCODE]],CONTROL[VEHIDCODE],CONTROL[ENGLISH])</f>
        <v>ALCO series 4000 4-8-8-4 'Big Boy'</v>
      </c>
      <c r="F101" t="s">
        <v>757</v>
      </c>
      <c r="G101" s="40" t="str">
        <f>_xlfn.XLOOKUP(PROPERTIES[[#This Row],[COUNTRY]],COUNTRIES[COUNTRY_DESCRIPTION],COUNTRIES[COUNTRY_LABEL],"")</f>
        <v>US</v>
      </c>
      <c r="H101" t="str" cm="1">
        <f t="array" ref="H1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1" t="s">
        <v>17</v>
      </c>
      <c r="J101">
        <v>0</v>
      </c>
      <c r="K101">
        <v>8</v>
      </c>
      <c r="L101">
        <v>2</v>
      </c>
      <c r="M101" t="str" cm="1">
        <f t="array" ref="M1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">
        <f>_xlfn.XLOOKUP("LOADINGSPEEDDEF_"&amp;PROPERTIES[[#This Row],[LOADINGSPEED]],LOADINGSPEEDDEF[TYPE],LOADINGSPEEDDEF[SPEED])</f>
        <v>20</v>
      </c>
      <c r="O101" cm="1">
        <f t="array" ref="O1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">
        <f>IF(ISNUMBER(SEARCH("passenger",PROPERTIES[[#This Row],[CARGODEF]])),1,0)</f>
        <v>0</v>
      </c>
      <c r="Q101" s="23">
        <v>603</v>
      </c>
      <c r="R101">
        <v>6290</v>
      </c>
      <c r="S101">
        <v>0</v>
      </c>
      <c r="T101">
        <v>0</v>
      </c>
      <c r="U101">
        <v>0</v>
      </c>
      <c r="V101">
        <v>128</v>
      </c>
      <c r="W101">
        <v>0</v>
      </c>
      <c r="X101">
        <v>0</v>
      </c>
      <c r="Y101">
        <v>0</v>
      </c>
      <c r="Z101" s="20">
        <v>0</v>
      </c>
      <c r="AA101" s="19">
        <f>IFERROR(PROPERTIES[[#This Row],[TE_STARTING_KN]]/(PROPERTIES[[#This Row],[WEIGHT]]*9.81),0)</f>
        <v>0</v>
      </c>
      <c r="AB101" s="19">
        <v>0.1</v>
      </c>
      <c r="AC101" s="16">
        <f>ROUND(IF(IFERROR(PROPERTIES[[#This Row],[TE_COEFFICIENT_CALC]],0)=0,PROPERTIES[[#This Row],[TE_COEFFICIENT_MANUAL]],PROPERTIES[[#This Row],[TE_COEFFICIENT_CALC]]),3)</f>
        <v>0.1</v>
      </c>
      <c r="AD101" s="8" cm="1">
        <f t="array" ref="AD1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1" s="26">
        <v>0</v>
      </c>
      <c r="AF101" s="6">
        <v>7</v>
      </c>
      <c r="AG101" t="s">
        <v>235</v>
      </c>
      <c r="AH101" t="s">
        <v>229</v>
      </c>
      <c r="AI101" t="s">
        <v>229</v>
      </c>
      <c r="AJ101" s="2" t="s">
        <v>229</v>
      </c>
      <c r="AK101" s="2" t="s">
        <v>244</v>
      </c>
      <c r="AL10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1" s="2" t="str">
        <f>SUBSTITUTE(SUBSTITUTE(PROPERTIES[[#This Row],[PURCHASECOST_VALUE]], "PURCHASECOST_", ""), "_VALUE", "")</f>
        <v>STEAMENGINE</v>
      </c>
      <c r="AO101" s="44" t="b">
        <v>0</v>
      </c>
      <c r="AP101" s="48" t="b">
        <v>0</v>
      </c>
      <c r="AQ101" s="48" t="b">
        <v>0</v>
      </c>
      <c r="AR101" s="48">
        <v>0</v>
      </c>
      <c r="AS101" s="48" t="b">
        <v>0</v>
      </c>
      <c r="AT101" s="7" t="b">
        <v>0</v>
      </c>
      <c r="AU101" s="40" t="str" cm="1">
        <f t="array" ref="AU101">_xlfn.XLOOKUP(PROPERTIES[[#This Row],[VEHIDCODE]],GRAPHICS_PROPERTIES[VEHIDCODE],GRAPHICS_PROPERTIES[TEMPLATE_ID]&amp;GRAPHICS_PROPERTIES[TEMPLATE_AMENDMENT_CODE])</f>
        <v>TPL_03G</v>
      </c>
    </row>
    <row r="102" spans="1:47" x14ac:dyDescent="0.35">
      <c r="A102" s="2" t="s">
        <v>2743</v>
      </c>
      <c r="B102">
        <v>1889</v>
      </c>
      <c r="C102">
        <v>1935</v>
      </c>
      <c r="D102" cm="1">
        <f t="array" ref="D1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" s="40" t="str">
        <f>_xlfn.XLOOKUP(PROPERTIES[[#This Row],[VEHIDCODE]],CONTROL[VEHIDCODE],CONTROL[ENGLISH])</f>
        <v>Sharp, Stewart &amp; Co. 4-4-0 3557-3565</v>
      </c>
      <c r="F102" t="s">
        <v>692</v>
      </c>
      <c r="G102" s="40" t="str">
        <f>_xlfn.XLOOKUP(PROPERTIES[[#This Row],[COUNTRY]],COUNTRIES[COUNTRY_DESCRIPTION],COUNTRIES[COUNTRY_LABEL],"")</f>
        <v>NL</v>
      </c>
      <c r="H102" t="str" cm="1">
        <f t="array" ref="H1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2" t="s">
        <v>17</v>
      </c>
      <c r="J102">
        <v>0</v>
      </c>
      <c r="K102">
        <v>4</v>
      </c>
      <c r="L102">
        <v>0</v>
      </c>
      <c r="M102" t="str" cm="1">
        <f t="array" ref="M1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2">
        <f>_xlfn.XLOOKUP("LOADINGSPEEDDEF_"&amp;PROPERTIES[[#This Row],[LOADINGSPEED]],LOADINGSPEEDDEF[TYPE],LOADINGSPEEDDEF[SPEED])</f>
        <v>20</v>
      </c>
      <c r="O102" cm="1">
        <f t="array" ref="O1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">
        <f>IF(ISNUMBER(SEARCH("passenger",PROPERTIES[[#This Row],[CARGODEF]])),1,0)</f>
        <v>0</v>
      </c>
      <c r="Q102" s="23">
        <f>48+32</f>
        <v>80</v>
      </c>
      <c r="R102">
        <v>600</v>
      </c>
      <c r="S102">
        <v>0</v>
      </c>
      <c r="T102">
        <v>0</v>
      </c>
      <c r="U102">
        <v>0</v>
      </c>
      <c r="V102">
        <v>90</v>
      </c>
      <c r="W102">
        <v>0</v>
      </c>
      <c r="X102">
        <v>0</v>
      </c>
      <c r="Y102">
        <v>0</v>
      </c>
      <c r="Z102" s="20">
        <v>0</v>
      </c>
      <c r="AA102" s="19">
        <f>IFERROR(PROPERTIES[[#This Row],[TE_STARTING_KN]]/(PROPERTIES[[#This Row],[WEIGHT]]*9.81),0)</f>
        <v>0</v>
      </c>
      <c r="AB102" s="19">
        <v>0.08</v>
      </c>
      <c r="AC102" s="16">
        <f>ROUND(IF(IFERROR(PROPERTIES[[#This Row],[TE_COEFFICIENT_CALC]],0)=0,PROPERTIES[[#This Row],[TE_COEFFICIENT_MANUAL]],PROPERTIES[[#This Row],[TE_COEFFICIENT_CALC]]),3)</f>
        <v>0.08</v>
      </c>
      <c r="AD102" s="8" cm="1">
        <f t="array" ref="AD1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102" s="26">
        <v>0</v>
      </c>
      <c r="AF102" s="6">
        <v>3</v>
      </c>
      <c r="AG102" t="s">
        <v>230</v>
      </c>
      <c r="AH102" t="s">
        <v>229</v>
      </c>
      <c r="AI102" t="s">
        <v>229</v>
      </c>
      <c r="AJ102" s="2" t="s">
        <v>229</v>
      </c>
      <c r="AK102" s="2" t="s">
        <v>244</v>
      </c>
      <c r="AL10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2" s="2" t="str">
        <f>SUBSTITUTE(SUBSTITUTE(PROPERTIES[[#This Row],[PURCHASECOST_VALUE]], "PURCHASECOST_", ""), "_VALUE", "")</f>
        <v>STEAMENGINE</v>
      </c>
      <c r="AO102" s="44" t="b">
        <v>0</v>
      </c>
      <c r="AP102" s="48" t="b">
        <v>0</v>
      </c>
      <c r="AQ102" s="48" t="b">
        <v>0</v>
      </c>
      <c r="AR102" s="48">
        <v>0</v>
      </c>
      <c r="AS102" s="48" t="b">
        <v>0</v>
      </c>
      <c r="AT102" s="7" t="b">
        <v>0</v>
      </c>
      <c r="AU102" s="40" t="str" cm="1">
        <f t="array" ref="AU102">_xlfn.XLOOKUP(PROPERTIES[[#This Row],[VEHIDCODE]],GRAPHICS_PROPERTIES[VEHIDCODE],GRAPHICS_PROPERTIES[TEMPLATE_ID]&amp;GRAPHICS_PROPERTIES[TEMPLATE_AMENDMENT_CODE])</f>
        <v>TPL_03A</v>
      </c>
    </row>
    <row r="103" spans="1:47" x14ac:dyDescent="0.35">
      <c r="A103" s="2" t="s">
        <v>2744</v>
      </c>
      <c r="B103">
        <v>1846</v>
      </c>
      <c r="C103">
        <v>1870</v>
      </c>
      <c r="D103" cm="1">
        <f t="array" ref="D1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" s="40" t="str">
        <f>_xlfn.XLOOKUP(PROPERTIES[[#This Row],[VEHIDCODE]],CONTROL[VEHIDCODE],CONTROL[ENGLISH])</f>
        <v>GWR Iron Duke</v>
      </c>
      <c r="F103" t="s">
        <v>603</v>
      </c>
      <c r="G103" s="40" t="str">
        <f>_xlfn.XLOOKUP(PROPERTIES[[#This Row],[COUNTRY]],COUNTRIES[COUNTRY_DESCRIPTION],COUNTRIES[COUNTRY_LABEL],"")</f>
        <v>GB</v>
      </c>
      <c r="H103" t="str" cm="1">
        <f t="array" ref="H1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3" t="s">
        <v>17</v>
      </c>
      <c r="J103">
        <v>0</v>
      </c>
      <c r="K103">
        <v>8</v>
      </c>
      <c r="M103" t="str" cm="1">
        <f t="array" ref="M1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3">
        <f>_xlfn.XLOOKUP("LOADINGSPEEDDEF_"&amp;PROPERTIES[[#This Row],[LOADINGSPEED]],LOADINGSPEEDDEF[TYPE],LOADINGSPEEDDEF[SPEED])</f>
        <v>20</v>
      </c>
      <c r="O103" cm="1">
        <f t="array" ref="O1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3">
        <f>IF(ISNUMBER(SEARCH("passenger",PROPERTIES[[#This Row],[CARGODEF]])),1,0)</f>
        <v>0</v>
      </c>
      <c r="Q103" s="23">
        <v>65</v>
      </c>
      <c r="R103">
        <v>450</v>
      </c>
      <c r="S103">
        <v>0</v>
      </c>
      <c r="T103">
        <v>0</v>
      </c>
      <c r="U103">
        <v>0</v>
      </c>
      <c r="V103">
        <v>128</v>
      </c>
      <c r="W103">
        <v>0</v>
      </c>
      <c r="X103">
        <v>0</v>
      </c>
      <c r="Y103">
        <v>0</v>
      </c>
      <c r="Z103" s="20">
        <v>0</v>
      </c>
      <c r="AA103" s="19">
        <f>IFERROR(PROPERTIES[[#This Row],[TE_STARTING_KN]]/(PROPERTIES[[#This Row],[WEIGHT]]*9.81),0)</f>
        <v>0</v>
      </c>
      <c r="AB103" s="19">
        <v>0.06</v>
      </c>
      <c r="AC103" s="16">
        <f>ROUND(IF(IFERROR(PROPERTIES[[#This Row],[TE_COEFFICIENT_CALC]],0)=0,PROPERTIES[[#This Row],[TE_COEFFICIENT_MANUAL]],PROPERTIES[[#This Row],[TE_COEFFICIENT_CALC]]),3)</f>
        <v>0.06</v>
      </c>
      <c r="AD103" s="8" cm="1">
        <f t="array" ref="AD1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3" s="26">
        <v>0</v>
      </c>
      <c r="AF103" s="6">
        <v>4</v>
      </c>
      <c r="AG103" t="s">
        <v>234</v>
      </c>
      <c r="AH103" t="s">
        <v>229</v>
      </c>
      <c r="AI103" t="s">
        <v>229</v>
      </c>
      <c r="AJ103" s="2" t="s">
        <v>229</v>
      </c>
      <c r="AK103" s="2" t="s">
        <v>244</v>
      </c>
      <c r="AL10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3" s="2" t="str">
        <f>SUBSTITUTE(SUBSTITUTE(PROPERTIES[[#This Row],[PURCHASECOST_VALUE]], "PURCHASECOST_", ""), "_VALUE", "")</f>
        <v>STEAMENGINE</v>
      </c>
      <c r="AO103" s="44" t="b">
        <v>0</v>
      </c>
      <c r="AP103" s="48" t="b">
        <v>0</v>
      </c>
      <c r="AQ103" s="48" t="b">
        <v>0</v>
      </c>
      <c r="AR103" s="48">
        <v>0</v>
      </c>
      <c r="AS103" s="48" t="b">
        <v>0</v>
      </c>
      <c r="AT103" s="7" t="b">
        <v>0</v>
      </c>
      <c r="AU103" s="40" t="str" cm="1">
        <f t="array" ref="AU103">_xlfn.XLOOKUP(PROPERTIES[[#This Row],[VEHIDCODE]],GRAPHICS_PROPERTIES[VEHIDCODE],GRAPHICS_PROPERTIES[TEMPLATE_ID]&amp;GRAPHICS_PROPERTIES[TEMPLATE_AMENDMENT_CODE])</f>
        <v>TPL_03A</v>
      </c>
    </row>
    <row r="104" spans="1:47" x14ac:dyDescent="0.35">
      <c r="A104" s="2" t="s">
        <v>2745</v>
      </c>
      <c r="B104">
        <v>1855</v>
      </c>
      <c r="C104">
        <v>1877</v>
      </c>
      <c r="D104" cm="1">
        <f t="array" ref="D1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" s="40" t="str">
        <f>_xlfn.XLOOKUP(PROPERTIES[[#This Row],[VEHIDCODE]],CONTROL[VEHIDCODE],CONTROL[ENGLISH])</f>
        <v>Stephenson 0-4-2 'Locomotive No.1'</v>
      </c>
      <c r="F104" t="s">
        <v>541</v>
      </c>
      <c r="G104" s="40" t="str">
        <f>_xlfn.XLOOKUP(PROPERTIES[[#This Row],[COUNTRY]],COUNTRIES[COUNTRY_DESCRIPTION],COUNTRIES[COUNTRY_LABEL],"")</f>
        <v>AU</v>
      </c>
      <c r="H104" t="str" cm="1">
        <f t="array" ref="H1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4" t="s">
        <v>17</v>
      </c>
      <c r="J104">
        <v>0</v>
      </c>
      <c r="K104">
        <v>5</v>
      </c>
      <c r="L104">
        <v>0</v>
      </c>
      <c r="M104" t="str" cm="1">
        <f t="array" ref="M1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">
        <f>_xlfn.XLOOKUP("LOADINGSPEEDDEF_"&amp;PROPERTIES[[#This Row],[LOADINGSPEED]],LOADINGSPEEDDEF[TYPE],LOADINGSPEEDDEF[SPEED])</f>
        <v>20</v>
      </c>
      <c r="O104" cm="1">
        <f t="array" ref="O1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">
        <f>IF(ISNUMBER(SEARCH("passenger",PROPERTIES[[#This Row],[CARGODEF]])),1,0)</f>
        <v>0</v>
      </c>
      <c r="Q104" s="23">
        <v>45</v>
      </c>
      <c r="R104">
        <v>160</v>
      </c>
      <c r="S104">
        <v>0</v>
      </c>
      <c r="T104">
        <v>0</v>
      </c>
      <c r="U104">
        <v>0</v>
      </c>
      <c r="V104">
        <v>55</v>
      </c>
      <c r="W104">
        <v>0</v>
      </c>
      <c r="X104">
        <v>0</v>
      </c>
      <c r="Y104">
        <v>0</v>
      </c>
      <c r="Z104" s="20">
        <v>40</v>
      </c>
      <c r="AA104" s="19">
        <f>IFERROR(PROPERTIES[[#This Row],[TE_STARTING_KN]]/(PROPERTIES[[#This Row],[WEIGHT]]*9.81),0)</f>
        <v>9.0610488164004979E-2</v>
      </c>
      <c r="AB104" s="19">
        <v>0</v>
      </c>
      <c r="AC104" s="16">
        <f>ROUND(IF(IFERROR(PROPERTIES[[#This Row],[TE_COEFFICIENT_CALC]],0)=0,PROPERTIES[[#This Row],[TE_COEFFICIENT_MANUAL]],PROPERTIES[[#This Row],[TE_COEFFICIENT_CALC]]),3)</f>
        <v>9.0999999999999998E-2</v>
      </c>
      <c r="AD104" s="8" cm="1">
        <f t="array" ref="AD1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4" s="26">
        <v>0</v>
      </c>
      <c r="AF104" s="6">
        <v>4</v>
      </c>
      <c r="AG104" t="s">
        <v>232</v>
      </c>
      <c r="AH104" t="s">
        <v>229</v>
      </c>
      <c r="AI104" t="s">
        <v>229</v>
      </c>
      <c r="AJ104" s="2" t="s">
        <v>229</v>
      </c>
      <c r="AK104" s="2" t="s">
        <v>244</v>
      </c>
      <c r="AL10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4" s="2" t="str">
        <f>SUBSTITUTE(SUBSTITUTE(PROPERTIES[[#This Row],[PURCHASECOST_VALUE]], "PURCHASECOST_", ""), "_VALUE", "")</f>
        <v>STEAMENGINE</v>
      </c>
      <c r="AO104" s="44" t="b">
        <v>0</v>
      </c>
      <c r="AP104" s="48" t="b">
        <v>0</v>
      </c>
      <c r="AQ104" s="48" t="b">
        <v>0</v>
      </c>
      <c r="AR104" s="48">
        <v>0</v>
      </c>
      <c r="AS104" s="48" t="b">
        <v>0</v>
      </c>
      <c r="AT104" s="7" t="b">
        <v>0</v>
      </c>
      <c r="AU104" s="40" t="str" cm="1">
        <f t="array" ref="AU104">_xlfn.XLOOKUP(PROPERTIES[[#This Row],[VEHIDCODE]],GRAPHICS_PROPERTIES[VEHIDCODE],GRAPHICS_PROPERTIES[TEMPLATE_ID]&amp;GRAPHICS_PROPERTIES[TEMPLATE_AMENDMENT_CODE])</f>
        <v>TPL_03A</v>
      </c>
    </row>
    <row r="105" spans="1:47" x14ac:dyDescent="0.35">
      <c r="A105" s="2" t="s">
        <v>2746</v>
      </c>
      <c r="B105">
        <v>1872</v>
      </c>
      <c r="C105">
        <v>1912</v>
      </c>
      <c r="D105" cm="1">
        <f t="array" ref="D1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5" s="40" t="str">
        <f>_xlfn.XLOOKUP(PROPERTIES[[#This Row],[VEHIDCODE]],CONTROL[VEHIDCODE],CONTROL[ENGLISH])</f>
        <v>Cooke 4-2-2 'T. D. Judah'</v>
      </c>
      <c r="F105" t="s">
        <v>757</v>
      </c>
      <c r="G105" s="40" t="str">
        <f>_xlfn.XLOOKUP(PROPERTIES[[#This Row],[COUNTRY]],COUNTRIES[COUNTRY_DESCRIPTION],COUNTRIES[COUNTRY_LABEL],"")</f>
        <v>US</v>
      </c>
      <c r="H105" t="str" cm="1">
        <f t="array" ref="H1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5" t="s">
        <v>17</v>
      </c>
      <c r="J105">
        <v>0</v>
      </c>
      <c r="K105">
        <v>5</v>
      </c>
      <c r="L105">
        <v>0</v>
      </c>
      <c r="M105" t="str" cm="1">
        <f t="array" ref="M1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5">
        <f>_xlfn.XLOOKUP("LOADINGSPEEDDEF_"&amp;PROPERTIES[[#This Row],[LOADINGSPEED]],LOADINGSPEEDDEF[TYPE],LOADINGSPEEDDEF[SPEED])</f>
        <v>20</v>
      </c>
      <c r="O105" cm="1">
        <f t="array" ref="O1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5">
        <f>IF(ISNUMBER(SEARCH("passenger",PROPERTIES[[#This Row],[CARGODEF]])),1,0)</f>
        <v>0</v>
      </c>
      <c r="Q105" s="23">
        <v>18</v>
      </c>
      <c r="R105">
        <v>126</v>
      </c>
      <c r="S105">
        <v>0</v>
      </c>
      <c r="T105">
        <v>0</v>
      </c>
      <c r="U105">
        <v>0</v>
      </c>
      <c r="V105">
        <v>65</v>
      </c>
      <c r="W105">
        <v>0</v>
      </c>
      <c r="X105">
        <v>0</v>
      </c>
      <c r="Y105">
        <v>0</v>
      </c>
      <c r="Z105" s="20">
        <v>15.88</v>
      </c>
      <c r="AA105" s="19">
        <f>IFERROR(PROPERTIES[[#This Row],[TE_STARTING_KN]]/(PROPERTIES[[#This Row],[WEIGHT]]*9.81),0)</f>
        <v>8.993090950277495E-2</v>
      </c>
      <c r="AB105" s="19">
        <v>0</v>
      </c>
      <c r="AC105" s="16">
        <f>ROUND(IF(IFERROR(PROPERTIES[[#This Row],[TE_COEFFICIENT_CALC]],0)=0,PROPERTIES[[#This Row],[TE_COEFFICIENT_MANUAL]],PROPERTIES[[#This Row],[TE_COEFFICIENT_CALC]]),3)</f>
        <v>0.09</v>
      </c>
      <c r="AD105" s="8" cm="1">
        <f t="array" ref="AD1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5" s="26">
        <v>0</v>
      </c>
      <c r="AF105" s="6">
        <v>3</v>
      </c>
      <c r="AG105" t="s">
        <v>235</v>
      </c>
      <c r="AH105" t="s">
        <v>229</v>
      </c>
      <c r="AI105" t="s">
        <v>229</v>
      </c>
      <c r="AJ105" s="2" t="s">
        <v>229</v>
      </c>
      <c r="AK105" s="2" t="s">
        <v>244</v>
      </c>
      <c r="AL10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5" s="2" t="str">
        <f>SUBSTITUTE(SUBSTITUTE(PROPERTIES[[#This Row],[PURCHASECOST_VALUE]], "PURCHASECOST_", ""), "_VALUE", "")</f>
        <v>STEAMENGINE</v>
      </c>
      <c r="AO105" s="44" t="b">
        <v>0</v>
      </c>
      <c r="AP105" s="48" t="b">
        <v>0</v>
      </c>
      <c r="AQ105" s="48" t="b">
        <v>0</v>
      </c>
      <c r="AR105" s="48">
        <v>0</v>
      </c>
      <c r="AS105" s="48" t="b">
        <v>0</v>
      </c>
      <c r="AT105" s="7" t="b">
        <v>0</v>
      </c>
      <c r="AU105" s="40" t="str" cm="1">
        <f t="array" ref="AU105">_xlfn.XLOOKUP(PROPERTIES[[#This Row],[VEHIDCODE]],GRAPHICS_PROPERTIES[VEHIDCODE],GRAPHICS_PROPERTIES[TEMPLATE_ID]&amp;GRAPHICS_PROPERTIES[TEMPLATE_AMENDMENT_CODE])</f>
        <v>TPL_03A</v>
      </c>
    </row>
    <row r="106" spans="1:47" x14ac:dyDescent="0.35">
      <c r="A106" s="2" t="s">
        <v>2747</v>
      </c>
      <c r="B106">
        <v>1865</v>
      </c>
      <c r="C106">
        <v>1917</v>
      </c>
      <c r="D106" cm="1">
        <f t="array" ref="D1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6" s="40" t="str">
        <f>_xlfn.XLOOKUP(PROPERTIES[[#This Row],[VEHIDCODE]],CONTROL[VEHIDCODE],CONTROL[ENGLISH])</f>
        <v>Beyer, P &amp; Co. 2-4-0 SS 9-16, 21-78</v>
      </c>
      <c r="F106" t="s">
        <v>692</v>
      </c>
      <c r="G106" s="40" t="str">
        <f>_xlfn.XLOOKUP(PROPERTIES[[#This Row],[COUNTRY]],COUNTRIES[COUNTRY_DESCRIPTION],COUNTRIES[COUNTRY_LABEL],"")</f>
        <v>NL</v>
      </c>
      <c r="H106" t="str" cm="1">
        <f t="array" ref="H1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6" t="s">
        <v>17</v>
      </c>
      <c r="J106">
        <v>0</v>
      </c>
      <c r="K106">
        <v>6</v>
      </c>
      <c r="L106">
        <v>0</v>
      </c>
      <c r="M106" t="str" cm="1">
        <f t="array" ref="M1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6">
        <f>_xlfn.XLOOKUP("LOADINGSPEEDDEF_"&amp;PROPERTIES[[#This Row],[LOADINGSPEED]],LOADINGSPEEDDEF[TYPE],LOADINGSPEEDDEF[SPEED])</f>
        <v>20</v>
      </c>
      <c r="O106" cm="1">
        <f t="array" ref="O1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6">
        <f>IF(ISNUMBER(SEARCH("passenger",PROPERTIES[[#This Row],[CARGODEF]])),1,0)</f>
        <v>0</v>
      </c>
      <c r="Q106" s="23">
        <v>49</v>
      </c>
      <c r="R106">
        <v>320</v>
      </c>
      <c r="S106">
        <v>0</v>
      </c>
      <c r="T106">
        <v>0</v>
      </c>
      <c r="U106">
        <v>0</v>
      </c>
      <c r="V106">
        <v>90</v>
      </c>
      <c r="W106">
        <v>0</v>
      </c>
      <c r="X106">
        <v>0</v>
      </c>
      <c r="Y106">
        <v>0</v>
      </c>
      <c r="Z106" s="20">
        <v>0</v>
      </c>
      <c r="AA106" s="19">
        <f>IFERROR(PROPERTIES[[#This Row],[TE_STARTING_KN]]/(PROPERTIES[[#This Row],[WEIGHT]]*9.81),0)</f>
        <v>0</v>
      </c>
      <c r="AB106" s="19">
        <v>7.0000000000000007E-2</v>
      </c>
      <c r="AC106" s="16">
        <f>ROUND(IF(IFERROR(PROPERTIES[[#This Row],[TE_COEFFICIENT_CALC]],0)=0,PROPERTIES[[#This Row],[TE_COEFFICIENT_MANUAL]],PROPERTIES[[#This Row],[TE_COEFFICIENT_CALC]]),3)</f>
        <v>7.0000000000000007E-2</v>
      </c>
      <c r="AD106" s="8" cm="1">
        <f t="array" ref="AD1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106" s="26">
        <v>0</v>
      </c>
      <c r="AF106" s="6">
        <v>3</v>
      </c>
      <c r="AG106" t="s">
        <v>230</v>
      </c>
      <c r="AH106" t="s">
        <v>229</v>
      </c>
      <c r="AI106" t="s">
        <v>229</v>
      </c>
      <c r="AJ106" s="2" t="s">
        <v>229</v>
      </c>
      <c r="AK106" s="2" t="s">
        <v>244</v>
      </c>
      <c r="AL10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6" s="2" t="str">
        <f>SUBSTITUTE(SUBSTITUTE(PROPERTIES[[#This Row],[PURCHASECOST_VALUE]], "PURCHASECOST_", ""), "_VALUE", "")</f>
        <v>STEAMENGINE</v>
      </c>
      <c r="AO106" s="44" t="b">
        <v>0</v>
      </c>
      <c r="AP106" s="48" t="b">
        <v>0</v>
      </c>
      <c r="AQ106" s="48" t="b">
        <v>0</v>
      </c>
      <c r="AR106" s="48">
        <v>0</v>
      </c>
      <c r="AS106" s="48" t="b">
        <v>0</v>
      </c>
      <c r="AT106" s="7" t="b">
        <v>0</v>
      </c>
      <c r="AU106" s="40" t="str" cm="1">
        <f t="array" ref="AU106">_xlfn.XLOOKUP(PROPERTIES[[#This Row],[VEHIDCODE]],GRAPHICS_PROPERTIES[VEHIDCODE],GRAPHICS_PROPERTIES[TEMPLATE_ID]&amp;GRAPHICS_PROPERTIES[TEMPLATE_AMENDMENT_CODE])</f>
        <v>TPL_03A</v>
      </c>
    </row>
    <row r="107" spans="1:47" x14ac:dyDescent="0.35">
      <c r="A107" s="2" t="s">
        <v>2748</v>
      </c>
      <c r="B107">
        <v>1876</v>
      </c>
      <c r="C107">
        <v>1970</v>
      </c>
      <c r="D107" cm="1">
        <f t="array" ref="D1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7" s="40" t="str">
        <f>_xlfn.XLOOKUP(PROPERTIES[[#This Row],[VEHIDCODE]],CONTROL[VEHIDCODE],CONTROL[ENGLISH])</f>
        <v>Beyer, P &amp; Co. 2-6-0T 1702-1706</v>
      </c>
      <c r="F107" t="s">
        <v>771</v>
      </c>
      <c r="G107" s="40" t="str">
        <f>_xlfn.XLOOKUP(PROPERTIES[[#This Row],[COUNTRY]],COUNTRIES[COUNTRY_DESCRIPTION],COUNTRIES[COUNTRY_LABEL],"")</f>
        <v>ZA</v>
      </c>
      <c r="H107" t="str" cm="1">
        <f t="array" ref="H1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7" t="s">
        <v>17</v>
      </c>
      <c r="J107">
        <v>0</v>
      </c>
      <c r="K107">
        <v>5</v>
      </c>
      <c r="L107">
        <v>0</v>
      </c>
      <c r="M107" t="str" cm="1">
        <f t="array" ref="M1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7">
        <f>_xlfn.XLOOKUP("LOADINGSPEEDDEF_"&amp;PROPERTIES[[#This Row],[LOADINGSPEED]],LOADINGSPEEDDEF[TYPE],LOADINGSPEEDDEF[SPEED])</f>
        <v>20</v>
      </c>
      <c r="O107" cm="1">
        <f t="array" ref="O1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7">
        <f>IF(ISNUMBER(SEARCH("passenger",PROPERTIES[[#This Row],[CARGODEF]])),1,0)</f>
        <v>0</v>
      </c>
      <c r="Q107" s="23">
        <v>30</v>
      </c>
      <c r="R107">
        <v>240</v>
      </c>
      <c r="S107">
        <v>0</v>
      </c>
      <c r="T107">
        <v>0</v>
      </c>
      <c r="U107">
        <v>0</v>
      </c>
      <c r="V107">
        <v>55</v>
      </c>
      <c r="W107">
        <v>0</v>
      </c>
      <c r="X107">
        <v>0</v>
      </c>
      <c r="Y107">
        <v>0</v>
      </c>
      <c r="Z107" s="20">
        <v>44</v>
      </c>
      <c r="AA107" s="19">
        <f>IFERROR(PROPERTIES[[#This Row],[TE_STARTING_KN]]/(PROPERTIES[[#This Row],[WEIGHT]]*9.81),0)</f>
        <v>0.14950730547060823</v>
      </c>
      <c r="AB107" s="19">
        <v>0</v>
      </c>
      <c r="AC107" s="16">
        <f>ROUND(IF(IFERROR(PROPERTIES[[#This Row],[TE_COEFFICIENT_CALC]],0)=0,PROPERTIES[[#This Row],[TE_COEFFICIENT_MANUAL]],PROPERTIES[[#This Row],[TE_COEFFICIENT_CALC]]),3)</f>
        <v>0.15</v>
      </c>
      <c r="AD107" s="8" cm="1">
        <f t="array" ref="AD1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94</v>
      </c>
      <c r="AE107" s="26">
        <v>0</v>
      </c>
      <c r="AF107" s="6">
        <v>0</v>
      </c>
      <c r="AG107" t="s">
        <v>233</v>
      </c>
      <c r="AH107" t="s">
        <v>229</v>
      </c>
      <c r="AI107" t="s">
        <v>229</v>
      </c>
      <c r="AJ107" s="2" t="s">
        <v>229</v>
      </c>
      <c r="AK107" s="2" t="s">
        <v>244</v>
      </c>
      <c r="AL10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7" s="2" t="str">
        <f>SUBSTITUTE(SUBSTITUTE(PROPERTIES[[#This Row],[PURCHASECOST_VALUE]], "PURCHASECOST_", ""), "_VALUE", "")</f>
        <v>STEAMENGINE</v>
      </c>
      <c r="AO107" s="44" t="b">
        <v>0</v>
      </c>
      <c r="AP107" s="48" t="b">
        <v>0</v>
      </c>
      <c r="AQ107" s="48" t="b">
        <v>0</v>
      </c>
      <c r="AR107" s="48">
        <v>0</v>
      </c>
      <c r="AS107" s="48" t="b">
        <v>0</v>
      </c>
      <c r="AT107" s="7" t="b">
        <v>0</v>
      </c>
      <c r="AU107" s="40" t="str" cm="1">
        <f t="array" ref="AU107">_xlfn.XLOOKUP(PROPERTIES[[#This Row],[VEHIDCODE]],GRAPHICS_PROPERTIES[VEHIDCODE],GRAPHICS_PROPERTIES[TEMPLATE_ID]&amp;GRAPHICS_PROPERTIES[TEMPLATE_AMENDMENT_CODE])</f>
        <v>TPL_03C</v>
      </c>
    </row>
    <row r="108" spans="1:47" x14ac:dyDescent="0.35">
      <c r="A108" s="2" t="s">
        <v>2749</v>
      </c>
      <c r="B108">
        <v>1881</v>
      </c>
      <c r="C108">
        <v>1932</v>
      </c>
      <c r="D108" cm="1">
        <f t="array" ref="D1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8" s="40" t="str">
        <f>_xlfn.XLOOKUP(PROPERTIES[[#This Row],[VEHIDCODE]],CONTROL[VEHIDCODE],CONTROL[ENGLISH])</f>
        <v>Beyer, P &amp; Co. 2-6-0 2073-2092</v>
      </c>
      <c r="F108" t="s">
        <v>541</v>
      </c>
      <c r="G108" s="40" t="str">
        <f>_xlfn.XLOOKUP(PROPERTIES[[#This Row],[COUNTRY]],COUNTRIES[COUNTRY_DESCRIPTION],COUNTRIES[COUNTRY_LABEL],"")</f>
        <v>AU</v>
      </c>
      <c r="H108" t="str" cm="1">
        <f t="array" ref="H1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8" t="s">
        <v>17</v>
      </c>
      <c r="J108">
        <v>0</v>
      </c>
      <c r="K108">
        <v>7</v>
      </c>
      <c r="L108">
        <v>0</v>
      </c>
      <c r="M108" t="str" cm="1">
        <f t="array" ref="M1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8">
        <f>_xlfn.XLOOKUP("LOADINGSPEEDDEF_"&amp;PROPERTIES[[#This Row],[LOADINGSPEED]],LOADINGSPEEDDEF[TYPE],LOADINGSPEEDDEF[SPEED])</f>
        <v>20</v>
      </c>
      <c r="O108" cm="1">
        <f t="array" ref="O1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8">
        <f>IF(ISNUMBER(SEARCH("passenger",PROPERTIES[[#This Row],[CARGODEF]])),1,0)</f>
        <v>0</v>
      </c>
      <c r="Q108" s="23">
        <v>75</v>
      </c>
      <c r="R108">
        <v>650</v>
      </c>
      <c r="S108">
        <v>0</v>
      </c>
      <c r="T108">
        <v>0</v>
      </c>
      <c r="U108">
        <v>0</v>
      </c>
      <c r="V108">
        <v>80</v>
      </c>
      <c r="W108">
        <v>0</v>
      </c>
      <c r="X108">
        <v>0</v>
      </c>
      <c r="Y108">
        <v>0</v>
      </c>
      <c r="Z108" s="20">
        <v>98.1</v>
      </c>
      <c r="AA108" s="19">
        <f>IFERROR(PROPERTIES[[#This Row],[TE_STARTING_KN]]/(PROPERTIES[[#This Row],[WEIGHT]]*9.81),0)</f>
        <v>0.13333333333333333</v>
      </c>
      <c r="AB108" s="19">
        <v>0</v>
      </c>
      <c r="AC108" s="16">
        <f>ROUND(IF(IFERROR(PROPERTIES[[#This Row],[TE_COEFFICIENT_CALC]],0)=0,PROPERTIES[[#This Row],[TE_COEFFICIENT_MANUAL]],PROPERTIES[[#This Row],[TE_COEFFICIENT_CALC]]),3)</f>
        <v>0.13300000000000001</v>
      </c>
      <c r="AD108" s="8" cm="1">
        <f t="array" ref="AD1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108" s="26">
        <v>0</v>
      </c>
      <c r="AF108" s="6">
        <v>4</v>
      </c>
      <c r="AG108" t="s">
        <v>232</v>
      </c>
      <c r="AH108" t="s">
        <v>229</v>
      </c>
      <c r="AI108" t="s">
        <v>229</v>
      </c>
      <c r="AJ108" s="2" t="s">
        <v>229</v>
      </c>
      <c r="AK108" s="2" t="s">
        <v>244</v>
      </c>
      <c r="AL10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8" s="2" t="str">
        <f>SUBSTITUTE(SUBSTITUTE(PROPERTIES[[#This Row],[PURCHASECOST_VALUE]], "PURCHASECOST_", ""), "_VALUE", "")</f>
        <v>STEAMENGINE</v>
      </c>
      <c r="AO108" s="44" t="b">
        <v>0</v>
      </c>
      <c r="AP108" s="48" t="b">
        <v>0</v>
      </c>
      <c r="AQ108" s="48" t="b">
        <v>0</v>
      </c>
      <c r="AR108" s="48">
        <v>0</v>
      </c>
      <c r="AS108" s="48" t="b">
        <v>0</v>
      </c>
      <c r="AT108" s="7" t="b">
        <v>0</v>
      </c>
      <c r="AU108" s="40" t="str" cm="1">
        <f t="array" ref="AU108">_xlfn.XLOOKUP(PROPERTIES[[#This Row],[VEHIDCODE]],GRAPHICS_PROPERTIES[VEHIDCODE],GRAPHICS_PROPERTIES[TEMPLATE_ID]&amp;GRAPHICS_PROPERTIES[TEMPLATE_AMENDMENT_CODE])</f>
        <v>TPL_03A</v>
      </c>
    </row>
    <row r="109" spans="1:47" x14ac:dyDescent="0.35">
      <c r="A109" s="2" t="s">
        <v>2750</v>
      </c>
      <c r="B109">
        <v>1886</v>
      </c>
      <c r="C109">
        <v>1915</v>
      </c>
      <c r="D109" cm="1">
        <f t="array" ref="D1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9" s="40" t="str">
        <f>_xlfn.XLOOKUP(PROPERTIES[[#This Row],[VEHIDCODE]],CONTROL[VEHIDCODE],CONTROL[ENGLISH])</f>
        <v>Canadian Pacific 374</v>
      </c>
      <c r="F109" t="s">
        <v>565</v>
      </c>
      <c r="G109" s="40" t="str">
        <f>_xlfn.XLOOKUP(PROPERTIES[[#This Row],[COUNTRY]],COUNTRIES[COUNTRY_DESCRIPTION],COUNTRIES[COUNTRY_LABEL],"")</f>
        <v>CA</v>
      </c>
      <c r="H109" t="str" cm="1">
        <f t="array" ref="H1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9" t="s">
        <v>17</v>
      </c>
      <c r="J109">
        <v>0</v>
      </c>
      <c r="K109">
        <v>6</v>
      </c>
      <c r="L109">
        <v>0</v>
      </c>
      <c r="M109" t="str" cm="1">
        <f t="array" ref="M1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9">
        <f>_xlfn.XLOOKUP("LOADINGSPEEDDEF_"&amp;PROPERTIES[[#This Row],[LOADINGSPEED]],LOADINGSPEEDDEF[TYPE],LOADINGSPEEDDEF[SPEED])</f>
        <v>20</v>
      </c>
      <c r="O109" cm="1">
        <f t="array" ref="O1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9">
        <f>IF(ISNUMBER(SEARCH("passenger",PROPERTIES[[#This Row],[CARGODEF]])),1,0)</f>
        <v>0</v>
      </c>
      <c r="Q109" s="23">
        <v>82</v>
      </c>
      <c r="R109">
        <v>380</v>
      </c>
      <c r="S109">
        <v>0</v>
      </c>
      <c r="T109">
        <v>0</v>
      </c>
      <c r="U109">
        <v>0</v>
      </c>
      <c r="V109">
        <v>80</v>
      </c>
      <c r="W109">
        <v>0</v>
      </c>
      <c r="X109">
        <v>0</v>
      </c>
      <c r="Y109">
        <v>0</v>
      </c>
      <c r="Z109" s="20">
        <v>67</v>
      </c>
      <c r="AA109" s="19">
        <f>IFERROR(PROPERTIES[[#This Row],[TE_STARTING_KN]]/(PROPERTIES[[#This Row],[WEIGHT]]*9.81),0)</f>
        <v>8.3289823723925308E-2</v>
      </c>
      <c r="AB109" s="19">
        <v>0</v>
      </c>
      <c r="AC109" s="16">
        <f>ROUND(IF(IFERROR(PROPERTIES[[#This Row],[TE_COEFFICIENT_CALC]],0)=0,PROPERTIES[[#This Row],[TE_COEFFICIENT_MANUAL]],PROPERTIES[[#This Row],[TE_COEFFICIENT_CALC]]),3)</f>
        <v>8.3000000000000004E-2</v>
      </c>
      <c r="AD109" s="8" cm="1">
        <f t="array" ref="AD1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9" s="26">
        <v>0</v>
      </c>
      <c r="AF109" s="6">
        <v>4</v>
      </c>
      <c r="AG109" t="s">
        <v>235</v>
      </c>
      <c r="AH109" t="s">
        <v>229</v>
      </c>
      <c r="AI109" t="s">
        <v>229</v>
      </c>
      <c r="AJ109" s="2" t="s">
        <v>229</v>
      </c>
      <c r="AK109" s="2" t="s">
        <v>244</v>
      </c>
      <c r="AL10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9" s="2" t="str">
        <f>SUBSTITUTE(SUBSTITUTE(PROPERTIES[[#This Row],[PURCHASECOST_VALUE]], "PURCHASECOST_", ""), "_VALUE", "")</f>
        <v>STEAMENGINE</v>
      </c>
      <c r="AO109" s="44" t="b">
        <v>0</v>
      </c>
      <c r="AP109" s="48" t="b">
        <v>0</v>
      </c>
      <c r="AQ109" s="48" t="b">
        <v>0</v>
      </c>
      <c r="AR109" s="48">
        <v>0</v>
      </c>
      <c r="AS109" s="48" t="b">
        <v>0</v>
      </c>
      <c r="AT109" s="7" t="b">
        <v>0</v>
      </c>
      <c r="AU109" s="40" t="str" cm="1">
        <f t="array" ref="AU109">_xlfn.XLOOKUP(PROPERTIES[[#This Row],[VEHIDCODE]],GRAPHICS_PROPERTIES[VEHIDCODE],GRAPHICS_PROPERTIES[TEMPLATE_ID]&amp;GRAPHICS_PROPERTIES[TEMPLATE_AMENDMENT_CODE])</f>
        <v>TPL_03A</v>
      </c>
    </row>
    <row r="110" spans="1:47" x14ac:dyDescent="0.35">
      <c r="A110" s="2" t="s">
        <v>2751</v>
      </c>
      <c r="B110">
        <v>1887</v>
      </c>
      <c r="D110" cm="1">
        <f t="array" ref="D1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0" s="40" t="str">
        <f>_xlfn.XLOOKUP(PROPERTIES[[#This Row],[VEHIDCODE]],CONTROL[VEHIDCODE],CONTROL[ENGLISH])</f>
        <v>Nasmyth, Wilson &amp; Co. '35-tonner' 4-6-0T</v>
      </c>
      <c r="F110" t="s">
        <v>771</v>
      </c>
      <c r="G110" s="40" t="str">
        <f>_xlfn.XLOOKUP(PROPERTIES[[#This Row],[COUNTRY]],COUNTRIES[COUNTRY_DESCRIPTION],COUNTRIES[COUNTRY_LABEL],"")</f>
        <v>ZA</v>
      </c>
      <c r="H110" t="str" cm="1">
        <f t="array" ref="H1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0" t="s">
        <v>17</v>
      </c>
      <c r="J110">
        <v>0</v>
      </c>
      <c r="K110">
        <v>5</v>
      </c>
      <c r="L110">
        <v>0</v>
      </c>
      <c r="M110" t="str" cm="1">
        <f t="array" ref="M1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0">
        <f>_xlfn.XLOOKUP("LOADINGSPEEDDEF_"&amp;PROPERTIES[[#This Row],[LOADINGSPEED]],LOADINGSPEEDDEF[TYPE],LOADINGSPEEDDEF[SPEED])</f>
        <v>20</v>
      </c>
      <c r="O110" cm="1">
        <f t="array" ref="O1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0">
        <f>IF(ISNUMBER(SEARCH("passenger",PROPERTIES[[#This Row],[CARGODEF]])),1,0)</f>
        <v>0</v>
      </c>
      <c r="Q110" s="23">
        <v>36</v>
      </c>
      <c r="R110">
        <v>220</v>
      </c>
      <c r="S110">
        <v>0</v>
      </c>
      <c r="T110">
        <v>0</v>
      </c>
      <c r="U110">
        <v>0</v>
      </c>
      <c r="V110">
        <v>60</v>
      </c>
      <c r="W110">
        <v>0</v>
      </c>
      <c r="X110">
        <v>0</v>
      </c>
      <c r="Y110">
        <v>0</v>
      </c>
      <c r="Z110" s="20">
        <v>41.6</v>
      </c>
      <c r="AA110" s="19">
        <f>IFERROR(PROPERTIES[[#This Row],[TE_STARTING_KN]]/(PROPERTIES[[#This Row],[WEIGHT]]*9.81),0)</f>
        <v>0.11779363461320648</v>
      </c>
      <c r="AB110" s="19">
        <v>0</v>
      </c>
      <c r="AC110" s="16">
        <f>ROUND(IF(IFERROR(PROPERTIES[[#This Row],[TE_COEFFICIENT_CALC]],0)=0,PROPERTIES[[#This Row],[TE_COEFFICIENT_MANUAL]],PROPERTIES[[#This Row],[TE_COEFFICIENT_CALC]]),3)</f>
        <v>0.11799999999999999</v>
      </c>
      <c r="AD110" s="8" cm="1">
        <f t="array" ref="AD1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10" s="26">
        <v>0</v>
      </c>
      <c r="AF110" s="6">
        <v>0</v>
      </c>
      <c r="AG110" t="s">
        <v>233</v>
      </c>
      <c r="AH110" t="s">
        <v>229</v>
      </c>
      <c r="AI110" t="s">
        <v>229</v>
      </c>
      <c r="AJ110" s="2" t="s">
        <v>229</v>
      </c>
      <c r="AK110" s="2" t="s">
        <v>244</v>
      </c>
      <c r="AL11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0" s="2" t="str">
        <f>SUBSTITUTE(SUBSTITUTE(PROPERTIES[[#This Row],[PURCHASECOST_VALUE]], "PURCHASECOST_", ""), "_VALUE", "")</f>
        <v>STEAMENGINE</v>
      </c>
      <c r="AO110" s="44" t="b">
        <v>0</v>
      </c>
      <c r="AP110" s="48" t="b">
        <v>0</v>
      </c>
      <c r="AQ110" s="48" t="b">
        <v>0</v>
      </c>
      <c r="AR110" s="48">
        <v>0</v>
      </c>
      <c r="AS110" s="48" t="b">
        <v>0</v>
      </c>
      <c r="AT110" s="7" t="b">
        <v>0</v>
      </c>
      <c r="AU110" s="40" t="str" cm="1">
        <f t="array" ref="AU110">_xlfn.XLOOKUP(PROPERTIES[[#This Row],[VEHIDCODE]],GRAPHICS_PROPERTIES[VEHIDCODE],GRAPHICS_PROPERTIES[TEMPLATE_ID]&amp;GRAPHICS_PROPERTIES[TEMPLATE_AMENDMENT_CODE])</f>
        <v>TPL_03C</v>
      </c>
    </row>
    <row r="111" spans="1:47" x14ac:dyDescent="0.35">
      <c r="A111" s="2" t="s">
        <v>2752</v>
      </c>
      <c r="B111">
        <v>1891</v>
      </c>
      <c r="C111">
        <v>1958</v>
      </c>
      <c r="D111" cm="1">
        <f t="array" ref="D1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1" s="40" t="str">
        <f>_xlfn.XLOOKUP(PROPERTIES[[#This Row],[VEHIDCODE]],CONTROL[VEHIDCODE],CONTROL[ENGLISH])</f>
        <v>Schneider RENFE 040</v>
      </c>
      <c r="F111" t="s">
        <v>595</v>
      </c>
      <c r="G111" s="40" t="str">
        <f>_xlfn.XLOOKUP(PROPERTIES[[#This Row],[COUNTRY]],COUNTRIES[COUNTRY_DESCRIPTION],COUNTRIES[COUNTRY_LABEL],"")</f>
        <v>ES</v>
      </c>
      <c r="H111" t="str" cm="1">
        <f t="array" ref="H1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1" t="s">
        <v>17</v>
      </c>
      <c r="J111">
        <v>0</v>
      </c>
      <c r="K111">
        <v>6</v>
      </c>
      <c r="L111">
        <v>0</v>
      </c>
      <c r="M111" t="str" cm="1">
        <f t="array" ref="M1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1">
        <f>_xlfn.XLOOKUP("LOADINGSPEEDDEF_"&amp;PROPERTIES[[#This Row],[LOADINGSPEED]],LOADINGSPEEDDEF[TYPE],LOADINGSPEEDDEF[SPEED])</f>
        <v>20</v>
      </c>
      <c r="O111" cm="1">
        <f t="array" ref="O1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1">
        <f>IF(ISNUMBER(SEARCH("passenger",PROPERTIES[[#This Row],[CARGODEF]])),1,0)</f>
        <v>0</v>
      </c>
      <c r="Q111" s="23">
        <v>88.5</v>
      </c>
      <c r="R111">
        <v>750</v>
      </c>
      <c r="S111">
        <v>0</v>
      </c>
      <c r="T111">
        <v>0</v>
      </c>
      <c r="U111">
        <v>0</v>
      </c>
      <c r="V111">
        <v>55</v>
      </c>
      <c r="W111">
        <v>0</v>
      </c>
      <c r="X111">
        <v>0</v>
      </c>
      <c r="Y111">
        <v>0</v>
      </c>
      <c r="Z111" s="20">
        <v>118</v>
      </c>
      <c r="AA111" s="19">
        <f>IFERROR(PROPERTIES[[#This Row],[TE_STARTING_KN]]/(PROPERTIES[[#This Row],[WEIGHT]]*9.81),0)</f>
        <v>0.13591573224600748</v>
      </c>
      <c r="AB111" s="19">
        <v>0</v>
      </c>
      <c r="AC111" s="16">
        <f>ROUND(IF(IFERROR(PROPERTIES[[#This Row],[TE_COEFFICIENT_CALC]],0)=0,PROPERTIES[[#This Row],[TE_COEFFICIENT_MANUAL]],PROPERTIES[[#This Row],[TE_COEFFICIENT_CALC]]),3)</f>
        <v>0.13600000000000001</v>
      </c>
      <c r="AD111" s="8" cm="1">
        <f t="array" ref="AD1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67</v>
      </c>
      <c r="AE111" s="26">
        <v>0</v>
      </c>
      <c r="AF111" s="6">
        <v>3</v>
      </c>
      <c r="AG111" t="s">
        <v>231</v>
      </c>
      <c r="AH111" t="s">
        <v>229</v>
      </c>
      <c r="AI111" t="s">
        <v>229</v>
      </c>
      <c r="AJ111" s="2" t="s">
        <v>229</v>
      </c>
      <c r="AK111" s="2" t="s">
        <v>244</v>
      </c>
      <c r="AL11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1" s="2" t="str">
        <f>SUBSTITUTE(SUBSTITUTE(PROPERTIES[[#This Row],[PURCHASECOST_VALUE]], "PURCHASECOST_", ""), "_VALUE", "")</f>
        <v>STEAMENGINE</v>
      </c>
      <c r="AO111" s="44" t="b">
        <v>0</v>
      </c>
      <c r="AP111" s="48" t="b">
        <v>0</v>
      </c>
      <c r="AQ111" s="48" t="b">
        <v>0</v>
      </c>
      <c r="AR111" s="48">
        <v>0</v>
      </c>
      <c r="AS111" s="48" t="b">
        <v>0</v>
      </c>
      <c r="AT111" s="7" t="b">
        <v>0</v>
      </c>
      <c r="AU111" s="40" t="str" cm="1">
        <f t="array" ref="AU111">_xlfn.XLOOKUP(PROPERTIES[[#This Row],[VEHIDCODE]],GRAPHICS_PROPERTIES[VEHIDCODE],GRAPHICS_PROPERTIES[TEMPLATE_ID]&amp;GRAPHICS_PROPERTIES[TEMPLATE_AMENDMENT_CODE])</f>
        <v>TPL_03A</v>
      </c>
    </row>
    <row r="112" spans="1:47" x14ac:dyDescent="0.35">
      <c r="A112" s="2" t="s">
        <v>2753</v>
      </c>
      <c r="B112">
        <v>1892</v>
      </c>
      <c r="C112">
        <v>1930</v>
      </c>
      <c r="D112" cm="1">
        <f t="array" ref="D1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2" s="40" t="str">
        <f>_xlfn.XLOOKUP(PROPERTIES[[#This Row],[VEHIDCODE]],CONTROL[VEHIDCODE],CONTROL[ENGLISH])</f>
        <v>Sächsische Maschinenfabrik IV K</v>
      </c>
      <c r="F112" t="s">
        <v>584</v>
      </c>
      <c r="G112" s="40" t="str">
        <f>_xlfn.XLOOKUP(PROPERTIES[[#This Row],[COUNTRY]],COUNTRIES[COUNTRY_DESCRIPTION],COUNTRIES[COUNTRY_LABEL],"")</f>
        <v>DE</v>
      </c>
      <c r="H112" t="str" cm="1">
        <f t="array" ref="H1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2" t="s">
        <v>17</v>
      </c>
      <c r="J112">
        <v>0</v>
      </c>
      <c r="K112">
        <v>6</v>
      </c>
      <c r="L112">
        <v>0</v>
      </c>
      <c r="M112" t="str" cm="1">
        <f t="array" ref="M1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2">
        <f>_xlfn.XLOOKUP("LOADINGSPEEDDEF_"&amp;PROPERTIES[[#This Row],[LOADINGSPEED]],LOADINGSPEEDDEF[TYPE],LOADINGSPEEDDEF[SPEED])</f>
        <v>20</v>
      </c>
      <c r="O112" cm="1">
        <f t="array" ref="O1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2">
        <f>IF(ISNUMBER(SEARCH("passenger",PROPERTIES[[#This Row],[CARGODEF]])),1,0)</f>
        <v>0</v>
      </c>
      <c r="Q112" s="23">
        <v>27</v>
      </c>
      <c r="R112">
        <v>206</v>
      </c>
      <c r="S112">
        <v>0</v>
      </c>
      <c r="T112">
        <v>0</v>
      </c>
      <c r="U112">
        <v>0</v>
      </c>
      <c r="V112">
        <v>30</v>
      </c>
      <c r="W112">
        <v>0</v>
      </c>
      <c r="X112">
        <v>0</v>
      </c>
      <c r="Y112">
        <v>0</v>
      </c>
      <c r="Z112" s="20">
        <v>42.17</v>
      </c>
      <c r="AA112" s="19">
        <f>IFERROR(PROPERTIES[[#This Row],[TE_STARTING_KN]]/(PROPERTIES[[#This Row],[WEIGHT]]*9.81),0)</f>
        <v>0.15921017857817044</v>
      </c>
      <c r="AB112" s="19">
        <v>0</v>
      </c>
      <c r="AC112" s="16">
        <f>ROUND(IF(IFERROR(PROPERTIES[[#This Row],[TE_COEFFICIENT_CALC]],0)=0,PROPERTIES[[#This Row],[TE_COEFFICIENT_MANUAL]],PROPERTIES[[#This Row],[TE_COEFFICIENT_CALC]]),3)</f>
        <v>0.159</v>
      </c>
      <c r="AD112" s="8" cm="1">
        <f t="array" ref="AD1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38</v>
      </c>
      <c r="AE112" s="26">
        <v>0</v>
      </c>
      <c r="AF112" s="6">
        <v>0</v>
      </c>
      <c r="AG112" t="s">
        <v>230</v>
      </c>
      <c r="AH112" t="s">
        <v>229</v>
      </c>
      <c r="AI112" t="s">
        <v>229</v>
      </c>
      <c r="AJ112" s="2" t="s">
        <v>229</v>
      </c>
      <c r="AK112" s="2" t="s">
        <v>244</v>
      </c>
      <c r="AL11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2" s="2" t="str">
        <f>SUBSTITUTE(SUBSTITUTE(PROPERTIES[[#This Row],[PURCHASECOST_VALUE]], "PURCHASECOST_", ""), "_VALUE", "")</f>
        <v>STEAMENGINE</v>
      </c>
      <c r="AO112" s="44" t="b">
        <v>0</v>
      </c>
      <c r="AP112" s="48" t="b">
        <v>0</v>
      </c>
      <c r="AQ112" s="48" t="b">
        <v>0</v>
      </c>
      <c r="AR112" s="48">
        <v>0</v>
      </c>
      <c r="AS112" s="48" t="b">
        <v>0</v>
      </c>
      <c r="AT112" s="7" t="b">
        <v>0</v>
      </c>
      <c r="AU112" s="40" t="str" cm="1">
        <f t="array" ref="AU112">_xlfn.XLOOKUP(PROPERTIES[[#This Row],[VEHIDCODE]],GRAPHICS_PROPERTIES[VEHIDCODE],GRAPHICS_PROPERTIES[TEMPLATE_ID]&amp;GRAPHICS_PROPERTIES[TEMPLATE_AMENDMENT_CODE])</f>
        <v>TPL_03C</v>
      </c>
    </row>
    <row r="113" spans="1:47" x14ac:dyDescent="0.35">
      <c r="A113" s="2" t="s">
        <v>2754</v>
      </c>
      <c r="B113">
        <v>1893</v>
      </c>
      <c r="C113">
        <v>1927</v>
      </c>
      <c r="D113" cm="1">
        <f t="array" ref="D1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3" s="40" t="str">
        <f>_xlfn.XLOOKUP(PROPERTIES[[#This Row],[VEHIDCODE]],CONTROL[VEHIDCODE],CONTROL[ENGLISH])</f>
        <v>Hanomag S 3</v>
      </c>
      <c r="F113" t="s">
        <v>584</v>
      </c>
      <c r="G113" s="40" t="str">
        <f>_xlfn.XLOOKUP(PROPERTIES[[#This Row],[COUNTRY]],COUNTRIES[COUNTRY_DESCRIPTION],COUNTRIES[COUNTRY_LABEL],"")</f>
        <v>DE</v>
      </c>
      <c r="H113" t="str" cm="1">
        <f t="array" ref="H1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3" t="s">
        <v>17</v>
      </c>
      <c r="J113">
        <v>0</v>
      </c>
      <c r="K113">
        <v>7</v>
      </c>
      <c r="L113">
        <v>0</v>
      </c>
      <c r="M113" t="str" cm="1">
        <f t="array" ref="M1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3">
        <f>_xlfn.XLOOKUP("LOADINGSPEEDDEF_"&amp;PROPERTIES[[#This Row],[LOADINGSPEED]],LOADINGSPEEDDEF[TYPE],LOADINGSPEEDDEF[SPEED])</f>
        <v>20</v>
      </c>
      <c r="O113" cm="1">
        <f t="array" ref="O1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3">
        <f>IF(ISNUMBER(SEARCH("passenger",PROPERTIES[[#This Row],[CARGODEF]])),1,0)</f>
        <v>0</v>
      </c>
      <c r="Q113" s="23">
        <v>50.5</v>
      </c>
      <c r="R113">
        <v>580</v>
      </c>
      <c r="S113">
        <v>0</v>
      </c>
      <c r="T113">
        <v>0</v>
      </c>
      <c r="U113">
        <v>0</v>
      </c>
      <c r="V113">
        <v>100</v>
      </c>
      <c r="W113">
        <v>0</v>
      </c>
      <c r="X113">
        <v>0</v>
      </c>
      <c r="Y113">
        <v>0</v>
      </c>
      <c r="Z113" s="20">
        <v>64</v>
      </c>
      <c r="AA113" s="19">
        <f>IFERROR(PROPERTIES[[#This Row],[TE_STARTING_KN]]/(PROPERTIES[[#This Row],[WEIGHT]]*9.81),0)</f>
        <v>0.12918723064967047</v>
      </c>
      <c r="AB113" s="19">
        <v>0</v>
      </c>
      <c r="AC113" s="16">
        <f>ROUND(IF(IFERROR(PROPERTIES[[#This Row],[TE_COEFFICIENT_CALC]],0)=0,PROPERTIES[[#This Row],[TE_COEFFICIENT_MANUAL]],PROPERTIES[[#This Row],[TE_COEFFICIENT_CALC]]),3)</f>
        <v>0.129</v>
      </c>
      <c r="AD113" s="8" cm="1">
        <f t="array" ref="AD1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113" s="26">
        <v>0</v>
      </c>
      <c r="AF113" s="6">
        <v>4</v>
      </c>
      <c r="AG113" t="s">
        <v>230</v>
      </c>
      <c r="AH113" t="s">
        <v>229</v>
      </c>
      <c r="AI113" t="s">
        <v>229</v>
      </c>
      <c r="AJ113" s="2" t="s">
        <v>229</v>
      </c>
      <c r="AK113" s="2" t="s">
        <v>244</v>
      </c>
      <c r="AL11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3" s="2" t="str">
        <f>SUBSTITUTE(SUBSTITUTE(PROPERTIES[[#This Row],[PURCHASECOST_VALUE]], "PURCHASECOST_", ""), "_VALUE", "")</f>
        <v>STEAMENGINE</v>
      </c>
      <c r="AO113" s="44" t="b">
        <v>0</v>
      </c>
      <c r="AP113" s="48" t="b">
        <v>0</v>
      </c>
      <c r="AQ113" s="48" t="b">
        <v>0</v>
      </c>
      <c r="AR113" s="48">
        <v>0</v>
      </c>
      <c r="AS113" s="48" t="b">
        <v>0</v>
      </c>
      <c r="AT113" s="7" t="b">
        <v>0</v>
      </c>
      <c r="AU113" s="40" t="str" cm="1">
        <f t="array" ref="AU113">_xlfn.XLOOKUP(PROPERTIES[[#This Row],[VEHIDCODE]],GRAPHICS_PROPERTIES[VEHIDCODE],GRAPHICS_PROPERTIES[TEMPLATE_ID]&amp;GRAPHICS_PROPERTIES[TEMPLATE_AMENDMENT_CODE])</f>
        <v>TPL_03A</v>
      </c>
    </row>
    <row r="114" spans="1:47" x14ac:dyDescent="0.35">
      <c r="A114" s="2" t="s">
        <v>2755</v>
      </c>
      <c r="B114">
        <v>1894</v>
      </c>
      <c r="C114">
        <v>1929</v>
      </c>
      <c r="D114" cm="1">
        <f t="array" ref="D1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4" s="40" t="str">
        <f>_xlfn.XLOOKUP(PROPERTIES[[#This Row],[VEHIDCODE]],CONTROL[VEHIDCODE],CONTROL[ENGLISH])</f>
        <v>Thune XXIa</v>
      </c>
      <c r="F114" t="s">
        <v>693</v>
      </c>
      <c r="G114" s="40" t="str">
        <f>_xlfn.XLOOKUP(PROPERTIES[[#This Row],[COUNTRY]],COUNTRIES[COUNTRY_DESCRIPTION],COUNTRIES[COUNTRY_LABEL],"")</f>
        <v>NO</v>
      </c>
      <c r="H114" t="str" cm="1">
        <f t="array" ref="H1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4" t="s">
        <v>17</v>
      </c>
      <c r="J114">
        <v>0</v>
      </c>
      <c r="K114">
        <v>7</v>
      </c>
      <c r="L114">
        <v>0</v>
      </c>
      <c r="M114" t="str" cm="1">
        <f t="array" ref="M1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4">
        <f>_xlfn.XLOOKUP("LOADINGSPEEDDEF_"&amp;PROPERTIES[[#This Row],[LOADINGSPEED]],LOADINGSPEEDDEF[TYPE],LOADINGSPEEDDEF[SPEED])</f>
        <v>20</v>
      </c>
      <c r="O114" cm="1">
        <f t="array" ref="O1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4">
        <f>IF(ISNUMBER(SEARCH("passenger",PROPERTIES[[#This Row],[CARGODEF]])),1,0)</f>
        <v>0</v>
      </c>
      <c r="Q114" s="23">
        <v>77.599999999999994</v>
      </c>
      <c r="R114">
        <v>700</v>
      </c>
      <c r="S114">
        <v>0</v>
      </c>
      <c r="T114">
        <v>0</v>
      </c>
      <c r="U114">
        <v>0</v>
      </c>
      <c r="V114">
        <v>60</v>
      </c>
      <c r="W114">
        <v>0</v>
      </c>
      <c r="X114">
        <v>0</v>
      </c>
      <c r="Y114">
        <v>0</v>
      </c>
      <c r="Z114" s="20">
        <v>82.56</v>
      </c>
      <c r="AA114" s="19">
        <f>IFERROR(PROPERTIES[[#This Row],[TE_STARTING_KN]]/(PROPERTIES[[#This Row],[WEIGHT]]*9.81),0)</f>
        <v>0.10845234717361835</v>
      </c>
      <c r="AB114" s="19">
        <v>0</v>
      </c>
      <c r="AC114" s="16">
        <f>ROUND(IF(IFERROR(PROPERTIES[[#This Row],[TE_COEFFICIENT_CALC]],0)=0,PROPERTIES[[#This Row],[TE_COEFFICIENT_MANUAL]],PROPERTIES[[#This Row],[TE_COEFFICIENT_CALC]]),3)</f>
        <v>0.108</v>
      </c>
      <c r="AD114" s="8" cm="1">
        <f t="array" ref="AD1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114" s="26">
        <v>0</v>
      </c>
      <c r="AF114" s="6">
        <v>0</v>
      </c>
      <c r="AG114" t="s">
        <v>234</v>
      </c>
      <c r="AH114" t="s">
        <v>229</v>
      </c>
      <c r="AI114" t="s">
        <v>229</v>
      </c>
      <c r="AJ114" s="2" t="s">
        <v>229</v>
      </c>
      <c r="AK114" s="2" t="s">
        <v>244</v>
      </c>
      <c r="AL11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4" s="2" t="str">
        <f>SUBSTITUTE(SUBSTITUTE(PROPERTIES[[#This Row],[PURCHASECOST_VALUE]], "PURCHASECOST_", ""), "_VALUE", "")</f>
        <v>STEAMENGINE</v>
      </c>
      <c r="AO114" s="44" t="b">
        <v>0</v>
      </c>
      <c r="AP114" s="48" t="b">
        <v>0</v>
      </c>
      <c r="AQ114" s="48" t="b">
        <v>0</v>
      </c>
      <c r="AR114" s="48">
        <v>0</v>
      </c>
      <c r="AS114" s="48" t="b">
        <v>0</v>
      </c>
      <c r="AT114" s="7" t="b">
        <v>0</v>
      </c>
      <c r="AU114" s="40" t="str" cm="1">
        <f t="array" ref="AU114">_xlfn.XLOOKUP(PROPERTIES[[#This Row],[VEHIDCODE]],GRAPHICS_PROPERTIES[VEHIDCODE],GRAPHICS_PROPERTIES[TEMPLATE_ID]&amp;GRAPHICS_PROPERTIES[TEMPLATE_AMENDMENT_CODE])</f>
        <v>TPL_03C</v>
      </c>
    </row>
    <row r="115" spans="1:47" x14ac:dyDescent="0.35">
      <c r="A115" s="2" t="s">
        <v>2756</v>
      </c>
      <c r="B115">
        <v>1895</v>
      </c>
      <c r="C115">
        <v>1940</v>
      </c>
      <c r="D115" cm="1">
        <f t="array" ref="D1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5" s="40" t="str">
        <f>_xlfn.XLOOKUP(PROPERTIES[[#This Row],[VEHIDCODE]],CONTROL[VEHIDCODE],CONTROL[ENGLISH])</f>
        <v>PRR D16</v>
      </c>
      <c r="F115" t="s">
        <v>757</v>
      </c>
      <c r="G115" s="40" t="str">
        <f>_xlfn.XLOOKUP(PROPERTIES[[#This Row],[COUNTRY]],COUNTRIES[COUNTRY_DESCRIPTION],COUNTRIES[COUNTRY_LABEL],"")</f>
        <v>US</v>
      </c>
      <c r="H115" t="str" cm="1">
        <f t="array" ref="H1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5" t="s">
        <v>17</v>
      </c>
      <c r="J115">
        <v>0</v>
      </c>
      <c r="K115">
        <v>7</v>
      </c>
      <c r="L115">
        <v>0</v>
      </c>
      <c r="M115" t="str" cm="1">
        <f t="array" ref="M1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5">
        <f>_xlfn.XLOOKUP("LOADINGSPEEDDEF_"&amp;PROPERTIES[[#This Row],[LOADINGSPEED]],LOADINGSPEEDDEF[TYPE],LOADINGSPEEDDEF[SPEED])</f>
        <v>20</v>
      </c>
      <c r="O115" cm="1">
        <f t="array" ref="O1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5">
        <f>IF(ISNUMBER(SEARCH("passenger",PROPERTIES[[#This Row],[CARGODEF]])),1,0)</f>
        <v>0</v>
      </c>
      <c r="Q115" s="23">
        <v>106.5</v>
      </c>
      <c r="R115">
        <v>850</v>
      </c>
      <c r="S115">
        <v>0</v>
      </c>
      <c r="T115">
        <v>0</v>
      </c>
      <c r="U115">
        <v>0</v>
      </c>
      <c r="V115">
        <v>128</v>
      </c>
      <c r="W115">
        <v>0</v>
      </c>
      <c r="X115">
        <v>0</v>
      </c>
      <c r="Y115">
        <v>0</v>
      </c>
      <c r="Z115" s="20">
        <v>77.84</v>
      </c>
      <c r="AA115" s="19">
        <f>IFERROR(PROPERTIES[[#This Row],[TE_STARTING_KN]]/(PROPERTIES[[#This Row],[WEIGHT]]*9.81),0)</f>
        <v>7.4504792943867762E-2</v>
      </c>
      <c r="AB115" s="19">
        <v>0</v>
      </c>
      <c r="AC115" s="16">
        <f>ROUND(IF(IFERROR(PROPERTIES[[#This Row],[TE_COEFFICIENT_CALC]],0)=0,PROPERTIES[[#This Row],[TE_COEFFICIENT_MANUAL]],PROPERTIES[[#This Row],[TE_COEFFICIENT_CALC]]),3)</f>
        <v>7.4999999999999997E-2</v>
      </c>
      <c r="AD115" s="8" cm="1">
        <f t="array" ref="AD1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15" s="26">
        <v>0</v>
      </c>
      <c r="AF115" s="6">
        <v>4</v>
      </c>
      <c r="AG115" t="s">
        <v>235</v>
      </c>
      <c r="AH115" t="s">
        <v>229</v>
      </c>
      <c r="AI115" t="s">
        <v>229</v>
      </c>
      <c r="AJ115" s="2" t="s">
        <v>229</v>
      </c>
      <c r="AK115" s="2" t="s">
        <v>244</v>
      </c>
      <c r="AL11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5" s="2" t="str">
        <f>SUBSTITUTE(SUBSTITUTE(PROPERTIES[[#This Row],[PURCHASECOST_VALUE]], "PURCHASECOST_", ""), "_VALUE", "")</f>
        <v>STEAMENGINE</v>
      </c>
      <c r="AO115" s="44" t="b">
        <v>0</v>
      </c>
      <c r="AP115" s="48" t="b">
        <v>0</v>
      </c>
      <c r="AQ115" s="48" t="b">
        <v>0</v>
      </c>
      <c r="AR115" s="48">
        <v>0</v>
      </c>
      <c r="AS115" s="48" t="b">
        <v>0</v>
      </c>
      <c r="AT115" s="7" t="b">
        <v>0</v>
      </c>
      <c r="AU115" s="40" t="str" cm="1">
        <f t="array" ref="AU115">_xlfn.XLOOKUP(PROPERTIES[[#This Row],[VEHIDCODE]],GRAPHICS_PROPERTIES[VEHIDCODE],GRAPHICS_PROPERTIES[TEMPLATE_ID]&amp;GRAPHICS_PROPERTIES[TEMPLATE_AMENDMENT_CODE])</f>
        <v>TPL_03A</v>
      </c>
    </row>
    <row r="116" spans="1:47" x14ac:dyDescent="0.35">
      <c r="A116" s="2" t="s">
        <v>2757</v>
      </c>
      <c r="B116">
        <v>1901</v>
      </c>
      <c r="C116">
        <v>1936</v>
      </c>
      <c r="D116" cm="1">
        <f t="array" ref="D1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6" s="40" t="str">
        <f>_xlfn.XLOOKUP(PROPERTIES[[#This Row],[VEHIDCODE]],CONTROL[VEHIDCODE],CONTROL[ENGLISH])</f>
        <v>Machinefabriek Breda 661-667</v>
      </c>
      <c r="F116" t="s">
        <v>692</v>
      </c>
      <c r="G116" s="40" t="str">
        <f>_xlfn.XLOOKUP(PROPERTIES[[#This Row],[COUNTRY]],COUNTRIES[COUNTRY_DESCRIPTION],COUNTRIES[COUNTRY_LABEL],"")</f>
        <v>NL</v>
      </c>
      <c r="H116" t="str" cm="1">
        <f t="array" ref="H1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6" t="s">
        <v>17</v>
      </c>
      <c r="J116">
        <v>0</v>
      </c>
      <c r="K116">
        <v>4</v>
      </c>
      <c r="L116">
        <v>0</v>
      </c>
      <c r="M116" t="str" cm="1">
        <f t="array" ref="M1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6">
        <f>_xlfn.XLOOKUP("LOADINGSPEEDDEF_"&amp;PROPERTIES[[#This Row],[LOADINGSPEED]],LOADINGSPEEDDEF[TYPE],LOADINGSPEEDDEF[SPEED])</f>
        <v>20</v>
      </c>
      <c r="O116" cm="1">
        <f t="array" ref="O1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6">
        <f>IF(ISNUMBER(SEARCH("passenger",PROPERTIES[[#This Row],[CARGODEF]])),1,0)</f>
        <v>0</v>
      </c>
      <c r="Q116" s="23">
        <v>35</v>
      </c>
      <c r="R116">
        <v>290</v>
      </c>
      <c r="S116">
        <v>0</v>
      </c>
      <c r="T116">
        <v>0</v>
      </c>
      <c r="U116">
        <v>0</v>
      </c>
      <c r="V116">
        <v>45</v>
      </c>
      <c r="W116">
        <v>0</v>
      </c>
      <c r="X116">
        <v>0</v>
      </c>
      <c r="Y116">
        <v>0</v>
      </c>
      <c r="Z116" s="20">
        <v>68</v>
      </c>
      <c r="AA116" s="19">
        <f>IFERROR(PROPERTIES[[#This Row],[TE_STARTING_KN]]/(PROPERTIES[[#This Row],[WEIGHT]]*9.81),0)</f>
        <v>0.19804863841561088</v>
      </c>
      <c r="AB116" s="19">
        <v>0</v>
      </c>
      <c r="AC116" s="16">
        <f>ROUND(IF(IFERROR(PROPERTIES[[#This Row],[TE_COEFFICIENT_CALC]],0)=0,PROPERTIES[[#This Row],[TE_COEFFICIENT_MANUAL]],PROPERTIES[[#This Row],[TE_COEFFICIENT_CALC]]),3)</f>
        <v>0.19800000000000001</v>
      </c>
      <c r="AD116" s="8" cm="1">
        <f t="array" ref="AD1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116" s="26">
        <v>0</v>
      </c>
      <c r="AF116" s="6">
        <v>0</v>
      </c>
      <c r="AG116" t="s">
        <v>230</v>
      </c>
      <c r="AH116" t="s">
        <v>229</v>
      </c>
      <c r="AI116" t="s">
        <v>229</v>
      </c>
      <c r="AJ116" s="2" t="s">
        <v>229</v>
      </c>
      <c r="AK116" s="2" t="s">
        <v>244</v>
      </c>
      <c r="AL11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6" s="2" t="str">
        <f>SUBSTITUTE(SUBSTITUTE(PROPERTIES[[#This Row],[PURCHASECOST_VALUE]], "PURCHASECOST_", ""), "_VALUE", "")</f>
        <v>STEAMENGINE</v>
      </c>
      <c r="AO116" s="44" t="b">
        <v>0</v>
      </c>
      <c r="AP116" s="48" t="b">
        <v>0</v>
      </c>
      <c r="AQ116" s="48" t="b">
        <v>0</v>
      </c>
      <c r="AR116" s="48">
        <v>0</v>
      </c>
      <c r="AS116" s="48" t="b">
        <v>0</v>
      </c>
      <c r="AT116" s="7" t="b">
        <v>0</v>
      </c>
      <c r="AU116" s="40" t="str" cm="1">
        <f t="array" ref="AU116">_xlfn.XLOOKUP(PROPERTIES[[#This Row],[VEHIDCODE]],GRAPHICS_PROPERTIES[VEHIDCODE],GRAPHICS_PROPERTIES[TEMPLATE_ID]&amp;GRAPHICS_PROPERTIES[TEMPLATE_AMENDMENT_CODE])</f>
        <v>TPL_03C</v>
      </c>
    </row>
    <row r="117" spans="1:47" x14ac:dyDescent="0.35">
      <c r="A117" s="2" t="s">
        <v>2758</v>
      </c>
      <c r="B117">
        <v>1910</v>
      </c>
      <c r="C117">
        <v>1926</v>
      </c>
      <c r="D117" cm="1">
        <f t="array" ref="D1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7" s="40" t="str">
        <f>_xlfn.XLOOKUP(PROPERTIES[[#This Row],[VEHIDCODE]],CONTROL[VEHIDCODE],CONTROL[ENGLISH])</f>
        <v>ALCO 46581 2-6-6-2 'Mallet'</v>
      </c>
      <c r="F117" t="s">
        <v>771</v>
      </c>
      <c r="G117" s="40" t="str">
        <f>_xlfn.XLOOKUP(PROPERTIES[[#This Row],[COUNTRY]],COUNTRIES[COUNTRY_DESCRIPTION],COUNTRIES[COUNTRY_LABEL],"")</f>
        <v>ZA</v>
      </c>
      <c r="H117" t="str" cm="1">
        <f t="array" ref="H1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7" t="s">
        <v>17</v>
      </c>
      <c r="J117">
        <v>0</v>
      </c>
      <c r="K117">
        <v>8</v>
      </c>
      <c r="M117" t="str" cm="1">
        <f t="array" ref="M1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7">
        <f>_xlfn.XLOOKUP("LOADINGSPEEDDEF_"&amp;PROPERTIES[[#This Row],[LOADINGSPEED]],LOADINGSPEEDDEF[TYPE],LOADINGSPEEDDEF[SPEED])</f>
        <v>20</v>
      </c>
      <c r="O117" cm="1">
        <f t="array" ref="O1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7">
        <f>IF(ISNUMBER(SEARCH("passenger",PROPERTIES[[#This Row],[CARGODEF]])),1,0)</f>
        <v>0</v>
      </c>
      <c r="Q117" s="23">
        <v>159.9</v>
      </c>
      <c r="R117">
        <v>1200</v>
      </c>
      <c r="S117">
        <v>0</v>
      </c>
      <c r="T117">
        <v>0</v>
      </c>
      <c r="U117">
        <v>0</v>
      </c>
      <c r="V117">
        <v>50</v>
      </c>
      <c r="W117">
        <v>0</v>
      </c>
      <c r="X117">
        <v>0</v>
      </c>
      <c r="Y117">
        <v>0</v>
      </c>
      <c r="Z117" s="20">
        <v>204</v>
      </c>
      <c r="AA117" s="19">
        <f>IFERROR(PROPERTIES[[#This Row],[TE_STARTING_KN]]/(PROPERTIES[[#This Row],[WEIGHT]]*9.81),0)</f>
        <v>0.13005070064814972</v>
      </c>
      <c r="AB117" s="19">
        <v>0</v>
      </c>
      <c r="AC117" s="16">
        <f>ROUND(IF(IFERROR(PROPERTIES[[#This Row],[TE_COEFFICIENT_CALC]],0)=0,PROPERTIES[[#This Row],[TE_COEFFICIENT_MANUAL]],PROPERTIES[[#This Row],[TE_COEFFICIENT_CALC]]),3)</f>
        <v>0.13</v>
      </c>
      <c r="AD117" s="8" cm="1">
        <f t="array" ref="AD1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17" s="26">
        <v>0</v>
      </c>
      <c r="AF117" s="6">
        <v>5</v>
      </c>
      <c r="AG117" t="s">
        <v>233</v>
      </c>
      <c r="AH117" t="s">
        <v>229</v>
      </c>
      <c r="AI117" t="s">
        <v>229</v>
      </c>
      <c r="AJ117" s="2" t="s">
        <v>229</v>
      </c>
      <c r="AK117" s="2" t="s">
        <v>244</v>
      </c>
      <c r="AL11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7" s="2" t="str">
        <f>SUBSTITUTE(SUBSTITUTE(PROPERTIES[[#This Row],[PURCHASECOST_VALUE]], "PURCHASECOST_", ""), "_VALUE", "")</f>
        <v>STEAMENGINE</v>
      </c>
      <c r="AO117" s="44" t="b">
        <v>0</v>
      </c>
      <c r="AP117" s="48" t="b">
        <v>0</v>
      </c>
      <c r="AQ117" s="48" t="b">
        <v>0</v>
      </c>
      <c r="AR117" s="48">
        <v>0</v>
      </c>
      <c r="AS117" s="48" t="b">
        <v>0</v>
      </c>
      <c r="AT117" s="7" t="b">
        <v>0</v>
      </c>
      <c r="AU117" s="40" t="str" cm="1">
        <f t="array" ref="AU117">_xlfn.XLOOKUP(PROPERTIES[[#This Row],[VEHIDCODE]],GRAPHICS_PROPERTIES[VEHIDCODE],GRAPHICS_PROPERTIES[TEMPLATE_ID]&amp;GRAPHICS_PROPERTIES[TEMPLATE_AMENDMENT_CODE])</f>
        <v>TPL_03A</v>
      </c>
    </row>
    <row r="118" spans="1:47" x14ac:dyDescent="0.35">
      <c r="A118" s="2" t="s">
        <v>2759</v>
      </c>
      <c r="B118">
        <v>1911</v>
      </c>
      <c r="C118">
        <v>1937</v>
      </c>
      <c r="D118" cm="1">
        <f t="array" ref="D1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8" s="40" t="str">
        <f>_xlfn.XLOOKUP(PROPERTIES[[#This Row],[VEHIDCODE]],CONTROL[VEHIDCODE],CONTROL[ENGLISH])</f>
        <v>Orenstein &amp; Koppel 2-8-0 '8-Tender'</v>
      </c>
      <c r="F118" t="s">
        <v>686</v>
      </c>
      <c r="G118" s="40" t="str">
        <f>_xlfn.XLOOKUP(PROPERTIES[[#This Row],[COUNTRY]],COUNTRIES[COUNTRY_DESCRIPTION],COUNTRIES[COUNTRY_LABEL],"")</f>
        <v>NA</v>
      </c>
      <c r="H118" t="str" cm="1">
        <f t="array" ref="H1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8" t="s">
        <v>17</v>
      </c>
      <c r="J118">
        <v>0</v>
      </c>
      <c r="K118">
        <v>6</v>
      </c>
      <c r="L118">
        <v>0</v>
      </c>
      <c r="M118" t="str" cm="1">
        <f t="array" ref="M1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8">
        <f>_xlfn.XLOOKUP("LOADINGSPEEDDEF_"&amp;PROPERTIES[[#This Row],[LOADINGSPEED]],LOADINGSPEEDDEF[TYPE],LOADINGSPEEDDEF[SPEED])</f>
        <v>20</v>
      </c>
      <c r="O118" cm="1">
        <f t="array" ref="O1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8">
        <f>IF(ISNUMBER(SEARCH("passenger",PROPERTIES[[#This Row],[CARGODEF]])),1,0)</f>
        <v>0</v>
      </c>
      <c r="Q118" s="23">
        <v>67.099999999999994</v>
      </c>
      <c r="R118">
        <v>750</v>
      </c>
      <c r="S118">
        <v>0</v>
      </c>
      <c r="T118">
        <v>0</v>
      </c>
      <c r="U118">
        <v>0</v>
      </c>
      <c r="V118">
        <v>60</v>
      </c>
      <c r="W118">
        <v>0</v>
      </c>
      <c r="X118">
        <v>0</v>
      </c>
      <c r="Y118">
        <v>0</v>
      </c>
      <c r="Z118" s="20">
        <v>60.4</v>
      </c>
      <c r="AA118" s="19">
        <f>IFERROR(PROPERTIES[[#This Row],[TE_STARTING_KN]]/(PROPERTIES[[#This Row],[WEIGHT]]*9.81),0)</f>
        <v>9.1758311039405946E-2</v>
      </c>
      <c r="AB118" s="19">
        <v>0</v>
      </c>
      <c r="AC118" s="16">
        <f>ROUND(IF(IFERROR(PROPERTIES[[#This Row],[TE_COEFFICIENT_CALC]],0)=0,PROPERTIES[[#This Row],[TE_COEFFICIENT_MANUAL]],PROPERTIES[[#This Row],[TE_COEFFICIENT_CALC]]),3)</f>
        <v>9.1999999999999998E-2</v>
      </c>
      <c r="AD118" s="8" cm="1">
        <f t="array" ref="AD1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18" s="26">
        <v>0</v>
      </c>
      <c r="AF118" s="6">
        <v>4</v>
      </c>
      <c r="AG118" t="s">
        <v>233</v>
      </c>
      <c r="AH118" t="s">
        <v>229</v>
      </c>
      <c r="AI118" t="s">
        <v>229</v>
      </c>
      <c r="AJ118" s="2" t="s">
        <v>229</v>
      </c>
      <c r="AK118" s="2" t="s">
        <v>244</v>
      </c>
      <c r="AL11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8" s="2" t="str">
        <f>SUBSTITUTE(SUBSTITUTE(PROPERTIES[[#This Row],[PURCHASECOST_VALUE]], "PURCHASECOST_", ""), "_VALUE", "")</f>
        <v>STEAMENGINE</v>
      </c>
      <c r="AO118" s="44" t="b">
        <v>0</v>
      </c>
      <c r="AP118" s="48" t="b">
        <v>0</v>
      </c>
      <c r="AQ118" s="48" t="b">
        <v>0</v>
      </c>
      <c r="AR118" s="48">
        <v>0</v>
      </c>
      <c r="AS118" s="48" t="b">
        <v>0</v>
      </c>
      <c r="AT118" s="7" t="b">
        <v>0</v>
      </c>
      <c r="AU118" s="40" t="str" cm="1">
        <f t="array" ref="AU118">_xlfn.XLOOKUP(PROPERTIES[[#This Row],[VEHIDCODE]],GRAPHICS_PROPERTIES[VEHIDCODE],GRAPHICS_PROPERTIES[TEMPLATE_ID]&amp;GRAPHICS_PROPERTIES[TEMPLATE_AMENDMENT_CODE])</f>
        <v>TPL_03A</v>
      </c>
    </row>
    <row r="119" spans="1:47" x14ac:dyDescent="0.35">
      <c r="A119" s="2" t="s">
        <v>2760</v>
      </c>
      <c r="B119">
        <v>1915</v>
      </c>
      <c r="C119">
        <v>1957</v>
      </c>
      <c r="D119" cm="1">
        <f t="array" ref="D1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9" s="40" t="str">
        <f>_xlfn.XLOOKUP(PROPERTIES[[#This Row],[VEHIDCODE]],CONTROL[VEHIDCODE],CONTROL[ENGLISH])</f>
        <v>Stratford Works L77 'LNER N7'</v>
      </c>
      <c r="F119" t="s">
        <v>603</v>
      </c>
      <c r="G119" s="40" t="str">
        <f>_xlfn.XLOOKUP(PROPERTIES[[#This Row],[COUNTRY]],COUNTRIES[COUNTRY_DESCRIPTION],COUNTRIES[COUNTRY_LABEL],"")</f>
        <v>GB</v>
      </c>
      <c r="H119" t="str" cm="1">
        <f t="array" ref="H1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9" t="s">
        <v>17</v>
      </c>
      <c r="J119">
        <v>0</v>
      </c>
      <c r="K119">
        <v>6</v>
      </c>
      <c r="L119">
        <v>0</v>
      </c>
      <c r="M119" t="str" cm="1">
        <f t="array" ref="M1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9">
        <f>_xlfn.XLOOKUP("LOADINGSPEEDDEF_"&amp;PROPERTIES[[#This Row],[LOADINGSPEED]],LOADINGSPEEDDEF[TYPE],LOADINGSPEEDDEF[SPEED])</f>
        <v>20</v>
      </c>
      <c r="O119" cm="1">
        <f t="array" ref="O1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9">
        <f>IF(ISNUMBER(SEARCH("passenger",PROPERTIES[[#This Row],[CARGODEF]])),1,0)</f>
        <v>0</v>
      </c>
      <c r="Q119" s="23">
        <v>63</v>
      </c>
      <c r="R119">
        <v>850</v>
      </c>
      <c r="S119">
        <v>0</v>
      </c>
      <c r="T119">
        <v>0</v>
      </c>
      <c r="U119">
        <v>0</v>
      </c>
      <c r="V119">
        <v>75</v>
      </c>
      <c r="W119">
        <v>0</v>
      </c>
      <c r="X119">
        <v>0</v>
      </c>
      <c r="Y119">
        <v>0</v>
      </c>
      <c r="Z119" s="20">
        <v>91.24</v>
      </c>
      <c r="AA119" s="19">
        <f>IFERROR(PROPERTIES[[#This Row],[TE_STARTING_KN]]/(PROPERTIES[[#This Row],[WEIGHT]]*9.81),0)</f>
        <v>0.14763037393006809</v>
      </c>
      <c r="AB119" s="19">
        <v>0</v>
      </c>
      <c r="AC119" s="16">
        <f>ROUND(IF(IFERROR(PROPERTIES[[#This Row],[TE_COEFFICIENT_CALC]],0)=0,PROPERTIES[[#This Row],[TE_COEFFICIENT_MANUAL]],PROPERTIES[[#This Row],[TE_COEFFICIENT_CALC]]),3)</f>
        <v>0.14799999999999999</v>
      </c>
      <c r="AD119" s="8" cm="1">
        <f t="array" ref="AD1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119" s="26">
        <v>0</v>
      </c>
      <c r="AF119" s="6">
        <v>0</v>
      </c>
      <c r="AG119" t="s">
        <v>234</v>
      </c>
      <c r="AH119" t="s">
        <v>229</v>
      </c>
      <c r="AI119" t="s">
        <v>229</v>
      </c>
      <c r="AJ119" s="2" t="s">
        <v>229</v>
      </c>
      <c r="AK119" s="2" t="s">
        <v>244</v>
      </c>
      <c r="AL11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9" s="2" t="str">
        <f>SUBSTITUTE(SUBSTITUTE(PROPERTIES[[#This Row],[PURCHASECOST_VALUE]], "PURCHASECOST_", ""), "_VALUE", "")</f>
        <v>STEAMENGINE</v>
      </c>
      <c r="AO119" s="44" t="b">
        <v>0</v>
      </c>
      <c r="AP119" s="48" t="b">
        <v>0</v>
      </c>
      <c r="AQ119" s="48" t="b">
        <v>0</v>
      </c>
      <c r="AR119" s="48">
        <v>0</v>
      </c>
      <c r="AS119" s="48" t="b">
        <v>0</v>
      </c>
      <c r="AT119" s="7" t="b">
        <v>0</v>
      </c>
      <c r="AU119" s="40" t="str" cm="1">
        <f t="array" ref="AU119">_xlfn.XLOOKUP(PROPERTIES[[#This Row],[VEHIDCODE]],GRAPHICS_PROPERTIES[VEHIDCODE],GRAPHICS_PROPERTIES[TEMPLATE_ID]&amp;GRAPHICS_PROPERTIES[TEMPLATE_AMENDMENT_CODE])</f>
        <v>TPL_03C</v>
      </c>
    </row>
    <row r="120" spans="1:47" x14ac:dyDescent="0.35">
      <c r="A120" s="2" t="s">
        <v>2761</v>
      </c>
      <c r="B120">
        <v>1918</v>
      </c>
      <c r="C120">
        <v>1967</v>
      </c>
      <c r="D120" cm="1">
        <f t="array" ref="D1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0" s="40" t="str">
        <f>_xlfn.XLOOKUP(PROPERTIES[[#This Row],[VEHIDCODE]],CONTROL[VEHIDCODE],CONTROL[ENGLISH])</f>
        <v>Sächsische Maschinenfabrik XX HV</v>
      </c>
      <c r="F120" t="s">
        <v>584</v>
      </c>
      <c r="G120" s="40" t="str">
        <f>_xlfn.XLOOKUP(PROPERTIES[[#This Row],[COUNTRY]],COUNTRIES[COUNTRY_DESCRIPTION],COUNTRIES[COUNTRY_LABEL],"")</f>
        <v>DE</v>
      </c>
      <c r="H120" t="str" cm="1">
        <f t="array" ref="H1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0" t="s">
        <v>17</v>
      </c>
      <c r="J120">
        <v>0</v>
      </c>
      <c r="K120">
        <v>8</v>
      </c>
      <c r="M120" t="str" cm="1">
        <f t="array" ref="M1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0">
        <f>_xlfn.XLOOKUP("LOADINGSPEEDDEF_"&amp;PROPERTIES[[#This Row],[LOADINGSPEED]],LOADINGSPEEDDEF[TYPE],LOADINGSPEEDDEF[SPEED])</f>
        <v>20</v>
      </c>
      <c r="O120" cm="1">
        <f t="array" ref="O1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0">
        <f>IF(ISNUMBER(SEARCH("passenger",PROPERTIES[[#This Row],[CARGODEF]])),1,0)</f>
        <v>0</v>
      </c>
      <c r="Q120" s="23">
        <v>162.69999999999999</v>
      </c>
      <c r="R120">
        <v>1780</v>
      </c>
      <c r="S120">
        <v>0</v>
      </c>
      <c r="T120">
        <v>0</v>
      </c>
      <c r="U120">
        <v>0</v>
      </c>
      <c r="V120">
        <v>115</v>
      </c>
      <c r="W120">
        <v>0</v>
      </c>
      <c r="X120">
        <v>0</v>
      </c>
      <c r="Y120">
        <v>0</v>
      </c>
      <c r="Z120" s="20">
        <v>112</v>
      </c>
      <c r="AA120" s="19">
        <f>IFERROR(PROPERTIES[[#This Row],[TE_STARTING_KN]]/(PROPERTIES[[#This Row],[WEIGHT]]*9.81),0)</f>
        <v>7.0171613452148909E-2</v>
      </c>
      <c r="AB120" s="19">
        <v>0</v>
      </c>
      <c r="AC120" s="16">
        <f>ROUND(IF(IFERROR(PROPERTIES[[#This Row],[TE_COEFFICIENT_CALC]],0)=0,PROPERTIES[[#This Row],[TE_COEFFICIENT_MANUAL]],PROPERTIES[[#This Row],[TE_COEFFICIENT_CALC]]),3)</f>
        <v>7.0000000000000007E-2</v>
      </c>
      <c r="AD120" s="8" cm="1">
        <f t="array" ref="AD1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120" s="26">
        <v>0</v>
      </c>
      <c r="AF120" s="6">
        <v>6</v>
      </c>
      <c r="AG120" t="s">
        <v>230</v>
      </c>
      <c r="AH120" t="s">
        <v>229</v>
      </c>
      <c r="AI120" t="s">
        <v>229</v>
      </c>
      <c r="AJ120" s="2" t="s">
        <v>229</v>
      </c>
      <c r="AK120" s="2" t="s">
        <v>244</v>
      </c>
      <c r="AL12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0" s="2" t="str">
        <f>SUBSTITUTE(SUBSTITUTE(PROPERTIES[[#This Row],[PURCHASECOST_VALUE]], "PURCHASECOST_", ""), "_VALUE", "")</f>
        <v>STEAMENGINE</v>
      </c>
      <c r="AO120" s="44" t="b">
        <v>0</v>
      </c>
      <c r="AP120" s="48" t="b">
        <v>0</v>
      </c>
      <c r="AQ120" s="48" t="b">
        <v>0</v>
      </c>
      <c r="AR120" s="48">
        <v>0</v>
      </c>
      <c r="AS120" s="48" t="b">
        <v>0</v>
      </c>
      <c r="AT120" s="7" t="b">
        <v>0</v>
      </c>
      <c r="AU120" s="40" t="str" cm="1">
        <f t="array" ref="AU120">_xlfn.XLOOKUP(PROPERTIES[[#This Row],[VEHIDCODE]],GRAPHICS_PROPERTIES[VEHIDCODE],GRAPHICS_PROPERTIES[TEMPLATE_ID]&amp;GRAPHICS_PROPERTIES[TEMPLATE_AMENDMENT_CODE])</f>
        <v>TPL_03A</v>
      </c>
    </row>
    <row r="121" spans="1:47" x14ac:dyDescent="0.35">
      <c r="A121" s="2" t="s">
        <v>2762</v>
      </c>
      <c r="B121">
        <v>1921</v>
      </c>
      <c r="C121">
        <v>1954</v>
      </c>
      <c r="D121" cm="1">
        <f t="array" ref="D1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1" s="40" t="str">
        <f>_xlfn.XLOOKUP(PROPERTIES[[#This Row],[VEHIDCODE]],CONTROL[VEHIDCODE],CONTROL[ENGLISH])</f>
        <v>Beyer, P &amp; Co. 2-4-0 SS 9-16</v>
      </c>
      <c r="F121" t="s">
        <v>548</v>
      </c>
      <c r="G121" s="40" t="str">
        <f>_xlfn.XLOOKUP(PROPERTIES[[#This Row],[COUNTRY]],COUNTRIES[COUNTRY_DESCRIPTION],COUNTRIES[COUNTRY_LABEL],"")</f>
        <v>BE</v>
      </c>
      <c r="H121" t="str" cm="1">
        <f t="array" ref="H1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1" t="s">
        <v>17</v>
      </c>
      <c r="J121">
        <v>0</v>
      </c>
      <c r="K121">
        <v>8</v>
      </c>
      <c r="M121" t="str" cm="1">
        <f t="array" ref="M1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1">
        <f>_xlfn.XLOOKUP("LOADINGSPEEDDEF_"&amp;PROPERTIES[[#This Row],[LOADINGSPEED]],LOADINGSPEEDDEF[TYPE],LOADINGSPEEDDEF[SPEED])</f>
        <v>20</v>
      </c>
      <c r="O121" cm="1">
        <f t="array" ref="O1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1">
        <f>IF(ISNUMBER(SEARCH("passenger",PROPERTIES[[#This Row],[CARGODEF]])),1,0)</f>
        <v>0</v>
      </c>
      <c r="Q121" s="23">
        <v>133</v>
      </c>
      <c r="R121">
        <v>1600</v>
      </c>
      <c r="S121">
        <v>0</v>
      </c>
      <c r="T121">
        <v>0</v>
      </c>
      <c r="U121">
        <v>0</v>
      </c>
      <c r="V121">
        <v>110</v>
      </c>
      <c r="W121">
        <v>0</v>
      </c>
      <c r="X121">
        <v>0</v>
      </c>
      <c r="Y121">
        <v>0</v>
      </c>
      <c r="Z121" s="20">
        <v>102</v>
      </c>
      <c r="AA121" s="19">
        <f>IFERROR(PROPERTIES[[#This Row],[TE_STARTING_KN]]/(PROPERTIES[[#This Row],[WEIGHT]]*9.81),0)</f>
        <v>7.8177094111425358E-2</v>
      </c>
      <c r="AB121" s="19">
        <v>0</v>
      </c>
      <c r="AC121" s="16">
        <f>ROUND(IF(IFERROR(PROPERTIES[[#This Row],[TE_COEFFICIENT_CALC]],0)=0,PROPERTIES[[#This Row],[TE_COEFFICIENT_MANUAL]],PROPERTIES[[#This Row],[TE_COEFFICIENT_CALC]]),3)</f>
        <v>7.8E-2</v>
      </c>
      <c r="AD121" s="8" cm="1">
        <f t="array" ref="AD1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121" s="26">
        <v>0</v>
      </c>
      <c r="AF121" s="6">
        <v>4</v>
      </c>
      <c r="AG121" t="s">
        <v>230</v>
      </c>
      <c r="AH121" t="s">
        <v>229</v>
      </c>
      <c r="AI121" t="s">
        <v>229</v>
      </c>
      <c r="AJ121" s="2" t="s">
        <v>229</v>
      </c>
      <c r="AK121" s="2" t="s">
        <v>244</v>
      </c>
      <c r="AL12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1" s="2" t="str">
        <f>SUBSTITUTE(SUBSTITUTE(PROPERTIES[[#This Row],[PURCHASECOST_VALUE]], "PURCHASECOST_", ""), "_VALUE", "")</f>
        <v>STEAMENGINE</v>
      </c>
      <c r="AO121" s="44" t="b">
        <v>0</v>
      </c>
      <c r="AP121" s="48" t="b">
        <v>0</v>
      </c>
      <c r="AQ121" s="48" t="b">
        <v>0</v>
      </c>
      <c r="AR121" s="48">
        <v>0</v>
      </c>
      <c r="AS121" s="48" t="b">
        <v>0</v>
      </c>
      <c r="AT121" s="7" t="b">
        <v>0</v>
      </c>
      <c r="AU121" s="40" t="str" cm="1">
        <f t="array" ref="AU121">_xlfn.XLOOKUP(PROPERTIES[[#This Row],[VEHIDCODE]],GRAPHICS_PROPERTIES[VEHIDCODE],GRAPHICS_PROPERTIES[TEMPLATE_ID]&amp;GRAPHICS_PROPERTIES[TEMPLATE_AMENDMENT_CODE])</f>
        <v>TPL_03A</v>
      </c>
    </row>
    <row r="122" spans="1:47" x14ac:dyDescent="0.35">
      <c r="A122" s="2" t="s">
        <v>2763</v>
      </c>
      <c r="B122">
        <v>1922</v>
      </c>
      <c r="C122">
        <v>1967</v>
      </c>
      <c r="D122" cm="1">
        <f t="array" ref="D1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2" s="40" t="str">
        <f>_xlfn.XLOOKUP(PROPERTIES[[#This Row],[VEHIDCODE]],CONTROL[VEHIDCODE],CONTROL[ENGLISH])</f>
        <v>Beyer, P &amp; Co. 2-6-0 6112-6113</v>
      </c>
      <c r="F122" t="s">
        <v>628</v>
      </c>
      <c r="G122" s="40" t="str">
        <f>_xlfn.XLOOKUP(PROPERTIES[[#This Row],[COUNTRY]],COUNTRIES[COUNTRY_DESCRIPTION],COUNTRIES[COUNTRY_LABEL],"")</f>
        <v>IE</v>
      </c>
      <c r="H122" t="str" cm="1">
        <f t="array" ref="H1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2" t="s">
        <v>17</v>
      </c>
      <c r="J122">
        <v>0</v>
      </c>
      <c r="K122">
        <v>7</v>
      </c>
      <c r="L122">
        <v>0</v>
      </c>
      <c r="M122" t="str" cm="1">
        <f t="array" ref="M1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2">
        <f>_xlfn.XLOOKUP("LOADINGSPEEDDEF_"&amp;PROPERTIES[[#This Row],[LOADINGSPEED]],LOADINGSPEEDDEF[TYPE],LOADINGSPEEDDEF[SPEED])</f>
        <v>20</v>
      </c>
      <c r="O122" cm="1">
        <f t="array" ref="O1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2">
        <f>IF(ISNUMBER(SEARCH("passenger",PROPERTIES[[#This Row],[CARGODEF]])),1,0)</f>
        <v>0</v>
      </c>
      <c r="Q122" s="23">
        <v>84</v>
      </c>
      <c r="R122">
        <v>550</v>
      </c>
      <c r="S122">
        <v>0</v>
      </c>
      <c r="T122">
        <v>0</v>
      </c>
      <c r="U122">
        <v>0</v>
      </c>
      <c r="V122">
        <v>120</v>
      </c>
      <c r="W122">
        <v>0</v>
      </c>
      <c r="X122">
        <v>0</v>
      </c>
      <c r="Y122">
        <v>0</v>
      </c>
      <c r="Z122" s="20">
        <v>101.8</v>
      </c>
      <c r="AA122" s="19">
        <f>IFERROR(PROPERTIES[[#This Row],[TE_STARTING_KN]]/(PROPERTIES[[#This Row],[WEIGHT]]*9.81),0)</f>
        <v>0.12353769234503179</v>
      </c>
      <c r="AB122" s="19">
        <v>0</v>
      </c>
      <c r="AC122" s="16">
        <f>ROUND(IF(IFERROR(PROPERTIES[[#This Row],[TE_COEFFICIENT_CALC]],0)=0,PROPERTIES[[#This Row],[TE_COEFFICIENT_MANUAL]],PROPERTIES[[#This Row],[TE_COEFFICIENT_CALC]]),3)</f>
        <v>0.124</v>
      </c>
      <c r="AD122" s="8" cm="1">
        <f t="array" ref="AD1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22" s="26">
        <v>0</v>
      </c>
      <c r="AF122" s="6">
        <v>4</v>
      </c>
      <c r="AG122" t="s">
        <v>234</v>
      </c>
      <c r="AH122" t="s">
        <v>229</v>
      </c>
      <c r="AI122" t="s">
        <v>229</v>
      </c>
      <c r="AJ122" s="2" t="s">
        <v>229</v>
      </c>
      <c r="AK122" s="2" t="s">
        <v>244</v>
      </c>
      <c r="AL12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2" s="2" t="str">
        <f>SUBSTITUTE(SUBSTITUTE(PROPERTIES[[#This Row],[PURCHASECOST_VALUE]], "PURCHASECOST_", ""), "_VALUE", "")</f>
        <v>STEAMENGINE</v>
      </c>
      <c r="AO122" s="44" t="b">
        <v>0</v>
      </c>
      <c r="AP122" s="48" t="b">
        <v>0</v>
      </c>
      <c r="AQ122" s="48" t="b">
        <v>0</v>
      </c>
      <c r="AR122" s="48">
        <v>0</v>
      </c>
      <c r="AS122" s="48" t="b">
        <v>0</v>
      </c>
      <c r="AT122" s="7" t="b">
        <v>0</v>
      </c>
      <c r="AU122" s="40" t="str" cm="1">
        <f t="array" ref="AU122">_xlfn.XLOOKUP(PROPERTIES[[#This Row],[VEHIDCODE]],GRAPHICS_PROPERTIES[VEHIDCODE],GRAPHICS_PROPERTIES[TEMPLATE_ID]&amp;GRAPHICS_PROPERTIES[TEMPLATE_AMENDMENT_CODE])</f>
        <v>TPL_03A</v>
      </c>
    </row>
    <row r="123" spans="1:47" x14ac:dyDescent="0.35">
      <c r="A123" s="2" t="s">
        <v>2764</v>
      </c>
      <c r="B123">
        <v>1922</v>
      </c>
      <c r="C123">
        <v>1955</v>
      </c>
      <c r="D123" cm="1">
        <f t="array" ref="D1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3" s="40" t="str">
        <f>_xlfn.XLOOKUP(PROPERTIES[[#This Row],[VEHIDCODE]],CONTROL[VEHIDCODE],CONTROL[ENGLISH])</f>
        <v>Baldwin 10-32-E 55246</v>
      </c>
      <c r="F123" t="s">
        <v>757</v>
      </c>
      <c r="G123" s="40" t="str">
        <f>_xlfn.XLOOKUP(PROPERTIES[[#This Row],[COUNTRY]],COUNTRIES[COUNTRY_DESCRIPTION],COUNTRIES[COUNTRY_LABEL],"")</f>
        <v>US</v>
      </c>
      <c r="H123" t="str" cm="1">
        <f t="array" ref="H1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3" t="s">
        <v>17</v>
      </c>
      <c r="J123">
        <v>0</v>
      </c>
      <c r="K123">
        <v>6</v>
      </c>
      <c r="L123">
        <v>0</v>
      </c>
      <c r="M123" t="str" cm="1">
        <f t="array" ref="M1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3">
        <f>_xlfn.XLOOKUP("LOADINGSPEEDDEF_"&amp;PROPERTIES[[#This Row],[LOADINGSPEED]],LOADINGSPEEDDEF[TYPE],LOADINGSPEEDDEF[SPEED])</f>
        <v>20</v>
      </c>
      <c r="O123" cm="1">
        <f t="array" ref="O1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3">
        <f>IF(ISNUMBER(SEARCH("passenger",PROPERTIES[[#This Row],[CARGODEF]])),1,0)</f>
        <v>0</v>
      </c>
      <c r="Q123" s="23">
        <v>105</v>
      </c>
      <c r="R123">
        <v>850</v>
      </c>
      <c r="S123">
        <v>0</v>
      </c>
      <c r="T123">
        <v>0</v>
      </c>
      <c r="U123">
        <v>0</v>
      </c>
      <c r="V123">
        <v>65</v>
      </c>
      <c r="W123">
        <v>0</v>
      </c>
      <c r="X123">
        <v>0</v>
      </c>
      <c r="Y123">
        <v>0</v>
      </c>
      <c r="Z123" s="20">
        <v>136.80000000000001</v>
      </c>
      <c r="AA123" s="19">
        <f>IFERROR(PROPERTIES[[#This Row],[TE_STARTING_KN]]/(PROPERTIES[[#This Row],[WEIGHT]]*9.81),0)</f>
        <v>0.13280908693752733</v>
      </c>
      <c r="AB123" s="19">
        <v>0</v>
      </c>
      <c r="AC123" s="16">
        <f>ROUND(IF(IFERROR(PROPERTIES[[#This Row],[TE_COEFFICIENT_CALC]],0)=0,PROPERTIES[[#This Row],[TE_COEFFICIENT_MANUAL]],PROPERTIES[[#This Row],[TE_COEFFICIENT_CALC]]),3)</f>
        <v>0.13300000000000001</v>
      </c>
      <c r="AD123" s="8" cm="1">
        <f t="array" ref="AD1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123" s="26">
        <v>0</v>
      </c>
      <c r="AF123" s="6">
        <v>4</v>
      </c>
      <c r="AG123" t="s">
        <v>235</v>
      </c>
      <c r="AH123" t="s">
        <v>229</v>
      </c>
      <c r="AI123" t="s">
        <v>229</v>
      </c>
      <c r="AJ123" s="2" t="s">
        <v>229</v>
      </c>
      <c r="AK123" s="2" t="s">
        <v>244</v>
      </c>
      <c r="AL12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3" s="2" t="str">
        <f>SUBSTITUTE(SUBSTITUTE(PROPERTIES[[#This Row],[PURCHASECOST_VALUE]], "PURCHASECOST_", ""), "_VALUE", "")</f>
        <v>STEAMENGINE</v>
      </c>
      <c r="AO123" s="44" t="b">
        <v>0</v>
      </c>
      <c r="AP123" s="48" t="b">
        <v>0</v>
      </c>
      <c r="AQ123" s="48" t="b">
        <v>0</v>
      </c>
      <c r="AR123" s="48">
        <v>0</v>
      </c>
      <c r="AS123" s="48" t="b">
        <v>0</v>
      </c>
      <c r="AT123" s="7" t="b">
        <v>0</v>
      </c>
      <c r="AU123" s="40" t="str" cm="1">
        <f t="array" ref="AU123">_xlfn.XLOOKUP(PROPERTIES[[#This Row],[VEHIDCODE]],GRAPHICS_PROPERTIES[VEHIDCODE],GRAPHICS_PROPERTIES[TEMPLATE_ID]&amp;GRAPHICS_PROPERTIES[TEMPLATE_AMENDMENT_CODE])</f>
        <v>TPL_03A</v>
      </c>
    </row>
    <row r="124" spans="1:47" x14ac:dyDescent="0.35">
      <c r="A124" s="2" t="s">
        <v>3455</v>
      </c>
      <c r="B124">
        <v>1923</v>
      </c>
      <c r="C124">
        <v>1947</v>
      </c>
      <c r="D124" cm="1">
        <f t="array" ref="D1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4" s="40" t="str">
        <f>_xlfn.XLOOKUP(PROPERTIES[[#This Row],[VEHIDCODE]],CONTROL[VEHIDCODE],CONTROL[ENGLISH])</f>
        <v xml:space="preserve">Canadian National U-1-a </v>
      </c>
      <c r="F124" t="s">
        <v>565</v>
      </c>
      <c r="G124" s="40" t="str">
        <f>_xlfn.XLOOKUP(PROPERTIES[[#This Row],[COUNTRY]],COUNTRIES[COUNTRY_DESCRIPTION],COUNTRIES[COUNTRY_LABEL],"")</f>
        <v>CA</v>
      </c>
      <c r="H124" t="str" cm="1">
        <f t="array" ref="H1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4" t="s">
        <v>17</v>
      </c>
      <c r="J124">
        <v>0</v>
      </c>
      <c r="K124">
        <v>8</v>
      </c>
      <c r="M124" t="str" cm="1">
        <f t="array" ref="M1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4">
        <f>_xlfn.XLOOKUP("LOADINGSPEEDDEF_"&amp;PROPERTIES[[#This Row],[LOADINGSPEED]],LOADINGSPEEDDEF[TYPE],LOADINGSPEEDDEF[SPEED])</f>
        <v>20</v>
      </c>
      <c r="O124" cm="1">
        <f t="array" ref="O1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4">
        <f>IF(ISNUMBER(SEARCH("passenger",PROPERTIES[[#This Row],[CARGODEF]])),1,0)</f>
        <v>0</v>
      </c>
      <c r="Q124" s="23">
        <v>273</v>
      </c>
      <c r="R124">
        <v>3200</v>
      </c>
      <c r="S124">
        <v>0</v>
      </c>
      <c r="T124">
        <v>0</v>
      </c>
      <c r="U124">
        <v>0</v>
      </c>
      <c r="V124">
        <v>130</v>
      </c>
      <c r="W124">
        <v>0</v>
      </c>
      <c r="X124">
        <v>0</v>
      </c>
      <c r="Y124">
        <v>0</v>
      </c>
      <c r="Z124" s="20">
        <v>220.6</v>
      </c>
      <c r="AA124" s="19">
        <f>IFERROR(PROPERTIES[[#This Row],[TE_STARTING_KN]]/(PROPERTIES[[#This Row],[WEIGHT]]*9.81),0)</f>
        <v>8.2370908058981451E-2</v>
      </c>
      <c r="AB124" s="19">
        <v>0</v>
      </c>
      <c r="AC124" s="16">
        <f>ROUND(IF(IFERROR(PROPERTIES[[#This Row],[TE_COEFFICIENT_CALC]],0)=0,PROPERTIES[[#This Row],[TE_COEFFICIENT_MANUAL]],PROPERTIES[[#This Row],[TE_COEFFICIENT_CALC]]),3)</f>
        <v>8.2000000000000003E-2</v>
      </c>
      <c r="AD124" s="8" cm="1">
        <f t="array" ref="AD1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24" s="26">
        <v>0</v>
      </c>
      <c r="AF124" s="6">
        <v>6</v>
      </c>
      <c r="AG124" t="s">
        <v>235</v>
      </c>
      <c r="AH124" t="s">
        <v>229</v>
      </c>
      <c r="AI124" t="s">
        <v>229</v>
      </c>
      <c r="AJ124" s="2" t="s">
        <v>229</v>
      </c>
      <c r="AK124" s="2" t="s">
        <v>244</v>
      </c>
      <c r="AL12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4" s="2" t="str">
        <f>SUBSTITUTE(SUBSTITUTE(PROPERTIES[[#This Row],[PURCHASECOST_VALUE]], "PURCHASECOST_", ""), "_VALUE", "")</f>
        <v>STEAMENGINE</v>
      </c>
      <c r="AO124" s="44" t="b">
        <v>0</v>
      </c>
      <c r="AP124" s="48" t="b">
        <v>0</v>
      </c>
      <c r="AQ124" s="48" t="b">
        <v>0</v>
      </c>
      <c r="AR124" s="48">
        <v>0</v>
      </c>
      <c r="AS124" s="48" t="b">
        <v>0</v>
      </c>
      <c r="AT124" s="7" t="b">
        <v>0</v>
      </c>
      <c r="AU124" s="40" t="str" cm="1">
        <f t="array" ref="AU124">_xlfn.XLOOKUP(PROPERTIES[[#This Row],[VEHIDCODE]],GRAPHICS_PROPERTIES[VEHIDCODE],GRAPHICS_PROPERTIES[TEMPLATE_ID]&amp;GRAPHICS_PROPERTIES[TEMPLATE_AMENDMENT_CODE])</f>
        <v>TPL_03A</v>
      </c>
    </row>
    <row r="125" spans="1:47" x14ac:dyDescent="0.35">
      <c r="A125" s="2" t="s">
        <v>2765</v>
      </c>
      <c r="B125">
        <v>1927</v>
      </c>
      <c r="C125">
        <v>1983</v>
      </c>
      <c r="D125" cm="1">
        <f t="array" ref="D1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5" s="40" t="str">
        <f>_xlfn.XLOOKUP(PROPERTIES[[#This Row],[VEHIDCODE]],CONTROL[VEHIDCODE],CONTROL[ENGLISH])</f>
        <v>Vulcan Foundry 4-6-2 Class XB</v>
      </c>
      <c r="F125" t="s">
        <v>631</v>
      </c>
      <c r="G125" s="40" t="str">
        <f>_xlfn.XLOOKUP(PROPERTIES[[#This Row],[COUNTRY]],COUNTRIES[COUNTRY_DESCRIPTION],COUNTRIES[COUNTRY_LABEL],"")</f>
        <v>IN</v>
      </c>
      <c r="H125" t="str" cm="1">
        <f t="array" ref="H1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5" t="s">
        <v>17</v>
      </c>
      <c r="J125">
        <v>0</v>
      </c>
      <c r="K125">
        <v>8</v>
      </c>
      <c r="M125" t="str" cm="1">
        <f t="array" ref="M1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5">
        <f>_xlfn.XLOOKUP("LOADINGSPEEDDEF_"&amp;PROPERTIES[[#This Row],[LOADINGSPEED]],LOADINGSPEEDDEF[TYPE],LOADINGSPEEDDEF[SPEED])</f>
        <v>20</v>
      </c>
      <c r="O125" cm="1">
        <f t="array" ref="O1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5">
        <f>IF(ISNUMBER(SEARCH("passenger",PROPERTIES[[#This Row],[CARGODEF]])),1,0)</f>
        <v>0</v>
      </c>
      <c r="Q125" s="23">
        <v>162.5</v>
      </c>
      <c r="R125">
        <v>2150</v>
      </c>
      <c r="S125">
        <v>0</v>
      </c>
      <c r="T125">
        <v>0</v>
      </c>
      <c r="U125">
        <v>0</v>
      </c>
      <c r="V125">
        <v>110</v>
      </c>
      <c r="W125">
        <v>0</v>
      </c>
      <c r="X125">
        <v>0</v>
      </c>
      <c r="Y125">
        <v>0</v>
      </c>
      <c r="Z125" s="20">
        <v>119.03</v>
      </c>
      <c r="AA125" s="19">
        <f>IFERROR(PROPERTIES[[#This Row],[TE_STARTING_KN]]/(PROPERTIES[[#This Row],[WEIGHT]]*9.81),0)</f>
        <v>7.4667921273425863E-2</v>
      </c>
      <c r="AB125" s="19">
        <v>0</v>
      </c>
      <c r="AC125" s="16">
        <f>ROUND(IF(IFERROR(PROPERTIES[[#This Row],[TE_COEFFICIENT_CALC]],0)=0,PROPERTIES[[#This Row],[TE_COEFFICIENT_MANUAL]],PROPERTIES[[#This Row],[TE_COEFFICIENT_CALC]]),3)</f>
        <v>7.4999999999999997E-2</v>
      </c>
      <c r="AD125" s="8" cm="1">
        <f t="array" ref="AD1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125" s="26">
        <v>0</v>
      </c>
      <c r="AF125" s="6">
        <v>7</v>
      </c>
      <c r="AG125" t="s">
        <v>238</v>
      </c>
      <c r="AH125" t="s">
        <v>229</v>
      </c>
      <c r="AI125" t="s">
        <v>229</v>
      </c>
      <c r="AJ125" s="2" t="s">
        <v>229</v>
      </c>
      <c r="AK125" s="2" t="s">
        <v>244</v>
      </c>
      <c r="AL12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5" s="2" t="str">
        <f>SUBSTITUTE(SUBSTITUTE(PROPERTIES[[#This Row],[PURCHASECOST_VALUE]], "PURCHASECOST_", ""), "_VALUE", "")</f>
        <v>STEAMENGINE</v>
      </c>
      <c r="AO125" s="44" t="b">
        <v>0</v>
      </c>
      <c r="AP125" s="48" t="b">
        <v>0</v>
      </c>
      <c r="AQ125" s="48" t="b">
        <v>0</v>
      </c>
      <c r="AR125" s="48">
        <v>0</v>
      </c>
      <c r="AS125" s="48" t="b">
        <v>0</v>
      </c>
      <c r="AT125" s="7" t="b">
        <v>0</v>
      </c>
      <c r="AU125" s="40" t="str" cm="1">
        <f t="array" ref="AU125">_xlfn.XLOOKUP(PROPERTIES[[#This Row],[VEHIDCODE]],GRAPHICS_PROPERTIES[VEHIDCODE],GRAPHICS_PROPERTIES[TEMPLATE_ID]&amp;GRAPHICS_PROPERTIES[TEMPLATE_AMENDMENT_CODE])</f>
        <v>TPL_03A</v>
      </c>
    </row>
    <row r="126" spans="1:47" x14ac:dyDescent="0.35">
      <c r="A126" s="2" t="s">
        <v>2766</v>
      </c>
      <c r="B126">
        <v>1940</v>
      </c>
      <c r="C126">
        <v>1967</v>
      </c>
      <c r="D126" cm="1">
        <f t="array" ref="D1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6" s="40" t="str">
        <f>_xlfn.XLOOKUP(PROPERTIES[[#This Row],[VEHIDCODE]],CONTROL[VEHIDCODE],CONTROL[ENGLISH])</f>
        <v>Robert Stephenson 4-6-2 6982-6985</v>
      </c>
      <c r="F126" t="s">
        <v>633</v>
      </c>
      <c r="G126" s="40" t="str">
        <f>_xlfn.XLOOKUP(PROPERTIES[[#This Row],[COUNTRY]],COUNTRIES[COUNTRY_DESCRIPTION],COUNTRIES[COUNTRY_LABEL],"")</f>
        <v>IQ</v>
      </c>
      <c r="H126" t="str" cm="1">
        <f t="array" ref="H1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6" t="s">
        <v>17</v>
      </c>
      <c r="J126">
        <v>0</v>
      </c>
      <c r="K126">
        <v>8</v>
      </c>
      <c r="M126" t="str" cm="1">
        <f t="array" ref="M1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6">
        <f>_xlfn.XLOOKUP("LOADINGSPEEDDEF_"&amp;PROPERTIES[[#This Row],[LOADINGSPEED]],LOADINGSPEEDDEF[TYPE],LOADINGSPEEDDEF[SPEED])</f>
        <v>20</v>
      </c>
      <c r="O126" cm="1">
        <f t="array" ref="O1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6">
        <f>IF(ISNUMBER(SEARCH("passenger",PROPERTIES[[#This Row],[CARGODEF]])),1,0)</f>
        <v>0</v>
      </c>
      <c r="Q126" s="23">
        <v>162</v>
      </c>
      <c r="R126">
        <v>1640</v>
      </c>
      <c r="S126">
        <v>0</v>
      </c>
      <c r="T126">
        <v>0</v>
      </c>
      <c r="U126">
        <v>0</v>
      </c>
      <c r="V126">
        <v>110</v>
      </c>
      <c r="W126">
        <v>0</v>
      </c>
      <c r="X126">
        <v>0</v>
      </c>
      <c r="Y126">
        <v>0</v>
      </c>
      <c r="Z126" s="20">
        <v>0</v>
      </c>
      <c r="AA126" s="19">
        <f>IFERROR(PROPERTIES[[#This Row],[TE_STARTING_KN]]/(PROPERTIES[[#This Row],[WEIGHT]]*9.81),0)</f>
        <v>0</v>
      </c>
      <c r="AB126" s="19">
        <v>0.08</v>
      </c>
      <c r="AC126" s="16">
        <f>ROUND(IF(IFERROR(PROPERTIES[[#This Row],[TE_COEFFICIENT_CALC]],0)=0,PROPERTIES[[#This Row],[TE_COEFFICIENT_MANUAL]],PROPERTIES[[#This Row],[TE_COEFFICIENT_CALC]]),3)</f>
        <v>0.08</v>
      </c>
      <c r="AD126" s="8" cm="1">
        <f t="array" ref="AD1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26" s="26">
        <v>0</v>
      </c>
      <c r="AF126" s="6">
        <v>6</v>
      </c>
      <c r="AG126" t="s">
        <v>238</v>
      </c>
      <c r="AH126" t="s">
        <v>229</v>
      </c>
      <c r="AI126" t="s">
        <v>229</v>
      </c>
      <c r="AJ126" s="2" t="s">
        <v>229</v>
      </c>
      <c r="AK126" s="2" t="s">
        <v>244</v>
      </c>
      <c r="AL12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6" s="2" t="str">
        <f>SUBSTITUTE(SUBSTITUTE(PROPERTIES[[#This Row],[PURCHASECOST_VALUE]], "PURCHASECOST_", ""), "_VALUE", "")</f>
        <v>STEAMENGINE</v>
      </c>
      <c r="AO126" s="44" t="b">
        <v>0</v>
      </c>
      <c r="AP126" s="48" t="b">
        <v>0</v>
      </c>
      <c r="AQ126" s="48" t="b">
        <v>0</v>
      </c>
      <c r="AR126" s="48">
        <v>0</v>
      </c>
      <c r="AS126" s="48" t="b">
        <v>0</v>
      </c>
      <c r="AT126" s="7" t="b">
        <v>0</v>
      </c>
      <c r="AU126" s="40" t="str" cm="1">
        <f t="array" ref="AU126">_xlfn.XLOOKUP(PROPERTIES[[#This Row],[VEHIDCODE]],GRAPHICS_PROPERTIES[VEHIDCODE],GRAPHICS_PROPERTIES[TEMPLATE_ID]&amp;GRAPHICS_PROPERTIES[TEMPLATE_AMENDMENT_CODE])</f>
        <v>TPL_03A</v>
      </c>
    </row>
    <row r="127" spans="1:47" x14ac:dyDescent="0.35">
      <c r="A127" s="2" t="s">
        <v>2767</v>
      </c>
      <c r="B127">
        <v>1924</v>
      </c>
      <c r="D127" cm="1">
        <f t="array" ref="D1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7" s="40" t="str">
        <f>_xlfn.XLOOKUP(PROPERTIES[[#This Row],[VEHIDCODE]],CONTROL[VEHIDCODE],CONTROL[ENGLISH])</f>
        <v>LMS Fowler 3F WD 0-6-0T</v>
      </c>
      <c r="F127" t="s">
        <v>603</v>
      </c>
      <c r="G127" s="40" t="str">
        <f>_xlfn.XLOOKUP(PROPERTIES[[#This Row],[COUNTRY]],COUNTRIES[COUNTRY_DESCRIPTION],COUNTRIES[COUNTRY_LABEL],"")</f>
        <v>GB</v>
      </c>
      <c r="H127" t="str" cm="1">
        <f t="array" ref="H1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7" t="s">
        <v>17</v>
      </c>
      <c r="J127">
        <v>0</v>
      </c>
      <c r="K127">
        <v>6</v>
      </c>
      <c r="L127">
        <v>0</v>
      </c>
      <c r="M127" t="str" cm="1">
        <f t="array" ref="M1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7">
        <f>_xlfn.XLOOKUP("LOADINGSPEEDDEF_"&amp;PROPERTIES[[#This Row],[LOADINGSPEED]],LOADINGSPEEDDEF[TYPE],LOADINGSPEEDDEF[SPEED])</f>
        <v>20</v>
      </c>
      <c r="O127" cm="1">
        <f t="array" ref="O1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7">
        <f>IF(ISNUMBER(SEARCH("passenger",PROPERTIES[[#This Row],[CARGODEF]])),1,0)</f>
        <v>0</v>
      </c>
      <c r="Q127" s="23">
        <v>46</v>
      </c>
      <c r="R127">
        <v>560</v>
      </c>
      <c r="S127">
        <v>0</v>
      </c>
      <c r="T127">
        <v>0</v>
      </c>
      <c r="U127">
        <v>0</v>
      </c>
      <c r="V127">
        <v>65</v>
      </c>
      <c r="W127">
        <v>0</v>
      </c>
      <c r="X127">
        <v>0</v>
      </c>
      <c r="Y127">
        <v>0</v>
      </c>
      <c r="Z127" s="20">
        <v>92.68</v>
      </c>
      <c r="AA127" s="19">
        <f>IFERROR(PROPERTIES[[#This Row],[TE_STARTING_KN]]/(PROPERTIES[[#This Row],[WEIGHT]]*9.81),0)</f>
        <v>0.20538049018304302</v>
      </c>
      <c r="AB127" s="19">
        <v>0</v>
      </c>
      <c r="AC127" s="16">
        <f>ROUND(IF(IFERROR(PROPERTIES[[#This Row],[TE_COEFFICIENT_CALC]],0)=0,PROPERTIES[[#This Row],[TE_COEFFICIENT_MANUAL]],PROPERTIES[[#This Row],[TE_COEFFICIENT_CALC]]),3)</f>
        <v>0.20499999999999999</v>
      </c>
      <c r="AD127" s="8" cm="1">
        <f t="array" ref="AD1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27" s="26">
        <v>0</v>
      </c>
      <c r="AF127" s="6">
        <v>0</v>
      </c>
      <c r="AG127" t="s">
        <v>233</v>
      </c>
      <c r="AH127" t="s">
        <v>1950</v>
      </c>
      <c r="AI127" t="s">
        <v>229</v>
      </c>
      <c r="AJ127" s="2" t="s">
        <v>229</v>
      </c>
      <c r="AK127" s="2" t="s">
        <v>244</v>
      </c>
      <c r="AL12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7" s="2" t="str">
        <f>SUBSTITUTE(SUBSTITUTE(PROPERTIES[[#This Row],[PURCHASECOST_VALUE]], "PURCHASECOST_", ""), "_VALUE", "")</f>
        <v>STEAMENGINE</v>
      </c>
      <c r="AO127" s="44" t="b">
        <v>0</v>
      </c>
      <c r="AP127" s="48" t="b">
        <v>0</v>
      </c>
      <c r="AQ127" s="48" t="b">
        <v>0</v>
      </c>
      <c r="AR127" s="48">
        <v>0</v>
      </c>
      <c r="AS127" s="48" t="b">
        <v>0</v>
      </c>
      <c r="AT127" s="7" t="b">
        <v>0</v>
      </c>
      <c r="AU127" s="40" t="str" cm="1">
        <f t="array" ref="AU127">_xlfn.XLOOKUP(PROPERTIES[[#This Row],[VEHIDCODE]],GRAPHICS_PROPERTIES[VEHIDCODE],GRAPHICS_PROPERTIES[TEMPLATE_ID]&amp;GRAPHICS_PROPERTIES[TEMPLATE_AMENDMENT_CODE])</f>
        <v>TPL_03C</v>
      </c>
    </row>
    <row r="128" spans="1:47" x14ac:dyDescent="0.35">
      <c r="A128" s="2" t="s">
        <v>2768</v>
      </c>
      <c r="B128">
        <v>1949</v>
      </c>
      <c r="C128">
        <v>1963</v>
      </c>
      <c r="D128" cm="1">
        <f t="array" ref="D1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8" s="40" t="str">
        <f>_xlfn.XLOOKUP(PROPERTIES[[#This Row],[VEHIDCODE]],CONTROL[VEHIDCODE],CONTROL[ENGLISH])</f>
        <v>Swindon Works 381</v>
      </c>
      <c r="F128" t="s">
        <v>603</v>
      </c>
      <c r="G128" s="40" t="str">
        <f>_xlfn.XLOOKUP(PROPERTIES[[#This Row],[COUNTRY]],COUNTRIES[COUNTRY_DESCRIPTION],COUNTRIES[COUNTRY_LABEL],"")</f>
        <v>GB</v>
      </c>
      <c r="H128" t="str" cm="1">
        <f t="array" ref="H1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8" t="s">
        <v>17</v>
      </c>
      <c r="J128">
        <v>0</v>
      </c>
      <c r="K128">
        <v>6</v>
      </c>
      <c r="L128">
        <v>0</v>
      </c>
      <c r="M128" t="str" cm="1">
        <f t="array" ref="M1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8">
        <f>_xlfn.XLOOKUP("LOADINGSPEEDDEF_"&amp;PROPERTIES[[#This Row],[LOADINGSPEED]],LOADINGSPEEDDEF[TYPE],LOADINGSPEEDDEF[SPEED])</f>
        <v>20</v>
      </c>
      <c r="O128" cm="1">
        <f t="array" ref="O1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8">
        <f>IF(ISNUMBER(SEARCH("passenger",PROPERTIES[[#This Row],[CARGODEF]])),1,0)</f>
        <v>0</v>
      </c>
      <c r="Q128" s="23">
        <v>41.6</v>
      </c>
      <c r="R128">
        <v>500</v>
      </c>
      <c r="S128">
        <v>0</v>
      </c>
      <c r="T128">
        <v>0</v>
      </c>
      <c r="U128">
        <v>0</v>
      </c>
      <c r="V128">
        <v>65</v>
      </c>
      <c r="W128">
        <v>0</v>
      </c>
      <c r="X128">
        <v>0</v>
      </c>
      <c r="Y128">
        <v>0</v>
      </c>
      <c r="Z128" s="20">
        <v>82.36</v>
      </c>
      <c r="AA128" s="19">
        <f>IFERROR(PROPERTIES[[#This Row],[TE_STARTING_KN]]/(PROPERTIES[[#This Row],[WEIGHT]]*9.81),0)</f>
        <v>0.20181525915470866</v>
      </c>
      <c r="AB128" s="19">
        <v>0</v>
      </c>
      <c r="AC128" s="16">
        <f>ROUND(IF(IFERROR(PROPERTIES[[#This Row],[TE_COEFFICIENT_CALC]],0)=0,PROPERTIES[[#This Row],[TE_COEFFICIENT_MANUAL]],PROPERTIES[[#This Row],[TE_COEFFICIENT_CALC]]),3)</f>
        <v>0.20200000000000001</v>
      </c>
      <c r="AD128" s="8" cm="1">
        <f t="array" ref="AD1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28" s="26">
        <v>0</v>
      </c>
      <c r="AF128" s="6">
        <v>0</v>
      </c>
      <c r="AG128" t="s">
        <v>234</v>
      </c>
      <c r="AH128" t="s">
        <v>229</v>
      </c>
      <c r="AI128" t="s">
        <v>229</v>
      </c>
      <c r="AJ128" s="2" t="s">
        <v>229</v>
      </c>
      <c r="AK128" s="2" t="s">
        <v>244</v>
      </c>
      <c r="AL12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8" s="2" t="str">
        <f>SUBSTITUTE(SUBSTITUTE(PROPERTIES[[#This Row],[PURCHASECOST_VALUE]], "PURCHASECOST_", ""), "_VALUE", "")</f>
        <v>STEAMENGINE</v>
      </c>
      <c r="AO128" s="44" t="b">
        <v>0</v>
      </c>
      <c r="AP128" s="48" t="b">
        <v>0</v>
      </c>
      <c r="AQ128" s="48" t="b">
        <v>0</v>
      </c>
      <c r="AR128" s="48">
        <v>0</v>
      </c>
      <c r="AS128" s="48" t="b">
        <v>0</v>
      </c>
      <c r="AT128" s="7" t="b">
        <v>0</v>
      </c>
      <c r="AU128" s="40" t="str" cm="1">
        <f t="array" ref="AU128">_xlfn.XLOOKUP(PROPERTIES[[#This Row],[VEHIDCODE]],GRAPHICS_PROPERTIES[VEHIDCODE],GRAPHICS_PROPERTIES[TEMPLATE_ID]&amp;GRAPHICS_PROPERTIES[TEMPLATE_AMENDMENT_CODE])</f>
        <v>TPL_03C</v>
      </c>
    </row>
    <row r="129" spans="1:47" x14ac:dyDescent="0.35">
      <c r="A129" s="2" t="s">
        <v>2769</v>
      </c>
      <c r="B129">
        <v>1951</v>
      </c>
      <c r="C129">
        <v>1956</v>
      </c>
      <c r="D129" cm="1">
        <f t="array" ref="D1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9" s="40" t="str">
        <f>_xlfn.XLOOKUP(PROPERTIES[[#This Row],[VEHIDCODE]],CONTROL[VEHIDCODE],CONTROL[ENGLISH])</f>
        <v>North British LC R 4-6-4 Hudson</v>
      </c>
      <c r="F129" t="s">
        <v>541</v>
      </c>
      <c r="G129" s="40" t="str">
        <f>_xlfn.XLOOKUP(PROPERTIES[[#This Row],[COUNTRY]],COUNTRIES[COUNTRY_DESCRIPTION],COUNTRIES[COUNTRY_LABEL],"")</f>
        <v>AU</v>
      </c>
      <c r="H129" t="str" cm="1">
        <f t="array" ref="H1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9" t="s">
        <v>17</v>
      </c>
      <c r="J129">
        <v>0</v>
      </c>
      <c r="K129">
        <v>8</v>
      </c>
      <c r="M129" t="str" cm="1">
        <f t="array" ref="M1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9">
        <f>_xlfn.XLOOKUP("LOADINGSPEEDDEF_"&amp;PROPERTIES[[#This Row],[LOADINGSPEED]],LOADINGSPEEDDEF[TYPE],LOADINGSPEEDDEF[SPEED])</f>
        <v>20</v>
      </c>
      <c r="O129" cm="1">
        <f t="array" ref="O1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9">
        <f>IF(ISNUMBER(SEARCH("passenger",PROPERTIES[[#This Row],[CARGODEF]])),1,0)</f>
        <v>0</v>
      </c>
      <c r="Q129" s="23">
        <v>188.3</v>
      </c>
      <c r="R129">
        <v>2400</v>
      </c>
      <c r="S129">
        <v>0</v>
      </c>
      <c r="T129">
        <v>0</v>
      </c>
      <c r="U129">
        <v>0</v>
      </c>
      <c r="V129">
        <v>115</v>
      </c>
      <c r="W129">
        <v>0</v>
      </c>
      <c r="X129">
        <v>0</v>
      </c>
      <c r="Y129">
        <v>0</v>
      </c>
      <c r="Z129" s="20">
        <v>142.69999999999999</v>
      </c>
      <c r="AA129" s="19">
        <f>IFERROR(PROPERTIES[[#This Row],[TE_STARTING_KN]]/(PROPERTIES[[#This Row],[WEIGHT]]*9.81),0)</f>
        <v>7.7251095292771896E-2</v>
      </c>
      <c r="AB129" s="19">
        <v>0</v>
      </c>
      <c r="AC129" s="16">
        <f>ROUND(IF(IFERROR(PROPERTIES[[#This Row],[TE_COEFFICIENT_CALC]],0)=0,PROPERTIES[[#This Row],[TE_COEFFICIENT_MANUAL]],PROPERTIES[[#This Row],[TE_COEFFICIENT_CALC]]),3)</f>
        <v>7.6999999999999999E-2</v>
      </c>
      <c r="AD129" s="8" cm="1">
        <f t="array" ref="AD1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29" s="26">
        <v>0</v>
      </c>
      <c r="AF129" s="6">
        <v>5</v>
      </c>
      <c r="AG129" t="s">
        <v>232</v>
      </c>
      <c r="AH129" t="s">
        <v>229</v>
      </c>
      <c r="AI129" t="s">
        <v>229</v>
      </c>
      <c r="AJ129" s="2" t="s">
        <v>229</v>
      </c>
      <c r="AK129" s="2" t="s">
        <v>244</v>
      </c>
      <c r="AL12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9" s="2" t="str">
        <f>SUBSTITUTE(SUBSTITUTE(PROPERTIES[[#This Row],[PURCHASECOST_VALUE]], "PURCHASECOST_", ""), "_VALUE", "")</f>
        <v>STEAMENGINE</v>
      </c>
      <c r="AO129" s="44" t="b">
        <v>0</v>
      </c>
      <c r="AP129" s="48" t="b">
        <v>0</v>
      </c>
      <c r="AQ129" s="48" t="b">
        <v>0</v>
      </c>
      <c r="AR129" s="48">
        <v>0</v>
      </c>
      <c r="AS129" s="48" t="b">
        <v>0</v>
      </c>
      <c r="AT129" s="7" t="b">
        <v>0</v>
      </c>
      <c r="AU129" s="40" t="str" cm="1">
        <f t="array" ref="AU129">_xlfn.XLOOKUP(PROPERTIES[[#This Row],[VEHIDCODE]],GRAPHICS_PROPERTIES[VEHIDCODE],GRAPHICS_PROPERTIES[TEMPLATE_ID]&amp;GRAPHICS_PROPERTIES[TEMPLATE_AMENDMENT_CODE])</f>
        <v>TPL_03A</v>
      </c>
    </row>
    <row r="130" spans="1:47" x14ac:dyDescent="0.35">
      <c r="A130" s="2" t="s">
        <v>2770</v>
      </c>
      <c r="B130">
        <v>1952</v>
      </c>
      <c r="C130">
        <v>1976</v>
      </c>
      <c r="D130" cm="1">
        <f t="array" ref="D1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0" s="40" t="str">
        <f>_xlfn.XLOOKUP(PROPERTIES[[#This Row],[VEHIDCODE]],CONTROL[VEHIDCODE],CONTROL[ENGLISH])</f>
        <v>VEB 2-10-2T 99.77-79</v>
      </c>
      <c r="F130" t="s">
        <v>584</v>
      </c>
      <c r="G130" s="40" t="str">
        <f>_xlfn.XLOOKUP(PROPERTIES[[#This Row],[COUNTRY]],COUNTRIES[COUNTRY_DESCRIPTION],COUNTRIES[COUNTRY_LABEL],"")</f>
        <v>DE</v>
      </c>
      <c r="H130" t="str" cm="1">
        <f t="array" ref="H1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0" t="s">
        <v>17</v>
      </c>
      <c r="J130">
        <v>0</v>
      </c>
      <c r="K130">
        <v>7</v>
      </c>
      <c r="L130">
        <v>0</v>
      </c>
      <c r="M130" t="str" cm="1">
        <f t="array" ref="M1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0">
        <f>_xlfn.XLOOKUP("LOADINGSPEEDDEF_"&amp;PROPERTIES[[#This Row],[LOADINGSPEED]],LOADINGSPEEDDEF[TYPE],LOADINGSPEEDDEF[SPEED])</f>
        <v>20</v>
      </c>
      <c r="O130" cm="1">
        <f t="array" ref="O1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0">
        <f>IF(ISNUMBER(SEARCH("passenger",PROPERTIES[[#This Row],[CARGODEF]])),1,0)</f>
        <v>0</v>
      </c>
      <c r="Q130" s="23">
        <v>55</v>
      </c>
      <c r="R130">
        <v>592</v>
      </c>
      <c r="S130">
        <v>0</v>
      </c>
      <c r="T130">
        <v>0</v>
      </c>
      <c r="U130">
        <v>0</v>
      </c>
      <c r="V130">
        <v>30</v>
      </c>
      <c r="W130">
        <v>0</v>
      </c>
      <c r="X130">
        <v>0</v>
      </c>
      <c r="Y130">
        <v>0</v>
      </c>
      <c r="Z130" s="20">
        <v>83.35</v>
      </c>
      <c r="AA130" s="19">
        <f>IFERROR(PROPERTIES[[#This Row],[TE_STARTING_KN]]/(PROPERTIES[[#This Row],[WEIGHT]]*9.81),0)</f>
        <v>0.15448058567324618</v>
      </c>
      <c r="AB130" s="19">
        <v>0</v>
      </c>
      <c r="AC130" s="16">
        <f>ROUND(IF(IFERROR(PROPERTIES[[#This Row],[TE_COEFFICIENT_CALC]],0)=0,PROPERTIES[[#This Row],[TE_COEFFICIENT_MANUAL]],PROPERTIES[[#This Row],[TE_COEFFICIENT_CALC]]),3)</f>
        <v>0.154</v>
      </c>
      <c r="AD130" s="8" cm="1">
        <f t="array" ref="AD1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30" s="26">
        <v>0</v>
      </c>
      <c r="AF130" s="6">
        <v>0</v>
      </c>
      <c r="AG130" t="s">
        <v>230</v>
      </c>
      <c r="AH130" t="s">
        <v>229</v>
      </c>
      <c r="AI130" t="s">
        <v>229</v>
      </c>
      <c r="AJ130" s="2" t="s">
        <v>229</v>
      </c>
      <c r="AK130" s="2" t="s">
        <v>244</v>
      </c>
      <c r="AL13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0" s="2" t="str">
        <f>SUBSTITUTE(SUBSTITUTE(PROPERTIES[[#This Row],[PURCHASECOST_VALUE]], "PURCHASECOST_", ""), "_VALUE", "")</f>
        <v>STEAMENGINE</v>
      </c>
      <c r="AO130" s="44" t="b">
        <v>0</v>
      </c>
      <c r="AP130" s="48" t="b">
        <v>0</v>
      </c>
      <c r="AQ130" s="48" t="b">
        <v>0</v>
      </c>
      <c r="AR130" s="48">
        <v>0</v>
      </c>
      <c r="AS130" s="48" t="b">
        <v>0</v>
      </c>
      <c r="AT130" s="7" t="b">
        <v>0</v>
      </c>
      <c r="AU130" s="40" t="str" cm="1">
        <f t="array" ref="AU130">_xlfn.XLOOKUP(PROPERTIES[[#This Row],[VEHIDCODE]],GRAPHICS_PROPERTIES[VEHIDCODE],GRAPHICS_PROPERTIES[TEMPLATE_ID]&amp;GRAPHICS_PROPERTIES[TEMPLATE_AMENDMENT_CODE])</f>
        <v>TPL_03C</v>
      </c>
    </row>
    <row r="131" spans="1:47" x14ac:dyDescent="0.35">
      <c r="A131" s="2" t="s">
        <v>2771</v>
      </c>
      <c r="B131">
        <v>1961</v>
      </c>
      <c r="C131">
        <v>1967</v>
      </c>
      <c r="D131" cm="1">
        <f t="array" ref="D1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1" s="40" t="str">
        <f>_xlfn.XLOOKUP(PROPERTIES[[#This Row],[VEHIDCODE]],CONTROL[VEHIDCODE],CONTROL[ENGLISH])</f>
        <v xml:space="preserve">RAW Meiningen 4-6-2 89 </v>
      </c>
      <c r="F131" t="s">
        <v>584</v>
      </c>
      <c r="G131" s="40" t="str">
        <f>_xlfn.XLOOKUP(PROPERTIES[[#This Row],[COUNTRY]],COUNTRIES[COUNTRY_DESCRIPTION],COUNTRIES[COUNTRY_LABEL],"")</f>
        <v>DE</v>
      </c>
      <c r="H131" t="str" cm="1">
        <f t="array" ref="H1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1" t="s">
        <v>17</v>
      </c>
      <c r="J131">
        <v>0</v>
      </c>
      <c r="K131">
        <v>8</v>
      </c>
      <c r="M131" t="str" cm="1">
        <f t="array" ref="M1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1">
        <f>_xlfn.XLOOKUP("LOADINGSPEEDDEF_"&amp;PROPERTIES[[#This Row],[LOADINGSPEED]],LOADINGSPEEDDEF[TYPE],LOADINGSPEEDDEF[SPEED])</f>
        <v>20</v>
      </c>
      <c r="O131" cm="1">
        <f t="array" ref="O1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1">
        <f>IF(ISNUMBER(SEARCH("passenger",PROPERTIES[[#This Row],[CARGODEF]])),1,0)</f>
        <v>0</v>
      </c>
      <c r="Q131" s="23">
        <v>172</v>
      </c>
      <c r="R131">
        <v>2120</v>
      </c>
      <c r="S131">
        <v>0</v>
      </c>
      <c r="T131">
        <v>0</v>
      </c>
      <c r="U131">
        <v>0</v>
      </c>
      <c r="V131">
        <v>182</v>
      </c>
      <c r="W131">
        <v>0</v>
      </c>
      <c r="X131">
        <v>0</v>
      </c>
      <c r="Y131">
        <v>0</v>
      </c>
      <c r="Z131" s="20">
        <v>0</v>
      </c>
      <c r="AA131" s="19">
        <f>IFERROR(PROPERTIES[[#This Row],[TE_STARTING_KN]]/(PROPERTIES[[#This Row],[WEIGHT]]*9.81),0)</f>
        <v>0</v>
      </c>
      <c r="AB131" s="19">
        <v>0.06</v>
      </c>
      <c r="AC131" s="16">
        <f>ROUND(IF(IFERROR(PROPERTIES[[#This Row],[TE_COEFFICIENT_CALC]],0)=0,PROPERTIES[[#This Row],[TE_COEFFICIENT_MANUAL]],PROPERTIES[[#This Row],[TE_COEFFICIENT_CALC]]),3)</f>
        <v>0.06</v>
      </c>
      <c r="AD131" s="8" cm="1">
        <f t="array" ref="AD1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31" s="26">
        <v>0</v>
      </c>
      <c r="AF131" s="6">
        <v>6</v>
      </c>
      <c r="AG131" t="s">
        <v>230</v>
      </c>
      <c r="AH131" t="s">
        <v>229</v>
      </c>
      <c r="AI131" t="s">
        <v>229</v>
      </c>
      <c r="AJ131" s="2" t="s">
        <v>229</v>
      </c>
      <c r="AK131" s="2" t="s">
        <v>244</v>
      </c>
      <c r="AL13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1" s="2" t="str">
        <f>SUBSTITUTE(SUBSTITUTE(PROPERTIES[[#This Row],[PURCHASECOST_VALUE]], "PURCHASECOST_", ""), "_VALUE", "")</f>
        <v>STEAMENGINE</v>
      </c>
      <c r="AO131" s="44" t="b">
        <v>0</v>
      </c>
      <c r="AP131" s="48" t="b">
        <v>0</v>
      </c>
      <c r="AQ131" s="48" t="b">
        <v>0</v>
      </c>
      <c r="AR131" s="48">
        <v>0</v>
      </c>
      <c r="AS131" s="48" t="b">
        <v>0</v>
      </c>
      <c r="AT131" s="7" t="b">
        <v>0</v>
      </c>
      <c r="AU131" s="40" t="str" cm="1">
        <f t="array" ref="AU131">_xlfn.XLOOKUP(PROPERTIES[[#This Row],[VEHIDCODE]],GRAPHICS_PROPERTIES[VEHIDCODE],GRAPHICS_PROPERTIES[TEMPLATE_ID]&amp;GRAPHICS_PROPERTIES[TEMPLATE_AMENDMENT_CODE])</f>
        <v>TPL_03A</v>
      </c>
    </row>
    <row r="132" spans="1:47" x14ac:dyDescent="0.35">
      <c r="A132" s="2" t="s">
        <v>2772</v>
      </c>
      <c r="B132">
        <v>1923</v>
      </c>
      <c r="C132">
        <v>1969</v>
      </c>
      <c r="D132" cm="1">
        <f t="array" ref="D1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2" s="40" t="str">
        <f>_xlfn.XLOOKUP(PROPERTIES[[#This Row],[VEHIDCODE]],CONTROL[VEHIDCODE],CONTROL[ENGLISH])</f>
        <v>NZR 4-6-4T 'WAB'</v>
      </c>
      <c r="F132" t="s">
        <v>697</v>
      </c>
      <c r="G132" s="40" t="str">
        <f>_xlfn.XLOOKUP(PROPERTIES[[#This Row],[COUNTRY]],COUNTRIES[COUNTRY_DESCRIPTION],COUNTRIES[COUNTRY_LABEL],"")</f>
        <v>NZ</v>
      </c>
      <c r="H132" t="str" cm="1">
        <f t="array" ref="H1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2" t="s">
        <v>17</v>
      </c>
      <c r="J132">
        <v>0</v>
      </c>
      <c r="K132">
        <v>6</v>
      </c>
      <c r="L132">
        <v>0</v>
      </c>
      <c r="M132" t="str" cm="1">
        <f t="array" ref="M1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2">
        <f>_xlfn.XLOOKUP("LOADINGSPEEDDEF_"&amp;PROPERTIES[[#This Row],[LOADINGSPEED]],LOADINGSPEEDDEF[TYPE],LOADINGSPEEDDEF[SPEED])</f>
        <v>20</v>
      </c>
      <c r="O132" cm="1">
        <f t="array" ref="O1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2">
        <f>IF(ISNUMBER(SEARCH("passenger",PROPERTIES[[#This Row],[CARGODEF]])),1,0)</f>
        <v>0</v>
      </c>
      <c r="Q132" s="23">
        <v>74</v>
      </c>
      <c r="R132">
        <v>1000</v>
      </c>
      <c r="S132">
        <v>0</v>
      </c>
      <c r="T132">
        <v>0</v>
      </c>
      <c r="U132">
        <v>0</v>
      </c>
      <c r="V132">
        <v>97</v>
      </c>
      <c r="W132">
        <v>0</v>
      </c>
      <c r="X132">
        <v>0</v>
      </c>
      <c r="Y132">
        <v>0</v>
      </c>
      <c r="Z132" s="20">
        <v>99</v>
      </c>
      <c r="AA132" s="19">
        <f>IFERROR(PROPERTIES[[#This Row],[TE_STARTING_KN]]/(PROPERTIES[[#This Row],[WEIGHT]]*9.81),0)</f>
        <v>0.13637490701710883</v>
      </c>
      <c r="AB132" s="19">
        <v>0</v>
      </c>
      <c r="AC132" s="16">
        <f>ROUND(IF(IFERROR(PROPERTIES[[#This Row],[TE_COEFFICIENT_CALC]],0)=0,PROPERTIES[[#This Row],[TE_COEFFICIENT_MANUAL]],PROPERTIES[[#This Row],[TE_COEFFICIENT_CALC]]),3)</f>
        <v>0.13600000000000001</v>
      </c>
      <c r="AD132" s="8" cm="1">
        <f t="array" ref="AD1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132" s="26">
        <v>0</v>
      </c>
      <c r="AF132" s="6">
        <v>0</v>
      </c>
      <c r="AG132" t="s">
        <v>232</v>
      </c>
      <c r="AH132" t="s">
        <v>229</v>
      </c>
      <c r="AI132" t="s">
        <v>229</v>
      </c>
      <c r="AJ132" s="2" t="s">
        <v>229</v>
      </c>
      <c r="AK132" s="2" t="s">
        <v>244</v>
      </c>
      <c r="AL13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2" s="2" t="str">
        <f>SUBSTITUTE(SUBSTITUTE(PROPERTIES[[#This Row],[PURCHASECOST_VALUE]], "PURCHASECOST_", ""), "_VALUE", "")</f>
        <v>STEAMENGINE</v>
      </c>
      <c r="AO132" s="44" t="b">
        <v>0</v>
      </c>
      <c r="AP132" s="48" t="b">
        <v>0</v>
      </c>
      <c r="AQ132" s="48" t="b">
        <v>0</v>
      </c>
      <c r="AR132" s="48">
        <v>0</v>
      </c>
      <c r="AS132" s="48" t="b">
        <v>0</v>
      </c>
      <c r="AT132" s="7" t="b">
        <v>0</v>
      </c>
      <c r="AU132" s="40" t="str" cm="1">
        <f t="array" ref="AU132">_xlfn.XLOOKUP(PROPERTIES[[#This Row],[VEHIDCODE]],GRAPHICS_PROPERTIES[VEHIDCODE],GRAPHICS_PROPERTIES[TEMPLATE_ID]&amp;GRAPHICS_PROPERTIES[TEMPLATE_AMENDMENT_CODE])</f>
        <v>TPL_03C</v>
      </c>
    </row>
    <row r="133" spans="1:47" x14ac:dyDescent="0.35">
      <c r="A133" s="2" t="s">
        <v>2773</v>
      </c>
      <c r="B133">
        <v>1929</v>
      </c>
      <c r="C133">
        <v>1957</v>
      </c>
      <c r="D133" cm="1">
        <f t="array" ref="D1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3" s="40" t="str">
        <f>_xlfn.XLOOKUP(PROPERTIES[[#This Row],[VEHIDCODE]],CONTROL[VEHIDCODE],CONTROL[ENGLISH])</f>
        <v>Clyde 4-8-2 'D57'</v>
      </c>
      <c r="F133" t="s">
        <v>541</v>
      </c>
      <c r="G133" s="40" t="str">
        <f>_xlfn.XLOOKUP(PROPERTIES[[#This Row],[COUNTRY]],COUNTRIES[COUNTRY_DESCRIPTION],COUNTRIES[COUNTRY_LABEL],"")</f>
        <v>AU</v>
      </c>
      <c r="H133" t="str" cm="1">
        <f t="array" ref="H1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3" t="s">
        <v>17</v>
      </c>
      <c r="J133">
        <v>0</v>
      </c>
      <c r="K133">
        <v>8</v>
      </c>
      <c r="M133" t="str" cm="1">
        <f t="array" ref="M1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3">
        <f>_xlfn.XLOOKUP("LOADINGSPEEDDEF_"&amp;PROPERTIES[[#This Row],[LOADINGSPEED]],LOADINGSPEEDDEF[TYPE],LOADINGSPEEDDEF[SPEED])</f>
        <v>20</v>
      </c>
      <c r="O133" cm="1">
        <f t="array" ref="O1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3">
        <f>IF(ISNUMBER(SEARCH("passenger",PROPERTIES[[#This Row],[CARGODEF]])),1,0)</f>
        <v>0</v>
      </c>
      <c r="Q133" s="23">
        <v>231</v>
      </c>
      <c r="R133">
        <v>2800</v>
      </c>
      <c r="S133">
        <v>0</v>
      </c>
      <c r="T133">
        <v>0</v>
      </c>
      <c r="U133">
        <v>0</v>
      </c>
      <c r="V133">
        <v>80</v>
      </c>
      <c r="W133">
        <v>0</v>
      </c>
      <c r="X133">
        <v>0</v>
      </c>
      <c r="Y133">
        <v>0</v>
      </c>
      <c r="Z133" s="20">
        <v>289.10000000000002</v>
      </c>
      <c r="AA133" s="19">
        <f>IFERROR(PROPERTIES[[#This Row],[TE_STARTING_KN]]/(PROPERTIES[[#This Row],[WEIGHT]]*9.81),0)</f>
        <v>0.12757544867636611</v>
      </c>
      <c r="AB133" s="19">
        <v>0</v>
      </c>
      <c r="AC133" s="16">
        <f>ROUND(IF(IFERROR(PROPERTIES[[#This Row],[TE_COEFFICIENT_CALC]],0)=0,PROPERTIES[[#This Row],[TE_COEFFICIENT_MANUAL]],PROPERTIES[[#This Row],[TE_COEFFICIENT_CALC]]),3)</f>
        <v>0.128</v>
      </c>
      <c r="AD133" s="8" cm="1">
        <f t="array" ref="AD1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33" s="26">
        <v>0</v>
      </c>
      <c r="AF133" s="6">
        <v>5</v>
      </c>
      <c r="AG133" t="s">
        <v>232</v>
      </c>
      <c r="AH133" t="s">
        <v>229</v>
      </c>
      <c r="AI133" t="s">
        <v>229</v>
      </c>
      <c r="AJ133" s="2" t="s">
        <v>229</v>
      </c>
      <c r="AK133" s="2" t="s">
        <v>244</v>
      </c>
      <c r="AL13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3" s="2" t="str">
        <f>SUBSTITUTE(SUBSTITUTE(PROPERTIES[[#This Row],[PURCHASECOST_VALUE]], "PURCHASECOST_", ""), "_VALUE", "")</f>
        <v>STEAMENGINE</v>
      </c>
      <c r="AO133" s="44" t="b">
        <v>0</v>
      </c>
      <c r="AP133" s="48" t="b">
        <v>0</v>
      </c>
      <c r="AQ133" s="48" t="b">
        <v>0</v>
      </c>
      <c r="AR133" s="48">
        <v>0</v>
      </c>
      <c r="AS133" s="48" t="b">
        <v>0</v>
      </c>
      <c r="AT133" s="7" t="b">
        <v>0</v>
      </c>
      <c r="AU133" s="40" t="str" cm="1">
        <f t="array" ref="AU133">_xlfn.XLOOKUP(PROPERTIES[[#This Row],[VEHIDCODE]],GRAPHICS_PROPERTIES[VEHIDCODE],GRAPHICS_PROPERTIES[TEMPLATE_ID]&amp;GRAPHICS_PROPERTIES[TEMPLATE_AMENDMENT_CODE])</f>
        <v>TPL_03A</v>
      </c>
    </row>
    <row r="134" spans="1:47" x14ac:dyDescent="0.35">
      <c r="A134" s="2" t="s">
        <v>2774</v>
      </c>
      <c r="B134">
        <v>1943</v>
      </c>
      <c r="C134">
        <v>1961</v>
      </c>
      <c r="D134" cm="1">
        <f t="array" ref="D1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4" s="40" t="str">
        <f>_xlfn.XLOOKUP(PROPERTIES[[#This Row],[VEHIDCODE]],CONTROL[VEHIDCODE],CONTROL[ENGLISH])</f>
        <v>Islington Railway Workshops 81-92 520</v>
      </c>
      <c r="F134" t="s">
        <v>541</v>
      </c>
      <c r="G134" s="40" t="str">
        <f>_xlfn.XLOOKUP(PROPERTIES[[#This Row],[COUNTRY]],COUNTRIES[COUNTRY_DESCRIPTION],COUNTRIES[COUNTRY_LABEL],"")</f>
        <v>AU</v>
      </c>
      <c r="H134" t="str" cm="1">
        <f t="array" ref="H1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4" t="s">
        <v>17</v>
      </c>
      <c r="J134">
        <v>0</v>
      </c>
      <c r="K134">
        <v>8</v>
      </c>
      <c r="M134" t="str" cm="1">
        <f t="array" ref="M1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4">
        <f>_xlfn.XLOOKUP("LOADINGSPEEDDEF_"&amp;PROPERTIES[[#This Row],[LOADINGSPEED]],LOADINGSPEEDDEF[TYPE],LOADINGSPEEDDEF[SPEED])</f>
        <v>20</v>
      </c>
      <c r="O134" cm="1">
        <f t="array" ref="O1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4">
        <f>IF(ISNUMBER(SEARCH("passenger",PROPERTIES[[#This Row],[CARGODEF]])),1,0)</f>
        <v>0</v>
      </c>
      <c r="Q134" s="23">
        <v>200</v>
      </c>
      <c r="R134">
        <v>2600</v>
      </c>
      <c r="S134">
        <v>0</v>
      </c>
      <c r="T134">
        <v>0</v>
      </c>
      <c r="U134">
        <v>0</v>
      </c>
      <c r="V134">
        <v>112</v>
      </c>
      <c r="W134">
        <v>0</v>
      </c>
      <c r="X134">
        <v>0</v>
      </c>
      <c r="Y134">
        <v>0</v>
      </c>
      <c r="Z134" s="20">
        <v>145</v>
      </c>
      <c r="AA134" s="19">
        <f>IFERROR(PROPERTIES[[#This Row],[TE_STARTING_KN]]/(PROPERTIES[[#This Row],[WEIGHT]]*9.81),0)</f>
        <v>7.3904179408766563E-2</v>
      </c>
      <c r="AB134" s="19">
        <v>0</v>
      </c>
      <c r="AC134" s="16">
        <f>ROUND(IF(IFERROR(PROPERTIES[[#This Row],[TE_COEFFICIENT_CALC]],0)=0,PROPERTIES[[#This Row],[TE_COEFFICIENT_MANUAL]],PROPERTIES[[#This Row],[TE_COEFFICIENT_CALC]]),3)</f>
        <v>7.3999999999999996E-2</v>
      </c>
      <c r="AD134" s="8" cm="1">
        <f t="array" ref="AD1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34" s="26">
        <v>0</v>
      </c>
      <c r="AF134" s="6">
        <v>5</v>
      </c>
      <c r="AG134" t="s">
        <v>232</v>
      </c>
      <c r="AH134" t="s">
        <v>229</v>
      </c>
      <c r="AI134" t="s">
        <v>229</v>
      </c>
      <c r="AJ134" s="2" t="s">
        <v>229</v>
      </c>
      <c r="AK134" s="2" t="s">
        <v>244</v>
      </c>
      <c r="AL13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4" s="2" t="str">
        <f>SUBSTITUTE(SUBSTITUTE(PROPERTIES[[#This Row],[PURCHASECOST_VALUE]], "PURCHASECOST_", ""), "_VALUE", "")</f>
        <v>STEAMENGINE</v>
      </c>
      <c r="AO134" s="44" t="b">
        <v>0</v>
      </c>
      <c r="AP134" s="48" t="b">
        <v>0</v>
      </c>
      <c r="AQ134" s="48" t="b">
        <v>0</v>
      </c>
      <c r="AR134" s="48">
        <v>0</v>
      </c>
      <c r="AS134" s="48" t="b">
        <v>0</v>
      </c>
      <c r="AT134" s="7" t="b">
        <v>0</v>
      </c>
      <c r="AU134" s="40" t="str" cm="1">
        <f t="array" ref="AU134">_xlfn.XLOOKUP(PROPERTIES[[#This Row],[VEHIDCODE]],GRAPHICS_PROPERTIES[VEHIDCODE],GRAPHICS_PROPERTIES[TEMPLATE_ID]&amp;GRAPHICS_PROPERTIES[TEMPLATE_AMENDMENT_CODE])</f>
        <v>TPL_03A</v>
      </c>
    </row>
    <row r="135" spans="1:47" x14ac:dyDescent="0.35">
      <c r="A135" s="2" t="s">
        <v>2775</v>
      </c>
      <c r="B135">
        <v>1952</v>
      </c>
      <c r="C135">
        <v>1969</v>
      </c>
      <c r="D135" cm="1">
        <f t="array" ref="D1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5" s="40" t="str">
        <f>_xlfn.XLOOKUP(PROPERTIES[[#This Row],[VEHIDCODE]],CONTROL[VEHIDCODE],CONTROL[ENGLISH])</f>
        <v>Beyer, P &amp; Co. 4-8-4+4-8-4 7473-7497</v>
      </c>
      <c r="F135" t="s">
        <v>541</v>
      </c>
      <c r="G135" s="40" t="str">
        <f>_xlfn.XLOOKUP(PROPERTIES[[#This Row],[COUNTRY]],COUNTRIES[COUNTRY_DESCRIPTION],COUNTRIES[COUNTRY_LABEL],"")</f>
        <v>AU</v>
      </c>
      <c r="H135" t="str" cm="1">
        <f t="array" ref="H1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5" t="s">
        <v>17</v>
      </c>
      <c r="J135">
        <v>0</v>
      </c>
      <c r="K135">
        <v>4</v>
      </c>
      <c r="L135">
        <v>4</v>
      </c>
      <c r="M135" t="str" cm="1">
        <f t="array" ref="M1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5">
        <f>_xlfn.XLOOKUP("LOADINGSPEEDDEF_"&amp;PROPERTIES[[#This Row],[LOADINGSPEED]],LOADINGSPEEDDEF[TYPE],LOADINGSPEEDDEF[SPEED])</f>
        <v>20</v>
      </c>
      <c r="O135" cm="1">
        <f t="array" ref="O1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5">
        <f>IF(ISNUMBER(SEARCH("passenger",PROPERTIES[[#This Row],[CARGODEF]])),1,0)</f>
        <v>0</v>
      </c>
      <c r="Q135" s="23">
        <v>259</v>
      </c>
      <c r="R135">
        <v>3500</v>
      </c>
      <c r="S135">
        <v>0</v>
      </c>
      <c r="T135">
        <v>0</v>
      </c>
      <c r="U135">
        <v>0</v>
      </c>
      <c r="V135">
        <v>95</v>
      </c>
      <c r="W135">
        <v>0</v>
      </c>
      <c r="X135">
        <v>0</v>
      </c>
      <c r="Y135">
        <v>0</v>
      </c>
      <c r="Z135" s="20">
        <f>264.9*2</f>
        <v>529.79999999999995</v>
      </c>
      <c r="AA135" s="19">
        <f>IFERROR(PROPERTIES[[#This Row],[TE_STARTING_KN]]/(PROPERTIES[[#This Row],[WEIGHT]]*9.81),0)</f>
        <v>0.20851782319672227</v>
      </c>
      <c r="AB135" s="19">
        <v>0</v>
      </c>
      <c r="AC135" s="16">
        <f>ROUND(IF(IFERROR(PROPERTIES[[#This Row],[TE_COEFFICIENT_CALC]],0)=0,PROPERTIES[[#This Row],[TE_COEFFICIENT_MANUAL]],PROPERTIES[[#This Row],[TE_COEFFICIENT_CALC]]),3)</f>
        <v>0.20899999999999999</v>
      </c>
      <c r="AD135" s="8" cm="1">
        <f t="array" ref="AD1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35" s="26">
        <v>0</v>
      </c>
      <c r="AF135" s="6">
        <v>4</v>
      </c>
      <c r="AG135" t="s">
        <v>232</v>
      </c>
      <c r="AH135" t="s">
        <v>229</v>
      </c>
      <c r="AI135" t="s">
        <v>229</v>
      </c>
      <c r="AJ135" s="2" t="s">
        <v>229</v>
      </c>
      <c r="AK135" s="2" t="s">
        <v>244</v>
      </c>
      <c r="AL13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5" s="2" t="str">
        <f>SUBSTITUTE(SUBSTITUTE(PROPERTIES[[#This Row],[PURCHASECOST_VALUE]], "PURCHASECOST_", ""), "_VALUE", "")</f>
        <v>STEAMENGINE</v>
      </c>
      <c r="AO135" s="44" t="b">
        <v>0</v>
      </c>
      <c r="AP135" s="48" t="b">
        <v>0</v>
      </c>
      <c r="AQ135" s="48" t="b">
        <v>0</v>
      </c>
      <c r="AR135" s="48">
        <v>0</v>
      </c>
      <c r="AS135" s="48" t="b">
        <v>0</v>
      </c>
      <c r="AT135" s="7" t="b">
        <v>0</v>
      </c>
      <c r="AU135" s="40" t="str" cm="1">
        <f t="array" ref="AU135">_xlfn.XLOOKUP(PROPERTIES[[#This Row],[VEHIDCODE]],GRAPHICS_PROPERTIES[VEHIDCODE],GRAPHICS_PROPERTIES[TEMPLATE_ID]&amp;GRAPHICS_PROPERTIES[TEMPLATE_AMENDMENT_CODE])</f>
        <v>TPL_17C</v>
      </c>
    </row>
    <row r="136" spans="1:47" x14ac:dyDescent="0.35">
      <c r="A136" s="2" t="s">
        <v>2776</v>
      </c>
      <c r="B136">
        <v>1910</v>
      </c>
      <c r="D136" cm="1">
        <f t="array" ref="D1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6" s="40" t="str">
        <f>_xlfn.XLOOKUP(PROPERTIES[[#This Row],[VEHIDCODE]],CONTROL[VEHIDCODE],CONTROL[ENGLISH])</f>
        <v>AFE N1 2-6-0</v>
      </c>
      <c r="F136" t="s">
        <v>758</v>
      </c>
      <c r="G136" s="40" t="str">
        <f>_xlfn.XLOOKUP(PROPERTIES[[#This Row],[COUNTRY]],COUNTRIES[COUNTRY_DESCRIPTION],COUNTRIES[COUNTRY_LABEL],"")</f>
        <v>UY</v>
      </c>
      <c r="H136" t="str" cm="1">
        <f t="array" ref="H1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6" t="s">
        <v>17</v>
      </c>
      <c r="J136">
        <v>0</v>
      </c>
      <c r="K136">
        <v>5</v>
      </c>
      <c r="L136">
        <v>0</v>
      </c>
      <c r="M136" t="str" cm="1">
        <f t="array" ref="M1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6">
        <f>_xlfn.XLOOKUP("LOADINGSPEEDDEF_"&amp;PROPERTIES[[#This Row],[LOADINGSPEED]],LOADINGSPEEDDEF[TYPE],LOADINGSPEEDDEF[SPEED])</f>
        <v>20</v>
      </c>
      <c r="O136" cm="1">
        <f t="array" ref="O1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6">
        <f>IF(ISNUMBER(SEARCH("passenger",PROPERTIES[[#This Row],[CARGODEF]])),1,0)</f>
        <v>0</v>
      </c>
      <c r="Q136" s="23">
        <v>84.5</v>
      </c>
      <c r="R136">
        <v>650</v>
      </c>
      <c r="S136">
        <v>0</v>
      </c>
      <c r="T136">
        <v>0</v>
      </c>
      <c r="U136">
        <v>0</v>
      </c>
      <c r="V136">
        <v>75</v>
      </c>
      <c r="W136">
        <v>0</v>
      </c>
      <c r="X136">
        <v>0</v>
      </c>
      <c r="Y136">
        <v>0</v>
      </c>
      <c r="Z136" s="20">
        <v>0</v>
      </c>
      <c r="AA136" s="19">
        <f>IFERROR(PROPERTIES[[#This Row],[TE_STARTING_KN]]/(PROPERTIES[[#This Row],[WEIGHT]]*9.81),0)</f>
        <v>0</v>
      </c>
      <c r="AB136" s="19">
        <v>0.1</v>
      </c>
      <c r="AC136" s="16">
        <f>ROUND(IF(IFERROR(PROPERTIES[[#This Row],[TE_COEFFICIENT_CALC]],0)=0,PROPERTIES[[#This Row],[TE_COEFFICIENT_MANUAL]],PROPERTIES[[#This Row],[TE_COEFFICIENT_CALC]]),3)</f>
        <v>0.1</v>
      </c>
      <c r="AD136" s="8" cm="1">
        <f t="array" ref="AD1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36" s="26">
        <v>0</v>
      </c>
      <c r="AF136" s="6">
        <v>3</v>
      </c>
      <c r="AG136" t="s">
        <v>237</v>
      </c>
      <c r="AH136" t="s">
        <v>229</v>
      </c>
      <c r="AI136" t="s">
        <v>229</v>
      </c>
      <c r="AJ136" s="2" t="s">
        <v>229</v>
      </c>
      <c r="AK136" s="2" t="s">
        <v>244</v>
      </c>
      <c r="AL13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6" s="2" t="str">
        <f>SUBSTITUTE(SUBSTITUTE(PROPERTIES[[#This Row],[PURCHASECOST_VALUE]], "PURCHASECOST_", ""), "_VALUE", "")</f>
        <v>STEAMENGINE</v>
      </c>
      <c r="AO136" s="44" t="b">
        <v>0</v>
      </c>
      <c r="AP136" s="48" t="b">
        <v>0</v>
      </c>
      <c r="AQ136" s="48" t="b">
        <v>0</v>
      </c>
      <c r="AR136" s="48">
        <v>0</v>
      </c>
      <c r="AS136" s="48" t="b">
        <v>0</v>
      </c>
      <c r="AT136" s="7" t="b">
        <v>0</v>
      </c>
      <c r="AU136" s="40" t="str" cm="1">
        <f t="array" ref="AU136">_xlfn.XLOOKUP(PROPERTIES[[#This Row],[VEHIDCODE]],GRAPHICS_PROPERTIES[VEHIDCODE],GRAPHICS_PROPERTIES[TEMPLATE_ID]&amp;GRAPHICS_PROPERTIES[TEMPLATE_AMENDMENT_CODE])</f>
        <v>TPL_03A</v>
      </c>
    </row>
    <row r="137" spans="1:47" x14ac:dyDescent="0.35">
      <c r="A137" s="2" t="s">
        <v>2777</v>
      </c>
      <c r="B137">
        <v>1930</v>
      </c>
      <c r="D137" cm="1">
        <f t="array" ref="D1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7" s="40" t="str">
        <f>_xlfn.XLOOKUP(PROPERTIES[[#This Row],[VEHIDCODE]],CONTROL[VEHIDCODE],CONTROL[ENGLISH])</f>
        <v>Sir Armstrong Whithworth &amp; Co. PS11</v>
      </c>
      <c r="F137" t="s">
        <v>538</v>
      </c>
      <c r="G137" s="40" t="str">
        <f>_xlfn.XLOOKUP(PROPERTIES[[#This Row],[COUNTRY]],COUNTRIES[COUNTRY_DESCRIPTION],COUNTRIES[COUNTRY_LABEL],"")</f>
        <v>AR</v>
      </c>
      <c r="H137" t="str" cm="1">
        <f t="array" ref="H1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7" t="s">
        <v>17</v>
      </c>
      <c r="J137">
        <v>0</v>
      </c>
      <c r="K137">
        <v>8</v>
      </c>
      <c r="M137" t="str" cm="1">
        <f t="array" ref="M1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7">
        <f>_xlfn.XLOOKUP("LOADINGSPEEDDEF_"&amp;PROPERTIES[[#This Row],[LOADINGSPEED]],LOADINGSPEEDDEF[TYPE],LOADINGSPEEDDEF[SPEED])</f>
        <v>20</v>
      </c>
      <c r="O137" cm="1">
        <f t="array" ref="O1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7">
        <f>IF(ISNUMBER(SEARCH("passenger",PROPERTIES[[#This Row],[CARGODEF]])),1,0)</f>
        <v>0</v>
      </c>
      <c r="Q137" s="23">
        <v>203</v>
      </c>
      <c r="R137">
        <v>1500</v>
      </c>
      <c r="S137">
        <v>0</v>
      </c>
      <c r="T137">
        <v>0</v>
      </c>
      <c r="U137">
        <v>0</v>
      </c>
      <c r="V137">
        <v>160</v>
      </c>
      <c r="W137">
        <v>0</v>
      </c>
      <c r="X137">
        <v>0</v>
      </c>
      <c r="Y137">
        <v>0</v>
      </c>
      <c r="Z137" s="20">
        <v>0</v>
      </c>
      <c r="AA137" s="19">
        <f>IFERROR(PROPERTIES[[#This Row],[TE_STARTING_KN]]/(PROPERTIES[[#This Row],[WEIGHT]]*9.81),0)</f>
        <v>0</v>
      </c>
      <c r="AB137" s="19">
        <v>0.08</v>
      </c>
      <c r="AC137" s="16">
        <f>ROUND(IF(IFERROR(PROPERTIES[[#This Row],[TE_COEFFICIENT_CALC]],0)=0,PROPERTIES[[#This Row],[TE_COEFFICIENT_MANUAL]],PROPERTIES[[#This Row],[TE_COEFFICIENT_CALC]]),3)</f>
        <v>0.08</v>
      </c>
      <c r="AD137" s="8" cm="1">
        <f t="array" ref="AD1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37" s="26">
        <v>0</v>
      </c>
      <c r="AF137" s="6">
        <v>5</v>
      </c>
      <c r="AG137" t="s">
        <v>237</v>
      </c>
      <c r="AH137" t="s">
        <v>229</v>
      </c>
      <c r="AI137" t="s">
        <v>229</v>
      </c>
      <c r="AJ137" s="2" t="s">
        <v>229</v>
      </c>
      <c r="AK137" s="2" t="s">
        <v>244</v>
      </c>
      <c r="AL13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7" s="2" t="str">
        <f>SUBSTITUTE(SUBSTITUTE(PROPERTIES[[#This Row],[PURCHASECOST_VALUE]], "PURCHASECOST_", ""), "_VALUE", "")</f>
        <v>STEAMENGINE</v>
      </c>
      <c r="AO137" s="44" t="b">
        <v>0</v>
      </c>
      <c r="AP137" s="48" t="b">
        <v>0</v>
      </c>
      <c r="AQ137" s="48" t="b">
        <v>0</v>
      </c>
      <c r="AR137" s="48">
        <v>0</v>
      </c>
      <c r="AS137" s="48" t="b">
        <v>0</v>
      </c>
      <c r="AT137" s="7" t="b">
        <v>0</v>
      </c>
      <c r="AU137" s="40" t="str" cm="1">
        <f t="array" ref="AU137">_xlfn.XLOOKUP(PROPERTIES[[#This Row],[VEHIDCODE]],GRAPHICS_PROPERTIES[VEHIDCODE],GRAPHICS_PROPERTIES[TEMPLATE_ID]&amp;GRAPHICS_PROPERTIES[TEMPLATE_AMENDMENT_CODE])</f>
        <v>TPL_03A</v>
      </c>
    </row>
    <row r="138" spans="1:47" x14ac:dyDescent="0.35">
      <c r="A138" s="2" t="s">
        <v>2778</v>
      </c>
      <c r="B138">
        <v>1873</v>
      </c>
      <c r="C138">
        <v>1909</v>
      </c>
      <c r="D138" cm="1">
        <f t="array" ref="D1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8" s="40" t="str">
        <f>_xlfn.XLOOKUP(PROPERTIES[[#This Row],[VEHIDCODE]],CONTROL[VEHIDCODE],CONTROL[ENGLISH])</f>
        <v>Alexander Chaplin &amp; Co. 1584 0-4-0VB</v>
      </c>
      <c r="F138" t="s">
        <v>771</v>
      </c>
      <c r="G138" s="40" t="str">
        <f>_xlfn.XLOOKUP(PROPERTIES[[#This Row],[COUNTRY]],COUNTRIES[COUNTRY_DESCRIPTION],COUNTRIES[COUNTRY_LABEL],"")</f>
        <v>ZA</v>
      </c>
      <c r="H138" t="str" cm="1">
        <f t="array" ref="H1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8" t="s">
        <v>17</v>
      </c>
      <c r="J138">
        <v>0</v>
      </c>
      <c r="K138">
        <v>3</v>
      </c>
      <c r="L138">
        <v>0</v>
      </c>
      <c r="M138" t="str" cm="1">
        <f t="array" ref="M1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8">
        <f>_xlfn.XLOOKUP("LOADINGSPEEDDEF_"&amp;PROPERTIES[[#This Row],[LOADINGSPEED]],LOADINGSPEEDDEF[TYPE],LOADINGSPEEDDEF[SPEED])</f>
        <v>20</v>
      </c>
      <c r="O138" cm="1">
        <f t="array" ref="O1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8">
        <f>IF(ISNUMBER(SEARCH("passenger",PROPERTIES[[#This Row],[CARGODEF]])),1,0)</f>
        <v>0</v>
      </c>
      <c r="Q138" s="23">
        <v>8</v>
      </c>
      <c r="R138">
        <v>40</v>
      </c>
      <c r="S138">
        <v>0</v>
      </c>
      <c r="T138">
        <v>0</v>
      </c>
      <c r="U138">
        <v>0</v>
      </c>
      <c r="V138">
        <v>16</v>
      </c>
      <c r="W138">
        <v>0</v>
      </c>
      <c r="X138">
        <v>0</v>
      </c>
      <c r="Y138">
        <v>0</v>
      </c>
      <c r="Z138" s="20">
        <v>14.6</v>
      </c>
      <c r="AA138" s="19">
        <f>IFERROR(PROPERTIES[[#This Row],[TE_STARTING_KN]]/(PROPERTIES[[#This Row],[WEIGHT]]*9.81),0)</f>
        <v>0.18603465851172271</v>
      </c>
      <c r="AB138" s="19">
        <v>0</v>
      </c>
      <c r="AC138" s="16">
        <f>ROUND(IF(IFERROR(PROPERTIES[[#This Row],[TE_COEFFICIENT_CALC]],0)=0,PROPERTIES[[#This Row],[TE_COEFFICIENT_MANUAL]],PROPERTIES[[#This Row],[TE_COEFFICIENT_CALC]]),3)</f>
        <v>0.186</v>
      </c>
      <c r="AD138" s="8" cm="1">
        <f t="array" ref="AD1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138" s="26">
        <v>0</v>
      </c>
      <c r="AF138" s="6">
        <v>0</v>
      </c>
      <c r="AG138" t="s">
        <v>233</v>
      </c>
      <c r="AH138" t="s">
        <v>229</v>
      </c>
      <c r="AI138" t="s">
        <v>229</v>
      </c>
      <c r="AJ138" s="2" t="s">
        <v>229</v>
      </c>
      <c r="AK138" s="2" t="s">
        <v>244</v>
      </c>
      <c r="AL13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8" s="2" t="str">
        <f>SUBSTITUTE(SUBSTITUTE(PROPERTIES[[#This Row],[PURCHASECOST_VALUE]], "PURCHASECOST_", ""), "_VALUE", "")</f>
        <v>STEAMENGINE</v>
      </c>
      <c r="AO138" s="44" t="b">
        <v>0</v>
      </c>
      <c r="AP138" s="48" t="b">
        <v>0</v>
      </c>
      <c r="AQ138" s="48" t="b">
        <v>0</v>
      </c>
      <c r="AR138" s="48">
        <v>0</v>
      </c>
      <c r="AS138" s="48" t="b">
        <v>0</v>
      </c>
      <c r="AT138" s="7" t="b">
        <v>0</v>
      </c>
      <c r="AU138" s="40" t="str" cm="1">
        <f t="array" ref="AU138">_xlfn.XLOOKUP(PROPERTIES[[#This Row],[VEHIDCODE]],GRAPHICS_PROPERTIES[VEHIDCODE],GRAPHICS_PROPERTIES[TEMPLATE_ID]&amp;GRAPHICS_PROPERTIES[TEMPLATE_AMENDMENT_CODE])</f>
        <v>TPL_03C</v>
      </c>
    </row>
    <row r="139" spans="1:47" x14ac:dyDescent="0.35">
      <c r="A139" s="2" t="s">
        <v>2779</v>
      </c>
      <c r="B139">
        <v>1895</v>
      </c>
      <c r="C139">
        <v>1935</v>
      </c>
      <c r="D139" cm="1">
        <f t="array" ref="D1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9" s="40" t="str">
        <f>_xlfn.XLOOKUP(PROPERTIES[[#This Row],[VEHIDCODE]],CONTROL[VEHIDCODE],CONTROL[ENGLISH])</f>
        <v>Falcon Engine and Car Works F2</v>
      </c>
      <c r="F139" t="s">
        <v>685</v>
      </c>
      <c r="G139" s="40" t="str">
        <f>_xlfn.XLOOKUP(PROPERTIES[[#This Row],[COUNTRY]],COUNTRIES[COUNTRY_DESCRIPTION],COUNTRIES[COUNTRY_LABEL],"")</f>
        <v>MZ</v>
      </c>
      <c r="H139" t="str" cm="1">
        <f t="array" ref="H1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9" t="s">
        <v>17</v>
      </c>
      <c r="J139">
        <v>0</v>
      </c>
      <c r="K139">
        <v>4</v>
      </c>
      <c r="L139">
        <v>0</v>
      </c>
      <c r="M139" t="str" cm="1">
        <f t="array" ref="M1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9">
        <f>_xlfn.XLOOKUP("LOADINGSPEEDDEF_"&amp;PROPERTIES[[#This Row],[LOADINGSPEED]],LOADINGSPEEDDEF[TYPE],LOADINGSPEEDDEF[SPEED])</f>
        <v>20</v>
      </c>
      <c r="O139" cm="1">
        <f t="array" ref="O1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9">
        <f>IF(ISNUMBER(SEARCH("passenger",PROPERTIES[[#This Row],[CARGODEF]])),1,0)</f>
        <v>0</v>
      </c>
      <c r="Q139" s="23">
        <v>20</v>
      </c>
      <c r="R139">
        <v>120</v>
      </c>
      <c r="S139">
        <v>0</v>
      </c>
      <c r="T139">
        <v>0</v>
      </c>
      <c r="U139">
        <v>0</v>
      </c>
      <c r="V139">
        <v>30</v>
      </c>
      <c r="W139">
        <v>0</v>
      </c>
      <c r="X139">
        <v>0</v>
      </c>
      <c r="Y139">
        <v>0</v>
      </c>
      <c r="Z139" s="20">
        <v>13</v>
      </c>
      <c r="AA139" s="19">
        <f>IFERROR(PROPERTIES[[#This Row],[TE_STARTING_KN]]/(PROPERTIES[[#This Row],[WEIGHT]]*9.81),0)</f>
        <v>6.6258919469928637E-2</v>
      </c>
      <c r="AB139" s="19">
        <v>0</v>
      </c>
      <c r="AC139" s="16">
        <f>ROUND(IF(IFERROR(PROPERTIES[[#This Row],[TE_COEFFICIENT_CALC]],0)=0,PROPERTIES[[#This Row],[TE_COEFFICIENT_MANUAL]],PROPERTIES[[#This Row],[TE_COEFFICIENT_CALC]]),3)</f>
        <v>6.6000000000000003E-2</v>
      </c>
      <c r="AD139" s="8" cm="1">
        <f t="array" ref="AD1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39" s="26">
        <v>0</v>
      </c>
      <c r="AF139" s="6">
        <v>3</v>
      </c>
      <c r="AG139" t="s">
        <v>233</v>
      </c>
      <c r="AH139" t="s">
        <v>229</v>
      </c>
      <c r="AI139" t="s">
        <v>229</v>
      </c>
      <c r="AJ139" s="2" t="s">
        <v>229</v>
      </c>
      <c r="AK139" s="2" t="s">
        <v>244</v>
      </c>
      <c r="AL13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9" s="2" t="str">
        <f>SUBSTITUTE(SUBSTITUTE(PROPERTIES[[#This Row],[PURCHASECOST_VALUE]], "PURCHASECOST_", ""), "_VALUE", "")</f>
        <v>STEAMENGINE</v>
      </c>
      <c r="AO139" s="44" t="b">
        <v>0</v>
      </c>
      <c r="AP139" s="48" t="b">
        <v>0</v>
      </c>
      <c r="AQ139" s="48" t="b">
        <v>0</v>
      </c>
      <c r="AR139" s="48">
        <v>0</v>
      </c>
      <c r="AS139" s="48" t="b">
        <v>0</v>
      </c>
      <c r="AT139" s="7" t="b">
        <v>0</v>
      </c>
      <c r="AU139" s="40" t="str" cm="1">
        <f t="array" ref="AU139">_xlfn.XLOOKUP(PROPERTIES[[#This Row],[VEHIDCODE]],GRAPHICS_PROPERTIES[VEHIDCODE],GRAPHICS_PROPERTIES[TEMPLATE_ID]&amp;GRAPHICS_PROPERTIES[TEMPLATE_AMENDMENT_CODE])</f>
        <v>TPL_03A</v>
      </c>
    </row>
    <row r="140" spans="1:47" x14ac:dyDescent="0.35">
      <c r="A140" s="2" t="s">
        <v>2780</v>
      </c>
      <c r="B140">
        <v>1911</v>
      </c>
      <c r="D140" cm="1">
        <f t="array" ref="D1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0" s="40" t="str">
        <f>_xlfn.XLOOKUP(PROPERTIES[[#This Row],[VEHIDCODE]],CONTROL[VEHIDCODE],CONTROL[ENGLISH])</f>
        <v>Ansaldo R.440 'Mallet'</v>
      </c>
      <c r="F140" t="s">
        <v>594</v>
      </c>
      <c r="G140" s="40" t="str">
        <f>_xlfn.XLOOKUP(PROPERTIES[[#This Row],[COUNTRY]],COUNTRIES[COUNTRY_DESCRIPTION],COUNTRIES[COUNTRY_LABEL],"")</f>
        <v>ER</v>
      </c>
      <c r="H140" t="str" cm="1">
        <f t="array" ref="H1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0" t="s">
        <v>17</v>
      </c>
      <c r="J140">
        <v>0</v>
      </c>
      <c r="K140">
        <v>5</v>
      </c>
      <c r="L140">
        <v>0</v>
      </c>
      <c r="M140" t="str" cm="1">
        <f t="array" ref="M1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0">
        <f>_xlfn.XLOOKUP("LOADINGSPEEDDEF_"&amp;PROPERTIES[[#This Row],[LOADINGSPEED]],LOADINGSPEEDDEF[TYPE],LOADINGSPEEDDEF[SPEED])</f>
        <v>20</v>
      </c>
      <c r="O140" cm="1">
        <f t="array" ref="O1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0">
        <f>IF(ISNUMBER(SEARCH("passenger",PROPERTIES[[#This Row],[CARGODEF]])),1,0)</f>
        <v>0</v>
      </c>
      <c r="Q140" s="23">
        <v>35</v>
      </c>
      <c r="R140">
        <v>250</v>
      </c>
      <c r="S140">
        <v>0</v>
      </c>
      <c r="T140">
        <v>0</v>
      </c>
      <c r="U140">
        <v>0</v>
      </c>
      <c r="V140">
        <v>40</v>
      </c>
      <c r="W140">
        <v>0</v>
      </c>
      <c r="X140">
        <v>0</v>
      </c>
      <c r="Y140">
        <v>0</v>
      </c>
      <c r="Z140" s="20">
        <v>48</v>
      </c>
      <c r="AA140" s="19">
        <f>IFERROR(PROPERTIES[[#This Row],[TE_STARTING_KN]]/(PROPERTIES[[#This Row],[WEIGHT]]*9.81),0)</f>
        <v>0.13979903888160769</v>
      </c>
      <c r="AB140" s="19">
        <v>0</v>
      </c>
      <c r="AC140" s="16">
        <f>ROUND(IF(IFERROR(PROPERTIES[[#This Row],[TE_COEFFICIENT_CALC]],0)=0,PROPERTIES[[#This Row],[TE_COEFFICIENT_MANUAL]],PROPERTIES[[#This Row],[TE_COEFFICIENT_CALC]]),3)</f>
        <v>0.14000000000000001</v>
      </c>
      <c r="AD140" s="8" cm="1">
        <f t="array" ref="AD1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0" s="26">
        <v>0</v>
      </c>
      <c r="AF140" s="6">
        <v>0</v>
      </c>
      <c r="AG140" t="s">
        <v>233</v>
      </c>
      <c r="AH140" t="s">
        <v>229</v>
      </c>
      <c r="AI140" t="s">
        <v>229</v>
      </c>
      <c r="AJ140" s="2" t="s">
        <v>229</v>
      </c>
      <c r="AK140" s="2" t="s">
        <v>244</v>
      </c>
      <c r="AL14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0" s="2" t="str">
        <f>SUBSTITUTE(SUBSTITUTE(PROPERTIES[[#This Row],[PURCHASECOST_VALUE]], "PURCHASECOST_", ""), "_VALUE", "")</f>
        <v>STEAMENGINE</v>
      </c>
      <c r="AO140" s="44" t="b">
        <v>0</v>
      </c>
      <c r="AP140" s="48" t="b">
        <v>0</v>
      </c>
      <c r="AQ140" s="48" t="b">
        <v>0</v>
      </c>
      <c r="AR140" s="48">
        <v>0</v>
      </c>
      <c r="AS140" s="48" t="b">
        <v>0</v>
      </c>
      <c r="AT140" s="7" t="b">
        <v>0</v>
      </c>
      <c r="AU140" s="40" t="str" cm="1">
        <f t="array" ref="AU140">_xlfn.XLOOKUP(PROPERTIES[[#This Row],[VEHIDCODE]],GRAPHICS_PROPERTIES[VEHIDCODE],GRAPHICS_PROPERTIES[TEMPLATE_ID]&amp;GRAPHICS_PROPERTIES[TEMPLATE_AMENDMENT_CODE])</f>
        <v>TPL_03C</v>
      </c>
    </row>
    <row r="141" spans="1:47" x14ac:dyDescent="0.35">
      <c r="A141" s="2" t="s">
        <v>2781</v>
      </c>
      <c r="B141">
        <v>1923</v>
      </c>
      <c r="D141" cm="1">
        <f t="array" ref="D1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1" s="40" t="str">
        <f>_xlfn.XLOOKUP(PROPERTIES[[#This Row],[VEHIDCODE]],CONTROL[VEHIDCODE],CONTROL[ENGLISH])</f>
        <v>Beyer, P &amp; Co. 4-8-0 6128-6133</v>
      </c>
      <c r="F141" t="s">
        <v>641</v>
      </c>
      <c r="G141" s="40" t="str">
        <f>_xlfn.XLOOKUP(PROPERTIES[[#This Row],[COUNTRY]],COUNTRIES[COUNTRY_DESCRIPTION],COUNTRIES[COUNTRY_LABEL],"")</f>
        <v>KE</v>
      </c>
      <c r="H141" t="str" cm="1">
        <f t="array" ref="H1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1" t="s">
        <v>17</v>
      </c>
      <c r="J141">
        <v>0</v>
      </c>
      <c r="K141">
        <v>5</v>
      </c>
      <c r="L141">
        <v>0</v>
      </c>
      <c r="M141" t="str" cm="1">
        <f t="array" ref="M1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1">
        <f>_xlfn.XLOOKUP("LOADINGSPEEDDEF_"&amp;PROPERTIES[[#This Row],[LOADINGSPEED]],LOADINGSPEEDDEF[TYPE],LOADINGSPEEDDEF[SPEED])</f>
        <v>20</v>
      </c>
      <c r="O141" cm="1">
        <f t="array" ref="O1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1">
        <f>IF(ISNUMBER(SEARCH("passenger",PROPERTIES[[#This Row],[CARGODEF]])),1,0)</f>
        <v>0</v>
      </c>
      <c r="Q141" s="23">
        <v>108</v>
      </c>
      <c r="R141">
        <v>1100</v>
      </c>
      <c r="S141">
        <v>0</v>
      </c>
      <c r="T141">
        <v>0</v>
      </c>
      <c r="U141">
        <v>0</v>
      </c>
      <c r="V141">
        <v>75</v>
      </c>
      <c r="W141">
        <v>0</v>
      </c>
      <c r="X141">
        <v>0</v>
      </c>
      <c r="Y141">
        <v>0</v>
      </c>
      <c r="Z141" s="20">
        <v>108.49</v>
      </c>
      <c r="AA141" s="19">
        <f>IFERROR(PROPERTIES[[#This Row],[TE_STARTING_KN]]/(PROPERTIES[[#This Row],[WEIGHT]]*9.81),0)</f>
        <v>0.10239929021784271</v>
      </c>
      <c r="AB141" s="19">
        <v>0</v>
      </c>
      <c r="AC141" s="16">
        <f>ROUND(IF(IFERROR(PROPERTIES[[#This Row],[TE_COEFFICIENT_CALC]],0)=0,PROPERTIES[[#This Row],[TE_COEFFICIENT_MANUAL]],PROPERTIES[[#This Row],[TE_COEFFICIENT_CALC]]),3)</f>
        <v>0.10199999999999999</v>
      </c>
      <c r="AD141" s="8" cm="1">
        <f t="array" ref="AD1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1" s="26">
        <v>0</v>
      </c>
      <c r="AF141" s="6">
        <v>3</v>
      </c>
      <c r="AG141" t="s">
        <v>233</v>
      </c>
      <c r="AH141" t="s">
        <v>229</v>
      </c>
      <c r="AI141" t="s">
        <v>229</v>
      </c>
      <c r="AJ141" s="2" t="s">
        <v>229</v>
      </c>
      <c r="AK141" s="2" t="s">
        <v>244</v>
      </c>
      <c r="AL14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1" s="2" t="str">
        <f>SUBSTITUTE(SUBSTITUTE(PROPERTIES[[#This Row],[PURCHASECOST_VALUE]], "PURCHASECOST_", ""), "_VALUE", "")</f>
        <v>STEAMENGINE</v>
      </c>
      <c r="AO141" s="44" t="b">
        <v>0</v>
      </c>
      <c r="AP141" s="48" t="b">
        <v>0</v>
      </c>
      <c r="AQ141" s="48" t="b">
        <v>0</v>
      </c>
      <c r="AR141" s="48">
        <v>0</v>
      </c>
      <c r="AS141" s="48" t="b">
        <v>0</v>
      </c>
      <c r="AT141" s="7" t="b">
        <v>0</v>
      </c>
      <c r="AU141" s="40" t="str" cm="1">
        <f t="array" ref="AU141">_xlfn.XLOOKUP(PROPERTIES[[#This Row],[VEHIDCODE]],GRAPHICS_PROPERTIES[VEHIDCODE],GRAPHICS_PROPERTIES[TEMPLATE_ID]&amp;GRAPHICS_PROPERTIES[TEMPLATE_AMENDMENT_CODE])</f>
        <v>TPL_03A</v>
      </c>
    </row>
    <row r="142" spans="1:47" x14ac:dyDescent="0.35">
      <c r="A142" s="2" t="s">
        <v>2782</v>
      </c>
      <c r="B142">
        <v>1928</v>
      </c>
      <c r="D142" cm="1">
        <f t="array" ref="D1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2" s="40" t="str">
        <f>_xlfn.XLOOKUP(PROPERTIES[[#This Row],[VEHIDCODE]],CONTROL[VEHIDCODE],CONTROL[ENGLISH])</f>
        <v>Vulcan Foundry 4-8-2 4318-4320</v>
      </c>
      <c r="F142" t="s">
        <v>641</v>
      </c>
      <c r="G142" s="40" t="str">
        <f>_xlfn.XLOOKUP(PROPERTIES[[#This Row],[COUNTRY]],COUNTRIES[COUNTRY_DESCRIPTION],COUNTRIES[COUNTRY_LABEL],"")</f>
        <v>KE</v>
      </c>
      <c r="H142" t="str" cm="1">
        <f t="array" ref="H1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2" t="s">
        <v>17</v>
      </c>
      <c r="J142">
        <v>0</v>
      </c>
      <c r="K142">
        <v>6</v>
      </c>
      <c r="L142">
        <v>0</v>
      </c>
      <c r="M142" t="str" cm="1">
        <f t="array" ref="M1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2">
        <f>_xlfn.XLOOKUP("LOADINGSPEEDDEF_"&amp;PROPERTIES[[#This Row],[LOADINGSPEED]],LOADINGSPEEDDEF[TYPE],LOADINGSPEEDDEF[SPEED])</f>
        <v>20</v>
      </c>
      <c r="O142" cm="1">
        <f t="array" ref="O1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2">
        <f>IF(ISNUMBER(SEARCH("passenger",PROPERTIES[[#This Row],[CARGODEF]])),1,0)</f>
        <v>0</v>
      </c>
      <c r="Q142" s="23">
        <v>94.2</v>
      </c>
      <c r="R142">
        <v>900</v>
      </c>
      <c r="S142">
        <v>0</v>
      </c>
      <c r="T142">
        <v>0</v>
      </c>
      <c r="U142">
        <v>0</v>
      </c>
      <c r="V142">
        <v>65</v>
      </c>
      <c r="W142">
        <v>0</v>
      </c>
      <c r="X142">
        <v>0</v>
      </c>
      <c r="Y142">
        <v>0</v>
      </c>
      <c r="Z142" s="20">
        <v>108.09</v>
      </c>
      <c r="AA142" s="19">
        <f>IFERROR(PROPERTIES[[#This Row],[TE_STARTING_KN]]/(PROPERTIES[[#This Row],[WEIGHT]]*9.81),0)</f>
        <v>0.11696760747190245</v>
      </c>
      <c r="AB142" s="19">
        <v>0</v>
      </c>
      <c r="AC142" s="16">
        <f>ROUND(IF(IFERROR(PROPERTIES[[#This Row],[TE_COEFFICIENT_CALC]],0)=0,PROPERTIES[[#This Row],[TE_COEFFICIENT_MANUAL]],PROPERTIES[[#This Row],[TE_COEFFICIENT_CALC]]),3)</f>
        <v>0.11700000000000001</v>
      </c>
      <c r="AD142" s="8" cm="1">
        <f t="array" ref="AD1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2" s="26">
        <v>0</v>
      </c>
      <c r="AF142" s="6">
        <v>3</v>
      </c>
      <c r="AG142" t="s">
        <v>233</v>
      </c>
      <c r="AH142" t="s">
        <v>229</v>
      </c>
      <c r="AI142" t="s">
        <v>229</v>
      </c>
      <c r="AJ142" s="2" t="s">
        <v>229</v>
      </c>
      <c r="AK142" s="2" t="s">
        <v>244</v>
      </c>
      <c r="AL14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2" s="2" t="str">
        <f>SUBSTITUTE(SUBSTITUTE(PROPERTIES[[#This Row],[PURCHASECOST_VALUE]], "PURCHASECOST_", ""), "_VALUE", "")</f>
        <v>STEAMENGINE</v>
      </c>
      <c r="AO142" s="44" t="b">
        <v>0</v>
      </c>
      <c r="AP142" s="48" t="b">
        <v>0</v>
      </c>
      <c r="AQ142" s="48" t="b">
        <v>0</v>
      </c>
      <c r="AR142" s="48">
        <v>0</v>
      </c>
      <c r="AS142" s="48" t="b">
        <v>0</v>
      </c>
      <c r="AT142" s="7" t="b">
        <v>0</v>
      </c>
      <c r="AU142" s="40" t="str" cm="1">
        <f t="array" ref="AU142">_xlfn.XLOOKUP(PROPERTIES[[#This Row],[VEHIDCODE]],GRAPHICS_PROPERTIES[VEHIDCODE],GRAPHICS_PROPERTIES[TEMPLATE_ID]&amp;GRAPHICS_PROPERTIES[TEMPLATE_AMENDMENT_CODE])</f>
        <v>TPL_03A</v>
      </c>
    </row>
    <row r="143" spans="1:47" x14ac:dyDescent="0.35">
      <c r="A143" s="2" t="s">
        <v>2783</v>
      </c>
      <c r="B143">
        <v>1940</v>
      </c>
      <c r="C143">
        <v>1975</v>
      </c>
      <c r="D143" cm="1">
        <f t="array" ref="D1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3" s="40" t="str">
        <f>_xlfn.XLOOKUP(PROPERTIES[[#This Row],[VEHIDCODE]],CONTROL[VEHIDCODE],CONTROL[ENGLISH])</f>
        <v>Beyer, P &amp; Co. 4-6-4+4-6-4 '15th'</v>
      </c>
      <c r="F143" t="s">
        <v>773</v>
      </c>
      <c r="G143" s="40" t="str">
        <f>_xlfn.XLOOKUP(PROPERTIES[[#This Row],[COUNTRY]],COUNTRIES[COUNTRY_DESCRIPTION],COUNTRIES[COUNTRY_LABEL],"")</f>
        <v>ZW</v>
      </c>
      <c r="H143" t="str" cm="1">
        <f t="array" ref="H1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3" t="s">
        <v>17</v>
      </c>
      <c r="J143">
        <v>0</v>
      </c>
      <c r="K143">
        <v>4</v>
      </c>
      <c r="L143">
        <v>4</v>
      </c>
      <c r="M143" t="str" cm="1">
        <f t="array" ref="M1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3">
        <f>_xlfn.XLOOKUP("LOADINGSPEEDDEF_"&amp;PROPERTIES[[#This Row],[LOADINGSPEED]],LOADINGSPEEDDEF[TYPE],LOADINGSPEEDDEF[SPEED])</f>
        <v>20</v>
      </c>
      <c r="O143" cm="1">
        <f t="array" ref="O1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3">
        <f>IF(ISNUMBER(SEARCH("passenger",PROPERTIES[[#This Row],[CARGODEF]])),1,0)</f>
        <v>0</v>
      </c>
      <c r="Q143" s="23">
        <v>179.5</v>
      </c>
      <c r="R143">
        <v>1600</v>
      </c>
      <c r="S143">
        <v>0</v>
      </c>
      <c r="T143">
        <v>0</v>
      </c>
      <c r="U143">
        <v>0</v>
      </c>
      <c r="V143">
        <v>100</v>
      </c>
      <c r="W143">
        <v>0</v>
      </c>
      <c r="X143">
        <v>0</v>
      </c>
      <c r="Y143">
        <v>0</v>
      </c>
      <c r="Z143" s="20">
        <v>190.1</v>
      </c>
      <c r="AA143" s="19">
        <f>IFERROR(PROPERTIES[[#This Row],[TE_STARTING_KN]]/(PROPERTIES[[#This Row],[WEIGHT]]*9.81),0)</f>
        <v>0.10795646532019229</v>
      </c>
      <c r="AB143" s="19">
        <v>0</v>
      </c>
      <c r="AC143" s="16">
        <f>ROUND(IF(IFERROR(PROPERTIES[[#This Row],[TE_COEFFICIENT_CALC]],0)=0,PROPERTIES[[#This Row],[TE_COEFFICIENT_MANUAL]],PROPERTIES[[#This Row],[TE_COEFFICIENT_CALC]]),3)</f>
        <v>0.108</v>
      </c>
      <c r="AD143" s="8" cm="1">
        <f t="array" ref="AD1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143" s="26">
        <v>0</v>
      </c>
      <c r="AF143" s="6">
        <v>4</v>
      </c>
      <c r="AG143" t="s">
        <v>233</v>
      </c>
      <c r="AH143" t="s">
        <v>229</v>
      </c>
      <c r="AI143" t="s">
        <v>229</v>
      </c>
      <c r="AJ143" s="2" t="s">
        <v>229</v>
      </c>
      <c r="AK143" s="2" t="s">
        <v>244</v>
      </c>
      <c r="AL14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3" s="2" t="str">
        <f>SUBSTITUTE(SUBSTITUTE(PROPERTIES[[#This Row],[PURCHASECOST_VALUE]], "PURCHASECOST_", ""), "_VALUE", "")</f>
        <v>STEAMENGINE</v>
      </c>
      <c r="AO143" s="44" t="b">
        <v>0</v>
      </c>
      <c r="AP143" s="48" t="b">
        <v>0</v>
      </c>
      <c r="AQ143" s="48" t="b">
        <v>0</v>
      </c>
      <c r="AR143" s="48">
        <v>0</v>
      </c>
      <c r="AS143" s="48" t="b">
        <v>0</v>
      </c>
      <c r="AT143" s="7" t="b">
        <v>0</v>
      </c>
      <c r="AU143" s="40" t="str" cm="1">
        <f t="array" ref="AU143">_xlfn.XLOOKUP(PROPERTIES[[#This Row],[VEHIDCODE]],GRAPHICS_PROPERTIES[VEHIDCODE],GRAPHICS_PROPERTIES[TEMPLATE_ID]&amp;GRAPHICS_PROPERTIES[TEMPLATE_AMENDMENT_CODE])</f>
        <v>TPL_17C</v>
      </c>
    </row>
    <row r="144" spans="1:47" x14ac:dyDescent="0.35">
      <c r="A144" s="2" t="s">
        <v>2784</v>
      </c>
      <c r="B144">
        <v>1953</v>
      </c>
      <c r="C144">
        <v>1988</v>
      </c>
      <c r="D144" cm="1">
        <f t="array" ref="D1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4" s="40" t="str">
        <f>_xlfn.XLOOKUP(PROPERTIES[[#This Row],[VEHIDCODE]],CONTROL[VEHIDCODE],CONTROL[ENGLISH])</f>
        <v>Beyer, P &amp; Co. 4-8-2+2-8-4 7550-7552</v>
      </c>
      <c r="F144" t="s">
        <v>771</v>
      </c>
      <c r="G144" s="40" t="str">
        <f>_xlfn.XLOOKUP(PROPERTIES[[#This Row],[COUNTRY]],COUNTRIES[COUNTRY_DESCRIPTION],COUNTRIES[COUNTRY_LABEL],"")</f>
        <v>ZA</v>
      </c>
      <c r="H144" t="str" cm="1">
        <f t="array" ref="H1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4" t="s">
        <v>17</v>
      </c>
      <c r="J144">
        <v>0</v>
      </c>
      <c r="K144">
        <v>4</v>
      </c>
      <c r="L144">
        <v>4</v>
      </c>
      <c r="M144" t="str" cm="1">
        <f t="array" ref="M1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4">
        <f>_xlfn.XLOOKUP("LOADINGSPEEDDEF_"&amp;PROPERTIES[[#This Row],[LOADINGSPEED]],LOADINGSPEEDDEF[TYPE],LOADINGSPEEDDEF[SPEED])</f>
        <v>20</v>
      </c>
      <c r="O144" cm="1">
        <f t="array" ref="O1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4">
        <f>IF(ISNUMBER(SEARCH("passenger",PROPERTIES[[#This Row],[CARGODEF]])),1,0)</f>
        <v>0</v>
      </c>
      <c r="Q144" s="23">
        <v>241.3</v>
      </c>
      <c r="R144">
        <v>2500</v>
      </c>
      <c r="S144">
        <v>0</v>
      </c>
      <c r="T144">
        <v>0</v>
      </c>
      <c r="U144">
        <v>0</v>
      </c>
      <c r="V144">
        <v>85</v>
      </c>
      <c r="W144">
        <v>0</v>
      </c>
      <c r="X144">
        <v>0</v>
      </c>
      <c r="Y144">
        <v>0</v>
      </c>
      <c r="Z144" s="20">
        <v>430</v>
      </c>
      <c r="AA144" s="19">
        <f>IFERROR(PROPERTIES[[#This Row],[TE_STARTING_KN]]/(PROPERTIES[[#This Row],[WEIGHT]]*9.81),0)</f>
        <v>0.1816528124713527</v>
      </c>
      <c r="AB144" s="19">
        <v>0</v>
      </c>
      <c r="AC144" s="16">
        <f>ROUND(IF(IFERROR(PROPERTIES[[#This Row],[TE_COEFFICIENT_CALC]],0)=0,PROPERTIES[[#This Row],[TE_COEFFICIENT_MANUAL]],PROPERTIES[[#This Row],[TE_COEFFICIENT_CALC]]),3)</f>
        <v>0.182</v>
      </c>
      <c r="AD144" s="8" cm="1">
        <f t="array" ref="AD1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44" s="26">
        <v>0</v>
      </c>
      <c r="AF144" s="6">
        <v>5</v>
      </c>
      <c r="AG144" t="s">
        <v>233</v>
      </c>
      <c r="AH144" t="s">
        <v>229</v>
      </c>
      <c r="AI144" t="s">
        <v>229</v>
      </c>
      <c r="AJ144" s="2" t="s">
        <v>229</v>
      </c>
      <c r="AK144" s="2" t="s">
        <v>244</v>
      </c>
      <c r="AL14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4" s="2" t="str">
        <f>SUBSTITUTE(SUBSTITUTE(PROPERTIES[[#This Row],[PURCHASECOST_VALUE]], "PURCHASECOST_", ""), "_VALUE", "")</f>
        <v>STEAMENGINE</v>
      </c>
      <c r="AO144" s="44" t="b">
        <v>0</v>
      </c>
      <c r="AP144" s="48" t="b">
        <v>0</v>
      </c>
      <c r="AQ144" s="48" t="b">
        <v>0</v>
      </c>
      <c r="AR144" s="48">
        <v>0</v>
      </c>
      <c r="AS144" s="48" t="b">
        <v>0</v>
      </c>
      <c r="AT144" s="7" t="b">
        <v>0</v>
      </c>
      <c r="AU144" s="40" t="str" cm="1">
        <f t="array" ref="AU144">_xlfn.XLOOKUP(PROPERTIES[[#This Row],[VEHIDCODE]],GRAPHICS_PROPERTIES[VEHIDCODE],GRAPHICS_PROPERTIES[TEMPLATE_ID]&amp;GRAPHICS_PROPERTIES[TEMPLATE_AMENDMENT_CODE])</f>
        <v>TPL_17C</v>
      </c>
    </row>
    <row r="145" spans="1:47" x14ac:dyDescent="0.35">
      <c r="A145" s="2" t="s">
        <v>2785</v>
      </c>
      <c r="B145">
        <v>1955</v>
      </c>
      <c r="D145" cm="1">
        <f t="array" ref="D1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5" s="40" t="str">
        <f>_xlfn.XLOOKUP(PROPERTIES[[#This Row],[VEHIDCODE]],CONTROL[VEHIDCODE],CONTROL[ENGLISH])</f>
        <v>Vulcan Foundry 2-8-4 6228</v>
      </c>
      <c r="F145" t="s">
        <v>641</v>
      </c>
      <c r="G145" s="40" t="str">
        <f>_xlfn.XLOOKUP(PROPERTIES[[#This Row],[COUNTRY]],COUNTRIES[COUNTRY_DESCRIPTION],COUNTRIES[COUNTRY_LABEL],"")</f>
        <v>KE</v>
      </c>
      <c r="H145" t="str" cm="1">
        <f t="array" ref="H1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5" t="s">
        <v>17</v>
      </c>
      <c r="J145">
        <v>0</v>
      </c>
      <c r="K145">
        <v>7</v>
      </c>
      <c r="L145">
        <v>0</v>
      </c>
      <c r="M145" t="str" cm="1">
        <f t="array" ref="M1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5">
        <f>_xlfn.XLOOKUP("LOADINGSPEEDDEF_"&amp;PROPERTIES[[#This Row],[LOADINGSPEED]],LOADINGSPEEDDEF[TYPE],LOADINGSPEEDDEF[SPEED])</f>
        <v>20</v>
      </c>
      <c r="O145" cm="1">
        <f t="array" ref="O1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5">
        <f>IF(ISNUMBER(SEARCH("passenger",PROPERTIES[[#This Row],[CARGODEF]])),1,0)</f>
        <v>0</v>
      </c>
      <c r="Q145" s="23">
        <v>135.19999999999999</v>
      </c>
      <c r="R145">
        <v>1650</v>
      </c>
      <c r="S145">
        <v>0</v>
      </c>
      <c r="T145">
        <v>0</v>
      </c>
      <c r="U145">
        <v>0</v>
      </c>
      <c r="V145">
        <v>95</v>
      </c>
      <c r="W145">
        <v>0</v>
      </c>
      <c r="X145">
        <v>0</v>
      </c>
      <c r="Y145">
        <v>0</v>
      </c>
      <c r="Z145" s="20">
        <v>118.32</v>
      </c>
      <c r="AA145" s="19">
        <f>IFERROR(PROPERTIES[[#This Row],[TE_STARTING_KN]]/(PROPERTIES[[#This Row],[WEIGHT]]*9.81),0)</f>
        <v>8.9209778694605793E-2</v>
      </c>
      <c r="AB145" s="19">
        <v>0</v>
      </c>
      <c r="AC145" s="16">
        <f>ROUND(IF(IFERROR(PROPERTIES[[#This Row],[TE_COEFFICIENT_CALC]],0)=0,PROPERTIES[[#This Row],[TE_COEFFICIENT_MANUAL]],PROPERTIES[[#This Row],[TE_COEFFICIENT_CALC]]),3)</f>
        <v>8.8999999999999996E-2</v>
      </c>
      <c r="AD145" s="8" cm="1">
        <f t="array" ref="AD1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45" s="26">
        <v>0</v>
      </c>
      <c r="AF145" s="6">
        <v>4</v>
      </c>
      <c r="AG145" t="s">
        <v>233</v>
      </c>
      <c r="AH145" t="s">
        <v>229</v>
      </c>
      <c r="AI145" t="s">
        <v>229</v>
      </c>
      <c r="AJ145" s="2" t="s">
        <v>229</v>
      </c>
      <c r="AK145" s="2" t="s">
        <v>244</v>
      </c>
      <c r="AL14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5" s="2" t="str">
        <f>SUBSTITUTE(SUBSTITUTE(PROPERTIES[[#This Row],[PURCHASECOST_VALUE]], "PURCHASECOST_", ""), "_VALUE", "")</f>
        <v>STEAMENGINE</v>
      </c>
      <c r="AO145" s="44" t="b">
        <v>0</v>
      </c>
      <c r="AP145" s="48" t="b">
        <v>0</v>
      </c>
      <c r="AQ145" s="48" t="b">
        <v>0</v>
      </c>
      <c r="AR145" s="48">
        <v>0</v>
      </c>
      <c r="AS145" s="48" t="b">
        <v>0</v>
      </c>
      <c r="AT145" s="7" t="b">
        <v>0</v>
      </c>
      <c r="AU145" s="40" t="str" cm="1">
        <f t="array" ref="AU145">_xlfn.XLOOKUP(PROPERTIES[[#This Row],[VEHIDCODE]],GRAPHICS_PROPERTIES[VEHIDCODE],GRAPHICS_PROPERTIES[TEMPLATE_ID]&amp;GRAPHICS_PROPERTIES[TEMPLATE_AMENDMENT_CODE])</f>
        <v>TPL_03A</v>
      </c>
    </row>
    <row r="146" spans="1:47" x14ac:dyDescent="0.35">
      <c r="A146" s="2" t="s">
        <v>2786</v>
      </c>
      <c r="B146">
        <v>1855</v>
      </c>
      <c r="C146">
        <v>1909</v>
      </c>
      <c r="D146" cm="1">
        <f t="array" ref="D1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6" s="40" t="str">
        <f>_xlfn.XLOOKUP(PROPERTIES[[#This Row],[VEHIDCODE]],CONTROL[VEHIDCODE],CONTROL[ENGLISH])</f>
        <v>Kitson 2-2-2WT 481 'Fairy Queen'</v>
      </c>
      <c r="F146" t="s">
        <v>631</v>
      </c>
      <c r="G146" s="40" t="str">
        <f>_xlfn.XLOOKUP(PROPERTIES[[#This Row],[COUNTRY]],COUNTRIES[COUNTRY_DESCRIPTION],COUNTRIES[COUNTRY_LABEL],"")</f>
        <v>IN</v>
      </c>
      <c r="H146" t="str" cm="1">
        <f t="array" ref="H1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6" t="s">
        <v>17</v>
      </c>
      <c r="J146">
        <v>0</v>
      </c>
      <c r="K146">
        <v>5</v>
      </c>
      <c r="L146">
        <v>0</v>
      </c>
      <c r="M146" t="str" cm="1">
        <f t="array" ref="M1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6">
        <f>_xlfn.XLOOKUP("LOADINGSPEEDDEF_"&amp;PROPERTIES[[#This Row],[LOADINGSPEED]],LOADINGSPEEDDEF[TYPE],LOADINGSPEEDDEF[SPEED])</f>
        <v>20</v>
      </c>
      <c r="O146" cm="1">
        <f t="array" ref="O1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6">
        <f>IF(ISNUMBER(SEARCH("passenger",PROPERTIES[[#This Row],[CARGODEF]])),1,0)</f>
        <v>0</v>
      </c>
      <c r="Q146" s="23">
        <v>28</v>
      </c>
      <c r="R146">
        <v>130</v>
      </c>
      <c r="S146">
        <v>0</v>
      </c>
      <c r="T146">
        <v>0</v>
      </c>
      <c r="U146">
        <v>0</v>
      </c>
      <c r="V146">
        <v>40</v>
      </c>
      <c r="W146">
        <v>0</v>
      </c>
      <c r="X146">
        <v>0</v>
      </c>
      <c r="Y146">
        <v>0</v>
      </c>
      <c r="Z146" s="20">
        <v>20</v>
      </c>
      <c r="AA146" s="19">
        <f>IFERROR(PROPERTIES[[#This Row],[TE_STARTING_KN]]/(PROPERTIES[[#This Row],[WEIGHT]]*9.81),0)</f>
        <v>7.2811999417504006E-2</v>
      </c>
      <c r="AB146" s="19">
        <v>0</v>
      </c>
      <c r="AC146" s="16">
        <f>ROUND(IF(IFERROR(PROPERTIES[[#This Row],[TE_COEFFICIENT_CALC]],0)=0,PROPERTIES[[#This Row],[TE_COEFFICIENT_MANUAL]],PROPERTIES[[#This Row],[TE_COEFFICIENT_CALC]]),3)</f>
        <v>7.2999999999999995E-2</v>
      </c>
      <c r="AD146" s="8" cm="1">
        <f t="array" ref="AD1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146" s="26">
        <v>0</v>
      </c>
      <c r="AF146" s="6">
        <v>0</v>
      </c>
      <c r="AG146" t="s">
        <v>238</v>
      </c>
      <c r="AH146" t="s">
        <v>229</v>
      </c>
      <c r="AI146" t="s">
        <v>229</v>
      </c>
      <c r="AJ146" s="2" t="s">
        <v>229</v>
      </c>
      <c r="AK146" s="2" t="s">
        <v>244</v>
      </c>
      <c r="AL14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6" s="2" t="str">
        <f>SUBSTITUTE(SUBSTITUTE(PROPERTIES[[#This Row],[PURCHASECOST_VALUE]], "PURCHASECOST_", ""), "_VALUE", "")</f>
        <v>STEAMENGINE</v>
      </c>
      <c r="AO146" s="44" t="b">
        <v>0</v>
      </c>
      <c r="AP146" s="48" t="b">
        <v>0</v>
      </c>
      <c r="AQ146" s="48" t="b">
        <v>0</v>
      </c>
      <c r="AR146" s="48">
        <v>0</v>
      </c>
      <c r="AS146" s="48" t="b">
        <v>0</v>
      </c>
      <c r="AT146" s="7" t="b">
        <v>0</v>
      </c>
      <c r="AU146" s="40" t="str" cm="1">
        <f t="array" ref="AU146">_xlfn.XLOOKUP(PROPERTIES[[#This Row],[VEHIDCODE]],GRAPHICS_PROPERTIES[VEHIDCODE],GRAPHICS_PROPERTIES[TEMPLATE_ID]&amp;GRAPHICS_PROPERTIES[TEMPLATE_AMENDMENT_CODE])</f>
        <v>TPL_03C</v>
      </c>
    </row>
    <row r="147" spans="1:47" x14ac:dyDescent="0.35">
      <c r="A147" s="2" t="s">
        <v>2787</v>
      </c>
      <c r="B147">
        <v>1889</v>
      </c>
      <c r="D147" cm="1">
        <f t="array" ref="D1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7" s="40" t="str">
        <f>_xlfn.XLOOKUP(PROPERTIES[[#This Row],[VEHIDCODE]],CONTROL[VEHIDCODE],CONTROL[ENGLISH])</f>
        <v>Sharp, Stewart &amp; Co. 0-4-0ST DHR B</v>
      </c>
      <c r="F147" t="s">
        <v>631</v>
      </c>
      <c r="G147" s="40" t="str">
        <f>_xlfn.XLOOKUP(PROPERTIES[[#This Row],[COUNTRY]],COUNTRIES[COUNTRY_DESCRIPTION],COUNTRIES[COUNTRY_LABEL],"")</f>
        <v>IN</v>
      </c>
      <c r="H147" t="str" cm="1">
        <f t="array" ref="H1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7" t="s">
        <v>17</v>
      </c>
      <c r="J147">
        <v>0</v>
      </c>
      <c r="K147">
        <v>5</v>
      </c>
      <c r="L147">
        <v>0</v>
      </c>
      <c r="M147" t="str" cm="1">
        <f t="array" ref="M1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7">
        <f>_xlfn.XLOOKUP("LOADINGSPEEDDEF_"&amp;PROPERTIES[[#This Row],[LOADINGSPEED]],LOADINGSPEEDDEF[TYPE],LOADINGSPEEDDEF[SPEED])</f>
        <v>20</v>
      </c>
      <c r="O147" cm="1">
        <f t="array" ref="O1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7">
        <f>IF(ISNUMBER(SEARCH("passenger",PROPERTIES[[#This Row],[CARGODEF]])),1,0)</f>
        <v>0</v>
      </c>
      <c r="Q147" s="23">
        <v>14.2</v>
      </c>
      <c r="R147">
        <v>100</v>
      </c>
      <c r="S147">
        <v>0</v>
      </c>
      <c r="T147">
        <v>0</v>
      </c>
      <c r="U147">
        <v>0</v>
      </c>
      <c r="V147">
        <v>25</v>
      </c>
      <c r="W147">
        <v>0</v>
      </c>
      <c r="X147">
        <v>0</v>
      </c>
      <c r="Y147">
        <v>0</v>
      </c>
      <c r="Z147" s="20">
        <v>34.47</v>
      </c>
      <c r="AA147" s="19">
        <f>IFERROR(PROPERTIES[[#This Row],[TE_STARTING_KN]]/(PROPERTIES[[#This Row],[WEIGHT]]*9.81),0)</f>
        <v>0.24744799069647241</v>
      </c>
      <c r="AB147" s="19">
        <v>0</v>
      </c>
      <c r="AC147" s="16">
        <f>ROUND(IF(IFERROR(PROPERTIES[[#This Row],[TE_COEFFICIENT_CALC]],0)=0,PROPERTIES[[#This Row],[TE_COEFFICIENT_MANUAL]],PROPERTIES[[#This Row],[TE_COEFFICIENT_CALC]]),3)</f>
        <v>0.247</v>
      </c>
      <c r="AD147" s="8" cm="1">
        <f t="array" ref="AD1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7" s="26">
        <v>0</v>
      </c>
      <c r="AF147" s="6">
        <v>2</v>
      </c>
      <c r="AG147" t="s">
        <v>238</v>
      </c>
      <c r="AH147" t="s">
        <v>229</v>
      </c>
      <c r="AI147" t="s">
        <v>229</v>
      </c>
      <c r="AJ147" s="2" t="s">
        <v>229</v>
      </c>
      <c r="AK147" s="2" t="s">
        <v>244</v>
      </c>
      <c r="AL14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7" s="2" t="str">
        <f>SUBSTITUTE(SUBSTITUTE(PROPERTIES[[#This Row],[PURCHASECOST_VALUE]], "PURCHASECOST_", ""), "_VALUE", "")</f>
        <v>STEAMENGINE</v>
      </c>
      <c r="AO147" s="44" t="b">
        <v>0</v>
      </c>
      <c r="AP147" s="48" t="b">
        <v>0</v>
      </c>
      <c r="AQ147" s="48" t="b">
        <v>0</v>
      </c>
      <c r="AR147" s="48">
        <v>0</v>
      </c>
      <c r="AS147" s="48" t="b">
        <v>0</v>
      </c>
      <c r="AT147" s="7" t="b">
        <v>0</v>
      </c>
      <c r="AU147" s="40" t="str" cm="1">
        <f t="array" ref="AU147">_xlfn.XLOOKUP(PROPERTIES[[#This Row],[VEHIDCODE]],GRAPHICS_PROPERTIES[VEHIDCODE],GRAPHICS_PROPERTIES[TEMPLATE_ID]&amp;GRAPHICS_PROPERTIES[TEMPLATE_AMENDMENT_CODE])</f>
        <v>TPL_03A</v>
      </c>
    </row>
    <row r="148" spans="1:47" x14ac:dyDescent="0.35">
      <c r="A148" s="2" t="s">
        <v>2788</v>
      </c>
      <c r="B148">
        <v>1895</v>
      </c>
      <c r="D148" cm="1">
        <f t="array" ref="D1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8" s="40" t="str">
        <f>_xlfn.XLOOKUP(PROPERTIES[[#This Row],[VEHIDCODE]],CONTROL[VEHIDCODE],CONTROL[ENGLISH])</f>
        <v>Baldwin 2-8-0 Sentetsu Sorii</v>
      </c>
      <c r="F148" t="s">
        <v>575</v>
      </c>
      <c r="G148" s="40" t="str">
        <f>_xlfn.XLOOKUP(PROPERTIES[[#This Row],[COUNTRY]],COUNTRIES[COUNTRY_DESCRIPTION],COUNTRIES[COUNTRY_LABEL],"")</f>
        <v>CN</v>
      </c>
      <c r="H148" t="str" cm="1">
        <f t="array" ref="H1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8" t="s">
        <v>17</v>
      </c>
      <c r="J148">
        <v>0</v>
      </c>
      <c r="K148">
        <v>5</v>
      </c>
      <c r="L148">
        <v>0</v>
      </c>
      <c r="M148" t="str" cm="1">
        <f t="array" ref="M1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8">
        <f>_xlfn.XLOOKUP("LOADINGSPEEDDEF_"&amp;PROPERTIES[[#This Row],[LOADINGSPEED]],LOADINGSPEEDDEF[TYPE],LOADINGSPEEDDEF[SPEED])</f>
        <v>20</v>
      </c>
      <c r="O148" cm="1">
        <f t="array" ref="O1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8">
        <f>IF(ISNUMBER(SEARCH("passenger",PROPERTIES[[#This Row],[CARGODEF]])),1,0)</f>
        <v>0</v>
      </c>
      <c r="Q148" s="23">
        <v>102.5</v>
      </c>
      <c r="R148">
        <v>850</v>
      </c>
      <c r="S148">
        <v>0</v>
      </c>
      <c r="T148">
        <v>0</v>
      </c>
      <c r="U148">
        <v>0</v>
      </c>
      <c r="V148">
        <v>70</v>
      </c>
      <c r="W148">
        <v>0</v>
      </c>
      <c r="X148">
        <v>0</v>
      </c>
      <c r="Y148">
        <v>0</v>
      </c>
      <c r="Z148" s="20">
        <v>130</v>
      </c>
      <c r="AA148" s="19">
        <f>IFERROR(PROPERTIES[[#This Row],[TE_STARTING_KN]]/(PROPERTIES[[#This Row],[WEIGHT]]*9.81),0)</f>
        <v>0.12928569652669003</v>
      </c>
      <c r="AB148" s="19">
        <v>0</v>
      </c>
      <c r="AC148" s="16">
        <f>ROUND(IF(IFERROR(PROPERTIES[[#This Row],[TE_COEFFICIENT_CALC]],0)=0,PROPERTIES[[#This Row],[TE_COEFFICIENT_MANUAL]],PROPERTIES[[#This Row],[TE_COEFFICIENT_CALC]]),3)</f>
        <v>0.129</v>
      </c>
      <c r="AD148" s="8" cm="1">
        <f t="array" ref="AD1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8" s="26">
        <v>0</v>
      </c>
      <c r="AF148" s="6">
        <v>3</v>
      </c>
      <c r="AG148" t="s">
        <v>238</v>
      </c>
      <c r="AH148" t="s">
        <v>229</v>
      </c>
      <c r="AI148" t="s">
        <v>229</v>
      </c>
      <c r="AJ148" s="2" t="s">
        <v>229</v>
      </c>
      <c r="AK148" s="2" t="s">
        <v>244</v>
      </c>
      <c r="AL14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8" s="2" t="str">
        <f>SUBSTITUTE(SUBSTITUTE(PROPERTIES[[#This Row],[PURCHASECOST_VALUE]], "PURCHASECOST_", ""), "_VALUE", "")</f>
        <v>STEAMENGINE</v>
      </c>
      <c r="AO148" s="44" t="b">
        <v>0</v>
      </c>
      <c r="AP148" s="48" t="b">
        <v>0</v>
      </c>
      <c r="AQ148" s="48" t="b">
        <v>0</v>
      </c>
      <c r="AR148" s="48">
        <v>0</v>
      </c>
      <c r="AS148" s="48" t="b">
        <v>0</v>
      </c>
      <c r="AT148" s="7" t="b">
        <v>0</v>
      </c>
      <c r="AU148" s="40" t="str" cm="1">
        <f t="array" ref="AU148">_xlfn.XLOOKUP(PROPERTIES[[#This Row],[VEHIDCODE]],GRAPHICS_PROPERTIES[VEHIDCODE],GRAPHICS_PROPERTIES[TEMPLATE_ID]&amp;GRAPHICS_PROPERTIES[TEMPLATE_AMENDMENT_CODE])</f>
        <v>TPL_03A</v>
      </c>
    </row>
    <row r="149" spans="1:47" x14ac:dyDescent="0.35">
      <c r="A149" s="2" t="s">
        <v>2789</v>
      </c>
      <c r="B149">
        <v>1906</v>
      </c>
      <c r="C149">
        <v>1936</v>
      </c>
      <c r="D149" cm="1">
        <f t="array" ref="D1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9" s="40" t="str">
        <f>_xlfn.XLOOKUP(PROPERTIES[[#This Row],[VEHIDCODE]],CONTROL[VEHIDCODE],CONTROL[ENGLISH])</f>
        <v>Putilov 4-6-0 U</v>
      </c>
      <c r="F149" t="s">
        <v>716</v>
      </c>
      <c r="G149" s="40" t="str">
        <f>_xlfn.XLOOKUP(PROPERTIES[[#This Row],[COUNTRY]],COUNTRIES[COUNTRY_DESCRIPTION],COUNTRIES[COUNTRY_LABEL],"")</f>
        <v>RU</v>
      </c>
      <c r="H149" t="str" cm="1">
        <f t="array" ref="H1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9" t="s">
        <v>17</v>
      </c>
      <c r="J149">
        <v>0</v>
      </c>
      <c r="K149">
        <v>5</v>
      </c>
      <c r="L149">
        <v>0</v>
      </c>
      <c r="M149" t="str" cm="1">
        <f t="array" ref="M1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9">
        <f>_xlfn.XLOOKUP("LOADINGSPEEDDEF_"&amp;PROPERTIES[[#This Row],[LOADINGSPEED]],LOADINGSPEEDDEF[TYPE],LOADINGSPEEDDEF[SPEED])</f>
        <v>20</v>
      </c>
      <c r="O149" cm="1">
        <f t="array" ref="O1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9">
        <f>IF(ISNUMBER(SEARCH("passenger",PROPERTIES[[#This Row],[CARGODEF]])),1,0)</f>
        <v>0</v>
      </c>
      <c r="Q149" s="23">
        <v>126.5</v>
      </c>
      <c r="R149">
        <v>1200</v>
      </c>
      <c r="S149">
        <v>0</v>
      </c>
      <c r="T149">
        <v>0</v>
      </c>
      <c r="U149">
        <v>0</v>
      </c>
      <c r="V149">
        <v>115</v>
      </c>
      <c r="W149">
        <v>0</v>
      </c>
      <c r="X149">
        <v>0</v>
      </c>
      <c r="Y149">
        <v>0</v>
      </c>
      <c r="Z149" s="20">
        <v>87</v>
      </c>
      <c r="AA149" s="19">
        <f>IFERROR(PROPERTIES[[#This Row],[TE_STARTING_KN]]/(PROPERTIES[[#This Row],[WEIGHT]]*9.81),0)</f>
        <v>7.0106731454956411E-2</v>
      </c>
      <c r="AB149" s="19">
        <v>0</v>
      </c>
      <c r="AC149" s="16">
        <f>ROUND(IF(IFERROR(PROPERTIES[[#This Row],[TE_COEFFICIENT_CALC]],0)=0,PROPERTIES[[#This Row],[TE_COEFFICIENT_MANUAL]],PROPERTIES[[#This Row],[TE_COEFFICIENT_CALC]]),3)</f>
        <v>7.0000000000000007E-2</v>
      </c>
      <c r="AD149" s="8" cm="1">
        <f t="array" ref="AD1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9" s="26">
        <v>0</v>
      </c>
      <c r="AF149" s="6">
        <v>3</v>
      </c>
      <c r="AG149" t="s">
        <v>1951</v>
      </c>
      <c r="AH149" t="s">
        <v>229</v>
      </c>
      <c r="AI149" t="s">
        <v>229</v>
      </c>
      <c r="AJ149" s="2" t="s">
        <v>229</v>
      </c>
      <c r="AK149" s="2" t="s">
        <v>244</v>
      </c>
      <c r="AL14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9" s="2" t="str">
        <f>SUBSTITUTE(SUBSTITUTE(PROPERTIES[[#This Row],[PURCHASECOST_VALUE]], "PURCHASECOST_", ""), "_VALUE", "")</f>
        <v>STEAMENGINE</v>
      </c>
      <c r="AO149" s="44" t="b">
        <v>0</v>
      </c>
      <c r="AP149" s="48" t="b">
        <v>0</v>
      </c>
      <c r="AQ149" s="48" t="b">
        <v>0</v>
      </c>
      <c r="AR149" s="48">
        <v>0</v>
      </c>
      <c r="AS149" s="48" t="b">
        <v>0</v>
      </c>
      <c r="AT149" s="7" t="b">
        <v>0</v>
      </c>
      <c r="AU149" s="40" t="str" cm="1">
        <f t="array" ref="AU149">_xlfn.XLOOKUP(PROPERTIES[[#This Row],[VEHIDCODE]],GRAPHICS_PROPERTIES[VEHIDCODE],GRAPHICS_PROPERTIES[TEMPLATE_ID]&amp;GRAPHICS_PROPERTIES[TEMPLATE_AMENDMENT_CODE])</f>
        <v>TPL_03A</v>
      </c>
    </row>
    <row r="150" spans="1:47" x14ac:dyDescent="0.35">
      <c r="A150" s="2" t="s">
        <v>2790</v>
      </c>
      <c r="B150">
        <v>1915</v>
      </c>
      <c r="C150">
        <v>1970</v>
      </c>
      <c r="D150" cm="1">
        <f t="array" ref="D1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0" s="40" t="str">
        <f>_xlfn.XLOOKUP(PROPERTIES[[#This Row],[VEHIDCODE]],CONTROL[VEHIDCODE],CONTROL[ENGLISH])</f>
        <v>Baldwin 12-44 F 2-10-0 'Ye'</v>
      </c>
      <c r="F150" t="s">
        <v>716</v>
      </c>
      <c r="G150" s="40" t="str">
        <f>_xlfn.XLOOKUP(PROPERTIES[[#This Row],[COUNTRY]],COUNTRIES[COUNTRY_DESCRIPTION],COUNTRIES[COUNTRY_LABEL],"")</f>
        <v>RU</v>
      </c>
      <c r="H150" t="str" cm="1">
        <f t="array" ref="H1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0" t="s">
        <v>17</v>
      </c>
      <c r="J150">
        <v>0</v>
      </c>
      <c r="K150">
        <v>5</v>
      </c>
      <c r="L150">
        <v>0</v>
      </c>
      <c r="M150" t="str" cm="1">
        <f t="array" ref="M1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0">
        <f>_xlfn.XLOOKUP("LOADINGSPEEDDEF_"&amp;PROPERTIES[[#This Row],[LOADINGSPEED]],LOADINGSPEEDDEF[TYPE],LOADINGSPEEDDEF[SPEED])</f>
        <v>20</v>
      </c>
      <c r="O150" cm="1">
        <f t="array" ref="O1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0">
        <f>IF(ISNUMBER(SEARCH("passenger",PROPERTIES[[#This Row],[CARGODEF]])),1,0)</f>
        <v>0</v>
      </c>
      <c r="Q150" s="23">
        <v>155</v>
      </c>
      <c r="R150">
        <v>1600</v>
      </c>
      <c r="S150">
        <v>0</v>
      </c>
      <c r="T150">
        <v>0</v>
      </c>
      <c r="U150">
        <v>0</v>
      </c>
      <c r="V150">
        <v>89</v>
      </c>
      <c r="W150">
        <v>0</v>
      </c>
      <c r="X150">
        <v>0</v>
      </c>
      <c r="Y150">
        <v>0</v>
      </c>
      <c r="Z150" s="20">
        <v>229.08</v>
      </c>
      <c r="AA150" s="19">
        <f>IFERROR(PROPERTIES[[#This Row],[TE_STARTING_KN]]/(PROPERTIES[[#This Row],[WEIGHT]]*9.81),0)</f>
        <v>0.15065601262700995</v>
      </c>
      <c r="AB150" s="19">
        <v>0</v>
      </c>
      <c r="AC150" s="16">
        <f>ROUND(IF(IFERROR(PROPERTIES[[#This Row],[TE_COEFFICIENT_CALC]],0)=0,PROPERTIES[[#This Row],[TE_COEFFICIENT_MANUAL]],PROPERTIES[[#This Row],[TE_COEFFICIENT_CALC]]),3)</f>
        <v>0.151</v>
      </c>
      <c r="AD150" s="8" cm="1">
        <f t="array" ref="AD1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55</v>
      </c>
      <c r="AE150" s="26">
        <v>0</v>
      </c>
      <c r="AF150" s="6">
        <v>3</v>
      </c>
      <c r="AG150" t="s">
        <v>1951</v>
      </c>
      <c r="AH150" t="s">
        <v>229</v>
      </c>
      <c r="AI150" t="s">
        <v>229</v>
      </c>
      <c r="AJ150" s="2" t="s">
        <v>229</v>
      </c>
      <c r="AK150" s="2" t="s">
        <v>244</v>
      </c>
      <c r="AL15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0" s="2" t="str">
        <f>SUBSTITUTE(SUBSTITUTE(PROPERTIES[[#This Row],[PURCHASECOST_VALUE]], "PURCHASECOST_", ""), "_VALUE", "")</f>
        <v>STEAMENGINE</v>
      </c>
      <c r="AO150" s="44" t="b">
        <v>0</v>
      </c>
      <c r="AP150" s="48" t="b">
        <v>0</v>
      </c>
      <c r="AQ150" s="48" t="b">
        <v>0</v>
      </c>
      <c r="AR150" s="48">
        <v>0</v>
      </c>
      <c r="AS150" s="48" t="b">
        <v>0</v>
      </c>
      <c r="AT150" s="7" t="b">
        <v>0</v>
      </c>
      <c r="AU150" s="40" t="str" cm="1">
        <f t="array" ref="AU150">_xlfn.XLOOKUP(PROPERTIES[[#This Row],[VEHIDCODE]],GRAPHICS_PROPERTIES[VEHIDCODE],GRAPHICS_PROPERTIES[TEMPLATE_ID]&amp;GRAPHICS_PROPERTIES[TEMPLATE_AMENDMENT_CODE])</f>
        <v>TPL_03A</v>
      </c>
    </row>
    <row r="151" spans="1:47" x14ac:dyDescent="0.35">
      <c r="A151" s="2" t="s">
        <v>2791</v>
      </c>
      <c r="B151">
        <v>1918</v>
      </c>
      <c r="C151">
        <v>1960</v>
      </c>
      <c r="D151" cm="1">
        <f t="array" ref="D1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1" s="40" t="str">
        <f>_xlfn.XLOOKUP(PROPERTIES[[#This Row],[VEHIDCODE]],CONTROL[VEHIDCODE],CONTROL[ENGLISH])</f>
        <v>Baldwin 4-6-0 50201</v>
      </c>
      <c r="F151" t="s">
        <v>629</v>
      </c>
      <c r="G151" s="40" t="str">
        <f>_xlfn.XLOOKUP(PROPERTIES[[#This Row],[COUNTRY]],COUNTRIES[COUNTRY_DESCRIPTION],COUNTRIES[COUNTRY_LABEL],"")</f>
        <v>IL</v>
      </c>
      <c r="H151" t="str" cm="1">
        <f t="array" ref="H1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1" t="s">
        <v>17</v>
      </c>
      <c r="J151">
        <v>0</v>
      </c>
      <c r="K151">
        <v>5</v>
      </c>
      <c r="L151">
        <v>0</v>
      </c>
      <c r="M151" t="str" cm="1">
        <f t="array" ref="M1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1">
        <f>_xlfn.XLOOKUP("LOADINGSPEEDDEF_"&amp;PROPERTIES[[#This Row],[LOADINGSPEED]],LOADINGSPEEDDEF[TYPE],LOADINGSPEEDDEF[SPEED])</f>
        <v>20</v>
      </c>
      <c r="O151" cm="1">
        <f t="array" ref="O1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1">
        <f>IF(ISNUMBER(SEARCH("passenger",PROPERTIES[[#This Row],[CARGODEF]])),1,0)</f>
        <v>0</v>
      </c>
      <c r="Q151" s="23">
        <v>119</v>
      </c>
      <c r="R151">
        <v>1050</v>
      </c>
      <c r="S151">
        <v>0</v>
      </c>
      <c r="T151">
        <v>0</v>
      </c>
      <c r="U151">
        <v>0</v>
      </c>
      <c r="V151">
        <v>85</v>
      </c>
      <c r="W151">
        <v>0</v>
      </c>
      <c r="X151">
        <v>0</v>
      </c>
      <c r="Y151">
        <v>0</v>
      </c>
      <c r="Z151" s="20">
        <v>108.9</v>
      </c>
      <c r="AA151" s="19">
        <f>IFERROR(PROPERTIES[[#This Row],[TE_STARTING_KN]]/(PROPERTIES[[#This Row],[WEIGHT]]*9.81),0)</f>
        <v>9.3285020430190421E-2</v>
      </c>
      <c r="AB151" s="19">
        <v>0</v>
      </c>
      <c r="AC151" s="16">
        <f>ROUND(IF(IFERROR(PROPERTIES[[#This Row],[TE_COEFFICIENT_CALC]],0)=0,PROPERTIES[[#This Row],[TE_COEFFICIENT_MANUAL]],PROPERTIES[[#This Row],[TE_COEFFICIENT_CALC]]),3)</f>
        <v>9.2999999999999999E-2</v>
      </c>
      <c r="AD151" s="8" cm="1">
        <f t="array" ref="AD1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151" s="26">
        <v>0</v>
      </c>
      <c r="AF151" s="6">
        <v>3</v>
      </c>
      <c r="AG151" t="s">
        <v>238</v>
      </c>
      <c r="AH151" t="s">
        <v>229</v>
      </c>
      <c r="AI151" t="s">
        <v>229</v>
      </c>
      <c r="AJ151" s="2" t="s">
        <v>229</v>
      </c>
      <c r="AK151" s="2" t="s">
        <v>244</v>
      </c>
      <c r="AL15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1" s="2" t="str">
        <f>SUBSTITUTE(SUBSTITUTE(PROPERTIES[[#This Row],[PURCHASECOST_VALUE]], "PURCHASECOST_", ""), "_VALUE", "")</f>
        <v>STEAMENGINE</v>
      </c>
      <c r="AO151" s="44" t="b">
        <v>0</v>
      </c>
      <c r="AP151" s="48" t="b">
        <v>0</v>
      </c>
      <c r="AQ151" s="48" t="b">
        <v>0</v>
      </c>
      <c r="AR151" s="48">
        <v>0</v>
      </c>
      <c r="AS151" s="48" t="b">
        <v>0</v>
      </c>
      <c r="AT151" s="7" t="b">
        <v>0</v>
      </c>
      <c r="AU151" s="40" t="str" cm="1">
        <f t="array" ref="AU151">_xlfn.XLOOKUP(PROPERTIES[[#This Row],[VEHIDCODE]],GRAPHICS_PROPERTIES[VEHIDCODE],GRAPHICS_PROPERTIES[TEMPLATE_ID]&amp;GRAPHICS_PROPERTIES[TEMPLATE_AMENDMENT_CODE])</f>
        <v>TPL_03A</v>
      </c>
    </row>
    <row r="152" spans="1:47" x14ac:dyDescent="0.35">
      <c r="A152" s="2" t="s">
        <v>2792</v>
      </c>
      <c r="B152">
        <v>1923</v>
      </c>
      <c r="C152">
        <v>1968</v>
      </c>
      <c r="D152" cm="1">
        <f t="array" ref="D1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2" s="40" t="str">
        <f>_xlfn.XLOOKUP(PROPERTIES[[#This Row],[VEHIDCODE]],CONTROL[VEHIDCODE],CONTROL[ENGLISH])</f>
        <v>FS 480</v>
      </c>
      <c r="F152" t="s">
        <v>636</v>
      </c>
      <c r="G152" s="40" t="str">
        <f>_xlfn.XLOOKUP(PROPERTIES[[#This Row],[COUNTRY]],COUNTRIES[COUNTRY_DESCRIPTION],COUNTRIES[COUNTRY_LABEL],"")</f>
        <v>IT</v>
      </c>
      <c r="H152" t="str" cm="1">
        <f t="array" ref="H1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2" t="s">
        <v>17</v>
      </c>
      <c r="J152">
        <v>0</v>
      </c>
      <c r="K152">
        <v>6</v>
      </c>
      <c r="L152">
        <v>0</v>
      </c>
      <c r="M152" t="str" cm="1">
        <f t="array" ref="M1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2">
        <f>_xlfn.XLOOKUP("LOADINGSPEEDDEF_"&amp;PROPERTIES[[#This Row],[LOADINGSPEED]],LOADINGSPEEDDEF[TYPE],LOADINGSPEEDDEF[SPEED])</f>
        <v>20</v>
      </c>
      <c r="O152" cm="1">
        <f t="array" ref="O1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2">
        <f>IF(ISNUMBER(SEARCH("passenger",PROPERTIES[[#This Row],[CARGODEF]])),1,0)</f>
        <v>0</v>
      </c>
      <c r="Q152" s="23">
        <v>128.80000000000001</v>
      </c>
      <c r="R152">
        <v>1500</v>
      </c>
      <c r="S152">
        <v>0</v>
      </c>
      <c r="T152">
        <v>0</v>
      </c>
      <c r="U152">
        <v>0</v>
      </c>
      <c r="V152">
        <v>70</v>
      </c>
      <c r="W152">
        <v>0</v>
      </c>
      <c r="X152">
        <v>0</v>
      </c>
      <c r="Y152">
        <v>0</v>
      </c>
      <c r="Z152" s="20">
        <v>177.4</v>
      </c>
      <c r="AA152" s="19">
        <f>IFERROR(PROPERTIES[[#This Row],[TE_STARTING_KN]]/(PROPERTIES[[#This Row],[WEIGHT]]*9.81),0)</f>
        <v>0.14040052931157834</v>
      </c>
      <c r="AB152" s="19">
        <v>0</v>
      </c>
      <c r="AC152" s="16">
        <f>ROUND(IF(IFERROR(PROPERTIES[[#This Row],[TE_COEFFICIENT_CALC]],0)=0,PROPERTIES[[#This Row],[TE_COEFFICIENT_MANUAL]],PROPERTIES[[#This Row],[TE_COEFFICIENT_CALC]]),3)</f>
        <v>0.14000000000000001</v>
      </c>
      <c r="AD152" s="8" cm="1">
        <f t="array" ref="AD1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52" s="26">
        <v>0</v>
      </c>
      <c r="AF152" s="6">
        <v>4</v>
      </c>
      <c r="AG152" t="s">
        <v>231</v>
      </c>
      <c r="AH152" t="s">
        <v>229</v>
      </c>
      <c r="AI152" t="s">
        <v>229</v>
      </c>
      <c r="AJ152" s="2" t="s">
        <v>229</v>
      </c>
      <c r="AK152" s="2" t="s">
        <v>244</v>
      </c>
      <c r="AL15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2" s="2" t="str">
        <f>SUBSTITUTE(SUBSTITUTE(PROPERTIES[[#This Row],[PURCHASECOST_VALUE]], "PURCHASECOST_", ""), "_VALUE", "")</f>
        <v>STEAMENGINE</v>
      </c>
      <c r="AO152" s="44" t="b">
        <v>0</v>
      </c>
      <c r="AP152" s="48" t="b">
        <v>0</v>
      </c>
      <c r="AQ152" s="48" t="b">
        <v>0</v>
      </c>
      <c r="AR152" s="48">
        <v>0</v>
      </c>
      <c r="AS152" s="48" t="b">
        <v>0</v>
      </c>
      <c r="AT152" s="7" t="b">
        <v>0</v>
      </c>
      <c r="AU152" s="40" t="str" cm="1">
        <f t="array" ref="AU152">_xlfn.XLOOKUP(PROPERTIES[[#This Row],[VEHIDCODE]],GRAPHICS_PROPERTIES[VEHIDCODE],GRAPHICS_PROPERTIES[TEMPLATE_ID]&amp;GRAPHICS_PROPERTIES[TEMPLATE_AMENDMENT_CODE])</f>
        <v>TPL_03A</v>
      </c>
    </row>
    <row r="153" spans="1:47" x14ac:dyDescent="0.35">
      <c r="A153" s="2" t="s">
        <v>2793</v>
      </c>
      <c r="B153">
        <v>1928</v>
      </c>
      <c r="C153">
        <v>1960</v>
      </c>
      <c r="D153" cm="1">
        <f t="array" ref="D1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3" s="40" t="str">
        <f>_xlfn.XLOOKUP(PROPERTIES[[#This Row],[VEHIDCODE]],CONTROL[VEHIDCODE],CONTROL[ENGLISH])</f>
        <v>FS 691</v>
      </c>
      <c r="F153" t="s">
        <v>636</v>
      </c>
      <c r="G153" s="40" t="str">
        <f>_xlfn.XLOOKUP(PROPERTIES[[#This Row],[COUNTRY]],COUNTRIES[COUNTRY_DESCRIPTION],COUNTRIES[COUNTRY_LABEL],"")</f>
        <v>IT</v>
      </c>
      <c r="H153" t="str" cm="1">
        <f t="array" ref="H1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3" t="s">
        <v>17</v>
      </c>
      <c r="J153">
        <v>0</v>
      </c>
      <c r="K153">
        <v>6</v>
      </c>
      <c r="L153">
        <v>0</v>
      </c>
      <c r="M153" t="str" cm="1">
        <f t="array" ref="M1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3">
        <f>_xlfn.XLOOKUP("LOADINGSPEEDDEF_"&amp;PROPERTIES[[#This Row],[LOADINGSPEED]],LOADINGSPEEDDEF[TYPE],LOADINGSPEEDDEF[SPEED])</f>
        <v>20</v>
      </c>
      <c r="O153" cm="1">
        <f t="array" ref="O1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3">
        <f>IF(ISNUMBER(SEARCH("passenger",PROPERTIES[[#This Row],[CARGODEF]])),1,0)</f>
        <v>0</v>
      </c>
      <c r="Q153" s="23">
        <v>144</v>
      </c>
      <c r="R153">
        <v>1750</v>
      </c>
      <c r="S153">
        <v>0</v>
      </c>
      <c r="T153">
        <v>0</v>
      </c>
      <c r="U153">
        <v>0</v>
      </c>
      <c r="V153">
        <v>130</v>
      </c>
      <c r="W153">
        <v>0</v>
      </c>
      <c r="X153">
        <v>0</v>
      </c>
      <c r="Y153">
        <v>0</v>
      </c>
      <c r="Z153" s="20">
        <v>145</v>
      </c>
      <c r="AA153" s="19">
        <f>IFERROR(PROPERTIES[[#This Row],[TE_STARTING_KN]]/(PROPERTIES[[#This Row],[WEIGHT]]*9.81),0)</f>
        <v>0.10264469362328689</v>
      </c>
      <c r="AB153" s="19">
        <v>0</v>
      </c>
      <c r="AC153" s="16">
        <f>ROUND(IF(IFERROR(PROPERTIES[[#This Row],[TE_COEFFICIENT_CALC]],0)=0,PROPERTIES[[#This Row],[TE_COEFFICIENT_MANUAL]],PROPERTIES[[#This Row],[TE_COEFFICIENT_CALC]]),3)</f>
        <v>0.10299999999999999</v>
      </c>
      <c r="AD153" s="8" cm="1">
        <f t="array" ref="AD1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153" s="26">
        <v>0</v>
      </c>
      <c r="AF153" s="6">
        <v>4</v>
      </c>
      <c r="AG153" t="s">
        <v>231</v>
      </c>
      <c r="AH153" t="s">
        <v>229</v>
      </c>
      <c r="AI153" t="s">
        <v>229</v>
      </c>
      <c r="AJ153" s="2" t="s">
        <v>229</v>
      </c>
      <c r="AK153" s="2" t="s">
        <v>244</v>
      </c>
      <c r="AL15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3" s="2" t="str">
        <f>SUBSTITUTE(SUBSTITUTE(PROPERTIES[[#This Row],[PURCHASECOST_VALUE]], "PURCHASECOST_", ""), "_VALUE", "")</f>
        <v>STEAMENGINE</v>
      </c>
      <c r="AO153" s="44" t="b">
        <v>0</v>
      </c>
      <c r="AP153" s="48" t="b">
        <v>0</v>
      </c>
      <c r="AQ153" s="48" t="b">
        <v>0</v>
      </c>
      <c r="AR153" s="48">
        <v>0</v>
      </c>
      <c r="AS153" s="48" t="b">
        <v>0</v>
      </c>
      <c r="AT153" s="7" t="b">
        <v>0</v>
      </c>
      <c r="AU153" s="40" t="str" cm="1">
        <f t="array" ref="AU153">_xlfn.XLOOKUP(PROPERTIES[[#This Row],[VEHIDCODE]],GRAPHICS_PROPERTIES[VEHIDCODE],GRAPHICS_PROPERTIES[TEMPLATE_ID]&amp;GRAPHICS_PROPERTIES[TEMPLATE_AMENDMENT_CODE])</f>
        <v>TPL_03A</v>
      </c>
    </row>
    <row r="154" spans="1:47" x14ac:dyDescent="0.35">
      <c r="A154" s="2" t="s">
        <v>2794</v>
      </c>
      <c r="B154">
        <v>1943</v>
      </c>
      <c r="C154">
        <v>1975</v>
      </c>
      <c r="D154" cm="1">
        <f t="array" ref="D1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4" s="40" t="str">
        <f>_xlfn.XLOOKUP(PROPERTIES[[#This Row],[VEHIDCODE]],CONTROL[VEHIDCODE],CONTROL[ENGLISH])</f>
        <v>North British Lb 2-10-0</v>
      </c>
      <c r="F154" t="s">
        <v>615</v>
      </c>
      <c r="G154" s="40" t="str">
        <f>_xlfn.XLOOKUP(PROPERTIES[[#This Row],[COUNTRY]],COUNTRIES[COUNTRY_DESCRIPTION],COUNTRIES[COUNTRY_LABEL],"")</f>
        <v>GR</v>
      </c>
      <c r="H154" t="str" cm="1">
        <f t="array" ref="H1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4" t="s">
        <v>17</v>
      </c>
      <c r="J154">
        <v>0</v>
      </c>
      <c r="K154">
        <v>7</v>
      </c>
      <c r="L154">
        <v>0</v>
      </c>
      <c r="M154" t="str" cm="1">
        <f t="array" ref="M1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4">
        <f>_xlfn.XLOOKUP("LOADINGSPEEDDEF_"&amp;PROPERTIES[[#This Row],[LOADINGSPEED]],LOADINGSPEEDDEF[TYPE],LOADINGSPEEDDEF[SPEED])</f>
        <v>20</v>
      </c>
      <c r="O154" cm="1">
        <f t="array" ref="O1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4">
        <f>IF(ISNUMBER(SEARCH("passenger",PROPERTIES[[#This Row],[CARGODEF]])),1,0)</f>
        <v>0</v>
      </c>
      <c r="Q154" s="23">
        <v>138.5</v>
      </c>
      <c r="R154">
        <v>1600</v>
      </c>
      <c r="S154">
        <v>0</v>
      </c>
      <c r="T154">
        <v>0</v>
      </c>
      <c r="U154">
        <v>0</v>
      </c>
      <c r="V154">
        <v>75</v>
      </c>
      <c r="W154">
        <v>0</v>
      </c>
      <c r="X154">
        <v>0</v>
      </c>
      <c r="Y154">
        <v>0</v>
      </c>
      <c r="Z154" s="20">
        <v>152.19999999999999</v>
      </c>
      <c r="AA154" s="19">
        <f>IFERROR(PROPERTIES[[#This Row],[TE_STARTING_KN]]/(PROPERTIES[[#This Row],[WEIGHT]]*9.81),0)</f>
        <v>0.11202007823741336</v>
      </c>
      <c r="AB154" s="19">
        <v>0</v>
      </c>
      <c r="AC154" s="16">
        <f>ROUND(IF(IFERROR(PROPERTIES[[#This Row],[TE_COEFFICIENT_CALC]],0)=0,PROPERTIES[[#This Row],[TE_COEFFICIENT_MANUAL]],PROPERTIES[[#This Row],[TE_COEFFICIENT_CALC]]),3)</f>
        <v>0.112</v>
      </c>
      <c r="AD154" s="8" cm="1">
        <f t="array" ref="AD1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154" s="26">
        <v>0</v>
      </c>
      <c r="AF154" s="6">
        <v>4</v>
      </c>
      <c r="AG154" t="s">
        <v>231</v>
      </c>
      <c r="AH154" t="s">
        <v>229</v>
      </c>
      <c r="AI154" t="s">
        <v>229</v>
      </c>
      <c r="AJ154" s="2" t="s">
        <v>229</v>
      </c>
      <c r="AK154" s="2" t="s">
        <v>244</v>
      </c>
      <c r="AL15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4" s="2" t="str">
        <f>SUBSTITUTE(SUBSTITUTE(PROPERTIES[[#This Row],[PURCHASECOST_VALUE]], "PURCHASECOST_", ""), "_VALUE", "")</f>
        <v>STEAMENGINE</v>
      </c>
      <c r="AO154" s="44" t="b">
        <v>0</v>
      </c>
      <c r="AP154" s="48" t="b">
        <v>0</v>
      </c>
      <c r="AQ154" s="48" t="b">
        <v>0</v>
      </c>
      <c r="AR154" s="48">
        <v>0</v>
      </c>
      <c r="AS154" s="48" t="b">
        <v>0</v>
      </c>
      <c r="AT154" s="7" t="b">
        <v>0</v>
      </c>
      <c r="AU154" s="40" t="str" cm="1">
        <f t="array" ref="AU154">_xlfn.XLOOKUP(PROPERTIES[[#This Row],[VEHIDCODE]],GRAPHICS_PROPERTIES[VEHIDCODE],GRAPHICS_PROPERTIES[TEMPLATE_ID]&amp;GRAPHICS_PROPERTIES[TEMPLATE_AMENDMENT_CODE])</f>
        <v>TPL_03A</v>
      </c>
    </row>
    <row r="155" spans="1:47" x14ac:dyDescent="0.35">
      <c r="A155" s="2" t="s">
        <v>2795</v>
      </c>
      <c r="B155">
        <v>1951</v>
      </c>
      <c r="D155" cm="1">
        <f t="array" ref="D1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5" s="40" t="str">
        <f>_xlfn.XLOOKUP(PROPERTIES[[#This Row],[VEHIDCODE]],CONTROL[VEHIDCODE],CONTROL[ENGLISH])</f>
        <v>ALCO/Baldwin 2-8-0 'USATC S160'</v>
      </c>
      <c r="F155" t="s">
        <v>534</v>
      </c>
      <c r="G155" s="40" t="str">
        <f>_xlfn.XLOOKUP(PROPERTIES[[#This Row],[COUNTRY]],COUNTRIES[COUNTRY_DESCRIPTION],COUNTRIES[COUNTRY_LABEL],"")</f>
        <v>AL</v>
      </c>
      <c r="H155" t="str" cm="1">
        <f t="array" ref="H1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5" t="s">
        <v>17</v>
      </c>
      <c r="J155">
        <v>0</v>
      </c>
      <c r="K155">
        <v>5</v>
      </c>
      <c r="L155">
        <v>0</v>
      </c>
      <c r="M155" t="str" cm="1">
        <f t="array" ref="M1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5">
        <f>_xlfn.XLOOKUP("LOADINGSPEEDDEF_"&amp;PROPERTIES[[#This Row],[LOADINGSPEED]],LOADINGSPEEDDEF[TYPE],LOADINGSPEEDDEF[SPEED])</f>
        <v>20</v>
      </c>
      <c r="O155" cm="1">
        <f t="array" ref="O1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5">
        <f>IF(ISNUMBER(SEARCH("passenger",PROPERTIES[[#This Row],[CARGODEF]])),1,0)</f>
        <v>0</v>
      </c>
      <c r="Q155" s="23">
        <v>123.5</v>
      </c>
      <c r="R155">
        <v>1200</v>
      </c>
      <c r="S155">
        <v>0</v>
      </c>
      <c r="T155">
        <v>0</v>
      </c>
      <c r="U155">
        <v>0</v>
      </c>
      <c r="V155">
        <v>80</v>
      </c>
      <c r="W155">
        <v>0</v>
      </c>
      <c r="X155">
        <v>0</v>
      </c>
      <c r="Y155">
        <v>0</v>
      </c>
      <c r="Z155" s="20">
        <v>138</v>
      </c>
      <c r="AA155" s="19">
        <f>IFERROR(PROPERTIES[[#This Row],[TE_STARTING_KN]]/(PROPERTIES[[#This Row],[WEIGHT]]*9.81),0)</f>
        <v>0.11390508734786861</v>
      </c>
      <c r="AB155" s="19">
        <v>0</v>
      </c>
      <c r="AC155" s="16">
        <f>ROUND(IF(IFERROR(PROPERTIES[[#This Row],[TE_COEFFICIENT_CALC]],0)=0,PROPERTIES[[#This Row],[TE_COEFFICIENT_MANUAL]],PROPERTIES[[#This Row],[TE_COEFFICIENT_CALC]]),3)</f>
        <v>0.114</v>
      </c>
      <c r="AD155" s="8" cm="1">
        <f t="array" ref="AD1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55" s="26">
        <v>0</v>
      </c>
      <c r="AF155" s="6">
        <v>0</v>
      </c>
      <c r="AG155" t="s">
        <v>231</v>
      </c>
      <c r="AH155" t="s">
        <v>229</v>
      </c>
      <c r="AI155" t="s">
        <v>229</v>
      </c>
      <c r="AJ155" s="2" t="s">
        <v>229</v>
      </c>
      <c r="AK155" s="2" t="s">
        <v>244</v>
      </c>
      <c r="AL15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5" s="2" t="str">
        <f>SUBSTITUTE(SUBSTITUTE(PROPERTIES[[#This Row],[PURCHASECOST_VALUE]], "PURCHASECOST_", ""), "_VALUE", "")</f>
        <v>STEAMENGINE</v>
      </c>
      <c r="AO155" s="44" t="b">
        <v>0</v>
      </c>
      <c r="AP155" s="48" t="b">
        <v>0</v>
      </c>
      <c r="AQ155" s="48" t="b">
        <v>0</v>
      </c>
      <c r="AR155" s="48">
        <v>0</v>
      </c>
      <c r="AS155" s="48" t="b">
        <v>0</v>
      </c>
      <c r="AT155" s="7" t="b">
        <v>0</v>
      </c>
      <c r="AU155" s="40" t="str" cm="1">
        <f t="array" ref="AU155">_xlfn.XLOOKUP(PROPERTIES[[#This Row],[VEHIDCODE]],GRAPHICS_PROPERTIES[VEHIDCODE],GRAPHICS_PROPERTIES[TEMPLATE_ID]&amp;GRAPHICS_PROPERTIES[TEMPLATE_AMENDMENT_CODE])</f>
        <v>TPL_03C</v>
      </c>
    </row>
    <row r="156" spans="1:47" x14ac:dyDescent="0.35">
      <c r="A156" s="2" t="s">
        <v>3474</v>
      </c>
      <c r="B156">
        <v>1955</v>
      </c>
      <c r="D156" cm="1">
        <f t="array" ref="D1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6" s="40" t="str">
        <f>_xlfn.XLOOKUP(PROPERTIES[[#This Row],[VEHIDCODE]],CONTROL[VEHIDCODE],CONTROL[ENGLISH])</f>
        <v>RENFE 4-8-4 242F 'Confederacion'</v>
      </c>
      <c r="F156" t="s">
        <v>595</v>
      </c>
      <c r="G156" s="40" t="str">
        <f>_xlfn.XLOOKUP(PROPERTIES[[#This Row],[COUNTRY]],COUNTRIES[COUNTRY_DESCRIPTION],COUNTRIES[COUNTRY_LABEL],"")</f>
        <v>ES</v>
      </c>
      <c r="H156" t="str" cm="1">
        <f t="array" ref="H1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6" t="s">
        <v>17</v>
      </c>
      <c r="J156">
        <v>0</v>
      </c>
      <c r="K156">
        <v>8</v>
      </c>
      <c r="M156" t="str" cm="1">
        <f t="array" ref="M1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6">
        <f>_xlfn.XLOOKUP("LOADINGSPEEDDEF_"&amp;PROPERTIES[[#This Row],[LOADINGSPEED]],LOADINGSPEEDDEF[TYPE],LOADINGSPEEDDEF[SPEED])</f>
        <v>20</v>
      </c>
      <c r="O156" cm="1">
        <f t="array" ref="O1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6">
        <f>IF(ISNUMBER(SEARCH("passenger",PROPERTIES[[#This Row],[CARGODEF]])),1,0)</f>
        <v>0</v>
      </c>
      <c r="Q156" s="23">
        <v>213.5</v>
      </c>
      <c r="R156">
        <v>3500</v>
      </c>
      <c r="S156">
        <v>0</v>
      </c>
      <c r="T156">
        <v>0</v>
      </c>
      <c r="U156">
        <v>0</v>
      </c>
      <c r="V156">
        <f>ROUND(1.62*75,0)</f>
        <v>122</v>
      </c>
      <c r="W156">
        <v>0</v>
      </c>
      <c r="X156">
        <v>0</v>
      </c>
      <c r="Y156">
        <v>0</v>
      </c>
      <c r="Z156" s="20">
        <v>0</v>
      </c>
      <c r="AA156" s="19">
        <f>IFERROR(PROPERTIES[[#This Row],[TE_STARTING_KN]]/(PROPERTIES[[#This Row],[WEIGHT]]*9.81),0)</f>
        <v>0</v>
      </c>
      <c r="AB156" s="19">
        <v>0.11</v>
      </c>
      <c r="AC156" s="16">
        <f>ROUND(IF(IFERROR(PROPERTIES[[#This Row],[TE_COEFFICIENT_CALC]],0)=0,PROPERTIES[[#This Row],[TE_COEFFICIENT_MANUAL]],PROPERTIES[[#This Row],[TE_COEFFICIENT_CALC]]),3)</f>
        <v>0.11</v>
      </c>
      <c r="AD156" s="8" cm="1">
        <f t="array" ref="AD1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56" s="26">
        <v>0</v>
      </c>
      <c r="AF156" s="6">
        <v>5</v>
      </c>
      <c r="AG156" t="s">
        <v>231</v>
      </c>
      <c r="AH156" t="s">
        <v>229</v>
      </c>
      <c r="AI156" t="s">
        <v>229</v>
      </c>
      <c r="AJ156" s="2" t="s">
        <v>229</v>
      </c>
      <c r="AK156" s="2" t="s">
        <v>244</v>
      </c>
      <c r="AL15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6" s="2" t="str">
        <f>SUBSTITUTE(SUBSTITUTE(PROPERTIES[[#This Row],[PURCHASECOST_VALUE]], "PURCHASECOST_", ""), "_VALUE", "")</f>
        <v>STEAMENGINE</v>
      </c>
      <c r="AO156" s="44" t="b">
        <v>0</v>
      </c>
      <c r="AP156" s="48" t="b">
        <v>0</v>
      </c>
      <c r="AQ156" s="48" t="b">
        <v>0</v>
      </c>
      <c r="AR156" s="48">
        <v>0</v>
      </c>
      <c r="AS156" s="48" t="b">
        <v>0</v>
      </c>
      <c r="AT156" s="7" t="b">
        <v>0</v>
      </c>
      <c r="AU156" s="40" t="str" cm="1">
        <f t="array" ref="AU156">_xlfn.XLOOKUP(PROPERTIES[[#This Row],[VEHIDCODE]],GRAPHICS_PROPERTIES[VEHIDCODE],GRAPHICS_PROPERTIES[TEMPLATE_ID]&amp;GRAPHICS_PROPERTIES[TEMPLATE_AMENDMENT_CODE])</f>
        <v>TPL_03A</v>
      </c>
    </row>
    <row r="157" spans="1:47" x14ac:dyDescent="0.35">
      <c r="A157" s="2" t="s">
        <v>2796</v>
      </c>
      <c r="B157">
        <v>1910</v>
      </c>
      <c r="C157">
        <v>1973</v>
      </c>
      <c r="D157" cm="1">
        <f t="array" ref="D1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7" s="40" t="str">
        <f>_xlfn.XLOOKUP(PROPERTIES[[#This Row],[VEHIDCODE]],CONTROL[VEHIDCODE],CONTROL[ENGLISH])</f>
        <v>Skoda 6Lo</v>
      </c>
      <c r="F157" t="s">
        <v>583</v>
      </c>
      <c r="G157" s="40" t="str">
        <f>_xlfn.XLOOKUP(PROPERTIES[[#This Row],[COUNTRY]],COUNTRIES[COUNTRY_DESCRIPTION],COUNTRIES[COUNTRY_LABEL],"")</f>
        <v>CZ</v>
      </c>
      <c r="H157" t="str" cm="1">
        <f t="array" ref="H1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7" t="s">
        <v>17</v>
      </c>
      <c r="J157">
        <v>0</v>
      </c>
      <c r="K157">
        <v>7</v>
      </c>
      <c r="L157">
        <v>0</v>
      </c>
      <c r="M157" t="str" cm="1">
        <f t="array" ref="M1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7">
        <f>_xlfn.XLOOKUP("LOADINGSPEEDDEF_"&amp;PROPERTIES[[#This Row],[LOADINGSPEED]],LOADINGSPEEDDEF[TYPE],LOADINGSPEEDDEF[SPEED])</f>
        <v>20</v>
      </c>
      <c r="O157" cm="1">
        <f t="array" ref="O1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7">
        <f>IF(ISNUMBER(SEARCH("passenger",PROPERTIES[[#This Row],[CARGODEF]])),1,0)</f>
        <v>0</v>
      </c>
      <c r="Q157" s="23">
        <v>132</v>
      </c>
      <c r="R157">
        <v>1400</v>
      </c>
      <c r="S157">
        <v>0</v>
      </c>
      <c r="T157">
        <v>0</v>
      </c>
      <c r="U157">
        <v>0</v>
      </c>
      <c r="V157">
        <v>60</v>
      </c>
      <c r="W157">
        <v>0</v>
      </c>
      <c r="X157">
        <v>0</v>
      </c>
      <c r="Y157">
        <v>0</v>
      </c>
      <c r="Z157" s="20">
        <v>195</v>
      </c>
      <c r="AA157" s="19">
        <f>IFERROR(PROPERTIES[[#This Row],[TE_STARTING_KN]]/(PROPERTIES[[#This Row],[WEIGHT]]*9.81),0)</f>
        <v>0.15058845334074691</v>
      </c>
      <c r="AB157" s="19">
        <v>0</v>
      </c>
      <c r="AC157" s="16">
        <f>ROUND(IF(IFERROR(PROPERTIES[[#This Row],[TE_COEFFICIENT_CALC]],0)=0,PROPERTIES[[#This Row],[TE_COEFFICIENT_MANUAL]],PROPERTIES[[#This Row],[TE_COEFFICIENT_CALC]]),3)</f>
        <v>0.151</v>
      </c>
      <c r="AD157" s="8" cm="1">
        <f t="array" ref="AD1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63</v>
      </c>
      <c r="AE157" s="26">
        <v>0</v>
      </c>
      <c r="AF157" s="6">
        <v>3</v>
      </c>
      <c r="AG157" t="s">
        <v>236</v>
      </c>
      <c r="AH157" t="s">
        <v>229</v>
      </c>
      <c r="AI157" t="s">
        <v>229</v>
      </c>
      <c r="AJ157" s="2" t="s">
        <v>229</v>
      </c>
      <c r="AK157" s="2" t="s">
        <v>244</v>
      </c>
      <c r="AL15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7" s="2" t="str">
        <f>SUBSTITUTE(SUBSTITUTE(PROPERTIES[[#This Row],[PURCHASECOST_VALUE]], "PURCHASECOST_", ""), "_VALUE", "")</f>
        <v>STEAMENGINE</v>
      </c>
      <c r="AO157" s="44" t="b">
        <v>0</v>
      </c>
      <c r="AP157" s="48" t="b">
        <v>0</v>
      </c>
      <c r="AQ157" s="48" t="b">
        <v>0</v>
      </c>
      <c r="AR157" s="48">
        <v>0</v>
      </c>
      <c r="AS157" s="48" t="b">
        <v>0</v>
      </c>
      <c r="AT157" s="7" t="b">
        <v>0</v>
      </c>
      <c r="AU157" s="40" t="str" cm="1">
        <f t="array" ref="AU157">_xlfn.XLOOKUP(PROPERTIES[[#This Row],[VEHIDCODE]],GRAPHICS_PROPERTIES[VEHIDCODE],GRAPHICS_PROPERTIES[TEMPLATE_ID]&amp;GRAPHICS_PROPERTIES[TEMPLATE_AMENDMENT_CODE])</f>
        <v>TPL_03A</v>
      </c>
    </row>
    <row r="158" spans="1:47" x14ac:dyDescent="0.35">
      <c r="A158" s="2" t="s">
        <v>2797</v>
      </c>
      <c r="B158">
        <v>1923</v>
      </c>
      <c r="C158">
        <v>1955</v>
      </c>
      <c r="D158" cm="1">
        <f t="array" ref="D1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8" s="40" t="str">
        <f>_xlfn.XLOOKUP(PROPERTIES[[#This Row],[VEHIDCODE]],CONTROL[VEHIDCODE],CONTROL[ENGLISH])</f>
        <v>Hanomag/Fablok 4-6-0 Ok22</v>
      </c>
      <c r="F158" t="s">
        <v>705</v>
      </c>
      <c r="G158" s="40" t="str">
        <f>_xlfn.XLOOKUP(PROPERTIES[[#This Row],[COUNTRY]],COUNTRIES[COUNTRY_DESCRIPTION],COUNTRIES[COUNTRY_LABEL],"")</f>
        <v>PL</v>
      </c>
      <c r="H158" t="str" cm="1">
        <f t="array" ref="H1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8" t="s">
        <v>17</v>
      </c>
      <c r="J158">
        <v>0</v>
      </c>
      <c r="K158">
        <v>6</v>
      </c>
      <c r="L158">
        <v>0</v>
      </c>
      <c r="M158" t="str" cm="1">
        <f t="array" ref="M1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8">
        <f>_xlfn.XLOOKUP("LOADINGSPEEDDEF_"&amp;PROPERTIES[[#This Row],[LOADINGSPEED]],LOADINGSPEEDDEF[TYPE],LOADINGSPEEDDEF[SPEED])</f>
        <v>20</v>
      </c>
      <c r="O158" cm="1">
        <f t="array" ref="O1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8">
        <f>IF(ISNUMBER(SEARCH("passenger",PROPERTIES[[#This Row],[CARGODEF]])),1,0)</f>
        <v>0</v>
      </c>
      <c r="Q158" s="23">
        <v>133</v>
      </c>
      <c r="R158">
        <v>980</v>
      </c>
      <c r="S158">
        <v>0</v>
      </c>
      <c r="T158">
        <v>0</v>
      </c>
      <c r="U158">
        <v>0</v>
      </c>
      <c r="V158">
        <v>100</v>
      </c>
      <c r="W158">
        <v>0</v>
      </c>
      <c r="X158">
        <v>0</v>
      </c>
      <c r="Y158">
        <v>0</v>
      </c>
      <c r="Z158" s="20">
        <v>123</v>
      </c>
      <c r="AA158" s="19">
        <f>IFERROR(PROPERTIES[[#This Row],[TE_STARTING_KN]]/(PROPERTIES[[#This Row],[WEIGHT]]*9.81),0)</f>
        <v>9.4272378193189399E-2</v>
      </c>
      <c r="AB158" s="19">
        <v>0</v>
      </c>
      <c r="AC158" s="16">
        <f>ROUND(IF(IFERROR(PROPERTIES[[#This Row],[TE_COEFFICIENT_CALC]],0)=0,PROPERTIES[[#This Row],[TE_COEFFICIENT_MANUAL]],PROPERTIES[[#This Row],[TE_COEFFICIENT_CALC]]),3)</f>
        <v>9.4E-2</v>
      </c>
      <c r="AD158" s="8" cm="1">
        <f t="array" ref="AD1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158" s="26">
        <v>0</v>
      </c>
      <c r="AF158" s="6">
        <v>3</v>
      </c>
      <c r="AG158" t="s">
        <v>236</v>
      </c>
      <c r="AH158" t="s">
        <v>229</v>
      </c>
      <c r="AI158" t="s">
        <v>229</v>
      </c>
      <c r="AJ158" s="2" t="s">
        <v>229</v>
      </c>
      <c r="AK158" s="2" t="s">
        <v>244</v>
      </c>
      <c r="AL15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8" s="2" t="str">
        <f>SUBSTITUTE(SUBSTITUTE(PROPERTIES[[#This Row],[PURCHASECOST_VALUE]], "PURCHASECOST_", ""), "_VALUE", "")</f>
        <v>STEAMENGINE</v>
      </c>
      <c r="AO158" s="44" t="b">
        <v>0</v>
      </c>
      <c r="AP158" s="48" t="b">
        <v>0</v>
      </c>
      <c r="AQ158" s="48" t="b">
        <v>0</v>
      </c>
      <c r="AR158" s="48">
        <v>0</v>
      </c>
      <c r="AS158" s="48" t="b">
        <v>0</v>
      </c>
      <c r="AT158" s="7" t="b">
        <v>0</v>
      </c>
      <c r="AU158" s="40" t="str" cm="1">
        <f t="array" ref="AU158">_xlfn.XLOOKUP(PROPERTIES[[#This Row],[VEHIDCODE]],GRAPHICS_PROPERTIES[VEHIDCODE],GRAPHICS_PROPERTIES[TEMPLATE_ID]&amp;GRAPHICS_PROPERTIES[TEMPLATE_AMENDMENT_CODE])</f>
        <v>TPL_03A</v>
      </c>
    </row>
    <row r="159" spans="1:47" x14ac:dyDescent="0.35">
      <c r="A159" s="2" t="s">
        <v>2798</v>
      </c>
      <c r="B159">
        <v>1924</v>
      </c>
      <c r="C159">
        <v>1980</v>
      </c>
      <c r="D159" cm="1">
        <f t="array" ref="D1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9" s="40" t="str">
        <f>_xlfn.XLOOKUP(PROPERTIES[[#This Row],[VEHIDCODE]],CONTROL[VEHIDCODE],CONTROL[ENGLISH])</f>
        <v>MAVAG 4-8-0 424</v>
      </c>
      <c r="F159" t="s">
        <v>624</v>
      </c>
      <c r="G159" s="40" t="str">
        <f>_xlfn.XLOOKUP(PROPERTIES[[#This Row],[COUNTRY]],COUNTRIES[COUNTRY_DESCRIPTION],COUNTRIES[COUNTRY_LABEL],"")</f>
        <v>HR</v>
      </c>
      <c r="H159" t="str" cm="1">
        <f t="array" ref="H1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9" t="s">
        <v>17</v>
      </c>
      <c r="J159">
        <v>0</v>
      </c>
      <c r="K159">
        <v>7</v>
      </c>
      <c r="L159">
        <v>0</v>
      </c>
      <c r="M159" t="str" cm="1">
        <f t="array" ref="M1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9">
        <f>_xlfn.XLOOKUP("LOADINGSPEEDDEF_"&amp;PROPERTIES[[#This Row],[LOADINGSPEED]],LOADINGSPEEDDEF[TYPE],LOADINGSPEEDDEF[SPEED])</f>
        <v>20</v>
      </c>
      <c r="O159" cm="1">
        <f t="array" ref="O1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9">
        <f>IF(ISNUMBER(SEARCH("passenger",PROPERTIES[[#This Row],[CARGODEF]])),1,0)</f>
        <v>0</v>
      </c>
      <c r="Q159" s="23">
        <v>145.19999999999999</v>
      </c>
      <c r="R159">
        <v>1350</v>
      </c>
      <c r="S159">
        <v>0</v>
      </c>
      <c r="T159">
        <v>0</v>
      </c>
      <c r="U159">
        <v>0</v>
      </c>
      <c r="V159">
        <v>90</v>
      </c>
      <c r="W159">
        <v>0</v>
      </c>
      <c r="X159">
        <v>0</v>
      </c>
      <c r="Y159">
        <v>0</v>
      </c>
      <c r="Z159" s="20">
        <v>113.2</v>
      </c>
      <c r="AA159" s="19">
        <f>IFERROR(PROPERTIES[[#This Row],[TE_STARTING_KN]]/(PROPERTIES[[#This Row],[WEIGHT]]*9.81),0)</f>
        <v>7.9471388895909323E-2</v>
      </c>
      <c r="AB159" s="19">
        <v>0</v>
      </c>
      <c r="AC159" s="16">
        <f>ROUND(IF(IFERROR(PROPERTIES[[#This Row],[TE_COEFFICIENT_CALC]],0)=0,PROPERTIES[[#This Row],[TE_COEFFICIENT_MANUAL]],PROPERTIES[[#This Row],[TE_COEFFICIENT_CALC]]),3)</f>
        <v>7.9000000000000001E-2</v>
      </c>
      <c r="AD159" s="8" cm="1">
        <f t="array" ref="AD1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159" s="26">
        <v>0</v>
      </c>
      <c r="AF159" s="6">
        <v>4</v>
      </c>
      <c r="AG159" t="s">
        <v>236</v>
      </c>
      <c r="AH159" t="s">
        <v>229</v>
      </c>
      <c r="AI159" t="s">
        <v>229</v>
      </c>
      <c r="AJ159" s="2" t="s">
        <v>229</v>
      </c>
      <c r="AK159" s="2" t="s">
        <v>244</v>
      </c>
      <c r="AL15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9" s="2" t="str">
        <f>SUBSTITUTE(SUBSTITUTE(PROPERTIES[[#This Row],[PURCHASECOST_VALUE]], "PURCHASECOST_", ""), "_VALUE", "")</f>
        <v>STEAMENGINE</v>
      </c>
      <c r="AO159" s="44" t="b">
        <v>0</v>
      </c>
      <c r="AP159" s="48" t="b">
        <v>0</v>
      </c>
      <c r="AQ159" s="48" t="b">
        <v>0</v>
      </c>
      <c r="AR159" s="48">
        <v>0</v>
      </c>
      <c r="AS159" s="48" t="b">
        <v>0</v>
      </c>
      <c r="AT159" s="7" t="b">
        <v>0</v>
      </c>
      <c r="AU159" s="40" t="str" cm="1">
        <f t="array" ref="AU159">_xlfn.XLOOKUP(PROPERTIES[[#This Row],[VEHIDCODE]],GRAPHICS_PROPERTIES[VEHIDCODE],GRAPHICS_PROPERTIES[TEMPLATE_ID]&amp;GRAPHICS_PROPERTIES[TEMPLATE_AMENDMENT_CODE])</f>
        <v>TPL_03A</v>
      </c>
    </row>
    <row r="160" spans="1:47" x14ac:dyDescent="0.35">
      <c r="A160" s="2" t="s">
        <v>2799</v>
      </c>
      <c r="B160">
        <v>1936</v>
      </c>
      <c r="C160">
        <v>1961</v>
      </c>
      <c r="D160" cm="1">
        <f t="array" ref="D1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0" s="40" t="str">
        <f>_xlfn.XLOOKUP(PROPERTIES[[#This Row],[VEHIDCODE]],CONTROL[VEHIDCODE],CONTROL[ENGLISH])</f>
        <v>MAVAG 4-4-4T 242</v>
      </c>
      <c r="F160" t="s">
        <v>626</v>
      </c>
      <c r="G160" s="40" t="str">
        <f>_xlfn.XLOOKUP(PROPERTIES[[#This Row],[COUNTRY]],COUNTRIES[COUNTRY_DESCRIPTION],COUNTRIES[COUNTRY_LABEL],"")</f>
        <v>HU</v>
      </c>
      <c r="H160" t="str" cm="1">
        <f t="array" ref="H1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0" t="s">
        <v>17</v>
      </c>
      <c r="J160">
        <v>0</v>
      </c>
      <c r="K160">
        <v>7</v>
      </c>
      <c r="L160">
        <v>0</v>
      </c>
      <c r="M160" t="str" cm="1">
        <f t="array" ref="M1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0">
        <f>_xlfn.XLOOKUP("LOADINGSPEEDDEF_"&amp;PROPERTIES[[#This Row],[LOADINGSPEED]],LOADINGSPEEDDEF[TYPE],LOADINGSPEEDDEF[SPEED])</f>
        <v>20</v>
      </c>
      <c r="O160" cm="1">
        <f t="array" ref="O1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0">
        <f>IF(ISNUMBER(SEARCH("passenger",PROPERTIES[[#This Row],[CARGODEF]])),1,0)</f>
        <v>0</v>
      </c>
      <c r="Q160" s="23">
        <v>85</v>
      </c>
      <c r="R160">
        <v>618</v>
      </c>
      <c r="S160">
        <v>0</v>
      </c>
      <c r="T160">
        <v>0</v>
      </c>
      <c r="U160">
        <v>0</v>
      </c>
      <c r="V160">
        <v>120</v>
      </c>
      <c r="W160">
        <v>0</v>
      </c>
      <c r="X160">
        <v>0</v>
      </c>
      <c r="Y160">
        <v>0</v>
      </c>
      <c r="Z160" s="20">
        <v>65</v>
      </c>
      <c r="AA160" s="19">
        <f>IFERROR(PROPERTIES[[#This Row],[TE_STARTING_KN]]/(PROPERTIES[[#This Row],[WEIGHT]]*9.81),0)</f>
        <v>7.7951669964621939E-2</v>
      </c>
      <c r="AB160" s="19">
        <v>0</v>
      </c>
      <c r="AC160" s="16">
        <f>ROUND(IF(IFERROR(PROPERTIES[[#This Row],[TE_COEFFICIENT_CALC]],0)=0,PROPERTIES[[#This Row],[TE_COEFFICIENT_MANUAL]],PROPERTIES[[#This Row],[TE_COEFFICIENT_CALC]]),3)</f>
        <v>7.8E-2</v>
      </c>
      <c r="AD160" s="8" cm="1">
        <f t="array" ref="AD1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0" s="26">
        <v>0</v>
      </c>
      <c r="AF160" s="6">
        <v>0</v>
      </c>
      <c r="AG160" t="s">
        <v>236</v>
      </c>
      <c r="AH160" t="s">
        <v>229</v>
      </c>
      <c r="AI160" t="s">
        <v>229</v>
      </c>
      <c r="AJ160" s="2" t="s">
        <v>229</v>
      </c>
      <c r="AK160" s="2" t="s">
        <v>244</v>
      </c>
      <c r="AL16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0" s="2" t="str">
        <f>SUBSTITUTE(SUBSTITUTE(PROPERTIES[[#This Row],[PURCHASECOST_VALUE]], "PURCHASECOST_", ""), "_VALUE", "")</f>
        <v>STEAMENGINE</v>
      </c>
      <c r="AO160" s="44" t="b">
        <v>0</v>
      </c>
      <c r="AP160" s="48" t="b">
        <v>0</v>
      </c>
      <c r="AQ160" s="48" t="b">
        <v>0</v>
      </c>
      <c r="AR160" s="48">
        <v>0</v>
      </c>
      <c r="AS160" s="48" t="b">
        <v>0</v>
      </c>
      <c r="AT160" s="7" t="b">
        <v>0</v>
      </c>
      <c r="AU160" s="40" t="str" cm="1">
        <f t="array" ref="AU160">_xlfn.XLOOKUP(PROPERTIES[[#This Row],[VEHIDCODE]],GRAPHICS_PROPERTIES[VEHIDCODE],GRAPHICS_PROPERTIES[TEMPLATE_ID]&amp;GRAPHICS_PROPERTIES[TEMPLATE_AMENDMENT_CODE])</f>
        <v>TPL_03C</v>
      </c>
    </row>
    <row r="161" spans="1:47" x14ac:dyDescent="0.35">
      <c r="A161" s="2" t="s">
        <v>2800</v>
      </c>
      <c r="B161">
        <v>1946</v>
      </c>
      <c r="C161">
        <v>1961</v>
      </c>
      <c r="D161" cm="1">
        <f t="array" ref="D1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1" s="40" t="str">
        <f>_xlfn.XLOOKUP(PROPERTIES[[#This Row],[VEHIDCODE]],CONTROL[VEHIDCODE],CONTROL[ENGLISH])</f>
        <v>Vulcan Foundry 2-8-0 'Liberation'</v>
      </c>
      <c r="F161" t="s">
        <v>583</v>
      </c>
      <c r="G161" s="40" t="str">
        <f>_xlfn.XLOOKUP(PROPERTIES[[#This Row],[COUNTRY]],COUNTRIES[COUNTRY_DESCRIPTION],COUNTRIES[COUNTRY_LABEL],"")</f>
        <v>CZ</v>
      </c>
      <c r="H161" t="str" cm="1">
        <f t="array" ref="H1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1" t="s">
        <v>17</v>
      </c>
      <c r="J161">
        <v>0</v>
      </c>
      <c r="K161">
        <v>5</v>
      </c>
      <c r="L161">
        <v>0</v>
      </c>
      <c r="M161" t="str" cm="1">
        <f t="array" ref="M1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1">
        <f>_xlfn.XLOOKUP("LOADINGSPEEDDEF_"&amp;PROPERTIES[[#This Row],[LOADINGSPEED]],LOADINGSPEEDDEF[TYPE],LOADINGSPEEDDEF[SPEED])</f>
        <v>20</v>
      </c>
      <c r="O161" cm="1">
        <f t="array" ref="O1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1">
        <f>IF(ISNUMBER(SEARCH("passenger",PROPERTIES[[#This Row],[CARGODEF]])),1,0)</f>
        <v>0</v>
      </c>
      <c r="Q161" s="23">
        <v>143.69999999999999</v>
      </c>
      <c r="R161">
        <v>1857</v>
      </c>
      <c r="S161">
        <v>0</v>
      </c>
      <c r="T161">
        <v>0</v>
      </c>
      <c r="U161">
        <v>0</v>
      </c>
      <c r="V161">
        <v>80</v>
      </c>
      <c r="W161">
        <v>0</v>
      </c>
      <c r="X161">
        <v>0</v>
      </c>
      <c r="Y161">
        <v>0</v>
      </c>
      <c r="Z161" s="20">
        <v>200</v>
      </c>
      <c r="AA161" s="19">
        <f>IFERROR(PROPERTIES[[#This Row],[TE_STARTING_KN]]/(PROPERTIES[[#This Row],[WEIGHT]]*9.81),0)</f>
        <v>0.14187445954698066</v>
      </c>
      <c r="AB161" s="19">
        <v>0</v>
      </c>
      <c r="AC161" s="16">
        <f>ROUND(IF(IFERROR(PROPERTIES[[#This Row],[TE_COEFFICIENT_CALC]],0)=0,PROPERTIES[[#This Row],[TE_COEFFICIENT_MANUAL]],PROPERTIES[[#This Row],[TE_COEFFICIENT_CALC]]),3)</f>
        <v>0.14199999999999999</v>
      </c>
      <c r="AD161" s="8" cm="1">
        <f t="array" ref="AD1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1" s="26">
        <v>0</v>
      </c>
      <c r="AF161" s="6">
        <v>3</v>
      </c>
      <c r="AG161" t="s">
        <v>236</v>
      </c>
      <c r="AH161" t="s">
        <v>229</v>
      </c>
      <c r="AI161" t="s">
        <v>229</v>
      </c>
      <c r="AJ161" s="2" t="s">
        <v>229</v>
      </c>
      <c r="AK161" s="2" t="s">
        <v>244</v>
      </c>
      <c r="AL16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1" s="2" t="str">
        <f>SUBSTITUTE(SUBSTITUTE(PROPERTIES[[#This Row],[PURCHASECOST_VALUE]], "PURCHASECOST_", ""), "_VALUE", "")</f>
        <v>STEAMENGINE</v>
      </c>
      <c r="AO161" s="44" t="b">
        <v>0</v>
      </c>
      <c r="AP161" s="48" t="b">
        <v>0</v>
      </c>
      <c r="AQ161" s="48" t="b">
        <v>0</v>
      </c>
      <c r="AR161" s="48">
        <v>0</v>
      </c>
      <c r="AS161" s="48" t="b">
        <v>0</v>
      </c>
      <c r="AT161" s="7" t="b">
        <v>0</v>
      </c>
      <c r="AU161" s="40" t="str" cm="1">
        <f t="array" ref="AU161">_xlfn.XLOOKUP(PROPERTIES[[#This Row],[VEHIDCODE]],GRAPHICS_PROPERTIES[VEHIDCODE],GRAPHICS_PROPERTIES[TEMPLATE_ID]&amp;GRAPHICS_PROPERTIES[TEMPLATE_AMENDMENT_CODE])</f>
        <v>TPL_03A</v>
      </c>
    </row>
    <row r="162" spans="1:47" x14ac:dyDescent="0.35">
      <c r="A162" s="2" t="s">
        <v>2801</v>
      </c>
      <c r="B162">
        <v>1951</v>
      </c>
      <c r="D162" cm="1">
        <f t="array" ref="D1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2" s="40" t="str">
        <f>_xlfn.XLOOKUP(PROPERTIES[[#This Row],[VEHIDCODE]],CONTROL[VEHIDCODE],CONTROL[ENGLISH])</f>
        <v>Fablok 2-6-2 OI49</v>
      </c>
      <c r="F162" t="s">
        <v>705</v>
      </c>
      <c r="G162" s="40" t="str">
        <f>_xlfn.XLOOKUP(PROPERTIES[[#This Row],[COUNTRY]],COUNTRIES[COUNTRY_DESCRIPTION],COUNTRIES[COUNTRY_LABEL],"")</f>
        <v>PL</v>
      </c>
      <c r="H162" t="str" cm="1">
        <f t="array" ref="H1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2" t="s">
        <v>17</v>
      </c>
      <c r="J162">
        <v>0</v>
      </c>
      <c r="K162">
        <v>8</v>
      </c>
      <c r="M162" t="str" cm="1">
        <f t="array" ref="M1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2">
        <f>_xlfn.XLOOKUP("LOADINGSPEEDDEF_"&amp;PROPERTIES[[#This Row],[LOADINGSPEED]],LOADINGSPEEDDEF[TYPE],LOADINGSPEEDDEF[SPEED])</f>
        <v>20</v>
      </c>
      <c r="O162" cm="1">
        <f t="array" ref="O1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2">
        <f>IF(ISNUMBER(SEARCH("passenger",PROPERTIES[[#This Row],[CARGODEF]])),1,0)</f>
        <v>0</v>
      </c>
      <c r="Q162" s="23">
        <v>144.9</v>
      </c>
      <c r="R162">
        <v>1290</v>
      </c>
      <c r="S162">
        <v>0</v>
      </c>
      <c r="T162">
        <v>0</v>
      </c>
      <c r="U162">
        <v>0</v>
      </c>
      <c r="V162">
        <v>100</v>
      </c>
      <c r="W162">
        <v>0</v>
      </c>
      <c r="X162">
        <v>0</v>
      </c>
      <c r="Y162">
        <v>0</v>
      </c>
      <c r="Z162" s="20">
        <v>125</v>
      </c>
      <c r="AA162" s="19">
        <f>IFERROR(PROPERTIES[[#This Row],[TE_STARTING_KN]]/(PROPERTIES[[#This Row],[WEIGHT]]*9.81),0)</f>
        <v>8.7937197364135272E-2</v>
      </c>
      <c r="AB162" s="19">
        <v>0</v>
      </c>
      <c r="AC162" s="16">
        <f>ROUND(IF(IFERROR(PROPERTIES[[#This Row],[TE_COEFFICIENT_CALC]],0)=0,PROPERTIES[[#This Row],[TE_COEFFICIENT_MANUAL]],PROPERTIES[[#This Row],[TE_COEFFICIENT_CALC]]),3)</f>
        <v>8.7999999999999995E-2</v>
      </c>
      <c r="AD162" s="8" cm="1">
        <f t="array" ref="AD1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62" s="26">
        <v>0</v>
      </c>
      <c r="AF162" s="6">
        <v>5</v>
      </c>
      <c r="AG162" t="s">
        <v>236</v>
      </c>
      <c r="AH162" t="s">
        <v>238</v>
      </c>
      <c r="AI162" t="s">
        <v>229</v>
      </c>
      <c r="AJ162" s="2" t="s">
        <v>229</v>
      </c>
      <c r="AK162" s="2" t="s">
        <v>244</v>
      </c>
      <c r="AL16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2" s="2" t="str">
        <f>SUBSTITUTE(SUBSTITUTE(PROPERTIES[[#This Row],[PURCHASECOST_VALUE]], "PURCHASECOST_", ""), "_VALUE", "")</f>
        <v>STEAMENGINE</v>
      </c>
      <c r="AO162" s="44" t="b">
        <v>0</v>
      </c>
      <c r="AP162" s="48" t="b">
        <v>0</v>
      </c>
      <c r="AQ162" s="48" t="b">
        <v>0</v>
      </c>
      <c r="AR162" s="48">
        <v>0</v>
      </c>
      <c r="AS162" s="48" t="b">
        <v>0</v>
      </c>
      <c r="AT162" s="7" t="b">
        <v>0</v>
      </c>
      <c r="AU162" s="40" t="str" cm="1">
        <f t="array" ref="AU162">_xlfn.XLOOKUP(PROPERTIES[[#This Row],[VEHIDCODE]],GRAPHICS_PROPERTIES[VEHIDCODE],GRAPHICS_PROPERTIES[TEMPLATE_ID]&amp;GRAPHICS_PROPERTIES[TEMPLATE_AMENDMENT_CODE])</f>
        <v>TPL_03A</v>
      </c>
    </row>
    <row r="163" spans="1:47" x14ac:dyDescent="0.35">
      <c r="A163" s="2" t="s">
        <v>2802</v>
      </c>
      <c r="B163">
        <v>1911</v>
      </c>
      <c r="C163">
        <v>1950</v>
      </c>
      <c r="D163" cm="1">
        <f t="array" ref="D1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3" s="40" t="str">
        <f>_xlfn.XLOOKUP(PROPERTIES[[#This Row],[VEHIDCODE]],CONTROL[VEHIDCODE],CONTROL[ENGLISH])</f>
        <v>Floridsdorf 2-6-2 KkStB 310</v>
      </c>
      <c r="F163" t="s">
        <v>540</v>
      </c>
      <c r="G163" s="40" t="str">
        <f>_xlfn.XLOOKUP(PROPERTIES[[#This Row],[COUNTRY]],COUNTRIES[COUNTRY_DESCRIPTION],COUNTRIES[COUNTRY_LABEL],"")</f>
        <v>AT</v>
      </c>
      <c r="H163" t="str" cm="1">
        <f t="array" ref="H1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3" t="s">
        <v>17</v>
      </c>
      <c r="J163">
        <v>0</v>
      </c>
      <c r="K163">
        <v>7</v>
      </c>
      <c r="L163">
        <v>0</v>
      </c>
      <c r="M163" t="str" cm="1">
        <f t="array" ref="M1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3">
        <f>_xlfn.XLOOKUP("LOADINGSPEEDDEF_"&amp;PROPERTIES[[#This Row],[LOADINGSPEED]],LOADINGSPEEDDEF[TYPE],LOADINGSPEEDDEF[SPEED])</f>
        <v>20</v>
      </c>
      <c r="O163" cm="1">
        <f t="array" ref="O1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3">
        <f>IF(ISNUMBER(SEARCH("passenger",PROPERTIES[[#This Row],[CARGODEF]])),1,0)</f>
        <v>0</v>
      </c>
      <c r="Q163" s="23">
        <v>138</v>
      </c>
      <c r="R163">
        <v>1885</v>
      </c>
      <c r="S163">
        <v>0</v>
      </c>
      <c r="T163">
        <v>0</v>
      </c>
      <c r="U163">
        <v>0</v>
      </c>
      <c r="V163">
        <v>100</v>
      </c>
      <c r="W163">
        <v>0</v>
      </c>
      <c r="X163">
        <v>0</v>
      </c>
      <c r="Y163">
        <v>0</v>
      </c>
      <c r="Z163" s="20">
        <v>96.39</v>
      </c>
      <c r="AA163" s="19">
        <f>IFERROR(PROPERTIES[[#This Row],[TE_STARTING_KN]]/(PROPERTIES[[#This Row],[WEIGHT]]*9.81),0)</f>
        <v>7.1200638213003598E-2</v>
      </c>
      <c r="AB163" s="19">
        <v>0</v>
      </c>
      <c r="AC163" s="16">
        <f>ROUND(IF(IFERROR(PROPERTIES[[#This Row],[TE_COEFFICIENT_CALC]],0)=0,PROPERTIES[[#This Row],[TE_COEFFICIENT_MANUAL]],PROPERTIES[[#This Row],[TE_COEFFICIENT_CALC]]),3)</f>
        <v>7.0999999999999994E-2</v>
      </c>
      <c r="AD163" s="8" cm="1">
        <f t="array" ref="AD1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39</v>
      </c>
      <c r="AE163" s="26">
        <v>0</v>
      </c>
      <c r="AF163" s="6">
        <v>4</v>
      </c>
      <c r="AG163" t="s">
        <v>230</v>
      </c>
      <c r="AH163" t="s">
        <v>229</v>
      </c>
      <c r="AI163" t="s">
        <v>229</v>
      </c>
      <c r="AJ163" s="2" t="s">
        <v>229</v>
      </c>
      <c r="AK163" s="2" t="s">
        <v>244</v>
      </c>
      <c r="AL16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3" s="2" t="str">
        <f>SUBSTITUTE(SUBSTITUTE(PROPERTIES[[#This Row],[PURCHASECOST_VALUE]], "PURCHASECOST_", ""), "_VALUE", "")</f>
        <v>STEAMENGINE</v>
      </c>
      <c r="AO163" s="44" t="b">
        <v>0</v>
      </c>
      <c r="AP163" s="48" t="b">
        <v>0</v>
      </c>
      <c r="AQ163" s="48" t="b">
        <v>0</v>
      </c>
      <c r="AR163" s="48">
        <v>0</v>
      </c>
      <c r="AS163" s="48" t="b">
        <v>0</v>
      </c>
      <c r="AT163" s="7" t="b">
        <v>0</v>
      </c>
      <c r="AU163" s="40" t="str" cm="1">
        <f t="array" ref="AU163">_xlfn.XLOOKUP(PROPERTIES[[#This Row],[VEHIDCODE]],GRAPHICS_PROPERTIES[VEHIDCODE],GRAPHICS_PROPERTIES[TEMPLATE_ID]&amp;GRAPHICS_PROPERTIES[TEMPLATE_AMENDMENT_CODE])</f>
        <v>TPL_03A</v>
      </c>
    </row>
    <row r="164" spans="1:47" x14ac:dyDescent="0.35">
      <c r="A164" s="2" t="s">
        <v>2803</v>
      </c>
      <c r="B164">
        <v>1941</v>
      </c>
      <c r="C164">
        <v>1956</v>
      </c>
      <c r="D164" cm="1">
        <f t="array" ref="D1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4" s="40" t="str">
        <f>_xlfn.XLOOKUP(PROPERTIES[[#This Row],[VEHIDCODE]],CONTROL[VEHIDCODE],CONTROL[ENGLISH])</f>
        <v>Lima  4-8-4 7798-7817 'Daylight'</v>
      </c>
      <c r="F164" t="s">
        <v>757</v>
      </c>
      <c r="G164" s="40" t="str">
        <f>_xlfn.XLOOKUP(PROPERTIES[[#This Row],[COUNTRY]],COUNTRIES[COUNTRY_DESCRIPTION],COUNTRIES[COUNTRY_LABEL],"")</f>
        <v>US</v>
      </c>
      <c r="H164" t="str" cm="1">
        <f t="array" ref="H1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4" t="s">
        <v>17</v>
      </c>
      <c r="J164">
        <v>0</v>
      </c>
      <c r="K164">
        <v>8</v>
      </c>
      <c r="M164" t="str" cm="1">
        <f t="array" ref="M1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4">
        <f>_xlfn.XLOOKUP("LOADINGSPEEDDEF_"&amp;PROPERTIES[[#This Row],[LOADINGSPEED]],LOADINGSPEEDDEF[TYPE],LOADINGSPEEDDEF[SPEED])</f>
        <v>20</v>
      </c>
      <c r="O164" cm="1">
        <f t="array" ref="O1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4">
        <f>IF(ISNUMBER(SEARCH("passenger",PROPERTIES[[#This Row],[CARGODEF]])),1,0)</f>
        <v>0</v>
      </c>
      <c r="Q164" s="23">
        <v>390</v>
      </c>
      <c r="R164">
        <v>5500</v>
      </c>
      <c r="S164">
        <v>0</v>
      </c>
      <c r="T164">
        <v>0</v>
      </c>
      <c r="U164">
        <v>0</v>
      </c>
      <c r="V164">
        <v>177</v>
      </c>
      <c r="W164">
        <v>0</v>
      </c>
      <c r="X164">
        <v>0</v>
      </c>
      <c r="Y164">
        <v>0</v>
      </c>
      <c r="Z164" s="20">
        <v>349.85</v>
      </c>
      <c r="AA164" s="19">
        <f>IFERROR(PROPERTIES[[#This Row],[TE_STARTING_KN]]/(PROPERTIES[[#This Row],[WEIGHT]]*9.81),0)</f>
        <v>9.1442536396664845E-2</v>
      </c>
      <c r="AB164" s="19">
        <v>0</v>
      </c>
      <c r="AC164" s="16">
        <f>ROUND(IF(IFERROR(PROPERTIES[[#This Row],[TE_COEFFICIENT_CALC]],0)=0,PROPERTIES[[#This Row],[TE_COEFFICIENT_MANUAL]],PROPERTIES[[#This Row],[TE_COEFFICIENT_CALC]]),3)</f>
        <v>9.0999999999999998E-2</v>
      </c>
      <c r="AD164" s="8" cm="1">
        <f t="array" ref="AD1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4" s="26">
        <v>0</v>
      </c>
      <c r="AF164" s="6">
        <v>6</v>
      </c>
      <c r="AG164" t="s">
        <v>235</v>
      </c>
      <c r="AH164" t="s">
        <v>229</v>
      </c>
      <c r="AI164" t="s">
        <v>229</v>
      </c>
      <c r="AJ164" s="2" t="s">
        <v>229</v>
      </c>
      <c r="AK164" s="2" t="s">
        <v>244</v>
      </c>
      <c r="AL16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4" s="2" t="str">
        <f>SUBSTITUTE(SUBSTITUTE(PROPERTIES[[#This Row],[PURCHASECOST_VALUE]], "PURCHASECOST_", ""), "_VALUE", "")</f>
        <v>STEAMENGINE</v>
      </c>
      <c r="AO164" s="44" t="b">
        <v>0</v>
      </c>
      <c r="AP164" s="48" t="b">
        <v>0</v>
      </c>
      <c r="AQ164" s="48" t="b">
        <v>0</v>
      </c>
      <c r="AR164" s="48">
        <v>0</v>
      </c>
      <c r="AS164" s="48" t="b">
        <v>0</v>
      </c>
      <c r="AT164" s="7" t="b">
        <v>0</v>
      </c>
      <c r="AU164" s="40" t="str" cm="1">
        <f t="array" ref="AU164">_xlfn.XLOOKUP(PROPERTIES[[#This Row],[VEHIDCODE]],GRAPHICS_PROPERTIES[VEHIDCODE],GRAPHICS_PROPERTIES[TEMPLATE_ID]&amp;GRAPHICS_PROPERTIES[TEMPLATE_AMENDMENT_CODE])</f>
        <v>TPL_03A</v>
      </c>
    </row>
    <row r="165" spans="1:47" x14ac:dyDescent="0.35">
      <c r="A165" s="2" t="s">
        <v>2804</v>
      </c>
      <c r="B165">
        <v>1866</v>
      </c>
      <c r="C165">
        <v>1937</v>
      </c>
      <c r="D165" cm="1">
        <f t="array" ref="D1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5" s="40" t="str">
        <f>_xlfn.XLOOKUP(PROPERTIES[[#This Row],[VEHIDCODE]],CONTROL[VEHIDCODE],CONTROL[ENGLISH])</f>
        <v>GS&amp;WR 0-6-0 '101'</v>
      </c>
      <c r="F165" t="s">
        <v>628</v>
      </c>
      <c r="G165" s="40" t="str">
        <f>_xlfn.XLOOKUP(PROPERTIES[[#This Row],[COUNTRY]],COUNTRIES[COUNTRY_DESCRIPTION],COUNTRIES[COUNTRY_LABEL],"")</f>
        <v>IE</v>
      </c>
      <c r="H165" t="str" cm="1">
        <f t="array" ref="H1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5" t="s">
        <v>17</v>
      </c>
      <c r="J165">
        <v>0</v>
      </c>
      <c r="K165">
        <v>5</v>
      </c>
      <c r="L165">
        <v>0</v>
      </c>
      <c r="M165" t="str" cm="1">
        <f t="array" ref="M1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5">
        <f>_xlfn.XLOOKUP("LOADINGSPEEDDEF_"&amp;PROPERTIES[[#This Row],[LOADINGSPEED]],LOADINGSPEEDDEF[TYPE],LOADINGSPEEDDEF[SPEED])</f>
        <v>20</v>
      </c>
      <c r="O165" cm="1">
        <f t="array" ref="O1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5">
        <f>IF(ISNUMBER(SEARCH("passenger",PROPERTIES[[#This Row],[CARGODEF]])),1,0)</f>
        <v>0</v>
      </c>
      <c r="Q165" s="23">
        <v>74.5</v>
      </c>
      <c r="R165">
        <v>650</v>
      </c>
      <c r="S165">
        <v>0</v>
      </c>
      <c r="T165">
        <v>0</v>
      </c>
      <c r="U165">
        <v>0</v>
      </c>
      <c r="V165">
        <v>60</v>
      </c>
      <c r="W165">
        <v>0</v>
      </c>
      <c r="X165">
        <v>0</v>
      </c>
      <c r="Y165">
        <v>0</v>
      </c>
      <c r="Z165" s="20">
        <v>76.400000000000006</v>
      </c>
      <c r="AA165" s="19">
        <f>IFERROR(PROPERTIES[[#This Row],[TE_STARTING_KN]]/(PROPERTIES[[#This Row],[WEIGHT]]*9.81),0)</f>
        <v>0.10453652963350643</v>
      </c>
      <c r="AB165" s="19">
        <v>0</v>
      </c>
      <c r="AC165" s="16">
        <f>ROUND(IF(IFERROR(PROPERTIES[[#This Row],[TE_COEFFICIENT_CALC]],0)=0,PROPERTIES[[#This Row],[TE_COEFFICIENT_MANUAL]],PROPERTIES[[#This Row],[TE_COEFFICIENT_CALC]]),3)</f>
        <v>0.105</v>
      </c>
      <c r="AD165" s="8" cm="1">
        <f t="array" ref="AD1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71</v>
      </c>
      <c r="AE165" s="26">
        <v>0</v>
      </c>
      <c r="AF165" s="6">
        <v>3</v>
      </c>
      <c r="AG165" t="s">
        <v>234</v>
      </c>
      <c r="AH165" t="s">
        <v>229</v>
      </c>
      <c r="AI165" t="s">
        <v>229</v>
      </c>
      <c r="AJ165" s="2" t="s">
        <v>229</v>
      </c>
      <c r="AK165" s="2" t="s">
        <v>244</v>
      </c>
      <c r="AL16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5" s="2" t="str">
        <f>SUBSTITUTE(SUBSTITUTE(PROPERTIES[[#This Row],[PURCHASECOST_VALUE]], "PURCHASECOST_", ""), "_VALUE", "")</f>
        <v>STEAMENGINE</v>
      </c>
      <c r="AO165" s="44" t="b">
        <v>0</v>
      </c>
      <c r="AP165" s="48" t="b">
        <v>0</v>
      </c>
      <c r="AQ165" s="48" t="b">
        <v>0</v>
      </c>
      <c r="AR165" s="48">
        <v>0</v>
      </c>
      <c r="AS165" s="48" t="b">
        <v>0</v>
      </c>
      <c r="AT165" s="7" t="b">
        <v>0</v>
      </c>
      <c r="AU165" s="40" t="str" cm="1">
        <f t="array" ref="AU165">_xlfn.XLOOKUP(PROPERTIES[[#This Row],[VEHIDCODE]],GRAPHICS_PROPERTIES[VEHIDCODE],GRAPHICS_PROPERTIES[TEMPLATE_ID]&amp;GRAPHICS_PROPERTIES[TEMPLATE_AMENDMENT_CODE])</f>
        <v>TPL_03A</v>
      </c>
    </row>
    <row r="166" spans="1:47" x14ac:dyDescent="0.35">
      <c r="A166" s="2" t="s">
        <v>2805</v>
      </c>
      <c r="B166">
        <v>1918</v>
      </c>
      <c r="C166">
        <v>1944</v>
      </c>
      <c r="D166" cm="1">
        <f t="array" ref="D1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6" s="40" t="str">
        <f>_xlfn.XLOOKUP(PROPERTIES[[#This Row],[VEHIDCODE]],CONTROL[VEHIDCODE],CONTROL[ENGLISH])</f>
        <v>ALCO 2-8-2 5100-5194 'Light Mikado'</v>
      </c>
      <c r="F166" t="s">
        <v>757</v>
      </c>
      <c r="G166" s="40" t="str">
        <f>_xlfn.XLOOKUP(PROPERTIES[[#This Row],[COUNTRY]],COUNTRIES[COUNTRY_DESCRIPTION],COUNTRIES[COUNTRY_LABEL],"")</f>
        <v>US</v>
      </c>
      <c r="H166" t="str" cm="1">
        <f t="array" ref="H1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6" t="s">
        <v>17</v>
      </c>
      <c r="J166">
        <v>0</v>
      </c>
      <c r="K166">
        <v>6</v>
      </c>
      <c r="L166">
        <v>0</v>
      </c>
      <c r="M166" t="str" cm="1">
        <f t="array" ref="M1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6">
        <f>_xlfn.XLOOKUP("LOADINGSPEEDDEF_"&amp;PROPERTIES[[#This Row],[LOADINGSPEED]],LOADINGSPEEDDEF[TYPE],LOADINGSPEEDDEF[SPEED])</f>
        <v>20</v>
      </c>
      <c r="O166" cm="1">
        <f t="array" ref="O1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6">
        <f>IF(ISNUMBER(SEARCH("passenger",PROPERTIES[[#This Row],[CARGODEF]])),1,0)</f>
        <v>0</v>
      </c>
      <c r="Q166" s="23">
        <v>217</v>
      </c>
      <c r="R166">
        <v>2990</v>
      </c>
      <c r="S166">
        <v>0</v>
      </c>
      <c r="T166">
        <v>0</v>
      </c>
      <c r="U166">
        <v>0</v>
      </c>
      <c r="V166">
        <v>96</v>
      </c>
      <c r="W166">
        <v>0</v>
      </c>
      <c r="X166">
        <v>0</v>
      </c>
      <c r="Y166">
        <v>0</v>
      </c>
      <c r="Z166" s="20">
        <v>243.42</v>
      </c>
      <c r="AA166" s="19">
        <f>IFERROR(PROPERTIES[[#This Row],[TE_STARTING_KN]]/(PROPERTIES[[#This Row],[WEIGHT]]*9.81),0)</f>
        <v>0.11434772192392789</v>
      </c>
      <c r="AB166" s="19">
        <v>0</v>
      </c>
      <c r="AC166" s="16">
        <f>ROUND(IF(IFERROR(PROPERTIES[[#This Row],[TE_COEFFICIENT_CALC]],0)=0,PROPERTIES[[#This Row],[TE_COEFFICIENT_MANUAL]],PROPERTIES[[#This Row],[TE_COEFFICIENT_CALC]]),3)</f>
        <v>0.114</v>
      </c>
      <c r="AD166" s="8" cm="1">
        <f t="array" ref="AD1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6" s="26">
        <v>0</v>
      </c>
      <c r="AF166" s="6">
        <v>4</v>
      </c>
      <c r="AG166" t="s">
        <v>235</v>
      </c>
      <c r="AH166" t="s">
        <v>229</v>
      </c>
      <c r="AI166" t="s">
        <v>229</v>
      </c>
      <c r="AJ166" s="2" t="s">
        <v>229</v>
      </c>
      <c r="AK166" s="2" t="s">
        <v>244</v>
      </c>
      <c r="AL16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6" s="2" t="str">
        <f>SUBSTITUTE(SUBSTITUTE(PROPERTIES[[#This Row],[PURCHASECOST_VALUE]], "PURCHASECOST_", ""), "_VALUE", "")</f>
        <v>STEAMENGINE</v>
      </c>
      <c r="AO166" s="44" t="b">
        <v>0</v>
      </c>
      <c r="AP166" s="48" t="b">
        <v>0</v>
      </c>
      <c r="AQ166" s="48" t="b">
        <v>0</v>
      </c>
      <c r="AR166" s="48">
        <v>0</v>
      </c>
      <c r="AS166" s="48" t="b">
        <v>0</v>
      </c>
      <c r="AT166" s="7" t="b">
        <v>0</v>
      </c>
      <c r="AU166" s="40" t="str" cm="1">
        <f t="array" ref="AU166">_xlfn.XLOOKUP(PROPERTIES[[#This Row],[VEHIDCODE]],GRAPHICS_PROPERTIES[VEHIDCODE],GRAPHICS_PROPERTIES[TEMPLATE_ID]&amp;GRAPHICS_PROPERTIES[TEMPLATE_AMENDMENT_CODE])</f>
        <v>TPL_03A</v>
      </c>
    </row>
    <row r="167" spans="1:47" x14ac:dyDescent="0.35">
      <c r="A167" s="2" t="s">
        <v>2806</v>
      </c>
      <c r="B167">
        <v>1871</v>
      </c>
      <c r="D167" cm="1">
        <f t="array" ref="D1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7" s="40" t="str">
        <f>_xlfn.XLOOKUP(PROPERTIES[[#This Row],[VEHIDCODE]],CONTROL[VEHIDCODE],CONTROL[ENGLISH])</f>
        <v>FCGR [BAGS] No. 315 2-4-0T</v>
      </c>
      <c r="F167" t="s">
        <v>538</v>
      </c>
      <c r="G167" s="40" t="str">
        <f>_xlfn.XLOOKUP(PROPERTIES[[#This Row],[COUNTRY]],COUNTRIES[COUNTRY_DESCRIPTION],COUNTRIES[COUNTRY_LABEL],"")</f>
        <v>AR</v>
      </c>
      <c r="H167" t="str" cm="1">
        <f t="array" ref="H1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7" t="s">
        <v>17</v>
      </c>
      <c r="J167">
        <v>0</v>
      </c>
      <c r="K167">
        <v>4</v>
      </c>
      <c r="L167">
        <v>0</v>
      </c>
      <c r="M167" t="str" cm="1">
        <f t="array" ref="M1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7">
        <f>_xlfn.XLOOKUP("LOADINGSPEEDDEF_"&amp;PROPERTIES[[#This Row],[LOADINGSPEED]],LOADINGSPEEDDEF[TYPE],LOADINGSPEEDDEF[SPEED])</f>
        <v>20</v>
      </c>
      <c r="O167" cm="1">
        <f t="array" ref="O1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7">
        <f>IF(ISNUMBER(SEARCH("passenger",PROPERTIES[[#This Row],[CARGODEF]])),1,0)</f>
        <v>0</v>
      </c>
      <c r="Q167" s="23">
        <v>48</v>
      </c>
      <c r="R167">
        <v>145</v>
      </c>
      <c r="S167">
        <v>0</v>
      </c>
      <c r="T167">
        <v>0</v>
      </c>
      <c r="U167">
        <v>0</v>
      </c>
      <c r="V167">
        <v>45</v>
      </c>
      <c r="W167">
        <v>0</v>
      </c>
      <c r="X167">
        <v>0</v>
      </c>
      <c r="Y167">
        <v>0</v>
      </c>
      <c r="Z167" s="20">
        <v>62</v>
      </c>
      <c r="AA167" s="19">
        <f>IFERROR(PROPERTIES[[#This Row],[TE_STARTING_KN]]/(PROPERTIES[[#This Row],[WEIGHT]]*9.81),0)</f>
        <v>0.13166836561331974</v>
      </c>
      <c r="AB167" s="19">
        <v>0</v>
      </c>
      <c r="AC167" s="16">
        <f>ROUND(IF(IFERROR(PROPERTIES[[#This Row],[TE_COEFFICIENT_CALC]],0)=0,PROPERTIES[[#This Row],[TE_COEFFICIENT_MANUAL]],PROPERTIES[[#This Row],[TE_COEFFICIENT_CALC]]),3)</f>
        <v>0.13200000000000001</v>
      </c>
      <c r="AD167" s="8" cm="1">
        <f t="array" ref="AD1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7" s="26">
        <v>0</v>
      </c>
      <c r="AF167" s="6">
        <v>0</v>
      </c>
      <c r="AG167" t="s">
        <v>237</v>
      </c>
      <c r="AH167" t="s">
        <v>229</v>
      </c>
      <c r="AI167" t="s">
        <v>229</v>
      </c>
      <c r="AJ167" s="2" t="s">
        <v>229</v>
      </c>
      <c r="AK167" s="2" t="s">
        <v>244</v>
      </c>
      <c r="AL16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7" s="2" t="str">
        <f>SUBSTITUTE(SUBSTITUTE(PROPERTIES[[#This Row],[PURCHASECOST_VALUE]], "PURCHASECOST_", ""), "_VALUE", "")</f>
        <v>STEAMENGINE</v>
      </c>
      <c r="AO167" s="44" t="b">
        <v>0</v>
      </c>
      <c r="AP167" s="48" t="b">
        <v>0</v>
      </c>
      <c r="AQ167" s="48" t="b">
        <v>0</v>
      </c>
      <c r="AR167" s="48">
        <v>0</v>
      </c>
      <c r="AS167" s="48" t="b">
        <v>0</v>
      </c>
      <c r="AT167" s="7" t="b">
        <v>0</v>
      </c>
      <c r="AU167" s="40" t="str" cm="1">
        <f t="array" ref="AU167">_xlfn.XLOOKUP(PROPERTIES[[#This Row],[VEHIDCODE]],GRAPHICS_PROPERTIES[VEHIDCODE],GRAPHICS_PROPERTIES[TEMPLATE_ID]&amp;GRAPHICS_PROPERTIES[TEMPLATE_AMENDMENT_CODE])</f>
        <v>TPL_03C</v>
      </c>
    </row>
    <row r="168" spans="1:47" x14ac:dyDescent="0.35">
      <c r="A168" s="2" t="s">
        <v>2807</v>
      </c>
      <c r="B168">
        <v>1914</v>
      </c>
      <c r="C168">
        <v>1967</v>
      </c>
      <c r="D168" cm="1">
        <f t="array" ref="D1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8" s="40" t="str">
        <f>_xlfn.XLOOKUP(PROPERTIES[[#This Row],[VEHIDCODE]],CONTROL[VEHIDCODE],CONTROL[ENGLISH])</f>
        <v>Eveleigh 4-6-0 'C35'</v>
      </c>
      <c r="F168" t="s">
        <v>541</v>
      </c>
      <c r="G168" s="40" t="str">
        <f>_xlfn.XLOOKUP(PROPERTIES[[#This Row],[COUNTRY]],COUNTRIES[COUNTRY_DESCRIPTION],COUNTRIES[COUNTRY_LABEL],"")</f>
        <v>AU</v>
      </c>
      <c r="H168" t="str" cm="1">
        <f t="array" ref="H1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8" t="s">
        <v>17</v>
      </c>
      <c r="J168">
        <v>0</v>
      </c>
      <c r="K168">
        <v>6</v>
      </c>
      <c r="L168">
        <v>0</v>
      </c>
      <c r="M168" t="str" cm="1">
        <f t="array" ref="M1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8">
        <f>_xlfn.XLOOKUP("LOADINGSPEEDDEF_"&amp;PROPERTIES[[#This Row],[LOADINGSPEED]],LOADINGSPEEDDEF[TYPE],LOADINGSPEEDDEF[SPEED])</f>
        <v>20</v>
      </c>
      <c r="O168" cm="1">
        <f t="array" ref="O1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8">
        <f>IF(ISNUMBER(SEARCH("passenger",PROPERTIES[[#This Row],[CARGODEF]])),1,0)</f>
        <v>0</v>
      </c>
      <c r="Q168" s="23">
        <v>126</v>
      </c>
      <c r="R168">
        <v>1400</v>
      </c>
      <c r="S168">
        <v>0</v>
      </c>
      <c r="T168">
        <v>0</v>
      </c>
      <c r="U168">
        <v>0</v>
      </c>
      <c r="V168">
        <v>80</v>
      </c>
      <c r="W168">
        <v>0</v>
      </c>
      <c r="X168">
        <v>0</v>
      </c>
      <c r="Y168">
        <v>0</v>
      </c>
      <c r="Z168" s="20">
        <v>129.80000000000001</v>
      </c>
      <c r="AA168" s="19">
        <f>IFERROR(PROPERTIES[[#This Row],[TE_STARTING_KN]]/(PROPERTIES[[#This Row],[WEIGHT]]*9.81),0)</f>
        <v>0.10501108360435576</v>
      </c>
      <c r="AB168" s="19">
        <v>0</v>
      </c>
      <c r="AC168" s="16">
        <f>ROUND(IF(IFERROR(PROPERTIES[[#This Row],[TE_COEFFICIENT_CALC]],0)=0,PROPERTIES[[#This Row],[TE_COEFFICIENT_MANUAL]],PROPERTIES[[#This Row],[TE_COEFFICIENT_CALC]]),3)</f>
        <v>0.105</v>
      </c>
      <c r="AD168" s="8" cm="1">
        <f t="array" ref="AD1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168" s="26">
        <v>0</v>
      </c>
      <c r="AF168" s="6">
        <v>4</v>
      </c>
      <c r="AG168" t="s">
        <v>232</v>
      </c>
      <c r="AH168" t="s">
        <v>229</v>
      </c>
      <c r="AI168" t="s">
        <v>229</v>
      </c>
      <c r="AJ168" s="2" t="s">
        <v>229</v>
      </c>
      <c r="AK168" s="2" t="s">
        <v>244</v>
      </c>
      <c r="AL16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8" s="2" t="str">
        <f>SUBSTITUTE(SUBSTITUTE(PROPERTIES[[#This Row],[PURCHASECOST_VALUE]], "PURCHASECOST_", ""), "_VALUE", "")</f>
        <v>STEAMENGINE</v>
      </c>
      <c r="AO168" s="44" t="b">
        <v>0</v>
      </c>
      <c r="AP168" s="48" t="b">
        <v>0</v>
      </c>
      <c r="AQ168" s="48" t="b">
        <v>0</v>
      </c>
      <c r="AR168" s="48">
        <v>0</v>
      </c>
      <c r="AS168" s="48" t="b">
        <v>0</v>
      </c>
      <c r="AT168" s="7" t="b">
        <v>0</v>
      </c>
      <c r="AU168" s="40" t="str" cm="1">
        <f t="array" ref="AU168">_xlfn.XLOOKUP(PROPERTIES[[#This Row],[VEHIDCODE]],GRAPHICS_PROPERTIES[VEHIDCODE],GRAPHICS_PROPERTIES[TEMPLATE_ID]&amp;GRAPHICS_PROPERTIES[TEMPLATE_AMENDMENT_CODE])</f>
        <v>TPL_03A</v>
      </c>
    </row>
    <row r="169" spans="1:47" x14ac:dyDescent="0.35">
      <c r="A169" s="2" t="s">
        <v>2808</v>
      </c>
      <c r="B169">
        <v>1945</v>
      </c>
      <c r="C169">
        <v>1966</v>
      </c>
      <c r="D169" cm="1">
        <f t="array" ref="D1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9" s="40" t="str">
        <f>_xlfn.XLOOKUP(PROPERTIES[[#This Row],[VEHIDCODE]],CONTROL[VEHIDCODE],CONTROL[ENGLISH])</f>
        <v>ALCO 2-8-0 74707-74785 'Type 29'</v>
      </c>
      <c r="F169" t="s">
        <v>548</v>
      </c>
      <c r="G169" s="40" t="str">
        <f>_xlfn.XLOOKUP(PROPERTIES[[#This Row],[COUNTRY]],COUNTRIES[COUNTRY_DESCRIPTION],COUNTRIES[COUNTRY_LABEL],"")</f>
        <v>BE</v>
      </c>
      <c r="H169" t="str" cm="1">
        <f t="array" ref="H1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9" t="s">
        <v>17</v>
      </c>
      <c r="J169">
        <v>0</v>
      </c>
      <c r="K169">
        <v>7</v>
      </c>
      <c r="L169">
        <v>0</v>
      </c>
      <c r="M169" t="str" cm="1">
        <f t="array" ref="M1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9">
        <f>_xlfn.XLOOKUP("LOADINGSPEEDDEF_"&amp;PROPERTIES[[#This Row],[LOADINGSPEED]],LOADINGSPEEDDEF[TYPE],LOADINGSPEEDDEF[SPEED])</f>
        <v>20</v>
      </c>
      <c r="O169" cm="1">
        <f t="array" ref="O1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9">
        <f>IF(ISNUMBER(SEARCH("passenger",PROPERTIES[[#This Row],[CARGODEF]])),1,0)</f>
        <v>0</v>
      </c>
      <c r="Q169" s="23">
        <v>127</v>
      </c>
      <c r="R169">
        <v>1970</v>
      </c>
      <c r="S169">
        <v>0</v>
      </c>
      <c r="T169">
        <v>0</v>
      </c>
      <c r="U169">
        <v>0</v>
      </c>
      <c r="V169">
        <v>96</v>
      </c>
      <c r="W169">
        <v>0</v>
      </c>
      <c r="X169">
        <v>0</v>
      </c>
      <c r="Y169">
        <v>0</v>
      </c>
      <c r="Z169" s="20">
        <v>138</v>
      </c>
      <c r="AA169" s="19">
        <f>IFERROR(PROPERTIES[[#This Row],[TE_STARTING_KN]]/(PROPERTIES[[#This Row],[WEIGHT]]*9.81),0)</f>
        <v>0.11076597076741553</v>
      </c>
      <c r="AB169" s="19">
        <v>0</v>
      </c>
      <c r="AC169" s="16">
        <f>ROUND(IF(IFERROR(PROPERTIES[[#This Row],[TE_COEFFICIENT_CALC]],0)=0,PROPERTIES[[#This Row],[TE_COEFFICIENT_MANUAL]],PROPERTIES[[#This Row],[TE_COEFFICIENT_CALC]]),3)</f>
        <v>0.111</v>
      </c>
      <c r="AD169" s="8" cm="1">
        <f t="array" ref="AD1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9" s="26">
        <v>0</v>
      </c>
      <c r="AF169" s="6">
        <v>4</v>
      </c>
      <c r="AG169" t="s">
        <v>230</v>
      </c>
      <c r="AH169" t="s">
        <v>229</v>
      </c>
      <c r="AI169" t="s">
        <v>229</v>
      </c>
      <c r="AJ169" s="2" t="s">
        <v>229</v>
      </c>
      <c r="AK169" s="2" t="s">
        <v>244</v>
      </c>
      <c r="AL16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9" s="2" t="str">
        <f>SUBSTITUTE(SUBSTITUTE(PROPERTIES[[#This Row],[PURCHASECOST_VALUE]], "PURCHASECOST_", ""), "_VALUE", "")</f>
        <v>STEAMENGINE</v>
      </c>
      <c r="AO169" s="44" t="b">
        <v>0</v>
      </c>
      <c r="AP169" s="48" t="b">
        <v>0</v>
      </c>
      <c r="AQ169" s="48" t="b">
        <v>0</v>
      </c>
      <c r="AR169" s="48">
        <v>0</v>
      </c>
      <c r="AS169" s="48" t="b">
        <v>0</v>
      </c>
      <c r="AT169" s="7" t="b">
        <v>0</v>
      </c>
      <c r="AU169" s="40" t="str" cm="1">
        <f t="array" ref="AU169">_xlfn.XLOOKUP(PROPERTIES[[#This Row],[VEHIDCODE]],GRAPHICS_PROPERTIES[VEHIDCODE],GRAPHICS_PROPERTIES[TEMPLATE_ID]&amp;GRAPHICS_PROPERTIES[TEMPLATE_AMENDMENT_CODE])</f>
        <v>TPL_03A</v>
      </c>
    </row>
    <row r="170" spans="1:47" x14ac:dyDescent="0.35">
      <c r="A170" s="2" t="s">
        <v>2809</v>
      </c>
      <c r="B170">
        <v>1954</v>
      </c>
      <c r="D170" cm="1">
        <f t="array" ref="D1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0" s="40" t="str">
        <f>_xlfn.XLOOKUP(PROPERTIES[[#This Row],[VEHIDCODE]],CONTROL[VEHIDCODE],CONTROL[ENGLISH])</f>
        <v>FCAB 4-8-2 Vulcan 'Mountain'</v>
      </c>
      <c r="F170" t="s">
        <v>573</v>
      </c>
      <c r="G170" s="40" t="str">
        <f>_xlfn.XLOOKUP(PROPERTIES[[#This Row],[COUNTRY]],COUNTRIES[COUNTRY_DESCRIPTION],COUNTRIES[COUNTRY_LABEL],"")</f>
        <v>CL</v>
      </c>
      <c r="H170" t="str" cm="1">
        <f t="array" ref="H1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70" t="s">
        <v>17</v>
      </c>
      <c r="J170">
        <v>0</v>
      </c>
      <c r="K170">
        <v>7</v>
      </c>
      <c r="L170">
        <v>0</v>
      </c>
      <c r="M170" t="str" cm="1">
        <f t="array" ref="M1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0">
        <f>_xlfn.XLOOKUP("LOADINGSPEEDDEF_"&amp;PROPERTIES[[#This Row],[LOADINGSPEED]],LOADINGSPEEDDEF[TYPE],LOADINGSPEEDDEF[SPEED])</f>
        <v>20</v>
      </c>
      <c r="O170" cm="1">
        <f t="array" ref="O1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0">
        <f>IF(ISNUMBER(SEARCH("passenger",PROPERTIES[[#This Row],[CARGODEF]])),1,0)</f>
        <v>0</v>
      </c>
      <c r="Q170" s="23">
        <v>146</v>
      </c>
      <c r="R170">
        <v>1457</v>
      </c>
      <c r="S170">
        <v>0</v>
      </c>
      <c r="T170">
        <v>0</v>
      </c>
      <c r="U170">
        <v>0</v>
      </c>
      <c r="V170">
        <v>85</v>
      </c>
      <c r="W170">
        <v>0</v>
      </c>
      <c r="X170">
        <v>0</v>
      </c>
      <c r="Y170">
        <v>0</v>
      </c>
      <c r="Z170" s="20">
        <v>151</v>
      </c>
      <c r="AA170" s="19">
        <f>IFERROR(PROPERTIES[[#This Row],[TE_STARTING_KN]]/(PROPERTIES[[#This Row],[WEIGHT]]*9.81),0)</f>
        <v>0.10542778545794758</v>
      </c>
      <c r="AB170" s="19">
        <v>0</v>
      </c>
      <c r="AC170" s="16">
        <f>ROUND(IF(IFERROR(PROPERTIES[[#This Row],[TE_COEFFICIENT_CALC]],0)=0,PROPERTIES[[#This Row],[TE_COEFFICIENT_MANUAL]],PROPERTIES[[#This Row],[TE_COEFFICIENT_CALC]]),3)</f>
        <v>0.105</v>
      </c>
      <c r="AD170" s="8" cm="1">
        <f t="array" ref="AD1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70" s="26">
        <v>0</v>
      </c>
      <c r="AF170" s="6">
        <v>4</v>
      </c>
      <c r="AG170" t="s">
        <v>237</v>
      </c>
      <c r="AH170" t="s">
        <v>229</v>
      </c>
      <c r="AI170" t="s">
        <v>229</v>
      </c>
      <c r="AJ170" s="2" t="s">
        <v>229</v>
      </c>
      <c r="AK170" s="2" t="s">
        <v>244</v>
      </c>
      <c r="AL17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7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70" s="2" t="str">
        <f>SUBSTITUTE(SUBSTITUTE(PROPERTIES[[#This Row],[PURCHASECOST_VALUE]], "PURCHASECOST_", ""), "_VALUE", "")</f>
        <v>STEAMENGINE</v>
      </c>
      <c r="AO170" s="44" t="b">
        <v>0</v>
      </c>
      <c r="AP170" s="48" t="b">
        <v>0</v>
      </c>
      <c r="AQ170" s="48" t="b">
        <v>1</v>
      </c>
      <c r="AR170" s="48">
        <v>0</v>
      </c>
      <c r="AS170" s="48" t="b">
        <v>0</v>
      </c>
      <c r="AT170" s="7" t="b">
        <v>1</v>
      </c>
      <c r="AU170" s="40" t="str" cm="1">
        <f t="array" ref="AU170">_xlfn.XLOOKUP(PROPERTIES[[#This Row],[VEHIDCODE]],GRAPHICS_PROPERTIES[VEHIDCODE],GRAPHICS_PROPERTIES[TEMPLATE_ID]&amp;GRAPHICS_PROPERTIES[TEMPLATE_AMENDMENT_CODE])</f>
        <v>TPL_03A</v>
      </c>
    </row>
    <row r="171" spans="1:47" x14ac:dyDescent="0.35">
      <c r="A171" s="2" t="s">
        <v>2810</v>
      </c>
      <c r="B171">
        <v>1956</v>
      </c>
      <c r="C171">
        <v>2010</v>
      </c>
      <c r="D171" cm="1">
        <f t="array" ref="D1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1" s="40" t="str">
        <f>_xlfn.XLOOKUP(PROPERTIES[[#This Row],[VEHIDCODE]],CONTROL[VEHIDCODE],CONTROL[ENGLISH])</f>
        <v>Datong QJ 2-10-2 101-3602</v>
      </c>
      <c r="F171" t="s">
        <v>575</v>
      </c>
      <c r="G171" s="40" t="str">
        <f>_xlfn.XLOOKUP(PROPERTIES[[#This Row],[COUNTRY]],COUNTRIES[COUNTRY_DESCRIPTION],COUNTRIES[COUNTRY_LABEL],"")</f>
        <v>CN</v>
      </c>
      <c r="H171" t="str" cm="1">
        <f t="array" ref="H1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71" t="s">
        <v>17</v>
      </c>
      <c r="J171">
        <v>0</v>
      </c>
      <c r="K171">
        <v>8</v>
      </c>
      <c r="M171" t="str" cm="1">
        <f t="array" ref="M1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1">
        <f>_xlfn.XLOOKUP("LOADINGSPEEDDEF_"&amp;PROPERTIES[[#This Row],[LOADINGSPEED]],LOADINGSPEEDDEF[TYPE],LOADINGSPEEDDEF[SPEED])</f>
        <v>20</v>
      </c>
      <c r="O171" cm="1">
        <f t="array" ref="O1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1">
        <f>IF(ISNUMBER(SEARCH("passenger",PROPERTIES[[#This Row],[CARGODEF]])),1,0)</f>
        <v>0</v>
      </c>
      <c r="Q171" s="23">
        <v>203.2</v>
      </c>
      <c r="R171">
        <v>2980</v>
      </c>
      <c r="S171">
        <v>0</v>
      </c>
      <c r="T171">
        <v>0</v>
      </c>
      <c r="U171">
        <v>0</v>
      </c>
      <c r="V171">
        <v>80</v>
      </c>
      <c r="W171">
        <v>0</v>
      </c>
      <c r="X171">
        <v>0</v>
      </c>
      <c r="Y171">
        <v>0</v>
      </c>
      <c r="Z171" s="20">
        <v>281.75</v>
      </c>
      <c r="AA171" s="19">
        <f>IFERROR(PROPERTIES[[#This Row],[TE_STARTING_KN]]/(PROPERTIES[[#This Row],[WEIGHT]]*9.81),0)</f>
        <v>0.1413419939480042</v>
      </c>
      <c r="AB171" s="19">
        <v>0</v>
      </c>
      <c r="AC171" s="16">
        <f>ROUND(IF(IFERROR(PROPERTIES[[#This Row],[TE_COEFFICIENT_CALC]],0)=0,PROPERTIES[[#This Row],[TE_COEFFICIENT_MANUAL]],PROPERTIES[[#This Row],[TE_COEFFICIENT_CALC]]),3)</f>
        <v>0.14099999999999999</v>
      </c>
      <c r="AD171" s="8" cm="1">
        <f t="array" ref="AD1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171" s="26">
        <v>0</v>
      </c>
      <c r="AF171" s="6">
        <v>6</v>
      </c>
      <c r="AG171" t="s">
        <v>238</v>
      </c>
      <c r="AH171" t="s">
        <v>229</v>
      </c>
      <c r="AI171" t="s">
        <v>229</v>
      </c>
      <c r="AJ171" s="2" t="s">
        <v>229</v>
      </c>
      <c r="AK171" s="2" t="s">
        <v>244</v>
      </c>
      <c r="AL17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7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71" s="2" t="str">
        <f>SUBSTITUTE(SUBSTITUTE(PROPERTIES[[#This Row],[PURCHASECOST_VALUE]], "PURCHASECOST_", ""), "_VALUE", "")</f>
        <v>STEAMENGINE</v>
      </c>
      <c r="AO171" s="44" t="b">
        <v>0</v>
      </c>
      <c r="AP171" s="48" t="b">
        <v>0</v>
      </c>
      <c r="AQ171" s="48" t="b">
        <v>0</v>
      </c>
      <c r="AR171" s="48">
        <v>0</v>
      </c>
      <c r="AS171" s="48" t="b">
        <v>0</v>
      </c>
      <c r="AT171" s="7" t="b">
        <v>0</v>
      </c>
      <c r="AU171" s="40" t="str" cm="1">
        <f t="array" ref="AU171">_xlfn.XLOOKUP(PROPERTIES[[#This Row],[VEHIDCODE]],GRAPHICS_PROPERTIES[VEHIDCODE],GRAPHICS_PROPERTIES[TEMPLATE_ID]&amp;GRAPHICS_PROPERTIES[TEMPLATE_AMENDMENT_CODE])</f>
        <v>TPL_03A</v>
      </c>
    </row>
    <row r="172" spans="1:47" x14ac:dyDescent="0.35">
      <c r="A172" s="2" t="s">
        <v>2811</v>
      </c>
      <c r="B172">
        <v>1930</v>
      </c>
      <c r="C172">
        <v>1967</v>
      </c>
      <c r="D172" cm="1">
        <f t="array" ref="D1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2" s="40" t="str">
        <f>_xlfn.XLOOKUP(PROPERTIES[[#This Row],[VEHIDCODE]],CONTROL[VEHIDCODE],CONTROL[ENGLISH])</f>
        <v>DB Kof II/DB 322</v>
      </c>
      <c r="F172" t="s">
        <v>584</v>
      </c>
      <c r="G172" s="40" t="str">
        <f>_xlfn.XLOOKUP(PROPERTIES[[#This Row],[COUNTRY]],COUNTRIES[COUNTRY_DESCRIPTION],COUNTRIES[COUNTRY_LABEL],"")</f>
        <v>DE</v>
      </c>
      <c r="H172" t="str" cm="1">
        <f t="array" ref="H1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2" t="s">
        <v>17</v>
      </c>
      <c r="J172">
        <v>0</v>
      </c>
      <c r="K172">
        <v>4</v>
      </c>
      <c r="L172">
        <v>0</v>
      </c>
      <c r="M172" t="str" cm="1">
        <f t="array" ref="M1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2">
        <f>_xlfn.XLOOKUP("LOADINGSPEEDDEF_"&amp;PROPERTIES[[#This Row],[LOADINGSPEED]],LOADINGSPEEDDEF[TYPE],LOADINGSPEEDDEF[SPEED])</f>
        <v>20</v>
      </c>
      <c r="O172" cm="1">
        <f t="array" ref="O1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2">
        <f>IF(ISNUMBER(SEARCH("passenger",PROPERTIES[[#This Row],[CARGODEF]])),1,0)</f>
        <v>0</v>
      </c>
      <c r="Q172" s="23">
        <v>15</v>
      </c>
      <c r="R172">
        <v>60</v>
      </c>
      <c r="S172">
        <v>0</v>
      </c>
      <c r="T172">
        <v>0</v>
      </c>
      <c r="U172">
        <v>0</v>
      </c>
      <c r="V172">
        <v>30</v>
      </c>
      <c r="W172">
        <v>0</v>
      </c>
      <c r="X172">
        <v>0</v>
      </c>
      <c r="Y172">
        <v>0</v>
      </c>
      <c r="Z172" s="20">
        <v>30</v>
      </c>
      <c r="AA172" s="19">
        <f>IFERROR(PROPERTIES[[#This Row],[TE_STARTING_KN]]/(PROPERTIES[[#This Row],[WEIGHT]]*9.81),0)</f>
        <v>0.2038735983690112</v>
      </c>
      <c r="AB172" s="19">
        <v>0</v>
      </c>
      <c r="AC172" s="16">
        <f>ROUND(IF(IFERROR(PROPERTIES[[#This Row],[TE_COEFFICIENT_CALC]],0)=0,PROPERTIES[[#This Row],[TE_COEFFICIENT_MANUAL]],PROPERTIES[[#This Row],[TE_COEFFICIENT_CALC]]),3)</f>
        <v>0.20399999999999999</v>
      </c>
      <c r="AD172" s="8" cm="1">
        <f t="array" ref="AD1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37</v>
      </c>
      <c r="AE172" s="26">
        <v>0</v>
      </c>
      <c r="AF172" s="6">
        <v>0</v>
      </c>
      <c r="AG172" t="s">
        <v>239</v>
      </c>
      <c r="AH172" t="s">
        <v>229</v>
      </c>
      <c r="AI172" t="s">
        <v>229</v>
      </c>
      <c r="AJ172" s="2" t="s">
        <v>229</v>
      </c>
      <c r="AK172" s="2" t="s">
        <v>244</v>
      </c>
      <c r="AL17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2" s="2" t="str">
        <f>SUBSTITUTE(SUBSTITUTE(PROPERTIES[[#This Row],[PURCHASECOST_VALUE]], "PURCHASECOST_", ""), "_VALUE", "")</f>
        <v>DIESELENGINE</v>
      </c>
      <c r="AO172" s="44" t="b">
        <v>0</v>
      </c>
      <c r="AP172" s="48" t="b">
        <v>0</v>
      </c>
      <c r="AQ172" s="48" t="b">
        <v>0</v>
      </c>
      <c r="AR172" s="48">
        <v>0</v>
      </c>
      <c r="AS172" s="48" t="b">
        <v>0</v>
      </c>
      <c r="AT172" s="7" t="b">
        <v>0</v>
      </c>
      <c r="AU172" s="40" t="str" cm="1">
        <f t="array" ref="AU172">_xlfn.XLOOKUP(PROPERTIES[[#This Row],[VEHIDCODE]],GRAPHICS_PROPERTIES[VEHIDCODE],GRAPHICS_PROPERTIES[TEMPLATE_ID]&amp;GRAPHICS_PROPERTIES[TEMPLATE_AMENDMENT_CODE])</f>
        <v>TPL_01A</v>
      </c>
    </row>
    <row r="173" spans="1:47" x14ac:dyDescent="0.35">
      <c r="A173" s="2" t="s">
        <v>2812</v>
      </c>
      <c r="B173">
        <v>1931</v>
      </c>
      <c r="D173" cm="1">
        <f t="array" ref="D1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3" s="40" t="str">
        <f>_xlfn.XLOOKUP(PROPERTIES[[#This Row],[VEHIDCODE]],CONTROL[VEHIDCODE],CONTROL[ENGLISH])</f>
        <v>CNJ ALCo-GE-IR Boxcab 100T</v>
      </c>
      <c r="F173" t="s">
        <v>757</v>
      </c>
      <c r="G173" s="40" t="str">
        <f>_xlfn.XLOOKUP(PROPERTIES[[#This Row],[COUNTRY]],COUNTRIES[COUNTRY_DESCRIPTION],COUNTRIES[COUNTRY_LABEL],"")</f>
        <v>US</v>
      </c>
      <c r="H173" t="str" cm="1">
        <f t="array" ref="H1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3" t="s">
        <v>17</v>
      </c>
      <c r="J173">
        <v>0</v>
      </c>
      <c r="K173">
        <v>4</v>
      </c>
      <c r="L173">
        <v>0</v>
      </c>
      <c r="M173" t="str" cm="1">
        <f t="array" ref="M1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3">
        <f>_xlfn.XLOOKUP("LOADINGSPEEDDEF_"&amp;PROPERTIES[[#This Row],[LOADINGSPEED]],LOADINGSPEEDDEF[TYPE],LOADINGSPEEDDEF[SPEED])</f>
        <v>20</v>
      </c>
      <c r="O173" cm="1">
        <f t="array" ref="O1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3">
        <f>IF(ISNUMBER(SEARCH("passenger",PROPERTIES[[#This Row],[CARGODEF]])),1,0)</f>
        <v>0</v>
      </c>
      <c r="Q173" s="23">
        <v>90.7</v>
      </c>
      <c r="R173">
        <v>600</v>
      </c>
      <c r="S173">
        <v>0</v>
      </c>
      <c r="T173">
        <v>0</v>
      </c>
      <c r="U173">
        <v>0</v>
      </c>
      <c r="V173">
        <v>55</v>
      </c>
      <c r="W173">
        <v>0</v>
      </c>
      <c r="X173">
        <v>0</v>
      </c>
      <c r="Y173">
        <v>0</v>
      </c>
      <c r="Z173" s="20">
        <v>250</v>
      </c>
      <c r="AA173" s="19">
        <f>IFERROR(PROPERTIES[[#This Row],[TE_STARTING_KN]]/(PROPERTIES[[#This Row],[WEIGHT]]*9.81),0)</f>
        <v>0.28097243435641017</v>
      </c>
      <c r="AB173" s="19">
        <v>0</v>
      </c>
      <c r="AC173" s="16">
        <f>ROUND(IF(IFERROR(PROPERTIES[[#This Row],[TE_COEFFICIENT_CALC]],0)=0,PROPERTIES[[#This Row],[TE_COEFFICIENT_MANUAL]],PROPERTIES[[#This Row],[TE_COEFFICIENT_CALC]]),3)</f>
        <v>0.28100000000000003</v>
      </c>
      <c r="AD173" s="8" cm="1">
        <f t="array" ref="AD1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73" s="26">
        <v>0</v>
      </c>
      <c r="AF173" s="6">
        <v>0</v>
      </c>
      <c r="AG173" t="s">
        <v>235</v>
      </c>
      <c r="AH173" t="s">
        <v>229</v>
      </c>
      <c r="AI173" t="s">
        <v>229</v>
      </c>
      <c r="AJ173" s="2" t="s">
        <v>229</v>
      </c>
      <c r="AK173" s="2" t="s">
        <v>244</v>
      </c>
      <c r="AL17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3" s="2" t="str">
        <f>SUBSTITUTE(SUBSTITUTE(PROPERTIES[[#This Row],[PURCHASECOST_VALUE]], "PURCHASECOST_", ""), "_VALUE", "")</f>
        <v>DIESELENGINE</v>
      </c>
      <c r="AO173" s="44" t="b">
        <v>0</v>
      </c>
      <c r="AP173" s="48" t="b">
        <v>0</v>
      </c>
      <c r="AQ173" s="48" t="b">
        <v>0</v>
      </c>
      <c r="AR173" s="48">
        <v>0</v>
      </c>
      <c r="AS173" s="48" t="b">
        <v>0</v>
      </c>
      <c r="AT173" s="7" t="b">
        <v>0</v>
      </c>
      <c r="AU173" s="40" t="str" cm="1">
        <f t="array" ref="AU173">_xlfn.XLOOKUP(PROPERTIES[[#This Row],[VEHIDCODE]],GRAPHICS_PROPERTIES[VEHIDCODE],GRAPHICS_PROPERTIES[TEMPLATE_ID]&amp;GRAPHICS_PROPERTIES[TEMPLATE_AMENDMENT_CODE])</f>
        <v>TPL_01A</v>
      </c>
    </row>
    <row r="174" spans="1:47" x14ac:dyDescent="0.35">
      <c r="A174" s="2" t="s">
        <v>2813</v>
      </c>
      <c r="B174">
        <v>1934</v>
      </c>
      <c r="C174">
        <v>2008</v>
      </c>
      <c r="D174" cm="1">
        <f t="array" ref="D1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4" s="40" t="str">
        <f>_xlfn.XLOOKUP(PROPERTIES[[#This Row],[VEHIDCODE]],CONTROL[VEHIDCODE],CONTROL[ENGLISH])</f>
        <v>Werkspoor 200 'Sik'</v>
      </c>
      <c r="F174" t="s">
        <v>692</v>
      </c>
      <c r="G174" s="40" t="str">
        <f>_xlfn.XLOOKUP(PROPERTIES[[#This Row],[COUNTRY]],COUNTRIES[COUNTRY_DESCRIPTION],COUNTRIES[COUNTRY_LABEL],"")</f>
        <v>NL</v>
      </c>
      <c r="H174" t="str" cm="1">
        <f t="array" ref="H1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4" t="s">
        <v>17</v>
      </c>
      <c r="J174">
        <v>0</v>
      </c>
      <c r="K174">
        <v>4</v>
      </c>
      <c r="L174">
        <v>0</v>
      </c>
      <c r="M174" t="str" cm="1">
        <f t="array" ref="M1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4">
        <f>_xlfn.XLOOKUP("LOADINGSPEEDDEF_"&amp;PROPERTIES[[#This Row],[LOADINGSPEED]],LOADINGSPEEDDEF[TYPE],LOADINGSPEEDDEF[SPEED])</f>
        <v>20</v>
      </c>
      <c r="O174" cm="1">
        <f t="array" ref="O1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4">
        <f>IF(ISNUMBER(SEARCH("passenger",PROPERTIES[[#This Row],[CARGODEF]])),1,0)</f>
        <v>0</v>
      </c>
      <c r="Q174" s="23">
        <v>21</v>
      </c>
      <c r="R174">
        <v>72</v>
      </c>
      <c r="S174">
        <v>0</v>
      </c>
      <c r="T174">
        <v>0</v>
      </c>
      <c r="U174">
        <v>0</v>
      </c>
      <c r="V174">
        <v>60</v>
      </c>
      <c r="W174">
        <v>0</v>
      </c>
      <c r="X174">
        <v>0</v>
      </c>
      <c r="Y174">
        <v>0</v>
      </c>
      <c r="Z174" s="20">
        <v>45</v>
      </c>
      <c r="AA174" s="19">
        <f>IFERROR(PROPERTIES[[#This Row],[TE_STARTING_KN]]/(PROPERTIES[[#This Row],[WEIGHT]]*9.81),0)</f>
        <v>0.218435998252512</v>
      </c>
      <c r="AB174" s="19">
        <v>0</v>
      </c>
      <c r="AC174" s="16">
        <f>ROUND(IF(IFERROR(PROPERTIES[[#This Row],[TE_COEFFICIENT_CALC]],0)=0,PROPERTIES[[#This Row],[TE_COEFFICIENT_MANUAL]],PROPERTIES[[#This Row],[TE_COEFFICIENT_CALC]]),3)</f>
        <v>0.218</v>
      </c>
      <c r="AD174" s="8" cm="1">
        <f t="array" ref="AD1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74</v>
      </c>
      <c r="AE174" s="26">
        <v>0</v>
      </c>
      <c r="AF174" s="6">
        <v>0</v>
      </c>
      <c r="AG174" t="s">
        <v>230</v>
      </c>
      <c r="AH174" t="s">
        <v>229</v>
      </c>
      <c r="AI174" t="s">
        <v>229</v>
      </c>
      <c r="AJ174" s="2" t="s">
        <v>229</v>
      </c>
      <c r="AK174" s="2" t="s">
        <v>244</v>
      </c>
      <c r="AL17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4" s="2" t="str">
        <f>SUBSTITUTE(SUBSTITUTE(PROPERTIES[[#This Row],[PURCHASECOST_VALUE]], "PURCHASECOST_", ""), "_VALUE", "")</f>
        <v>DIESELENGINE</v>
      </c>
      <c r="AO174" s="44" t="b">
        <v>0</v>
      </c>
      <c r="AP174" s="48" t="b">
        <v>0</v>
      </c>
      <c r="AQ174" s="48" t="b">
        <v>0</v>
      </c>
      <c r="AR174" s="48">
        <v>0</v>
      </c>
      <c r="AS174" s="48" t="b">
        <v>0</v>
      </c>
      <c r="AT174" s="7" t="b">
        <v>0</v>
      </c>
      <c r="AU174" s="40" t="str" cm="1">
        <f t="array" ref="AU174">_xlfn.XLOOKUP(PROPERTIES[[#This Row],[VEHIDCODE]],GRAPHICS_PROPERTIES[VEHIDCODE],GRAPHICS_PROPERTIES[TEMPLATE_ID]&amp;GRAPHICS_PROPERTIES[TEMPLATE_AMENDMENT_CODE])</f>
        <v>TPL_01A</v>
      </c>
    </row>
    <row r="175" spans="1:47" x14ac:dyDescent="0.35">
      <c r="A175" s="2" t="s">
        <v>2814</v>
      </c>
      <c r="B175">
        <v>1936</v>
      </c>
      <c r="C175">
        <v>1979</v>
      </c>
      <c r="D175" cm="1">
        <f t="array" ref="D1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5" s="40" t="str">
        <f>_xlfn.XLOOKUP(PROPERTIES[[#This Row],[VEHIDCODE]],CONTROL[VEHIDCODE],CONTROL[ENGLISH])</f>
        <v>BMAG 'WR 200 B 14'</v>
      </c>
      <c r="F175" t="s">
        <v>584</v>
      </c>
      <c r="G175" s="40" t="str">
        <f>_xlfn.XLOOKUP(PROPERTIES[[#This Row],[COUNTRY]],COUNTRIES[COUNTRY_DESCRIPTION],COUNTRIES[COUNTRY_LABEL],"")</f>
        <v>DE</v>
      </c>
      <c r="H175" t="str" cm="1">
        <f t="array" ref="H1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5" t="s">
        <v>17</v>
      </c>
      <c r="J175">
        <v>0</v>
      </c>
      <c r="K175">
        <v>5</v>
      </c>
      <c r="L175">
        <v>0</v>
      </c>
      <c r="M175" t="str" cm="1">
        <f t="array" ref="M1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5">
        <f>_xlfn.XLOOKUP("LOADINGSPEEDDEF_"&amp;PROPERTIES[[#This Row],[LOADINGSPEED]],LOADINGSPEEDDEF[TYPE],LOADINGSPEEDDEF[SPEED])</f>
        <v>20</v>
      </c>
      <c r="O175" cm="1">
        <f t="array" ref="O1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5">
        <f>IF(ISNUMBER(SEARCH("passenger",PROPERTIES[[#This Row],[CARGODEF]])),1,0)</f>
        <v>0</v>
      </c>
      <c r="Q175" s="23">
        <v>26</v>
      </c>
      <c r="R175">
        <v>200</v>
      </c>
      <c r="S175">
        <v>0</v>
      </c>
      <c r="T175">
        <v>0</v>
      </c>
      <c r="U175">
        <v>0</v>
      </c>
      <c r="V175">
        <v>55</v>
      </c>
      <c r="W175">
        <v>0</v>
      </c>
      <c r="X175">
        <v>0</v>
      </c>
      <c r="Y175">
        <v>0</v>
      </c>
      <c r="Z175" s="20">
        <v>68</v>
      </c>
      <c r="AA175" s="19">
        <f>IFERROR(PROPERTIES[[#This Row],[TE_STARTING_KN]]/(PROPERTIES[[#This Row],[WEIGHT]]*9.81),0)</f>
        <v>0.26660393632870699</v>
      </c>
      <c r="AB175" s="19">
        <v>0</v>
      </c>
      <c r="AC175" s="16">
        <f>ROUND(IF(IFERROR(PROPERTIES[[#This Row],[TE_COEFFICIENT_CALC]],0)=0,PROPERTIES[[#This Row],[TE_COEFFICIENT_MANUAL]],PROPERTIES[[#This Row],[TE_COEFFICIENT_CALC]]),3)</f>
        <v>0.26700000000000002</v>
      </c>
      <c r="AD175" s="8" cm="1">
        <f t="array" ref="AD1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175" s="26">
        <v>0</v>
      </c>
      <c r="AF175" s="6">
        <v>0</v>
      </c>
      <c r="AG175" t="s">
        <v>230</v>
      </c>
      <c r="AH175" t="s">
        <v>229</v>
      </c>
      <c r="AI175" t="s">
        <v>229</v>
      </c>
      <c r="AJ175" s="2" t="s">
        <v>229</v>
      </c>
      <c r="AK175" s="2" t="s">
        <v>244</v>
      </c>
      <c r="AL17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5" s="2" t="str">
        <f>SUBSTITUTE(SUBSTITUTE(PROPERTIES[[#This Row],[PURCHASECOST_VALUE]], "PURCHASECOST_", ""), "_VALUE", "")</f>
        <v>DIESELENGINE</v>
      </c>
      <c r="AO175" s="44" t="b">
        <v>0</v>
      </c>
      <c r="AP175" s="48" t="b">
        <v>0</v>
      </c>
      <c r="AQ175" s="48" t="b">
        <v>0</v>
      </c>
      <c r="AR175" s="48">
        <v>0</v>
      </c>
      <c r="AS175" s="48" t="b">
        <v>0</v>
      </c>
      <c r="AT175" s="7" t="b">
        <v>0</v>
      </c>
      <c r="AU175" s="40" t="str" cm="1">
        <f t="array" ref="AU175">_xlfn.XLOOKUP(PROPERTIES[[#This Row],[VEHIDCODE]],GRAPHICS_PROPERTIES[VEHIDCODE],GRAPHICS_PROPERTIES[TEMPLATE_ID]&amp;GRAPHICS_PROPERTIES[TEMPLATE_AMENDMENT_CODE])</f>
        <v>TPL_03C</v>
      </c>
    </row>
    <row r="176" spans="1:47" x14ac:dyDescent="0.35">
      <c r="A176" s="2" t="s">
        <v>2815</v>
      </c>
      <c r="B176">
        <v>1941</v>
      </c>
      <c r="C176">
        <v>1978</v>
      </c>
      <c r="D176" cm="1">
        <f t="array" ref="D1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6" s="40" t="str">
        <f>_xlfn.XLOOKUP(PROPERTIES[[#This Row],[VEHIDCODE]],CONTROL[VEHIDCODE],CONTROL[ENGLISH])</f>
        <v>BBC/SLM Am 4/6</v>
      </c>
      <c r="F176" t="s">
        <v>570</v>
      </c>
      <c r="G176" s="40" t="str">
        <f>_xlfn.XLOOKUP(PROPERTIES[[#This Row],[COUNTRY]],COUNTRIES[COUNTRY_DESCRIPTION],COUNTRIES[COUNTRY_LABEL],"")</f>
        <v>CH</v>
      </c>
      <c r="H176" t="str" cm="1">
        <f t="array" ref="H1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6" t="s">
        <v>17</v>
      </c>
      <c r="J176">
        <v>0</v>
      </c>
      <c r="K176">
        <v>8</v>
      </c>
      <c r="L176">
        <v>0</v>
      </c>
      <c r="M176" t="str" cm="1">
        <f t="array" ref="M1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6">
        <f>_xlfn.XLOOKUP("LOADINGSPEEDDEF_"&amp;PROPERTIES[[#This Row],[LOADINGSPEED]],LOADINGSPEEDDEF[TYPE],LOADINGSPEEDDEF[SPEED])</f>
        <v>20</v>
      </c>
      <c r="O176" cm="1">
        <f t="array" ref="O1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6">
        <f>IF(ISNUMBER(SEARCH("passenger",PROPERTIES[[#This Row],[CARGODEF]])),1,0)</f>
        <v>0</v>
      </c>
      <c r="Q176" s="23">
        <v>92</v>
      </c>
      <c r="R176">
        <v>2170</v>
      </c>
      <c r="S176">
        <v>0</v>
      </c>
      <c r="T176">
        <v>0</v>
      </c>
      <c r="U176">
        <v>0</v>
      </c>
      <c r="V176">
        <v>110</v>
      </c>
      <c r="W176">
        <v>0</v>
      </c>
      <c r="X176">
        <v>0</v>
      </c>
      <c r="Y176">
        <v>0</v>
      </c>
      <c r="Z176" s="20">
        <v>127</v>
      </c>
      <c r="AA176" s="19">
        <f>IFERROR(PROPERTIES[[#This Row],[TE_STARTING_KN]]/(PROPERTIES[[#This Row],[WEIGHT]]*9.81),0)</f>
        <v>0.14071710322208925</v>
      </c>
      <c r="AB176" s="19">
        <v>0</v>
      </c>
      <c r="AC176" s="16">
        <f>ROUND(IF(IFERROR(PROPERTIES[[#This Row],[TE_COEFFICIENT_CALC]],0)=0,PROPERTIES[[#This Row],[TE_COEFFICIENT_MANUAL]],PROPERTIES[[#This Row],[TE_COEFFICIENT_CALC]]),3)</f>
        <v>0.14099999999999999</v>
      </c>
      <c r="AD176" s="8" cm="1">
        <f t="array" ref="AD1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37</v>
      </c>
      <c r="AE176" s="26">
        <v>0</v>
      </c>
      <c r="AF176" s="6">
        <v>0</v>
      </c>
      <c r="AG176" t="s">
        <v>230</v>
      </c>
      <c r="AH176" t="s">
        <v>229</v>
      </c>
      <c r="AI176" t="s">
        <v>229</v>
      </c>
      <c r="AJ176" s="2" t="s">
        <v>229</v>
      </c>
      <c r="AK176" s="2" t="s">
        <v>244</v>
      </c>
      <c r="AL17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6" s="2" t="str">
        <f>SUBSTITUTE(SUBSTITUTE(PROPERTIES[[#This Row],[PURCHASECOST_VALUE]], "PURCHASECOST_", ""), "_VALUE", "")</f>
        <v>DIESELENGINE</v>
      </c>
      <c r="AO176" s="45" t="s">
        <v>3644</v>
      </c>
      <c r="AP176" s="48" t="b">
        <v>0</v>
      </c>
      <c r="AQ176" s="48" t="b">
        <v>0</v>
      </c>
      <c r="AR176" s="48">
        <v>0</v>
      </c>
      <c r="AS176" s="48" t="b">
        <v>0</v>
      </c>
      <c r="AT176" s="7" t="b">
        <v>0</v>
      </c>
      <c r="AU176" s="40" t="str" cm="1">
        <f t="array" ref="AU176">_xlfn.XLOOKUP(PROPERTIES[[#This Row],[VEHIDCODE]],GRAPHICS_PROPERTIES[VEHIDCODE],GRAPHICS_PROPERTIES[TEMPLATE_ID]&amp;GRAPHICS_PROPERTIES[TEMPLATE_AMENDMENT_CODE])</f>
        <v>TPL_01A</v>
      </c>
    </row>
    <row r="177" spans="1:47" x14ac:dyDescent="0.35">
      <c r="A177" s="2" t="s">
        <v>2816</v>
      </c>
      <c r="B177">
        <v>1943</v>
      </c>
      <c r="C177">
        <v>1979</v>
      </c>
      <c r="D177" cm="1">
        <f t="array" ref="D1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7" s="40" t="str">
        <f>_xlfn.XLOOKUP(PROPERTIES[[#This Row],[VEHIDCODE]],CONTROL[VEHIDCODE],CONTROL[ENGLISH])</f>
        <v>GE 44-ton switcher</v>
      </c>
      <c r="F177" t="s">
        <v>541</v>
      </c>
      <c r="G177" s="40" t="str">
        <f>_xlfn.XLOOKUP(PROPERTIES[[#This Row],[COUNTRY]],COUNTRIES[COUNTRY_DESCRIPTION],COUNTRIES[COUNTRY_LABEL],"")</f>
        <v>AU</v>
      </c>
      <c r="H177" t="str" cm="1">
        <f t="array" ref="H1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7" t="s">
        <v>17</v>
      </c>
      <c r="J177">
        <v>0</v>
      </c>
      <c r="K177">
        <v>5</v>
      </c>
      <c r="L177">
        <v>0</v>
      </c>
      <c r="M177" t="str" cm="1">
        <f t="array" ref="M1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7">
        <f>_xlfn.XLOOKUP("LOADINGSPEEDDEF_"&amp;PROPERTIES[[#This Row],[LOADINGSPEED]],LOADINGSPEEDDEF[TYPE],LOADINGSPEEDDEF[SPEED])</f>
        <v>20</v>
      </c>
      <c r="O177" cm="1">
        <f t="array" ref="O1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7">
        <f>IF(ISNUMBER(SEARCH("passenger",PROPERTIES[[#This Row],[CARGODEF]])),1,0)</f>
        <v>0</v>
      </c>
      <c r="Q177" s="23">
        <v>40</v>
      </c>
      <c r="R177">
        <v>380</v>
      </c>
      <c r="S177">
        <v>0</v>
      </c>
      <c r="T177">
        <v>0</v>
      </c>
      <c r="U177">
        <v>0</v>
      </c>
      <c r="V177">
        <v>56</v>
      </c>
      <c r="W177">
        <v>0</v>
      </c>
      <c r="X177">
        <v>0</v>
      </c>
      <c r="Y177">
        <v>0</v>
      </c>
      <c r="Z177" s="20">
        <v>57.83</v>
      </c>
      <c r="AA177" s="19">
        <f>IFERROR(PROPERTIES[[#This Row],[TE_STARTING_KN]]/(PROPERTIES[[#This Row],[WEIGHT]]*9.81),0)</f>
        <v>0.14737512742099895</v>
      </c>
      <c r="AB177" s="19">
        <v>0</v>
      </c>
      <c r="AC177" s="16">
        <f>ROUND(IF(IFERROR(PROPERTIES[[#This Row],[TE_COEFFICIENT_CALC]],0)=0,PROPERTIES[[#This Row],[TE_COEFFICIENT_MANUAL]],PROPERTIES[[#This Row],[TE_COEFFICIENT_CALC]]),3)</f>
        <v>0.14699999999999999</v>
      </c>
      <c r="AD177" s="8" cm="1">
        <f t="array" ref="AD1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177" s="26">
        <v>0</v>
      </c>
      <c r="AF177" s="6">
        <v>0</v>
      </c>
      <c r="AG177" t="s">
        <v>1947</v>
      </c>
      <c r="AH177" t="s">
        <v>240</v>
      </c>
      <c r="AI177" t="s">
        <v>1950</v>
      </c>
      <c r="AJ177" s="2" t="s">
        <v>1950</v>
      </c>
      <c r="AK177" s="2" t="s">
        <v>244</v>
      </c>
      <c r="AL17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7" s="2" t="str">
        <f>SUBSTITUTE(SUBSTITUTE(PROPERTIES[[#This Row],[PURCHASECOST_VALUE]], "PURCHASECOST_", ""), "_VALUE", "")</f>
        <v>DIESELENGINE</v>
      </c>
      <c r="AO177" s="44" t="b">
        <v>0</v>
      </c>
      <c r="AP177" s="48" t="b">
        <v>0</v>
      </c>
      <c r="AQ177" s="48" t="b">
        <v>0</v>
      </c>
      <c r="AR177" s="48">
        <v>0</v>
      </c>
      <c r="AS177" s="48" t="b">
        <v>0</v>
      </c>
      <c r="AT177" s="7" t="b">
        <v>0</v>
      </c>
      <c r="AU177" s="40" t="str" cm="1">
        <f t="array" ref="AU177">_xlfn.XLOOKUP(PROPERTIES[[#This Row],[VEHIDCODE]],GRAPHICS_PROPERTIES[VEHIDCODE],GRAPHICS_PROPERTIES[TEMPLATE_ID]&amp;GRAPHICS_PROPERTIES[TEMPLATE_AMENDMENT_CODE])</f>
        <v>TPL_01A</v>
      </c>
    </row>
    <row r="178" spans="1:47" x14ac:dyDescent="0.35">
      <c r="A178" s="2" t="s">
        <v>2817</v>
      </c>
      <c r="B178">
        <v>1940</v>
      </c>
      <c r="D178" cm="1">
        <f t="array" ref="D1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8" s="40" t="str">
        <f>_xlfn.XLOOKUP(PROPERTIES[[#This Row],[VEHIDCODE]],CONTROL[VEHIDCODE],CONTROL[ENGLISH])</f>
        <v>ALCO S-2</v>
      </c>
      <c r="F178" t="s">
        <v>757</v>
      </c>
      <c r="G178" s="40" t="str">
        <f>_xlfn.XLOOKUP(PROPERTIES[[#This Row],[COUNTRY]],COUNTRIES[COUNTRY_DESCRIPTION],COUNTRIES[COUNTRY_LABEL],"")</f>
        <v>US</v>
      </c>
      <c r="H178" t="str" cm="1">
        <f t="array" ref="H1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8" t="s">
        <v>17</v>
      </c>
      <c r="J178">
        <v>0</v>
      </c>
      <c r="K178">
        <v>6</v>
      </c>
      <c r="L178">
        <v>0</v>
      </c>
      <c r="M178" t="str" cm="1">
        <f t="array" ref="M1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8">
        <f>_xlfn.XLOOKUP("LOADINGSPEEDDEF_"&amp;PROPERTIES[[#This Row],[LOADINGSPEED]],LOADINGSPEEDDEF[TYPE],LOADINGSPEEDDEF[SPEED])</f>
        <v>20</v>
      </c>
      <c r="O178" cm="1">
        <f t="array" ref="O1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8">
        <f>IF(ISNUMBER(SEARCH("passenger",PROPERTIES[[#This Row],[CARGODEF]])),1,0)</f>
        <v>0</v>
      </c>
      <c r="Q178" s="23">
        <v>104</v>
      </c>
      <c r="R178">
        <v>1000</v>
      </c>
      <c r="S178">
        <v>0</v>
      </c>
      <c r="T178">
        <v>0</v>
      </c>
      <c r="U178">
        <v>0</v>
      </c>
      <c r="V178">
        <v>96</v>
      </c>
      <c r="W178">
        <v>0</v>
      </c>
      <c r="X178">
        <v>0</v>
      </c>
      <c r="Y178">
        <v>0</v>
      </c>
      <c r="Z178" s="20">
        <v>261</v>
      </c>
      <c r="AA178" s="19">
        <f>IFERROR(PROPERTIES[[#This Row],[TE_STARTING_KN]]/(PROPERTIES[[#This Row],[WEIGHT]]*9.81),0)</f>
        <v>0.25582215949188425</v>
      </c>
      <c r="AB178" s="19">
        <v>0</v>
      </c>
      <c r="AC178" s="16">
        <f>ROUND(IF(IFERROR(PROPERTIES[[#This Row],[TE_COEFFICIENT_CALC]],0)=0,PROPERTIES[[#This Row],[TE_COEFFICIENT_MANUAL]],PROPERTIES[[#This Row],[TE_COEFFICIENT_CALC]]),3)</f>
        <v>0.25600000000000001</v>
      </c>
      <c r="AD178" s="8" cm="1">
        <f t="array" ref="AD1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78" s="26">
        <v>0</v>
      </c>
      <c r="AF178" s="6">
        <v>0</v>
      </c>
      <c r="AG178" t="s">
        <v>235</v>
      </c>
      <c r="AH178" t="s">
        <v>232</v>
      </c>
      <c r="AI178" t="s">
        <v>229</v>
      </c>
      <c r="AJ178" s="2" t="s">
        <v>229</v>
      </c>
      <c r="AK178" s="2" t="s">
        <v>244</v>
      </c>
      <c r="AL17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8" s="2" t="str">
        <f>SUBSTITUTE(SUBSTITUTE(PROPERTIES[[#This Row],[PURCHASECOST_VALUE]], "PURCHASECOST_", ""), "_VALUE", "")</f>
        <v>DIESELENGINE</v>
      </c>
      <c r="AO178" s="44" t="b">
        <v>0</v>
      </c>
      <c r="AP178" s="48" t="b">
        <v>0</v>
      </c>
      <c r="AQ178" s="48" t="b">
        <v>0</v>
      </c>
      <c r="AR178" s="48">
        <v>0</v>
      </c>
      <c r="AS178" s="48" t="b">
        <v>0</v>
      </c>
      <c r="AT178" s="7" t="b">
        <v>0</v>
      </c>
      <c r="AU178" s="40" t="str" cm="1">
        <f t="array" ref="AU178">_xlfn.XLOOKUP(PROPERTIES[[#This Row],[VEHIDCODE]],GRAPHICS_PROPERTIES[VEHIDCODE],GRAPHICS_PROPERTIES[TEMPLATE_ID]&amp;GRAPHICS_PROPERTIES[TEMPLATE_AMENDMENT_CODE])</f>
        <v>TPL_01A</v>
      </c>
    </row>
    <row r="179" spans="1:47" x14ac:dyDescent="0.35">
      <c r="A179" s="2" t="s">
        <v>2818</v>
      </c>
      <c r="B179">
        <v>1946</v>
      </c>
      <c r="C179">
        <v>1991</v>
      </c>
      <c r="D179" cm="1">
        <f t="array" ref="D1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9" s="40" t="str">
        <f>_xlfn.XLOOKUP(PROPERTIES[[#This Row],[VEHIDCODE]],CONTROL[VEHIDCODE],CONTROL[ENGLISH])</f>
        <v>EMD F3</v>
      </c>
      <c r="F179" t="s">
        <v>757</v>
      </c>
      <c r="G179" s="40" t="str">
        <f>_xlfn.XLOOKUP(PROPERTIES[[#This Row],[COUNTRY]],COUNTRIES[COUNTRY_DESCRIPTION],COUNTRIES[COUNTRY_LABEL],"")</f>
        <v>US</v>
      </c>
      <c r="H179" t="str" cm="1">
        <f t="array" ref="H1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9" t="s">
        <v>17</v>
      </c>
      <c r="J179">
        <v>0</v>
      </c>
      <c r="K179">
        <v>7</v>
      </c>
      <c r="L179">
        <v>0</v>
      </c>
      <c r="M179" t="str" cm="1">
        <f t="array" ref="M1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9">
        <f>_xlfn.XLOOKUP("LOADINGSPEEDDEF_"&amp;PROPERTIES[[#This Row],[LOADINGSPEED]],LOADINGSPEEDDEF[TYPE],LOADINGSPEEDDEF[SPEED])</f>
        <v>20</v>
      </c>
      <c r="O179" cm="1">
        <f t="array" ref="O1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9">
        <f>IF(ISNUMBER(SEARCH("passenger",PROPERTIES[[#This Row],[CARGODEF]])),1,0)</f>
        <v>0</v>
      </c>
      <c r="Q179" s="23">
        <v>139</v>
      </c>
      <c r="R179">
        <v>1500</v>
      </c>
      <c r="S179">
        <v>0</v>
      </c>
      <c r="T179">
        <v>0</v>
      </c>
      <c r="U179">
        <v>0</v>
      </c>
      <c r="V179">
        <v>164</v>
      </c>
      <c r="W179">
        <v>0</v>
      </c>
      <c r="X179">
        <v>0</v>
      </c>
      <c r="Y179">
        <v>0</v>
      </c>
      <c r="Z179" s="20">
        <v>250</v>
      </c>
      <c r="AA179" s="19">
        <f>IFERROR(PROPERTIES[[#This Row],[TE_STARTING_KN]]/(PROPERTIES[[#This Row],[WEIGHT]]*9.81),0)</f>
        <v>0.1833395668786072</v>
      </c>
      <c r="AB179" s="19">
        <v>0</v>
      </c>
      <c r="AC179" s="16">
        <f>ROUND(IF(IFERROR(PROPERTIES[[#This Row],[TE_COEFFICIENT_CALC]],0)=0,PROPERTIES[[#This Row],[TE_COEFFICIENT_MANUAL]],PROPERTIES[[#This Row],[TE_COEFFICIENT_CALC]]),3)</f>
        <v>0.183</v>
      </c>
      <c r="AD179" s="8" cm="1">
        <f t="array" ref="AD1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79" s="26">
        <v>0</v>
      </c>
      <c r="AF179" s="6">
        <v>0</v>
      </c>
      <c r="AG179" t="s">
        <v>235</v>
      </c>
      <c r="AH179" t="s">
        <v>229</v>
      </c>
      <c r="AI179" t="s">
        <v>229</v>
      </c>
      <c r="AJ179" s="2" t="s">
        <v>229</v>
      </c>
      <c r="AK179" s="2" t="s">
        <v>244</v>
      </c>
      <c r="AL17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9" s="2" t="str">
        <f>SUBSTITUTE(SUBSTITUTE(PROPERTIES[[#This Row],[PURCHASECOST_VALUE]], "PURCHASECOST_", ""), "_VALUE", "")</f>
        <v>DIESELENGINE</v>
      </c>
      <c r="AO179" s="44" t="b">
        <v>0</v>
      </c>
      <c r="AP179" s="48" t="b">
        <v>0</v>
      </c>
      <c r="AQ179" s="48" t="b">
        <v>0</v>
      </c>
      <c r="AR179" s="48">
        <v>0</v>
      </c>
      <c r="AS179" s="48" t="b">
        <v>0</v>
      </c>
      <c r="AT179" s="7" t="b">
        <v>0</v>
      </c>
      <c r="AU179" s="40" t="str" cm="1">
        <f t="array" ref="AU179">_xlfn.XLOOKUP(PROPERTIES[[#This Row],[VEHIDCODE]],GRAPHICS_PROPERTIES[VEHIDCODE],GRAPHICS_PROPERTIES[TEMPLATE_ID]&amp;GRAPHICS_PROPERTIES[TEMPLATE_AMENDMENT_CODE])</f>
        <v>TPL_17B</v>
      </c>
    </row>
    <row r="180" spans="1:47" x14ac:dyDescent="0.35">
      <c r="A180" s="2" t="s">
        <v>2819</v>
      </c>
      <c r="B180">
        <v>1949</v>
      </c>
      <c r="C180">
        <v>1975</v>
      </c>
      <c r="D180" cm="1">
        <f t="array" ref="D1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0" s="40" t="str">
        <f>_xlfn.XLOOKUP(PROPERTIES[[#This Row],[VEHIDCODE]],CONTROL[VEHIDCODE],CONTROL[ENGLISH])</f>
        <v>EMD E8</v>
      </c>
      <c r="F180" t="s">
        <v>757</v>
      </c>
      <c r="G180" s="40" t="str">
        <f>_xlfn.XLOOKUP(PROPERTIES[[#This Row],[COUNTRY]],COUNTRIES[COUNTRY_DESCRIPTION],COUNTRIES[COUNTRY_LABEL],"")</f>
        <v>US</v>
      </c>
      <c r="H180" t="str" cm="1">
        <f t="array" ref="H1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0" t="s">
        <v>17</v>
      </c>
      <c r="J180">
        <v>0</v>
      </c>
      <c r="K180">
        <v>8</v>
      </c>
      <c r="L180">
        <v>0</v>
      </c>
      <c r="M180" t="str" cm="1">
        <f t="array" ref="M1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0">
        <f>_xlfn.XLOOKUP("LOADINGSPEEDDEF_"&amp;PROPERTIES[[#This Row],[LOADINGSPEED]],LOADINGSPEEDDEF[TYPE],LOADINGSPEEDDEF[SPEED])</f>
        <v>20</v>
      </c>
      <c r="O180" cm="1">
        <f t="array" ref="O1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0">
        <f>IF(ISNUMBER(SEARCH("passenger",PROPERTIES[[#This Row],[CARGODEF]])),1,0)</f>
        <v>0</v>
      </c>
      <c r="Q180" s="23">
        <v>143</v>
      </c>
      <c r="R180">
        <v>2250</v>
      </c>
      <c r="S180">
        <v>0</v>
      </c>
      <c r="T180">
        <v>0</v>
      </c>
      <c r="U180">
        <v>0</v>
      </c>
      <c r="V180">
        <v>188</v>
      </c>
      <c r="W180">
        <v>0</v>
      </c>
      <c r="X180">
        <v>0</v>
      </c>
      <c r="Y180">
        <v>0</v>
      </c>
      <c r="Z180" s="20">
        <v>251</v>
      </c>
      <c r="AA180" s="19">
        <f>IFERROR(PROPERTIES[[#This Row],[TE_STARTING_KN]]/(PROPERTIES[[#This Row],[WEIGHT]]*9.81),0)</f>
        <v>0.17892403213504129</v>
      </c>
      <c r="AB180" s="19">
        <v>0</v>
      </c>
      <c r="AC180" s="16">
        <f>ROUND(IF(IFERROR(PROPERTIES[[#This Row],[TE_COEFFICIENT_CALC]],0)=0,PROPERTIES[[#This Row],[TE_COEFFICIENT_MANUAL]],PROPERTIES[[#This Row],[TE_COEFFICIENT_CALC]]),3)</f>
        <v>0.17899999999999999</v>
      </c>
      <c r="AD180" s="8" cm="1">
        <f t="array" ref="AD1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80" s="26">
        <v>0</v>
      </c>
      <c r="AF180" s="6">
        <v>0</v>
      </c>
      <c r="AG180" t="s">
        <v>235</v>
      </c>
      <c r="AH180" t="s">
        <v>229</v>
      </c>
      <c r="AI180" t="s">
        <v>229</v>
      </c>
      <c r="AJ180" s="2" t="s">
        <v>229</v>
      </c>
      <c r="AK180" s="2" t="s">
        <v>244</v>
      </c>
      <c r="AL18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0" s="2" t="str">
        <f>SUBSTITUTE(SUBSTITUTE(PROPERTIES[[#This Row],[PURCHASECOST_VALUE]], "PURCHASECOST_", ""), "_VALUE", "")</f>
        <v>DIESELENGINE</v>
      </c>
      <c r="AO180" s="44" t="b">
        <v>0</v>
      </c>
      <c r="AP180" s="48" t="b">
        <v>0</v>
      </c>
      <c r="AQ180" s="48" t="b">
        <v>0</v>
      </c>
      <c r="AR180" s="48">
        <v>0</v>
      </c>
      <c r="AS180" s="48" t="b">
        <v>0</v>
      </c>
      <c r="AT180" s="7" t="b">
        <v>0</v>
      </c>
      <c r="AU180" s="40" t="str" cm="1">
        <f t="array" ref="AU180">_xlfn.XLOOKUP(PROPERTIES[[#This Row],[VEHIDCODE]],GRAPHICS_PROPERTIES[VEHIDCODE],GRAPHICS_PROPERTIES[TEMPLATE_ID]&amp;GRAPHICS_PROPERTIES[TEMPLATE_AMENDMENT_CODE])</f>
        <v>TPL_17B</v>
      </c>
    </row>
    <row r="181" spans="1:47" x14ac:dyDescent="0.35">
      <c r="A181" s="2" t="s">
        <v>2820</v>
      </c>
      <c r="B181">
        <v>1950</v>
      </c>
      <c r="D181" cm="1">
        <f t="array" ref="D1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1" s="40" t="str">
        <f>_xlfn.XLOOKUP(PROPERTIES[[#This Row],[VEHIDCODE]],CONTROL[VEHIDCODE],CONTROL[ENGLISH])</f>
        <v>ALCO RS-3</v>
      </c>
      <c r="F181" t="s">
        <v>558</v>
      </c>
      <c r="G181" s="40" t="str">
        <f>_xlfn.XLOOKUP(PROPERTIES[[#This Row],[COUNTRY]],COUNTRIES[COUNTRY_DESCRIPTION],COUNTRIES[COUNTRY_LABEL],"")</f>
        <v>BR</v>
      </c>
      <c r="H181" t="str" cm="1">
        <f t="array" ref="H1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1" t="s">
        <v>17</v>
      </c>
      <c r="J181">
        <v>0</v>
      </c>
      <c r="K181">
        <v>7</v>
      </c>
      <c r="L181">
        <v>0</v>
      </c>
      <c r="M181" t="str" cm="1">
        <f t="array" ref="M1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1">
        <f>_xlfn.XLOOKUP("LOADINGSPEEDDEF_"&amp;PROPERTIES[[#This Row],[LOADINGSPEED]],LOADINGSPEEDDEF[TYPE],LOADINGSPEEDDEF[SPEED])</f>
        <v>20</v>
      </c>
      <c r="O181" cm="1">
        <f t="array" ref="O1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1">
        <f>IF(ISNUMBER(SEARCH("passenger",PROPERTIES[[#This Row],[CARGODEF]])),1,0)</f>
        <v>0</v>
      </c>
      <c r="Q181" s="23">
        <v>112</v>
      </c>
      <c r="R181">
        <v>1600</v>
      </c>
      <c r="S181">
        <v>0</v>
      </c>
      <c r="T181">
        <v>0</v>
      </c>
      <c r="U181">
        <v>0</v>
      </c>
      <c r="V181">
        <v>137</v>
      </c>
      <c r="W181">
        <v>0</v>
      </c>
      <c r="X181">
        <v>0</v>
      </c>
      <c r="Y181">
        <v>0</v>
      </c>
      <c r="Z181" s="20">
        <v>274.8</v>
      </c>
      <c r="AA181" s="19">
        <f>IFERROR(PROPERTIES[[#This Row],[TE_STARTING_KN]]/(PROPERTIES[[#This Row],[WEIGHT]]*9.81),0)</f>
        <v>0.25010921799912628</v>
      </c>
      <c r="AB181" s="19">
        <v>0</v>
      </c>
      <c r="AC181" s="16">
        <f>ROUND(IF(IFERROR(PROPERTIES[[#This Row],[TE_COEFFICIENT_CALC]],0)=0,PROPERTIES[[#This Row],[TE_COEFFICIENT_MANUAL]],PROPERTIES[[#This Row],[TE_COEFFICIENT_CALC]]),3)</f>
        <v>0.25</v>
      </c>
      <c r="AD181" s="8" cm="1">
        <f t="array" ref="AD1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81" s="26">
        <v>0</v>
      </c>
      <c r="AF181" s="6">
        <v>0</v>
      </c>
      <c r="AG181" t="s">
        <v>240</v>
      </c>
      <c r="AH181" t="s">
        <v>231</v>
      </c>
      <c r="AI181" t="s">
        <v>229</v>
      </c>
      <c r="AJ181" s="2" t="s">
        <v>229</v>
      </c>
      <c r="AK181" s="2" t="s">
        <v>244</v>
      </c>
      <c r="AL18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1" s="2" t="str">
        <f>SUBSTITUTE(SUBSTITUTE(PROPERTIES[[#This Row],[PURCHASECOST_VALUE]], "PURCHASECOST_", ""), "_VALUE", "")</f>
        <v>DIESELENGINE</v>
      </c>
      <c r="AO181" s="44" t="b">
        <v>0</v>
      </c>
      <c r="AP181" s="48" t="b">
        <v>0</v>
      </c>
      <c r="AQ181" s="48" t="b">
        <v>0</v>
      </c>
      <c r="AR181" s="48">
        <v>0</v>
      </c>
      <c r="AS181" s="48" t="b">
        <v>0</v>
      </c>
      <c r="AT181" s="7" t="b">
        <v>0</v>
      </c>
      <c r="AU181" s="40" t="str" cm="1">
        <f t="array" ref="AU181">_xlfn.XLOOKUP(PROPERTIES[[#This Row],[VEHIDCODE]],GRAPHICS_PROPERTIES[VEHIDCODE],GRAPHICS_PROPERTIES[TEMPLATE_ID]&amp;GRAPHICS_PROPERTIES[TEMPLATE_AMENDMENT_CODE])</f>
        <v>TPL_01A</v>
      </c>
    </row>
    <row r="182" spans="1:47" x14ac:dyDescent="0.35">
      <c r="A182" s="2" t="s">
        <v>2821</v>
      </c>
      <c r="B182">
        <v>1950</v>
      </c>
      <c r="C182">
        <v>2000</v>
      </c>
      <c r="D182" cm="1">
        <f t="array" ref="D1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2" s="40" t="str">
        <f>_xlfn.XLOOKUP(PROPERTIES[[#This Row],[VEHIDCODE]],CONTROL[VEHIDCODE],CONTROL[ENGLISH])</f>
        <v>English Electric 'Bakkie'</v>
      </c>
      <c r="F182" t="s">
        <v>692</v>
      </c>
      <c r="G182" s="40" t="str">
        <f>_xlfn.XLOOKUP(PROPERTIES[[#This Row],[COUNTRY]],COUNTRIES[COUNTRY_DESCRIPTION],COUNTRIES[COUNTRY_LABEL],"")</f>
        <v>NL</v>
      </c>
      <c r="H182" t="str" cm="1">
        <f t="array" ref="H1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2" t="s">
        <v>17</v>
      </c>
      <c r="J182">
        <v>0</v>
      </c>
      <c r="K182">
        <v>5</v>
      </c>
      <c r="L182">
        <v>0</v>
      </c>
      <c r="M182" t="str" cm="1">
        <f t="array" ref="M1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2">
        <f>_xlfn.XLOOKUP("LOADINGSPEEDDEF_"&amp;PROPERTIES[[#This Row],[LOADINGSPEED]],LOADINGSPEEDDEF[TYPE],LOADINGSPEEDDEF[SPEED])</f>
        <v>20</v>
      </c>
      <c r="O182" cm="1">
        <f t="array" ref="O1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2">
        <f>IF(ISNUMBER(SEARCH("passenger",PROPERTIES[[#This Row],[CARGODEF]])),1,0)</f>
        <v>0</v>
      </c>
      <c r="Q182" s="23">
        <v>47</v>
      </c>
      <c r="R182">
        <v>400</v>
      </c>
      <c r="S182">
        <v>0</v>
      </c>
      <c r="T182">
        <v>0</v>
      </c>
      <c r="U182">
        <v>0</v>
      </c>
      <c r="V182">
        <v>30</v>
      </c>
      <c r="W182">
        <v>0</v>
      </c>
      <c r="X182">
        <v>0</v>
      </c>
      <c r="Y182">
        <v>0</v>
      </c>
      <c r="Z182" s="20">
        <v>143</v>
      </c>
      <c r="AA182" s="19">
        <f>IFERROR(PROPERTIES[[#This Row],[TE_STARTING_KN]]/(PROPERTIES[[#This Row],[WEIGHT]]*9.81),0)</f>
        <v>0.31014813368902766</v>
      </c>
      <c r="AB182" s="19">
        <v>0</v>
      </c>
      <c r="AC182" s="16">
        <f>ROUND(IF(IFERROR(PROPERTIES[[#This Row],[TE_COEFFICIENT_CALC]],0)=0,PROPERTIES[[#This Row],[TE_COEFFICIENT_MANUAL]],PROPERTIES[[#This Row],[TE_COEFFICIENT_CALC]]),3)</f>
        <v>0.31</v>
      </c>
      <c r="AD182" s="8" cm="1">
        <f t="array" ref="AD1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182" s="26">
        <v>0</v>
      </c>
      <c r="AF182" s="6">
        <v>0</v>
      </c>
      <c r="AG182" t="s">
        <v>1950</v>
      </c>
      <c r="AH182" t="s">
        <v>229</v>
      </c>
      <c r="AI182" t="s">
        <v>229</v>
      </c>
      <c r="AJ182" s="2" t="s">
        <v>229</v>
      </c>
      <c r="AK182" s="2" t="s">
        <v>244</v>
      </c>
      <c r="AL18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2" s="2" t="str">
        <f>SUBSTITUTE(SUBSTITUTE(PROPERTIES[[#This Row],[PURCHASECOST_VALUE]], "PURCHASECOST_", ""), "_VALUE", "")</f>
        <v>DIESELENGINE</v>
      </c>
      <c r="AO182" s="44" t="b">
        <v>0</v>
      </c>
      <c r="AP182" s="48" t="b">
        <v>0</v>
      </c>
      <c r="AQ182" s="48" t="b">
        <v>0</v>
      </c>
      <c r="AR182" s="48">
        <v>0</v>
      </c>
      <c r="AS182" s="48" t="b">
        <v>0</v>
      </c>
      <c r="AT182" s="7" t="b">
        <v>0</v>
      </c>
      <c r="AU182" s="40" t="str" cm="1">
        <f t="array" ref="AU182">_xlfn.XLOOKUP(PROPERTIES[[#This Row],[VEHIDCODE]],GRAPHICS_PROPERTIES[VEHIDCODE],GRAPHICS_PROPERTIES[TEMPLATE_ID]&amp;GRAPHICS_PROPERTIES[TEMPLATE_AMENDMENT_CODE])</f>
        <v>TPL_03C</v>
      </c>
    </row>
    <row r="183" spans="1:47" x14ac:dyDescent="0.35">
      <c r="A183" s="2" t="s">
        <v>2822</v>
      </c>
      <c r="B183">
        <v>1950</v>
      </c>
      <c r="C183">
        <v>1966</v>
      </c>
      <c r="D183" cm="1">
        <f t="array" ref="D1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3" s="40" t="str">
        <f>_xlfn.XLOOKUP(PROPERTIES[[#This Row],[VEHIDCODE]],CONTROL[VEHIDCODE],CONTROL[ENGLISH])</f>
        <v>Baldwin RF-16 'Sharknose'</v>
      </c>
      <c r="F183" t="s">
        <v>757</v>
      </c>
      <c r="G183" s="40" t="str">
        <f>_xlfn.XLOOKUP(PROPERTIES[[#This Row],[COUNTRY]],COUNTRIES[COUNTRY_DESCRIPTION],COUNTRIES[COUNTRY_LABEL],"")</f>
        <v>US</v>
      </c>
      <c r="H183" t="str" cm="1">
        <f t="array" ref="H1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3" t="s">
        <v>17</v>
      </c>
      <c r="J183">
        <v>0</v>
      </c>
      <c r="K183">
        <v>7</v>
      </c>
      <c r="L183">
        <v>0</v>
      </c>
      <c r="M183" t="str" cm="1">
        <f t="array" ref="M1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3">
        <f>_xlfn.XLOOKUP("LOADINGSPEEDDEF_"&amp;PROPERTIES[[#This Row],[LOADINGSPEED]],LOADINGSPEEDDEF[TYPE],LOADINGSPEEDDEF[SPEED])</f>
        <v>20</v>
      </c>
      <c r="O183" cm="1">
        <f t="array" ref="O1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3">
        <f>IF(ISNUMBER(SEARCH("passenger",PROPERTIES[[#This Row],[CARGODEF]])),1,0)</f>
        <v>0</v>
      </c>
      <c r="Q183" s="23">
        <v>121</v>
      </c>
      <c r="R183">
        <v>1600</v>
      </c>
      <c r="S183">
        <v>0</v>
      </c>
      <c r="T183">
        <v>0</v>
      </c>
      <c r="U183">
        <v>0</v>
      </c>
      <c r="V183">
        <v>110</v>
      </c>
      <c r="W183">
        <v>0</v>
      </c>
      <c r="X183">
        <v>0</v>
      </c>
      <c r="Y183">
        <v>0</v>
      </c>
      <c r="Z183" s="20">
        <v>216.18</v>
      </c>
      <c r="AA183" s="19">
        <f>IFERROR(PROPERTIES[[#This Row],[TE_STARTING_KN]]/(PROPERTIES[[#This Row],[WEIGHT]]*9.81),0)</f>
        <v>0.18212146485707786</v>
      </c>
      <c r="AB183" s="19">
        <v>0</v>
      </c>
      <c r="AC183" s="16">
        <f>ROUND(IF(IFERROR(PROPERTIES[[#This Row],[TE_COEFFICIENT_CALC]],0)=0,PROPERTIES[[#This Row],[TE_COEFFICIENT_MANUAL]],PROPERTIES[[#This Row],[TE_COEFFICIENT_CALC]]),3)</f>
        <v>0.182</v>
      </c>
      <c r="AD183" s="8" cm="1">
        <f t="array" ref="AD1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83" s="26">
        <v>0</v>
      </c>
      <c r="AF183" s="6">
        <v>0</v>
      </c>
      <c r="AG183" t="s">
        <v>235</v>
      </c>
      <c r="AH183" t="s">
        <v>229</v>
      </c>
      <c r="AI183" t="s">
        <v>229</v>
      </c>
      <c r="AJ183" s="2" t="s">
        <v>229</v>
      </c>
      <c r="AK183" s="2" t="s">
        <v>244</v>
      </c>
      <c r="AL18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3" s="2" t="str">
        <f>SUBSTITUTE(SUBSTITUTE(PROPERTIES[[#This Row],[PURCHASECOST_VALUE]], "PURCHASECOST_", ""), "_VALUE", "")</f>
        <v>DIESELENGINE</v>
      </c>
      <c r="AO183" s="44" t="b">
        <v>0</v>
      </c>
      <c r="AP183" s="48" t="b">
        <v>0</v>
      </c>
      <c r="AQ183" s="48" t="b">
        <v>0</v>
      </c>
      <c r="AR183" s="48">
        <v>0</v>
      </c>
      <c r="AS183" s="48" t="b">
        <v>0</v>
      </c>
      <c r="AT183" s="7" t="b">
        <v>0</v>
      </c>
      <c r="AU183" s="40" t="str" cm="1">
        <f t="array" ref="AU183">_xlfn.XLOOKUP(PROPERTIES[[#This Row],[VEHIDCODE]],GRAPHICS_PROPERTIES[VEHIDCODE],GRAPHICS_PROPERTIES[TEMPLATE_ID]&amp;GRAPHICS_PROPERTIES[TEMPLATE_AMENDMENT_CODE])</f>
        <v>TPL_17B</v>
      </c>
    </row>
    <row r="184" spans="1:47" x14ac:dyDescent="0.35">
      <c r="A184" s="2" t="s">
        <v>2823</v>
      </c>
      <c r="B184">
        <v>1952</v>
      </c>
      <c r="D184" cm="1">
        <f t="array" ref="D1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4" s="40" t="str">
        <f>_xlfn.XLOOKUP(PROPERTIES[[#This Row],[VEHIDCODE]],CONTROL[VEHIDCODE],CONTROL[ENGLISH])</f>
        <v>AFE 1500</v>
      </c>
      <c r="F184" t="s">
        <v>758</v>
      </c>
      <c r="G184" s="40" t="str">
        <f>_xlfn.XLOOKUP(PROPERTIES[[#This Row],[COUNTRY]],COUNTRIES[COUNTRY_DESCRIPTION],COUNTRIES[COUNTRY_LABEL],"")</f>
        <v>UY</v>
      </c>
      <c r="H184" t="str" cm="1">
        <f t="array" ref="H1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4" t="s">
        <v>17</v>
      </c>
      <c r="J184">
        <v>0</v>
      </c>
      <c r="K184">
        <v>8</v>
      </c>
      <c r="L184">
        <v>0</v>
      </c>
      <c r="M184" t="str" cm="1">
        <f t="array" ref="M1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4">
        <f>_xlfn.XLOOKUP("LOADINGSPEEDDEF_"&amp;PROPERTIES[[#This Row],[LOADINGSPEED]],LOADINGSPEEDDEF[TYPE],LOADINGSPEEDDEF[SPEED])</f>
        <v>20</v>
      </c>
      <c r="O184" cm="1">
        <f t="array" ref="O1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4">
        <f>IF(ISNUMBER(SEARCH("passenger",PROPERTIES[[#This Row],[CARGODEF]])),1,0)</f>
        <v>0</v>
      </c>
      <c r="Q184" s="23">
        <v>112</v>
      </c>
      <c r="R184">
        <v>1500</v>
      </c>
      <c r="S184">
        <v>0</v>
      </c>
      <c r="T184">
        <v>0</v>
      </c>
      <c r="U184">
        <v>0</v>
      </c>
      <c r="V184">
        <v>110</v>
      </c>
      <c r="W184">
        <v>0</v>
      </c>
      <c r="X184">
        <v>0</v>
      </c>
      <c r="Y184">
        <v>0</v>
      </c>
      <c r="Z184" s="20">
        <v>255</v>
      </c>
      <c r="AA184" s="19">
        <f>IFERROR(PROPERTIES[[#This Row],[TE_STARTING_KN]]/(PROPERTIES[[#This Row],[WEIGHT]]*9.81),0)</f>
        <v>0.23208824814329401</v>
      </c>
      <c r="AB184" s="19">
        <v>0</v>
      </c>
      <c r="AC184" s="16">
        <f>ROUND(IF(IFERROR(PROPERTIES[[#This Row],[TE_COEFFICIENT_CALC]],0)=0,PROPERTIES[[#This Row],[TE_COEFFICIENT_MANUAL]],PROPERTIES[[#This Row],[TE_COEFFICIENT_CALC]]),3)</f>
        <v>0.23200000000000001</v>
      </c>
      <c r="AD184" s="8" cm="1">
        <f t="array" ref="AD1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84" s="26">
        <v>0</v>
      </c>
      <c r="AF184" s="6">
        <v>0</v>
      </c>
      <c r="AG184" t="s">
        <v>237</v>
      </c>
      <c r="AH184" t="s">
        <v>229</v>
      </c>
      <c r="AI184" t="s">
        <v>229</v>
      </c>
      <c r="AJ184" s="2" t="s">
        <v>229</v>
      </c>
      <c r="AK184" s="2" t="s">
        <v>244</v>
      </c>
      <c r="AL18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4" s="2" t="str">
        <f>SUBSTITUTE(SUBSTITUTE(PROPERTIES[[#This Row],[PURCHASECOST_VALUE]], "PURCHASECOST_", ""), "_VALUE", "")</f>
        <v>DIESELENGINE</v>
      </c>
      <c r="AO184" s="44" t="b">
        <v>0</v>
      </c>
      <c r="AP184" s="48" t="b">
        <v>0</v>
      </c>
      <c r="AQ184" s="48" t="b">
        <v>0</v>
      </c>
      <c r="AR184" s="48">
        <v>0</v>
      </c>
      <c r="AS184" s="48" t="b">
        <v>0</v>
      </c>
      <c r="AT184" s="7" t="b">
        <v>0</v>
      </c>
      <c r="AU184" s="40" t="str" cm="1">
        <f t="array" ref="AU184">_xlfn.XLOOKUP(PROPERTIES[[#This Row],[VEHIDCODE]],GRAPHICS_PROPERTIES[VEHIDCODE],GRAPHICS_PROPERTIES[TEMPLATE_ID]&amp;GRAPHICS_PROPERTIES[TEMPLATE_AMENDMENT_CODE])</f>
        <v>TPL_01A</v>
      </c>
    </row>
    <row r="185" spans="1:47" x14ac:dyDescent="0.35">
      <c r="A185" s="2" t="s">
        <v>2824</v>
      </c>
      <c r="B185">
        <v>1953</v>
      </c>
      <c r="C185">
        <v>1975</v>
      </c>
      <c r="D185" cm="1">
        <f t="array" ref="D1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5" s="40" t="str">
        <f>_xlfn.XLOOKUP(PROPERTIES[[#This Row],[VEHIDCODE]],CONTROL[VEHIDCODE],CONTROL[ENGLISH])</f>
        <v>FM H-24-66 'Trainmaster'</v>
      </c>
      <c r="F185" t="s">
        <v>565</v>
      </c>
      <c r="G185" s="40" t="str">
        <f>_xlfn.XLOOKUP(PROPERTIES[[#This Row],[COUNTRY]],COUNTRIES[COUNTRY_DESCRIPTION],COUNTRIES[COUNTRY_LABEL],"")</f>
        <v>CA</v>
      </c>
      <c r="H185" t="str" cm="1">
        <f t="array" ref="H1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5" t="s">
        <v>17</v>
      </c>
      <c r="J185">
        <v>0</v>
      </c>
      <c r="K185">
        <v>8</v>
      </c>
      <c r="L185">
        <v>0</v>
      </c>
      <c r="M185" t="str" cm="1">
        <f t="array" ref="M1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5">
        <f>_xlfn.XLOOKUP("LOADINGSPEEDDEF_"&amp;PROPERTIES[[#This Row],[LOADINGSPEED]],LOADINGSPEEDDEF[TYPE],LOADINGSPEEDDEF[SPEED])</f>
        <v>20</v>
      </c>
      <c r="O185" cm="1">
        <f t="array" ref="O1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5">
        <f>IF(ISNUMBER(SEARCH("passenger",PROPERTIES[[#This Row],[CARGODEF]])),1,0)</f>
        <v>0</v>
      </c>
      <c r="Q185" s="23">
        <v>170</v>
      </c>
      <c r="R185">
        <v>2400</v>
      </c>
      <c r="S185">
        <v>0</v>
      </c>
      <c r="T185">
        <v>0</v>
      </c>
      <c r="U185">
        <v>0</v>
      </c>
      <c r="V185">
        <v>105</v>
      </c>
      <c r="W185">
        <v>0</v>
      </c>
      <c r="X185">
        <v>0</v>
      </c>
      <c r="Y185">
        <v>0</v>
      </c>
      <c r="Z185" s="20">
        <v>498.2</v>
      </c>
      <c r="AA185" s="19">
        <f>IFERROR(PROPERTIES[[#This Row],[TE_STARTING_KN]]/(PROPERTIES[[#This Row],[WEIGHT]]*9.81),0)</f>
        <v>0.29873478443365115</v>
      </c>
      <c r="AB185" s="19">
        <v>0</v>
      </c>
      <c r="AC185" s="16">
        <f>ROUND(IF(IFERROR(PROPERTIES[[#This Row],[TE_COEFFICIENT_CALC]],0)=0,PROPERTIES[[#This Row],[TE_COEFFICIENT_MANUAL]],PROPERTIES[[#This Row],[TE_COEFFICIENT_CALC]]),3)</f>
        <v>0.29899999999999999</v>
      </c>
      <c r="AD185" s="8" cm="1">
        <f t="array" ref="AD1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85" s="26">
        <v>0</v>
      </c>
      <c r="AF185" s="6">
        <v>0</v>
      </c>
      <c r="AG185" t="s">
        <v>235</v>
      </c>
      <c r="AH185" t="s">
        <v>229</v>
      </c>
      <c r="AI185" t="s">
        <v>229</v>
      </c>
      <c r="AJ185" s="2" t="s">
        <v>229</v>
      </c>
      <c r="AK185" s="2" t="s">
        <v>244</v>
      </c>
      <c r="AL18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5" s="2" t="str">
        <f>SUBSTITUTE(SUBSTITUTE(PROPERTIES[[#This Row],[PURCHASECOST_VALUE]], "PURCHASECOST_", ""), "_VALUE", "")</f>
        <v>DIESELENGINE</v>
      </c>
      <c r="AO185" s="44" t="b">
        <v>0</v>
      </c>
      <c r="AP185" s="48" t="b">
        <v>0</v>
      </c>
      <c r="AQ185" s="48" t="b">
        <v>0</v>
      </c>
      <c r="AR185" s="48">
        <v>0</v>
      </c>
      <c r="AS185" s="48" t="b">
        <v>0</v>
      </c>
      <c r="AT185" s="7" t="b">
        <v>0</v>
      </c>
      <c r="AU185" s="40" t="str" cm="1">
        <f t="array" ref="AU185">_xlfn.XLOOKUP(PROPERTIES[[#This Row],[VEHIDCODE]],GRAPHICS_PROPERTIES[VEHIDCODE],GRAPHICS_PROPERTIES[TEMPLATE_ID]&amp;GRAPHICS_PROPERTIES[TEMPLATE_AMENDMENT_CODE])</f>
        <v>TPL_01A</v>
      </c>
    </row>
    <row r="186" spans="1:47" x14ac:dyDescent="0.35">
      <c r="A186" s="2" t="s">
        <v>2825</v>
      </c>
      <c r="B186">
        <v>1953</v>
      </c>
      <c r="C186">
        <v>2030</v>
      </c>
      <c r="D186" cm="1">
        <f t="array" ref="D1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6" s="40" t="str">
        <f>_xlfn.XLOOKUP(PROPERTIES[[#This Row],[VEHIDCODE]],CONTROL[VEHIDCODE],CONTROL[ENGLISH])</f>
        <v>BR Class 08 0-6-0DE</v>
      </c>
      <c r="F186" t="s">
        <v>657</v>
      </c>
      <c r="G186" s="40" t="str">
        <f>_xlfn.XLOOKUP(PROPERTIES[[#This Row],[COUNTRY]],COUNTRIES[COUNTRY_DESCRIPTION],COUNTRIES[COUNTRY_LABEL],"")</f>
        <v>LR</v>
      </c>
      <c r="H186" t="str" cm="1">
        <f t="array" ref="H1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6" t="s">
        <v>17</v>
      </c>
      <c r="J186">
        <v>0</v>
      </c>
      <c r="K186">
        <v>5</v>
      </c>
      <c r="L186">
        <v>0</v>
      </c>
      <c r="M186" t="str" cm="1">
        <f t="array" ref="M1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6">
        <f>_xlfn.XLOOKUP("LOADINGSPEEDDEF_"&amp;PROPERTIES[[#This Row],[LOADINGSPEED]],LOADINGSPEEDDEF[TYPE],LOADINGSPEEDDEF[SPEED])</f>
        <v>20</v>
      </c>
      <c r="O186" t="str" cm="1">
        <f t="array" ref="O1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86">
        <f>IF(ISNUMBER(SEARCH("passenger",PROPERTIES[[#This Row],[CARGODEF]])),1,0)</f>
        <v>0</v>
      </c>
      <c r="Q186" s="23">
        <v>50</v>
      </c>
      <c r="R186">
        <v>350</v>
      </c>
      <c r="S186">
        <v>0</v>
      </c>
      <c r="T186">
        <v>0</v>
      </c>
      <c r="U186">
        <v>0</v>
      </c>
      <c r="V186">
        <v>24</v>
      </c>
      <c r="W186">
        <v>0</v>
      </c>
      <c r="X186">
        <v>0</v>
      </c>
      <c r="Y186">
        <v>0</v>
      </c>
      <c r="Z186" s="20">
        <v>160</v>
      </c>
      <c r="AA186" s="19">
        <f>IFERROR(PROPERTIES[[#This Row],[TE_STARTING_KN]]/(PROPERTIES[[#This Row],[WEIGHT]]*9.81),0)</f>
        <v>0.32619775739041795</v>
      </c>
      <c r="AB186" s="19">
        <v>0</v>
      </c>
      <c r="AC186" s="16">
        <f>ROUND(IF(IFERROR(PROPERTIES[[#This Row],[TE_COEFFICIENT_CALC]],0)=0,PROPERTIES[[#This Row],[TE_COEFFICIENT_MANUAL]],PROPERTIES[[#This Row],[TE_COEFFICIENT_CALC]]),3)</f>
        <v>0.32600000000000001</v>
      </c>
      <c r="AD186" s="8" cm="1">
        <f t="array" ref="AD1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77</v>
      </c>
      <c r="AE186" s="26">
        <v>0</v>
      </c>
      <c r="AF186" s="6">
        <v>0</v>
      </c>
      <c r="AG186" t="s">
        <v>233</v>
      </c>
      <c r="AH186" t="s">
        <v>234</v>
      </c>
      <c r="AI186" t="s">
        <v>229</v>
      </c>
      <c r="AJ186" s="2" t="s">
        <v>229</v>
      </c>
      <c r="AK186" s="2" t="s">
        <v>244</v>
      </c>
      <c r="AL18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6" s="2" t="str">
        <f>SUBSTITUTE(SUBSTITUTE(PROPERTIES[[#This Row],[PURCHASECOST_VALUE]], "PURCHASECOST_", ""), "_VALUE", "")</f>
        <v>DIESELENGINE</v>
      </c>
      <c r="AO186" s="44" t="b">
        <v>0</v>
      </c>
      <c r="AP186" s="48" t="b">
        <v>0</v>
      </c>
      <c r="AQ186" s="48" t="b">
        <v>0</v>
      </c>
      <c r="AR186" s="48">
        <v>0</v>
      </c>
      <c r="AS186" s="48" t="b">
        <v>0</v>
      </c>
      <c r="AT186" s="7" t="b">
        <v>0</v>
      </c>
      <c r="AU186" s="40" t="str" cm="1">
        <f t="array" ref="AU186">_xlfn.XLOOKUP(PROPERTIES[[#This Row],[VEHIDCODE]],GRAPHICS_PROPERTIES[VEHIDCODE],GRAPHICS_PROPERTIES[TEMPLATE_ID]&amp;GRAPHICS_PROPERTIES[TEMPLATE_AMENDMENT_CODE])</f>
        <v>TPL_03C</v>
      </c>
    </row>
    <row r="187" spans="1:47" x14ac:dyDescent="0.35">
      <c r="A187" s="2" t="s">
        <v>2826</v>
      </c>
      <c r="B187">
        <v>1954</v>
      </c>
      <c r="C187">
        <v>2003</v>
      </c>
      <c r="D187" cm="1">
        <f t="array" ref="D1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7" s="40" t="str">
        <f>_xlfn.XLOOKUP(PROPERTIES[[#This Row],[VEHIDCODE]],CONTROL[VEHIDCODE],CONTROL[ENGLISH])</f>
        <v>Jenbacher Werke 2060</v>
      </c>
      <c r="F187" t="s">
        <v>540</v>
      </c>
      <c r="G187" s="40" t="str">
        <f>_xlfn.XLOOKUP(PROPERTIES[[#This Row],[COUNTRY]],COUNTRIES[COUNTRY_DESCRIPTION],COUNTRIES[COUNTRY_LABEL],"")</f>
        <v>AT</v>
      </c>
      <c r="H187" t="str" cm="1">
        <f t="array" ref="H1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7" t="s">
        <v>17</v>
      </c>
      <c r="J187">
        <v>0</v>
      </c>
      <c r="K187">
        <v>5</v>
      </c>
      <c r="L187">
        <v>0</v>
      </c>
      <c r="M187" t="str" cm="1">
        <f t="array" ref="M1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7">
        <f>_xlfn.XLOOKUP("LOADINGSPEEDDEF_"&amp;PROPERTIES[[#This Row],[LOADINGSPEED]],LOADINGSPEEDDEF[TYPE],LOADINGSPEEDDEF[SPEED])</f>
        <v>20</v>
      </c>
      <c r="O187" cm="1">
        <f t="array" ref="O1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7">
        <f>IF(ISNUMBER(SEARCH("passenger",PROPERTIES[[#This Row],[CARGODEF]])),1,0)</f>
        <v>0</v>
      </c>
      <c r="Q187" s="23">
        <v>28</v>
      </c>
      <c r="R187">
        <v>200</v>
      </c>
      <c r="S187">
        <v>0</v>
      </c>
      <c r="T187">
        <v>0</v>
      </c>
      <c r="U187">
        <v>0</v>
      </c>
      <c r="V187">
        <v>60</v>
      </c>
      <c r="W187">
        <v>0</v>
      </c>
      <c r="X187">
        <v>0</v>
      </c>
      <c r="Y187">
        <v>0</v>
      </c>
      <c r="Z187" s="20">
        <v>79</v>
      </c>
      <c r="AA187" s="19">
        <f>IFERROR(PROPERTIES[[#This Row],[TE_STARTING_KN]]/(PROPERTIES[[#This Row],[WEIGHT]]*9.81),0)</f>
        <v>0.28760739769914079</v>
      </c>
      <c r="AB187" s="19">
        <v>0</v>
      </c>
      <c r="AC187" s="16">
        <f>ROUND(IF(IFERROR(PROPERTIES[[#This Row],[TE_COEFFICIENT_CALC]],0)=0,PROPERTIES[[#This Row],[TE_COEFFICIENT_MANUAL]],PROPERTIES[[#This Row],[TE_COEFFICIENT_CALC]]),3)</f>
        <v>0.28799999999999998</v>
      </c>
      <c r="AD187" s="8" cm="1">
        <f t="array" ref="AD1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187" s="26">
        <v>0</v>
      </c>
      <c r="AF187" s="6">
        <v>0</v>
      </c>
      <c r="AG187" t="s">
        <v>230</v>
      </c>
      <c r="AH187" t="s">
        <v>236</v>
      </c>
      <c r="AI187" t="s">
        <v>229</v>
      </c>
      <c r="AJ187" s="2" t="s">
        <v>229</v>
      </c>
      <c r="AK187" s="2" t="s">
        <v>244</v>
      </c>
      <c r="AL18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7" s="2" t="str">
        <f>SUBSTITUTE(SUBSTITUTE(PROPERTIES[[#This Row],[PURCHASECOST_VALUE]], "PURCHASECOST_", ""), "_VALUE", "")</f>
        <v>DIESELENGINE</v>
      </c>
      <c r="AO187" s="44" t="b">
        <v>0</v>
      </c>
      <c r="AP187" s="48" t="b">
        <v>0</v>
      </c>
      <c r="AQ187" s="48" t="b">
        <v>0</v>
      </c>
      <c r="AR187" s="48">
        <v>0</v>
      </c>
      <c r="AS187" s="48" t="b">
        <v>0</v>
      </c>
      <c r="AT187" s="7" t="b">
        <v>0</v>
      </c>
      <c r="AU187" s="40" t="str" cm="1">
        <f t="array" ref="AU187">_xlfn.XLOOKUP(PROPERTIES[[#This Row],[VEHIDCODE]],GRAPHICS_PROPERTIES[VEHIDCODE],GRAPHICS_PROPERTIES[TEMPLATE_ID]&amp;GRAPHICS_PROPERTIES[TEMPLATE_AMENDMENT_CODE])</f>
        <v>TPL_01A</v>
      </c>
    </row>
    <row r="188" spans="1:47" x14ac:dyDescent="0.35">
      <c r="A188" s="2" t="s">
        <v>2827</v>
      </c>
      <c r="B188">
        <v>1954</v>
      </c>
      <c r="D188" cm="1">
        <f t="array" ref="D1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8" s="40" t="str">
        <f>_xlfn.XLOOKUP(PROPERTIES[[#This Row],[VEHIDCODE]],CONTROL[VEHIDCODE],CONTROL[ENGLISH])</f>
        <v>EMD SW1200</v>
      </c>
      <c r="F188" t="s">
        <v>565</v>
      </c>
      <c r="G188" s="40" t="str">
        <f>_xlfn.XLOOKUP(PROPERTIES[[#This Row],[COUNTRY]],COUNTRIES[COUNTRY_DESCRIPTION],COUNTRIES[COUNTRY_LABEL],"")</f>
        <v>CA</v>
      </c>
      <c r="H188" t="str" cm="1">
        <f t="array" ref="H1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8" t="s">
        <v>17</v>
      </c>
      <c r="J188">
        <v>0</v>
      </c>
      <c r="K188">
        <v>6</v>
      </c>
      <c r="L188">
        <v>0</v>
      </c>
      <c r="M188" t="str" cm="1">
        <f t="array" ref="M1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8">
        <f>_xlfn.XLOOKUP("LOADINGSPEEDDEF_"&amp;PROPERTIES[[#This Row],[LOADINGSPEED]],LOADINGSPEEDDEF[TYPE],LOADINGSPEEDDEF[SPEED])</f>
        <v>20</v>
      </c>
      <c r="O188" cm="1">
        <f t="array" ref="O1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8">
        <f>IF(ISNUMBER(SEARCH("passenger",PROPERTIES[[#This Row],[CARGODEF]])),1,0)</f>
        <v>0</v>
      </c>
      <c r="Q188" s="23">
        <v>111</v>
      </c>
      <c r="R188">
        <v>1200</v>
      </c>
      <c r="S188">
        <v>0</v>
      </c>
      <c r="T188">
        <v>0</v>
      </c>
      <c r="U188">
        <v>0</v>
      </c>
      <c r="V188">
        <v>104</v>
      </c>
      <c r="W188">
        <v>0</v>
      </c>
      <c r="X188">
        <v>0</v>
      </c>
      <c r="Y188">
        <v>0</v>
      </c>
      <c r="Z188" s="20">
        <v>0</v>
      </c>
      <c r="AA188" s="19">
        <f>IFERROR(PROPERTIES[[#This Row],[TE_STARTING_KN]]/(PROPERTIES[[#This Row],[WEIGHT]]*9.81),0)</f>
        <v>0</v>
      </c>
      <c r="AB188" s="19">
        <v>0.14000000000000001</v>
      </c>
      <c r="AC188" s="16">
        <f>ROUND(IF(IFERROR(PROPERTIES[[#This Row],[TE_COEFFICIENT_CALC]],0)=0,PROPERTIES[[#This Row],[TE_COEFFICIENT_MANUAL]],PROPERTIES[[#This Row],[TE_COEFFICIENT_CALC]]),3)</f>
        <v>0.14000000000000001</v>
      </c>
      <c r="AD188" s="8" cm="1">
        <f t="array" ref="AD1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88" s="26">
        <v>0</v>
      </c>
      <c r="AF188" s="6">
        <v>0</v>
      </c>
      <c r="AG188" t="s">
        <v>240</v>
      </c>
      <c r="AH188" t="s">
        <v>229</v>
      </c>
      <c r="AI188" t="s">
        <v>229</v>
      </c>
      <c r="AJ188" s="2" t="s">
        <v>229</v>
      </c>
      <c r="AK188" s="2" t="s">
        <v>244</v>
      </c>
      <c r="AL18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8" s="2" t="str">
        <f>SUBSTITUTE(SUBSTITUTE(PROPERTIES[[#This Row],[PURCHASECOST_VALUE]], "PURCHASECOST_", ""), "_VALUE", "")</f>
        <v>DIESELENGINE</v>
      </c>
      <c r="AO188" s="44" t="b">
        <v>0</v>
      </c>
      <c r="AP188" s="48" t="b">
        <v>0</v>
      </c>
      <c r="AQ188" s="48" t="b">
        <v>0</v>
      </c>
      <c r="AR188" s="48">
        <v>0</v>
      </c>
      <c r="AS188" s="48" t="b">
        <v>0</v>
      </c>
      <c r="AT188" s="7" t="b">
        <v>0</v>
      </c>
      <c r="AU188" s="40" t="str" cm="1">
        <f t="array" ref="AU188">_xlfn.XLOOKUP(PROPERTIES[[#This Row],[VEHIDCODE]],GRAPHICS_PROPERTIES[VEHIDCODE],GRAPHICS_PROPERTIES[TEMPLATE_ID]&amp;GRAPHICS_PROPERTIES[TEMPLATE_AMENDMENT_CODE])</f>
        <v>TPL_01A</v>
      </c>
    </row>
    <row r="189" spans="1:47" x14ac:dyDescent="0.35">
      <c r="A189" s="2" t="s">
        <v>2828</v>
      </c>
      <c r="B189">
        <v>1954</v>
      </c>
      <c r="C189">
        <v>1997</v>
      </c>
      <c r="D189" cm="1">
        <f t="array" ref="D1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9" s="40" t="str">
        <f>_xlfn.XLOOKUP(PROPERTIES[[#This Row],[VEHIDCODE]],CONTROL[VEHIDCODE],CONTROL[ENGLISH])</f>
        <v>EMD FP9</v>
      </c>
      <c r="F189" t="s">
        <v>565</v>
      </c>
      <c r="G189" s="40" t="str">
        <f>_xlfn.XLOOKUP(PROPERTIES[[#This Row],[COUNTRY]],COUNTRIES[COUNTRY_DESCRIPTION],COUNTRIES[COUNTRY_LABEL],"")</f>
        <v>CA</v>
      </c>
      <c r="H189" t="str" cm="1">
        <f t="array" ref="H1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9" t="s">
        <v>17</v>
      </c>
      <c r="J189">
        <v>0</v>
      </c>
      <c r="K189">
        <v>8</v>
      </c>
      <c r="L189">
        <v>0</v>
      </c>
      <c r="M189" t="str" cm="1">
        <f t="array" ref="M1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9">
        <f>_xlfn.XLOOKUP("LOADINGSPEEDDEF_"&amp;PROPERTIES[[#This Row],[LOADINGSPEED]],LOADINGSPEEDDEF[TYPE],LOADINGSPEEDDEF[SPEED])</f>
        <v>20</v>
      </c>
      <c r="O189" cm="1">
        <f t="array" ref="O1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9">
        <f>IF(ISNUMBER(SEARCH("passenger",PROPERTIES[[#This Row],[CARGODEF]])),1,0)</f>
        <v>0</v>
      </c>
      <c r="Q189" s="23">
        <v>104</v>
      </c>
      <c r="R189">
        <v>1800</v>
      </c>
      <c r="S189">
        <v>0</v>
      </c>
      <c r="T189">
        <v>0</v>
      </c>
      <c r="U189">
        <v>0</v>
      </c>
      <c r="V189">
        <v>144</v>
      </c>
      <c r="W189">
        <v>0</v>
      </c>
      <c r="X189">
        <v>0</v>
      </c>
      <c r="Y189">
        <v>0</v>
      </c>
      <c r="Z189" s="20">
        <v>0</v>
      </c>
      <c r="AA189" s="19">
        <f>IFERROR(PROPERTIES[[#This Row],[TE_STARTING_KN]]/(PROPERTIES[[#This Row],[WEIGHT]]*9.81),0)</f>
        <v>0</v>
      </c>
      <c r="AB189" s="19">
        <v>0.19</v>
      </c>
      <c r="AC189" s="16">
        <f>ROUND(IF(IFERROR(PROPERTIES[[#This Row],[TE_COEFFICIENT_CALC]],0)=0,PROPERTIES[[#This Row],[TE_COEFFICIENT_MANUAL]],PROPERTIES[[#This Row],[TE_COEFFICIENT_CALC]]),3)</f>
        <v>0.19</v>
      </c>
      <c r="AD189" s="8" cm="1">
        <f t="array" ref="AD1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189" s="26">
        <v>0</v>
      </c>
      <c r="AF189" s="6">
        <v>0</v>
      </c>
      <c r="AG189" t="s">
        <v>235</v>
      </c>
      <c r="AH189" t="s">
        <v>238</v>
      </c>
      <c r="AI189" t="s">
        <v>229</v>
      </c>
      <c r="AJ189" s="2" t="s">
        <v>229</v>
      </c>
      <c r="AK189" s="2" t="s">
        <v>244</v>
      </c>
      <c r="AL18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9" s="2" t="str">
        <f>SUBSTITUTE(SUBSTITUTE(PROPERTIES[[#This Row],[PURCHASECOST_VALUE]], "PURCHASECOST_", ""), "_VALUE", "")</f>
        <v>DIESELENGINE</v>
      </c>
      <c r="AO189" s="44" t="b">
        <v>0</v>
      </c>
      <c r="AP189" s="48" t="b">
        <v>0</v>
      </c>
      <c r="AQ189" s="48" t="b">
        <v>0</v>
      </c>
      <c r="AR189" s="48">
        <v>0</v>
      </c>
      <c r="AS189" s="48" t="b">
        <v>0</v>
      </c>
      <c r="AT189" s="7" t="b">
        <v>0</v>
      </c>
      <c r="AU189" s="40" t="str" cm="1">
        <f t="array" ref="AU189">_xlfn.XLOOKUP(PROPERTIES[[#This Row],[VEHIDCODE]],GRAPHICS_PROPERTIES[VEHIDCODE],GRAPHICS_PROPERTIES[TEMPLATE_ID]&amp;GRAPHICS_PROPERTIES[TEMPLATE_AMENDMENT_CODE])</f>
        <v>TPL_17B</v>
      </c>
    </row>
    <row r="190" spans="1:47" x14ac:dyDescent="0.35">
      <c r="A190" s="2" t="s">
        <v>2829</v>
      </c>
      <c r="B190">
        <v>1954</v>
      </c>
      <c r="C190">
        <v>2030</v>
      </c>
      <c r="D190" cm="1">
        <f t="array" ref="D1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0" s="40" t="str">
        <f>_xlfn.XLOOKUP(PROPERTIES[[#This Row],[VEHIDCODE]],CONTROL[VEHIDCODE],CONTROL[ENGLISH])</f>
        <v>Ganz-MAVAG DVM2 'M44'</v>
      </c>
      <c r="F190" t="s">
        <v>626</v>
      </c>
      <c r="G190" s="40" t="str">
        <f>_xlfn.XLOOKUP(PROPERTIES[[#This Row],[COUNTRY]],COUNTRIES[COUNTRY_DESCRIPTION],COUNTRIES[COUNTRY_LABEL],"")</f>
        <v>HU</v>
      </c>
      <c r="H190" t="str" cm="1">
        <f t="array" ref="H1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0" t="s">
        <v>17</v>
      </c>
      <c r="J190">
        <v>0</v>
      </c>
      <c r="K190">
        <v>6</v>
      </c>
      <c r="L190">
        <v>0</v>
      </c>
      <c r="M190" t="str" cm="1">
        <f t="array" ref="M1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0">
        <f>_xlfn.XLOOKUP("LOADINGSPEEDDEF_"&amp;PROPERTIES[[#This Row],[LOADINGSPEED]],LOADINGSPEEDDEF[TYPE],LOADINGSPEEDDEF[SPEED])</f>
        <v>20</v>
      </c>
      <c r="O190" t="str" cm="1">
        <f t="array" ref="O1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90">
        <f>IF(ISNUMBER(SEARCH("passenger",PROPERTIES[[#This Row],[CARGODEF]])),1,0)</f>
        <v>0</v>
      </c>
      <c r="Q190" s="23">
        <v>62</v>
      </c>
      <c r="R190">
        <v>590</v>
      </c>
      <c r="S190">
        <v>0</v>
      </c>
      <c r="T190">
        <v>0</v>
      </c>
      <c r="U190">
        <v>0</v>
      </c>
      <c r="V190">
        <v>80</v>
      </c>
      <c r="W190">
        <v>0</v>
      </c>
      <c r="X190">
        <v>0</v>
      </c>
      <c r="Y190">
        <v>0</v>
      </c>
      <c r="Z190" s="20">
        <v>166.5</v>
      </c>
      <c r="AA190" s="19">
        <f>IFERROR(PROPERTIES[[#This Row],[TE_STARTING_KN]]/(PROPERTIES[[#This Row],[WEIGHT]]*9.81),0)</f>
        <v>0.27374963006806746</v>
      </c>
      <c r="AB190" s="19">
        <v>0</v>
      </c>
      <c r="AC190" s="16">
        <f>ROUND(IF(IFERROR(PROPERTIES[[#This Row],[TE_COEFFICIENT_CALC]],0)=0,PROPERTIES[[#This Row],[TE_COEFFICIENT_MANUAL]],PROPERTIES[[#This Row],[TE_COEFFICIENT_CALC]]),3)</f>
        <v>0.27400000000000002</v>
      </c>
      <c r="AD190" s="8" cm="1">
        <f t="array" ref="AD1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76</v>
      </c>
      <c r="AE190" s="26">
        <v>0</v>
      </c>
      <c r="AF190" s="6">
        <v>0</v>
      </c>
      <c r="AG190" t="s">
        <v>236</v>
      </c>
      <c r="AH190" t="s">
        <v>229</v>
      </c>
      <c r="AI190" t="s">
        <v>229</v>
      </c>
      <c r="AJ190" s="2" t="s">
        <v>229</v>
      </c>
      <c r="AK190" s="2" t="s">
        <v>244</v>
      </c>
      <c r="AL19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0" s="2" t="str">
        <f>SUBSTITUTE(SUBSTITUTE(PROPERTIES[[#This Row],[PURCHASECOST_VALUE]], "PURCHASECOST_", ""), "_VALUE", "")</f>
        <v>DIESELENGINE</v>
      </c>
      <c r="AO190" s="44" t="b">
        <v>0</v>
      </c>
      <c r="AP190" s="48" t="b">
        <v>0</v>
      </c>
      <c r="AQ190" s="48" t="b">
        <v>0</v>
      </c>
      <c r="AR190" s="48">
        <v>0</v>
      </c>
      <c r="AS190" s="48" t="b">
        <v>0</v>
      </c>
      <c r="AT190" s="7" t="b">
        <v>0</v>
      </c>
      <c r="AU190" s="40" t="str" cm="1">
        <f t="array" ref="AU190">_xlfn.XLOOKUP(PROPERTIES[[#This Row],[VEHIDCODE]],GRAPHICS_PROPERTIES[VEHIDCODE],GRAPHICS_PROPERTIES[TEMPLATE_ID]&amp;GRAPHICS_PROPERTIES[TEMPLATE_AMENDMENT_CODE])</f>
        <v>TPL_01A</v>
      </c>
    </row>
    <row r="191" spans="1:47" x14ac:dyDescent="0.35">
      <c r="A191" s="2" t="s">
        <v>3439</v>
      </c>
      <c r="B191">
        <v>1955</v>
      </c>
      <c r="C191">
        <v>2030</v>
      </c>
      <c r="D191" cm="1">
        <f t="array" ref="D1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1" s="40" t="str">
        <f>_xlfn.XLOOKUP(PROPERTIES[[#This Row],[VEHIDCODE]],CONTROL[VEHIDCODE],CONTROL[ENGLISH])</f>
        <v>Raba M 030 'M28 Nyünyüke'</v>
      </c>
      <c r="F191" t="s">
        <v>626</v>
      </c>
      <c r="G191" s="40" t="str">
        <f>_xlfn.XLOOKUP(PROPERTIES[[#This Row],[COUNTRY]],COUNTRIES[COUNTRY_DESCRIPTION],COUNTRIES[COUNTRY_LABEL],"")</f>
        <v>HU</v>
      </c>
      <c r="H191" t="str" cm="1">
        <f t="array" ref="H1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1" t="s">
        <v>17</v>
      </c>
      <c r="J191">
        <v>0</v>
      </c>
      <c r="K191">
        <v>4</v>
      </c>
      <c r="L191">
        <v>0</v>
      </c>
      <c r="M191" t="str" cm="1">
        <f t="array" ref="M1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1">
        <f>_xlfn.XLOOKUP("LOADINGSPEEDDEF_"&amp;PROPERTIES[[#This Row],[LOADINGSPEED]],LOADINGSPEEDDEF[TYPE],LOADINGSPEEDDEF[SPEED])</f>
        <v>20</v>
      </c>
      <c r="O191" t="str" cm="1">
        <f t="array" ref="O1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91">
        <f>IF(ISNUMBER(SEARCH("passenger",PROPERTIES[[#This Row],[CARGODEF]])),1,0)</f>
        <v>0</v>
      </c>
      <c r="Q191" s="23">
        <v>19</v>
      </c>
      <c r="R191">
        <v>135</v>
      </c>
      <c r="S191">
        <v>0</v>
      </c>
      <c r="T191">
        <v>0</v>
      </c>
      <c r="U191">
        <v>0</v>
      </c>
      <c r="V191">
        <v>50</v>
      </c>
      <c r="W191">
        <v>0</v>
      </c>
      <c r="X191">
        <v>0</v>
      </c>
      <c r="Y191">
        <v>0</v>
      </c>
      <c r="Z191" s="20">
        <v>0</v>
      </c>
      <c r="AA191" s="19">
        <f>IFERROR(PROPERTIES[[#This Row],[TE_STARTING_KN]]/(PROPERTIES[[#This Row],[WEIGHT]]*9.81),0)</f>
        <v>0</v>
      </c>
      <c r="AB191" s="19">
        <v>0.32</v>
      </c>
      <c r="AC191" s="16">
        <f>ROUND(IF(IFERROR(PROPERTIES[[#This Row],[TE_COEFFICIENT_CALC]],0)=0,PROPERTIES[[#This Row],[TE_COEFFICIENT_MANUAL]],PROPERTIES[[#This Row],[TE_COEFFICIENT_CALC]]),3)</f>
        <v>0.32</v>
      </c>
      <c r="AD191" s="8" cm="1">
        <f t="array" ref="AD1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75</v>
      </c>
      <c r="AE191" s="26">
        <v>0</v>
      </c>
      <c r="AF191" s="6">
        <v>0</v>
      </c>
      <c r="AG191" t="s">
        <v>236</v>
      </c>
      <c r="AH191" t="s">
        <v>229</v>
      </c>
      <c r="AI191" t="s">
        <v>229</v>
      </c>
      <c r="AJ191" s="2" t="s">
        <v>229</v>
      </c>
      <c r="AK191" s="2" t="s">
        <v>244</v>
      </c>
      <c r="AL19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1" s="2" t="str">
        <f>SUBSTITUTE(SUBSTITUTE(PROPERTIES[[#This Row],[PURCHASECOST_VALUE]], "PURCHASECOST_", ""), "_VALUE", "")</f>
        <v>DIESELENGINE</v>
      </c>
      <c r="AO191" s="44" t="b">
        <v>0</v>
      </c>
      <c r="AP191" s="48" t="b">
        <v>0</v>
      </c>
      <c r="AQ191" s="48" t="b">
        <v>0</v>
      </c>
      <c r="AR191" s="48">
        <v>0</v>
      </c>
      <c r="AS191" s="48" t="b">
        <v>0</v>
      </c>
      <c r="AT191" s="7" t="b">
        <v>0</v>
      </c>
      <c r="AU191" s="40" t="str" cm="1">
        <f t="array" ref="AU191">_xlfn.XLOOKUP(PROPERTIES[[#This Row],[VEHIDCODE]],GRAPHICS_PROPERTIES[VEHIDCODE],GRAPHICS_PROPERTIES[TEMPLATE_ID]&amp;GRAPHICS_PROPERTIES[TEMPLATE_AMENDMENT_CODE])</f>
        <v>TPL_01A</v>
      </c>
    </row>
    <row r="192" spans="1:47" x14ac:dyDescent="0.35">
      <c r="A192" s="2" t="s">
        <v>3440</v>
      </c>
      <c r="B192">
        <v>1956</v>
      </c>
      <c r="C192">
        <v>1994</v>
      </c>
      <c r="D192" cm="1">
        <f t="array" ref="D1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2" s="40" t="str">
        <f>_xlfn.XLOOKUP(PROPERTIES[[#This Row],[VEHIDCODE]],CONTROL[VEHIDCODE],CONTROL[ENGLISH])</f>
        <v>Cockerill-Sambre HLD serie 83</v>
      </c>
      <c r="F192" t="s">
        <v>548</v>
      </c>
      <c r="G192" s="40" t="str">
        <f>_xlfn.XLOOKUP(PROPERTIES[[#This Row],[COUNTRY]],COUNTRIES[COUNTRY_DESCRIPTION],COUNTRIES[COUNTRY_LABEL],"")</f>
        <v>BE</v>
      </c>
      <c r="H192" t="str" cm="1">
        <f t="array" ref="H1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2" t="s">
        <v>17</v>
      </c>
      <c r="J192">
        <v>0</v>
      </c>
      <c r="K192">
        <v>5</v>
      </c>
      <c r="L192">
        <v>0</v>
      </c>
      <c r="M192" t="str" cm="1">
        <f t="array" ref="M1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2">
        <f>_xlfn.XLOOKUP("LOADINGSPEEDDEF_"&amp;PROPERTIES[[#This Row],[LOADINGSPEED]],LOADINGSPEEDDEF[TYPE],LOADINGSPEEDDEF[SPEED])</f>
        <v>20</v>
      </c>
      <c r="O192" cm="1">
        <f t="array" ref="O1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2">
        <f>IF(ISNUMBER(SEARCH("passenger",PROPERTIES[[#This Row],[CARGODEF]])),1,0)</f>
        <v>0</v>
      </c>
      <c r="Q192" s="23">
        <v>57</v>
      </c>
      <c r="R192">
        <v>440</v>
      </c>
      <c r="S192">
        <v>0</v>
      </c>
      <c r="T192">
        <v>0</v>
      </c>
      <c r="U192">
        <v>0</v>
      </c>
      <c r="V192">
        <v>50</v>
      </c>
      <c r="W192">
        <v>0</v>
      </c>
      <c r="X192">
        <v>0</v>
      </c>
      <c r="Y192">
        <v>0</v>
      </c>
      <c r="Z192" s="20">
        <v>196</v>
      </c>
      <c r="AA192" s="19">
        <f>IFERROR(PROPERTIES[[#This Row],[TE_STARTING_KN]]/(PROPERTIES[[#This Row],[WEIGHT]]*9.81),0)</f>
        <v>0.35051952000286135</v>
      </c>
      <c r="AB192" s="19">
        <v>0</v>
      </c>
      <c r="AC192" s="16">
        <f>ROUND(IF(IFERROR(PROPERTIES[[#This Row],[TE_COEFFICIENT_CALC]],0)=0,PROPERTIES[[#This Row],[TE_COEFFICIENT_MANUAL]],PROPERTIES[[#This Row],[TE_COEFFICIENT_CALC]]),3)</f>
        <v>0.35099999999999998</v>
      </c>
      <c r="AD192" s="8" cm="1">
        <f t="array" ref="AD1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2" s="26">
        <v>0</v>
      </c>
      <c r="AF192" s="6">
        <v>0</v>
      </c>
      <c r="AG192" t="s">
        <v>230</v>
      </c>
      <c r="AH192" t="s">
        <v>229</v>
      </c>
      <c r="AI192" t="s">
        <v>229</v>
      </c>
      <c r="AJ192" s="2" t="s">
        <v>229</v>
      </c>
      <c r="AK192" s="2" t="s">
        <v>244</v>
      </c>
      <c r="AL19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2" s="2" t="str">
        <f>SUBSTITUTE(SUBSTITUTE(PROPERTIES[[#This Row],[PURCHASECOST_VALUE]], "PURCHASECOST_", ""), "_VALUE", "")</f>
        <v>DIESELENGINE</v>
      </c>
      <c r="AO192" s="44" t="b">
        <v>0</v>
      </c>
      <c r="AP192" s="48" t="b">
        <v>0</v>
      </c>
      <c r="AQ192" s="48" t="b">
        <v>0</v>
      </c>
      <c r="AR192" s="48">
        <v>0</v>
      </c>
      <c r="AS192" s="48" t="b">
        <v>0</v>
      </c>
      <c r="AT192" s="7" t="b">
        <v>0</v>
      </c>
      <c r="AU192" s="40" t="str" cm="1">
        <f t="array" ref="AU192">_xlfn.XLOOKUP(PROPERTIES[[#This Row],[VEHIDCODE]],GRAPHICS_PROPERTIES[VEHIDCODE],GRAPHICS_PROPERTIES[TEMPLATE_ID]&amp;GRAPHICS_PROPERTIES[TEMPLATE_AMENDMENT_CODE])</f>
        <v>TPL_03C</v>
      </c>
    </row>
    <row r="193" spans="1:47" x14ac:dyDescent="0.35">
      <c r="A193" s="2" t="s">
        <v>2830</v>
      </c>
      <c r="B193">
        <v>1956</v>
      </c>
      <c r="C193">
        <v>1984</v>
      </c>
      <c r="D193" cm="1">
        <f t="array" ref="D1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3" s="40" t="str">
        <f>_xlfn.XLOOKUP(PROPERTIES[[#This Row],[VEHIDCODE]],CONTROL[VEHIDCODE],CONTROL[ENGLISH])</f>
        <v>Krauss-Maffei V200</v>
      </c>
      <c r="F193" t="s">
        <v>584</v>
      </c>
      <c r="G193" s="40" t="str">
        <f>_xlfn.XLOOKUP(PROPERTIES[[#This Row],[COUNTRY]],COUNTRIES[COUNTRY_DESCRIPTION],COUNTRIES[COUNTRY_LABEL],"")</f>
        <v>DE</v>
      </c>
      <c r="H193" t="str" cm="1">
        <f t="array" ref="H1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3" t="s">
        <v>17</v>
      </c>
      <c r="J193">
        <v>0</v>
      </c>
      <c r="K193">
        <v>8</v>
      </c>
      <c r="L193">
        <v>0</v>
      </c>
      <c r="M193" t="str" cm="1">
        <f t="array" ref="M1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3">
        <f>_xlfn.XLOOKUP("LOADINGSPEEDDEF_"&amp;PROPERTIES[[#This Row],[LOADINGSPEED]],LOADINGSPEEDDEF[TYPE],LOADINGSPEEDDEF[SPEED])</f>
        <v>20</v>
      </c>
      <c r="O193" cm="1">
        <f t="array" ref="O1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3">
        <f>IF(ISNUMBER(SEARCH("passenger",PROPERTIES[[#This Row],[CARGODEF]])),1,0)</f>
        <v>0</v>
      </c>
      <c r="Q193" s="23">
        <v>81</v>
      </c>
      <c r="R193">
        <v>2169</v>
      </c>
      <c r="S193">
        <v>0</v>
      </c>
      <c r="T193">
        <v>0</v>
      </c>
      <c r="U193">
        <v>0</v>
      </c>
      <c r="V193">
        <v>140</v>
      </c>
      <c r="W193">
        <v>0</v>
      </c>
      <c r="X193">
        <v>0</v>
      </c>
      <c r="Y193">
        <v>0</v>
      </c>
      <c r="Z193" s="20">
        <v>234</v>
      </c>
      <c r="AA193" s="19">
        <f>IFERROR(PROPERTIES[[#This Row],[TE_STARTING_KN]]/(PROPERTIES[[#This Row],[WEIGHT]]*9.81),0)</f>
        <v>0.29448408653301616</v>
      </c>
      <c r="AB193" s="19">
        <v>0</v>
      </c>
      <c r="AC193" s="16">
        <f>ROUND(IF(IFERROR(PROPERTIES[[#This Row],[TE_COEFFICIENT_CALC]],0)=0,PROPERTIES[[#This Row],[TE_COEFFICIENT_MANUAL]],PROPERTIES[[#This Row],[TE_COEFFICIENT_CALC]]),3)</f>
        <v>0.29399999999999998</v>
      </c>
      <c r="AD193" s="8" cm="1">
        <f t="array" ref="AD1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3" s="26">
        <v>0</v>
      </c>
      <c r="AF193" s="6">
        <v>0</v>
      </c>
      <c r="AG193" t="s">
        <v>230</v>
      </c>
      <c r="AH193" t="s">
        <v>231</v>
      </c>
      <c r="AI193" t="s">
        <v>229</v>
      </c>
      <c r="AJ193" s="2" t="s">
        <v>229</v>
      </c>
      <c r="AK193" s="2" t="s">
        <v>244</v>
      </c>
      <c r="AL19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3" s="2" t="str">
        <f>SUBSTITUTE(SUBSTITUTE(PROPERTIES[[#This Row],[PURCHASECOST_VALUE]], "PURCHASECOST_", ""), "_VALUE", "")</f>
        <v>DIESELENGINE</v>
      </c>
      <c r="AO193" s="44" t="b">
        <v>0</v>
      </c>
      <c r="AP193" s="48" t="b">
        <v>0</v>
      </c>
      <c r="AQ193" s="48" t="b">
        <v>0</v>
      </c>
      <c r="AR193" s="48">
        <v>0</v>
      </c>
      <c r="AS193" s="48" t="b">
        <v>0</v>
      </c>
      <c r="AT193" s="7" t="b">
        <v>0</v>
      </c>
      <c r="AU193" s="40" t="str" cm="1">
        <f t="array" ref="AU193">_xlfn.XLOOKUP(PROPERTIES[[#This Row],[VEHIDCODE]],GRAPHICS_PROPERTIES[VEHIDCODE],GRAPHICS_PROPERTIES[TEMPLATE_ID]&amp;GRAPHICS_PROPERTIES[TEMPLATE_AMENDMENT_CODE])</f>
        <v>TPL_01A</v>
      </c>
    </row>
    <row r="194" spans="1:47" x14ac:dyDescent="0.35">
      <c r="A194" s="2" t="s">
        <v>2831</v>
      </c>
      <c r="B194">
        <v>1956</v>
      </c>
      <c r="C194">
        <v>2014</v>
      </c>
      <c r="D194" cm="1">
        <f t="array" ref="D1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4" s="40" t="str">
        <f>_xlfn.XLOOKUP(PROPERTIES[[#This Row],[VEHIDCODE]],CONTROL[VEHIDCODE],CONTROL[ENGLISH])</f>
        <v>EMD FL9</v>
      </c>
      <c r="F194" t="s">
        <v>757</v>
      </c>
      <c r="G194" s="40" t="str">
        <f>_xlfn.XLOOKUP(PROPERTIES[[#This Row],[COUNTRY]],COUNTRIES[COUNTRY_DESCRIPTION],COUNTRIES[COUNTRY_LABEL],"")</f>
        <v>US</v>
      </c>
      <c r="H194" t="str" cm="1">
        <f t="array" ref="H1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4" t="s">
        <v>17</v>
      </c>
      <c r="J194">
        <v>0</v>
      </c>
      <c r="K194">
        <v>8</v>
      </c>
      <c r="L194">
        <v>0</v>
      </c>
      <c r="M194" t="str" cm="1">
        <f t="array" ref="M1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4">
        <f>_xlfn.XLOOKUP("LOADINGSPEEDDEF_"&amp;PROPERTIES[[#This Row],[LOADINGSPEED]],LOADINGSPEEDDEF[TYPE],LOADINGSPEEDDEF[SPEED])</f>
        <v>20</v>
      </c>
      <c r="O194" cm="1">
        <f t="array" ref="O1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4">
        <f>IF(ISNUMBER(SEARCH("passenger",PROPERTIES[[#This Row],[CARGODEF]])),1,0)</f>
        <v>0</v>
      </c>
      <c r="Q194" s="23">
        <v>130</v>
      </c>
      <c r="R194">
        <v>1750</v>
      </c>
      <c r="S194">
        <v>0</v>
      </c>
      <c r="T194">
        <v>0</v>
      </c>
      <c r="U194">
        <v>0</v>
      </c>
      <c r="V194">
        <v>144</v>
      </c>
      <c r="W194">
        <v>0</v>
      </c>
      <c r="X194">
        <v>0</v>
      </c>
      <c r="Y194">
        <v>0</v>
      </c>
      <c r="Z194" s="20">
        <v>253.28</v>
      </c>
      <c r="AA194" s="19">
        <f>IFERROR(PROPERTIES[[#This Row],[TE_STARTING_KN]]/(PROPERTIES[[#This Row],[WEIGHT]]*9.81),0)</f>
        <v>0.19860424998039677</v>
      </c>
      <c r="AB194" s="19">
        <v>0</v>
      </c>
      <c r="AC194" s="16">
        <f>ROUND(IF(IFERROR(PROPERTIES[[#This Row],[TE_COEFFICIENT_CALC]],0)=0,PROPERTIES[[#This Row],[TE_COEFFICIENT_MANUAL]],PROPERTIES[[#This Row],[TE_COEFFICIENT_CALC]]),3)</f>
        <v>0.19900000000000001</v>
      </c>
      <c r="AD194" s="8" cm="1">
        <f t="array" ref="AD1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194" s="26">
        <v>0</v>
      </c>
      <c r="AF194" s="6">
        <v>0</v>
      </c>
      <c r="AG194" t="s">
        <v>235</v>
      </c>
      <c r="AH194" t="s">
        <v>229</v>
      </c>
      <c r="AI194" t="s">
        <v>229</v>
      </c>
      <c r="AJ194" s="2" t="s">
        <v>229</v>
      </c>
      <c r="AK194" s="2" t="s">
        <v>244</v>
      </c>
      <c r="AL19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4" s="2" t="str">
        <f>SUBSTITUTE(SUBSTITUTE(PROPERTIES[[#This Row],[PURCHASECOST_VALUE]], "PURCHASECOST_", ""), "_VALUE", "")</f>
        <v>DIESELENGINE</v>
      </c>
      <c r="AO194" s="44" t="b">
        <v>0</v>
      </c>
      <c r="AP194" s="48" t="b">
        <v>0</v>
      </c>
      <c r="AQ194" s="48" t="b">
        <v>0</v>
      </c>
      <c r="AR194" s="48">
        <v>0</v>
      </c>
      <c r="AS194" s="48" t="b">
        <v>0</v>
      </c>
      <c r="AT194" s="7" t="b">
        <v>0</v>
      </c>
      <c r="AU194" s="40" t="str" cm="1">
        <f t="array" ref="AU194">_xlfn.XLOOKUP(PROPERTIES[[#This Row],[VEHIDCODE]],GRAPHICS_PROPERTIES[VEHIDCODE],GRAPHICS_PROPERTIES[TEMPLATE_ID]&amp;GRAPHICS_PROPERTIES[TEMPLATE_AMENDMENT_CODE])</f>
        <v>TPL_01A</v>
      </c>
    </row>
    <row r="195" spans="1:47" x14ac:dyDescent="0.35">
      <c r="A195" s="2" t="s">
        <v>2832</v>
      </c>
      <c r="B195">
        <v>1958</v>
      </c>
      <c r="C195">
        <v>1989</v>
      </c>
      <c r="D195" cm="1">
        <f t="array" ref="D1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5" s="40" t="str">
        <f>_xlfn.XLOOKUP(PROPERTIES[[#This Row],[VEHIDCODE]],CONTROL[VEHIDCODE],CONTROL[ENGLISH])</f>
        <v>CKD T 435.0</v>
      </c>
      <c r="F195" t="s">
        <v>583</v>
      </c>
      <c r="G195" s="40" t="str">
        <f>_xlfn.XLOOKUP(PROPERTIES[[#This Row],[COUNTRY]],COUNTRIES[COUNTRY_DESCRIPTION],COUNTRIES[COUNTRY_LABEL],"")</f>
        <v>CZ</v>
      </c>
      <c r="H195" t="str" cm="1">
        <f t="array" ref="H1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5" t="s">
        <v>17</v>
      </c>
      <c r="J195">
        <v>0</v>
      </c>
      <c r="K195">
        <v>6</v>
      </c>
      <c r="L195">
        <v>0</v>
      </c>
      <c r="M195" t="str" cm="1">
        <f t="array" ref="M1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5">
        <f>_xlfn.XLOOKUP("LOADINGSPEEDDEF_"&amp;PROPERTIES[[#This Row],[LOADINGSPEED]],LOADINGSPEEDDEF[TYPE],LOADINGSPEEDDEF[SPEED])</f>
        <v>20</v>
      </c>
      <c r="O195" cm="1">
        <f t="array" ref="O1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5">
        <f>IF(ISNUMBER(SEARCH("passenger",PROPERTIES[[#This Row],[CARGODEF]])),1,0)</f>
        <v>0</v>
      </c>
      <c r="Q195" s="23">
        <v>61</v>
      </c>
      <c r="R195">
        <v>740</v>
      </c>
      <c r="S195">
        <v>0</v>
      </c>
      <c r="T195">
        <v>0</v>
      </c>
      <c r="U195">
        <v>0</v>
      </c>
      <c r="V195">
        <v>80</v>
      </c>
      <c r="W195">
        <v>0</v>
      </c>
      <c r="X195">
        <v>0</v>
      </c>
      <c r="Y195">
        <v>0</v>
      </c>
      <c r="Z195" s="20">
        <v>160</v>
      </c>
      <c r="AA195" s="19">
        <f>IFERROR(PROPERTIES[[#This Row],[TE_STARTING_KN]]/(PROPERTIES[[#This Row],[WEIGHT]]*9.81),0)</f>
        <v>0.2673752109757524</v>
      </c>
      <c r="AB195" s="19">
        <v>0</v>
      </c>
      <c r="AC195" s="16">
        <f>ROUND(IF(IFERROR(PROPERTIES[[#This Row],[TE_COEFFICIENT_CALC]],0)=0,PROPERTIES[[#This Row],[TE_COEFFICIENT_MANUAL]],PROPERTIES[[#This Row],[TE_COEFFICIENT_CALC]]),3)</f>
        <v>0.26700000000000002</v>
      </c>
      <c r="AD195" s="8" cm="1">
        <f t="array" ref="AD1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5" s="26">
        <v>0</v>
      </c>
      <c r="AF195" s="6">
        <v>0</v>
      </c>
      <c r="AG195" t="s">
        <v>1948</v>
      </c>
      <c r="AH195" t="s">
        <v>230</v>
      </c>
      <c r="AI195" t="s">
        <v>229</v>
      </c>
      <c r="AJ195" s="2" t="s">
        <v>229</v>
      </c>
      <c r="AK195" s="2" t="s">
        <v>244</v>
      </c>
      <c r="AL19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5" s="2" t="str">
        <f>SUBSTITUTE(SUBSTITUTE(PROPERTIES[[#This Row],[PURCHASECOST_VALUE]], "PURCHASECOST_", ""), "_VALUE", "")</f>
        <v>DIESELENGINE</v>
      </c>
      <c r="AO195" s="44" t="b">
        <v>0</v>
      </c>
      <c r="AP195" s="48" t="b">
        <v>0</v>
      </c>
      <c r="AQ195" s="48" t="b">
        <v>0</v>
      </c>
      <c r="AR195" s="48">
        <v>0</v>
      </c>
      <c r="AS195" s="48" t="b">
        <v>0</v>
      </c>
      <c r="AT195" s="7" t="b">
        <v>0</v>
      </c>
      <c r="AU195" s="40" t="str" cm="1">
        <f t="array" ref="AU195">_xlfn.XLOOKUP(PROPERTIES[[#This Row],[VEHIDCODE]],GRAPHICS_PROPERTIES[VEHIDCODE],GRAPHICS_PROPERTIES[TEMPLATE_ID]&amp;GRAPHICS_PROPERTIES[TEMPLATE_AMENDMENT_CODE])</f>
        <v>TPL_01A</v>
      </c>
    </row>
    <row r="196" spans="1:47" x14ac:dyDescent="0.35">
      <c r="A196" s="2" t="s">
        <v>2833</v>
      </c>
      <c r="B196">
        <v>1959</v>
      </c>
      <c r="C196">
        <v>1972</v>
      </c>
      <c r="D196" cm="1">
        <f t="array" ref="D1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6" s="40" t="str">
        <f>_xlfn.XLOOKUP(PROPERTIES[[#This Row],[VEHIDCODE]],CONTROL[VEHIDCODE],CONTROL[ENGLISH])</f>
        <v>Valmet/Lokomo Dr12</v>
      </c>
      <c r="F196" t="s">
        <v>597</v>
      </c>
      <c r="G196" s="40" t="str">
        <f>_xlfn.XLOOKUP(PROPERTIES[[#This Row],[COUNTRY]],COUNTRIES[COUNTRY_DESCRIPTION],COUNTRIES[COUNTRY_LABEL],"")</f>
        <v>FI</v>
      </c>
      <c r="H196" t="str" cm="1">
        <f t="array" ref="H1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6" t="s">
        <v>17</v>
      </c>
      <c r="J196">
        <v>0</v>
      </c>
      <c r="K196">
        <v>8</v>
      </c>
      <c r="L196">
        <v>0</v>
      </c>
      <c r="M196" t="str" cm="1">
        <f t="array" ref="M1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6">
        <f>_xlfn.XLOOKUP("LOADINGSPEEDDEF_"&amp;PROPERTIES[[#This Row],[LOADINGSPEED]],LOADINGSPEEDDEF[TYPE],LOADINGSPEEDDEF[SPEED])</f>
        <v>20</v>
      </c>
      <c r="O196" cm="1">
        <f t="array" ref="O1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6">
        <f>IF(ISNUMBER(SEARCH("passenger",PROPERTIES[[#This Row],[CARGODEF]])),1,0)</f>
        <v>0</v>
      </c>
      <c r="Q196" s="23">
        <v>122</v>
      </c>
      <c r="R196">
        <v>1900</v>
      </c>
      <c r="S196">
        <v>0</v>
      </c>
      <c r="T196">
        <v>0</v>
      </c>
      <c r="U196">
        <v>0</v>
      </c>
      <c r="V196">
        <v>120</v>
      </c>
      <c r="W196">
        <v>0</v>
      </c>
      <c r="X196">
        <v>0</v>
      </c>
      <c r="Y196">
        <v>0</v>
      </c>
      <c r="Z196" s="20">
        <v>275</v>
      </c>
      <c r="AA196" s="19">
        <f>IFERROR(PROPERTIES[[#This Row],[TE_STARTING_KN]]/(PROPERTIES[[#This Row],[WEIGHT]]*9.81),0)</f>
        <v>0.2297755719322872</v>
      </c>
      <c r="AB196" s="19">
        <v>0</v>
      </c>
      <c r="AC196" s="16">
        <f>ROUND(IF(IFERROR(PROPERTIES[[#This Row],[TE_COEFFICIENT_CALC]],0)=0,PROPERTIES[[#This Row],[TE_COEFFICIENT_MANUAL]],PROPERTIES[[#This Row],[TE_COEFFICIENT_CALC]]),3)</f>
        <v>0.23</v>
      </c>
      <c r="AD196" s="8" cm="1">
        <f t="array" ref="AD1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6" s="26">
        <v>0</v>
      </c>
      <c r="AF196" s="6">
        <v>0</v>
      </c>
      <c r="AG196" t="s">
        <v>234</v>
      </c>
      <c r="AH196" t="s">
        <v>229</v>
      </c>
      <c r="AI196" t="s">
        <v>229</v>
      </c>
      <c r="AJ196" s="2" t="s">
        <v>229</v>
      </c>
      <c r="AK196" s="2" t="s">
        <v>244</v>
      </c>
      <c r="AL19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6" s="2" t="str">
        <f>SUBSTITUTE(SUBSTITUTE(PROPERTIES[[#This Row],[PURCHASECOST_VALUE]], "PURCHASECOST_", ""), "_VALUE", "")</f>
        <v>DIESELENGINE</v>
      </c>
      <c r="AO196" s="44" t="b">
        <v>0</v>
      </c>
      <c r="AP196" s="48" t="b">
        <v>0</v>
      </c>
      <c r="AQ196" s="48" t="b">
        <v>0</v>
      </c>
      <c r="AR196" s="48">
        <v>0</v>
      </c>
      <c r="AS196" s="48" t="b">
        <v>0</v>
      </c>
      <c r="AT196" s="7" t="b">
        <v>0</v>
      </c>
      <c r="AU196" s="40" t="str" cm="1">
        <f t="array" ref="AU196">_xlfn.XLOOKUP(PROPERTIES[[#This Row],[VEHIDCODE]],GRAPHICS_PROPERTIES[VEHIDCODE],GRAPHICS_PROPERTIES[TEMPLATE_ID]&amp;GRAPHICS_PROPERTIES[TEMPLATE_AMENDMENT_CODE])</f>
        <v>TPL_01A</v>
      </c>
    </row>
    <row r="197" spans="1:47" x14ac:dyDescent="0.35">
      <c r="A197" s="2" t="s">
        <v>2834</v>
      </c>
      <c r="B197">
        <v>1959</v>
      </c>
      <c r="D197" cm="1">
        <f t="array" ref="D1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7" s="40" t="str">
        <f>_xlfn.XLOOKUP(PROPERTIES[[#This Row],[VEHIDCODE]],CONTROL[VEHIDCODE],CONTROL[ENGLISH])</f>
        <v>Electroputre 060-DA</v>
      </c>
      <c r="F197" t="s">
        <v>714</v>
      </c>
      <c r="G197" s="40" t="str">
        <f>_xlfn.XLOOKUP(PROPERTIES[[#This Row],[COUNTRY]],COUNTRIES[COUNTRY_DESCRIPTION],COUNTRIES[COUNTRY_LABEL],"")</f>
        <v>RO</v>
      </c>
      <c r="H197" t="str" cm="1">
        <f t="array" ref="H1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7" t="s">
        <v>17</v>
      </c>
      <c r="J197">
        <v>0</v>
      </c>
      <c r="K197">
        <v>8</v>
      </c>
      <c r="L197">
        <v>0</v>
      </c>
      <c r="M197" t="str" cm="1">
        <f t="array" ref="M1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7">
        <f>_xlfn.XLOOKUP("LOADINGSPEEDDEF_"&amp;PROPERTIES[[#This Row],[LOADINGSPEED]],LOADINGSPEEDDEF[TYPE],LOADINGSPEEDDEF[SPEED])</f>
        <v>20</v>
      </c>
      <c r="O197" cm="1">
        <f t="array" ref="O1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7">
        <f>IF(ISNUMBER(SEARCH("passenger",PROPERTIES[[#This Row],[CARGODEF]])),1,0)</f>
        <v>0</v>
      </c>
      <c r="Q197" s="23">
        <v>116</v>
      </c>
      <c r="R197">
        <v>2070</v>
      </c>
      <c r="S197">
        <v>0</v>
      </c>
      <c r="T197">
        <v>0</v>
      </c>
      <c r="U197">
        <v>0</v>
      </c>
      <c r="V197">
        <v>100</v>
      </c>
      <c r="W197">
        <v>0</v>
      </c>
      <c r="X197">
        <v>0</v>
      </c>
      <c r="Y197">
        <v>0</v>
      </c>
      <c r="Z197" s="20">
        <v>0</v>
      </c>
      <c r="AA197" s="19">
        <f>IFERROR(PROPERTIES[[#This Row],[TE_STARTING_KN]]/(PROPERTIES[[#This Row],[WEIGHT]]*9.81),0)</f>
        <v>0</v>
      </c>
      <c r="AB197" s="19">
        <v>0.27</v>
      </c>
      <c r="AC197" s="16">
        <f>ROUND(IF(IFERROR(PROPERTIES[[#This Row],[TE_COEFFICIENT_CALC]],0)=0,PROPERTIES[[#This Row],[TE_COEFFICIENT_MANUAL]],PROPERTIES[[#This Row],[TE_COEFFICIENT_CALC]]),3)</f>
        <v>0.27</v>
      </c>
      <c r="AD197" s="8" cm="1">
        <f t="array" ref="AD1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7" s="26">
        <v>0</v>
      </c>
      <c r="AF197" s="6">
        <v>0</v>
      </c>
      <c r="AG197" t="s">
        <v>1948</v>
      </c>
      <c r="AH197" t="s">
        <v>231</v>
      </c>
      <c r="AI197" t="s">
        <v>230</v>
      </c>
      <c r="AJ197" s="2" t="s">
        <v>229</v>
      </c>
      <c r="AK197" s="2" t="s">
        <v>244</v>
      </c>
      <c r="AL19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7" s="2" t="str">
        <f>SUBSTITUTE(SUBSTITUTE(PROPERTIES[[#This Row],[PURCHASECOST_VALUE]], "PURCHASECOST_", ""), "_VALUE", "")</f>
        <v>DIESELENGINE</v>
      </c>
      <c r="AO197" s="44" t="b">
        <v>0</v>
      </c>
      <c r="AP197" s="48" t="b">
        <v>0</v>
      </c>
      <c r="AQ197" s="48" t="b">
        <v>0</v>
      </c>
      <c r="AR197" s="48">
        <v>0</v>
      </c>
      <c r="AS197" s="48" t="b">
        <v>0</v>
      </c>
      <c r="AT197" s="7" t="b">
        <v>0</v>
      </c>
      <c r="AU197" s="40" t="str" cm="1">
        <f t="array" ref="AU197">_xlfn.XLOOKUP(PROPERTIES[[#This Row],[VEHIDCODE]],GRAPHICS_PROPERTIES[VEHIDCODE],GRAPHICS_PROPERTIES[TEMPLATE_ID]&amp;GRAPHICS_PROPERTIES[TEMPLATE_AMENDMENT_CODE])</f>
        <v>TPL_01A</v>
      </c>
    </row>
    <row r="198" spans="1:47" x14ac:dyDescent="0.35">
      <c r="A198" s="2" t="s">
        <v>2835</v>
      </c>
      <c r="B198">
        <v>1960</v>
      </c>
      <c r="C198">
        <v>2030</v>
      </c>
      <c r="D198" cm="1">
        <f t="array" ref="D1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8" s="40" t="str">
        <f>_xlfn.XLOOKUP(PROPERTIES[[#This Row],[VEHIDCODE]],CONTROL[VEHIDCODE],CONTROL[ENGLISH])</f>
        <v>EMD GL8</v>
      </c>
      <c r="F198" t="s">
        <v>757</v>
      </c>
      <c r="G198" s="40" t="str">
        <f>_xlfn.XLOOKUP(PROPERTIES[[#This Row],[COUNTRY]],COUNTRIES[COUNTRY_DESCRIPTION],COUNTRIES[COUNTRY_LABEL],"")</f>
        <v>US</v>
      </c>
      <c r="H198" t="str" cm="1">
        <f t="array" ref="H1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8" t="s">
        <v>17</v>
      </c>
      <c r="J198">
        <v>0</v>
      </c>
      <c r="K198">
        <v>5</v>
      </c>
      <c r="L198">
        <v>0</v>
      </c>
      <c r="M198" t="str" cm="1">
        <f t="array" ref="M1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8">
        <f>_xlfn.XLOOKUP("LOADINGSPEEDDEF_"&amp;PROPERTIES[[#This Row],[LOADINGSPEED]],LOADINGSPEEDDEF[TYPE],LOADINGSPEEDDEF[SPEED])</f>
        <v>20</v>
      </c>
      <c r="O198" t="str" cm="1">
        <f t="array" ref="O1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98">
        <f>IF(ISNUMBER(SEARCH("passenger",PROPERTIES[[#This Row],[CARGODEF]])),1,0)</f>
        <v>0</v>
      </c>
      <c r="Q198" s="23">
        <v>64</v>
      </c>
      <c r="R198">
        <v>875</v>
      </c>
      <c r="S198">
        <v>0</v>
      </c>
      <c r="T198">
        <v>0</v>
      </c>
      <c r="U198">
        <v>0</v>
      </c>
      <c r="V198">
        <v>124</v>
      </c>
      <c r="W198">
        <v>0</v>
      </c>
      <c r="X198">
        <v>0</v>
      </c>
      <c r="Y198">
        <v>0</v>
      </c>
      <c r="Z198" s="20">
        <v>152</v>
      </c>
      <c r="AA198" s="19">
        <f>IFERROR(PROPERTIES[[#This Row],[TE_STARTING_KN]]/(PROPERTIES[[#This Row],[WEIGHT]]*9.81),0)</f>
        <v>0.24209989806320081</v>
      </c>
      <c r="AB198" s="19">
        <v>0</v>
      </c>
      <c r="AC198" s="16">
        <f>ROUND(IF(IFERROR(PROPERTIES[[#This Row],[TE_COEFFICIENT_CALC]],0)=0,PROPERTIES[[#This Row],[TE_COEFFICIENT_MANUAL]],PROPERTIES[[#This Row],[TE_COEFFICIENT_CALC]]),3)</f>
        <v>0.24199999999999999</v>
      </c>
      <c r="AD198" s="8" cm="1">
        <f t="array" ref="AD1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70</v>
      </c>
      <c r="AE198" s="26">
        <v>0</v>
      </c>
      <c r="AF198" s="6">
        <v>0</v>
      </c>
      <c r="AG198" t="s">
        <v>237</v>
      </c>
      <c r="AH198" t="s">
        <v>1947</v>
      </c>
      <c r="AI198" t="s">
        <v>233</v>
      </c>
      <c r="AJ198" s="2" t="s">
        <v>234</v>
      </c>
      <c r="AK198" s="2" t="s">
        <v>244</v>
      </c>
      <c r="AL19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8" s="2" t="str">
        <f>SUBSTITUTE(SUBSTITUTE(PROPERTIES[[#This Row],[PURCHASECOST_VALUE]], "PURCHASECOST_", ""), "_VALUE", "")</f>
        <v>DIESELENGINE</v>
      </c>
      <c r="AO198" s="44" t="b">
        <v>0</v>
      </c>
      <c r="AP198" s="48" t="b">
        <v>0</v>
      </c>
      <c r="AQ198" s="48" t="b">
        <v>0</v>
      </c>
      <c r="AR198" s="48">
        <v>0</v>
      </c>
      <c r="AS198" s="48" t="b">
        <v>0</v>
      </c>
      <c r="AT198" s="7" t="b">
        <v>0</v>
      </c>
      <c r="AU198" s="40" t="str" cm="1">
        <f t="array" ref="AU198">_xlfn.XLOOKUP(PROPERTIES[[#This Row],[VEHIDCODE]],GRAPHICS_PROPERTIES[VEHIDCODE],GRAPHICS_PROPERTIES[TEMPLATE_ID]&amp;GRAPHICS_PROPERTIES[TEMPLATE_AMENDMENT_CODE])</f>
        <v>TPL_03F</v>
      </c>
    </row>
    <row r="199" spans="1:47" x14ac:dyDescent="0.35">
      <c r="A199" s="2" t="s">
        <v>2836</v>
      </c>
      <c r="B199">
        <v>1960</v>
      </c>
      <c r="C199">
        <v>1980</v>
      </c>
      <c r="D199" cm="1">
        <f t="array" ref="D1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9" s="40" t="str">
        <f>_xlfn.XLOOKUP(PROPERTIES[[#This Row],[VEHIDCODE]],CONTROL[VEHIDCODE],CONTROL[ENGLISH])</f>
        <v>Krauss-Maffei ML 4000</v>
      </c>
      <c r="F199" t="s">
        <v>558</v>
      </c>
      <c r="G199" s="40" t="str">
        <f>_xlfn.XLOOKUP(PROPERTIES[[#This Row],[COUNTRY]],COUNTRIES[COUNTRY_DESCRIPTION],COUNTRIES[COUNTRY_LABEL],"")</f>
        <v>BR</v>
      </c>
      <c r="H199" t="str" cm="1">
        <f t="array" ref="H1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9" t="s">
        <v>17</v>
      </c>
      <c r="J199">
        <v>0</v>
      </c>
      <c r="K199">
        <v>8</v>
      </c>
      <c r="L199">
        <v>0</v>
      </c>
      <c r="M199" t="str" cm="1">
        <f t="array" ref="M1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9">
        <f>_xlfn.XLOOKUP("LOADINGSPEEDDEF_"&amp;PROPERTIES[[#This Row],[LOADINGSPEED]],LOADINGSPEEDDEF[TYPE],LOADINGSPEEDDEF[SPEED])</f>
        <v>20</v>
      </c>
      <c r="O199" cm="1">
        <f t="array" ref="O1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9">
        <f>IF(ISNUMBER(SEARCH("passenger",PROPERTIES[[#This Row],[CARGODEF]])),1,0)</f>
        <v>0</v>
      </c>
      <c r="Q199" s="23">
        <v>156</v>
      </c>
      <c r="R199">
        <v>3540</v>
      </c>
      <c r="S199">
        <v>0</v>
      </c>
      <c r="T199">
        <v>0</v>
      </c>
      <c r="U199">
        <v>0</v>
      </c>
      <c r="V199">
        <v>110</v>
      </c>
      <c r="W199">
        <v>0</v>
      </c>
      <c r="X199">
        <v>0</v>
      </c>
      <c r="Y199">
        <v>0</v>
      </c>
      <c r="Z199" s="20">
        <v>400</v>
      </c>
      <c r="AA199" s="19">
        <f>IFERROR(PROPERTIES[[#This Row],[TE_STARTING_KN]]/(PROPERTIES[[#This Row],[WEIGHT]]*9.81),0)</f>
        <v>0.26137640816539898</v>
      </c>
      <c r="AB199" s="19">
        <v>0</v>
      </c>
      <c r="AC199" s="16">
        <f>ROUND(IF(IFERROR(PROPERTIES[[#This Row],[TE_COEFFICIENT_CALC]],0)=0,PROPERTIES[[#This Row],[TE_COEFFICIENT_MANUAL]],PROPERTIES[[#This Row],[TE_COEFFICIENT_CALC]]),3)</f>
        <v>0.26100000000000001</v>
      </c>
      <c r="AD199" s="8" cm="1">
        <f t="array" ref="AD1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9" s="26">
        <v>0</v>
      </c>
      <c r="AF199" s="6">
        <v>0</v>
      </c>
      <c r="AG199" t="s">
        <v>240</v>
      </c>
      <c r="AH199" t="s">
        <v>229</v>
      </c>
      <c r="AI199" t="s">
        <v>229</v>
      </c>
      <c r="AJ199" s="2" t="s">
        <v>229</v>
      </c>
      <c r="AK199" s="2" t="s">
        <v>244</v>
      </c>
      <c r="AL19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9" s="2" t="str">
        <f>SUBSTITUTE(SUBSTITUTE(PROPERTIES[[#This Row],[PURCHASECOST_VALUE]], "PURCHASECOST_", ""), "_VALUE", "")</f>
        <v>DIESELENGINE</v>
      </c>
      <c r="AO199" s="44" t="b">
        <v>0</v>
      </c>
      <c r="AP199" s="48" t="b">
        <v>0</v>
      </c>
      <c r="AQ199" s="48" t="b">
        <v>0</v>
      </c>
      <c r="AR199" s="48">
        <v>0</v>
      </c>
      <c r="AS199" s="48" t="b">
        <v>0</v>
      </c>
      <c r="AT199" s="7" t="b">
        <v>0</v>
      </c>
      <c r="AU199" s="40" t="str" cm="1">
        <f t="array" ref="AU199">_xlfn.XLOOKUP(PROPERTIES[[#This Row],[VEHIDCODE]],GRAPHICS_PROPERTIES[VEHIDCODE],GRAPHICS_PROPERTIES[TEMPLATE_ID]&amp;GRAPHICS_PROPERTIES[TEMPLATE_AMENDMENT_CODE])</f>
        <v>TPL_01A</v>
      </c>
    </row>
    <row r="200" spans="1:47" x14ac:dyDescent="0.35">
      <c r="A200" s="2" t="s">
        <v>2837</v>
      </c>
      <c r="B200">
        <v>1960</v>
      </c>
      <c r="C200">
        <v>2019</v>
      </c>
      <c r="D200" cm="1">
        <f t="array" ref="D2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0" s="40" t="str">
        <f>_xlfn.XLOOKUP(PROPERTIES[[#This Row],[VEHIDCODE]],CONTROL[VEHIDCODE],CONTROL[ENGLISH])</f>
        <v>Kolomna TEP60</v>
      </c>
      <c r="F200" t="s">
        <v>716</v>
      </c>
      <c r="G200" s="40" t="str">
        <f>_xlfn.XLOOKUP(PROPERTIES[[#This Row],[COUNTRY]],COUNTRIES[COUNTRY_DESCRIPTION],COUNTRIES[COUNTRY_LABEL],"")</f>
        <v>RU</v>
      </c>
      <c r="H200" t="str" cm="1">
        <f t="array" ref="H2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0" t="s">
        <v>17</v>
      </c>
      <c r="J200">
        <v>0</v>
      </c>
      <c r="K200">
        <v>8</v>
      </c>
      <c r="L200">
        <v>0</v>
      </c>
      <c r="M200" t="str" cm="1">
        <f t="array" ref="M2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0">
        <f>_xlfn.XLOOKUP("LOADINGSPEEDDEF_"&amp;PROPERTIES[[#This Row],[LOADINGSPEED]],LOADINGSPEEDDEF[TYPE],LOADINGSPEEDDEF[SPEED])</f>
        <v>20</v>
      </c>
      <c r="O200" cm="1">
        <f t="array" ref="O2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0">
        <f>IF(ISNUMBER(SEARCH("passenger",PROPERTIES[[#This Row],[CARGODEF]])),1,0)</f>
        <v>0</v>
      </c>
      <c r="Q200" s="23">
        <v>130</v>
      </c>
      <c r="R200">
        <v>2960</v>
      </c>
      <c r="S200">
        <v>0</v>
      </c>
      <c r="T200">
        <v>0</v>
      </c>
      <c r="U200">
        <v>0</v>
      </c>
      <c r="V200">
        <v>160</v>
      </c>
      <c r="W200">
        <v>0</v>
      </c>
      <c r="X200">
        <v>0</v>
      </c>
      <c r="Y200">
        <v>0</v>
      </c>
      <c r="Z200" s="20">
        <v>245</v>
      </c>
      <c r="AA200" s="19">
        <f>IFERROR(PROPERTIES[[#This Row],[TE_STARTING_KN]]/(PROPERTIES[[#This Row],[WEIGHT]]*9.81),0)</f>
        <v>0.19211166000156826</v>
      </c>
      <c r="AB200" s="19">
        <v>0</v>
      </c>
      <c r="AC200" s="16">
        <f>ROUND(IF(IFERROR(PROPERTIES[[#This Row],[TE_COEFFICIENT_CALC]],0)=0,PROPERTIES[[#This Row],[TE_COEFFICIENT_MANUAL]],PROPERTIES[[#This Row],[TE_COEFFICIENT_CALC]]),3)</f>
        <v>0.192</v>
      </c>
      <c r="AD200" s="8" cm="1">
        <f t="array" ref="AD2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200" s="26">
        <v>0</v>
      </c>
      <c r="AF200" s="6">
        <v>0</v>
      </c>
      <c r="AG200" t="s">
        <v>1951</v>
      </c>
      <c r="AH200" t="s">
        <v>229</v>
      </c>
      <c r="AI200" t="s">
        <v>229</v>
      </c>
      <c r="AJ200" s="2" t="s">
        <v>229</v>
      </c>
      <c r="AK200" s="2" t="s">
        <v>244</v>
      </c>
      <c r="AL20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0" s="2" t="str">
        <f>SUBSTITUTE(SUBSTITUTE(PROPERTIES[[#This Row],[PURCHASECOST_VALUE]], "PURCHASECOST_", ""), "_VALUE", "")</f>
        <v>DIESELENGINE</v>
      </c>
      <c r="AO200" s="44" t="b">
        <v>0</v>
      </c>
      <c r="AP200" s="48" t="b">
        <v>0</v>
      </c>
      <c r="AQ200" s="48" t="b">
        <v>0</v>
      </c>
      <c r="AR200" s="48">
        <v>0</v>
      </c>
      <c r="AS200" s="48" t="b">
        <v>0</v>
      </c>
      <c r="AT200" s="7" t="b">
        <v>0</v>
      </c>
      <c r="AU200" s="40" t="str" cm="1">
        <f t="array" ref="AU200">_xlfn.XLOOKUP(PROPERTIES[[#This Row],[VEHIDCODE]],GRAPHICS_PROPERTIES[VEHIDCODE],GRAPHICS_PROPERTIES[TEMPLATE_ID]&amp;GRAPHICS_PROPERTIES[TEMPLATE_AMENDMENT_CODE])</f>
        <v>TPL_01A</v>
      </c>
    </row>
    <row r="201" spans="1:47" x14ac:dyDescent="0.35">
      <c r="A201" s="2" t="s">
        <v>2838</v>
      </c>
      <c r="B201">
        <v>1961</v>
      </c>
      <c r="C201">
        <v>2003</v>
      </c>
      <c r="D201" cm="1">
        <f t="array" ref="D2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1" s="40" t="str">
        <f>_xlfn.XLOOKUP(PROPERTIES[[#This Row],[VEHIDCODE]],CONTROL[VEHIDCODE],CONTROL[ENGLISH])</f>
        <v>BN/ACEC 62</v>
      </c>
      <c r="F201" t="s">
        <v>548</v>
      </c>
      <c r="G201" s="40" t="str">
        <f>_xlfn.XLOOKUP(PROPERTIES[[#This Row],[COUNTRY]],COUNTRIES[COUNTRY_DESCRIPTION],COUNTRIES[COUNTRY_LABEL],"")</f>
        <v>BE</v>
      </c>
      <c r="H201" t="str" cm="1">
        <f t="array" ref="H2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1" t="s">
        <v>17</v>
      </c>
      <c r="J201">
        <v>0</v>
      </c>
      <c r="K201">
        <v>8</v>
      </c>
      <c r="L201">
        <v>0</v>
      </c>
      <c r="M201" t="str" cm="1">
        <f t="array" ref="M2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1">
        <f>_xlfn.XLOOKUP("LOADINGSPEEDDEF_"&amp;PROPERTIES[[#This Row],[LOADINGSPEED]],LOADINGSPEEDDEF[TYPE],LOADINGSPEEDDEF[SPEED])</f>
        <v>20</v>
      </c>
      <c r="O201" cm="1">
        <f t="array" ref="O2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1">
        <f>IF(ISNUMBER(SEARCH("passenger",PROPERTIES[[#This Row],[CARGODEF]])),1,0)</f>
        <v>0</v>
      </c>
      <c r="Q201" s="23">
        <v>78.599999999999994</v>
      </c>
      <c r="R201">
        <v>1380</v>
      </c>
      <c r="S201">
        <v>0</v>
      </c>
      <c r="T201">
        <v>0</v>
      </c>
      <c r="U201">
        <v>0</v>
      </c>
      <c r="V201">
        <v>120</v>
      </c>
      <c r="W201">
        <v>0</v>
      </c>
      <c r="X201">
        <v>0</v>
      </c>
      <c r="Y201">
        <v>0</v>
      </c>
      <c r="Z201" s="20">
        <v>212</v>
      </c>
      <c r="AA201" s="19">
        <f>IFERROR(PROPERTIES[[#This Row],[TE_STARTING_KN]]/(PROPERTIES[[#This Row],[WEIGHT]]*9.81),0)</f>
        <v>0.27494403851291588</v>
      </c>
      <c r="AB201" s="19">
        <v>0</v>
      </c>
      <c r="AC201" s="16">
        <f>ROUND(IF(IFERROR(PROPERTIES[[#This Row],[TE_COEFFICIENT_CALC]],0)=0,PROPERTIES[[#This Row],[TE_COEFFICIENT_MANUAL]],PROPERTIES[[#This Row],[TE_COEFFICIENT_CALC]]),3)</f>
        <v>0.27500000000000002</v>
      </c>
      <c r="AD201" s="8" cm="1">
        <f t="array" ref="AD2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201" s="26">
        <v>0</v>
      </c>
      <c r="AF201" s="6">
        <v>0</v>
      </c>
      <c r="AG201" t="s">
        <v>230</v>
      </c>
      <c r="AH201" t="s">
        <v>229</v>
      </c>
      <c r="AI201" t="s">
        <v>229</v>
      </c>
      <c r="AJ201" s="2" t="s">
        <v>229</v>
      </c>
      <c r="AK201" s="2" t="s">
        <v>244</v>
      </c>
      <c r="AL20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1" s="2" t="str">
        <f>SUBSTITUTE(SUBSTITUTE(PROPERTIES[[#This Row],[PURCHASECOST_VALUE]], "PURCHASECOST_", ""), "_VALUE", "")</f>
        <v>DIESELENGINE</v>
      </c>
      <c r="AO201" s="44" t="b">
        <v>0</v>
      </c>
      <c r="AP201" s="48" t="b">
        <v>0</v>
      </c>
      <c r="AQ201" s="48" t="b">
        <v>0</v>
      </c>
      <c r="AR201" s="48">
        <v>0</v>
      </c>
      <c r="AS201" s="48" t="b">
        <v>0</v>
      </c>
      <c r="AT201" s="7" t="b">
        <v>0</v>
      </c>
      <c r="AU201" s="40" t="str" cm="1">
        <f t="array" ref="AU201">_xlfn.XLOOKUP(PROPERTIES[[#This Row],[VEHIDCODE]],GRAPHICS_PROPERTIES[VEHIDCODE],GRAPHICS_PROPERTIES[TEMPLATE_ID]&amp;GRAPHICS_PROPERTIES[TEMPLATE_AMENDMENT_CODE])</f>
        <v>TPL_01A</v>
      </c>
    </row>
    <row r="202" spans="1:47" x14ac:dyDescent="0.35">
      <c r="A202" s="2" t="s">
        <v>2839</v>
      </c>
      <c r="B202">
        <v>1960</v>
      </c>
      <c r="C202">
        <v>2001</v>
      </c>
      <c r="D202" cm="1">
        <f t="array" ref="D2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2" s="40" t="str">
        <f>_xlfn.XLOOKUP(PROPERTIES[[#This Row],[VEHIDCODE]],CONTROL[VEHIDCODE],CONTROL[ENGLISH])</f>
        <v>MaK 100</v>
      </c>
      <c r="F202" t="s">
        <v>586</v>
      </c>
      <c r="G202" s="40" t="str">
        <f>_xlfn.XLOOKUP(PROPERTIES[[#This Row],[COUNTRY]],COUNTRIES[COUNTRY_DESCRIPTION],COUNTRIES[COUNTRY_LABEL],"")</f>
        <v>DK</v>
      </c>
      <c r="H202" t="str" cm="1">
        <f t="array" ref="H2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2" t="s">
        <v>17</v>
      </c>
      <c r="J202">
        <v>0</v>
      </c>
      <c r="K202">
        <v>7</v>
      </c>
      <c r="L202">
        <v>0</v>
      </c>
      <c r="M202" t="str" cm="1">
        <f t="array" ref="M2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2">
        <f>_xlfn.XLOOKUP("LOADINGSPEEDDEF_"&amp;PROPERTIES[[#This Row],[LOADINGSPEED]],LOADINGSPEEDDEF[TYPE],LOADINGSPEEDDEF[SPEED])</f>
        <v>20</v>
      </c>
      <c r="O202" cm="1">
        <f t="array" ref="O2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2">
        <f>IF(ISNUMBER(SEARCH("passenger",PROPERTIES[[#This Row],[CARGODEF]])),1,0)</f>
        <v>0</v>
      </c>
      <c r="Q202" s="23">
        <v>45</v>
      </c>
      <c r="R202">
        <v>334</v>
      </c>
      <c r="S202">
        <v>0</v>
      </c>
      <c r="T202">
        <v>0</v>
      </c>
      <c r="U202">
        <v>0</v>
      </c>
      <c r="V202">
        <v>60</v>
      </c>
      <c r="W202">
        <v>0</v>
      </c>
      <c r="X202">
        <v>0</v>
      </c>
      <c r="Y202">
        <v>0</v>
      </c>
      <c r="Z202" s="20">
        <v>110</v>
      </c>
      <c r="AA202" s="19">
        <f>IFERROR(PROPERTIES[[#This Row],[TE_STARTING_KN]]/(PROPERTIES[[#This Row],[WEIGHT]]*9.81),0)</f>
        <v>0.24917884245101368</v>
      </c>
      <c r="AB202" s="19">
        <v>0</v>
      </c>
      <c r="AC202" s="16">
        <f>ROUND(IF(IFERROR(PROPERTIES[[#This Row],[TE_COEFFICIENT_CALC]],0)=0,PROPERTIES[[#This Row],[TE_COEFFICIENT_MANUAL]],PROPERTIES[[#This Row],[TE_COEFFICIENT_CALC]]),3)</f>
        <v>0.249</v>
      </c>
      <c r="AD202" s="8" cm="1">
        <f t="array" ref="AD2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202" s="26">
        <v>0</v>
      </c>
      <c r="AF202" s="6">
        <v>0</v>
      </c>
      <c r="AG202" t="s">
        <v>234</v>
      </c>
      <c r="AH202" t="s">
        <v>229</v>
      </c>
      <c r="AI202" t="s">
        <v>229</v>
      </c>
      <c r="AJ202" s="2" t="s">
        <v>229</v>
      </c>
      <c r="AK202" s="2" t="s">
        <v>244</v>
      </c>
      <c r="AL20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2" s="2" t="str">
        <f>SUBSTITUTE(SUBSTITUTE(PROPERTIES[[#This Row],[PURCHASECOST_VALUE]], "PURCHASECOST_", ""), "_VALUE", "")</f>
        <v>DIESELENGINE</v>
      </c>
      <c r="AO202" s="44" t="b">
        <v>0</v>
      </c>
      <c r="AP202" s="48" t="b">
        <v>0</v>
      </c>
      <c r="AQ202" s="48" t="b">
        <v>0</v>
      </c>
      <c r="AR202" s="48">
        <v>0</v>
      </c>
      <c r="AS202" s="48" t="b">
        <v>0</v>
      </c>
      <c r="AT202" s="7" t="b">
        <v>0</v>
      </c>
      <c r="AU202" s="40" t="str" cm="1">
        <f t="array" ref="AU202">_xlfn.XLOOKUP(PROPERTIES[[#This Row],[VEHIDCODE]],GRAPHICS_PROPERTIES[VEHIDCODE],GRAPHICS_PROPERTIES[TEMPLATE_ID]&amp;GRAPHICS_PROPERTIES[TEMPLATE_AMENDMENT_CODE])</f>
        <v>TPL_01A</v>
      </c>
    </row>
    <row r="203" spans="1:47" x14ac:dyDescent="0.35">
      <c r="A203" s="2" t="s">
        <v>2840</v>
      </c>
      <c r="B203">
        <v>1963</v>
      </c>
      <c r="C203">
        <v>2023</v>
      </c>
      <c r="D203" cm="1">
        <f t="array" ref="D2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3" s="40" t="str">
        <f>_xlfn.XLOOKUP(PROPERTIES[[#This Row],[VEHIDCODE]],CONTROL[VEHIDCODE],CONTROL[ENGLISH])</f>
        <v>ALCO DL560C 'WDM-2'</v>
      </c>
      <c r="F203" t="s">
        <v>631</v>
      </c>
      <c r="G203" s="40" t="str">
        <f>_xlfn.XLOOKUP(PROPERTIES[[#This Row],[COUNTRY]],COUNTRIES[COUNTRY_DESCRIPTION],COUNTRIES[COUNTRY_LABEL],"")</f>
        <v>IN</v>
      </c>
      <c r="H203" t="str" cm="1">
        <f t="array" ref="H2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3" t="s">
        <v>17</v>
      </c>
      <c r="J203">
        <v>0</v>
      </c>
      <c r="K203">
        <v>7</v>
      </c>
      <c r="L203">
        <v>0</v>
      </c>
      <c r="M203" t="str" cm="1">
        <f t="array" ref="M2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3">
        <f>_xlfn.XLOOKUP("LOADINGSPEEDDEF_"&amp;PROPERTIES[[#This Row],[LOADINGSPEED]],LOADINGSPEEDDEF[TYPE],LOADINGSPEEDDEF[SPEED])</f>
        <v>20</v>
      </c>
      <c r="O203" cm="1">
        <f t="array" ref="O2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3">
        <f>IF(ISNUMBER(SEARCH("passenger",PROPERTIES[[#This Row],[CARGODEF]])),1,0)</f>
        <v>0</v>
      </c>
      <c r="Q203" s="23">
        <v>113</v>
      </c>
      <c r="R203">
        <v>2400</v>
      </c>
      <c r="S203">
        <v>0</v>
      </c>
      <c r="T203">
        <v>0</v>
      </c>
      <c r="U203">
        <v>0</v>
      </c>
      <c r="V203">
        <v>120</v>
      </c>
      <c r="W203">
        <v>0</v>
      </c>
      <c r="X203">
        <v>0</v>
      </c>
      <c r="Y203">
        <v>0</v>
      </c>
      <c r="Z203" s="20">
        <v>300</v>
      </c>
      <c r="AA203" s="19">
        <f>IFERROR(PROPERTIES[[#This Row],[TE_STARTING_KN]]/(PROPERTIES[[#This Row],[WEIGHT]]*9.81),0)</f>
        <v>0.27062867040134231</v>
      </c>
      <c r="AB203" s="19">
        <v>0</v>
      </c>
      <c r="AC203" s="16">
        <f>ROUND(IF(IFERROR(PROPERTIES[[#This Row],[TE_COEFFICIENT_CALC]],0)=0,PROPERTIES[[#This Row],[TE_COEFFICIENT_MANUAL]],PROPERTIES[[#This Row],[TE_COEFFICIENT_CALC]]),3)</f>
        <v>0.27100000000000002</v>
      </c>
      <c r="AD203" s="8" cm="1">
        <f t="array" ref="AD2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203" s="26">
        <v>0</v>
      </c>
      <c r="AF203" s="6">
        <v>0</v>
      </c>
      <c r="AG203" t="s">
        <v>238</v>
      </c>
      <c r="AH203" t="s">
        <v>229</v>
      </c>
      <c r="AI203" t="s">
        <v>229</v>
      </c>
      <c r="AJ203" s="2" t="s">
        <v>229</v>
      </c>
      <c r="AK203" s="2" t="s">
        <v>244</v>
      </c>
      <c r="AL20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3" s="2" t="str">
        <f>SUBSTITUTE(SUBSTITUTE(PROPERTIES[[#This Row],[PURCHASECOST_VALUE]], "PURCHASECOST_", ""), "_VALUE", "")</f>
        <v>DIESELENGINE</v>
      </c>
      <c r="AO203" s="44" t="b">
        <v>0</v>
      </c>
      <c r="AP203" s="48" t="b">
        <v>0</v>
      </c>
      <c r="AQ203" s="48" t="b">
        <v>0</v>
      </c>
      <c r="AR203" s="48">
        <v>0</v>
      </c>
      <c r="AS203" s="48" t="b">
        <v>0</v>
      </c>
      <c r="AT203" s="7" t="b">
        <v>0</v>
      </c>
      <c r="AU203" s="40" t="str" cm="1">
        <f t="array" ref="AU203">_xlfn.XLOOKUP(PROPERTIES[[#This Row],[VEHIDCODE]],GRAPHICS_PROPERTIES[VEHIDCODE],GRAPHICS_PROPERTIES[TEMPLATE_ID]&amp;GRAPHICS_PROPERTIES[TEMPLATE_AMENDMENT_CODE])</f>
        <v>TPL_01A</v>
      </c>
    </row>
    <row r="204" spans="1:47" x14ac:dyDescent="0.35">
      <c r="A204" s="2" t="s">
        <v>2841</v>
      </c>
      <c r="B204">
        <v>1964</v>
      </c>
      <c r="C204">
        <v>1968</v>
      </c>
      <c r="D204" cm="1">
        <f t="array" ref="D2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4" s="40" t="str">
        <f>_xlfn.XLOOKUP(PROPERTIES[[#This Row],[VEHIDCODE]],CONTROL[VEHIDCODE],CONTROL[ENGLISH])</f>
        <v>BR 14 0-6-0DH</v>
      </c>
      <c r="F204" t="s">
        <v>603</v>
      </c>
      <c r="G204" s="40" t="str">
        <f>_xlfn.XLOOKUP(PROPERTIES[[#This Row],[COUNTRY]],COUNTRIES[COUNTRY_DESCRIPTION],COUNTRIES[COUNTRY_LABEL],"")</f>
        <v>GB</v>
      </c>
      <c r="H204" t="str" cm="1">
        <f t="array" ref="H2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4" t="s">
        <v>17</v>
      </c>
      <c r="J204">
        <v>0</v>
      </c>
      <c r="K204">
        <v>6</v>
      </c>
      <c r="L204">
        <v>0</v>
      </c>
      <c r="M204" t="str" cm="1">
        <f t="array" ref="M2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4">
        <f>_xlfn.XLOOKUP("LOADINGSPEEDDEF_"&amp;PROPERTIES[[#This Row],[LOADINGSPEED]],LOADINGSPEEDDEF[TYPE],LOADINGSPEEDDEF[SPEED])</f>
        <v>20</v>
      </c>
      <c r="O204" cm="1">
        <f t="array" ref="O2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4">
        <f>IF(ISNUMBER(SEARCH("passenger",PROPERTIES[[#This Row],[CARGODEF]])),1,0)</f>
        <v>0</v>
      </c>
      <c r="Q204" s="23">
        <v>49</v>
      </c>
      <c r="R204">
        <v>650</v>
      </c>
      <c r="S204">
        <v>0</v>
      </c>
      <c r="T204">
        <v>0</v>
      </c>
      <c r="U204">
        <v>0</v>
      </c>
      <c r="V204">
        <v>64</v>
      </c>
      <c r="W204">
        <v>0</v>
      </c>
      <c r="X204">
        <v>0</v>
      </c>
      <c r="Y204">
        <v>0</v>
      </c>
      <c r="Z204" s="20">
        <v>137.5</v>
      </c>
      <c r="AA204" s="19">
        <f>IFERROR(PROPERTIES[[#This Row],[TE_STARTING_KN]]/(PROPERTIES[[#This Row],[WEIGHT]]*9.81),0)</f>
        <v>0.28604714056876573</v>
      </c>
      <c r="AB204" s="19">
        <v>0</v>
      </c>
      <c r="AC204" s="16">
        <f>ROUND(IF(IFERROR(PROPERTIES[[#This Row],[TE_COEFFICIENT_CALC]],0)=0,PROPERTIES[[#This Row],[TE_COEFFICIENT_MANUAL]],PROPERTIES[[#This Row],[TE_COEFFICIENT_CALC]]),3)</f>
        <v>0.28599999999999998</v>
      </c>
      <c r="AD204" s="8" cm="1">
        <f t="array" ref="AD2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4" s="26">
        <v>0</v>
      </c>
      <c r="AF204" s="6">
        <v>0</v>
      </c>
      <c r="AG204" t="s">
        <v>234</v>
      </c>
      <c r="AH204" t="s">
        <v>229</v>
      </c>
      <c r="AI204" t="s">
        <v>229</v>
      </c>
      <c r="AJ204" s="2" t="s">
        <v>229</v>
      </c>
      <c r="AK204" s="2" t="s">
        <v>244</v>
      </c>
      <c r="AL20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4" s="2" t="str">
        <f>SUBSTITUTE(SUBSTITUTE(PROPERTIES[[#This Row],[PURCHASECOST_VALUE]], "PURCHASECOST_", ""), "_VALUE", "")</f>
        <v>DIESELENGINE</v>
      </c>
      <c r="AO204" s="44" t="b">
        <v>0</v>
      </c>
      <c r="AP204" s="48" t="b">
        <v>0</v>
      </c>
      <c r="AQ204" s="48" t="b">
        <v>0</v>
      </c>
      <c r="AR204" s="48">
        <v>0</v>
      </c>
      <c r="AS204" s="48" t="b">
        <v>0</v>
      </c>
      <c r="AT204" s="7" t="b">
        <v>0</v>
      </c>
      <c r="AU204" s="40" t="str" cm="1">
        <f t="array" ref="AU204">_xlfn.XLOOKUP(PROPERTIES[[#This Row],[VEHIDCODE]],GRAPHICS_PROPERTIES[VEHIDCODE],GRAPHICS_PROPERTIES[TEMPLATE_ID]&amp;GRAPHICS_PROPERTIES[TEMPLATE_AMENDMENT_CODE])</f>
        <v>TPL_03C</v>
      </c>
    </row>
    <row r="205" spans="1:47" x14ac:dyDescent="0.35">
      <c r="A205" s="2" t="s">
        <v>2842</v>
      </c>
      <c r="B205">
        <v>1964</v>
      </c>
      <c r="D205" cm="1">
        <f t="array" ref="D2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5" s="40" t="str">
        <f>_xlfn.XLOOKUP(PROPERTIES[[#This Row],[VEHIDCODE]],CONTROL[VEHIDCODE],CONTROL[ENGLISH])</f>
        <v>CKD T-669</v>
      </c>
      <c r="F205" t="s">
        <v>716</v>
      </c>
      <c r="G205" s="40" t="str">
        <f>_xlfn.XLOOKUP(PROPERTIES[[#This Row],[COUNTRY]],COUNTRIES[COUNTRY_DESCRIPTION],COUNTRIES[COUNTRY_LABEL],"")</f>
        <v>RU</v>
      </c>
      <c r="H205" t="str" cm="1">
        <f t="array" ref="H2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5" t="s">
        <v>17</v>
      </c>
      <c r="J205">
        <v>0</v>
      </c>
      <c r="K205">
        <v>8</v>
      </c>
      <c r="L205">
        <v>0</v>
      </c>
      <c r="M205" t="str" cm="1">
        <f t="array" ref="M2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5">
        <f>_xlfn.XLOOKUP("LOADINGSPEEDDEF_"&amp;PROPERTIES[[#This Row],[LOADINGSPEED]],LOADINGSPEEDDEF[TYPE],LOADINGSPEEDDEF[SPEED])</f>
        <v>20</v>
      </c>
      <c r="O205" cm="1">
        <f t="array" ref="O2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5">
        <f>IF(ISNUMBER(SEARCH("passenger",PROPERTIES[[#This Row],[CARGODEF]])),1,0)</f>
        <v>0</v>
      </c>
      <c r="Q205" s="23">
        <v>126</v>
      </c>
      <c r="R205">
        <v>1250</v>
      </c>
      <c r="S205">
        <v>0</v>
      </c>
      <c r="T205">
        <v>0</v>
      </c>
      <c r="U205">
        <v>0</v>
      </c>
      <c r="V205">
        <v>95</v>
      </c>
      <c r="W205">
        <v>0</v>
      </c>
      <c r="X205">
        <v>0</v>
      </c>
      <c r="Y205">
        <v>0</v>
      </c>
      <c r="Z205" s="20">
        <v>362</v>
      </c>
      <c r="AA205" s="19">
        <f>IFERROR(PROPERTIES[[#This Row],[TE_STARTING_KN]]/(PROPERTIES[[#This Row],[WEIGHT]]*9.81),0)</f>
        <v>0.29286604210151607</v>
      </c>
      <c r="AB205" s="19">
        <v>0</v>
      </c>
      <c r="AC205" s="16">
        <f>ROUND(IF(IFERROR(PROPERTIES[[#This Row],[TE_COEFFICIENT_CALC]],0)=0,PROPERTIES[[#This Row],[TE_COEFFICIENT_MANUAL]],PROPERTIES[[#This Row],[TE_COEFFICIENT_CALC]]),3)</f>
        <v>0.29299999999999998</v>
      </c>
      <c r="AD205" s="8" cm="1">
        <f t="array" ref="AD2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5" s="26">
        <v>0</v>
      </c>
      <c r="AF205" s="6">
        <v>0</v>
      </c>
      <c r="AG205" t="s">
        <v>1951</v>
      </c>
      <c r="AH205" t="s">
        <v>229</v>
      </c>
      <c r="AI205" t="s">
        <v>229</v>
      </c>
      <c r="AJ205" s="2" t="s">
        <v>229</v>
      </c>
      <c r="AK205" s="2" t="s">
        <v>244</v>
      </c>
      <c r="AL20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5" s="2" t="str">
        <f>SUBSTITUTE(SUBSTITUTE(PROPERTIES[[#This Row],[PURCHASECOST_VALUE]], "PURCHASECOST_", ""), "_VALUE", "")</f>
        <v>DIESELENGINE</v>
      </c>
      <c r="AO205" s="44" t="b">
        <v>0</v>
      </c>
      <c r="AP205" s="48" t="b">
        <v>0</v>
      </c>
      <c r="AQ205" s="48" t="b">
        <v>0</v>
      </c>
      <c r="AR205" s="48">
        <v>0</v>
      </c>
      <c r="AS205" s="48" t="b">
        <v>0</v>
      </c>
      <c r="AT205" s="7" t="b">
        <v>0</v>
      </c>
      <c r="AU205" s="40" t="str" cm="1">
        <f t="array" ref="AU205">_xlfn.XLOOKUP(PROPERTIES[[#This Row],[VEHIDCODE]],GRAPHICS_PROPERTIES[VEHIDCODE],GRAPHICS_PROPERTIES[TEMPLATE_ID]&amp;GRAPHICS_PROPERTIES[TEMPLATE_AMENDMENT_CODE])</f>
        <v>TPL_01A</v>
      </c>
    </row>
    <row r="206" spans="1:47" x14ac:dyDescent="0.35">
      <c r="A206" s="2" t="s">
        <v>2843</v>
      </c>
      <c r="B206">
        <v>1984</v>
      </c>
      <c r="C206">
        <v>2009</v>
      </c>
      <c r="D206" cm="1">
        <f t="array" ref="D2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6" s="40" t="str">
        <f>_xlfn.XLOOKUP(PROPERTIES[[#This Row],[VEHIDCODE]],CONTROL[VEHIDCODE],CONTROL[ENGLISH])</f>
        <v>UGOFE GM-EMD J16CW/AC</v>
      </c>
      <c r="F206" t="s">
        <v>538</v>
      </c>
      <c r="G206" s="40" t="str">
        <f>_xlfn.XLOOKUP(PROPERTIES[[#This Row],[COUNTRY]],COUNTRIES[COUNTRY_DESCRIPTION],COUNTRIES[COUNTRY_LABEL],"")</f>
        <v>AR</v>
      </c>
      <c r="H206" t="str" cm="1">
        <f t="array" ref="H2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6" t="s">
        <v>17</v>
      </c>
      <c r="J206">
        <v>0</v>
      </c>
      <c r="K206">
        <v>8</v>
      </c>
      <c r="L206">
        <v>0</v>
      </c>
      <c r="M206" t="str" cm="1">
        <f t="array" ref="M2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6">
        <f>_xlfn.XLOOKUP("LOADINGSPEEDDEF_"&amp;PROPERTIES[[#This Row],[LOADINGSPEED]],LOADINGSPEEDDEF[TYPE],LOADINGSPEEDDEF[SPEED])</f>
        <v>20</v>
      </c>
      <c r="O206" cm="1">
        <f t="array" ref="O2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6">
        <f>IF(ISNUMBER(SEARCH("passenger",PROPERTIES[[#This Row],[CARGODEF]])),1,0)</f>
        <v>0</v>
      </c>
      <c r="Q206" s="23">
        <v>112</v>
      </c>
      <c r="R206">
        <v>1870</v>
      </c>
      <c r="S206">
        <v>0</v>
      </c>
      <c r="T206">
        <v>0</v>
      </c>
      <c r="U206">
        <v>0</v>
      </c>
      <c r="V206">
        <v>120</v>
      </c>
      <c r="W206">
        <v>0</v>
      </c>
      <c r="X206">
        <v>0</v>
      </c>
      <c r="Y206">
        <v>0</v>
      </c>
      <c r="Z206" s="20">
        <v>255</v>
      </c>
      <c r="AA206" s="19">
        <f>IFERROR(PROPERTIES[[#This Row],[TE_STARTING_KN]]/(PROPERTIES[[#This Row],[WEIGHT]]*9.81),0)</f>
        <v>0.23208824814329401</v>
      </c>
      <c r="AB206" s="19">
        <v>0</v>
      </c>
      <c r="AC206" s="16">
        <f>ROUND(IF(IFERROR(PROPERTIES[[#This Row],[TE_COEFFICIENT_CALC]],0)=0,PROPERTIES[[#This Row],[TE_COEFFICIENT_MANUAL]],PROPERTIES[[#This Row],[TE_COEFFICIENT_CALC]]),3)</f>
        <v>0.23200000000000001</v>
      </c>
      <c r="AD206" s="8" cm="1">
        <f t="array" ref="AD2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6" s="26">
        <v>0</v>
      </c>
      <c r="AF206" s="6">
        <v>0</v>
      </c>
      <c r="AG206" t="s">
        <v>237</v>
      </c>
      <c r="AH206" t="s">
        <v>229</v>
      </c>
      <c r="AI206" t="s">
        <v>229</v>
      </c>
      <c r="AJ206" s="2" t="s">
        <v>229</v>
      </c>
      <c r="AK206" s="2" t="s">
        <v>244</v>
      </c>
      <c r="AL20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6" s="2" t="str">
        <f>SUBSTITUTE(SUBSTITUTE(PROPERTIES[[#This Row],[PURCHASECOST_VALUE]], "PURCHASECOST_", ""), "_VALUE", "")</f>
        <v>DIESELENGINE</v>
      </c>
      <c r="AO206" s="44" t="b">
        <v>0</v>
      </c>
      <c r="AP206" s="48" t="b">
        <v>0</v>
      </c>
      <c r="AQ206" s="48" t="b">
        <v>0</v>
      </c>
      <c r="AR206" s="48">
        <v>0</v>
      </c>
      <c r="AS206" s="48" t="b">
        <v>0</v>
      </c>
      <c r="AT206" s="7" t="b">
        <v>0</v>
      </c>
      <c r="AU206" s="40" t="str" cm="1">
        <f t="array" ref="AU206">_xlfn.XLOOKUP(PROPERTIES[[#This Row],[VEHIDCODE]],GRAPHICS_PROPERTIES[VEHIDCODE],GRAPHICS_PROPERTIES[TEMPLATE_ID]&amp;GRAPHICS_PROPERTIES[TEMPLATE_AMENDMENT_CODE])</f>
        <v>TPL_01A</v>
      </c>
    </row>
    <row r="207" spans="1:47" x14ac:dyDescent="0.35">
      <c r="A207" s="2" t="s">
        <v>2844</v>
      </c>
      <c r="B207">
        <v>1965</v>
      </c>
      <c r="C207">
        <v>1996</v>
      </c>
      <c r="D207" cm="1">
        <f t="array" ref="D2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7" s="40" t="str">
        <f>_xlfn.XLOOKUP(PROPERTIES[[#This Row],[VEHIDCODE]],CONTROL[VEHIDCODE],CONTROL[ENGLISH])</f>
        <v>LTZ M62</v>
      </c>
      <c r="F207" t="s">
        <v>716</v>
      </c>
      <c r="G207" s="40" t="str">
        <f>_xlfn.XLOOKUP(PROPERTIES[[#This Row],[COUNTRY]],COUNTRIES[COUNTRY_DESCRIPTION],COUNTRIES[COUNTRY_LABEL],"")</f>
        <v>RU</v>
      </c>
      <c r="H207" t="str" cm="1">
        <f t="array" ref="H2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7" t="s">
        <v>17</v>
      </c>
      <c r="J207">
        <v>0</v>
      </c>
      <c r="K207">
        <v>8</v>
      </c>
      <c r="L207">
        <v>0</v>
      </c>
      <c r="M207" t="str" cm="1">
        <f t="array" ref="M2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7">
        <f>_xlfn.XLOOKUP("LOADINGSPEEDDEF_"&amp;PROPERTIES[[#This Row],[LOADINGSPEED]],LOADINGSPEEDDEF[TYPE],LOADINGSPEEDDEF[SPEED])</f>
        <v>20</v>
      </c>
      <c r="O207" cm="1">
        <f t="array" ref="O2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7">
        <f>IF(ISNUMBER(SEARCH("passenger",PROPERTIES[[#This Row],[CARGODEF]])),1,0)</f>
        <v>0</v>
      </c>
      <c r="Q207" s="23">
        <v>116</v>
      </c>
      <c r="R207">
        <v>1970</v>
      </c>
      <c r="S207">
        <v>0</v>
      </c>
      <c r="T207">
        <v>0</v>
      </c>
      <c r="U207">
        <v>0</v>
      </c>
      <c r="V207">
        <v>100</v>
      </c>
      <c r="W207">
        <v>0</v>
      </c>
      <c r="X207">
        <v>0</v>
      </c>
      <c r="Y207">
        <v>0</v>
      </c>
      <c r="Z207" s="20">
        <v>314</v>
      </c>
      <c r="AA207" s="19">
        <f>IFERROR(PROPERTIES[[#This Row],[TE_STARTING_KN]]/(PROPERTIES[[#This Row],[WEIGHT]]*9.81),0)</f>
        <v>0.27593237020633415</v>
      </c>
      <c r="AB207" s="19">
        <v>0</v>
      </c>
      <c r="AC207" s="16">
        <f>ROUND(IF(IFERROR(PROPERTIES[[#This Row],[TE_COEFFICIENT_CALC]],0)=0,PROPERTIES[[#This Row],[TE_COEFFICIENT_MANUAL]],PROPERTIES[[#This Row],[TE_COEFFICIENT_CALC]]),3)</f>
        <v>0.27600000000000002</v>
      </c>
      <c r="AD207" s="8" cm="1">
        <f t="array" ref="AD2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7" s="26">
        <v>0</v>
      </c>
      <c r="AF207" s="6">
        <v>0</v>
      </c>
      <c r="AG207" t="s">
        <v>1951</v>
      </c>
      <c r="AH207" t="s">
        <v>237</v>
      </c>
      <c r="AI207" t="s">
        <v>229</v>
      </c>
      <c r="AJ207" s="2" t="s">
        <v>229</v>
      </c>
      <c r="AK207" s="2" t="s">
        <v>244</v>
      </c>
      <c r="AL20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7" s="2" t="str">
        <f>SUBSTITUTE(SUBSTITUTE(PROPERTIES[[#This Row],[PURCHASECOST_VALUE]], "PURCHASECOST_", ""), "_VALUE", "")</f>
        <v>DIESELENGINE</v>
      </c>
      <c r="AO207" s="44" t="b">
        <v>0</v>
      </c>
      <c r="AP207" s="48" t="b">
        <v>0</v>
      </c>
      <c r="AQ207" s="48" t="b">
        <v>0</v>
      </c>
      <c r="AR207" s="48">
        <v>0</v>
      </c>
      <c r="AS207" s="48" t="b">
        <v>0</v>
      </c>
      <c r="AT207" s="7" t="b">
        <v>0</v>
      </c>
      <c r="AU207" s="40" t="str" cm="1">
        <f t="array" ref="AU207">_xlfn.XLOOKUP(PROPERTIES[[#This Row],[VEHIDCODE]],GRAPHICS_PROPERTIES[VEHIDCODE],GRAPHICS_PROPERTIES[TEMPLATE_ID]&amp;GRAPHICS_PROPERTIES[TEMPLATE_AMENDMENT_CODE])</f>
        <v>TPL_01A</v>
      </c>
    </row>
    <row r="208" spans="1:47" x14ac:dyDescent="0.35">
      <c r="A208" s="2" t="s">
        <v>2845</v>
      </c>
      <c r="B208">
        <v>1969</v>
      </c>
      <c r="C208">
        <v>2015</v>
      </c>
      <c r="D208" cm="1">
        <f t="array" ref="D2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8" s="40" t="str">
        <f>_xlfn.XLOOKUP(PROPERTIES[[#This Row],[VEHIDCODE]],CONTROL[VEHIDCODE],CONTROL[ENGLISH])</f>
        <v>EMD/Clyde J26C</v>
      </c>
      <c r="F208" t="s">
        <v>541</v>
      </c>
      <c r="G208" s="40" t="str">
        <f>_xlfn.XLOOKUP(PROPERTIES[[#This Row],[COUNTRY]],COUNTRIES[COUNTRY_DESCRIPTION],COUNTRIES[COUNTRY_LABEL],"")</f>
        <v>AU</v>
      </c>
      <c r="H208" t="str" cm="1">
        <f t="array" ref="H2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8" t="s">
        <v>17</v>
      </c>
      <c r="J208">
        <v>0</v>
      </c>
      <c r="K208">
        <v>8</v>
      </c>
      <c r="L208">
        <v>0</v>
      </c>
      <c r="M208" t="str" cm="1">
        <f t="array" ref="M2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8">
        <f>_xlfn.XLOOKUP("LOADINGSPEEDDEF_"&amp;PROPERTIES[[#This Row],[LOADINGSPEED]],LOADINGSPEEDDEF[TYPE],LOADINGSPEEDDEF[SPEED])</f>
        <v>20</v>
      </c>
      <c r="O208" cm="1">
        <f t="array" ref="O2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8">
        <f>IF(ISNUMBER(SEARCH("passenger",PROPERTIES[[#This Row],[CARGODEF]])),1,0)</f>
        <v>0</v>
      </c>
      <c r="Q208" s="23">
        <v>110</v>
      </c>
      <c r="R208">
        <v>2000</v>
      </c>
      <c r="S208">
        <v>0</v>
      </c>
      <c r="T208">
        <v>0</v>
      </c>
      <c r="U208">
        <v>0</v>
      </c>
      <c r="V208">
        <v>124</v>
      </c>
      <c r="W208">
        <v>0</v>
      </c>
      <c r="X208">
        <v>0</v>
      </c>
      <c r="Y208">
        <v>0</v>
      </c>
      <c r="Z208" s="20">
        <v>315.47000000000003</v>
      </c>
      <c r="AA208" s="19">
        <f>IFERROR(PROPERTIES[[#This Row],[TE_STARTING_KN]]/(PROPERTIES[[#This Row],[WEIGHT]]*9.81),0)</f>
        <v>0.29234547307941799</v>
      </c>
      <c r="AB208" s="19">
        <v>0</v>
      </c>
      <c r="AC208" s="16">
        <f>ROUND(IF(IFERROR(PROPERTIES[[#This Row],[TE_COEFFICIENT_CALC]],0)=0,PROPERTIES[[#This Row],[TE_COEFFICIENT_MANUAL]],PROPERTIES[[#This Row],[TE_COEFFICIENT_CALC]]),3)</f>
        <v>0.29199999999999998</v>
      </c>
      <c r="AD208" s="8" cm="1">
        <f t="array" ref="AD2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208" s="26">
        <v>0</v>
      </c>
      <c r="AF208" s="6">
        <v>0</v>
      </c>
      <c r="AG208" t="s">
        <v>232</v>
      </c>
      <c r="AH208" t="s">
        <v>229</v>
      </c>
      <c r="AI208" t="s">
        <v>229</v>
      </c>
      <c r="AJ208" s="2" t="s">
        <v>229</v>
      </c>
      <c r="AK208" s="2" t="s">
        <v>244</v>
      </c>
      <c r="AL20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8" s="2" t="str">
        <f>SUBSTITUTE(SUBSTITUTE(PROPERTIES[[#This Row],[PURCHASECOST_VALUE]], "PURCHASECOST_", ""), "_VALUE", "")</f>
        <v>DIESELENGINE</v>
      </c>
      <c r="AO208" s="44" t="b">
        <v>0</v>
      </c>
      <c r="AP208" s="48" t="b">
        <v>0</v>
      </c>
      <c r="AQ208" s="48" t="b">
        <v>0</v>
      </c>
      <c r="AR208" s="48">
        <v>0</v>
      </c>
      <c r="AS208" s="48" t="b">
        <v>0</v>
      </c>
      <c r="AT208" s="7" t="b">
        <v>0</v>
      </c>
      <c r="AU208" s="40" t="str" cm="1">
        <f t="array" ref="AU208">_xlfn.XLOOKUP(PROPERTIES[[#This Row],[VEHIDCODE]],GRAPHICS_PROPERTIES[VEHIDCODE],GRAPHICS_PROPERTIES[TEMPLATE_ID]&amp;GRAPHICS_PROPERTIES[TEMPLATE_AMENDMENT_CODE])</f>
        <v>TPL_01A</v>
      </c>
    </row>
    <row r="209" spans="1:47" x14ac:dyDescent="0.35">
      <c r="A209" s="2" t="s">
        <v>2846</v>
      </c>
      <c r="B209">
        <v>1969</v>
      </c>
      <c r="D209" cm="1">
        <f t="array" ref="D2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9" s="40" t="str">
        <f>_xlfn.XLOOKUP(PROPERTIES[[#This Row],[VEHIDCODE]],CONTROL[VEHIDCODE],CONTROL[ENGLISH])</f>
        <v>GE G22</v>
      </c>
      <c r="F209" t="s">
        <v>592</v>
      </c>
      <c r="G209" s="40" t="str">
        <f>_xlfn.XLOOKUP(PROPERTIES[[#This Row],[COUNTRY]],COUNTRIES[COUNTRY_DESCRIPTION],COUNTRIES[COUNTRY_LABEL],"")</f>
        <v>EG</v>
      </c>
      <c r="H209" t="str" cm="1">
        <f t="array" ref="H2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9" t="s">
        <v>17</v>
      </c>
      <c r="J209">
        <v>0</v>
      </c>
      <c r="K209">
        <v>8</v>
      </c>
      <c r="L209">
        <v>0</v>
      </c>
      <c r="M209" t="str" cm="1">
        <f t="array" ref="M2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9">
        <f>_xlfn.XLOOKUP("LOADINGSPEEDDEF_"&amp;PROPERTIES[[#This Row],[LOADINGSPEED]],LOADINGSPEEDDEF[TYPE],LOADINGSPEEDDEF[SPEED])</f>
        <v>20</v>
      </c>
      <c r="O209" cm="1">
        <f t="array" ref="O2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9">
        <f>IF(ISNUMBER(SEARCH("passenger",PROPERTIES[[#This Row],[CARGODEF]])),1,0)</f>
        <v>0</v>
      </c>
      <c r="Q209" s="23">
        <v>108</v>
      </c>
      <c r="R209">
        <v>1650</v>
      </c>
      <c r="S209">
        <v>0</v>
      </c>
      <c r="T209">
        <v>0</v>
      </c>
      <c r="U209">
        <v>0</v>
      </c>
      <c r="V209">
        <v>110</v>
      </c>
      <c r="W209">
        <v>0</v>
      </c>
      <c r="X209">
        <v>0</v>
      </c>
      <c r="Y209">
        <v>0</v>
      </c>
      <c r="Z209" s="20">
        <v>265</v>
      </c>
      <c r="AA209" s="19">
        <f>IFERROR(PROPERTIES[[#This Row],[TE_STARTING_KN]]/(PROPERTIES[[#This Row],[WEIGHT]]*9.81),0)</f>
        <v>0.25012270170272211</v>
      </c>
      <c r="AB209" s="19">
        <v>0</v>
      </c>
      <c r="AC209" s="16">
        <f>ROUND(IF(IFERROR(PROPERTIES[[#This Row],[TE_COEFFICIENT_CALC]],0)=0,PROPERTIES[[#This Row],[TE_COEFFICIENT_MANUAL]],PROPERTIES[[#This Row],[TE_COEFFICIENT_CALC]]),3)</f>
        <v>0.25</v>
      </c>
      <c r="AD209" s="8" cm="1">
        <f t="array" ref="AD2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9" s="26">
        <v>0</v>
      </c>
      <c r="AF209" s="6">
        <v>0</v>
      </c>
      <c r="AG209" t="s">
        <v>233</v>
      </c>
      <c r="AH209" t="s">
        <v>234</v>
      </c>
      <c r="AI209" t="s">
        <v>238</v>
      </c>
      <c r="AJ209" s="2" t="s">
        <v>229</v>
      </c>
      <c r="AK209" s="2" t="s">
        <v>244</v>
      </c>
      <c r="AL20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9" s="2" t="str">
        <f>SUBSTITUTE(SUBSTITUTE(PROPERTIES[[#This Row],[PURCHASECOST_VALUE]], "PURCHASECOST_", ""), "_VALUE", "")</f>
        <v>DIESELENGINE</v>
      </c>
      <c r="AO209" s="44" t="b">
        <v>0</v>
      </c>
      <c r="AP209" s="48" t="b">
        <v>0</v>
      </c>
      <c r="AQ209" s="48" t="b">
        <v>0</v>
      </c>
      <c r="AR209" s="48">
        <v>0</v>
      </c>
      <c r="AS209" s="48" t="b">
        <v>0</v>
      </c>
      <c r="AT209" s="7" t="b">
        <v>0</v>
      </c>
      <c r="AU209" s="40" t="str" cm="1">
        <f t="array" ref="AU209">_xlfn.XLOOKUP(PROPERTIES[[#This Row],[VEHIDCODE]],GRAPHICS_PROPERTIES[VEHIDCODE],GRAPHICS_PROPERTIES[TEMPLATE_ID]&amp;GRAPHICS_PROPERTIES[TEMPLATE_AMENDMENT_CODE])</f>
        <v>TPL_01A</v>
      </c>
    </row>
    <row r="210" spans="1:47" x14ac:dyDescent="0.35">
      <c r="A210" s="2" t="s">
        <v>2847</v>
      </c>
      <c r="B210">
        <v>1969</v>
      </c>
      <c r="C210">
        <v>1986</v>
      </c>
      <c r="D210" cm="1">
        <f t="array" ref="D2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0" s="40" t="str">
        <f>_xlfn.XLOOKUP(PROPERTIES[[#This Row],[VEHIDCODE]],CONTROL[VEHIDCODE],CONTROL[ENGLISH])</f>
        <v>EMD DDA40X</v>
      </c>
      <c r="F210" t="s">
        <v>757</v>
      </c>
      <c r="G210" s="40" t="str">
        <f>_xlfn.XLOOKUP(PROPERTIES[[#This Row],[COUNTRY]],COUNTRIES[COUNTRY_DESCRIPTION],COUNTRIES[COUNTRY_LABEL],"")</f>
        <v>US</v>
      </c>
      <c r="H210" t="str" cm="1">
        <f t="array" ref="H2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0" t="s">
        <v>17</v>
      </c>
      <c r="J210">
        <v>0</v>
      </c>
      <c r="K210">
        <v>8</v>
      </c>
      <c r="M210" t="str" cm="1">
        <f t="array" ref="M2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0">
        <f>_xlfn.XLOOKUP("LOADINGSPEEDDEF_"&amp;PROPERTIES[[#This Row],[LOADINGSPEED]],LOADINGSPEEDDEF[TYPE],LOADINGSPEEDDEF[SPEED])</f>
        <v>20</v>
      </c>
      <c r="O210" cm="1">
        <f t="array" ref="O2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0">
        <f>IF(ISNUMBER(SEARCH("passenger",PROPERTIES[[#This Row],[CARGODEF]])),1,0)</f>
        <v>0</v>
      </c>
      <c r="Q210" s="23">
        <v>247</v>
      </c>
      <c r="R210">
        <v>6600</v>
      </c>
      <c r="S210">
        <v>0</v>
      </c>
      <c r="T210">
        <v>0</v>
      </c>
      <c r="U210">
        <v>0</v>
      </c>
      <c r="V210">
        <v>144</v>
      </c>
      <c r="W210">
        <v>0</v>
      </c>
      <c r="X210">
        <v>0</v>
      </c>
      <c r="Y210">
        <v>0</v>
      </c>
      <c r="Z210" s="20">
        <v>506.8</v>
      </c>
      <c r="AA210" s="19">
        <f>IFERROR(PROPERTIES[[#This Row],[TE_STARTING_KN]]/(PROPERTIES[[#This Row],[WEIGHT]]*9.81),0)</f>
        <v>0.20915615314456454</v>
      </c>
      <c r="AB210" s="19">
        <v>0</v>
      </c>
      <c r="AC210" s="16">
        <f>ROUND(IF(IFERROR(PROPERTIES[[#This Row],[TE_COEFFICIENT_CALC]],0)=0,PROPERTIES[[#This Row],[TE_COEFFICIENT_MANUAL]],PROPERTIES[[#This Row],[TE_COEFFICIENT_CALC]]),3)</f>
        <v>0.20899999999999999</v>
      </c>
      <c r="AD210" s="8" cm="1">
        <f t="array" ref="AD2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0" s="26">
        <v>0</v>
      </c>
      <c r="AF210" s="6">
        <v>2</v>
      </c>
      <c r="AG210" t="s">
        <v>235</v>
      </c>
      <c r="AH210" t="s">
        <v>229</v>
      </c>
      <c r="AI210" t="s">
        <v>229</v>
      </c>
      <c r="AJ210" s="2" t="s">
        <v>229</v>
      </c>
      <c r="AK210" s="2" t="s">
        <v>244</v>
      </c>
      <c r="AL21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0" s="2" t="str">
        <f>SUBSTITUTE(SUBSTITUTE(PROPERTIES[[#This Row],[PURCHASECOST_VALUE]], "PURCHASECOST_", ""), "_VALUE", "")</f>
        <v>DIESELENGINE</v>
      </c>
      <c r="AO210" s="44" t="b">
        <v>0</v>
      </c>
      <c r="AP210" s="48" t="b">
        <v>0</v>
      </c>
      <c r="AQ210" s="48" t="b">
        <v>0</v>
      </c>
      <c r="AR210" s="48">
        <v>0</v>
      </c>
      <c r="AS210" s="48" t="b">
        <v>0</v>
      </c>
      <c r="AT210" s="7" t="b">
        <v>0</v>
      </c>
      <c r="AU210" s="40" t="str" cm="1">
        <f t="array" ref="AU210">_xlfn.XLOOKUP(PROPERTIES[[#This Row],[VEHIDCODE]],GRAPHICS_PROPERTIES[VEHIDCODE],GRAPHICS_PROPERTIES[TEMPLATE_ID]&amp;GRAPHICS_PROPERTIES[TEMPLATE_AMENDMENT_CODE])</f>
        <v>TPL_16A</v>
      </c>
    </row>
    <row r="211" spans="1:47" x14ac:dyDescent="0.35">
      <c r="A211" s="2" t="s">
        <v>2848</v>
      </c>
      <c r="B211">
        <v>1970</v>
      </c>
      <c r="C211">
        <v>2030</v>
      </c>
      <c r="D211" cm="1">
        <f t="array" ref="D2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1" s="40" t="str">
        <f>_xlfn.XLOOKUP(PROPERTIES[[#This Row],[VEHIDCODE]],CONTROL[VEHIDCODE],CONTROL[ENGLISH])</f>
        <v>EMD/Clyde GL26C</v>
      </c>
      <c r="F211" t="s">
        <v>541</v>
      </c>
      <c r="G211" s="40" t="str">
        <f>_xlfn.XLOOKUP(PROPERTIES[[#This Row],[COUNTRY]],COUNTRIES[COUNTRY_DESCRIPTION],COUNTRIES[COUNTRY_LABEL],"")</f>
        <v>AU</v>
      </c>
      <c r="H211" t="str" cm="1">
        <f t="array" ref="H2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1" t="s">
        <v>17</v>
      </c>
      <c r="J211">
        <v>0</v>
      </c>
      <c r="K211">
        <v>8</v>
      </c>
      <c r="L211">
        <v>0</v>
      </c>
      <c r="M211" t="str" cm="1">
        <f t="array" ref="M2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1">
        <f>_xlfn.XLOOKUP("LOADINGSPEEDDEF_"&amp;PROPERTIES[[#This Row],[LOADINGSPEED]],LOADINGSPEEDDEF[TYPE],LOADINGSPEEDDEF[SPEED])</f>
        <v>20</v>
      </c>
      <c r="O211" t="str" cm="1">
        <f t="array" ref="O2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11">
        <f>IF(ISNUMBER(SEARCH("passenger",PROPERTIES[[#This Row],[CARGODEF]])),1,0)</f>
        <v>0</v>
      </c>
      <c r="Q211" s="23">
        <v>98</v>
      </c>
      <c r="R211">
        <v>2000</v>
      </c>
      <c r="S211">
        <v>0</v>
      </c>
      <c r="T211">
        <v>0</v>
      </c>
      <c r="U211">
        <v>0</v>
      </c>
      <c r="V211">
        <v>80</v>
      </c>
      <c r="W211">
        <v>0</v>
      </c>
      <c r="X211">
        <v>0</v>
      </c>
      <c r="Y211">
        <v>0</v>
      </c>
      <c r="Z211" s="20">
        <v>286</v>
      </c>
      <c r="AA211" s="19">
        <f>IFERROR(PROPERTIES[[#This Row],[TE_STARTING_KN]]/(PROPERTIES[[#This Row],[WEIGHT]]*9.81),0)</f>
        <v>0.29748902619151635</v>
      </c>
      <c r="AB211" s="19">
        <v>0</v>
      </c>
      <c r="AC211" s="16">
        <f>ROUND(IF(IFERROR(PROPERTIES[[#This Row],[TE_COEFFICIENT_CALC]],0)=0,PROPERTIES[[#This Row],[TE_COEFFICIENT_MANUAL]],PROPERTIES[[#This Row],[TE_COEFFICIENT_CALC]]),3)</f>
        <v>0.29699999999999999</v>
      </c>
      <c r="AD211" s="8" cm="1">
        <f t="array" ref="AD2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211" s="26">
        <v>0</v>
      </c>
      <c r="AF211" s="6">
        <v>0</v>
      </c>
      <c r="AG211" t="s">
        <v>232</v>
      </c>
      <c r="AH211" t="s">
        <v>229</v>
      </c>
      <c r="AI211" t="s">
        <v>229</v>
      </c>
      <c r="AJ211" s="2" t="s">
        <v>229</v>
      </c>
      <c r="AK211" s="2" t="s">
        <v>244</v>
      </c>
      <c r="AL21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1" s="2" t="str">
        <f>SUBSTITUTE(SUBSTITUTE(PROPERTIES[[#This Row],[PURCHASECOST_VALUE]], "PURCHASECOST_", ""), "_VALUE", "")</f>
        <v>DIESELENGINE</v>
      </c>
      <c r="AO211" s="44" t="b">
        <v>0</v>
      </c>
      <c r="AP211" s="48" t="b">
        <v>0</v>
      </c>
      <c r="AQ211" s="48" t="b">
        <v>0</v>
      </c>
      <c r="AR211" s="48">
        <v>0</v>
      </c>
      <c r="AS211" s="48" t="b">
        <v>0</v>
      </c>
      <c r="AT211" s="7" t="b">
        <v>0</v>
      </c>
      <c r="AU211" s="40" t="str" cm="1">
        <f t="array" ref="AU211">_xlfn.XLOOKUP(PROPERTIES[[#This Row],[VEHIDCODE]],GRAPHICS_PROPERTIES[VEHIDCODE],GRAPHICS_PROPERTIES[TEMPLATE_ID]&amp;GRAPHICS_PROPERTIES[TEMPLATE_AMENDMENT_CODE])</f>
        <v>TPL_01A</v>
      </c>
    </row>
    <row r="212" spans="1:47" x14ac:dyDescent="0.35">
      <c r="A212" s="2" t="s">
        <v>2849</v>
      </c>
      <c r="B212">
        <v>1972</v>
      </c>
      <c r="C212">
        <v>2030</v>
      </c>
      <c r="D212" cm="1">
        <f t="array" ref="D2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2" s="40" t="str">
        <f>_xlfn.XLOOKUP(PROPERTIES[[#This Row],[VEHIDCODE]],CONTROL[VEHIDCODE],CONTROL[ENGLISH])</f>
        <v>EMD G26</v>
      </c>
      <c r="F212" t="s">
        <v>757</v>
      </c>
      <c r="G212" s="40" t="str">
        <f>_xlfn.XLOOKUP(PROPERTIES[[#This Row],[COUNTRY]],COUNTRIES[COUNTRY_DESCRIPTION],COUNTRIES[COUNTRY_LABEL],"")</f>
        <v>US</v>
      </c>
      <c r="H212" t="str" cm="1">
        <f t="array" ref="H2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2" t="s">
        <v>17</v>
      </c>
      <c r="J212">
        <v>0</v>
      </c>
      <c r="K212">
        <v>8</v>
      </c>
      <c r="L212">
        <v>0</v>
      </c>
      <c r="M212" t="str" cm="1">
        <f t="array" ref="M2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2">
        <f>_xlfn.XLOOKUP("LOADINGSPEEDDEF_"&amp;PROPERTIES[[#This Row],[LOADINGSPEED]],LOADINGSPEEDDEF[TYPE],LOADINGSPEEDDEF[SPEED])</f>
        <v>20</v>
      </c>
      <c r="O212" t="str" cm="1">
        <f t="array" ref="O2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12">
        <f>IF(ISNUMBER(SEARCH("passenger",PROPERTIES[[#This Row],[CARGODEF]])),1,0)</f>
        <v>0</v>
      </c>
      <c r="Q212" s="23">
        <v>103</v>
      </c>
      <c r="R212">
        <v>2200</v>
      </c>
      <c r="S212">
        <v>0</v>
      </c>
      <c r="T212">
        <v>0</v>
      </c>
      <c r="U212">
        <v>0</v>
      </c>
      <c r="V212">
        <v>124</v>
      </c>
      <c r="W212">
        <v>0</v>
      </c>
      <c r="X212">
        <v>0</v>
      </c>
      <c r="Y212">
        <v>0</v>
      </c>
      <c r="Z212" s="20">
        <v>0</v>
      </c>
      <c r="AA212" s="19">
        <f>IFERROR(PROPERTIES[[#This Row],[TE_STARTING_KN]]/(PROPERTIES[[#This Row],[WEIGHT]]*9.81),0)</f>
        <v>0</v>
      </c>
      <c r="AB212" s="19">
        <v>0.26</v>
      </c>
      <c r="AC212" s="16">
        <f>ROUND(IF(IFERROR(PROPERTIES[[#This Row],[TE_COEFFICIENT_CALC]],0)=0,PROPERTIES[[#This Row],[TE_COEFFICIENT_MANUAL]],PROPERTIES[[#This Row],[TE_COEFFICIENT_CALC]]),3)</f>
        <v>0.26</v>
      </c>
      <c r="AD212" s="8" cm="1">
        <f t="array" ref="AD2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212" s="26">
        <v>0</v>
      </c>
      <c r="AF212" s="6">
        <v>0</v>
      </c>
      <c r="AG212" t="s">
        <v>236</v>
      </c>
      <c r="AH212" t="s">
        <v>233</v>
      </c>
      <c r="AI212" t="s">
        <v>1947</v>
      </c>
      <c r="AJ212" s="2" t="s">
        <v>237</v>
      </c>
      <c r="AK212" s="2" t="s">
        <v>244</v>
      </c>
      <c r="AL21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2" s="2" t="str">
        <f>SUBSTITUTE(SUBSTITUTE(PROPERTIES[[#This Row],[PURCHASECOST_VALUE]], "PURCHASECOST_", ""), "_VALUE", "")</f>
        <v>DIESELENGINE</v>
      </c>
      <c r="AO212" s="44" t="b">
        <v>0</v>
      </c>
      <c r="AP212" s="48" t="b">
        <v>0</v>
      </c>
      <c r="AQ212" s="48" t="b">
        <v>0</v>
      </c>
      <c r="AR212" s="48">
        <v>0</v>
      </c>
      <c r="AS212" s="48" t="b">
        <v>0</v>
      </c>
      <c r="AT212" s="7" t="b">
        <v>0</v>
      </c>
      <c r="AU212" s="40" t="str" cm="1">
        <f t="array" ref="AU212">_xlfn.XLOOKUP(PROPERTIES[[#This Row],[VEHIDCODE]],GRAPHICS_PROPERTIES[VEHIDCODE],GRAPHICS_PROPERTIES[TEMPLATE_ID]&amp;GRAPHICS_PROPERTIES[TEMPLATE_AMENDMENT_CODE])</f>
        <v>TPL_01A</v>
      </c>
    </row>
    <row r="213" spans="1:47" x14ac:dyDescent="0.35">
      <c r="A213" s="2" t="s">
        <v>2850</v>
      </c>
      <c r="B213">
        <v>1972</v>
      </c>
      <c r="D213" cm="1">
        <f t="array" ref="D2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3" s="40" t="str">
        <f>_xlfn.XLOOKUP(PROPERTIES[[#This Row],[VEHIDCODE]],CONTROL[VEHIDCODE],CONTROL[ENGLISH])</f>
        <v>Henschel TGOJ V4</v>
      </c>
      <c r="F213" t="s">
        <v>722</v>
      </c>
      <c r="G213" s="40" t="str">
        <f>_xlfn.XLOOKUP(PROPERTIES[[#This Row],[COUNTRY]],COUNTRIES[COUNTRY_DESCRIPTION],COUNTRIES[COUNTRY_LABEL],"")</f>
        <v>SE</v>
      </c>
      <c r="H213" t="str" cm="1">
        <f t="array" ref="H2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3" t="s">
        <v>17</v>
      </c>
      <c r="J213">
        <v>0</v>
      </c>
      <c r="K213">
        <v>6</v>
      </c>
      <c r="L213">
        <v>0</v>
      </c>
      <c r="M213" t="str" cm="1">
        <f t="array" ref="M2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3">
        <f>_xlfn.XLOOKUP("LOADINGSPEEDDEF_"&amp;PROPERTIES[[#This Row],[LOADINGSPEED]],LOADINGSPEEDDEF[TYPE],LOADINGSPEEDDEF[SPEED])</f>
        <v>20</v>
      </c>
      <c r="O213" cm="1">
        <f t="array" ref="O2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3">
        <f>IF(ISNUMBER(SEARCH("passenger",PROPERTIES[[#This Row],[CARGODEF]])),1,0)</f>
        <v>0</v>
      </c>
      <c r="Q213" s="23">
        <v>46</v>
      </c>
      <c r="R213">
        <v>620</v>
      </c>
      <c r="S213">
        <v>0</v>
      </c>
      <c r="T213">
        <v>0</v>
      </c>
      <c r="U213">
        <v>0</v>
      </c>
      <c r="V213">
        <v>70</v>
      </c>
      <c r="W213">
        <v>0</v>
      </c>
      <c r="X213">
        <v>0</v>
      </c>
      <c r="Y213">
        <v>0</v>
      </c>
      <c r="Z213" s="20">
        <v>0</v>
      </c>
      <c r="AA213" s="19">
        <f>IFERROR(PROPERTIES[[#This Row],[TE_STARTING_KN]]/(PROPERTIES[[#This Row],[WEIGHT]]*9.81),0)</f>
        <v>0</v>
      </c>
      <c r="AB213" s="19">
        <v>0.3</v>
      </c>
      <c r="AC213" s="16">
        <f>ROUND(IF(IFERROR(PROPERTIES[[#This Row],[TE_COEFFICIENT_CALC]],0)=0,PROPERTIES[[#This Row],[TE_COEFFICIENT_MANUAL]],PROPERTIES[[#This Row],[TE_COEFFICIENT_CALC]]),3)</f>
        <v>0.3</v>
      </c>
      <c r="AD213" s="8" cm="1">
        <f t="array" ref="AD2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3" s="26">
        <v>0</v>
      </c>
      <c r="AF213" s="6">
        <v>0</v>
      </c>
      <c r="AG213" t="s">
        <v>234</v>
      </c>
      <c r="AH213" t="s">
        <v>229</v>
      </c>
      <c r="AI213" t="s">
        <v>229</v>
      </c>
      <c r="AJ213" s="2" t="s">
        <v>229</v>
      </c>
      <c r="AK213" s="2" t="s">
        <v>244</v>
      </c>
      <c r="AL21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3" s="2" t="str">
        <f>SUBSTITUTE(SUBSTITUTE(PROPERTIES[[#This Row],[PURCHASECOST_VALUE]], "PURCHASECOST_", ""), "_VALUE", "")</f>
        <v>DIESELENGINE</v>
      </c>
      <c r="AO213" s="44" t="b">
        <v>0</v>
      </c>
      <c r="AP213" s="48" t="b">
        <v>0</v>
      </c>
      <c r="AQ213" s="48" t="b">
        <v>0</v>
      </c>
      <c r="AR213" s="48">
        <v>0</v>
      </c>
      <c r="AS213" s="48" t="b">
        <v>0</v>
      </c>
      <c r="AT213" s="7" t="b">
        <v>0</v>
      </c>
      <c r="AU213" s="40" t="str" cm="1">
        <f t="array" ref="AU213">_xlfn.XLOOKUP(PROPERTIES[[#This Row],[VEHIDCODE]],GRAPHICS_PROPERTIES[VEHIDCODE],GRAPHICS_PROPERTIES[TEMPLATE_ID]&amp;GRAPHICS_PROPERTIES[TEMPLATE_AMENDMENT_CODE])</f>
        <v>TPL_01A</v>
      </c>
    </row>
    <row r="214" spans="1:47" x14ac:dyDescent="0.35">
      <c r="A214" s="2" t="s">
        <v>2851</v>
      </c>
      <c r="B214">
        <v>1973</v>
      </c>
      <c r="C214">
        <v>1998</v>
      </c>
      <c r="D214" cm="1">
        <f t="array" ref="D2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4" s="40" t="str">
        <f>_xlfn.XLOOKUP(PROPERTIES[[#This Row],[VEHIDCODE]],CONTROL[VEHIDCODE],CONTROL[ENGLISH])</f>
        <v>MLW M420W</v>
      </c>
      <c r="F214" t="s">
        <v>565</v>
      </c>
      <c r="G214" s="40" t="str">
        <f>_xlfn.XLOOKUP(PROPERTIES[[#This Row],[COUNTRY]],COUNTRIES[COUNTRY_DESCRIPTION],COUNTRIES[COUNTRY_LABEL],"")</f>
        <v>CA</v>
      </c>
      <c r="H214" t="str" cm="1">
        <f t="array" ref="H2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4" t="s">
        <v>17</v>
      </c>
      <c r="J214">
        <v>0</v>
      </c>
      <c r="K214">
        <v>8</v>
      </c>
      <c r="L214">
        <v>0</v>
      </c>
      <c r="M214" t="str" cm="1">
        <f t="array" ref="M2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4">
        <f>_xlfn.XLOOKUP("LOADINGSPEEDDEF_"&amp;PROPERTIES[[#This Row],[LOADINGSPEED]],LOADINGSPEEDDEF[TYPE],LOADINGSPEEDDEF[SPEED])</f>
        <v>20</v>
      </c>
      <c r="O214" cm="1">
        <f t="array" ref="O2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4">
        <f>IF(ISNUMBER(SEARCH("passenger",PROPERTIES[[#This Row],[CARGODEF]])),1,0)</f>
        <v>0</v>
      </c>
      <c r="Q214" s="23">
        <v>125</v>
      </c>
      <c r="R214">
        <v>2000</v>
      </c>
      <c r="S214">
        <v>0</v>
      </c>
      <c r="T214">
        <v>0</v>
      </c>
      <c r="U214">
        <v>0</v>
      </c>
      <c r="V214">
        <v>108</v>
      </c>
      <c r="W214">
        <v>0</v>
      </c>
      <c r="X214">
        <v>0</v>
      </c>
      <c r="Y214">
        <v>0</v>
      </c>
      <c r="Z214" s="20">
        <v>268.67</v>
      </c>
      <c r="AA214" s="19">
        <f>IFERROR(PROPERTIES[[#This Row],[TE_STARTING_KN]]/(PROPERTIES[[#This Row],[WEIGHT]]*9.81),0)</f>
        <v>0.21909887869520897</v>
      </c>
      <c r="AB214" s="19">
        <v>0</v>
      </c>
      <c r="AC214" s="16">
        <f>ROUND(IF(IFERROR(PROPERTIES[[#This Row],[TE_COEFFICIENT_CALC]],0)=0,PROPERTIES[[#This Row],[TE_COEFFICIENT_MANUAL]],PROPERTIES[[#This Row],[TE_COEFFICIENT_CALC]]),3)</f>
        <v>0.219</v>
      </c>
      <c r="AD214" s="8" cm="1">
        <f t="array" ref="AD2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4" s="26">
        <v>0</v>
      </c>
      <c r="AF214" s="6">
        <v>0</v>
      </c>
      <c r="AG214" t="s">
        <v>240</v>
      </c>
      <c r="AH214" t="s">
        <v>229</v>
      </c>
      <c r="AI214" t="s">
        <v>229</v>
      </c>
      <c r="AJ214" s="2" t="s">
        <v>229</v>
      </c>
      <c r="AK214" s="2" t="s">
        <v>244</v>
      </c>
      <c r="AL21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4" s="2" t="str">
        <f>SUBSTITUTE(SUBSTITUTE(PROPERTIES[[#This Row],[PURCHASECOST_VALUE]], "PURCHASECOST_", ""), "_VALUE", "")</f>
        <v>DIESELENGINE</v>
      </c>
      <c r="AO214" s="44" t="b">
        <v>0</v>
      </c>
      <c r="AP214" s="48" t="b">
        <v>0</v>
      </c>
      <c r="AQ214" s="48" t="b">
        <v>0</v>
      </c>
      <c r="AR214" s="48">
        <v>0</v>
      </c>
      <c r="AS214" s="48" t="b">
        <v>0</v>
      </c>
      <c r="AT214" s="7" t="b">
        <v>0</v>
      </c>
      <c r="AU214" s="40" t="str" cm="1">
        <f t="array" ref="AU214">_xlfn.XLOOKUP(PROPERTIES[[#This Row],[VEHIDCODE]],GRAPHICS_PROPERTIES[VEHIDCODE],GRAPHICS_PROPERTIES[TEMPLATE_ID]&amp;GRAPHICS_PROPERTIES[TEMPLATE_AMENDMENT_CODE])</f>
        <v>TPL_01A</v>
      </c>
    </row>
    <row r="215" spans="1:47" x14ac:dyDescent="0.35">
      <c r="A215" s="2" t="s">
        <v>2852</v>
      </c>
      <c r="B215">
        <v>1973</v>
      </c>
      <c r="C215">
        <v>1977</v>
      </c>
      <c r="D215" cm="1">
        <f t="array" ref="D2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5" s="40" t="str">
        <f>_xlfn.XLOOKUP(PROPERTIES[[#This Row],[VEHIDCODE]],CONTROL[VEHIDCODE],CONTROL[ENGLISH])</f>
        <v>EMD SDP-40F</v>
      </c>
      <c r="F215" t="s">
        <v>757</v>
      </c>
      <c r="G215" s="40" t="str">
        <f>_xlfn.XLOOKUP(PROPERTIES[[#This Row],[COUNTRY]],COUNTRIES[COUNTRY_DESCRIPTION],COUNTRIES[COUNTRY_LABEL],"")</f>
        <v>US</v>
      </c>
      <c r="H215" t="str" cm="1">
        <f t="array" ref="H2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5" t="s">
        <v>17</v>
      </c>
      <c r="J215">
        <v>0</v>
      </c>
      <c r="K215">
        <v>8</v>
      </c>
      <c r="L215">
        <v>0</v>
      </c>
      <c r="M215" t="str" cm="1">
        <f t="array" ref="M2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5">
        <f>_xlfn.XLOOKUP("LOADINGSPEEDDEF_"&amp;PROPERTIES[[#This Row],[LOADINGSPEED]],LOADINGSPEEDDEF[TYPE],LOADINGSPEEDDEF[SPEED])</f>
        <v>20</v>
      </c>
      <c r="O215" cm="1">
        <f t="array" ref="O2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5">
        <f>IF(ISNUMBER(SEARCH("passenger",PROPERTIES[[#This Row],[CARGODEF]])),1,0)</f>
        <v>0</v>
      </c>
      <c r="Q215" s="23">
        <v>131</v>
      </c>
      <c r="R215">
        <v>3000</v>
      </c>
      <c r="S215">
        <v>0</v>
      </c>
      <c r="T215">
        <v>0</v>
      </c>
      <c r="U215">
        <v>0</v>
      </c>
      <c r="V215">
        <v>153</v>
      </c>
      <c r="W215">
        <v>0</v>
      </c>
      <c r="X215">
        <v>0</v>
      </c>
      <c r="Y215">
        <v>0</v>
      </c>
      <c r="Z215" s="20">
        <v>289</v>
      </c>
      <c r="AA215" s="19">
        <f>IFERROR(PROPERTIES[[#This Row],[TE_STARTING_KN]]/(PROPERTIES[[#This Row],[WEIGHT]]*9.81),0)</f>
        <v>0.22488347301009251</v>
      </c>
      <c r="AB215" s="19">
        <v>0</v>
      </c>
      <c r="AC215" s="16">
        <f>ROUND(IF(IFERROR(PROPERTIES[[#This Row],[TE_COEFFICIENT_CALC]],0)=0,PROPERTIES[[#This Row],[TE_COEFFICIENT_MANUAL]],PROPERTIES[[#This Row],[TE_COEFFICIENT_CALC]]),3)</f>
        <v>0.22500000000000001</v>
      </c>
      <c r="AD215" s="8" cm="1">
        <f t="array" ref="AD2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5" s="26">
        <v>0</v>
      </c>
      <c r="AF215" s="6">
        <v>0</v>
      </c>
      <c r="AG215" t="s">
        <v>235</v>
      </c>
      <c r="AH215" t="s">
        <v>229</v>
      </c>
      <c r="AI215" t="s">
        <v>229</v>
      </c>
      <c r="AJ215" s="2" t="s">
        <v>229</v>
      </c>
      <c r="AK215" s="2" t="s">
        <v>244</v>
      </c>
      <c r="AL21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5" s="2" t="str">
        <f>SUBSTITUTE(SUBSTITUTE(PROPERTIES[[#This Row],[PURCHASECOST_VALUE]], "PURCHASECOST_", ""), "_VALUE", "")</f>
        <v>DIESELENGINE</v>
      </c>
      <c r="AO215" s="44" t="b">
        <v>0</v>
      </c>
      <c r="AP215" s="48" t="b">
        <v>0</v>
      </c>
      <c r="AQ215" s="48" t="b">
        <v>0</v>
      </c>
      <c r="AR215" s="48">
        <v>0</v>
      </c>
      <c r="AS215" s="48" t="b">
        <v>0</v>
      </c>
      <c r="AT215" s="7" t="b">
        <v>0</v>
      </c>
      <c r="AU215" s="40" t="str" cm="1">
        <f t="array" ref="AU215">_xlfn.XLOOKUP(PROPERTIES[[#This Row],[VEHIDCODE]],GRAPHICS_PROPERTIES[VEHIDCODE],GRAPHICS_PROPERTIES[TEMPLATE_ID]&amp;GRAPHICS_PROPERTIES[TEMPLATE_AMENDMENT_CODE])</f>
        <v>TPL_03F</v>
      </c>
    </row>
    <row r="216" spans="1:47" x14ac:dyDescent="0.35">
      <c r="A216" s="2" t="s">
        <v>2853</v>
      </c>
      <c r="B216">
        <v>1976</v>
      </c>
      <c r="C216">
        <v>2010</v>
      </c>
      <c r="D216" cm="1">
        <f t="array" ref="D2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6" s="40" t="str">
        <f>_xlfn.XLOOKUP(PROPERTIES[[#This Row],[VEHIDCODE]],CONTROL[VEHIDCODE],CONTROL[ENGLISH])</f>
        <v>Sifang DFH3</v>
      </c>
      <c r="F216" t="s">
        <v>575</v>
      </c>
      <c r="G216" s="40" t="str">
        <f>_xlfn.XLOOKUP(PROPERTIES[[#This Row],[COUNTRY]],COUNTRIES[COUNTRY_DESCRIPTION],COUNTRIES[COUNTRY_LABEL],"")</f>
        <v>CN</v>
      </c>
      <c r="H216" t="str" cm="1">
        <f t="array" ref="H2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6" t="s">
        <v>17</v>
      </c>
      <c r="J216">
        <v>0</v>
      </c>
      <c r="K216">
        <v>7</v>
      </c>
      <c r="L216">
        <v>0</v>
      </c>
      <c r="M216" t="str" cm="1">
        <f t="array" ref="M2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6">
        <f>_xlfn.XLOOKUP("LOADINGSPEEDDEF_"&amp;PROPERTIES[[#This Row],[LOADINGSPEED]],LOADINGSPEEDDEF[TYPE],LOADINGSPEEDDEF[SPEED])</f>
        <v>20</v>
      </c>
      <c r="O216" cm="1">
        <f t="array" ref="O2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6">
        <f>IF(ISNUMBER(SEARCH("passenger",PROPERTIES[[#This Row],[CARGODEF]])),1,0)</f>
        <v>0</v>
      </c>
      <c r="Q216" s="23">
        <v>92</v>
      </c>
      <c r="R216">
        <v>2200</v>
      </c>
      <c r="S216">
        <v>0</v>
      </c>
      <c r="T216">
        <v>0</v>
      </c>
      <c r="U216">
        <v>0</v>
      </c>
      <c r="V216">
        <v>120</v>
      </c>
      <c r="W216">
        <v>0</v>
      </c>
      <c r="X216">
        <v>0</v>
      </c>
      <c r="Y216">
        <v>0</v>
      </c>
      <c r="Z216" s="20">
        <v>271</v>
      </c>
      <c r="AA216" s="19">
        <f>IFERROR(PROPERTIES[[#This Row],[TE_STARTING_KN]]/(PROPERTIES[[#This Row],[WEIGHT]]*9.81),0)</f>
        <v>0.30027035411957625</v>
      </c>
      <c r="AB216" s="19">
        <v>0</v>
      </c>
      <c r="AC216" s="16">
        <f>ROUND(IF(IFERROR(PROPERTIES[[#This Row],[TE_COEFFICIENT_CALC]],0)=0,PROPERTIES[[#This Row],[TE_COEFFICIENT_MANUAL]],PROPERTIES[[#This Row],[TE_COEFFICIENT_CALC]]),3)</f>
        <v>0.3</v>
      </c>
      <c r="AD216" s="8" cm="1">
        <f t="array" ref="AD2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6" s="26">
        <v>0</v>
      </c>
      <c r="AF216" s="6">
        <v>0</v>
      </c>
      <c r="AG216" t="s">
        <v>238</v>
      </c>
      <c r="AH216" t="s">
        <v>229</v>
      </c>
      <c r="AI216" t="s">
        <v>229</v>
      </c>
      <c r="AJ216" s="2" t="s">
        <v>229</v>
      </c>
      <c r="AK216" s="2" t="s">
        <v>244</v>
      </c>
      <c r="AL21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6" s="2" t="str">
        <f>SUBSTITUTE(SUBSTITUTE(PROPERTIES[[#This Row],[PURCHASECOST_VALUE]], "PURCHASECOST_", ""), "_VALUE", "")</f>
        <v>DIESELENGINE</v>
      </c>
      <c r="AO216" s="44" t="b">
        <v>0</v>
      </c>
      <c r="AP216" s="48" t="b">
        <v>0</v>
      </c>
      <c r="AQ216" s="48" t="b">
        <v>0</v>
      </c>
      <c r="AR216" s="48">
        <v>0</v>
      </c>
      <c r="AS216" s="48" t="b">
        <v>0</v>
      </c>
      <c r="AT216" s="7" t="b">
        <v>0</v>
      </c>
      <c r="AU216" s="40" t="str" cm="1">
        <f t="array" ref="AU216">_xlfn.XLOOKUP(PROPERTIES[[#This Row],[VEHIDCODE]],GRAPHICS_PROPERTIES[VEHIDCODE],GRAPHICS_PROPERTIES[TEMPLATE_ID]&amp;GRAPHICS_PROPERTIES[TEMPLATE_AMENDMENT_CODE])</f>
        <v>TPL_01A</v>
      </c>
    </row>
    <row r="217" spans="1:47" x14ac:dyDescent="0.35">
      <c r="A217" s="2" t="s">
        <v>2854</v>
      </c>
      <c r="B217">
        <v>1972</v>
      </c>
      <c r="D217" cm="1">
        <f t="array" ref="D2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7" s="40" t="str">
        <f>_xlfn.XLOOKUP(PROPERTIES[[#This Row],[VEHIDCODE]],CONTROL[VEHIDCODE],CONTROL[ENGLISH])</f>
        <v>EMD F40PH</v>
      </c>
      <c r="F217" t="s">
        <v>757</v>
      </c>
      <c r="G217" s="40" t="str">
        <f>_xlfn.XLOOKUP(PROPERTIES[[#This Row],[COUNTRY]],COUNTRIES[COUNTRY_DESCRIPTION],COUNTRIES[COUNTRY_LABEL],"")</f>
        <v>US</v>
      </c>
      <c r="H217" t="str" cm="1">
        <f t="array" ref="H2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7" t="s">
        <v>17</v>
      </c>
      <c r="J217">
        <v>0</v>
      </c>
      <c r="K217">
        <v>7</v>
      </c>
      <c r="L217">
        <v>0</v>
      </c>
      <c r="M217" t="str" cm="1">
        <f t="array" ref="M2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7">
        <f>_xlfn.XLOOKUP("LOADINGSPEEDDEF_"&amp;PROPERTIES[[#This Row],[LOADINGSPEED]],LOADINGSPEEDDEF[TYPE],LOADINGSPEEDDEF[SPEED])</f>
        <v>20</v>
      </c>
      <c r="O217" cm="1">
        <f t="array" ref="O2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7">
        <f>IF(ISNUMBER(SEARCH("passenger",PROPERTIES[[#This Row],[CARGODEF]])),1,0)</f>
        <v>0</v>
      </c>
      <c r="Q217" s="23">
        <v>115</v>
      </c>
      <c r="R217">
        <v>3000</v>
      </c>
      <c r="S217">
        <v>0</v>
      </c>
      <c r="T217">
        <v>0</v>
      </c>
      <c r="U217">
        <v>0</v>
      </c>
      <c r="V217">
        <v>165</v>
      </c>
      <c r="W217">
        <v>0</v>
      </c>
      <c r="X217">
        <v>0</v>
      </c>
      <c r="Y217">
        <v>0</v>
      </c>
      <c r="Z217" s="20">
        <v>289</v>
      </c>
      <c r="AA217" s="19">
        <f>IFERROR(PROPERTIES[[#This Row],[TE_STARTING_KN]]/(PROPERTIES[[#This Row],[WEIGHT]]*9.81),0)</f>
        <v>0.2561716083854097</v>
      </c>
      <c r="AB217" s="19">
        <v>0</v>
      </c>
      <c r="AC217" s="16">
        <f>ROUND(IF(IFERROR(PROPERTIES[[#This Row],[TE_COEFFICIENT_CALC]],0)=0,PROPERTIES[[#This Row],[TE_COEFFICIENT_MANUAL]],PROPERTIES[[#This Row],[TE_COEFFICIENT_CALC]]),3)</f>
        <v>0.25600000000000001</v>
      </c>
      <c r="AD217" s="8" cm="1">
        <f t="array" ref="AD2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7" s="26">
        <v>0</v>
      </c>
      <c r="AF217" s="6">
        <v>0</v>
      </c>
      <c r="AG217" t="s">
        <v>240</v>
      </c>
      <c r="AH217" t="s">
        <v>229</v>
      </c>
      <c r="AI217" t="s">
        <v>229</v>
      </c>
      <c r="AJ217" s="2" t="s">
        <v>229</v>
      </c>
      <c r="AK217" s="2" t="s">
        <v>244</v>
      </c>
      <c r="AL21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7" s="2" t="str">
        <f>SUBSTITUTE(SUBSTITUTE(PROPERTIES[[#This Row],[PURCHASECOST_VALUE]], "PURCHASECOST_", ""), "_VALUE", "")</f>
        <v>DIESELENGINE</v>
      </c>
      <c r="AO217" s="44" t="b">
        <v>0</v>
      </c>
      <c r="AP217" s="48" t="b">
        <v>0</v>
      </c>
      <c r="AQ217" s="48" t="b">
        <v>0</v>
      </c>
      <c r="AR217" s="48">
        <v>0</v>
      </c>
      <c r="AS217" s="48" t="b">
        <v>0</v>
      </c>
      <c r="AT217" s="7" t="b">
        <v>0</v>
      </c>
      <c r="AU217" s="40" t="str" cm="1">
        <f t="array" ref="AU217">_xlfn.XLOOKUP(PROPERTIES[[#This Row],[VEHIDCODE]],GRAPHICS_PROPERTIES[VEHIDCODE],GRAPHICS_PROPERTIES[TEMPLATE_ID]&amp;GRAPHICS_PROPERTIES[TEMPLATE_AMENDMENT_CODE])</f>
        <v>TPL_03F</v>
      </c>
    </row>
    <row r="218" spans="1:47" x14ac:dyDescent="0.35">
      <c r="A218" s="2" t="s">
        <v>2855</v>
      </c>
      <c r="B218">
        <v>1981</v>
      </c>
      <c r="C218">
        <v>2015</v>
      </c>
      <c r="D218" cm="1">
        <f t="array" ref="D2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8" s="40" t="str">
        <f>_xlfn.XLOOKUP(PROPERTIES[[#This Row],[VEHIDCODE]],CONTROL[VEHIDCODE],CONTROL[ENGLISH])</f>
        <v>Sorefame/Alsthom 1900</v>
      </c>
      <c r="F218" t="s">
        <v>710</v>
      </c>
      <c r="G218" s="40" t="str">
        <f>_xlfn.XLOOKUP(PROPERTIES[[#This Row],[COUNTRY]],COUNTRIES[COUNTRY_DESCRIPTION],COUNTRIES[COUNTRY_LABEL],"")</f>
        <v>PT</v>
      </c>
      <c r="H218" t="str" cm="1">
        <f t="array" ref="H2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8" t="s">
        <v>17</v>
      </c>
      <c r="J218">
        <v>0</v>
      </c>
      <c r="K218">
        <v>8</v>
      </c>
      <c r="L218">
        <v>0</v>
      </c>
      <c r="M218" t="str" cm="1">
        <f t="array" ref="M2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8">
        <f>_xlfn.XLOOKUP("LOADINGSPEEDDEF_"&amp;PROPERTIES[[#This Row],[LOADINGSPEED]],LOADINGSPEEDDEF[TYPE],LOADINGSPEEDDEF[SPEED])</f>
        <v>20</v>
      </c>
      <c r="O218" cm="1">
        <f t="array" ref="O2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8">
        <f>IF(ISNUMBER(SEARCH("passenger",PROPERTIES[[#This Row],[CARGODEF]])),1,0)</f>
        <v>0</v>
      </c>
      <c r="Q218" s="23">
        <v>115</v>
      </c>
      <c r="R218">
        <v>2260</v>
      </c>
      <c r="S218">
        <v>0</v>
      </c>
      <c r="T218">
        <v>0</v>
      </c>
      <c r="U218">
        <v>0</v>
      </c>
      <c r="V218">
        <v>100</v>
      </c>
      <c r="W218">
        <v>0</v>
      </c>
      <c r="X218">
        <v>0</v>
      </c>
      <c r="Y218">
        <v>0</v>
      </c>
      <c r="Z218" s="20">
        <v>388.3</v>
      </c>
      <c r="AA218" s="19">
        <f>IFERROR(PROPERTIES[[#This Row],[TE_STARTING_KN]]/(PROPERTIES[[#This Row],[WEIGHT]]*9.81),0)</f>
        <v>0.34419181846385671</v>
      </c>
      <c r="AB218" s="19">
        <v>0</v>
      </c>
      <c r="AC218" s="16">
        <f>ROUND(IF(IFERROR(PROPERTIES[[#This Row],[TE_COEFFICIENT_CALC]],0)=0,PROPERTIES[[#This Row],[TE_COEFFICIENT_MANUAL]],PROPERTIES[[#This Row],[TE_COEFFICIENT_CALC]]),3)</f>
        <v>0.34399999999999997</v>
      </c>
      <c r="AD218" s="8" cm="1">
        <f t="array" ref="AD2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8" s="26">
        <v>0</v>
      </c>
      <c r="AF218" s="6">
        <v>0</v>
      </c>
      <c r="AG218" t="s">
        <v>231</v>
      </c>
      <c r="AH218" t="s">
        <v>229</v>
      </c>
      <c r="AI218" t="s">
        <v>229</v>
      </c>
      <c r="AJ218" s="2" t="s">
        <v>229</v>
      </c>
      <c r="AK218" s="2" t="s">
        <v>244</v>
      </c>
      <c r="AL21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8" s="2" t="str">
        <f>SUBSTITUTE(SUBSTITUTE(PROPERTIES[[#This Row],[PURCHASECOST_VALUE]], "PURCHASECOST_", ""), "_VALUE", "")</f>
        <v>DIESELENGINE</v>
      </c>
      <c r="AO218" s="44" t="b">
        <v>0</v>
      </c>
      <c r="AP218" s="48" t="b">
        <v>0</v>
      </c>
      <c r="AQ218" s="48" t="b">
        <v>0</v>
      </c>
      <c r="AR218" s="48">
        <v>0</v>
      </c>
      <c r="AS218" s="48" t="b">
        <v>0</v>
      </c>
      <c r="AT218" s="7" t="b">
        <v>0</v>
      </c>
      <c r="AU218" s="40" t="str" cm="1">
        <f t="array" ref="AU218">_xlfn.XLOOKUP(PROPERTIES[[#This Row],[VEHIDCODE]],GRAPHICS_PROPERTIES[VEHIDCODE],GRAPHICS_PROPERTIES[TEMPLATE_ID]&amp;GRAPHICS_PROPERTIES[TEMPLATE_AMENDMENT_CODE])</f>
        <v>TPL_01A</v>
      </c>
    </row>
    <row r="219" spans="1:47" x14ac:dyDescent="0.35">
      <c r="A219" s="2" t="s">
        <v>2856</v>
      </c>
      <c r="B219">
        <v>1985</v>
      </c>
      <c r="C219">
        <v>2025</v>
      </c>
      <c r="D219" cm="1">
        <f t="array" ref="D2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9" s="40" t="str">
        <f>_xlfn.XLOOKUP(PROPERTIES[[#This Row],[VEHIDCODE]],CONTROL[VEHIDCODE],CONTROL[ENGLISH])</f>
        <v>Valmet Oy Dr16</v>
      </c>
      <c r="F219" t="s">
        <v>597</v>
      </c>
      <c r="G219" s="40" t="str">
        <f>_xlfn.XLOOKUP(PROPERTIES[[#This Row],[COUNTRY]],COUNTRIES[COUNTRY_DESCRIPTION],COUNTRIES[COUNTRY_LABEL],"")</f>
        <v>FI</v>
      </c>
      <c r="H219" t="str" cm="1">
        <f t="array" ref="H2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9" t="s">
        <v>17</v>
      </c>
      <c r="J219">
        <v>0</v>
      </c>
      <c r="K219">
        <v>8</v>
      </c>
      <c r="L219">
        <v>0</v>
      </c>
      <c r="M219" t="str" cm="1">
        <f t="array" ref="M2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9">
        <f>_xlfn.XLOOKUP("LOADINGSPEEDDEF_"&amp;PROPERTIES[[#This Row],[LOADINGSPEED]],LOADINGSPEEDDEF[TYPE],LOADINGSPEEDDEF[SPEED])</f>
        <v>20</v>
      </c>
      <c r="O219" t="str" cm="1">
        <f t="array" ref="O2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19">
        <f>IF(ISNUMBER(SEARCH("passenger",PROPERTIES[[#This Row],[CARGODEF]])),1,0)</f>
        <v>0</v>
      </c>
      <c r="Q219" s="23">
        <v>82</v>
      </c>
      <c r="R219">
        <v>2250</v>
      </c>
      <c r="S219">
        <v>0</v>
      </c>
      <c r="T219">
        <v>0</v>
      </c>
      <c r="U219">
        <v>0</v>
      </c>
      <c r="V219">
        <v>140</v>
      </c>
      <c r="W219">
        <v>0</v>
      </c>
      <c r="X219">
        <v>0</v>
      </c>
      <c r="Y219">
        <v>0</v>
      </c>
      <c r="Z219" s="20">
        <v>270</v>
      </c>
      <c r="AA219" s="19">
        <f>IFERROR(PROPERTIES[[#This Row],[TE_STARTING_KN]]/(PROPERTIES[[#This Row],[WEIGHT]]*9.81),0)</f>
        <v>0.33564555829044523</v>
      </c>
      <c r="AB219" s="19">
        <v>0</v>
      </c>
      <c r="AC219" s="16">
        <f>ROUND(IF(IFERROR(PROPERTIES[[#This Row],[TE_COEFFICIENT_CALC]],0)=0,PROPERTIES[[#This Row],[TE_COEFFICIENT_MANUAL]],PROPERTIES[[#This Row],[TE_COEFFICIENT_CALC]]),3)</f>
        <v>0.33600000000000002</v>
      </c>
      <c r="AD219" s="8" cm="1">
        <f t="array" ref="AD2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9" s="26">
        <v>0</v>
      </c>
      <c r="AF219" s="6">
        <v>0</v>
      </c>
      <c r="AG219" t="s">
        <v>234</v>
      </c>
      <c r="AH219" t="s">
        <v>229</v>
      </c>
      <c r="AI219" t="s">
        <v>229</v>
      </c>
      <c r="AJ219" s="2" t="s">
        <v>229</v>
      </c>
      <c r="AK219" s="2" t="s">
        <v>244</v>
      </c>
      <c r="AL21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9" s="2" t="str">
        <f>SUBSTITUTE(SUBSTITUTE(PROPERTIES[[#This Row],[PURCHASECOST_VALUE]], "PURCHASECOST_", ""), "_VALUE", "")</f>
        <v>DIESELENGINE</v>
      </c>
      <c r="AO219" s="44" t="b">
        <v>0</v>
      </c>
      <c r="AP219" s="48" t="b">
        <v>0</v>
      </c>
      <c r="AQ219" s="48" t="b">
        <v>0</v>
      </c>
      <c r="AR219" s="48">
        <v>0</v>
      </c>
      <c r="AS219" s="48" t="b">
        <v>0</v>
      </c>
      <c r="AT219" s="7" t="b">
        <v>0</v>
      </c>
      <c r="AU219" s="40" t="str" cm="1">
        <f t="array" ref="AU219">_xlfn.XLOOKUP(PROPERTIES[[#This Row],[VEHIDCODE]],GRAPHICS_PROPERTIES[VEHIDCODE],GRAPHICS_PROPERTIES[TEMPLATE_ID]&amp;GRAPHICS_PROPERTIES[TEMPLATE_AMENDMENT_CODE])</f>
        <v>TPL_01A</v>
      </c>
    </row>
    <row r="220" spans="1:47" x14ac:dyDescent="0.35">
      <c r="A220" s="2" t="s">
        <v>2857</v>
      </c>
      <c r="B220">
        <v>1988</v>
      </c>
      <c r="C220">
        <v>2007</v>
      </c>
      <c r="D220" cm="1">
        <f t="array" ref="D2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0" s="40" t="str">
        <f>_xlfn.XLOOKUP(PROPERTIES[[#This Row],[VEHIDCODE]],CONTROL[VEHIDCODE],CONTROL[ENGLISH])</f>
        <v>Kolomna TEP80</v>
      </c>
      <c r="F220" t="s">
        <v>716</v>
      </c>
      <c r="G220" s="40" t="str">
        <f>_xlfn.XLOOKUP(PROPERTIES[[#This Row],[COUNTRY]],COUNTRIES[COUNTRY_DESCRIPTION],COUNTRIES[COUNTRY_LABEL],"")</f>
        <v>RU</v>
      </c>
      <c r="H220" t="str" cm="1">
        <f t="array" ref="H2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0" t="s">
        <v>17</v>
      </c>
      <c r="J220">
        <v>0</v>
      </c>
      <c r="K220">
        <v>8</v>
      </c>
      <c r="L220">
        <v>0</v>
      </c>
      <c r="M220" t="str" cm="1">
        <f t="array" ref="M2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0">
        <f>_xlfn.XLOOKUP("LOADINGSPEEDDEF_"&amp;PROPERTIES[[#This Row],[LOADINGSPEED]],LOADINGSPEEDDEF[TYPE],LOADINGSPEEDDEF[SPEED])</f>
        <v>20</v>
      </c>
      <c r="O220" t="str" cm="1">
        <f t="array" ref="O2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0">
        <f>IF(ISNUMBER(SEARCH("passenger",PROPERTIES[[#This Row],[CARGODEF]])),1,0)</f>
        <v>0</v>
      </c>
      <c r="Q220" s="23">
        <v>180</v>
      </c>
      <c r="R220">
        <v>6000</v>
      </c>
      <c r="S220">
        <v>0</v>
      </c>
      <c r="T220">
        <v>0</v>
      </c>
      <c r="U220">
        <v>0</v>
      </c>
      <c r="V220">
        <v>160</v>
      </c>
      <c r="W220">
        <v>0</v>
      </c>
      <c r="X220">
        <v>0</v>
      </c>
      <c r="Y220">
        <v>0</v>
      </c>
      <c r="Z220" s="20">
        <v>240</v>
      </c>
      <c r="AA220" s="19">
        <f>IFERROR(PROPERTIES[[#This Row],[TE_STARTING_KN]]/(PROPERTIES[[#This Row],[WEIGHT]]*9.81),0)</f>
        <v>0.13591573224600745</v>
      </c>
      <c r="AB220" s="19">
        <v>0</v>
      </c>
      <c r="AC220" s="16">
        <f>ROUND(IF(IFERROR(PROPERTIES[[#This Row],[TE_COEFFICIENT_CALC]],0)=0,PROPERTIES[[#This Row],[TE_COEFFICIENT_MANUAL]],PROPERTIES[[#This Row],[TE_COEFFICIENT_CALC]]),3)</f>
        <v>0.13600000000000001</v>
      </c>
      <c r="AD220" s="8" cm="1">
        <f t="array" ref="AD2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0" s="26">
        <v>0</v>
      </c>
      <c r="AF220" s="6">
        <v>0</v>
      </c>
      <c r="AG220" t="s">
        <v>1948</v>
      </c>
      <c r="AH220" t="s">
        <v>229</v>
      </c>
      <c r="AI220" t="s">
        <v>229</v>
      </c>
      <c r="AJ220" s="2" t="s">
        <v>229</v>
      </c>
      <c r="AK220" s="2" t="s">
        <v>244</v>
      </c>
      <c r="AL22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0" s="2" t="str">
        <f>SUBSTITUTE(SUBSTITUTE(PROPERTIES[[#This Row],[PURCHASECOST_VALUE]], "PURCHASECOST_", ""), "_VALUE", "")</f>
        <v>DIESELENGINE</v>
      </c>
      <c r="AO220" s="44" t="b">
        <v>0</v>
      </c>
      <c r="AP220" s="48" t="b">
        <v>0</v>
      </c>
      <c r="AQ220" s="48" t="b">
        <v>0</v>
      </c>
      <c r="AR220" s="48">
        <v>0</v>
      </c>
      <c r="AS220" s="48" t="b">
        <v>0</v>
      </c>
      <c r="AT220" s="7" t="b">
        <v>0</v>
      </c>
      <c r="AU220" s="40" t="str" cm="1">
        <f t="array" ref="AU220">_xlfn.XLOOKUP(PROPERTIES[[#This Row],[VEHIDCODE]],GRAPHICS_PROPERTIES[VEHIDCODE],GRAPHICS_PROPERTIES[TEMPLATE_ID]&amp;GRAPHICS_PROPERTIES[TEMPLATE_AMENDMENT_CODE])</f>
        <v>TPL_01A</v>
      </c>
    </row>
    <row r="221" spans="1:47" x14ac:dyDescent="0.35">
      <c r="A221" s="2" t="s">
        <v>2858</v>
      </c>
      <c r="B221">
        <v>1992</v>
      </c>
      <c r="C221">
        <v>2022</v>
      </c>
      <c r="D221" cm="1">
        <f t="array" ref="D2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1" s="40" t="str">
        <f>_xlfn.XLOOKUP(PROPERTIES[[#This Row],[VEHIDCODE]],CONTROL[VEHIDCODE],CONTROL[ENGLISH])</f>
        <v>EMD/Clyde JT46C</v>
      </c>
      <c r="F221" t="s">
        <v>541</v>
      </c>
      <c r="G221" s="40" t="str">
        <f>_xlfn.XLOOKUP(PROPERTIES[[#This Row],[COUNTRY]],COUNTRIES[COUNTRY_DESCRIPTION],COUNTRIES[COUNTRY_LABEL],"")</f>
        <v>AU</v>
      </c>
      <c r="H221" t="str" cm="1">
        <f t="array" ref="H2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1" t="s">
        <v>17</v>
      </c>
      <c r="J221">
        <v>0</v>
      </c>
      <c r="K221">
        <v>8</v>
      </c>
      <c r="L221">
        <v>0</v>
      </c>
      <c r="M221" t="str" cm="1">
        <f t="array" ref="M2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1">
        <f>_xlfn.XLOOKUP("LOADINGSPEEDDEF_"&amp;PROPERTIES[[#This Row],[LOADINGSPEED]],LOADINGSPEEDDEF[TYPE],LOADINGSPEEDDEF[SPEED])</f>
        <v>20</v>
      </c>
      <c r="O221" t="str" cm="1">
        <f t="array" ref="O2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1">
        <f>IF(ISNUMBER(SEARCH("passenger",PROPERTIES[[#This Row],[CARGODEF]])),1,0)</f>
        <v>0</v>
      </c>
      <c r="Q221" s="23">
        <v>128</v>
      </c>
      <c r="R221">
        <v>4063</v>
      </c>
      <c r="S221">
        <v>0</v>
      </c>
      <c r="T221">
        <v>0</v>
      </c>
      <c r="U221">
        <v>0</v>
      </c>
      <c r="V221">
        <v>150</v>
      </c>
      <c r="W221">
        <v>0</v>
      </c>
      <c r="X221">
        <v>0</v>
      </c>
      <c r="Y221">
        <v>0</v>
      </c>
      <c r="Z221" s="20">
        <v>323</v>
      </c>
      <c r="AA221" s="19">
        <f>IFERROR(PROPERTIES[[#This Row],[TE_STARTING_KN]]/(PROPERTIES[[#This Row],[WEIGHT]]*9.81),0)</f>
        <v>0.25723114169215083</v>
      </c>
      <c r="AB221" s="19">
        <v>0</v>
      </c>
      <c r="AC221" s="16">
        <f>ROUND(IF(IFERROR(PROPERTIES[[#This Row],[TE_COEFFICIENT_CALC]],0)=0,PROPERTIES[[#This Row],[TE_COEFFICIENT_MANUAL]],PROPERTIES[[#This Row],[TE_COEFFICIENT_CALC]]),3)</f>
        <v>0.25700000000000001</v>
      </c>
      <c r="AD221" s="8" cm="1">
        <f t="array" ref="AD2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1" s="26">
        <v>0</v>
      </c>
      <c r="AF221" s="6">
        <v>0</v>
      </c>
      <c r="AG221" t="s">
        <v>232</v>
      </c>
      <c r="AH221" t="s">
        <v>229</v>
      </c>
      <c r="AI221" t="s">
        <v>229</v>
      </c>
      <c r="AJ221" s="2" t="s">
        <v>229</v>
      </c>
      <c r="AK221" s="2" t="s">
        <v>244</v>
      </c>
      <c r="AL22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1" s="2" t="str">
        <f>SUBSTITUTE(SUBSTITUTE(PROPERTIES[[#This Row],[PURCHASECOST_VALUE]], "PURCHASECOST_", ""), "_VALUE", "")</f>
        <v>DIESELENGINE</v>
      </c>
      <c r="AO221" s="44" t="b">
        <v>0</v>
      </c>
      <c r="AP221" s="48" t="b">
        <v>0</v>
      </c>
      <c r="AQ221" s="48" t="b">
        <v>0</v>
      </c>
      <c r="AR221" s="48">
        <v>0</v>
      </c>
      <c r="AS221" s="48" t="b">
        <v>0</v>
      </c>
      <c r="AT221" s="7" t="b">
        <v>0</v>
      </c>
      <c r="AU221" s="40" t="str" cm="1">
        <f t="array" ref="AU221">_xlfn.XLOOKUP(PROPERTIES[[#This Row],[VEHIDCODE]],GRAPHICS_PROPERTIES[VEHIDCODE],GRAPHICS_PROPERTIES[TEMPLATE_ID]&amp;GRAPHICS_PROPERTIES[TEMPLATE_AMENDMENT_CODE])</f>
        <v>TPL_01A</v>
      </c>
    </row>
    <row r="222" spans="1:47" x14ac:dyDescent="0.35">
      <c r="A222" s="2" t="s">
        <v>2859</v>
      </c>
      <c r="B222">
        <v>1992</v>
      </c>
      <c r="D222" cm="1">
        <f t="array" ref="D2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2" s="40" t="str">
        <f>_xlfn.XLOOKUP(PROPERTIES[[#This Row],[VEHIDCODE]],CONTROL[VEHIDCODE],CONTROL[ENGLISH])</f>
        <v>GE P42DC 'Genesis'</v>
      </c>
      <c r="F222" t="s">
        <v>757</v>
      </c>
      <c r="G222" s="40" t="str">
        <f>_xlfn.XLOOKUP(PROPERTIES[[#This Row],[COUNTRY]],COUNTRIES[COUNTRY_DESCRIPTION],COUNTRIES[COUNTRY_LABEL],"")</f>
        <v>US</v>
      </c>
      <c r="H222" t="str" cm="1">
        <f t="array" ref="H2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2" t="s">
        <v>17</v>
      </c>
      <c r="J222">
        <v>0</v>
      </c>
      <c r="K222">
        <v>8</v>
      </c>
      <c r="L222">
        <v>0</v>
      </c>
      <c r="M222" t="str" cm="1">
        <f t="array" ref="M2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2">
        <f>_xlfn.XLOOKUP("LOADINGSPEEDDEF_"&amp;PROPERTIES[[#This Row],[LOADINGSPEED]],LOADINGSPEEDDEF[TYPE],LOADINGSPEEDDEF[SPEED])</f>
        <v>20</v>
      </c>
      <c r="O222" t="str" cm="1">
        <f t="array" ref="O2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2">
        <f>IF(ISNUMBER(SEARCH("passenger",PROPERTIES[[#This Row],[CARGODEF]])),1,0)</f>
        <v>0</v>
      </c>
      <c r="Q222" s="23">
        <v>121.6</v>
      </c>
      <c r="R222">
        <v>4250</v>
      </c>
      <c r="S222">
        <v>0</v>
      </c>
      <c r="T222">
        <v>0</v>
      </c>
      <c r="U222">
        <v>0</v>
      </c>
      <c r="V222">
        <v>177</v>
      </c>
      <c r="W222">
        <v>0</v>
      </c>
      <c r="X222">
        <v>0</v>
      </c>
      <c r="Y222">
        <v>0</v>
      </c>
      <c r="Z222" s="20">
        <v>280.25</v>
      </c>
      <c r="AA222" s="19">
        <f>IFERROR(PROPERTIES[[#This Row],[TE_STARTING_KN]]/(PROPERTIES[[#This Row],[WEIGHT]]*9.81),0)</f>
        <v>0.23493246687054029</v>
      </c>
      <c r="AB222" s="19">
        <v>0</v>
      </c>
      <c r="AC222" s="16">
        <f>ROUND(IF(IFERROR(PROPERTIES[[#This Row],[TE_COEFFICIENT_CALC]],0)=0,PROPERTIES[[#This Row],[TE_COEFFICIENT_MANUAL]],PROPERTIES[[#This Row],[TE_COEFFICIENT_CALC]]),3)</f>
        <v>0.23499999999999999</v>
      </c>
      <c r="AD222" s="8" cm="1">
        <f t="array" ref="AD2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2" s="26">
        <v>0</v>
      </c>
      <c r="AF222" s="6">
        <v>0</v>
      </c>
      <c r="AG222" t="s">
        <v>235</v>
      </c>
      <c r="AH222" t="s">
        <v>229</v>
      </c>
      <c r="AI222" t="s">
        <v>229</v>
      </c>
      <c r="AJ222" s="2" t="s">
        <v>229</v>
      </c>
      <c r="AK222" s="2" t="s">
        <v>244</v>
      </c>
      <c r="AL22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2" s="2" t="str">
        <f>SUBSTITUTE(SUBSTITUTE(PROPERTIES[[#This Row],[PURCHASECOST_VALUE]], "PURCHASECOST_", ""), "_VALUE", "")</f>
        <v>DIESELENGINE</v>
      </c>
      <c r="AO222" s="44" t="b">
        <v>0</v>
      </c>
      <c r="AP222" s="48" t="b">
        <v>0</v>
      </c>
      <c r="AQ222" s="48" t="b">
        <v>0</v>
      </c>
      <c r="AR222" s="48">
        <v>0</v>
      </c>
      <c r="AS222" s="48" t="b">
        <v>0</v>
      </c>
      <c r="AT222" s="7" t="b">
        <v>0</v>
      </c>
      <c r="AU222" s="40" t="str" cm="1">
        <f t="array" ref="AU222">_xlfn.XLOOKUP(PROPERTIES[[#This Row],[VEHIDCODE]],GRAPHICS_PROPERTIES[VEHIDCODE],GRAPHICS_PROPERTIES[TEMPLATE_ID]&amp;GRAPHICS_PROPERTIES[TEMPLATE_AMENDMENT_CODE])</f>
        <v>TPL_03F</v>
      </c>
    </row>
    <row r="223" spans="1:47" x14ac:dyDescent="0.35">
      <c r="A223" s="2" t="s">
        <v>2860</v>
      </c>
      <c r="B223">
        <v>1994</v>
      </c>
      <c r="D223" cm="1">
        <f t="array" ref="D2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3" s="40" t="str">
        <f>_xlfn.XLOOKUP(PROPERTIES[[#This Row],[VEHIDCODE]],CONTROL[VEHIDCODE],CONTROL[ENGLISH])</f>
        <v>Tulomsas TCDD DH7000</v>
      </c>
      <c r="F223" t="s">
        <v>1027</v>
      </c>
      <c r="G223" s="40" t="str">
        <f>_xlfn.XLOOKUP(PROPERTIES[[#This Row],[COUNTRY]],COUNTRIES[COUNTRY_DESCRIPTION],COUNTRIES[COUNTRY_LABEL],"")</f>
        <v>TR</v>
      </c>
      <c r="H223" t="str" cm="1">
        <f t="array" ref="H2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3" t="s">
        <v>17</v>
      </c>
      <c r="J223">
        <v>0</v>
      </c>
      <c r="K223">
        <v>6</v>
      </c>
      <c r="L223">
        <v>0</v>
      </c>
      <c r="M223" t="str" cm="1">
        <f t="array" ref="M2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3">
        <f>_xlfn.XLOOKUP("LOADINGSPEEDDEF_"&amp;PROPERTIES[[#This Row],[LOADINGSPEED]],LOADINGSPEEDDEF[TYPE],LOADINGSPEEDDEF[SPEED])</f>
        <v>20</v>
      </c>
      <c r="O223" t="str" cm="1">
        <f t="array" ref="O2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3">
        <f>IF(ISNUMBER(SEARCH("passenger",PROPERTIES[[#This Row],[CARGODEF]])),1,0)</f>
        <v>0</v>
      </c>
      <c r="Q223" s="23">
        <v>51</v>
      </c>
      <c r="R223">
        <v>700</v>
      </c>
      <c r="S223">
        <v>0</v>
      </c>
      <c r="T223">
        <v>0</v>
      </c>
      <c r="U223">
        <v>0</v>
      </c>
      <c r="V223">
        <v>40</v>
      </c>
      <c r="W223">
        <v>0</v>
      </c>
      <c r="X223">
        <v>0</v>
      </c>
      <c r="Y223">
        <v>0</v>
      </c>
      <c r="Z223" s="20">
        <v>0</v>
      </c>
      <c r="AA223" s="19">
        <f>IFERROR(PROPERTIES[[#This Row],[TE_STARTING_KN]]/(PROPERTIES[[#This Row],[WEIGHT]]*9.81),0)</f>
        <v>0</v>
      </c>
      <c r="AB223" s="19">
        <v>0.28000000000000003</v>
      </c>
      <c r="AC223" s="16">
        <f>ROUND(IF(IFERROR(PROPERTIES[[#This Row],[TE_COEFFICIENT_CALC]],0)=0,PROPERTIES[[#This Row],[TE_COEFFICIENT_MANUAL]],PROPERTIES[[#This Row],[TE_COEFFICIENT_CALC]]),3)</f>
        <v>0.28000000000000003</v>
      </c>
      <c r="AD223" s="8" cm="1">
        <f t="array" ref="AD2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3" s="26">
        <v>0</v>
      </c>
      <c r="AF223" s="6">
        <v>0</v>
      </c>
      <c r="AG223" t="s">
        <v>1948</v>
      </c>
      <c r="AH223" t="s">
        <v>229</v>
      </c>
      <c r="AI223" t="s">
        <v>229</v>
      </c>
      <c r="AJ223" s="2" t="s">
        <v>229</v>
      </c>
      <c r="AK223" s="2" t="s">
        <v>244</v>
      </c>
      <c r="AL22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3" s="2" t="str">
        <f>SUBSTITUTE(SUBSTITUTE(PROPERTIES[[#This Row],[PURCHASECOST_VALUE]], "PURCHASECOST_", ""), "_VALUE", "")</f>
        <v>DIESELENGINE</v>
      </c>
      <c r="AO223" s="44" t="b">
        <v>0</v>
      </c>
      <c r="AP223" s="48" t="b">
        <v>0</v>
      </c>
      <c r="AQ223" s="48" t="b">
        <v>0</v>
      </c>
      <c r="AR223" s="48">
        <v>0</v>
      </c>
      <c r="AS223" s="48" t="b">
        <v>0</v>
      </c>
      <c r="AT223" s="7" t="b">
        <v>0</v>
      </c>
      <c r="AU223" s="40" t="str" cm="1">
        <f t="array" ref="AU223">_xlfn.XLOOKUP(PROPERTIES[[#This Row],[VEHIDCODE]],GRAPHICS_PROPERTIES[VEHIDCODE],GRAPHICS_PROPERTIES[TEMPLATE_ID]&amp;GRAPHICS_PROPERTIES[TEMPLATE_AMENDMENT_CODE])</f>
        <v>TPL_01A</v>
      </c>
    </row>
    <row r="224" spans="1:47" x14ac:dyDescent="0.35">
      <c r="A224" s="2" t="s">
        <v>2861</v>
      </c>
      <c r="B224">
        <v>1995</v>
      </c>
      <c r="D224" cm="1">
        <f t="array" ref="D2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4" s="40" t="str">
        <f>_xlfn.XLOOKUP(PROPERTIES[[#This Row],[VEHIDCODE]],CONTROL[VEHIDCODE],CONTROL[ENGLISH])</f>
        <v>GE U20C</v>
      </c>
      <c r="F224" t="s">
        <v>538</v>
      </c>
      <c r="G224" s="40" t="str">
        <f>_xlfn.XLOOKUP(PROPERTIES[[#This Row],[COUNTRY]],COUNTRIES[COUNTRY_DESCRIPTION],COUNTRIES[COUNTRY_LABEL],"")</f>
        <v>AR</v>
      </c>
      <c r="H224" t="str" cm="1">
        <f t="array" ref="H2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4" t="s">
        <v>17</v>
      </c>
      <c r="J224">
        <v>0</v>
      </c>
      <c r="K224">
        <v>8</v>
      </c>
      <c r="L224">
        <v>0</v>
      </c>
      <c r="M224" t="str" cm="1">
        <f t="array" ref="M2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4">
        <f>_xlfn.XLOOKUP("LOADINGSPEEDDEF_"&amp;PROPERTIES[[#This Row],[LOADINGSPEED]],LOADINGSPEEDDEF[TYPE],LOADINGSPEEDDEF[SPEED])</f>
        <v>20</v>
      </c>
      <c r="O224" t="str" cm="1">
        <f t="array" ref="O2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4">
        <f>IF(ISNUMBER(SEARCH("passenger",PROPERTIES[[#This Row],[CARGODEF]])),1,0)</f>
        <v>0</v>
      </c>
      <c r="Q224" s="23">
        <v>96</v>
      </c>
      <c r="R224">
        <v>2150</v>
      </c>
      <c r="S224">
        <v>0</v>
      </c>
      <c r="T224">
        <v>0</v>
      </c>
      <c r="U224">
        <v>0</v>
      </c>
      <c r="V224">
        <v>104</v>
      </c>
      <c r="W224">
        <v>0</v>
      </c>
      <c r="X224">
        <v>0</v>
      </c>
      <c r="Y224">
        <v>0</v>
      </c>
      <c r="Z224" s="20">
        <v>245</v>
      </c>
      <c r="AA224" s="19">
        <f>IFERROR(PROPERTIES[[#This Row],[TE_STARTING_KN]]/(PROPERTIES[[#This Row],[WEIGHT]]*9.81),0)</f>
        <v>0.26015120625212368</v>
      </c>
      <c r="AB224" s="19">
        <v>0</v>
      </c>
      <c r="AC224" s="16">
        <f>ROUND(IF(IFERROR(PROPERTIES[[#This Row],[TE_COEFFICIENT_CALC]],0)=0,PROPERTIES[[#This Row],[TE_COEFFICIENT_MANUAL]],PROPERTIES[[#This Row],[TE_COEFFICIENT_CALC]]),3)</f>
        <v>0.26</v>
      </c>
      <c r="AD224" s="8" cm="1">
        <f t="array" ref="AD2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4" s="26">
        <v>0</v>
      </c>
      <c r="AF224" s="6">
        <v>0</v>
      </c>
      <c r="AG224" t="s">
        <v>237</v>
      </c>
      <c r="AH224" t="s">
        <v>233</v>
      </c>
      <c r="AI224" t="s">
        <v>238</v>
      </c>
      <c r="AJ224" s="2" t="s">
        <v>229</v>
      </c>
      <c r="AK224" s="2" t="s">
        <v>244</v>
      </c>
      <c r="AL22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4" s="2" t="str">
        <f>SUBSTITUTE(SUBSTITUTE(PROPERTIES[[#This Row],[PURCHASECOST_VALUE]], "PURCHASECOST_", ""), "_VALUE", "")</f>
        <v>DIESELENGINE</v>
      </c>
      <c r="AO224" s="44" t="b">
        <v>0</v>
      </c>
      <c r="AP224" s="48" t="b">
        <v>0</v>
      </c>
      <c r="AQ224" s="48" t="b">
        <v>0</v>
      </c>
      <c r="AR224" s="48">
        <v>0</v>
      </c>
      <c r="AS224" s="48" t="b">
        <v>0</v>
      </c>
      <c r="AT224" s="7" t="b">
        <v>0</v>
      </c>
      <c r="AU224" s="40" t="str" cm="1">
        <f t="array" ref="AU224">_xlfn.XLOOKUP(PROPERTIES[[#This Row],[VEHIDCODE]],GRAPHICS_PROPERTIES[VEHIDCODE],GRAPHICS_PROPERTIES[TEMPLATE_ID]&amp;GRAPHICS_PROPERTIES[TEMPLATE_AMENDMENT_CODE])</f>
        <v>TPL_01A</v>
      </c>
    </row>
    <row r="225" spans="1:47" x14ac:dyDescent="0.35">
      <c r="A225" s="2" t="s">
        <v>3442</v>
      </c>
      <c r="B225">
        <v>1999</v>
      </c>
      <c r="D225" cm="1">
        <f t="array" ref="D2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5" s="40" t="str">
        <f>_xlfn.XLOOKUP(PROPERTIES[[#This Row],[VEHIDCODE]],CONTROL[VEHIDCODE],CONTROL[ENGLISH])</f>
        <v>Vossloh Siemens serie 77/78</v>
      </c>
      <c r="F225" t="s">
        <v>548</v>
      </c>
      <c r="G225" s="40" t="str">
        <f>_xlfn.XLOOKUP(PROPERTIES[[#This Row],[COUNTRY]],COUNTRIES[COUNTRY_DESCRIPTION],COUNTRIES[COUNTRY_LABEL],"")</f>
        <v>BE</v>
      </c>
      <c r="H225" t="str" cm="1">
        <f t="array" ref="H2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5" t="s">
        <v>17</v>
      </c>
      <c r="J225">
        <v>0</v>
      </c>
      <c r="K225">
        <v>7</v>
      </c>
      <c r="L225">
        <v>0</v>
      </c>
      <c r="M225" t="str" cm="1">
        <f t="array" ref="M2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5">
        <f>_xlfn.XLOOKUP("LOADINGSPEEDDEF_"&amp;PROPERTIES[[#This Row],[LOADINGSPEED]],LOADINGSPEEDDEF[TYPE],LOADINGSPEEDDEF[SPEED])</f>
        <v>20</v>
      </c>
      <c r="O225" t="str" cm="1">
        <f t="array" ref="O2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5">
        <f>IF(ISNUMBER(SEARCH("passenger",PROPERTIES[[#This Row],[CARGODEF]])),1,0)</f>
        <v>0</v>
      </c>
      <c r="Q225" s="23">
        <v>90</v>
      </c>
      <c r="R225">
        <v>1500</v>
      </c>
      <c r="S225">
        <v>0</v>
      </c>
      <c r="T225">
        <v>0</v>
      </c>
      <c r="U225">
        <v>0</v>
      </c>
      <c r="V225">
        <v>100</v>
      </c>
      <c r="W225">
        <v>0</v>
      </c>
      <c r="X225">
        <v>0</v>
      </c>
      <c r="Y225">
        <v>0</v>
      </c>
      <c r="Z225" s="20">
        <v>291</v>
      </c>
      <c r="AA225" s="19">
        <f>IFERROR(PROPERTIES[[#This Row],[TE_STARTING_KN]]/(PROPERTIES[[#This Row],[WEIGHT]]*9.81),0)</f>
        <v>0.3295956506965681</v>
      </c>
      <c r="AB225" s="19">
        <v>0</v>
      </c>
      <c r="AC225" s="16">
        <f>ROUND(IF(IFERROR(PROPERTIES[[#This Row],[TE_COEFFICIENT_CALC]],0)=0,PROPERTIES[[#This Row],[TE_COEFFICIENT_MANUAL]],PROPERTIES[[#This Row],[TE_COEFFICIENT_CALC]]),3)</f>
        <v>0.33</v>
      </c>
      <c r="AD225" s="8" cm="1">
        <f t="array" ref="AD2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5" s="26">
        <v>0</v>
      </c>
      <c r="AF225" s="6">
        <v>0</v>
      </c>
      <c r="AG225" t="s">
        <v>230</v>
      </c>
      <c r="AH225" t="s">
        <v>229</v>
      </c>
      <c r="AI225" t="s">
        <v>229</v>
      </c>
      <c r="AJ225" s="2" t="s">
        <v>229</v>
      </c>
      <c r="AK225" s="2" t="s">
        <v>244</v>
      </c>
      <c r="AL22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5" s="2" t="str">
        <f>SUBSTITUTE(SUBSTITUTE(PROPERTIES[[#This Row],[PURCHASECOST_VALUE]], "PURCHASECOST_", ""), "_VALUE", "")</f>
        <v>DIESELENGINE</v>
      </c>
      <c r="AO225" s="44" t="b">
        <v>0</v>
      </c>
      <c r="AP225" s="48" t="b">
        <v>0</v>
      </c>
      <c r="AQ225" s="48" t="b">
        <v>0</v>
      </c>
      <c r="AR225" s="48">
        <v>0</v>
      </c>
      <c r="AS225" s="48" t="b">
        <v>0</v>
      </c>
      <c r="AT225" s="7" t="b">
        <v>0</v>
      </c>
      <c r="AU225" s="40" t="str" cm="1">
        <f t="array" ref="AU225">_xlfn.XLOOKUP(PROPERTIES[[#This Row],[VEHIDCODE]],GRAPHICS_PROPERTIES[VEHIDCODE],GRAPHICS_PROPERTIES[TEMPLATE_ID]&amp;GRAPHICS_PROPERTIES[TEMPLATE_AMENDMENT_CODE])</f>
        <v>TPL_01A</v>
      </c>
    </row>
    <row r="226" spans="1:47" x14ac:dyDescent="0.35">
      <c r="A226" s="2" t="s">
        <v>2862</v>
      </c>
      <c r="B226">
        <v>1998</v>
      </c>
      <c r="D226" cm="1">
        <f t="array" ref="D2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6" s="40" t="str">
        <f>_xlfn.XLOOKUP(PROPERTIES[[#This Row],[VEHIDCODE]],CONTROL[VEHIDCODE],CONTROL[ENGLISH])</f>
        <v>EMD JT42CWRM</v>
      </c>
      <c r="F226" t="s">
        <v>603</v>
      </c>
      <c r="G226" s="40" t="str">
        <f>_xlfn.XLOOKUP(PROPERTIES[[#This Row],[COUNTRY]],COUNTRIES[COUNTRY_DESCRIPTION],COUNTRIES[COUNTRY_LABEL],"")</f>
        <v>GB</v>
      </c>
      <c r="H226" t="str" cm="1">
        <f t="array" ref="H2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6" t="s">
        <v>17</v>
      </c>
      <c r="J226">
        <v>0</v>
      </c>
      <c r="K226">
        <v>8</v>
      </c>
      <c r="L226">
        <v>0</v>
      </c>
      <c r="M226" t="str" cm="1">
        <f t="array" ref="M2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6">
        <f>_xlfn.XLOOKUP("LOADINGSPEEDDEF_"&amp;PROPERTIES[[#This Row],[LOADINGSPEED]],LOADINGSPEEDDEF[TYPE],LOADINGSPEEDDEF[SPEED])</f>
        <v>20</v>
      </c>
      <c r="O226" t="str" cm="1">
        <f t="array" ref="O2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6">
        <f>IF(ISNUMBER(SEARCH("passenger",PROPERTIES[[#This Row],[CARGODEF]])),1,0)</f>
        <v>0</v>
      </c>
      <c r="Q226" s="23">
        <v>126</v>
      </c>
      <c r="R226">
        <v>3200</v>
      </c>
      <c r="S226">
        <v>0</v>
      </c>
      <c r="T226">
        <v>0</v>
      </c>
      <c r="U226">
        <v>0</v>
      </c>
      <c r="V226">
        <v>120</v>
      </c>
      <c r="W226">
        <v>0</v>
      </c>
      <c r="X226">
        <v>0</v>
      </c>
      <c r="Y226">
        <v>0</v>
      </c>
      <c r="Z226" s="20">
        <v>409</v>
      </c>
      <c r="AA226" s="19">
        <f>IFERROR(PROPERTIES[[#This Row],[TE_STARTING_KN]]/(PROPERTIES[[#This Row],[WEIGHT]]*9.81),0)</f>
        <v>0.33089008624176813</v>
      </c>
      <c r="AB226" s="19">
        <v>0</v>
      </c>
      <c r="AC226" s="16">
        <f>ROUND(IF(IFERROR(PROPERTIES[[#This Row],[TE_COEFFICIENT_CALC]],0)=0,PROPERTIES[[#This Row],[TE_COEFFICIENT_MANUAL]],PROPERTIES[[#This Row],[TE_COEFFICIENT_CALC]]),3)</f>
        <v>0.33100000000000002</v>
      </c>
      <c r="AD226" s="8" cm="1">
        <f t="array" ref="AD2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6" s="26">
        <v>0</v>
      </c>
      <c r="AF226" s="6">
        <v>0</v>
      </c>
      <c r="AG226" t="s">
        <v>239</v>
      </c>
      <c r="AH226" t="s">
        <v>233</v>
      </c>
      <c r="AI226" t="s">
        <v>229</v>
      </c>
      <c r="AJ226" s="2" t="s">
        <v>229</v>
      </c>
      <c r="AK226" s="2" t="s">
        <v>244</v>
      </c>
      <c r="AL22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6" s="2" t="str">
        <f>SUBSTITUTE(SUBSTITUTE(PROPERTIES[[#This Row],[PURCHASECOST_VALUE]], "PURCHASECOST_", ""), "_VALUE", "")</f>
        <v>DIESELENGINE</v>
      </c>
      <c r="AO226" s="44" t="b">
        <v>0</v>
      </c>
      <c r="AP226" s="48" t="b">
        <v>0</v>
      </c>
      <c r="AQ226" s="48" t="b">
        <v>0</v>
      </c>
      <c r="AR226" s="48">
        <v>0</v>
      </c>
      <c r="AS226" s="48" t="b">
        <v>0</v>
      </c>
      <c r="AT226" s="7" t="b">
        <v>0</v>
      </c>
      <c r="AU226" s="40" t="str" cm="1">
        <f t="array" ref="AU226">_xlfn.XLOOKUP(PROPERTIES[[#This Row],[VEHIDCODE]],GRAPHICS_PROPERTIES[VEHIDCODE],GRAPHICS_PROPERTIES[TEMPLATE_ID]&amp;GRAPHICS_PROPERTIES[TEMPLATE_AMENDMENT_CODE])</f>
        <v>TPL_01A</v>
      </c>
    </row>
    <row r="227" spans="1:47" x14ac:dyDescent="0.35">
      <c r="A227" s="2" t="s">
        <v>2863</v>
      </c>
      <c r="B227">
        <v>1999</v>
      </c>
      <c r="C227">
        <v>2025</v>
      </c>
      <c r="D227" cm="1">
        <f t="array" ref="D2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7" s="40" t="str">
        <f>_xlfn.XLOOKUP(PROPERTIES[[#This Row],[VEHIDCODE]],CONTROL[VEHIDCODE],CONTROL[ENGLISH])</f>
        <v>EMD JT42HW-HS</v>
      </c>
      <c r="F227" t="s">
        <v>603</v>
      </c>
      <c r="G227" s="40" t="str">
        <f>_xlfn.XLOOKUP(PROPERTIES[[#This Row],[COUNTRY]],COUNTRIES[COUNTRY_DESCRIPTION],COUNTRIES[COUNTRY_LABEL],"")</f>
        <v>GB</v>
      </c>
      <c r="H227" t="str" cm="1">
        <f t="array" ref="H2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7" t="s">
        <v>17</v>
      </c>
      <c r="J227">
        <v>0</v>
      </c>
      <c r="K227">
        <v>8</v>
      </c>
      <c r="L227">
        <v>0</v>
      </c>
      <c r="M227" t="str" cm="1">
        <f t="array" ref="M2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7">
        <f>_xlfn.XLOOKUP("LOADINGSPEEDDEF_"&amp;PROPERTIES[[#This Row],[LOADINGSPEED]],LOADINGSPEEDDEF[TYPE],LOADINGSPEEDDEF[SPEED])</f>
        <v>20</v>
      </c>
      <c r="O227" t="str" cm="1">
        <f t="array" ref="O2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7">
        <f>IF(ISNUMBER(SEARCH("passenger",PROPERTIES[[#This Row],[CARGODEF]])),1,0)</f>
        <v>0</v>
      </c>
      <c r="Q227" s="23">
        <v>88</v>
      </c>
      <c r="R227">
        <v>3200</v>
      </c>
      <c r="S227">
        <v>0</v>
      </c>
      <c r="T227">
        <v>0</v>
      </c>
      <c r="U227">
        <v>0</v>
      </c>
      <c r="V227">
        <v>200</v>
      </c>
      <c r="W227">
        <v>0</v>
      </c>
      <c r="X227">
        <v>0</v>
      </c>
      <c r="Y227">
        <v>0</v>
      </c>
      <c r="Z227" s="20">
        <v>143</v>
      </c>
      <c r="AA227" s="19">
        <f>IFERROR(PROPERTIES[[#This Row],[TE_STARTING_KN]]/(PROPERTIES[[#This Row],[WEIGHT]]*9.81),0)</f>
        <v>0.16564729867482159</v>
      </c>
      <c r="AB227" s="19">
        <v>0</v>
      </c>
      <c r="AC227" s="16">
        <f>ROUND(IF(IFERROR(PROPERTIES[[#This Row],[TE_COEFFICIENT_CALC]],0)=0,PROPERTIES[[#This Row],[TE_COEFFICIENT_MANUAL]],PROPERTIES[[#This Row],[TE_COEFFICIENT_CALC]]),3)</f>
        <v>0.16600000000000001</v>
      </c>
      <c r="AD227" s="8" cm="1">
        <f t="array" ref="AD2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7" s="26">
        <v>0</v>
      </c>
      <c r="AF227" s="6">
        <v>0</v>
      </c>
      <c r="AG227" t="s">
        <v>234</v>
      </c>
      <c r="AH227" t="s">
        <v>229</v>
      </c>
      <c r="AI227" t="s">
        <v>229</v>
      </c>
      <c r="AJ227" s="2" t="s">
        <v>229</v>
      </c>
      <c r="AK227" s="2" t="s">
        <v>244</v>
      </c>
      <c r="AL22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7" s="2" t="str">
        <f>SUBSTITUTE(SUBSTITUTE(PROPERTIES[[#This Row],[PURCHASECOST_VALUE]], "PURCHASECOST_", ""), "_VALUE", "")</f>
        <v>DIESELENGINE</v>
      </c>
      <c r="AO227" s="44" t="b">
        <v>0</v>
      </c>
      <c r="AP227" s="48" t="b">
        <v>0</v>
      </c>
      <c r="AQ227" s="48" t="b">
        <v>0</v>
      </c>
      <c r="AR227" s="48">
        <v>0</v>
      </c>
      <c r="AS227" s="48" t="b">
        <v>0</v>
      </c>
      <c r="AT227" s="7" t="b">
        <v>0</v>
      </c>
      <c r="AU227" s="40" t="str" cm="1">
        <f t="array" ref="AU227">_xlfn.XLOOKUP(PROPERTIES[[#This Row],[VEHIDCODE]],GRAPHICS_PROPERTIES[VEHIDCODE],GRAPHICS_PROPERTIES[TEMPLATE_ID]&amp;GRAPHICS_PROPERTIES[TEMPLATE_AMENDMENT_CODE])</f>
        <v>TPL_01A</v>
      </c>
    </row>
    <row r="228" spans="1:47" x14ac:dyDescent="0.35">
      <c r="A228" s="2" t="s">
        <v>2864</v>
      </c>
      <c r="B228">
        <v>2002</v>
      </c>
      <c r="D228" cm="1">
        <f t="array" ref="D2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8" s="40" t="str">
        <f>_xlfn.XLOOKUP(PROPERTIES[[#This Row],[VEHIDCODE]],CONTROL[VEHIDCODE],CONTROL[ENGLISH])</f>
        <v>Alstom DE43CA 'Prima'</v>
      </c>
      <c r="F228" t="s">
        <v>634</v>
      </c>
      <c r="G228" s="40" t="str">
        <f>_xlfn.XLOOKUP(PROPERTIES[[#This Row],[COUNTRY]],COUNTRIES[COUNTRY_DESCRIPTION],COUNTRIES[COUNTRY_LABEL],"")</f>
        <v>IR</v>
      </c>
      <c r="H228" t="str" cm="1">
        <f t="array" ref="H2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8" t="s">
        <v>17</v>
      </c>
      <c r="J228">
        <v>0</v>
      </c>
      <c r="K228">
        <v>8</v>
      </c>
      <c r="L228">
        <v>0</v>
      </c>
      <c r="M228" t="str" cm="1">
        <f t="array" ref="M2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8">
        <f>_xlfn.XLOOKUP("LOADINGSPEEDDEF_"&amp;PROPERTIES[[#This Row],[LOADINGSPEED]],LOADINGSPEEDDEF[TYPE],LOADINGSPEEDDEF[SPEED])</f>
        <v>20</v>
      </c>
      <c r="O228" t="str" cm="1">
        <f t="array" ref="O2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8">
        <f>IF(ISNUMBER(SEARCH("passenger",PROPERTIES[[#This Row],[CARGODEF]])),1,0)</f>
        <v>0</v>
      </c>
      <c r="Q228" s="23">
        <v>123</v>
      </c>
      <c r="R228">
        <v>4300</v>
      </c>
      <c r="S228">
        <v>0</v>
      </c>
      <c r="T228">
        <v>0</v>
      </c>
      <c r="U228">
        <v>0</v>
      </c>
      <c r="V228">
        <v>160</v>
      </c>
      <c r="W228">
        <v>0</v>
      </c>
      <c r="X228">
        <v>0</v>
      </c>
      <c r="Y228">
        <v>0</v>
      </c>
      <c r="Z228" s="20">
        <v>542</v>
      </c>
      <c r="AA228" s="19">
        <f>IFERROR(PROPERTIES[[#This Row],[TE_STARTING_KN]]/(PROPERTIES[[#This Row],[WEIGHT]]*9.81),0)</f>
        <v>0.44918491998375637</v>
      </c>
      <c r="AB228" s="19">
        <v>0</v>
      </c>
      <c r="AC228" s="16">
        <f>ROUND(IF(IFERROR(PROPERTIES[[#This Row],[TE_COEFFICIENT_CALC]],0)=0,PROPERTIES[[#This Row],[TE_COEFFICIENT_MANUAL]],PROPERTIES[[#This Row],[TE_COEFFICIENT_CALC]]),3)</f>
        <v>0.44900000000000001</v>
      </c>
      <c r="AD228" s="8" cm="1">
        <f t="array" ref="AD2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28" s="26">
        <v>0</v>
      </c>
      <c r="AF228" s="6">
        <v>0</v>
      </c>
      <c r="AG228" t="s">
        <v>238</v>
      </c>
      <c r="AH228" t="s">
        <v>229</v>
      </c>
      <c r="AI228" t="s">
        <v>229</v>
      </c>
      <c r="AJ228" s="2" t="s">
        <v>229</v>
      </c>
      <c r="AK228" s="2" t="s">
        <v>244</v>
      </c>
      <c r="AL22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8" s="2" t="str">
        <f>SUBSTITUTE(SUBSTITUTE(PROPERTIES[[#This Row],[PURCHASECOST_VALUE]], "PURCHASECOST_", ""), "_VALUE", "")</f>
        <v>DIESELENGINE</v>
      </c>
      <c r="AO228" s="44" t="b">
        <v>0</v>
      </c>
      <c r="AP228" s="48" t="b">
        <v>0</v>
      </c>
      <c r="AQ228" s="48" t="b">
        <v>0</v>
      </c>
      <c r="AR228" s="48">
        <v>0</v>
      </c>
      <c r="AS228" s="48" t="b">
        <v>0</v>
      </c>
      <c r="AT228" s="7" t="b">
        <v>0</v>
      </c>
      <c r="AU228" s="40" t="str" cm="1">
        <f t="array" ref="AU228">_xlfn.XLOOKUP(PROPERTIES[[#This Row],[VEHIDCODE]],GRAPHICS_PROPERTIES[VEHIDCODE],GRAPHICS_PROPERTIES[TEMPLATE_ID]&amp;GRAPHICS_PROPERTIES[TEMPLATE_AMENDMENT_CODE])</f>
        <v>TPL_01A</v>
      </c>
    </row>
    <row r="229" spans="1:47" x14ac:dyDescent="0.35">
      <c r="A229" s="2" t="s">
        <v>2865</v>
      </c>
      <c r="B229">
        <v>2006</v>
      </c>
      <c r="D229" cm="1">
        <f t="array" ref="D2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9" s="40" t="str">
        <f>_xlfn.XLOOKUP(PROPERTIES[[#This Row],[VEHIDCODE]],CONTROL[VEHIDCODE],CONTROL[ENGLISH])</f>
        <v>LTZ TEP150</v>
      </c>
      <c r="F229" t="s">
        <v>754</v>
      </c>
      <c r="G229" s="40" t="str">
        <f>_xlfn.XLOOKUP(PROPERTIES[[#This Row],[COUNTRY]],COUNTRIES[COUNTRY_DESCRIPTION],COUNTRIES[COUNTRY_LABEL],"")</f>
        <v>UA</v>
      </c>
      <c r="H229" t="str" cm="1">
        <f t="array" ref="H2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9" t="s">
        <v>17</v>
      </c>
      <c r="J229">
        <v>0</v>
      </c>
      <c r="K229">
        <v>8</v>
      </c>
      <c r="L229">
        <v>0</v>
      </c>
      <c r="M229" t="str" cm="1">
        <f t="array" ref="M2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9">
        <f>_xlfn.XLOOKUP("LOADINGSPEEDDEF_"&amp;PROPERTIES[[#This Row],[LOADINGSPEED]],LOADINGSPEEDDEF[TYPE],LOADINGSPEEDDEF[SPEED])</f>
        <v>20</v>
      </c>
      <c r="O229" t="str" cm="1">
        <f t="array" ref="O2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9">
        <f>IF(ISNUMBER(SEARCH("passenger",PROPERTIES[[#This Row],[CARGODEF]])),1,0)</f>
        <v>0</v>
      </c>
      <c r="Q229" s="23">
        <v>135</v>
      </c>
      <c r="R229">
        <v>4216</v>
      </c>
      <c r="S229">
        <v>0</v>
      </c>
      <c r="T229">
        <v>0</v>
      </c>
      <c r="U229">
        <v>0</v>
      </c>
      <c r="V229">
        <v>160</v>
      </c>
      <c r="W229">
        <v>0</v>
      </c>
      <c r="X229">
        <v>0</v>
      </c>
      <c r="Y229">
        <v>0</v>
      </c>
      <c r="Z229" s="20">
        <v>310</v>
      </c>
      <c r="AA229" s="19">
        <f>IFERROR(PROPERTIES[[#This Row],[TE_STARTING_KN]]/(PROPERTIES[[#This Row],[WEIGHT]]*9.81),0)</f>
        <v>0.23407709442367952</v>
      </c>
      <c r="AB229" s="19">
        <v>0</v>
      </c>
      <c r="AC229" s="16">
        <f>ROUND(IF(IFERROR(PROPERTIES[[#This Row],[TE_COEFFICIENT_CALC]],0)=0,PROPERTIES[[#This Row],[TE_COEFFICIENT_MANUAL]],PROPERTIES[[#This Row],[TE_COEFFICIENT_CALC]]),3)</f>
        <v>0.23400000000000001</v>
      </c>
      <c r="AD229" s="8" cm="1">
        <f t="array" ref="AD2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29" s="26">
        <v>0</v>
      </c>
      <c r="AF229" s="6">
        <v>0</v>
      </c>
      <c r="AG229" t="s">
        <v>236</v>
      </c>
      <c r="AH229" t="s">
        <v>229</v>
      </c>
      <c r="AI229" t="s">
        <v>229</v>
      </c>
      <c r="AJ229" s="2" t="s">
        <v>229</v>
      </c>
      <c r="AK229" s="2" t="s">
        <v>244</v>
      </c>
      <c r="AL22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9" s="2" t="str">
        <f>SUBSTITUTE(SUBSTITUTE(PROPERTIES[[#This Row],[PURCHASECOST_VALUE]], "PURCHASECOST_", ""), "_VALUE", "")</f>
        <v>DIESELENGINE</v>
      </c>
      <c r="AO229" s="44" t="b">
        <v>0</v>
      </c>
      <c r="AP229" s="48" t="b">
        <v>0</v>
      </c>
      <c r="AQ229" s="48" t="b">
        <v>0</v>
      </c>
      <c r="AR229" s="48">
        <v>0</v>
      </c>
      <c r="AS229" s="48" t="b">
        <v>0</v>
      </c>
      <c r="AT229" s="7" t="b">
        <v>0</v>
      </c>
      <c r="AU229" s="40" t="str" cm="1">
        <f t="array" ref="AU229">_xlfn.XLOOKUP(PROPERTIES[[#This Row],[VEHIDCODE]],GRAPHICS_PROPERTIES[VEHIDCODE],GRAPHICS_PROPERTIES[TEMPLATE_ID]&amp;GRAPHICS_PROPERTIES[TEMPLATE_AMENDMENT_CODE])</f>
        <v>TPL_01A</v>
      </c>
    </row>
    <row r="230" spans="1:47" x14ac:dyDescent="0.35">
      <c r="A230" s="2" t="s">
        <v>2866</v>
      </c>
      <c r="B230">
        <v>2008</v>
      </c>
      <c r="D230" cm="1">
        <f t="array" ref="D2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0" s="40" t="str">
        <f>_xlfn.XLOOKUP(PROPERTIES[[#This Row],[VEHIDCODE]],CONTROL[VEHIDCODE],CONTROL[ENGLISH])</f>
        <v>GE/CRRC Qishuyan ES59ACi</v>
      </c>
      <c r="F230" t="s">
        <v>575</v>
      </c>
      <c r="G230" s="40" t="str">
        <f>_xlfn.XLOOKUP(PROPERTIES[[#This Row],[COUNTRY]],COUNTRIES[COUNTRY_DESCRIPTION],COUNTRIES[COUNTRY_LABEL],"")</f>
        <v>CN</v>
      </c>
      <c r="H230" t="str" cm="1">
        <f t="array" ref="H2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0" t="s">
        <v>17</v>
      </c>
      <c r="J230">
        <v>0</v>
      </c>
      <c r="K230">
        <v>8</v>
      </c>
      <c r="L230">
        <v>0</v>
      </c>
      <c r="M230" t="str" cm="1">
        <f t="array" ref="M2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0">
        <f>_xlfn.XLOOKUP("LOADINGSPEEDDEF_"&amp;PROPERTIES[[#This Row],[LOADINGSPEED]],LOADINGSPEEDDEF[TYPE],LOADINGSPEEDDEF[SPEED])</f>
        <v>20</v>
      </c>
      <c r="O230" t="str" cm="1">
        <f t="array" ref="O2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0">
        <f>IF(ISNUMBER(SEARCH("passenger",PROPERTIES[[#This Row],[CARGODEF]])),1,0)</f>
        <v>0</v>
      </c>
      <c r="Q230" s="23">
        <v>150</v>
      </c>
      <c r="R230">
        <v>6250</v>
      </c>
      <c r="S230">
        <v>0</v>
      </c>
      <c r="T230">
        <v>0</v>
      </c>
      <c r="U230">
        <v>0</v>
      </c>
      <c r="V230">
        <v>120</v>
      </c>
      <c r="W230">
        <v>0</v>
      </c>
      <c r="X230">
        <v>0</v>
      </c>
      <c r="Y230">
        <v>0</v>
      </c>
      <c r="Z230" s="20">
        <v>620</v>
      </c>
      <c r="AA230" s="19">
        <f>IFERROR(PROPERTIES[[#This Row],[TE_STARTING_KN]]/(PROPERTIES[[#This Row],[WEIGHT]]*9.81),0)</f>
        <v>0.42133876996262315</v>
      </c>
      <c r="AB230" s="19">
        <v>0</v>
      </c>
      <c r="AC230" s="16">
        <f>ROUND(IF(IFERROR(PROPERTIES[[#This Row],[TE_COEFFICIENT_CALC]],0)=0,PROPERTIES[[#This Row],[TE_COEFFICIENT_MANUAL]],PROPERTIES[[#This Row],[TE_COEFFICIENT_CALC]]),3)</f>
        <v>0.42099999999999999</v>
      </c>
      <c r="AD230" s="8" cm="1">
        <f t="array" ref="AD2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30" s="26">
        <v>0</v>
      </c>
      <c r="AF230" s="6">
        <v>0</v>
      </c>
      <c r="AG230" t="s">
        <v>238</v>
      </c>
      <c r="AH230" t="s">
        <v>229</v>
      </c>
      <c r="AI230" t="s">
        <v>229</v>
      </c>
      <c r="AJ230" s="2" t="s">
        <v>229</v>
      </c>
      <c r="AK230" s="2" t="s">
        <v>244</v>
      </c>
      <c r="AL23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0" s="2" t="str">
        <f>SUBSTITUTE(SUBSTITUTE(PROPERTIES[[#This Row],[PURCHASECOST_VALUE]], "PURCHASECOST_", ""), "_VALUE", "")</f>
        <v>DIESELENGINE</v>
      </c>
      <c r="AO230" s="44" t="b">
        <v>0</v>
      </c>
      <c r="AP230" s="48" t="b">
        <v>0</v>
      </c>
      <c r="AQ230" s="48" t="b">
        <v>0</v>
      </c>
      <c r="AR230" s="48">
        <v>0</v>
      </c>
      <c r="AS230" s="48" t="b">
        <v>0</v>
      </c>
      <c r="AT230" s="7" t="b">
        <v>0</v>
      </c>
      <c r="AU230" s="40" t="str" cm="1">
        <f t="array" ref="AU230">_xlfn.XLOOKUP(PROPERTIES[[#This Row],[VEHIDCODE]],GRAPHICS_PROPERTIES[VEHIDCODE],GRAPHICS_PROPERTIES[TEMPLATE_ID]&amp;GRAPHICS_PROPERTIES[TEMPLATE_AMENDMENT_CODE])</f>
        <v>TPL_01A</v>
      </c>
    </row>
    <row r="231" spans="1:47" x14ac:dyDescent="0.35">
      <c r="A231" s="2" t="s">
        <v>2867</v>
      </c>
      <c r="B231">
        <v>2010</v>
      </c>
      <c r="D231" cm="1">
        <f t="array" ref="D2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1" s="40" t="str">
        <f>_xlfn.XLOOKUP(PROPERTIES[[#This Row],[VEHIDCODE]],CONTROL[VEHIDCODE],CONTROL[ENGLISH])</f>
        <v>Voith Gravita 10 BB</v>
      </c>
      <c r="F231" t="s">
        <v>584</v>
      </c>
      <c r="G231" s="40" t="str">
        <f>_xlfn.XLOOKUP(PROPERTIES[[#This Row],[COUNTRY]],COUNTRIES[COUNTRY_DESCRIPTION],COUNTRIES[COUNTRY_LABEL],"")</f>
        <v>DE</v>
      </c>
      <c r="H231" t="str" cm="1">
        <f t="array" ref="H2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1" t="s">
        <v>17</v>
      </c>
      <c r="J231">
        <v>0</v>
      </c>
      <c r="K231">
        <v>8</v>
      </c>
      <c r="L231">
        <v>0</v>
      </c>
      <c r="M231" t="str" cm="1">
        <f t="array" ref="M2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1">
        <f>_xlfn.XLOOKUP("LOADINGSPEEDDEF_"&amp;PROPERTIES[[#This Row],[LOADINGSPEED]],LOADINGSPEEDDEF[TYPE],LOADINGSPEEDDEF[SPEED])</f>
        <v>20</v>
      </c>
      <c r="O231" t="str" cm="1">
        <f t="array" ref="O2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1">
        <f>IF(ISNUMBER(SEARCH("passenger",PROPERTIES[[#This Row],[CARGODEF]])),1,0)</f>
        <v>0</v>
      </c>
      <c r="Q231" s="23">
        <v>80</v>
      </c>
      <c r="R231">
        <v>1600</v>
      </c>
      <c r="S231">
        <v>0</v>
      </c>
      <c r="T231">
        <v>0</v>
      </c>
      <c r="U231">
        <v>0</v>
      </c>
      <c r="V231">
        <v>100</v>
      </c>
      <c r="W231">
        <v>0</v>
      </c>
      <c r="X231">
        <v>0</v>
      </c>
      <c r="Y231">
        <v>0</v>
      </c>
      <c r="Z231" s="20">
        <v>313</v>
      </c>
      <c r="AA231" s="19">
        <f>IFERROR(PROPERTIES[[#This Row],[TE_STARTING_KN]]/(PROPERTIES[[#This Row],[WEIGHT]]*9.81),0)</f>
        <v>0.39882772680937817</v>
      </c>
      <c r="AB231" s="19">
        <v>0</v>
      </c>
      <c r="AC231" s="16">
        <f>ROUND(IF(IFERROR(PROPERTIES[[#This Row],[TE_COEFFICIENT_CALC]],0)=0,PROPERTIES[[#This Row],[TE_COEFFICIENT_MANUAL]],PROPERTIES[[#This Row],[TE_COEFFICIENT_CALC]]),3)</f>
        <v>0.39900000000000002</v>
      </c>
      <c r="AD231" s="8" cm="1">
        <f t="array" ref="AD2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31" s="26">
        <v>0</v>
      </c>
      <c r="AF231" s="6">
        <v>0</v>
      </c>
      <c r="AG231" t="s">
        <v>230</v>
      </c>
      <c r="AH231" t="s">
        <v>229</v>
      </c>
      <c r="AI231" t="s">
        <v>229</v>
      </c>
      <c r="AJ231" s="2" t="s">
        <v>229</v>
      </c>
      <c r="AK231" s="2" t="s">
        <v>244</v>
      </c>
      <c r="AL23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1" s="2" t="str">
        <f>SUBSTITUTE(SUBSTITUTE(PROPERTIES[[#This Row],[PURCHASECOST_VALUE]], "PURCHASECOST_", ""), "_VALUE", "")</f>
        <v>DIESELENGINE</v>
      </c>
      <c r="AO231" s="44" t="b">
        <v>0</v>
      </c>
      <c r="AP231" s="48" t="b">
        <v>0</v>
      </c>
      <c r="AQ231" s="48" t="b">
        <v>0</v>
      </c>
      <c r="AR231" s="48">
        <v>0</v>
      </c>
      <c r="AS231" s="48" t="b">
        <v>0</v>
      </c>
      <c r="AT231" s="7" t="b">
        <v>0</v>
      </c>
      <c r="AU231" s="40" t="str" cm="1">
        <f t="array" ref="AU231">_xlfn.XLOOKUP(PROPERTIES[[#This Row],[VEHIDCODE]],GRAPHICS_PROPERTIES[VEHIDCODE],GRAPHICS_PROPERTIES[TEMPLATE_ID]&amp;GRAPHICS_PROPERTIES[TEMPLATE_AMENDMENT_CODE])</f>
        <v>TPL_01A</v>
      </c>
    </row>
    <row r="232" spans="1:47" x14ac:dyDescent="0.35">
      <c r="A232" s="2" t="s">
        <v>2868</v>
      </c>
      <c r="B232">
        <v>2011</v>
      </c>
      <c r="D232" cm="1">
        <f t="array" ref="D2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2" s="40" t="str">
        <f>_xlfn.XLOOKUP(PROPERTIES[[#This Row],[VEHIDCODE]],CONTROL[VEHIDCODE],CONTROL[ENGLISH])</f>
        <v>Voronezh/VNIIZHT GT1</v>
      </c>
      <c r="F232" t="s">
        <v>716</v>
      </c>
      <c r="G232" s="40" t="str">
        <f>_xlfn.XLOOKUP(PROPERTIES[[#This Row],[COUNTRY]],COUNTRIES[COUNTRY_DESCRIPTION],COUNTRIES[COUNTRY_LABEL],"")</f>
        <v>RU</v>
      </c>
      <c r="H232" t="str" cm="1">
        <f t="array" ref="H2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2" t="s">
        <v>17</v>
      </c>
      <c r="J232">
        <v>0</v>
      </c>
      <c r="K232">
        <v>8</v>
      </c>
      <c r="M232" t="str" cm="1">
        <f t="array" ref="M2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2">
        <f>_xlfn.XLOOKUP("LOADINGSPEEDDEF_"&amp;PROPERTIES[[#This Row],[LOADINGSPEED]],LOADINGSPEEDDEF[TYPE],LOADINGSPEEDDEF[SPEED])</f>
        <v>20</v>
      </c>
      <c r="O232" t="str" cm="1">
        <f t="array" ref="O2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2">
        <f>IF(ISNUMBER(SEARCH("passenger",PROPERTIES[[#This Row],[CARGODEF]])),1,0)</f>
        <v>0</v>
      </c>
      <c r="Q232" s="23">
        <v>300</v>
      </c>
      <c r="R232">
        <v>11130</v>
      </c>
      <c r="S232">
        <v>0</v>
      </c>
      <c r="T232">
        <v>0</v>
      </c>
      <c r="U232">
        <v>0</v>
      </c>
      <c r="V232">
        <v>100</v>
      </c>
      <c r="W232">
        <v>0</v>
      </c>
      <c r="X232">
        <v>0</v>
      </c>
      <c r="Y232">
        <v>0</v>
      </c>
      <c r="Z232" s="20">
        <v>775</v>
      </c>
      <c r="AA232" s="19">
        <f>IFERROR(PROPERTIES[[#This Row],[TE_STARTING_KN]]/(PROPERTIES[[#This Row],[WEIGHT]]*9.81),0)</f>
        <v>0.26333673122663948</v>
      </c>
      <c r="AB232" s="19">
        <v>0</v>
      </c>
      <c r="AC232" s="16">
        <f>ROUND(IF(IFERROR(PROPERTIES[[#This Row],[TE_COEFFICIENT_CALC]],0)=0,PROPERTIES[[#This Row],[TE_COEFFICIENT_MANUAL]],PROPERTIES[[#This Row],[TE_COEFFICIENT_CALC]]),3)</f>
        <v>0.26300000000000001</v>
      </c>
      <c r="AD232" s="8" cm="1">
        <f t="array" ref="AD2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32" s="26">
        <v>0</v>
      </c>
      <c r="AF232" s="6">
        <v>8</v>
      </c>
      <c r="AG232" t="s">
        <v>238</v>
      </c>
      <c r="AH232" t="s">
        <v>229</v>
      </c>
      <c r="AI232" t="s">
        <v>229</v>
      </c>
      <c r="AJ232" s="2" t="s">
        <v>229</v>
      </c>
      <c r="AK232" s="2" t="s">
        <v>244</v>
      </c>
      <c r="AL23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2" s="2" t="str">
        <f>SUBSTITUTE(SUBSTITUTE(PROPERTIES[[#This Row],[PURCHASECOST_VALUE]], "PURCHASECOST_", ""), "_VALUE", "")</f>
        <v>DIESELENGINE</v>
      </c>
      <c r="AO232" s="45" t="s">
        <v>3644</v>
      </c>
      <c r="AP232" s="48" t="b">
        <v>0</v>
      </c>
      <c r="AQ232" s="48" t="b">
        <v>0</v>
      </c>
      <c r="AR232" s="48">
        <v>0</v>
      </c>
      <c r="AS232" s="48" t="b">
        <v>0</v>
      </c>
      <c r="AT232" s="7" t="b">
        <v>0</v>
      </c>
      <c r="AU232" s="40" t="str" cm="1">
        <f t="array" ref="AU232">_xlfn.XLOOKUP(PROPERTIES[[#This Row],[VEHIDCODE]],GRAPHICS_PROPERTIES[VEHIDCODE],GRAPHICS_PROPERTIES[TEMPLATE_ID]&amp;GRAPHICS_PROPERTIES[TEMPLATE_AMENDMENT_CODE])</f>
        <v>TPL_03D</v>
      </c>
    </row>
    <row r="233" spans="1:47" x14ac:dyDescent="0.35">
      <c r="A233" s="2" t="s">
        <v>2869</v>
      </c>
      <c r="B233">
        <v>2003</v>
      </c>
      <c r="D233" cm="1">
        <f t="array" ref="D2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3" s="40" t="str">
        <f>_xlfn.XLOOKUP(PROPERTIES[[#This Row],[VEHIDCODE]],CONTROL[VEHIDCODE],CONTROL[ENGLISH])</f>
        <v>Siemens ER20 'Eurorunner'</v>
      </c>
      <c r="F233" t="s">
        <v>621</v>
      </c>
      <c r="G233" s="40" t="str">
        <f>_xlfn.XLOOKUP(PROPERTIES[[#This Row],[COUNTRY]],COUNTRIES[COUNTRY_DESCRIPTION],COUNTRIES[COUNTRY_LABEL],"")</f>
        <v>HK</v>
      </c>
      <c r="H233" t="str" cm="1">
        <f t="array" ref="H2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3" t="s">
        <v>17</v>
      </c>
      <c r="J233">
        <v>0</v>
      </c>
      <c r="K233">
        <v>8</v>
      </c>
      <c r="L233">
        <v>0</v>
      </c>
      <c r="M233" t="str" cm="1">
        <f t="array" ref="M2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3">
        <f>_xlfn.XLOOKUP("LOADINGSPEEDDEF_"&amp;PROPERTIES[[#This Row],[LOADINGSPEED]],LOADINGSPEEDDEF[TYPE],LOADINGSPEEDDEF[SPEED])</f>
        <v>20</v>
      </c>
      <c r="O233" t="str" cm="1">
        <f t="array" ref="O2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3">
        <f>IF(ISNUMBER(SEARCH("passenger",PROPERTIES[[#This Row],[CARGODEF]])),1,0)</f>
        <v>0</v>
      </c>
      <c r="Q233" s="23">
        <v>80</v>
      </c>
      <c r="R233">
        <v>2680</v>
      </c>
      <c r="S233">
        <v>0</v>
      </c>
      <c r="T233">
        <v>0</v>
      </c>
      <c r="U233">
        <v>0</v>
      </c>
      <c r="V233">
        <v>140</v>
      </c>
      <c r="W233">
        <v>0</v>
      </c>
      <c r="X233">
        <v>0</v>
      </c>
      <c r="Y233">
        <v>0</v>
      </c>
      <c r="Z233" s="20">
        <v>235</v>
      </c>
      <c r="AA233" s="19">
        <f>IFERROR(PROPERTIES[[#This Row],[TE_STARTING_KN]]/(PROPERTIES[[#This Row],[WEIGHT]]*9.81),0)</f>
        <v>0.29943934760448521</v>
      </c>
      <c r="AB233" s="19">
        <v>0</v>
      </c>
      <c r="AC233" s="16">
        <f>ROUND(IF(IFERROR(PROPERTIES[[#This Row],[TE_COEFFICIENT_CALC]],0)=0,PROPERTIES[[#This Row],[TE_COEFFICIENT_MANUAL]],PROPERTIES[[#This Row],[TE_COEFFICIENT_CALC]]),3)</f>
        <v>0.29899999999999999</v>
      </c>
      <c r="AD233" s="8" cm="1">
        <f t="array" ref="AD2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33" s="26">
        <v>0</v>
      </c>
      <c r="AF233" s="6">
        <v>0</v>
      </c>
      <c r="AG233" t="s">
        <v>238</v>
      </c>
      <c r="AH233" t="s">
        <v>230</v>
      </c>
      <c r="AI233" t="s">
        <v>236</v>
      </c>
      <c r="AJ233" s="2" t="s">
        <v>229</v>
      </c>
      <c r="AK233" s="2" t="s">
        <v>244</v>
      </c>
      <c r="AL23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3" s="2" t="str">
        <f>SUBSTITUTE(SUBSTITUTE(PROPERTIES[[#This Row],[PURCHASECOST_VALUE]], "PURCHASECOST_", ""), "_VALUE", "")</f>
        <v>DIESELENGINE</v>
      </c>
      <c r="AO233" s="44" t="b">
        <v>0</v>
      </c>
      <c r="AP233" s="48" t="b">
        <v>0</v>
      </c>
      <c r="AQ233" s="48" t="b">
        <v>0</v>
      </c>
      <c r="AR233" s="48">
        <v>0</v>
      </c>
      <c r="AS233" s="48" t="b">
        <v>0</v>
      </c>
      <c r="AT233" s="7" t="b">
        <v>0</v>
      </c>
      <c r="AU233" s="40" t="str" cm="1">
        <f t="array" ref="AU233">_xlfn.XLOOKUP(PROPERTIES[[#This Row],[VEHIDCODE]],GRAPHICS_PROPERTIES[VEHIDCODE],GRAPHICS_PROPERTIES[TEMPLATE_ID]&amp;GRAPHICS_PROPERTIES[TEMPLATE_AMENDMENT_CODE])</f>
        <v>TPL_01A</v>
      </c>
    </row>
    <row r="234" spans="1:47" x14ac:dyDescent="0.35">
      <c r="A234" s="2" t="s">
        <v>2870</v>
      </c>
      <c r="B234">
        <v>2010</v>
      </c>
      <c r="D234" cm="1">
        <f t="array" ref="D2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4" s="40" t="str">
        <f>_xlfn.XLOOKUP(PROPERTIES[[#This Row],[VEHIDCODE]],CONTROL[VEHIDCODE],CONTROL[ENGLISH])</f>
        <v>Voith Maxima 40 CC</v>
      </c>
      <c r="F234" t="s">
        <v>584</v>
      </c>
      <c r="G234" s="40" t="str">
        <f>_xlfn.XLOOKUP(PROPERTIES[[#This Row],[COUNTRY]],COUNTRIES[COUNTRY_DESCRIPTION],COUNTRIES[COUNTRY_LABEL],"")</f>
        <v>DE</v>
      </c>
      <c r="H234" t="str" cm="1">
        <f t="array" ref="H2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4" t="s">
        <v>17</v>
      </c>
      <c r="J234">
        <v>0</v>
      </c>
      <c r="K234">
        <v>8</v>
      </c>
      <c r="L234">
        <v>0</v>
      </c>
      <c r="M234" t="str" cm="1">
        <f t="array" ref="M2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4">
        <f>_xlfn.XLOOKUP("LOADINGSPEEDDEF_"&amp;PROPERTIES[[#This Row],[LOADINGSPEED]],LOADINGSPEEDDEF[TYPE],LOADINGSPEEDDEF[SPEED])</f>
        <v>20</v>
      </c>
      <c r="O234" t="str" cm="1">
        <f t="array" ref="O2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4">
        <f>IF(ISNUMBER(SEARCH("passenger",PROPERTIES[[#This Row],[CARGODEF]])),1,0)</f>
        <v>0</v>
      </c>
      <c r="Q234" s="23">
        <v>135</v>
      </c>
      <c r="R234">
        <v>4900</v>
      </c>
      <c r="S234">
        <v>0</v>
      </c>
      <c r="T234">
        <v>0</v>
      </c>
      <c r="U234">
        <v>0</v>
      </c>
      <c r="V234">
        <v>140</v>
      </c>
      <c r="W234">
        <v>0</v>
      </c>
      <c r="X234">
        <v>0</v>
      </c>
      <c r="Y234">
        <v>0</v>
      </c>
      <c r="Z234" s="20">
        <v>408</v>
      </c>
      <c r="AA234" s="19">
        <f>IFERROR(PROPERTIES[[#This Row],[TE_STARTING_KN]]/(PROPERTIES[[#This Row],[WEIGHT]]*9.81),0)</f>
        <v>0.30807565975761692</v>
      </c>
      <c r="AB234" s="19">
        <v>0</v>
      </c>
      <c r="AC234" s="16">
        <f>ROUND(IF(IFERROR(PROPERTIES[[#This Row],[TE_COEFFICIENT_CALC]],0)=0,PROPERTIES[[#This Row],[TE_COEFFICIENT_MANUAL]],PROPERTIES[[#This Row],[TE_COEFFICIENT_CALC]]),3)</f>
        <v>0.308</v>
      </c>
      <c r="AD234" s="8" cm="1">
        <f t="array" ref="AD2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34" s="26">
        <v>0</v>
      </c>
      <c r="AF234" s="6">
        <v>0</v>
      </c>
      <c r="AG234" t="s">
        <v>230</v>
      </c>
      <c r="AH234" t="s">
        <v>236</v>
      </c>
      <c r="AI234" t="s">
        <v>229</v>
      </c>
      <c r="AJ234" s="2" t="s">
        <v>229</v>
      </c>
      <c r="AK234" s="2" t="s">
        <v>244</v>
      </c>
      <c r="AL23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4" s="2" t="str">
        <f>SUBSTITUTE(SUBSTITUTE(PROPERTIES[[#This Row],[PURCHASECOST_VALUE]], "PURCHASECOST_", ""), "_VALUE", "")</f>
        <v>DIESELENGINE</v>
      </c>
      <c r="AO234" s="44" t="b">
        <v>0</v>
      </c>
      <c r="AP234" s="48" t="b">
        <v>0</v>
      </c>
      <c r="AQ234" s="48" t="b">
        <v>0</v>
      </c>
      <c r="AR234" s="48">
        <v>0</v>
      </c>
      <c r="AS234" s="48" t="b">
        <v>0</v>
      </c>
      <c r="AT234" s="7" t="b">
        <v>0</v>
      </c>
      <c r="AU234" s="40" t="str" cm="1">
        <f t="array" ref="AU234">_xlfn.XLOOKUP(PROPERTIES[[#This Row],[VEHIDCODE]],GRAPHICS_PROPERTIES[VEHIDCODE],GRAPHICS_PROPERTIES[TEMPLATE_ID]&amp;GRAPHICS_PROPERTIES[TEMPLATE_AMENDMENT_CODE])</f>
        <v>TPL_01A</v>
      </c>
    </row>
    <row r="235" spans="1:47" x14ac:dyDescent="0.35">
      <c r="A235" s="2" t="s">
        <v>2871</v>
      </c>
      <c r="B235">
        <v>1926</v>
      </c>
      <c r="D235" cm="1">
        <f t="array" ref="D2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5" s="40" t="str">
        <f>_xlfn.XLOOKUP(PROPERTIES[[#This Row],[VEHIDCODE]],CONTROL[VEHIDCODE],CONTROL[ENGLISH])</f>
        <v>Hohenzollern Emch3</v>
      </c>
      <c r="F235" t="s">
        <v>716</v>
      </c>
      <c r="G235" s="40" t="str">
        <f>_xlfn.XLOOKUP(PROPERTIES[[#This Row],[COUNTRY]],COUNTRIES[COUNTRY_DESCRIPTION],COUNTRIES[COUNTRY_LABEL],"")</f>
        <v>RU</v>
      </c>
      <c r="H235" t="str" cm="1">
        <f t="array" ref="H2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5" t="s">
        <v>17</v>
      </c>
      <c r="J235">
        <v>0</v>
      </c>
      <c r="K235">
        <v>7</v>
      </c>
      <c r="L235">
        <v>0</v>
      </c>
      <c r="M235" t="str" cm="1">
        <f t="array" ref="M2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5">
        <f>_xlfn.XLOOKUP("LOADINGSPEEDDEF_"&amp;PROPERTIES[[#This Row],[LOADINGSPEED]],LOADINGSPEEDDEF[TYPE],LOADINGSPEEDDEF[SPEED])</f>
        <v>20</v>
      </c>
      <c r="O235" cm="1">
        <f t="array" ref="O2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35">
        <f>IF(ISNUMBER(SEARCH("passenger",PROPERTIES[[#This Row],[CARGODEF]])),1,0)</f>
        <v>0</v>
      </c>
      <c r="Q235" s="23">
        <v>88</v>
      </c>
      <c r="R235">
        <v>1200</v>
      </c>
      <c r="S235">
        <v>0</v>
      </c>
      <c r="T235">
        <v>0</v>
      </c>
      <c r="U235">
        <v>0</v>
      </c>
      <c r="V235">
        <v>55</v>
      </c>
      <c r="W235">
        <v>0</v>
      </c>
      <c r="X235">
        <v>0</v>
      </c>
      <c r="Y235">
        <v>0</v>
      </c>
      <c r="Z235" s="20">
        <f>150*1.3</f>
        <v>195</v>
      </c>
      <c r="AA235" s="19">
        <f>IFERROR(PROPERTIES[[#This Row],[TE_STARTING_KN]]/(PROPERTIES[[#This Row],[WEIGHT]]*9.81),0)</f>
        <v>0.22588268001112036</v>
      </c>
      <c r="AB235" s="19">
        <v>0</v>
      </c>
      <c r="AC235" s="16">
        <f>ROUND(IF(IFERROR(PROPERTIES[[#This Row],[TE_COEFFICIENT_CALC]],0)=0,PROPERTIES[[#This Row],[TE_COEFFICIENT_MANUAL]],PROPERTIES[[#This Row],[TE_COEFFICIENT_CALC]]),3)</f>
        <v>0.22600000000000001</v>
      </c>
      <c r="AD235" s="8" cm="1">
        <f t="array" ref="AD2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35" s="26">
        <v>0</v>
      </c>
      <c r="AF235" s="6">
        <v>0</v>
      </c>
      <c r="AG235" t="s">
        <v>1948</v>
      </c>
      <c r="AH235" t="s">
        <v>229</v>
      </c>
      <c r="AI235" t="s">
        <v>229</v>
      </c>
      <c r="AJ235" s="2" t="s">
        <v>229</v>
      </c>
      <c r="AK235" s="2" t="s">
        <v>244</v>
      </c>
      <c r="AL23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5" s="2" t="str">
        <f>SUBSTITUTE(SUBSTITUTE(PROPERTIES[[#This Row],[PURCHASECOST_VALUE]], "PURCHASECOST_", ""), "_VALUE", "")</f>
        <v>DIESELENGINE</v>
      </c>
      <c r="AO235" s="44" t="b">
        <v>0</v>
      </c>
      <c r="AP235" s="48" t="b">
        <v>0</v>
      </c>
      <c r="AQ235" s="48" t="b">
        <v>0</v>
      </c>
      <c r="AR235" s="48">
        <v>0</v>
      </c>
      <c r="AS235" s="48" t="b">
        <v>0</v>
      </c>
      <c r="AT235" s="7" t="b">
        <v>0</v>
      </c>
      <c r="AU235" s="40" t="str" cm="1">
        <f t="array" ref="AU235">_xlfn.XLOOKUP(PROPERTIES[[#This Row],[VEHIDCODE]],GRAPHICS_PROPERTIES[VEHIDCODE],GRAPHICS_PROPERTIES[TEMPLATE_ID]&amp;GRAPHICS_PROPERTIES[TEMPLATE_AMENDMENT_CODE])</f>
        <v>TPL_03C</v>
      </c>
    </row>
    <row r="236" spans="1:47" x14ac:dyDescent="0.35">
      <c r="A236" s="2" t="s">
        <v>2872</v>
      </c>
      <c r="B236">
        <v>1928</v>
      </c>
      <c r="D236" cm="1">
        <f t="array" ref="D2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6" s="40" t="str">
        <f>_xlfn.XLOOKUP(PROPERTIES[[#This Row],[VEHIDCODE]],CONTROL[VEHIDCODE],CONTROL[ENGLISH])</f>
        <v>Canadian Locomotive Company V-1</v>
      </c>
      <c r="F236" t="s">
        <v>565</v>
      </c>
      <c r="G236" s="40" t="str">
        <f>_xlfn.XLOOKUP(PROPERTIES[[#This Row],[COUNTRY]],COUNTRIES[COUNTRY_DESCRIPTION],COUNTRIES[COUNTRY_LABEL],"")</f>
        <v>CA</v>
      </c>
      <c r="H236" t="str" cm="1">
        <f t="array" ref="H2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6" t="s">
        <v>17</v>
      </c>
      <c r="J236">
        <v>0</v>
      </c>
      <c r="K236">
        <v>7</v>
      </c>
      <c r="L236">
        <v>0</v>
      </c>
      <c r="M236" t="str" cm="1">
        <f t="array" ref="M2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6">
        <f>_xlfn.XLOOKUP("LOADINGSPEEDDEF_"&amp;PROPERTIES[[#This Row],[LOADINGSPEED]],LOADINGSPEEDDEF[TYPE],LOADINGSPEEDDEF[SPEED])</f>
        <v>20</v>
      </c>
      <c r="O236" cm="1">
        <f t="array" ref="O2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36">
        <f>IF(ISNUMBER(SEARCH("passenger",PROPERTIES[[#This Row],[CARGODEF]])),1,0)</f>
        <v>0</v>
      </c>
      <c r="Q236" s="23">
        <v>335</v>
      </c>
      <c r="R236">
        <v>2660</v>
      </c>
      <c r="S236">
        <v>0</v>
      </c>
      <c r="T236">
        <v>0</v>
      </c>
      <c r="U236">
        <v>0</v>
      </c>
      <c r="V236">
        <v>112</v>
      </c>
      <c r="W236">
        <v>0</v>
      </c>
      <c r="X236">
        <v>0</v>
      </c>
      <c r="Y236">
        <v>0</v>
      </c>
      <c r="Z236" s="20">
        <v>213.5</v>
      </c>
      <c r="AA236" s="19">
        <f>IFERROR(PROPERTIES[[#This Row],[TE_STARTING_KN]]/(PROPERTIES[[#This Row],[WEIGHT]]*9.81),0)</f>
        <v>6.4965691420572971E-2</v>
      </c>
      <c r="AB236" s="19">
        <v>0</v>
      </c>
      <c r="AC236" s="16">
        <f>ROUND(IF(IFERROR(PROPERTIES[[#This Row],[TE_COEFFICIENT_CALC]],0)=0,PROPERTIES[[#This Row],[TE_COEFFICIENT_MANUAL]],PROPERTIES[[#This Row],[TE_COEFFICIENT_CALC]]),3)</f>
        <v>6.5000000000000002E-2</v>
      </c>
      <c r="AD236" s="8" cm="1">
        <f t="array" ref="AD2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36" s="26">
        <v>0</v>
      </c>
      <c r="AF236" s="6">
        <v>7</v>
      </c>
      <c r="AG236" t="s">
        <v>235</v>
      </c>
      <c r="AH236" t="s">
        <v>229</v>
      </c>
      <c r="AI236" t="s">
        <v>229</v>
      </c>
      <c r="AJ236" s="2" t="s">
        <v>229</v>
      </c>
      <c r="AK236" s="2" t="s">
        <v>244</v>
      </c>
      <c r="AL23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6" s="2" t="str">
        <f>SUBSTITUTE(SUBSTITUTE(PROPERTIES[[#This Row],[PURCHASECOST_VALUE]], "PURCHASECOST_", ""), "_VALUE", "")</f>
        <v>DIESELENGINE</v>
      </c>
      <c r="AO236" s="44" t="b">
        <v>0</v>
      </c>
      <c r="AP236" s="48" t="b">
        <v>0</v>
      </c>
      <c r="AQ236" s="48" t="b">
        <v>0</v>
      </c>
      <c r="AR236" s="48">
        <v>0</v>
      </c>
      <c r="AS236" s="48" t="b">
        <v>0</v>
      </c>
      <c r="AT236" s="7" t="b">
        <v>0</v>
      </c>
      <c r="AU236" s="40" t="str" cm="1">
        <f t="array" ref="AU236">_xlfn.XLOOKUP(PROPERTIES[[#This Row],[VEHIDCODE]],GRAPHICS_PROPERTIES[VEHIDCODE],GRAPHICS_PROPERTIES[TEMPLATE_ID]&amp;GRAPHICS_PROPERTIES[TEMPLATE_AMENDMENT_CODE])</f>
        <v>TPL_03D</v>
      </c>
    </row>
    <row r="237" spans="1:47" x14ac:dyDescent="0.35">
      <c r="A237" s="2" t="s">
        <v>2873</v>
      </c>
      <c r="B237">
        <v>1932</v>
      </c>
      <c r="C237">
        <v>1960</v>
      </c>
      <c r="D237" cm="1">
        <f t="array" ref="D2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7" s="40" t="str">
        <f>_xlfn.XLOOKUP(PROPERTIES[[#This Row],[VEHIDCODE]],CONTROL[VEHIDCODE],CONTROL[ENGLISH])</f>
        <v>LMS 7051 Diesel Shunter</v>
      </c>
      <c r="F237" t="s">
        <v>603</v>
      </c>
      <c r="G237" s="40" t="str">
        <f>_xlfn.XLOOKUP(PROPERTIES[[#This Row],[COUNTRY]],COUNTRIES[COUNTRY_DESCRIPTION],COUNTRIES[COUNTRY_LABEL],"")</f>
        <v>GB</v>
      </c>
      <c r="H237" t="str" cm="1">
        <f t="array" ref="H2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7" t="s">
        <v>17</v>
      </c>
      <c r="J237">
        <v>0</v>
      </c>
      <c r="K237">
        <v>4</v>
      </c>
      <c r="L237">
        <v>0</v>
      </c>
      <c r="M237" t="str" cm="1">
        <f t="array" ref="M2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7">
        <f>_xlfn.XLOOKUP("LOADINGSPEEDDEF_"&amp;PROPERTIES[[#This Row],[LOADINGSPEED]],LOADINGSPEEDDEF[TYPE],LOADINGSPEEDDEF[SPEED])</f>
        <v>20</v>
      </c>
      <c r="O237" cm="1">
        <f t="array" ref="O2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37">
        <f>IF(ISNUMBER(SEARCH("passenger",PROPERTIES[[#This Row],[CARGODEF]])),1,0)</f>
        <v>0</v>
      </c>
      <c r="Q237" s="23">
        <v>22</v>
      </c>
      <c r="R237">
        <v>150</v>
      </c>
      <c r="S237">
        <v>0</v>
      </c>
      <c r="T237">
        <v>0</v>
      </c>
      <c r="U237">
        <v>0</v>
      </c>
      <c r="V237">
        <v>48</v>
      </c>
      <c r="W237">
        <v>0</v>
      </c>
      <c r="X237">
        <v>0</v>
      </c>
      <c r="Y237">
        <v>0</v>
      </c>
      <c r="Z237" s="20">
        <v>46.8</v>
      </c>
      <c r="AA237" s="19">
        <f>IFERROR(PROPERTIES[[#This Row],[TE_STARTING_KN]]/(PROPERTIES[[#This Row],[WEIGHT]]*9.81),0)</f>
        <v>0.21684737281067554</v>
      </c>
      <c r="AB237" s="19">
        <v>0</v>
      </c>
      <c r="AC237" s="16">
        <f>ROUND(IF(IFERROR(PROPERTIES[[#This Row],[TE_COEFFICIENT_CALC]],0)=0,PROPERTIES[[#This Row],[TE_COEFFICIENT_MANUAL]],PROPERTIES[[#This Row],[TE_COEFFICIENT_CALC]]),3)</f>
        <v>0.217</v>
      </c>
      <c r="AD237" s="8" cm="1">
        <f t="array" ref="AD2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37" s="26">
        <v>0</v>
      </c>
      <c r="AF237" s="6">
        <v>0</v>
      </c>
      <c r="AG237" t="s">
        <v>234</v>
      </c>
      <c r="AH237" t="s">
        <v>229</v>
      </c>
      <c r="AI237" t="s">
        <v>229</v>
      </c>
      <c r="AJ237" s="2" t="s">
        <v>229</v>
      </c>
      <c r="AK237" s="2" t="s">
        <v>244</v>
      </c>
      <c r="AL23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7" s="2" t="str">
        <f>SUBSTITUTE(SUBSTITUTE(PROPERTIES[[#This Row],[PURCHASECOST_VALUE]], "PURCHASECOST_", ""), "_VALUE", "")</f>
        <v>DIESELENGINE</v>
      </c>
      <c r="AO237" s="44" t="b">
        <v>0</v>
      </c>
      <c r="AP237" s="48" t="b">
        <v>0</v>
      </c>
      <c r="AQ237" s="48" t="b">
        <v>0</v>
      </c>
      <c r="AR237" s="48">
        <v>0</v>
      </c>
      <c r="AS237" s="48" t="b">
        <v>0</v>
      </c>
      <c r="AT237" s="7" t="b">
        <v>0</v>
      </c>
      <c r="AU237" s="40" t="str" cm="1">
        <f t="array" ref="AU237">_xlfn.XLOOKUP(PROPERTIES[[#This Row],[VEHIDCODE]],GRAPHICS_PROPERTIES[VEHIDCODE],GRAPHICS_PROPERTIES[TEMPLATE_ID]&amp;GRAPHICS_PROPERTIES[TEMPLATE_AMENDMENT_CODE])</f>
        <v>TPL_03C</v>
      </c>
    </row>
    <row r="238" spans="1:47" x14ac:dyDescent="0.35">
      <c r="A238" s="2" t="s">
        <v>2874</v>
      </c>
      <c r="B238">
        <v>1937</v>
      </c>
      <c r="C238">
        <v>1957</v>
      </c>
      <c r="D238" cm="1">
        <f t="array" ref="D2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8" s="40" t="str">
        <f>_xlfn.XLOOKUP(PROPERTIES[[#This Row],[VEHIDCODE]],CONTROL[VEHIDCODE],CONTROL[ENGLISH])</f>
        <v>EMC TA</v>
      </c>
      <c r="F238" t="s">
        <v>757</v>
      </c>
      <c r="G238" s="40" t="str">
        <f>_xlfn.XLOOKUP(PROPERTIES[[#This Row],[COUNTRY]],COUNTRIES[COUNTRY_DESCRIPTION],COUNTRIES[COUNTRY_LABEL],"")</f>
        <v>US</v>
      </c>
      <c r="H238" t="str" cm="1">
        <f t="array" ref="H2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8" t="s">
        <v>17</v>
      </c>
      <c r="J238">
        <v>0</v>
      </c>
      <c r="K238">
        <v>8</v>
      </c>
      <c r="L238">
        <v>0</v>
      </c>
      <c r="M238" t="str" cm="1">
        <f t="array" ref="M2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8">
        <f>_xlfn.XLOOKUP("LOADINGSPEEDDEF_"&amp;PROPERTIES[[#This Row],[LOADINGSPEED]],LOADINGSPEEDDEF[TYPE],LOADINGSPEEDDEF[SPEED])</f>
        <v>20</v>
      </c>
      <c r="O238" cm="1">
        <f t="array" ref="O2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38">
        <f>IF(ISNUMBER(SEARCH("passenger",PROPERTIES[[#This Row],[CARGODEF]])),1,0)</f>
        <v>0</v>
      </c>
      <c r="Q238" s="23">
        <v>98</v>
      </c>
      <c r="R238">
        <v>1200</v>
      </c>
      <c r="S238">
        <v>0</v>
      </c>
      <c r="T238">
        <v>0</v>
      </c>
      <c r="U238">
        <v>0</v>
      </c>
      <c r="V238">
        <v>180</v>
      </c>
      <c r="W238">
        <v>0</v>
      </c>
      <c r="X238">
        <v>0</v>
      </c>
      <c r="Y238">
        <v>0</v>
      </c>
      <c r="Z238" s="20">
        <v>125</v>
      </c>
      <c r="AA238" s="19">
        <f>IFERROR(PROPERTIES[[#This Row],[TE_STARTING_KN]]/(PROPERTIES[[#This Row],[WEIGHT]]*9.81),0)</f>
        <v>0.13002142753125714</v>
      </c>
      <c r="AB238" s="19">
        <v>0</v>
      </c>
      <c r="AC238" s="16">
        <f>ROUND(IF(IFERROR(PROPERTIES[[#This Row],[TE_COEFFICIENT_CALC]],0)=0,PROPERTIES[[#This Row],[TE_COEFFICIENT_MANUAL]],PROPERTIES[[#This Row],[TE_COEFFICIENT_CALC]]),3)</f>
        <v>0.13</v>
      </c>
      <c r="AD238" s="8" cm="1">
        <f t="array" ref="AD2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38" s="26">
        <v>0</v>
      </c>
      <c r="AF238" s="6">
        <v>0</v>
      </c>
      <c r="AG238" t="s">
        <v>235</v>
      </c>
      <c r="AH238" t="s">
        <v>229</v>
      </c>
      <c r="AI238" t="s">
        <v>229</v>
      </c>
      <c r="AJ238" s="2" t="s">
        <v>229</v>
      </c>
      <c r="AK238" s="2" t="s">
        <v>244</v>
      </c>
      <c r="AL23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8" s="2" t="str">
        <f>SUBSTITUTE(SUBSTITUTE(PROPERTIES[[#This Row],[PURCHASECOST_VALUE]], "PURCHASECOST_", ""), "_VALUE", "")</f>
        <v>DIESELENGINE</v>
      </c>
      <c r="AO238" s="44" t="b">
        <v>0</v>
      </c>
      <c r="AP238" s="48" t="b">
        <v>0</v>
      </c>
      <c r="AQ238" s="48" t="b">
        <v>0</v>
      </c>
      <c r="AR238" s="48">
        <v>0</v>
      </c>
      <c r="AS238" s="48" t="b">
        <v>0</v>
      </c>
      <c r="AT238" s="7" t="b">
        <v>0</v>
      </c>
      <c r="AU238" s="40" t="str" cm="1">
        <f t="array" ref="AU238">_xlfn.XLOOKUP(PROPERTIES[[#This Row],[VEHIDCODE]],GRAPHICS_PROPERTIES[VEHIDCODE],GRAPHICS_PROPERTIES[TEMPLATE_ID]&amp;GRAPHICS_PROPERTIES[TEMPLATE_AMENDMENT_CODE])</f>
        <v>TPL_01A</v>
      </c>
    </row>
    <row r="239" spans="1:47" x14ac:dyDescent="0.35">
      <c r="A239" s="2" t="s">
        <v>2875</v>
      </c>
      <c r="B239">
        <v>1939</v>
      </c>
      <c r="C239">
        <v>1960</v>
      </c>
      <c r="D239" cm="1">
        <f t="array" ref="D2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9" s="40" t="str">
        <f>_xlfn.XLOOKUP(PROPERTIES[[#This Row],[VEHIDCODE]],CONTROL[VEHIDCODE],CONTROL[ENGLISH])</f>
        <v>Baldwin VO-660</v>
      </c>
      <c r="F239" t="s">
        <v>757</v>
      </c>
      <c r="G239" s="40" t="str">
        <f>_xlfn.XLOOKUP(PROPERTIES[[#This Row],[COUNTRY]],COUNTRIES[COUNTRY_DESCRIPTION],COUNTRIES[COUNTRY_LABEL],"")</f>
        <v>US</v>
      </c>
      <c r="H239" t="str" cm="1">
        <f t="array" ref="H2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9" t="s">
        <v>17</v>
      </c>
      <c r="J239">
        <v>0</v>
      </c>
      <c r="K239">
        <v>6</v>
      </c>
      <c r="L239">
        <v>0</v>
      </c>
      <c r="M239" t="str" cm="1">
        <f t="array" ref="M2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9">
        <f>_xlfn.XLOOKUP("LOADINGSPEEDDEF_"&amp;PROPERTIES[[#This Row],[LOADINGSPEED]],LOADINGSPEEDDEF[TYPE],LOADINGSPEEDDEF[SPEED])</f>
        <v>20</v>
      </c>
      <c r="O239" cm="1">
        <f t="array" ref="O2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39">
        <f>IF(ISNUMBER(SEARCH("passenger",PROPERTIES[[#This Row],[CARGODEF]])),1,0)</f>
        <v>0</v>
      </c>
      <c r="Q239" s="23">
        <v>92</v>
      </c>
      <c r="R239">
        <v>660</v>
      </c>
      <c r="S239">
        <v>0</v>
      </c>
      <c r="T239">
        <v>0</v>
      </c>
      <c r="U239">
        <v>0</v>
      </c>
      <c r="V239">
        <v>64</v>
      </c>
      <c r="W239">
        <v>0</v>
      </c>
      <c r="X239">
        <v>0</v>
      </c>
      <c r="Y239">
        <v>0</v>
      </c>
      <c r="Z239" s="20">
        <v>226.84</v>
      </c>
      <c r="AA239" s="19">
        <f>IFERROR(PROPERTIES[[#This Row],[TE_STARTING_KN]]/(PROPERTIES[[#This Row],[WEIGHT]]*9.81),0)</f>
        <v>0.2513406905110136</v>
      </c>
      <c r="AB239" s="19">
        <v>0</v>
      </c>
      <c r="AC239" s="16">
        <f>ROUND(IF(IFERROR(PROPERTIES[[#This Row],[TE_COEFFICIENT_CALC]],0)=0,PROPERTIES[[#This Row],[TE_COEFFICIENT_MANUAL]],PROPERTIES[[#This Row],[TE_COEFFICIENT_CALC]]),3)</f>
        <v>0.251</v>
      </c>
      <c r="AD239" s="8" cm="1">
        <f t="array" ref="AD2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39" s="26">
        <v>0</v>
      </c>
      <c r="AF239" s="6">
        <v>0</v>
      </c>
      <c r="AG239" t="s">
        <v>235</v>
      </c>
      <c r="AH239" t="s">
        <v>229</v>
      </c>
      <c r="AI239" t="s">
        <v>229</v>
      </c>
      <c r="AJ239" s="2" t="s">
        <v>229</v>
      </c>
      <c r="AK239" s="2" t="s">
        <v>244</v>
      </c>
      <c r="AL23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9" s="2" t="str">
        <f>SUBSTITUTE(SUBSTITUTE(PROPERTIES[[#This Row],[PURCHASECOST_VALUE]], "PURCHASECOST_", ""), "_VALUE", "")</f>
        <v>DIESELENGINE</v>
      </c>
      <c r="AO239" s="44" t="b">
        <v>0</v>
      </c>
      <c r="AP239" s="48" t="b">
        <v>0</v>
      </c>
      <c r="AQ239" s="48" t="b">
        <v>0</v>
      </c>
      <c r="AR239" s="48">
        <v>0</v>
      </c>
      <c r="AS239" s="48" t="b">
        <v>0</v>
      </c>
      <c r="AT239" s="7" t="b">
        <v>0</v>
      </c>
      <c r="AU239" s="40" t="str" cm="1">
        <f t="array" ref="AU239">_xlfn.XLOOKUP(PROPERTIES[[#This Row],[VEHIDCODE]],GRAPHICS_PROPERTIES[VEHIDCODE],GRAPHICS_PROPERTIES[TEMPLATE_ID]&amp;GRAPHICS_PROPERTIES[TEMPLATE_AMENDMENT_CODE])</f>
        <v>TPL_01A</v>
      </c>
    </row>
    <row r="240" spans="1:47" x14ac:dyDescent="0.35">
      <c r="A240" s="2" t="s">
        <v>2876</v>
      </c>
      <c r="B240">
        <v>1939</v>
      </c>
      <c r="C240">
        <v>1964</v>
      </c>
      <c r="D240" cm="1">
        <f t="array" ref="D2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0" s="40" t="str">
        <f>_xlfn.XLOOKUP(PROPERTIES[[#This Row],[VEHIDCODE]],CONTROL[VEHIDCODE],CONTROL[ENGLISH])</f>
        <v>LMS No. 7080 'D3/7'</v>
      </c>
      <c r="F240" t="s">
        <v>603</v>
      </c>
      <c r="G240" s="40" t="str">
        <f>_xlfn.XLOOKUP(PROPERTIES[[#This Row],[COUNTRY]],COUNTRIES[COUNTRY_DESCRIPTION],COUNTRIES[COUNTRY_LABEL],"")</f>
        <v>GB</v>
      </c>
      <c r="H240" t="str" cm="1">
        <f t="array" ref="H2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0" t="s">
        <v>17</v>
      </c>
      <c r="J240">
        <v>0</v>
      </c>
      <c r="K240">
        <v>5</v>
      </c>
      <c r="L240">
        <v>0</v>
      </c>
      <c r="M240" t="str" cm="1">
        <f t="array" ref="M2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0">
        <f>_xlfn.XLOOKUP("LOADINGSPEEDDEF_"&amp;PROPERTIES[[#This Row],[LOADINGSPEED]],LOADINGSPEEDDEF[TYPE],LOADINGSPEEDDEF[SPEED])</f>
        <v>20</v>
      </c>
      <c r="O240" cm="1">
        <f t="array" ref="O2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0">
        <f>IF(ISNUMBER(SEARCH("passenger",PROPERTIES[[#This Row],[CARGODEF]])),1,0)</f>
        <v>0</v>
      </c>
      <c r="Q240" s="23">
        <v>55</v>
      </c>
      <c r="R240">
        <v>350</v>
      </c>
      <c r="S240">
        <v>0</v>
      </c>
      <c r="T240">
        <v>0</v>
      </c>
      <c r="U240">
        <v>0</v>
      </c>
      <c r="V240">
        <v>32</v>
      </c>
      <c r="W240">
        <v>0</v>
      </c>
      <c r="X240">
        <v>0</v>
      </c>
      <c r="Y240">
        <v>0</v>
      </c>
      <c r="Z240" s="20">
        <v>160</v>
      </c>
      <c r="AA240" s="19">
        <f>IFERROR(PROPERTIES[[#This Row],[TE_STARTING_KN]]/(PROPERTIES[[#This Row],[WEIGHT]]*9.81),0)</f>
        <v>0.2965434158094708</v>
      </c>
      <c r="AB240" s="19">
        <v>0</v>
      </c>
      <c r="AC240" s="16">
        <f>ROUND(IF(IFERROR(PROPERTIES[[#This Row],[TE_COEFFICIENT_CALC]],0)=0,PROPERTIES[[#This Row],[TE_COEFFICIENT_MANUAL]],PROPERTIES[[#This Row],[TE_COEFFICIENT_CALC]]),3)</f>
        <v>0.29699999999999999</v>
      </c>
      <c r="AD240" s="8" cm="1">
        <f t="array" ref="AD2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40" s="26">
        <v>0</v>
      </c>
      <c r="AF240" s="6">
        <v>0</v>
      </c>
      <c r="AG240" t="s">
        <v>234</v>
      </c>
      <c r="AH240" t="s">
        <v>229</v>
      </c>
      <c r="AI240" t="s">
        <v>229</v>
      </c>
      <c r="AJ240" s="2" t="s">
        <v>229</v>
      </c>
      <c r="AK240" s="2" t="s">
        <v>244</v>
      </c>
      <c r="AL24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0" s="2" t="str">
        <f>SUBSTITUTE(SUBSTITUTE(PROPERTIES[[#This Row],[PURCHASECOST_VALUE]], "PURCHASECOST_", ""), "_VALUE", "")</f>
        <v>DIESELENGINE</v>
      </c>
      <c r="AO240" s="44" t="b">
        <v>0</v>
      </c>
      <c r="AP240" s="48" t="b">
        <v>0</v>
      </c>
      <c r="AQ240" s="48" t="b">
        <v>0</v>
      </c>
      <c r="AR240" s="48">
        <v>0</v>
      </c>
      <c r="AS240" s="48" t="b">
        <v>0</v>
      </c>
      <c r="AT240" s="7" t="b">
        <v>0</v>
      </c>
      <c r="AU240" s="40" t="str" cm="1">
        <f t="array" ref="AU240">_xlfn.XLOOKUP(PROPERTIES[[#This Row],[VEHIDCODE]],GRAPHICS_PROPERTIES[VEHIDCODE],GRAPHICS_PROPERTIES[TEMPLATE_ID]&amp;GRAPHICS_PROPERTIES[TEMPLATE_AMENDMENT_CODE])</f>
        <v>TPL_03C</v>
      </c>
    </row>
    <row r="241" spans="1:47" x14ac:dyDescent="0.35">
      <c r="A241" s="2" t="s">
        <v>2877</v>
      </c>
      <c r="B241">
        <v>1939</v>
      </c>
      <c r="C241">
        <v>1988</v>
      </c>
      <c r="D241" cm="1">
        <f t="array" ref="D2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1" s="40" t="str">
        <f>_xlfn.XLOOKUP(PROPERTIES[[#This Row],[VEHIDCODE]],CONTROL[VEHIDCODE],CONTROL[ENGLISH])</f>
        <v>Queensland Railways DL</v>
      </c>
      <c r="F241" t="s">
        <v>541</v>
      </c>
      <c r="G241" s="40" t="str">
        <f>_xlfn.XLOOKUP(PROPERTIES[[#This Row],[COUNTRY]],COUNTRIES[COUNTRY_DESCRIPTION],COUNTRIES[COUNTRY_LABEL],"")</f>
        <v>AU</v>
      </c>
      <c r="H241" t="str" cm="1">
        <f t="array" ref="H2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1" t="s">
        <v>17</v>
      </c>
      <c r="J241">
        <v>0</v>
      </c>
      <c r="K241">
        <v>5</v>
      </c>
      <c r="L241">
        <v>0</v>
      </c>
      <c r="M241" t="str" cm="1">
        <f t="array" ref="M2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1">
        <f>_xlfn.XLOOKUP("LOADINGSPEEDDEF_"&amp;PROPERTIES[[#This Row],[LOADINGSPEED]],LOADINGSPEEDDEF[TYPE],LOADINGSPEEDDEF[SPEED])</f>
        <v>20</v>
      </c>
      <c r="O241" cm="1">
        <f t="array" ref="O2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1">
        <f>IF(ISNUMBER(SEARCH("passenger",PROPERTIES[[#This Row],[CARGODEF]])),1,0)</f>
        <v>0</v>
      </c>
      <c r="Q241" s="23">
        <v>18</v>
      </c>
      <c r="R241">
        <v>150</v>
      </c>
      <c r="S241">
        <v>0</v>
      </c>
      <c r="T241">
        <v>0</v>
      </c>
      <c r="U241">
        <v>0</v>
      </c>
      <c r="V241">
        <v>50</v>
      </c>
      <c r="W241">
        <v>0</v>
      </c>
      <c r="X241">
        <v>0</v>
      </c>
      <c r="Y241">
        <v>0</v>
      </c>
      <c r="Z241" s="20">
        <v>31</v>
      </c>
      <c r="AA241" s="19">
        <f>IFERROR(PROPERTIES[[#This Row],[TE_STARTING_KN]]/(PROPERTIES[[#This Row],[WEIGHT]]*9.81),0)</f>
        <v>0.17555782081775964</v>
      </c>
      <c r="AB241" s="19">
        <v>0</v>
      </c>
      <c r="AC241" s="16">
        <f>ROUND(IF(IFERROR(PROPERTIES[[#This Row],[TE_COEFFICIENT_CALC]],0)=0,PROPERTIES[[#This Row],[TE_COEFFICIENT_MANUAL]],PROPERTIES[[#This Row],[TE_COEFFICIENT_CALC]]),3)</f>
        <v>0.17599999999999999</v>
      </c>
      <c r="AD241" s="8" cm="1">
        <f t="array" ref="AD2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241" s="26">
        <v>0</v>
      </c>
      <c r="AF241" s="6">
        <v>0</v>
      </c>
      <c r="AG241" t="s">
        <v>232</v>
      </c>
      <c r="AH241" t="s">
        <v>229</v>
      </c>
      <c r="AI241" t="s">
        <v>229</v>
      </c>
      <c r="AJ241" s="2" t="s">
        <v>229</v>
      </c>
      <c r="AK241" s="2" t="s">
        <v>244</v>
      </c>
      <c r="AL24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1" s="2" t="str">
        <f>SUBSTITUTE(SUBSTITUTE(PROPERTIES[[#This Row],[PURCHASECOST_VALUE]], "PURCHASECOST_", ""), "_VALUE", "")</f>
        <v>DIESELENGINE</v>
      </c>
      <c r="AO241" s="44" t="b">
        <v>0</v>
      </c>
      <c r="AP241" s="48" t="b">
        <v>0</v>
      </c>
      <c r="AQ241" s="48" t="b">
        <v>0</v>
      </c>
      <c r="AR241" s="48">
        <v>0</v>
      </c>
      <c r="AS241" s="48" t="b">
        <v>0</v>
      </c>
      <c r="AT241" s="7" t="b">
        <v>0</v>
      </c>
      <c r="AU241" s="40" t="str" cm="1">
        <f t="array" ref="AU241">_xlfn.XLOOKUP(PROPERTIES[[#This Row],[VEHIDCODE]],GRAPHICS_PROPERTIES[VEHIDCODE],GRAPHICS_PROPERTIES[TEMPLATE_ID]&amp;GRAPHICS_PROPERTIES[TEMPLATE_AMENDMENT_CODE])</f>
        <v>TPL_03C</v>
      </c>
    </row>
    <row r="242" spans="1:47" x14ac:dyDescent="0.35">
      <c r="A242" s="2" t="s">
        <v>2878</v>
      </c>
      <c r="B242">
        <v>1944</v>
      </c>
      <c r="D242" cm="1">
        <f t="array" ref="D2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2" s="40" t="str">
        <f>_xlfn.XLOOKUP(PROPERTIES[[#This Row],[VEHIDCODE]],CONTROL[VEHIDCODE],CONTROL[ENGLISH])</f>
        <v>FM H-10-44</v>
      </c>
      <c r="F242" t="s">
        <v>757</v>
      </c>
      <c r="G242" s="40" t="str">
        <f>_xlfn.XLOOKUP(PROPERTIES[[#This Row],[COUNTRY]],COUNTRIES[COUNTRY_DESCRIPTION],COUNTRIES[COUNTRY_LABEL],"")</f>
        <v>US</v>
      </c>
      <c r="H242" t="str" cm="1">
        <f t="array" ref="H2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2" t="s">
        <v>17</v>
      </c>
      <c r="J242">
        <v>0</v>
      </c>
      <c r="K242">
        <v>6</v>
      </c>
      <c r="L242">
        <v>0</v>
      </c>
      <c r="M242" t="str" cm="1">
        <f t="array" ref="M2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2">
        <f>_xlfn.XLOOKUP("LOADINGSPEEDDEF_"&amp;PROPERTIES[[#This Row],[LOADINGSPEED]],LOADINGSPEEDDEF[TYPE],LOADINGSPEEDDEF[SPEED])</f>
        <v>20</v>
      </c>
      <c r="O242" cm="1">
        <f t="array" ref="O2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2">
        <f>IF(ISNUMBER(SEARCH("passenger",PROPERTIES[[#This Row],[CARGODEF]])),1,0)</f>
        <v>0</v>
      </c>
      <c r="Q242" s="23">
        <v>109</v>
      </c>
      <c r="R242">
        <v>1000</v>
      </c>
      <c r="S242">
        <v>0</v>
      </c>
      <c r="T242">
        <v>0</v>
      </c>
      <c r="U242">
        <v>0</v>
      </c>
      <c r="V242">
        <v>97</v>
      </c>
      <c r="W242">
        <v>0</v>
      </c>
      <c r="X242">
        <v>0</v>
      </c>
      <c r="Y242">
        <v>0</v>
      </c>
      <c r="Z242" s="20">
        <v>179.9</v>
      </c>
      <c r="AA242" s="19">
        <f>IFERROR(PROPERTIES[[#This Row],[TE_STARTING_KN]]/(PROPERTIES[[#This Row],[WEIGHT]]*9.81),0)</f>
        <v>0.16824247865406017</v>
      </c>
      <c r="AB242" s="19">
        <v>0</v>
      </c>
      <c r="AC242" s="16">
        <f>ROUND(IF(IFERROR(PROPERTIES[[#This Row],[TE_COEFFICIENT_CALC]],0)=0,PROPERTIES[[#This Row],[TE_COEFFICIENT_MANUAL]],PROPERTIES[[#This Row],[TE_COEFFICIENT_CALC]]),3)</f>
        <v>0.16800000000000001</v>
      </c>
      <c r="AD242" s="8" cm="1">
        <f t="array" ref="AD2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42" s="26">
        <v>0</v>
      </c>
      <c r="AF242" s="6">
        <v>0</v>
      </c>
      <c r="AG242" t="s">
        <v>235</v>
      </c>
      <c r="AH242" t="s">
        <v>229</v>
      </c>
      <c r="AI242" t="s">
        <v>229</v>
      </c>
      <c r="AJ242" s="2" t="s">
        <v>229</v>
      </c>
      <c r="AK242" s="2" t="s">
        <v>244</v>
      </c>
      <c r="AL24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2" s="2" t="str">
        <f>SUBSTITUTE(SUBSTITUTE(PROPERTIES[[#This Row],[PURCHASECOST_VALUE]], "PURCHASECOST_", ""), "_VALUE", "")</f>
        <v>DIESELENGINE</v>
      </c>
      <c r="AO242" s="44" t="b">
        <v>0</v>
      </c>
      <c r="AP242" s="48" t="b">
        <v>0</v>
      </c>
      <c r="AQ242" s="48" t="b">
        <v>0</v>
      </c>
      <c r="AR242" s="48">
        <v>0</v>
      </c>
      <c r="AS242" s="48" t="b">
        <v>0</v>
      </c>
      <c r="AT242" s="7" t="b">
        <v>0</v>
      </c>
      <c r="AU242" s="40" t="str" cm="1">
        <f t="array" ref="AU242">_xlfn.XLOOKUP(PROPERTIES[[#This Row],[VEHIDCODE]],GRAPHICS_PROPERTIES[VEHIDCODE],GRAPHICS_PROPERTIES[TEMPLATE_ID]&amp;GRAPHICS_PROPERTIES[TEMPLATE_AMENDMENT_CODE])</f>
        <v>TPL_01A</v>
      </c>
    </row>
    <row r="243" spans="1:47" x14ac:dyDescent="0.35">
      <c r="A243" s="2" t="s">
        <v>2879</v>
      </c>
      <c r="B243">
        <v>1948</v>
      </c>
      <c r="D243" cm="1">
        <f t="array" ref="D2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3" s="40" t="str">
        <f>_xlfn.XLOOKUP(PROPERTIES[[#This Row],[VEHIDCODE]],CONTROL[VEHIDCODE],CONTROL[ENGLISH])</f>
        <v>Baldwin DRS6-4-1000</v>
      </c>
      <c r="F243" t="s">
        <v>589</v>
      </c>
      <c r="G243" s="40" t="str">
        <f>_xlfn.XLOOKUP(PROPERTIES[[#This Row],[COUNTRY]],COUNTRIES[COUNTRY_DESCRIPTION],COUNTRIES[COUNTRY_LABEL],"")</f>
        <v>DZ</v>
      </c>
      <c r="H243" t="str" cm="1">
        <f t="array" ref="H2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3" t="s">
        <v>17</v>
      </c>
      <c r="J243">
        <v>0</v>
      </c>
      <c r="K243">
        <v>7</v>
      </c>
      <c r="L243">
        <v>0</v>
      </c>
      <c r="M243" t="str" cm="1">
        <f t="array" ref="M2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3">
        <f>_xlfn.XLOOKUP("LOADINGSPEEDDEF_"&amp;PROPERTIES[[#This Row],[LOADINGSPEED]],LOADINGSPEEDDEF[TYPE],LOADINGSPEEDDEF[SPEED])</f>
        <v>20</v>
      </c>
      <c r="O243" cm="1">
        <f t="array" ref="O2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3">
        <f>IF(ISNUMBER(SEARCH("passenger",PROPERTIES[[#This Row],[CARGODEF]])),1,0)</f>
        <v>0</v>
      </c>
      <c r="Q243" s="23">
        <v>92</v>
      </c>
      <c r="R243">
        <v>1000</v>
      </c>
      <c r="S243">
        <v>0</v>
      </c>
      <c r="T243">
        <v>0</v>
      </c>
      <c r="U243">
        <v>0</v>
      </c>
      <c r="V243">
        <v>80</v>
      </c>
      <c r="W243">
        <v>0</v>
      </c>
      <c r="X243">
        <v>0</v>
      </c>
      <c r="Y243">
        <v>0</v>
      </c>
      <c r="Z243" s="20">
        <v>0</v>
      </c>
      <c r="AA243" s="19">
        <f>IFERROR(PROPERTIES[[#This Row],[TE_STARTING_KN]]/(PROPERTIES[[#This Row],[WEIGHT]]*9.81),0)</f>
        <v>0</v>
      </c>
      <c r="AB243" s="19">
        <v>0.14000000000000001</v>
      </c>
      <c r="AC243" s="16">
        <f>ROUND(IF(IFERROR(PROPERTIES[[#This Row],[TE_COEFFICIENT_CALC]],0)=0,PROPERTIES[[#This Row],[TE_COEFFICIENT_MANUAL]],PROPERTIES[[#This Row],[TE_COEFFICIENT_CALC]]),3)</f>
        <v>0.14000000000000001</v>
      </c>
      <c r="AD243" s="8" cm="1">
        <f t="array" ref="AD2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43" s="26">
        <v>0</v>
      </c>
      <c r="AF243" s="6">
        <v>0</v>
      </c>
      <c r="AG243" t="s">
        <v>233</v>
      </c>
      <c r="AH243" t="s">
        <v>229</v>
      </c>
      <c r="AI243" t="s">
        <v>229</v>
      </c>
      <c r="AJ243" s="2" t="s">
        <v>229</v>
      </c>
      <c r="AK243" s="2" t="s">
        <v>244</v>
      </c>
      <c r="AL24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3" s="2" t="str">
        <f>SUBSTITUTE(SUBSTITUTE(PROPERTIES[[#This Row],[PURCHASECOST_VALUE]], "PURCHASECOST_", ""), "_VALUE", "")</f>
        <v>DIESELENGINE</v>
      </c>
      <c r="AO243" s="44" t="b">
        <v>0</v>
      </c>
      <c r="AP243" s="48" t="b">
        <v>0</v>
      </c>
      <c r="AQ243" s="48" t="b">
        <v>0</v>
      </c>
      <c r="AR243" s="48">
        <v>0</v>
      </c>
      <c r="AS243" s="48" t="b">
        <v>0</v>
      </c>
      <c r="AT243" s="7" t="b">
        <v>0</v>
      </c>
      <c r="AU243" s="40" t="str" cm="1">
        <f t="array" ref="AU243">_xlfn.XLOOKUP(PROPERTIES[[#This Row],[VEHIDCODE]],GRAPHICS_PROPERTIES[VEHIDCODE],GRAPHICS_PROPERTIES[TEMPLATE_ID]&amp;GRAPHICS_PROPERTIES[TEMPLATE_AMENDMENT_CODE])</f>
        <v>TPL_01A</v>
      </c>
    </row>
    <row r="244" spans="1:47" x14ac:dyDescent="0.35">
      <c r="A244" s="2" t="s">
        <v>2880</v>
      </c>
      <c r="B244">
        <v>1950</v>
      </c>
      <c r="C244">
        <v>1974</v>
      </c>
      <c r="D244" cm="1">
        <f t="array" ref="D2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4" s="40" t="str">
        <f>_xlfn.XLOOKUP(PROPERTIES[[#This Row],[VEHIDCODE]],CONTROL[VEHIDCODE],CONTROL[ENGLISH])</f>
        <v>CIE 113</v>
      </c>
      <c r="F244" t="s">
        <v>628</v>
      </c>
      <c r="G244" s="40" t="str">
        <f>_xlfn.XLOOKUP(PROPERTIES[[#This Row],[COUNTRY]],COUNTRIES[COUNTRY_DESCRIPTION],COUNTRIES[COUNTRY_LABEL],"")</f>
        <v>IE</v>
      </c>
      <c r="H244" t="str" cm="1">
        <f t="array" ref="H2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4" t="s">
        <v>17</v>
      </c>
      <c r="J244">
        <v>0</v>
      </c>
      <c r="K244">
        <v>8</v>
      </c>
      <c r="L244">
        <v>0</v>
      </c>
      <c r="M244" t="str" cm="1">
        <f t="array" ref="M2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4">
        <f>_xlfn.XLOOKUP("LOADINGSPEEDDEF_"&amp;PROPERTIES[[#This Row],[LOADINGSPEED]],LOADINGSPEEDDEF[TYPE],LOADINGSPEEDDEF[SPEED])</f>
        <v>20</v>
      </c>
      <c r="O244" cm="1">
        <f t="array" ref="O2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4">
        <f>IF(ISNUMBER(SEARCH("passenger",PROPERTIES[[#This Row],[CARGODEF]])),1,0)</f>
        <v>0</v>
      </c>
      <c r="Q244" s="23">
        <v>81</v>
      </c>
      <c r="R244">
        <v>915</v>
      </c>
      <c r="S244">
        <v>0</v>
      </c>
      <c r="T244">
        <v>0</v>
      </c>
      <c r="U244">
        <v>0</v>
      </c>
      <c r="V244">
        <v>88</v>
      </c>
      <c r="W244">
        <v>0</v>
      </c>
      <c r="X244">
        <v>0</v>
      </c>
      <c r="Y244">
        <v>0</v>
      </c>
      <c r="Z244" s="20">
        <v>205</v>
      </c>
      <c r="AA244" s="19">
        <f>IFERROR(PROPERTIES[[#This Row],[TE_STARTING_KN]]/(PROPERTIES[[#This Row],[WEIGHT]]*9.81),0)</f>
        <v>0.25798819546695861</v>
      </c>
      <c r="AB244" s="19">
        <v>0</v>
      </c>
      <c r="AC244" s="16">
        <f>ROUND(IF(IFERROR(PROPERTIES[[#This Row],[TE_COEFFICIENT_CALC]],0)=0,PROPERTIES[[#This Row],[TE_COEFFICIENT_MANUAL]],PROPERTIES[[#This Row],[TE_COEFFICIENT_CALC]]),3)</f>
        <v>0.25800000000000001</v>
      </c>
      <c r="AD244" s="8" cm="1">
        <f t="array" ref="AD2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4" s="26">
        <v>0</v>
      </c>
      <c r="AF244" s="6">
        <v>0</v>
      </c>
      <c r="AG244" t="s">
        <v>234</v>
      </c>
      <c r="AH244" t="s">
        <v>229</v>
      </c>
      <c r="AI244" t="s">
        <v>229</v>
      </c>
      <c r="AJ244" s="2" t="s">
        <v>229</v>
      </c>
      <c r="AK244" s="2" t="s">
        <v>244</v>
      </c>
      <c r="AL24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4" s="2" t="str">
        <f>SUBSTITUTE(SUBSTITUTE(PROPERTIES[[#This Row],[PURCHASECOST_VALUE]], "PURCHASECOST_", ""), "_VALUE", "")</f>
        <v>DIESELENGINE</v>
      </c>
      <c r="AO244" s="44" t="b">
        <v>0</v>
      </c>
      <c r="AP244" s="48" t="b">
        <v>0</v>
      </c>
      <c r="AQ244" s="48" t="b">
        <v>0</v>
      </c>
      <c r="AR244" s="48">
        <v>0</v>
      </c>
      <c r="AS244" s="48" t="b">
        <v>0</v>
      </c>
      <c r="AT244" s="7" t="b">
        <v>0</v>
      </c>
      <c r="AU244" s="40" t="str" cm="1">
        <f t="array" ref="AU244">_xlfn.XLOOKUP(PROPERTIES[[#This Row],[VEHIDCODE]],GRAPHICS_PROPERTIES[VEHIDCODE],GRAPHICS_PROPERTIES[TEMPLATE_ID]&amp;GRAPHICS_PROPERTIES[TEMPLATE_AMENDMENT_CODE])</f>
        <v>TPL_01A</v>
      </c>
    </row>
    <row r="245" spans="1:47" x14ac:dyDescent="0.35">
      <c r="A245" s="2" t="s">
        <v>2881</v>
      </c>
      <c r="B245">
        <v>1950</v>
      </c>
      <c r="C245">
        <v>1970</v>
      </c>
      <c r="D245" cm="1">
        <f t="array" ref="D2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5" s="40" t="str">
        <f>_xlfn.XLOOKUP(PROPERTIES[[#This Row],[VEHIDCODE]],CONTROL[VEHIDCODE],CONTROL[ENGLISH])</f>
        <v>Baldwin AS-616</v>
      </c>
      <c r="F245" t="s">
        <v>558</v>
      </c>
      <c r="G245" s="40" t="str">
        <f>_xlfn.XLOOKUP(PROPERTIES[[#This Row],[COUNTRY]],COUNTRIES[COUNTRY_DESCRIPTION],COUNTRIES[COUNTRY_LABEL],"")</f>
        <v>BR</v>
      </c>
      <c r="H245" t="str" cm="1">
        <f t="array" ref="H2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5" t="s">
        <v>17</v>
      </c>
      <c r="J245">
        <v>0</v>
      </c>
      <c r="K245">
        <v>8</v>
      </c>
      <c r="L245">
        <v>0</v>
      </c>
      <c r="M245" t="str" cm="1">
        <f t="array" ref="M2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5">
        <f>_xlfn.XLOOKUP("LOADINGSPEEDDEF_"&amp;PROPERTIES[[#This Row],[LOADINGSPEED]],LOADINGSPEEDDEF[TYPE],LOADINGSPEEDDEF[SPEED])</f>
        <v>20</v>
      </c>
      <c r="O245" cm="1">
        <f t="array" ref="O2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5">
        <f>IF(ISNUMBER(SEARCH("passenger",PROPERTIES[[#This Row],[CARGODEF]])),1,0)</f>
        <v>0</v>
      </c>
      <c r="Q245" s="23">
        <v>148</v>
      </c>
      <c r="R245">
        <v>1600</v>
      </c>
      <c r="S245">
        <v>0</v>
      </c>
      <c r="T245">
        <v>0</v>
      </c>
      <c r="U245">
        <v>0</v>
      </c>
      <c r="V245">
        <v>100</v>
      </c>
      <c r="W245">
        <v>0</v>
      </c>
      <c r="X245">
        <v>0</v>
      </c>
      <c r="Y245">
        <v>0</v>
      </c>
      <c r="Z245" s="20">
        <v>434</v>
      </c>
      <c r="AA245" s="19">
        <f>IFERROR(PROPERTIES[[#This Row],[TE_STARTING_KN]]/(PROPERTIES[[#This Row],[WEIGHT]]*9.81),0)</f>
        <v>0.29892277598699613</v>
      </c>
      <c r="AB245" s="19">
        <v>0</v>
      </c>
      <c r="AC245" s="16">
        <f>ROUND(IF(IFERROR(PROPERTIES[[#This Row],[TE_COEFFICIENT_CALC]],0)=0,PROPERTIES[[#This Row],[TE_COEFFICIENT_MANUAL]],PROPERTIES[[#This Row],[TE_COEFFICIENT_CALC]]),3)</f>
        <v>0.29899999999999999</v>
      </c>
      <c r="AD245" s="8" cm="1">
        <f t="array" ref="AD2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5" s="26">
        <v>0</v>
      </c>
      <c r="AF245" s="6">
        <v>0</v>
      </c>
      <c r="AG245" t="s">
        <v>240</v>
      </c>
      <c r="AH245" t="s">
        <v>229</v>
      </c>
      <c r="AI245" t="s">
        <v>229</v>
      </c>
      <c r="AJ245" s="2" t="s">
        <v>229</v>
      </c>
      <c r="AK245" s="2" t="s">
        <v>244</v>
      </c>
      <c r="AL24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5" s="2" t="str">
        <f>SUBSTITUTE(SUBSTITUTE(PROPERTIES[[#This Row],[PURCHASECOST_VALUE]], "PURCHASECOST_", ""), "_VALUE", "")</f>
        <v>DIESELENGINE</v>
      </c>
      <c r="AO245" s="44" t="b">
        <v>0</v>
      </c>
      <c r="AP245" s="48" t="b">
        <v>0</v>
      </c>
      <c r="AQ245" s="48" t="b">
        <v>0</v>
      </c>
      <c r="AR245" s="48">
        <v>0</v>
      </c>
      <c r="AS245" s="48" t="b">
        <v>0</v>
      </c>
      <c r="AT245" s="7" t="b">
        <v>0</v>
      </c>
      <c r="AU245" s="40" t="str" cm="1">
        <f t="array" ref="AU245">_xlfn.XLOOKUP(PROPERTIES[[#This Row],[VEHIDCODE]],GRAPHICS_PROPERTIES[VEHIDCODE],GRAPHICS_PROPERTIES[TEMPLATE_ID]&amp;GRAPHICS_PROPERTIES[TEMPLATE_AMENDMENT_CODE])</f>
        <v>TPL_01A</v>
      </c>
    </row>
    <row r="246" spans="1:47" x14ac:dyDescent="0.35">
      <c r="A246" s="2" t="s">
        <v>2882</v>
      </c>
      <c r="B246">
        <v>1950</v>
      </c>
      <c r="C246">
        <v>1970</v>
      </c>
      <c r="D246" cm="1">
        <f t="array" ref="D2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6" s="40" t="str">
        <f>_xlfn.XLOOKUP(PROPERTIES[[#This Row],[VEHIDCODE]],CONTROL[VEHIDCODE],CONTROL[ENGLISH])</f>
        <v>FM H-16-44</v>
      </c>
      <c r="F246" t="s">
        <v>683</v>
      </c>
      <c r="G246" s="40" t="str">
        <f>_xlfn.XLOOKUP(PROPERTIES[[#This Row],[COUNTRY]],COUNTRIES[COUNTRY_DESCRIPTION],COUNTRIES[COUNTRY_LABEL],"")</f>
        <v>MX</v>
      </c>
      <c r="H246" t="str" cm="1">
        <f t="array" ref="H2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6" t="s">
        <v>17</v>
      </c>
      <c r="J246">
        <v>0</v>
      </c>
      <c r="K246">
        <v>8</v>
      </c>
      <c r="L246">
        <v>0</v>
      </c>
      <c r="M246" t="str" cm="1">
        <f t="array" ref="M2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6">
        <f>_xlfn.XLOOKUP("LOADINGSPEEDDEF_"&amp;PROPERTIES[[#This Row],[LOADINGSPEED]],LOADINGSPEEDDEF[TYPE],LOADINGSPEEDDEF[SPEED])</f>
        <v>20</v>
      </c>
      <c r="O246" cm="1">
        <f t="array" ref="O2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6">
        <f>IF(ISNUMBER(SEARCH("passenger",PROPERTIES[[#This Row],[CARGODEF]])),1,0)</f>
        <v>0</v>
      </c>
      <c r="Q246" s="23">
        <v>113</v>
      </c>
      <c r="R246">
        <v>1600</v>
      </c>
      <c r="S246">
        <v>0</v>
      </c>
      <c r="T246">
        <v>0</v>
      </c>
      <c r="U246">
        <v>0</v>
      </c>
      <c r="V246">
        <v>105</v>
      </c>
      <c r="W246">
        <v>0</v>
      </c>
      <c r="X246">
        <v>0</v>
      </c>
      <c r="Y246">
        <v>0</v>
      </c>
      <c r="Z246" s="20">
        <v>187.4</v>
      </c>
      <c r="AA246" s="19">
        <f>IFERROR(PROPERTIES[[#This Row],[TE_STARTING_KN]]/(PROPERTIES[[#This Row],[WEIGHT]]*9.81),0)</f>
        <v>0.16905270944403852</v>
      </c>
      <c r="AB246" s="19">
        <v>0</v>
      </c>
      <c r="AC246" s="16">
        <f>ROUND(IF(IFERROR(PROPERTIES[[#This Row],[TE_COEFFICIENT_CALC]],0)=0,PROPERTIES[[#This Row],[TE_COEFFICIENT_MANUAL]],PROPERTIES[[#This Row],[TE_COEFFICIENT_CALC]]),3)</f>
        <v>0.16900000000000001</v>
      </c>
      <c r="AD246" s="8" cm="1">
        <f t="array" ref="AD2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6" s="26">
        <v>0</v>
      </c>
      <c r="AF246" s="6">
        <v>0</v>
      </c>
      <c r="AG246" t="s">
        <v>235</v>
      </c>
      <c r="AH246" t="s">
        <v>229</v>
      </c>
      <c r="AI246" t="s">
        <v>229</v>
      </c>
      <c r="AJ246" s="2" t="s">
        <v>229</v>
      </c>
      <c r="AK246" s="2" t="s">
        <v>244</v>
      </c>
      <c r="AL24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6" s="2" t="str">
        <f>SUBSTITUTE(SUBSTITUTE(PROPERTIES[[#This Row],[PURCHASECOST_VALUE]], "PURCHASECOST_", ""), "_VALUE", "")</f>
        <v>DIESELENGINE</v>
      </c>
      <c r="AO246" s="44" t="b">
        <v>0</v>
      </c>
      <c r="AP246" s="48" t="b">
        <v>0</v>
      </c>
      <c r="AQ246" s="48" t="b">
        <v>0</v>
      </c>
      <c r="AR246" s="48">
        <v>0</v>
      </c>
      <c r="AS246" s="48" t="b">
        <v>0</v>
      </c>
      <c r="AT246" s="7" t="b">
        <v>0</v>
      </c>
      <c r="AU246" s="40" t="str" cm="1">
        <f t="array" ref="AU246">_xlfn.XLOOKUP(PROPERTIES[[#This Row],[VEHIDCODE]],GRAPHICS_PROPERTIES[VEHIDCODE],GRAPHICS_PROPERTIES[TEMPLATE_ID]&amp;GRAPHICS_PROPERTIES[TEMPLATE_AMENDMENT_CODE])</f>
        <v>TPL_01A</v>
      </c>
    </row>
    <row r="247" spans="1:47" x14ac:dyDescent="0.35">
      <c r="A247" s="2" t="s">
        <v>2883</v>
      </c>
      <c r="B247">
        <v>1951</v>
      </c>
      <c r="C247">
        <v>1979</v>
      </c>
      <c r="D247" cm="1">
        <f t="array" ref="D2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7" s="40" t="str">
        <f>_xlfn.XLOOKUP(PROPERTIES[[#This Row],[VEHIDCODE]],CONTROL[VEHIDCODE],CONTROL[ENGLISH])</f>
        <v>Islington Railway Workshops SAR 900</v>
      </c>
      <c r="F247" t="s">
        <v>541</v>
      </c>
      <c r="G247" s="40" t="str">
        <f>_xlfn.XLOOKUP(PROPERTIES[[#This Row],[COUNTRY]],COUNTRIES[COUNTRY_DESCRIPTION],COUNTRIES[COUNTRY_LABEL],"")</f>
        <v>AU</v>
      </c>
      <c r="H247" t="str" cm="1">
        <f t="array" ref="H2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7" t="s">
        <v>17</v>
      </c>
      <c r="J247">
        <v>0</v>
      </c>
      <c r="K247">
        <v>8</v>
      </c>
      <c r="L247">
        <v>0</v>
      </c>
      <c r="M247" t="str" cm="1">
        <f t="array" ref="M2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7">
        <f>_xlfn.XLOOKUP("LOADINGSPEEDDEF_"&amp;PROPERTIES[[#This Row],[LOADINGSPEED]],LOADINGSPEEDDEF[TYPE],LOADINGSPEEDDEF[SPEED])</f>
        <v>20</v>
      </c>
      <c r="O247" cm="1">
        <f t="array" ref="O2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7">
        <f>IF(ISNUMBER(SEARCH("passenger",PROPERTIES[[#This Row],[CARGODEF]])),1,0)</f>
        <v>0</v>
      </c>
      <c r="Q247" s="23">
        <v>121</v>
      </c>
      <c r="R247">
        <v>1590</v>
      </c>
      <c r="S247">
        <v>0</v>
      </c>
      <c r="T247">
        <v>0</v>
      </c>
      <c r="U247">
        <v>0</v>
      </c>
      <c r="V247">
        <v>121</v>
      </c>
      <c r="W247">
        <v>0</v>
      </c>
      <c r="X247">
        <v>0</v>
      </c>
      <c r="Y247">
        <v>0</v>
      </c>
      <c r="Z247" s="20">
        <v>249.1</v>
      </c>
      <c r="AA247" s="19">
        <f>IFERROR(PROPERTIES[[#This Row],[TE_STARTING_KN]]/(PROPERTIES[[#This Row],[WEIGHT]]*9.81),0)</f>
        <v>0.20985501385834998</v>
      </c>
      <c r="AB247" s="19">
        <v>0</v>
      </c>
      <c r="AC247" s="16">
        <f>ROUND(IF(IFERROR(PROPERTIES[[#This Row],[TE_COEFFICIENT_CALC]],0)=0,PROPERTIES[[#This Row],[TE_COEFFICIENT_MANUAL]],PROPERTIES[[#This Row],[TE_COEFFICIENT_CALC]]),3)</f>
        <v>0.21</v>
      </c>
      <c r="AD247" s="8" cm="1">
        <f t="array" ref="AD2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7" s="26">
        <v>0</v>
      </c>
      <c r="AF247" s="6">
        <v>0</v>
      </c>
      <c r="AG247" t="s">
        <v>232</v>
      </c>
      <c r="AH247" t="s">
        <v>229</v>
      </c>
      <c r="AI247" t="s">
        <v>229</v>
      </c>
      <c r="AJ247" s="2" t="s">
        <v>229</v>
      </c>
      <c r="AK247" s="2" t="s">
        <v>244</v>
      </c>
      <c r="AL24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7" s="2" t="str">
        <f>SUBSTITUTE(SUBSTITUTE(PROPERTIES[[#This Row],[PURCHASECOST_VALUE]], "PURCHASECOST_", ""), "_VALUE", "")</f>
        <v>DIESELENGINE</v>
      </c>
      <c r="AO247" s="44" t="b">
        <v>0</v>
      </c>
      <c r="AP247" s="48" t="b">
        <v>0</v>
      </c>
      <c r="AQ247" s="48" t="b">
        <v>0</v>
      </c>
      <c r="AR247" s="48">
        <v>0</v>
      </c>
      <c r="AS247" s="48" t="b">
        <v>0</v>
      </c>
      <c r="AT247" s="7" t="b">
        <v>0</v>
      </c>
      <c r="AU247" s="40" t="str" cm="1">
        <f t="array" ref="AU247">_xlfn.XLOOKUP(PROPERTIES[[#This Row],[VEHIDCODE]],GRAPHICS_PROPERTIES[VEHIDCODE],GRAPHICS_PROPERTIES[TEMPLATE_ID]&amp;GRAPHICS_PROPERTIES[TEMPLATE_AMENDMENT_CODE])</f>
        <v>TPL_01A</v>
      </c>
    </row>
    <row r="248" spans="1:47" x14ac:dyDescent="0.35">
      <c r="A248" s="2" t="s">
        <v>2884</v>
      </c>
      <c r="B248">
        <v>1954</v>
      </c>
      <c r="C248">
        <v>2030</v>
      </c>
      <c r="D248" cm="1">
        <f t="array" ref="D2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8" s="40" t="str">
        <f>_xlfn.XLOOKUP(PROPERTIES[[#This Row],[VEHIDCODE]],CONTROL[VEHIDCODE],CONTROL[ENGLISH])</f>
        <v>EMD G12</v>
      </c>
      <c r="F248" t="s">
        <v>757</v>
      </c>
      <c r="G248" s="40" t="str">
        <f>_xlfn.XLOOKUP(PROPERTIES[[#This Row],[COUNTRY]],COUNTRIES[COUNTRY_DESCRIPTION],COUNTRIES[COUNTRY_LABEL],"")</f>
        <v>US</v>
      </c>
      <c r="H248" t="str" cm="1">
        <f t="array" ref="H2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8" t="s">
        <v>17</v>
      </c>
      <c r="J248">
        <v>0</v>
      </c>
      <c r="K248">
        <v>6</v>
      </c>
      <c r="L248">
        <v>0</v>
      </c>
      <c r="M248" t="str" cm="1">
        <f t="array" ref="M2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8">
        <f>_xlfn.XLOOKUP("LOADINGSPEEDDEF_"&amp;PROPERTIES[[#This Row],[LOADINGSPEED]],LOADINGSPEEDDEF[TYPE],LOADINGSPEEDDEF[SPEED])</f>
        <v>20</v>
      </c>
      <c r="O248" t="str" cm="1">
        <f t="array" ref="O2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48">
        <f>IF(ISNUMBER(SEARCH("passenger",PROPERTIES[[#This Row],[CARGODEF]])),1,0)</f>
        <v>0</v>
      </c>
      <c r="Q248" s="23">
        <v>79</v>
      </c>
      <c r="R248">
        <v>1425</v>
      </c>
      <c r="S248">
        <v>0</v>
      </c>
      <c r="T248">
        <v>0</v>
      </c>
      <c r="U248">
        <v>0</v>
      </c>
      <c r="V248">
        <v>112</v>
      </c>
      <c r="W248">
        <v>0</v>
      </c>
      <c r="X248">
        <v>0</v>
      </c>
      <c r="Y248">
        <v>0</v>
      </c>
      <c r="Z248" s="20">
        <v>0</v>
      </c>
      <c r="AA248" s="19">
        <f>IFERROR(PROPERTIES[[#This Row],[TE_STARTING_KN]]/(PROPERTIES[[#This Row],[WEIGHT]]*9.81),0)</f>
        <v>0</v>
      </c>
      <c r="AB248" s="19">
        <v>0.24</v>
      </c>
      <c r="AC248" s="16">
        <f>ROUND(IF(IFERROR(PROPERTIES[[#This Row],[TE_COEFFICIENT_CALC]],0)=0,PROPERTIES[[#This Row],[TE_COEFFICIENT_MANUAL]],PROPERTIES[[#This Row],[TE_COEFFICIENT_CALC]]),3)</f>
        <v>0.24</v>
      </c>
      <c r="AD248" s="8" cm="1">
        <f t="array" ref="AD2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76</v>
      </c>
      <c r="AE248" s="26">
        <v>0</v>
      </c>
      <c r="AF248" s="6">
        <v>0</v>
      </c>
      <c r="AG248" t="s">
        <v>1947</v>
      </c>
      <c r="AH248" t="s">
        <v>240</v>
      </c>
      <c r="AI248" t="s">
        <v>233</v>
      </c>
      <c r="AJ248" s="2" t="s">
        <v>1950</v>
      </c>
      <c r="AK248" s="2" t="s">
        <v>244</v>
      </c>
      <c r="AL24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8" s="2" t="str">
        <f>SUBSTITUTE(SUBSTITUTE(PROPERTIES[[#This Row],[PURCHASECOST_VALUE]], "PURCHASECOST_", ""), "_VALUE", "")</f>
        <v>DIESELENGINE</v>
      </c>
      <c r="AO248" s="44" t="b">
        <v>0</v>
      </c>
      <c r="AP248" s="48" t="b">
        <v>0</v>
      </c>
      <c r="AQ248" s="48" t="b">
        <v>0</v>
      </c>
      <c r="AR248" s="48">
        <v>0</v>
      </c>
      <c r="AS248" s="48" t="b">
        <v>0</v>
      </c>
      <c r="AT248" s="7" t="b">
        <v>0</v>
      </c>
      <c r="AU248" s="40" t="str" cm="1">
        <f t="array" ref="AU248">_xlfn.XLOOKUP(PROPERTIES[[#This Row],[VEHIDCODE]],GRAPHICS_PROPERTIES[VEHIDCODE],GRAPHICS_PROPERTIES[TEMPLATE_ID]&amp;GRAPHICS_PROPERTIES[TEMPLATE_AMENDMENT_CODE])</f>
        <v>TPL_01A</v>
      </c>
    </row>
    <row r="249" spans="1:47" x14ac:dyDescent="0.35">
      <c r="A249" s="2" t="s">
        <v>2885</v>
      </c>
      <c r="B249">
        <v>1955</v>
      </c>
      <c r="C249">
        <v>1973</v>
      </c>
      <c r="D249" cm="1">
        <f t="array" ref="D2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9" s="40" t="str">
        <f>_xlfn.XLOOKUP(PROPERTIES[[#This Row],[VEHIDCODE]],CONTROL[VEHIDCODE],CONTROL[ENGLISH])</f>
        <v>Metropolitan-Vickers/CIE 001</v>
      </c>
      <c r="F249" t="s">
        <v>628</v>
      </c>
      <c r="G249" s="40" t="str">
        <f>_xlfn.XLOOKUP(PROPERTIES[[#This Row],[COUNTRY]],COUNTRIES[COUNTRY_DESCRIPTION],COUNTRIES[COUNTRY_LABEL],"")</f>
        <v>IE</v>
      </c>
      <c r="H249" t="str" cm="1">
        <f t="array" ref="H2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9" t="s">
        <v>17</v>
      </c>
      <c r="J249">
        <v>0</v>
      </c>
      <c r="K249">
        <v>7</v>
      </c>
      <c r="L249">
        <v>0</v>
      </c>
      <c r="M249" t="str" cm="1">
        <f t="array" ref="M2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9">
        <f>_xlfn.XLOOKUP("LOADINGSPEEDDEF_"&amp;PROPERTIES[[#This Row],[LOADINGSPEED]],LOADINGSPEEDDEF[TYPE],LOADINGSPEEDDEF[SPEED])</f>
        <v>20</v>
      </c>
      <c r="O249" cm="1">
        <f t="array" ref="O2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9">
        <f>IF(ISNUMBER(SEARCH("passenger",PROPERTIES[[#This Row],[CARGODEF]])),1,0)</f>
        <v>0</v>
      </c>
      <c r="Q249" s="23">
        <v>82</v>
      </c>
      <c r="R249">
        <v>1325</v>
      </c>
      <c r="S249">
        <v>0</v>
      </c>
      <c r="T249">
        <v>0</v>
      </c>
      <c r="U249">
        <v>0</v>
      </c>
      <c r="V249">
        <v>120</v>
      </c>
      <c r="W249">
        <v>0</v>
      </c>
      <c r="X249">
        <v>0</v>
      </c>
      <c r="Y249">
        <v>0</v>
      </c>
      <c r="Z249" s="20">
        <v>275</v>
      </c>
      <c r="AA249" s="19">
        <f>IFERROR(PROPERTIES[[#This Row],[TE_STARTING_KN]]/(PROPERTIES[[#This Row],[WEIGHT]]*9.81),0)</f>
        <v>0.34186121677730535</v>
      </c>
      <c r="AB249" s="19">
        <v>0</v>
      </c>
      <c r="AC249" s="16">
        <f>ROUND(IF(IFERROR(PROPERTIES[[#This Row],[TE_COEFFICIENT_CALC]],0)=0,PROPERTIES[[#This Row],[TE_COEFFICIENT_MANUAL]],PROPERTIES[[#This Row],[TE_COEFFICIENT_CALC]]),3)</f>
        <v>0.34200000000000003</v>
      </c>
      <c r="AD249" s="8" cm="1">
        <f t="array" ref="AD2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9" s="26">
        <v>0</v>
      </c>
      <c r="AF249" s="6">
        <v>0</v>
      </c>
      <c r="AG249" t="s">
        <v>234</v>
      </c>
      <c r="AH249" t="s">
        <v>229</v>
      </c>
      <c r="AI249" t="s">
        <v>229</v>
      </c>
      <c r="AJ249" s="2" t="s">
        <v>229</v>
      </c>
      <c r="AK249" s="2" t="s">
        <v>244</v>
      </c>
      <c r="AL24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9" s="2" t="str">
        <f>SUBSTITUTE(SUBSTITUTE(PROPERTIES[[#This Row],[PURCHASECOST_VALUE]], "PURCHASECOST_", ""), "_VALUE", "")</f>
        <v>DIESELENGINE</v>
      </c>
      <c r="AO249" s="44" t="b">
        <v>0</v>
      </c>
      <c r="AP249" s="48" t="b">
        <v>0</v>
      </c>
      <c r="AQ249" s="48" t="b">
        <v>0</v>
      </c>
      <c r="AR249" s="48">
        <v>0</v>
      </c>
      <c r="AS249" s="48" t="b">
        <v>0</v>
      </c>
      <c r="AT249" s="7" t="b">
        <v>0</v>
      </c>
      <c r="AU249" s="40" t="str" cm="1">
        <f t="array" ref="AU249">_xlfn.XLOOKUP(PROPERTIES[[#This Row],[VEHIDCODE]],GRAPHICS_PROPERTIES[VEHIDCODE],GRAPHICS_PROPERTIES[TEMPLATE_ID]&amp;GRAPHICS_PROPERTIES[TEMPLATE_AMENDMENT_CODE])</f>
        <v>TPL_01A</v>
      </c>
    </row>
    <row r="250" spans="1:47" x14ac:dyDescent="0.35">
      <c r="A250" s="2" t="s">
        <v>2886</v>
      </c>
      <c r="B250">
        <v>1957</v>
      </c>
      <c r="C250">
        <v>2030</v>
      </c>
      <c r="D250" cm="1">
        <f t="array" ref="D2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0" s="40" t="str">
        <f>_xlfn.XLOOKUP(PROPERTIES[[#This Row],[VEHIDCODE]],CONTROL[VEHIDCODE],CONTROL[ENGLISH])</f>
        <v>Fiat Grandi Motori D.341</v>
      </c>
      <c r="F250" t="s">
        <v>636</v>
      </c>
      <c r="G250" s="40" t="str">
        <f>_xlfn.XLOOKUP(PROPERTIES[[#This Row],[COUNTRY]],COUNTRIES[COUNTRY_DESCRIPTION],COUNTRIES[COUNTRY_LABEL],"")</f>
        <v>IT</v>
      </c>
      <c r="H250" t="str" cm="1">
        <f t="array" ref="H2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0" t="s">
        <v>17</v>
      </c>
      <c r="J250">
        <v>0</v>
      </c>
      <c r="K250">
        <v>8</v>
      </c>
      <c r="L250">
        <v>0</v>
      </c>
      <c r="M250" t="str" cm="1">
        <f t="array" ref="M2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0">
        <f>_xlfn.XLOOKUP("LOADINGSPEEDDEF_"&amp;PROPERTIES[[#This Row],[LOADINGSPEED]],LOADINGSPEEDDEF[TYPE],LOADINGSPEEDDEF[SPEED])</f>
        <v>20</v>
      </c>
      <c r="O250" t="str" cm="1">
        <f t="array" ref="O2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0">
        <f>IF(ISNUMBER(SEARCH("passenger",PROPERTIES[[#This Row],[CARGODEF]])),1,0)</f>
        <v>0</v>
      </c>
      <c r="Q250" s="23">
        <v>67</v>
      </c>
      <c r="R250">
        <v>1380</v>
      </c>
      <c r="S250">
        <v>0</v>
      </c>
      <c r="T250">
        <v>0</v>
      </c>
      <c r="U250">
        <v>0</v>
      </c>
      <c r="V250">
        <v>110</v>
      </c>
      <c r="W250">
        <v>0</v>
      </c>
      <c r="X250">
        <v>0</v>
      </c>
      <c r="Y250">
        <v>0</v>
      </c>
      <c r="Z250" s="20">
        <v>0</v>
      </c>
      <c r="AA250" s="19">
        <f>IFERROR(PROPERTIES[[#This Row],[TE_STARTING_KN]]/(PROPERTIES[[#This Row],[WEIGHT]]*9.81),0)</f>
        <v>0</v>
      </c>
      <c r="AB250" s="19">
        <v>0.26</v>
      </c>
      <c r="AC250" s="16">
        <f>ROUND(IF(IFERROR(PROPERTIES[[#This Row],[TE_COEFFICIENT_CALC]],0)=0,PROPERTIES[[#This Row],[TE_COEFFICIENT_MANUAL]],PROPERTIES[[#This Row],[TE_COEFFICIENT_CALC]]),3)</f>
        <v>0.26</v>
      </c>
      <c r="AD250" s="8" cm="1">
        <f t="array" ref="AD2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73</v>
      </c>
      <c r="AE250" s="26">
        <v>0</v>
      </c>
      <c r="AF250" s="6">
        <v>0</v>
      </c>
      <c r="AG250" t="s">
        <v>231</v>
      </c>
      <c r="AH250" t="s">
        <v>229</v>
      </c>
      <c r="AI250" t="s">
        <v>229</v>
      </c>
      <c r="AJ250" s="2" t="s">
        <v>229</v>
      </c>
      <c r="AK250" s="2" t="s">
        <v>244</v>
      </c>
      <c r="AL25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0" s="2" t="str">
        <f>SUBSTITUTE(SUBSTITUTE(PROPERTIES[[#This Row],[PURCHASECOST_VALUE]], "PURCHASECOST_", ""), "_VALUE", "")</f>
        <v>DIESELENGINE</v>
      </c>
      <c r="AO250" s="44" t="b">
        <v>0</v>
      </c>
      <c r="AP250" s="48" t="b">
        <v>0</v>
      </c>
      <c r="AQ250" s="48" t="b">
        <v>0</v>
      </c>
      <c r="AR250" s="48">
        <v>0</v>
      </c>
      <c r="AS250" s="48" t="b">
        <v>0</v>
      </c>
      <c r="AT250" s="7" t="b">
        <v>0</v>
      </c>
      <c r="AU250" s="40" t="str" cm="1">
        <f t="array" ref="AU250">_xlfn.XLOOKUP(PROPERTIES[[#This Row],[VEHIDCODE]],GRAPHICS_PROPERTIES[VEHIDCODE],GRAPHICS_PROPERTIES[TEMPLATE_ID]&amp;GRAPHICS_PROPERTIES[TEMPLATE_AMENDMENT_CODE])</f>
        <v>TPL_01A</v>
      </c>
    </row>
    <row r="251" spans="1:47" x14ac:dyDescent="0.35">
      <c r="A251" s="2" t="s">
        <v>2887</v>
      </c>
      <c r="B251">
        <v>1957</v>
      </c>
      <c r="C251">
        <v>1987</v>
      </c>
      <c r="D251" cm="1">
        <f t="array" ref="D2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1" s="40" t="str">
        <f>_xlfn.XLOOKUP(PROPERTIES[[#This Row],[VEHIDCODE]],CONTROL[VEHIDCODE],CONTROL[ENGLISH])</f>
        <v>ALCO/AE Goodwin DL-500B</v>
      </c>
      <c r="F251" t="s">
        <v>541</v>
      </c>
      <c r="G251" s="40" t="str">
        <f>_xlfn.XLOOKUP(PROPERTIES[[#This Row],[COUNTRY]],COUNTRIES[COUNTRY_DESCRIPTION],COUNTRIES[COUNTRY_LABEL],"")</f>
        <v>AU</v>
      </c>
      <c r="H251" t="str" cm="1">
        <f t="array" ref="H2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1" t="s">
        <v>17</v>
      </c>
      <c r="J251">
        <v>0</v>
      </c>
      <c r="K251">
        <v>8</v>
      </c>
      <c r="L251">
        <v>0</v>
      </c>
      <c r="M251" t="str" cm="1">
        <f t="array" ref="M2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1">
        <f>_xlfn.XLOOKUP("LOADINGSPEEDDEF_"&amp;PROPERTIES[[#This Row],[LOADINGSPEED]],LOADINGSPEEDDEF[TYPE],LOADINGSPEEDDEF[SPEED])</f>
        <v>20</v>
      </c>
      <c r="O251" cm="1">
        <f t="array" ref="O2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51">
        <f>IF(ISNUMBER(SEARCH("passenger",PROPERTIES[[#This Row],[CARGODEF]])),1,0)</f>
        <v>0</v>
      </c>
      <c r="Q251" s="23">
        <v>112</v>
      </c>
      <c r="R251">
        <v>1950</v>
      </c>
      <c r="S251">
        <v>0</v>
      </c>
      <c r="T251">
        <v>0</v>
      </c>
      <c r="U251">
        <v>0</v>
      </c>
      <c r="V251">
        <v>129</v>
      </c>
      <c r="W251">
        <v>0</v>
      </c>
      <c r="X251">
        <v>0</v>
      </c>
      <c r="Y251">
        <v>0</v>
      </c>
      <c r="Z251" s="20">
        <v>254</v>
      </c>
      <c r="AA251" s="19">
        <f>IFERROR(PROPERTIES[[#This Row],[TE_STARTING_KN]]/(PROPERTIES[[#This Row],[WEIGHT]]*9.81),0)</f>
        <v>0.23117809815057522</v>
      </c>
      <c r="AB251" s="19">
        <v>0</v>
      </c>
      <c r="AC251" s="16">
        <f>ROUND(IF(IFERROR(PROPERTIES[[#This Row],[TE_COEFFICIENT_CALC]],0)=0,PROPERTIES[[#This Row],[TE_COEFFICIENT_MANUAL]],PROPERTIES[[#This Row],[TE_COEFFICIENT_CALC]]),3)</f>
        <v>0.23100000000000001</v>
      </c>
      <c r="AD251" s="8" cm="1">
        <f t="array" ref="AD2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1" s="26">
        <v>0</v>
      </c>
      <c r="AF251" s="6">
        <v>0</v>
      </c>
      <c r="AG251" t="s">
        <v>232</v>
      </c>
      <c r="AH251" t="s">
        <v>229</v>
      </c>
      <c r="AI251" t="s">
        <v>229</v>
      </c>
      <c r="AJ251" s="2" t="s">
        <v>229</v>
      </c>
      <c r="AK251" s="2" t="s">
        <v>244</v>
      </c>
      <c r="AL25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1" s="2" t="str">
        <f>SUBSTITUTE(SUBSTITUTE(PROPERTIES[[#This Row],[PURCHASECOST_VALUE]], "PURCHASECOST_", ""), "_VALUE", "")</f>
        <v>DIESELENGINE</v>
      </c>
      <c r="AO251" s="44" t="b">
        <v>0</v>
      </c>
      <c r="AP251" s="48" t="b">
        <v>0</v>
      </c>
      <c r="AQ251" s="48" t="b">
        <v>1</v>
      </c>
      <c r="AR251" s="48">
        <v>0</v>
      </c>
      <c r="AS251" s="48" t="b">
        <v>0</v>
      </c>
      <c r="AT251" s="7" t="b">
        <v>1</v>
      </c>
      <c r="AU251" s="40" t="str" cm="1">
        <f t="array" ref="AU251">_xlfn.XLOOKUP(PROPERTIES[[#This Row],[VEHIDCODE]],GRAPHICS_PROPERTIES[VEHIDCODE],GRAPHICS_PROPERTIES[TEMPLATE_ID]&amp;GRAPHICS_PROPERTIES[TEMPLATE_AMENDMENT_CODE])</f>
        <v>TPL_01A</v>
      </c>
    </row>
    <row r="252" spans="1:47" x14ac:dyDescent="0.35">
      <c r="A252" s="2" t="s">
        <v>2888</v>
      </c>
      <c r="B252">
        <v>1959</v>
      </c>
      <c r="C252">
        <v>1971</v>
      </c>
      <c r="D252" cm="1">
        <f t="array" ref="D2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2" s="40" t="str">
        <f>_xlfn.XLOOKUP(PROPERTIES[[#This Row],[VEHIDCODE]],CONTROL[VEHIDCODE],CONTROL[ENGLISH])</f>
        <v>Henschel DH-1420</v>
      </c>
      <c r="F252" t="s">
        <v>773</v>
      </c>
      <c r="G252" s="40" t="str">
        <f>_xlfn.XLOOKUP(PROPERTIES[[#This Row],[COUNTRY]],COUNTRIES[COUNTRY_DESCRIPTION],COUNTRIES[COUNTRY_LABEL],"")</f>
        <v>ZW</v>
      </c>
      <c r="H252" t="str" cm="1">
        <f t="array" ref="H2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2" t="s">
        <v>17</v>
      </c>
      <c r="J252">
        <v>0</v>
      </c>
      <c r="K252">
        <v>8</v>
      </c>
      <c r="L252">
        <v>0</v>
      </c>
      <c r="M252" t="str" cm="1">
        <f t="array" ref="M2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2">
        <f>_xlfn.XLOOKUP("LOADINGSPEEDDEF_"&amp;PROPERTIES[[#This Row],[LOADINGSPEED]],LOADINGSPEEDDEF[TYPE],LOADINGSPEEDDEF[SPEED])</f>
        <v>20</v>
      </c>
      <c r="O252" cm="1">
        <f t="array" ref="O2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52">
        <f>IF(ISNUMBER(SEARCH("passenger",PROPERTIES[[#This Row],[CARGODEF]])),1,0)</f>
        <v>0</v>
      </c>
      <c r="Q252" s="23">
        <v>76</v>
      </c>
      <c r="R252">
        <v>1316</v>
      </c>
      <c r="S252">
        <v>0</v>
      </c>
      <c r="T252">
        <v>0</v>
      </c>
      <c r="U252">
        <v>0</v>
      </c>
      <c r="V252">
        <v>89</v>
      </c>
      <c r="W252">
        <v>0</v>
      </c>
      <c r="X252">
        <v>0</v>
      </c>
      <c r="Y252">
        <v>0</v>
      </c>
      <c r="Z252" s="20">
        <v>197.2</v>
      </c>
      <c r="AA252" s="19">
        <f>IFERROR(PROPERTIES[[#This Row],[TE_STARTING_KN]]/(PROPERTIES[[#This Row],[WEIGHT]]*9.81),0)</f>
        <v>0.26449916841032239</v>
      </c>
      <c r="AB252" s="19">
        <v>0</v>
      </c>
      <c r="AC252" s="16">
        <f>ROUND(IF(IFERROR(PROPERTIES[[#This Row],[TE_COEFFICIENT_CALC]],0)=0,PROPERTIES[[#This Row],[TE_COEFFICIENT_MANUAL]],PROPERTIES[[#This Row],[TE_COEFFICIENT_CALC]]),3)</f>
        <v>0.26400000000000001</v>
      </c>
      <c r="AD252" s="8" cm="1">
        <f t="array" ref="AD2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2" s="26">
        <v>0</v>
      </c>
      <c r="AF252" s="6">
        <v>0</v>
      </c>
      <c r="AG252" t="s">
        <v>233</v>
      </c>
      <c r="AH252" t="s">
        <v>229</v>
      </c>
      <c r="AI252" t="s">
        <v>229</v>
      </c>
      <c r="AJ252" s="2" t="s">
        <v>229</v>
      </c>
      <c r="AK252" s="2" t="s">
        <v>244</v>
      </c>
      <c r="AL25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2" s="2" t="str">
        <f>SUBSTITUTE(SUBSTITUTE(PROPERTIES[[#This Row],[PURCHASECOST_VALUE]], "PURCHASECOST_", ""), "_VALUE", "")</f>
        <v>DIESELENGINE</v>
      </c>
      <c r="AO252" s="44" t="b">
        <v>0</v>
      </c>
      <c r="AP252" s="48" t="b">
        <v>0</v>
      </c>
      <c r="AQ252" s="48" t="b">
        <v>0</v>
      </c>
      <c r="AR252" s="48">
        <v>0</v>
      </c>
      <c r="AS252" s="48" t="b">
        <v>0</v>
      </c>
      <c r="AT252" s="7" t="b">
        <v>0</v>
      </c>
      <c r="AU252" s="40" t="str" cm="1">
        <f t="array" ref="AU252">_xlfn.XLOOKUP(PROPERTIES[[#This Row],[VEHIDCODE]],GRAPHICS_PROPERTIES[VEHIDCODE],GRAPHICS_PROPERTIES[TEMPLATE_ID]&amp;GRAPHICS_PROPERTIES[TEMPLATE_AMENDMENT_CODE])</f>
        <v>TPL_01A</v>
      </c>
    </row>
    <row r="253" spans="1:47" x14ac:dyDescent="0.35">
      <c r="A253" s="2" t="s">
        <v>2889</v>
      </c>
      <c r="B253">
        <v>1960</v>
      </c>
      <c r="C253">
        <v>1998</v>
      </c>
      <c r="D253" cm="1">
        <f t="array" ref="D2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3" s="40" t="str">
        <f>_xlfn.XLOOKUP(PROPERTIES[[#This Row],[VEHIDCODE]],CONTROL[VEHIDCODE],CONTROL[ENGLISH])</f>
        <v>EMD SD18</v>
      </c>
      <c r="F253" t="s">
        <v>757</v>
      </c>
      <c r="G253" s="40" t="str">
        <f>_xlfn.XLOOKUP(PROPERTIES[[#This Row],[COUNTRY]],COUNTRIES[COUNTRY_DESCRIPTION],COUNTRIES[COUNTRY_LABEL],"")</f>
        <v>US</v>
      </c>
      <c r="H253" t="str" cm="1">
        <f t="array" ref="H2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3" t="s">
        <v>17</v>
      </c>
      <c r="J253">
        <v>0</v>
      </c>
      <c r="K253">
        <v>8</v>
      </c>
      <c r="L253">
        <v>0</v>
      </c>
      <c r="M253" t="str" cm="1">
        <f t="array" ref="M2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3">
        <f>_xlfn.XLOOKUP("LOADINGSPEEDDEF_"&amp;PROPERTIES[[#This Row],[LOADINGSPEED]],LOADINGSPEEDDEF[TYPE],LOADINGSPEEDDEF[SPEED])</f>
        <v>20</v>
      </c>
      <c r="O253" cm="1">
        <f t="array" ref="O2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53">
        <f>IF(ISNUMBER(SEARCH("passenger",PROPERTIES[[#This Row],[CARGODEF]])),1,0)</f>
        <v>0</v>
      </c>
      <c r="Q253" s="23">
        <v>177</v>
      </c>
      <c r="R253">
        <v>1800</v>
      </c>
      <c r="S253">
        <v>0</v>
      </c>
      <c r="T253">
        <v>0</v>
      </c>
      <c r="U253">
        <v>0</v>
      </c>
      <c r="V253">
        <v>104</v>
      </c>
      <c r="W253">
        <v>0</v>
      </c>
      <c r="X253">
        <v>0</v>
      </c>
      <c r="Y253">
        <v>0</v>
      </c>
      <c r="Z253" s="20">
        <v>433</v>
      </c>
      <c r="AA253" s="19">
        <f>IFERROR(PROPERTIES[[#This Row],[TE_STARTING_KN]]/(PROPERTIES[[#This Row],[WEIGHT]]*9.81),0)</f>
        <v>0.2493708138242425</v>
      </c>
      <c r="AB253" s="19">
        <v>0</v>
      </c>
      <c r="AC253" s="16">
        <f>ROUND(IF(IFERROR(PROPERTIES[[#This Row],[TE_COEFFICIENT_CALC]],0)=0,PROPERTIES[[#This Row],[TE_COEFFICIENT_MANUAL]],PROPERTIES[[#This Row],[TE_COEFFICIENT_CALC]]),3)</f>
        <v>0.249</v>
      </c>
      <c r="AD253" s="8" cm="1">
        <f t="array" ref="AD2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3" s="26">
        <v>0</v>
      </c>
      <c r="AF253" s="6">
        <v>0</v>
      </c>
      <c r="AG253" t="s">
        <v>238</v>
      </c>
      <c r="AH253" t="s">
        <v>240</v>
      </c>
      <c r="AI253" t="s">
        <v>229</v>
      </c>
      <c r="AJ253" s="2" t="s">
        <v>229</v>
      </c>
      <c r="AK253" s="2" t="s">
        <v>244</v>
      </c>
      <c r="AL25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3" s="2" t="str">
        <f>SUBSTITUTE(SUBSTITUTE(PROPERTIES[[#This Row],[PURCHASECOST_VALUE]], "PURCHASECOST_", ""), "_VALUE", "")</f>
        <v>DIESELENGINE</v>
      </c>
      <c r="AO253" s="44" t="b">
        <v>0</v>
      </c>
      <c r="AP253" s="48" t="b">
        <v>0</v>
      </c>
      <c r="AQ253" s="48" t="b">
        <v>0</v>
      </c>
      <c r="AR253" s="48">
        <v>0</v>
      </c>
      <c r="AS253" s="48" t="b">
        <v>0</v>
      </c>
      <c r="AT253" s="7" t="b">
        <v>0</v>
      </c>
      <c r="AU253" s="40" t="str" cm="1">
        <f t="array" ref="AU253">_xlfn.XLOOKUP(PROPERTIES[[#This Row],[VEHIDCODE]],GRAPHICS_PROPERTIES[VEHIDCODE],GRAPHICS_PROPERTIES[TEMPLATE_ID]&amp;GRAPHICS_PROPERTIES[TEMPLATE_AMENDMENT_CODE])</f>
        <v>TPL_01A</v>
      </c>
    </row>
    <row r="254" spans="1:47" x14ac:dyDescent="0.35">
      <c r="A254" s="2" t="s">
        <v>2890</v>
      </c>
      <c r="B254">
        <v>1971</v>
      </c>
      <c r="C254">
        <v>2030</v>
      </c>
      <c r="D254" cm="1">
        <f t="array" ref="D2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4" s="40" t="str">
        <f>_xlfn.XLOOKUP(PROPERTIES[[#This Row],[VEHIDCODE]],CONTROL[VEHIDCODE],CONTROL[ENGLISH])</f>
        <v>Fiat Grandi Motori D.345</v>
      </c>
      <c r="F254" t="s">
        <v>636</v>
      </c>
      <c r="G254" s="40" t="str">
        <f>_xlfn.XLOOKUP(PROPERTIES[[#This Row],[COUNTRY]],COUNTRIES[COUNTRY_DESCRIPTION],COUNTRIES[COUNTRY_LABEL],"")</f>
        <v>IT</v>
      </c>
      <c r="H254" t="str" cm="1">
        <f t="array" ref="H2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4" t="s">
        <v>17</v>
      </c>
      <c r="J254">
        <v>0</v>
      </c>
      <c r="K254">
        <v>8</v>
      </c>
      <c r="L254">
        <v>0</v>
      </c>
      <c r="M254" t="str" cm="1">
        <f t="array" ref="M2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4">
        <f>_xlfn.XLOOKUP("LOADINGSPEEDDEF_"&amp;PROPERTIES[[#This Row],[LOADINGSPEED]],LOADINGSPEEDDEF[TYPE],LOADINGSPEEDDEF[SPEED])</f>
        <v>20</v>
      </c>
      <c r="O254" t="str" cm="1">
        <f t="array" ref="O2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4">
        <f>IF(ISNUMBER(SEARCH("passenger",PROPERTIES[[#This Row],[CARGODEF]])),1,0)</f>
        <v>0</v>
      </c>
      <c r="Q254" s="23">
        <v>62</v>
      </c>
      <c r="R254">
        <v>1010</v>
      </c>
      <c r="S254">
        <v>0</v>
      </c>
      <c r="T254">
        <v>0</v>
      </c>
      <c r="U254">
        <v>0</v>
      </c>
      <c r="V254">
        <v>130</v>
      </c>
      <c r="W254">
        <v>0</v>
      </c>
      <c r="X254">
        <v>0</v>
      </c>
      <c r="Y254">
        <v>0</v>
      </c>
      <c r="Z254" s="20">
        <v>0</v>
      </c>
      <c r="AA254" s="19">
        <f>IFERROR(PROPERTIES[[#This Row],[TE_STARTING_KN]]/(PROPERTIES[[#This Row],[WEIGHT]]*9.81),0)</f>
        <v>0</v>
      </c>
      <c r="AB254" s="19">
        <v>0.3</v>
      </c>
      <c r="AC254" s="16">
        <f>ROUND(IF(IFERROR(PROPERTIES[[#This Row],[TE_COEFFICIENT_CALC]],0)=0,PROPERTIES[[#This Row],[TE_COEFFICIENT_MANUAL]],PROPERTIES[[#This Row],[TE_COEFFICIENT_CALC]]),3)</f>
        <v>0.3</v>
      </c>
      <c r="AD254" s="8" cm="1">
        <f t="array" ref="AD2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254" s="26">
        <v>0</v>
      </c>
      <c r="AF254" s="6">
        <v>0</v>
      </c>
      <c r="AG254" t="s">
        <v>231</v>
      </c>
      <c r="AH254" t="s">
        <v>229</v>
      </c>
      <c r="AI254" t="s">
        <v>229</v>
      </c>
      <c r="AJ254" s="2" t="s">
        <v>229</v>
      </c>
      <c r="AK254" s="2" t="s">
        <v>244</v>
      </c>
      <c r="AL25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4" s="2" t="str">
        <f>SUBSTITUTE(SUBSTITUTE(PROPERTIES[[#This Row],[PURCHASECOST_VALUE]], "PURCHASECOST_", ""), "_VALUE", "")</f>
        <v>DIESELENGINE</v>
      </c>
      <c r="AO254" s="44" t="b">
        <v>0</v>
      </c>
      <c r="AP254" s="48" t="b">
        <v>0</v>
      </c>
      <c r="AQ254" s="48" t="b">
        <v>0</v>
      </c>
      <c r="AR254" s="48">
        <v>0</v>
      </c>
      <c r="AS254" s="48" t="b">
        <v>0</v>
      </c>
      <c r="AT254" s="7" t="b">
        <v>0</v>
      </c>
      <c r="AU254" s="40" t="str" cm="1">
        <f t="array" ref="AU254">_xlfn.XLOOKUP(PROPERTIES[[#This Row],[VEHIDCODE]],GRAPHICS_PROPERTIES[VEHIDCODE],GRAPHICS_PROPERTIES[TEMPLATE_ID]&amp;GRAPHICS_PROPERTIES[TEMPLATE_AMENDMENT_CODE])</f>
        <v>TPL_01A</v>
      </c>
    </row>
    <row r="255" spans="1:47" x14ac:dyDescent="0.35">
      <c r="A255" s="2" t="s">
        <v>2891</v>
      </c>
      <c r="B255">
        <v>1980</v>
      </c>
      <c r="C255">
        <v>2030</v>
      </c>
      <c r="D255" cm="1">
        <f t="array" ref="D2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5" s="40" t="str">
        <f>_xlfn.XLOOKUP(PROPERTIES[[#This Row],[VEHIDCODE]],CONTROL[VEHIDCODE],CONTROL[ENGLISH])</f>
        <v>Henschel Di4</v>
      </c>
      <c r="F255" t="s">
        <v>693</v>
      </c>
      <c r="G255" s="40" t="str">
        <f>_xlfn.XLOOKUP(PROPERTIES[[#This Row],[COUNTRY]],COUNTRIES[COUNTRY_DESCRIPTION],COUNTRIES[COUNTRY_LABEL],"")</f>
        <v>NO</v>
      </c>
      <c r="H255" t="str" cm="1">
        <f t="array" ref="H2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5" t="s">
        <v>17</v>
      </c>
      <c r="J255">
        <v>0</v>
      </c>
      <c r="K255">
        <v>8</v>
      </c>
      <c r="L255">
        <v>0</v>
      </c>
      <c r="M255" t="str" cm="1">
        <f t="array" ref="M2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5">
        <f>_xlfn.XLOOKUP("LOADINGSPEEDDEF_"&amp;PROPERTIES[[#This Row],[LOADINGSPEED]],LOADINGSPEEDDEF[TYPE],LOADINGSPEEDDEF[SPEED])</f>
        <v>20</v>
      </c>
      <c r="O255" t="str" cm="1">
        <f t="array" ref="O2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5">
        <f>IF(ISNUMBER(SEARCH("passenger",PROPERTIES[[#This Row],[CARGODEF]])),1,0)</f>
        <v>0</v>
      </c>
      <c r="Q255" s="23">
        <v>120</v>
      </c>
      <c r="R255">
        <v>3290</v>
      </c>
      <c r="S255">
        <v>0</v>
      </c>
      <c r="T255">
        <v>0</v>
      </c>
      <c r="U255">
        <v>0</v>
      </c>
      <c r="V255">
        <v>140</v>
      </c>
      <c r="W255">
        <v>0</v>
      </c>
      <c r="X255">
        <v>0</v>
      </c>
      <c r="Y255">
        <v>0</v>
      </c>
      <c r="Z255" s="20">
        <v>360</v>
      </c>
      <c r="AA255" s="19">
        <f>IFERROR(PROPERTIES[[#This Row],[TE_STARTING_KN]]/(PROPERTIES[[#This Row],[WEIGHT]]*9.81),0)</f>
        <v>0.3058103975535168</v>
      </c>
      <c r="AB255" s="19">
        <v>0</v>
      </c>
      <c r="AC255" s="16">
        <f>ROUND(IF(IFERROR(PROPERTIES[[#This Row],[TE_COEFFICIENT_CALC]],0)=0,PROPERTIES[[#This Row],[TE_COEFFICIENT_MANUAL]],PROPERTIES[[#This Row],[TE_COEFFICIENT_CALC]]),3)</f>
        <v>0.30599999999999999</v>
      </c>
      <c r="AD255" s="8" cm="1">
        <f t="array" ref="AD2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255" s="26">
        <v>0</v>
      </c>
      <c r="AF255" s="6">
        <v>0</v>
      </c>
      <c r="AG255" t="s">
        <v>234</v>
      </c>
      <c r="AH255" t="s">
        <v>229</v>
      </c>
      <c r="AI255" t="s">
        <v>229</v>
      </c>
      <c r="AJ255" s="2" t="s">
        <v>229</v>
      </c>
      <c r="AK255" s="2" t="s">
        <v>244</v>
      </c>
      <c r="AL25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5" s="2" t="str">
        <f>SUBSTITUTE(SUBSTITUTE(PROPERTIES[[#This Row],[PURCHASECOST_VALUE]], "PURCHASECOST_", ""), "_VALUE", "")</f>
        <v>DIESELENGINE</v>
      </c>
      <c r="AO255" s="44" t="b">
        <v>0</v>
      </c>
      <c r="AP255" s="48" t="b">
        <v>0</v>
      </c>
      <c r="AQ255" s="48" t="b">
        <v>0</v>
      </c>
      <c r="AR255" s="48">
        <v>0</v>
      </c>
      <c r="AS255" s="48" t="b">
        <v>0</v>
      </c>
      <c r="AT255" s="7" t="b">
        <v>0</v>
      </c>
      <c r="AU255" s="40" t="str" cm="1">
        <f t="array" ref="AU255">_xlfn.XLOOKUP(PROPERTIES[[#This Row],[VEHIDCODE]],GRAPHICS_PROPERTIES[VEHIDCODE],GRAPHICS_PROPERTIES[TEMPLATE_ID]&amp;GRAPHICS_PROPERTIES[TEMPLATE_AMENDMENT_CODE])</f>
        <v>TPL_01A</v>
      </c>
    </row>
    <row r="256" spans="1:47" x14ac:dyDescent="0.35">
      <c r="A256" s="2" t="s">
        <v>2892</v>
      </c>
      <c r="B256">
        <v>1984</v>
      </c>
      <c r="C256">
        <v>2010</v>
      </c>
      <c r="D256" cm="1">
        <f t="array" ref="D2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6" s="40" t="str">
        <f>_xlfn.XLOOKUP(PROPERTIES[[#This Row],[VEHIDCODE]],CONTROL[VEHIDCODE],CONTROL[ENGLISH])</f>
        <v>Qishuyan DF8</v>
      </c>
      <c r="F256" t="s">
        <v>575</v>
      </c>
      <c r="G256" s="40" t="str">
        <f>_xlfn.XLOOKUP(PROPERTIES[[#This Row],[COUNTRY]],COUNTRIES[COUNTRY_DESCRIPTION],COUNTRIES[COUNTRY_LABEL],"")</f>
        <v>CN</v>
      </c>
      <c r="H256" t="str" cm="1">
        <f t="array" ref="H2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6" t="s">
        <v>17</v>
      </c>
      <c r="J256">
        <v>0</v>
      </c>
      <c r="K256">
        <v>8</v>
      </c>
      <c r="L256">
        <v>0</v>
      </c>
      <c r="M256" t="str" cm="1">
        <f t="array" ref="M2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6">
        <f>_xlfn.XLOOKUP("LOADINGSPEEDDEF_"&amp;PROPERTIES[[#This Row],[LOADINGSPEED]],LOADINGSPEEDDEF[TYPE],LOADINGSPEEDDEF[SPEED])</f>
        <v>20</v>
      </c>
      <c r="O256" cm="1">
        <f t="array" ref="O2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56">
        <f>IF(ISNUMBER(SEARCH("passenger",PROPERTIES[[#This Row],[CARGODEF]])),1,0)</f>
        <v>0</v>
      </c>
      <c r="Q256" s="23">
        <v>150</v>
      </c>
      <c r="R256">
        <v>4930</v>
      </c>
      <c r="S256">
        <v>0</v>
      </c>
      <c r="T256">
        <v>0</v>
      </c>
      <c r="U256">
        <v>0</v>
      </c>
      <c r="V256">
        <v>100</v>
      </c>
      <c r="W256">
        <v>0</v>
      </c>
      <c r="X256">
        <v>0</v>
      </c>
      <c r="Y256">
        <v>0</v>
      </c>
      <c r="Z256" s="20">
        <v>480</v>
      </c>
      <c r="AA256" s="19">
        <f>IFERROR(PROPERTIES[[#This Row],[TE_STARTING_KN]]/(PROPERTIES[[#This Row],[WEIGHT]]*9.81),0)</f>
        <v>0.32619775739041795</v>
      </c>
      <c r="AB256" s="19">
        <v>0</v>
      </c>
      <c r="AC256" s="16">
        <f>ROUND(IF(IFERROR(PROPERTIES[[#This Row],[TE_COEFFICIENT_CALC]],0)=0,PROPERTIES[[#This Row],[TE_COEFFICIENT_MANUAL]],PROPERTIES[[#This Row],[TE_COEFFICIENT_CALC]]),3)</f>
        <v>0.32600000000000001</v>
      </c>
      <c r="AD256" s="8" cm="1">
        <f t="array" ref="AD2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6" s="26">
        <v>0</v>
      </c>
      <c r="AF256" s="6">
        <v>0</v>
      </c>
      <c r="AG256" t="s">
        <v>238</v>
      </c>
      <c r="AH256" t="s">
        <v>229</v>
      </c>
      <c r="AI256" t="s">
        <v>229</v>
      </c>
      <c r="AJ256" s="2" t="s">
        <v>229</v>
      </c>
      <c r="AK256" s="2" t="s">
        <v>244</v>
      </c>
      <c r="AL25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6" s="2" t="str">
        <f>SUBSTITUTE(SUBSTITUTE(PROPERTIES[[#This Row],[PURCHASECOST_VALUE]], "PURCHASECOST_", ""), "_VALUE", "")</f>
        <v>DIESELENGINE</v>
      </c>
      <c r="AO256" s="44" t="b">
        <v>0</v>
      </c>
      <c r="AP256" s="48" t="b">
        <v>0</v>
      </c>
      <c r="AQ256" s="48" t="b">
        <v>0</v>
      </c>
      <c r="AR256" s="48">
        <v>0</v>
      </c>
      <c r="AS256" s="48" t="b">
        <v>0</v>
      </c>
      <c r="AT256" s="7" t="b">
        <v>0</v>
      </c>
      <c r="AU256" s="40" t="str" cm="1">
        <f t="array" ref="AU256">_xlfn.XLOOKUP(PROPERTIES[[#This Row],[VEHIDCODE]],GRAPHICS_PROPERTIES[VEHIDCODE],GRAPHICS_PROPERTIES[TEMPLATE_ID]&amp;GRAPHICS_PROPERTIES[TEMPLATE_AMENDMENT_CODE])</f>
        <v>TPL_01A</v>
      </c>
    </row>
    <row r="257" spans="1:47" x14ac:dyDescent="0.35">
      <c r="A257" s="2" t="s">
        <v>3451</v>
      </c>
      <c r="B257">
        <v>1984</v>
      </c>
      <c r="C257">
        <v>2030</v>
      </c>
      <c r="D257" cm="1">
        <f t="array" ref="D2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7" s="40" t="str">
        <f>_xlfn.XLOOKUP(PROPERTIES[[#This Row],[VEHIDCODE]],CONTROL[VEHIDCODE],CONTROL[ENGLISH])</f>
        <v>EMD/Clyde JT26C-2SS</v>
      </c>
      <c r="F257" t="s">
        <v>541</v>
      </c>
      <c r="G257" s="40" t="str">
        <f>_xlfn.XLOOKUP(PROPERTIES[[#This Row],[COUNTRY]],COUNTRIES[COUNTRY_DESCRIPTION],COUNTRIES[COUNTRY_LABEL],"")</f>
        <v>AU</v>
      </c>
      <c r="H257" t="str" cm="1">
        <f t="array" ref="H2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7" t="s">
        <v>17</v>
      </c>
      <c r="J257">
        <v>0</v>
      </c>
      <c r="K257">
        <v>8</v>
      </c>
      <c r="L257">
        <v>0</v>
      </c>
      <c r="M257" t="str" cm="1">
        <f t="array" ref="M2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7">
        <f>_xlfn.XLOOKUP("LOADINGSPEEDDEF_"&amp;PROPERTIES[[#This Row],[LOADINGSPEED]],LOADINGSPEEDDEF[TYPE],LOADINGSPEEDDEF[SPEED])</f>
        <v>20</v>
      </c>
      <c r="O257" t="str" cm="1">
        <f t="array" ref="O2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7">
        <f>IF(ISNUMBER(SEARCH("passenger",PROPERTIES[[#This Row],[CARGODEF]])),1,0)</f>
        <v>0</v>
      </c>
      <c r="Q257" s="23">
        <v>127</v>
      </c>
      <c r="R257">
        <v>3000</v>
      </c>
      <c r="S257">
        <v>0</v>
      </c>
      <c r="T257">
        <v>0</v>
      </c>
      <c r="U257">
        <v>0</v>
      </c>
      <c r="V257">
        <v>114</v>
      </c>
      <c r="W257">
        <v>0</v>
      </c>
      <c r="X257">
        <v>0</v>
      </c>
      <c r="Y257">
        <v>0</v>
      </c>
      <c r="Z257" s="20">
        <v>337</v>
      </c>
      <c r="AA257" s="19">
        <f>IFERROR(PROPERTIES[[#This Row],[TE_STARTING_KN]]/(PROPERTIES[[#This Row],[WEIGHT]]*9.81),0)</f>
        <v>0.27049371122187704</v>
      </c>
      <c r="AB257" s="19">
        <v>0</v>
      </c>
      <c r="AC257" s="16">
        <f>ROUND(IF(IFERROR(PROPERTIES[[#This Row],[TE_COEFFICIENT_CALC]],0)=0,PROPERTIES[[#This Row],[TE_COEFFICIENT_MANUAL]],PROPERTIES[[#This Row],[TE_COEFFICIENT_CALC]]),3)</f>
        <v>0.27</v>
      </c>
      <c r="AD257" s="8" cm="1">
        <f t="array" ref="AD2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257" s="26">
        <v>0</v>
      </c>
      <c r="AF257" s="6">
        <v>0</v>
      </c>
      <c r="AG257" t="s">
        <v>232</v>
      </c>
      <c r="AH257" t="s">
        <v>229</v>
      </c>
      <c r="AI257" t="s">
        <v>229</v>
      </c>
      <c r="AJ257" s="2" t="s">
        <v>229</v>
      </c>
      <c r="AK257" s="2" t="s">
        <v>244</v>
      </c>
      <c r="AL25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7" s="2" t="str">
        <f>SUBSTITUTE(SUBSTITUTE(PROPERTIES[[#This Row],[PURCHASECOST_VALUE]], "PURCHASECOST_", ""), "_VALUE", "")</f>
        <v>DIESELENGINE</v>
      </c>
      <c r="AO257" s="44" t="b">
        <v>0</v>
      </c>
      <c r="AP257" s="48" t="b">
        <v>0</v>
      </c>
      <c r="AQ257" s="48" t="b">
        <v>0</v>
      </c>
      <c r="AR257" s="48">
        <v>0</v>
      </c>
      <c r="AS257" s="48" t="b">
        <v>0</v>
      </c>
      <c r="AT257" s="7" t="b">
        <v>1</v>
      </c>
      <c r="AU257" s="40" t="str" cm="1">
        <f t="array" ref="AU257">_xlfn.XLOOKUP(PROPERTIES[[#This Row],[VEHIDCODE]],GRAPHICS_PROPERTIES[VEHIDCODE],GRAPHICS_PROPERTIES[TEMPLATE_ID]&amp;GRAPHICS_PROPERTIES[TEMPLATE_AMENDMENT_CODE])</f>
        <v>TPL_01A</v>
      </c>
    </row>
    <row r="258" spans="1:47" x14ac:dyDescent="0.35">
      <c r="A258" s="2" t="s">
        <v>2893</v>
      </c>
      <c r="B258">
        <v>1989</v>
      </c>
      <c r="C258">
        <v>2020</v>
      </c>
      <c r="D258" cm="1">
        <f t="array" ref="D2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8" s="40" t="str">
        <f>_xlfn.XLOOKUP(PROPERTIES[[#This Row],[VEHIDCODE]],CONTROL[VEHIDCODE],CONTROL[ENGLISH])</f>
        <v>Brush Class 60</v>
      </c>
      <c r="F258" t="s">
        <v>603</v>
      </c>
      <c r="G258" s="40" t="str">
        <f>_xlfn.XLOOKUP(PROPERTIES[[#This Row],[COUNTRY]],COUNTRIES[COUNTRY_DESCRIPTION],COUNTRIES[COUNTRY_LABEL],"")</f>
        <v>GB</v>
      </c>
      <c r="H258" t="str" cm="1">
        <f t="array" ref="H2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8" t="s">
        <v>17</v>
      </c>
      <c r="J258">
        <v>0</v>
      </c>
      <c r="K258">
        <v>8</v>
      </c>
      <c r="L258">
        <v>0</v>
      </c>
      <c r="M258" t="str" cm="1">
        <f t="array" ref="M2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8">
        <f>_xlfn.XLOOKUP("LOADINGSPEEDDEF_"&amp;PROPERTIES[[#This Row],[LOADINGSPEED]],LOADINGSPEEDDEF[TYPE],LOADINGSPEEDDEF[SPEED])</f>
        <v>20</v>
      </c>
      <c r="O258" t="str" cm="1">
        <f t="array" ref="O2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8">
        <f>IF(ISNUMBER(SEARCH("passenger",PROPERTIES[[#This Row],[CARGODEF]])),1,0)</f>
        <v>0</v>
      </c>
      <c r="Q258" s="23">
        <v>130</v>
      </c>
      <c r="R258">
        <v>3100</v>
      </c>
      <c r="S258">
        <v>0</v>
      </c>
      <c r="T258">
        <v>0</v>
      </c>
      <c r="U258">
        <v>0</v>
      </c>
      <c r="V258">
        <v>97</v>
      </c>
      <c r="W258">
        <v>0</v>
      </c>
      <c r="X258">
        <v>0</v>
      </c>
      <c r="Y258">
        <v>0</v>
      </c>
      <c r="Z258" s="20">
        <v>474</v>
      </c>
      <c r="AA258" s="19">
        <f>IFERROR(PROPERTIES[[#This Row],[TE_STARTING_KN]]/(PROPERTIES[[#This Row],[WEIGHT]]*9.81),0)</f>
        <v>0.37167725241119737</v>
      </c>
      <c r="AB258" s="19">
        <v>0</v>
      </c>
      <c r="AC258" s="16">
        <f>ROUND(IF(IFERROR(PROPERTIES[[#This Row],[TE_COEFFICIENT_CALC]],0)=0,PROPERTIES[[#This Row],[TE_COEFFICIENT_MANUAL]],PROPERTIES[[#This Row],[TE_COEFFICIENT_CALC]]),3)</f>
        <v>0.372</v>
      </c>
      <c r="AD258" s="8" cm="1">
        <f t="array" ref="AD2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8" s="26">
        <v>0</v>
      </c>
      <c r="AF258" s="6">
        <v>0</v>
      </c>
      <c r="AG258" t="s">
        <v>234</v>
      </c>
      <c r="AH258" t="s">
        <v>229</v>
      </c>
      <c r="AI258" t="s">
        <v>229</v>
      </c>
      <c r="AJ258" s="2" t="s">
        <v>229</v>
      </c>
      <c r="AK258" s="2" t="s">
        <v>244</v>
      </c>
      <c r="AL25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8" s="2" t="str">
        <f>SUBSTITUTE(SUBSTITUTE(PROPERTIES[[#This Row],[PURCHASECOST_VALUE]], "PURCHASECOST_", ""), "_VALUE", "")</f>
        <v>DIESELENGINE</v>
      </c>
      <c r="AO258" s="44" t="b">
        <v>0</v>
      </c>
      <c r="AP258" s="48" t="b">
        <v>0</v>
      </c>
      <c r="AQ258" s="48" t="b">
        <v>0</v>
      </c>
      <c r="AR258" s="48">
        <v>0</v>
      </c>
      <c r="AS258" s="48" t="b">
        <v>0</v>
      </c>
      <c r="AT258" s="7" t="b">
        <v>0</v>
      </c>
      <c r="AU258" s="40" t="str" cm="1">
        <f t="array" ref="AU258">_xlfn.XLOOKUP(PROPERTIES[[#This Row],[VEHIDCODE]],GRAPHICS_PROPERTIES[VEHIDCODE],GRAPHICS_PROPERTIES[TEMPLATE_ID]&amp;GRAPHICS_PROPERTIES[TEMPLATE_AMENDMENT_CODE])</f>
        <v>TPL_01A</v>
      </c>
    </row>
    <row r="259" spans="1:47" x14ac:dyDescent="0.35">
      <c r="A259" s="2" t="s">
        <v>2894</v>
      </c>
      <c r="B259">
        <v>1989</v>
      </c>
      <c r="C259">
        <v>2030</v>
      </c>
      <c r="D259" cm="1">
        <f t="array" ref="D2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9" s="40" t="str">
        <f>_xlfn.XLOOKUP(PROPERTIES[[#This Row],[VEHIDCODE]],CONTROL[VEHIDCODE],CONTROL[ENGLISH])</f>
        <v>GE/Goninan CM25-8</v>
      </c>
      <c r="F259" t="s">
        <v>541</v>
      </c>
      <c r="G259" s="40" t="str">
        <f>_xlfn.XLOOKUP(PROPERTIES[[#This Row],[COUNTRY]],COUNTRIES[COUNTRY_DESCRIPTION],COUNTRIES[COUNTRY_LABEL],"")</f>
        <v>AU</v>
      </c>
      <c r="H259" t="str" cm="1">
        <f t="array" ref="H2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9" t="s">
        <v>17</v>
      </c>
      <c r="J259">
        <v>0</v>
      </c>
      <c r="K259">
        <v>7</v>
      </c>
      <c r="L259">
        <v>0</v>
      </c>
      <c r="M259" t="str" cm="1">
        <f t="array" ref="M2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9">
        <f>_xlfn.XLOOKUP("LOADINGSPEEDDEF_"&amp;PROPERTIES[[#This Row],[LOADINGSPEED]],LOADINGSPEEDDEF[TYPE],LOADINGSPEEDDEF[SPEED])</f>
        <v>20</v>
      </c>
      <c r="O259" t="str" cm="1">
        <f t="array" ref="O2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9">
        <f>IF(ISNUMBER(SEARCH("passenger",PROPERTIES[[#This Row],[CARGODEF]])),1,0)</f>
        <v>0</v>
      </c>
      <c r="Q259" s="23">
        <v>99</v>
      </c>
      <c r="R259">
        <v>2450</v>
      </c>
      <c r="S259">
        <v>0</v>
      </c>
      <c r="T259">
        <v>0</v>
      </c>
      <c r="U259">
        <v>0</v>
      </c>
      <c r="V259">
        <v>90</v>
      </c>
      <c r="W259">
        <v>0</v>
      </c>
      <c r="X259">
        <v>0</v>
      </c>
      <c r="Y259">
        <v>0</v>
      </c>
      <c r="Z259" s="20">
        <v>375</v>
      </c>
      <c r="AA259" s="19">
        <f>IFERROR(PROPERTIES[[#This Row],[TE_STARTING_KN]]/(PROPERTIES[[#This Row],[WEIGHT]]*9.81),0)</f>
        <v>0.38612423933524848</v>
      </c>
      <c r="AB259" s="19">
        <v>0</v>
      </c>
      <c r="AC259" s="16">
        <f>ROUND(IF(IFERROR(PROPERTIES[[#This Row],[TE_COEFFICIENT_CALC]],0)=0,PROPERTIES[[#This Row],[TE_COEFFICIENT_MANUAL]],PROPERTIES[[#This Row],[TE_COEFFICIENT_CALC]]),3)</f>
        <v>0.38600000000000001</v>
      </c>
      <c r="AD259" s="8" cm="1">
        <f t="array" ref="AD2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259" s="26">
        <v>0</v>
      </c>
      <c r="AF259" s="6">
        <v>0</v>
      </c>
      <c r="AG259" t="s">
        <v>232</v>
      </c>
      <c r="AH259" t="s">
        <v>229</v>
      </c>
      <c r="AI259" t="s">
        <v>229</v>
      </c>
      <c r="AJ259" s="2" t="s">
        <v>229</v>
      </c>
      <c r="AK259" s="2" t="s">
        <v>244</v>
      </c>
      <c r="AL25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9" s="2" t="str">
        <f>SUBSTITUTE(SUBSTITUTE(PROPERTIES[[#This Row],[PURCHASECOST_VALUE]], "PURCHASECOST_", ""), "_VALUE", "")</f>
        <v>DIESELENGINE</v>
      </c>
      <c r="AO259" s="44" t="b">
        <v>0</v>
      </c>
      <c r="AP259" s="48" t="b">
        <v>0</v>
      </c>
      <c r="AQ259" s="48" t="b">
        <v>0</v>
      </c>
      <c r="AR259" s="48">
        <v>0</v>
      </c>
      <c r="AS259" s="48" t="b">
        <v>0</v>
      </c>
      <c r="AT259" s="7" t="b">
        <v>0</v>
      </c>
      <c r="AU259" s="40" t="str" cm="1">
        <f t="array" ref="AU259">_xlfn.XLOOKUP(PROPERTIES[[#This Row],[VEHIDCODE]],GRAPHICS_PROPERTIES[VEHIDCODE],GRAPHICS_PROPERTIES[TEMPLATE_ID]&amp;GRAPHICS_PROPERTIES[TEMPLATE_AMENDMENT_CODE])</f>
        <v>TPL_01A</v>
      </c>
    </row>
    <row r="260" spans="1:47" x14ac:dyDescent="0.35">
      <c r="A260" s="2" t="s">
        <v>2895</v>
      </c>
      <c r="B260">
        <v>1992</v>
      </c>
      <c r="C260">
        <v>2012</v>
      </c>
      <c r="D260" cm="1">
        <f t="array" ref="D2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0" s="40" t="str">
        <f>_xlfn.XLOOKUP(PROPERTIES[[#This Row],[VEHIDCODE]],CONTROL[VEHIDCODE],CONTROL[ENGLISH])</f>
        <v>EMD SD70ACS</v>
      </c>
      <c r="F260" t="s">
        <v>718</v>
      </c>
      <c r="G260" s="40" t="str">
        <f>_xlfn.XLOOKUP(PROPERTIES[[#This Row],[COUNTRY]],COUNTRIES[COUNTRY_DESCRIPTION],COUNTRIES[COUNTRY_LABEL],"")</f>
        <v>SA</v>
      </c>
      <c r="H260" t="str" cm="1">
        <f t="array" ref="H2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0" t="s">
        <v>17</v>
      </c>
      <c r="J260">
        <v>0</v>
      </c>
      <c r="K260">
        <v>8</v>
      </c>
      <c r="L260">
        <v>0</v>
      </c>
      <c r="M260" t="str" cm="1">
        <f t="array" ref="M2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0">
        <f>_xlfn.XLOOKUP("LOADINGSPEEDDEF_"&amp;PROPERTIES[[#This Row],[LOADINGSPEED]],LOADINGSPEEDDEF[TYPE],LOADINGSPEEDDEF[SPEED])</f>
        <v>20</v>
      </c>
      <c r="O260" t="str" cm="1">
        <f t="array" ref="O2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0">
        <f>IF(ISNUMBER(SEARCH("passenger",PROPERTIES[[#This Row],[CARGODEF]])),1,0)</f>
        <v>0</v>
      </c>
      <c r="Q260" s="23">
        <v>170</v>
      </c>
      <c r="R260">
        <v>4500</v>
      </c>
      <c r="S260">
        <v>0</v>
      </c>
      <c r="T260">
        <v>0</v>
      </c>
      <c r="U260">
        <v>0</v>
      </c>
      <c r="V260">
        <v>110</v>
      </c>
      <c r="W260">
        <v>0</v>
      </c>
      <c r="X260">
        <v>0</v>
      </c>
      <c r="Y260">
        <v>0</v>
      </c>
      <c r="Z260" s="20">
        <v>850</v>
      </c>
      <c r="AA260" s="19">
        <f>IFERROR(PROPERTIES[[#This Row],[TE_STARTING_KN]]/(PROPERTIES[[#This Row],[WEIGHT]]*9.81),0)</f>
        <v>0.509683995922528</v>
      </c>
      <c r="AB260" s="19">
        <v>0</v>
      </c>
      <c r="AC260" s="16">
        <f>ROUND(IF(IFERROR(PROPERTIES[[#This Row],[TE_COEFFICIENT_CALC]],0)=0,PROPERTIES[[#This Row],[TE_COEFFICIENT_MANUAL]],PROPERTIES[[#This Row],[TE_COEFFICIENT_CALC]]),3)</f>
        <v>0.51</v>
      </c>
      <c r="AD260" s="8" cm="1">
        <f t="array" ref="AD2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60" s="26">
        <v>0</v>
      </c>
      <c r="AF260" s="6">
        <v>0</v>
      </c>
      <c r="AG260" t="s">
        <v>238</v>
      </c>
      <c r="AH260" t="s">
        <v>229</v>
      </c>
      <c r="AI260" t="s">
        <v>229</v>
      </c>
      <c r="AJ260" s="2" t="s">
        <v>229</v>
      </c>
      <c r="AK260" s="2" t="s">
        <v>244</v>
      </c>
      <c r="AL26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0" s="2" t="str">
        <f>SUBSTITUTE(SUBSTITUTE(PROPERTIES[[#This Row],[PURCHASECOST_VALUE]], "PURCHASECOST_", ""), "_VALUE", "")</f>
        <v>DIESELENGINE</v>
      </c>
      <c r="AO260" s="44" t="b">
        <v>0</v>
      </c>
      <c r="AP260" s="48" t="b">
        <v>0</v>
      </c>
      <c r="AQ260" s="48" t="b">
        <v>1</v>
      </c>
      <c r="AR260" s="48">
        <v>0</v>
      </c>
      <c r="AS260" s="48" t="b">
        <v>0</v>
      </c>
      <c r="AT260" s="7" t="b">
        <v>1</v>
      </c>
      <c r="AU260" s="40" t="str" cm="1">
        <f t="array" ref="AU260">_xlfn.XLOOKUP(PROPERTIES[[#This Row],[VEHIDCODE]],GRAPHICS_PROPERTIES[VEHIDCODE],GRAPHICS_PROPERTIES[TEMPLATE_ID]&amp;GRAPHICS_PROPERTIES[TEMPLATE_AMENDMENT_CODE])</f>
        <v>TPL_01A</v>
      </c>
    </row>
    <row r="261" spans="1:47" x14ac:dyDescent="0.35">
      <c r="A261" s="2" t="s">
        <v>2896</v>
      </c>
      <c r="B261">
        <v>1994</v>
      </c>
      <c r="C261">
        <v>2030</v>
      </c>
      <c r="D261" cm="1">
        <f t="array" ref="D2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1" s="40" t="str">
        <f>_xlfn.XLOOKUP(PROPERTIES[[#This Row],[VEHIDCODE]],CONTROL[VEHIDCODE],CONTROL[ENGLISH])</f>
        <v>GMD JT42HCW</v>
      </c>
      <c r="F261" t="s">
        <v>628</v>
      </c>
      <c r="G261" s="40" t="str">
        <f>_xlfn.XLOOKUP(PROPERTIES[[#This Row],[COUNTRY]],COUNTRIES[COUNTRY_DESCRIPTION],COUNTRIES[COUNTRY_LABEL],"")</f>
        <v>IE</v>
      </c>
      <c r="H261" t="str" cm="1">
        <f t="array" ref="H2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1" t="s">
        <v>17</v>
      </c>
      <c r="J261">
        <v>0</v>
      </c>
      <c r="K261">
        <v>8</v>
      </c>
      <c r="L261">
        <v>0</v>
      </c>
      <c r="M261" t="str" cm="1">
        <f t="array" ref="M2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1">
        <f>_xlfn.XLOOKUP("LOADINGSPEEDDEF_"&amp;PROPERTIES[[#This Row],[LOADINGSPEED]],LOADINGSPEEDDEF[TYPE],LOADINGSPEEDDEF[SPEED])</f>
        <v>20</v>
      </c>
      <c r="O261" t="str" cm="1">
        <f t="array" ref="O2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1">
        <f>IF(ISNUMBER(SEARCH("passenger",PROPERTIES[[#This Row],[CARGODEF]])),1,0)</f>
        <v>0</v>
      </c>
      <c r="Q261" s="23">
        <v>112</v>
      </c>
      <c r="R261">
        <v>3200</v>
      </c>
      <c r="S261">
        <v>0</v>
      </c>
      <c r="T261">
        <v>0</v>
      </c>
      <c r="U261">
        <v>0</v>
      </c>
      <c r="V261">
        <v>164</v>
      </c>
      <c r="W261">
        <v>0</v>
      </c>
      <c r="X261">
        <v>0</v>
      </c>
      <c r="Y261">
        <v>0</v>
      </c>
      <c r="Z261" s="20">
        <v>190</v>
      </c>
      <c r="AA261" s="19">
        <f>IFERROR(PROPERTIES[[#This Row],[TE_STARTING_KN]]/(PROPERTIES[[#This Row],[WEIGHT]]*9.81),0)</f>
        <v>0.172928498616572</v>
      </c>
      <c r="AB261" s="19">
        <v>0</v>
      </c>
      <c r="AC261" s="16">
        <f>ROUND(IF(IFERROR(PROPERTIES[[#This Row],[TE_COEFFICIENT_CALC]],0)=0,PROPERTIES[[#This Row],[TE_COEFFICIENT_MANUAL]],PROPERTIES[[#This Row],[TE_COEFFICIENT_CALC]]),3)</f>
        <v>0.17299999999999999</v>
      </c>
      <c r="AD261" s="8" cm="1">
        <f t="array" ref="AD2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61" s="26">
        <v>0</v>
      </c>
      <c r="AF261" s="6">
        <v>0</v>
      </c>
      <c r="AG261" t="s">
        <v>234</v>
      </c>
      <c r="AH261" t="s">
        <v>229</v>
      </c>
      <c r="AI261" t="s">
        <v>229</v>
      </c>
      <c r="AJ261" s="2" t="s">
        <v>229</v>
      </c>
      <c r="AK261" s="2" t="s">
        <v>244</v>
      </c>
      <c r="AL26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1" s="2" t="str">
        <f>SUBSTITUTE(SUBSTITUTE(PROPERTIES[[#This Row],[PURCHASECOST_VALUE]], "PURCHASECOST_", ""), "_VALUE", "")</f>
        <v>DIESELENGINE</v>
      </c>
      <c r="AO261" s="44" t="b">
        <v>0</v>
      </c>
      <c r="AP261" s="48" t="b">
        <v>0</v>
      </c>
      <c r="AQ261" s="48" t="b">
        <v>0</v>
      </c>
      <c r="AR261" s="48">
        <v>0</v>
      </c>
      <c r="AS261" s="48" t="b">
        <v>0</v>
      </c>
      <c r="AT261" s="7" t="b">
        <v>0</v>
      </c>
      <c r="AU261" s="40" t="str" cm="1">
        <f t="array" ref="AU261">_xlfn.XLOOKUP(PROPERTIES[[#This Row],[VEHIDCODE]],GRAPHICS_PROPERTIES[VEHIDCODE],GRAPHICS_PROPERTIES[TEMPLATE_ID]&amp;GRAPHICS_PROPERTIES[TEMPLATE_AMENDMENT_CODE])</f>
        <v>TPL_01A</v>
      </c>
    </row>
    <row r="262" spans="1:47" x14ac:dyDescent="0.35">
      <c r="A262" s="2" t="s">
        <v>2897</v>
      </c>
      <c r="B262">
        <v>1988</v>
      </c>
      <c r="C262">
        <v>2020</v>
      </c>
      <c r="D262" cm="1">
        <f t="array" ref="D2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2" s="40" t="str">
        <f>_xlfn.XLOOKUP(PROPERTIES[[#This Row],[VEHIDCODE]],CONTROL[VEHIDCODE],CONTROL[ENGLISH])</f>
        <v>EMD F59PH</v>
      </c>
      <c r="F262" t="s">
        <v>757</v>
      </c>
      <c r="G262" s="40" t="str">
        <f>_xlfn.XLOOKUP(PROPERTIES[[#This Row],[COUNTRY]],COUNTRIES[COUNTRY_DESCRIPTION],COUNTRIES[COUNTRY_LABEL],"")</f>
        <v>US</v>
      </c>
      <c r="H262" t="str" cm="1">
        <f t="array" ref="H2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2" t="s">
        <v>17</v>
      </c>
      <c r="J262">
        <v>0</v>
      </c>
      <c r="K262">
        <v>8</v>
      </c>
      <c r="L262">
        <v>0</v>
      </c>
      <c r="M262" t="str" cm="1">
        <f t="array" ref="M2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2">
        <f>_xlfn.XLOOKUP("LOADINGSPEEDDEF_"&amp;PROPERTIES[[#This Row],[LOADINGSPEED]],LOADINGSPEEDDEF[TYPE],LOADINGSPEEDDEF[SPEED])</f>
        <v>20</v>
      </c>
      <c r="O262" t="str" cm="1">
        <f t="array" ref="O2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2">
        <f>IF(ISNUMBER(SEARCH("passenger",PROPERTIES[[#This Row],[CARGODEF]])),1,0)</f>
        <v>0</v>
      </c>
      <c r="Q262" s="23">
        <v>130</v>
      </c>
      <c r="R262">
        <v>3000</v>
      </c>
      <c r="S262">
        <v>0</v>
      </c>
      <c r="T262">
        <v>0</v>
      </c>
      <c r="U262">
        <v>0</v>
      </c>
      <c r="V262">
        <v>177</v>
      </c>
      <c r="W262">
        <v>0</v>
      </c>
      <c r="X262">
        <v>0</v>
      </c>
      <c r="Y262">
        <v>0</v>
      </c>
      <c r="Z262" s="20">
        <v>0</v>
      </c>
      <c r="AA262" s="19">
        <f>IFERROR(PROPERTIES[[#This Row],[TE_STARTING_KN]]/(PROPERTIES[[#This Row],[WEIGHT]]*9.81),0)</f>
        <v>0</v>
      </c>
      <c r="AB262" s="19">
        <v>0.22</v>
      </c>
      <c r="AC262" s="16">
        <f>ROUND(IF(IFERROR(PROPERTIES[[#This Row],[TE_COEFFICIENT_CALC]],0)=0,PROPERTIES[[#This Row],[TE_COEFFICIENT_MANUAL]],PROPERTIES[[#This Row],[TE_COEFFICIENT_CALC]]),3)</f>
        <v>0.22</v>
      </c>
      <c r="AD262" s="8" cm="1">
        <f t="array" ref="AD2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62" s="26">
        <v>0</v>
      </c>
      <c r="AF262" s="6">
        <v>0</v>
      </c>
      <c r="AG262" t="s">
        <v>235</v>
      </c>
      <c r="AH262" t="s">
        <v>229</v>
      </c>
      <c r="AI262" t="s">
        <v>229</v>
      </c>
      <c r="AJ262" s="2" t="s">
        <v>229</v>
      </c>
      <c r="AK262" s="2" t="s">
        <v>244</v>
      </c>
      <c r="AL26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2" s="2" t="str">
        <f>SUBSTITUTE(SUBSTITUTE(PROPERTIES[[#This Row],[PURCHASECOST_VALUE]], "PURCHASECOST_", ""), "_VALUE", "")</f>
        <v>DIESELENGINE</v>
      </c>
      <c r="AO262" s="44" t="b">
        <v>0</v>
      </c>
      <c r="AP262" s="48" t="b">
        <v>0</v>
      </c>
      <c r="AQ262" s="48" t="b">
        <v>0</v>
      </c>
      <c r="AR262" s="48">
        <v>0</v>
      </c>
      <c r="AS262" s="48" t="b">
        <v>0</v>
      </c>
      <c r="AT262" s="7" t="b">
        <v>0</v>
      </c>
      <c r="AU262" s="40" t="str" cm="1">
        <f t="array" ref="AU262">_xlfn.XLOOKUP(PROPERTIES[[#This Row],[VEHIDCODE]],GRAPHICS_PROPERTIES[VEHIDCODE],GRAPHICS_PROPERTIES[TEMPLATE_ID]&amp;GRAPHICS_PROPERTIES[TEMPLATE_AMENDMENT_CODE])</f>
        <v>TPL_01A</v>
      </c>
    </row>
    <row r="263" spans="1:47" x14ac:dyDescent="0.35">
      <c r="A263" s="2" t="s">
        <v>2898</v>
      </c>
      <c r="B263">
        <v>2002</v>
      </c>
      <c r="C263">
        <v>2009</v>
      </c>
      <c r="D263" cm="1">
        <f t="array" ref="D2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3" s="40" t="str">
        <f>_xlfn.XLOOKUP(PROPERTIES[[#This Row],[VEHIDCODE]],CONTROL[VEHIDCODE],CONTROL[ENGLISH])</f>
        <v>MaK/Vossloh G1206</v>
      </c>
      <c r="F263" t="s">
        <v>602</v>
      </c>
      <c r="G263" s="40" t="str">
        <f>_xlfn.XLOOKUP(PROPERTIES[[#This Row],[COUNTRY]],COUNTRIES[COUNTRY_DESCRIPTION],COUNTRIES[COUNTRY_LABEL],"")</f>
        <v>FR</v>
      </c>
      <c r="H263" t="str" cm="1">
        <f t="array" ref="H2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3" t="s">
        <v>17</v>
      </c>
      <c r="J263">
        <v>0</v>
      </c>
      <c r="K263">
        <v>7</v>
      </c>
      <c r="L263">
        <v>0</v>
      </c>
      <c r="M263" t="str" cm="1">
        <f t="array" ref="M2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3">
        <f>_xlfn.XLOOKUP("LOADINGSPEEDDEF_"&amp;PROPERTIES[[#This Row],[LOADINGSPEED]],LOADINGSPEEDDEF[TYPE],LOADINGSPEEDDEF[SPEED])</f>
        <v>20</v>
      </c>
      <c r="O263" t="str" cm="1">
        <f t="array" ref="O2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3">
        <f>IF(ISNUMBER(SEARCH("passenger",PROPERTIES[[#This Row],[CARGODEF]])),1,0)</f>
        <v>0</v>
      </c>
      <c r="Q263" s="23">
        <v>86</v>
      </c>
      <c r="R263">
        <v>2010</v>
      </c>
      <c r="S263">
        <v>0</v>
      </c>
      <c r="T263">
        <v>0</v>
      </c>
      <c r="U263">
        <v>0</v>
      </c>
      <c r="V263">
        <v>100</v>
      </c>
      <c r="W263">
        <v>0</v>
      </c>
      <c r="X263">
        <v>0</v>
      </c>
      <c r="Y263">
        <v>0</v>
      </c>
      <c r="Z263" s="20">
        <v>0</v>
      </c>
      <c r="AA263" s="19">
        <f>IFERROR(PROPERTIES[[#This Row],[TE_STARTING_KN]]/(PROPERTIES[[#This Row],[WEIGHT]]*9.81),0)</f>
        <v>0</v>
      </c>
      <c r="AB263" s="19">
        <v>0.33</v>
      </c>
      <c r="AC263" s="16">
        <f>ROUND(IF(IFERROR(PROPERTIES[[#This Row],[TE_COEFFICIENT_CALC]],0)=0,PROPERTIES[[#This Row],[TE_COEFFICIENT_MANUAL]],PROPERTIES[[#This Row],[TE_COEFFICIENT_CALC]]),3)</f>
        <v>0.33</v>
      </c>
      <c r="AD263" s="8" cm="1">
        <f t="array" ref="AD2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63" s="26">
        <v>0</v>
      </c>
      <c r="AF263" s="6">
        <v>0</v>
      </c>
      <c r="AG263" t="s">
        <v>230</v>
      </c>
      <c r="AH263" t="s">
        <v>229</v>
      </c>
      <c r="AI263" t="s">
        <v>229</v>
      </c>
      <c r="AJ263" s="2" t="s">
        <v>229</v>
      </c>
      <c r="AK263" s="2" t="s">
        <v>244</v>
      </c>
      <c r="AL26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3" s="2" t="str">
        <f>SUBSTITUTE(SUBSTITUTE(PROPERTIES[[#This Row],[PURCHASECOST_VALUE]], "PURCHASECOST_", ""), "_VALUE", "")</f>
        <v>DIESELENGINE</v>
      </c>
      <c r="AO263" s="44" t="b">
        <v>0</v>
      </c>
      <c r="AP263" s="48" t="b">
        <v>0</v>
      </c>
      <c r="AQ263" s="48" t="b">
        <v>0</v>
      </c>
      <c r="AR263" s="48">
        <v>0</v>
      </c>
      <c r="AS263" s="48" t="b">
        <v>0</v>
      </c>
      <c r="AT263" s="7" t="b">
        <v>0</v>
      </c>
      <c r="AU263" s="40" t="str" cm="1">
        <f t="array" ref="AU263">_xlfn.XLOOKUP(PROPERTIES[[#This Row],[VEHIDCODE]],GRAPHICS_PROPERTIES[VEHIDCODE],GRAPHICS_PROPERTIES[TEMPLATE_ID]&amp;GRAPHICS_PROPERTIES[TEMPLATE_AMENDMENT_CODE])</f>
        <v>TPL_01A</v>
      </c>
    </row>
    <row r="264" spans="1:47" x14ac:dyDescent="0.35">
      <c r="A264" s="2" t="s">
        <v>2899</v>
      </c>
      <c r="B264">
        <v>2003</v>
      </c>
      <c r="D264" cm="1">
        <f t="array" ref="D2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4" s="40" t="str">
        <f>_xlfn.XLOOKUP(PROPERTIES[[#This Row],[VEHIDCODE]],CONTROL[VEHIDCODE],CONTROL[ENGLISH])</f>
        <v>Vossloh G 2000 BB</v>
      </c>
      <c r="F264" t="s">
        <v>636</v>
      </c>
      <c r="G264" s="40" t="str">
        <f>_xlfn.XLOOKUP(PROPERTIES[[#This Row],[COUNTRY]],COUNTRIES[COUNTRY_DESCRIPTION],COUNTRIES[COUNTRY_LABEL],"")</f>
        <v>IT</v>
      </c>
      <c r="H264" t="str" cm="1">
        <f t="array" ref="H2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4" t="s">
        <v>17</v>
      </c>
      <c r="J264">
        <v>0</v>
      </c>
      <c r="K264">
        <v>7</v>
      </c>
      <c r="L264">
        <v>0</v>
      </c>
      <c r="M264" t="str" cm="1">
        <f t="array" ref="M2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4">
        <f>_xlfn.XLOOKUP("LOADINGSPEEDDEF_"&amp;PROPERTIES[[#This Row],[LOADINGSPEED]],LOADINGSPEEDDEF[TYPE],LOADINGSPEEDDEF[SPEED])</f>
        <v>20</v>
      </c>
      <c r="O264" t="str" cm="1">
        <f t="array" ref="O2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4">
        <f>IF(ISNUMBER(SEARCH("passenger",PROPERTIES[[#This Row],[CARGODEF]])),1,0)</f>
        <v>0</v>
      </c>
      <c r="Q264" s="23">
        <v>89</v>
      </c>
      <c r="R264">
        <v>3000</v>
      </c>
      <c r="S264">
        <v>0</v>
      </c>
      <c r="T264">
        <v>0</v>
      </c>
      <c r="U264">
        <v>0</v>
      </c>
      <c r="V264">
        <v>120</v>
      </c>
      <c r="W264">
        <v>0</v>
      </c>
      <c r="X264">
        <v>0</v>
      </c>
      <c r="Y264">
        <v>0</v>
      </c>
      <c r="Z264" s="20">
        <v>275</v>
      </c>
      <c r="AA264" s="19">
        <f>IFERROR(PROPERTIES[[#This Row],[TE_STARTING_KN]]/(PROPERTIES[[#This Row],[WEIGHT]]*9.81),0)</f>
        <v>0.31497325590718023</v>
      </c>
      <c r="AB264" s="19">
        <v>0</v>
      </c>
      <c r="AC264" s="16">
        <f>ROUND(IF(IFERROR(PROPERTIES[[#This Row],[TE_COEFFICIENT_CALC]],0)=0,PROPERTIES[[#This Row],[TE_COEFFICIENT_MANUAL]],PROPERTIES[[#This Row],[TE_COEFFICIENT_CALC]]),3)</f>
        <v>0.315</v>
      </c>
      <c r="AD264" s="8" cm="1">
        <f t="array" ref="AD2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64" s="26">
        <v>0</v>
      </c>
      <c r="AF264" s="6">
        <v>0</v>
      </c>
      <c r="AG264" t="s">
        <v>231</v>
      </c>
      <c r="AH264" t="s">
        <v>229</v>
      </c>
      <c r="AI264" t="s">
        <v>229</v>
      </c>
      <c r="AJ264" s="2" t="s">
        <v>229</v>
      </c>
      <c r="AK264" s="2" t="s">
        <v>244</v>
      </c>
      <c r="AL26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4" s="2" t="str">
        <f>SUBSTITUTE(SUBSTITUTE(PROPERTIES[[#This Row],[PURCHASECOST_VALUE]], "PURCHASECOST_", ""), "_VALUE", "")</f>
        <v>DIESELENGINE</v>
      </c>
      <c r="AO264" s="44" t="b">
        <v>0</v>
      </c>
      <c r="AP264" s="48" t="b">
        <v>0</v>
      </c>
      <c r="AQ264" s="48" t="b">
        <v>0</v>
      </c>
      <c r="AR264" s="48">
        <v>0</v>
      </c>
      <c r="AS264" s="48" t="b">
        <v>0</v>
      </c>
      <c r="AT264" s="7" t="b">
        <v>0</v>
      </c>
      <c r="AU264" s="40" t="str" cm="1">
        <f t="array" ref="AU264">_xlfn.XLOOKUP(PROPERTIES[[#This Row],[VEHIDCODE]],GRAPHICS_PROPERTIES[VEHIDCODE],GRAPHICS_PROPERTIES[TEMPLATE_ID]&amp;GRAPHICS_PROPERTIES[TEMPLATE_AMENDMENT_CODE])</f>
        <v>TPL_01A</v>
      </c>
    </row>
    <row r="265" spans="1:47" x14ac:dyDescent="0.35">
      <c r="A265" s="2" t="s">
        <v>2900</v>
      </c>
      <c r="B265">
        <v>2003</v>
      </c>
      <c r="D265" cm="1">
        <f t="array" ref="D2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5" s="40" t="str">
        <f>_xlfn.XLOOKUP(PROPERTIES[[#This Row],[VEHIDCODE]],CONTROL[VEHIDCODE],CONTROL[ENGLISH])</f>
        <v>MPI MP40PH-3C</v>
      </c>
      <c r="F265" t="s">
        <v>565</v>
      </c>
      <c r="G265" s="40" t="str">
        <f>_xlfn.XLOOKUP(PROPERTIES[[#This Row],[COUNTRY]],COUNTRIES[COUNTRY_DESCRIPTION],COUNTRIES[COUNTRY_LABEL],"")</f>
        <v>CA</v>
      </c>
      <c r="H265" t="str" cm="1">
        <f t="array" ref="H2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5" t="s">
        <v>17</v>
      </c>
      <c r="J265">
        <v>0</v>
      </c>
      <c r="K265">
        <v>8</v>
      </c>
      <c r="L265">
        <v>0</v>
      </c>
      <c r="M265" t="str" cm="1">
        <f t="array" ref="M2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5">
        <f>_xlfn.XLOOKUP("LOADINGSPEEDDEF_"&amp;PROPERTIES[[#This Row],[LOADINGSPEED]],LOADINGSPEEDDEF[TYPE],LOADINGSPEEDDEF[SPEED])</f>
        <v>20</v>
      </c>
      <c r="O265" t="str" cm="1">
        <f t="array" ref="O2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5">
        <f>IF(ISNUMBER(SEARCH("passenger",PROPERTIES[[#This Row],[CARGODEF]])),1,0)</f>
        <v>0</v>
      </c>
      <c r="Q265" s="23">
        <v>134</v>
      </c>
      <c r="R265">
        <v>4000</v>
      </c>
      <c r="S265">
        <v>0</v>
      </c>
      <c r="T265">
        <v>0</v>
      </c>
      <c r="U265">
        <v>0</v>
      </c>
      <c r="V265">
        <v>150</v>
      </c>
      <c r="W265">
        <v>0</v>
      </c>
      <c r="X265">
        <v>0</v>
      </c>
      <c r="Y265">
        <v>0</v>
      </c>
      <c r="Z265" s="20">
        <v>380</v>
      </c>
      <c r="AA265" s="19">
        <f>IFERROR(PROPERTIES[[#This Row],[TE_STARTING_KN]]/(PROPERTIES[[#This Row],[WEIGHT]]*9.81),0)</f>
        <v>0.28907450515009053</v>
      </c>
      <c r="AB265" s="19">
        <v>0</v>
      </c>
      <c r="AC265" s="16">
        <f>ROUND(IF(IFERROR(PROPERTIES[[#This Row],[TE_COEFFICIENT_CALC]],0)=0,PROPERTIES[[#This Row],[TE_COEFFICIENT_MANUAL]],PROPERTIES[[#This Row],[TE_COEFFICIENT_CALC]]),3)</f>
        <v>0.28899999999999998</v>
      </c>
      <c r="AD265" s="8" cm="1">
        <f t="array" ref="AD2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65" s="26">
        <v>0</v>
      </c>
      <c r="AF265" s="6">
        <v>0</v>
      </c>
      <c r="AG265" t="s">
        <v>235</v>
      </c>
      <c r="AH265" t="s">
        <v>229</v>
      </c>
      <c r="AI265" t="s">
        <v>229</v>
      </c>
      <c r="AJ265" s="2" t="s">
        <v>229</v>
      </c>
      <c r="AK265" s="2" t="s">
        <v>244</v>
      </c>
      <c r="AL26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5" s="2" t="str">
        <f>SUBSTITUTE(SUBSTITUTE(PROPERTIES[[#This Row],[PURCHASECOST_VALUE]], "PURCHASECOST_", ""), "_VALUE", "")</f>
        <v>DIESELENGINE</v>
      </c>
      <c r="AO265" s="44" t="b">
        <v>0</v>
      </c>
      <c r="AP265" s="48" t="b">
        <v>0</v>
      </c>
      <c r="AQ265" s="48" t="b">
        <v>0</v>
      </c>
      <c r="AR265" s="48">
        <v>0</v>
      </c>
      <c r="AS265" s="48" t="b">
        <v>0</v>
      </c>
      <c r="AT265" s="7" t="b">
        <v>0</v>
      </c>
      <c r="AU265" s="40" t="str" cm="1">
        <f t="array" ref="AU265">_xlfn.XLOOKUP(PROPERTIES[[#This Row],[VEHIDCODE]],GRAPHICS_PROPERTIES[VEHIDCODE],GRAPHICS_PROPERTIES[TEMPLATE_ID]&amp;GRAPHICS_PROPERTIES[TEMPLATE_AMENDMENT_CODE])</f>
        <v>TPL_01A</v>
      </c>
    </row>
    <row r="266" spans="1:47" x14ac:dyDescent="0.35">
      <c r="A266" s="2" t="s">
        <v>3470</v>
      </c>
      <c r="B266">
        <v>2006</v>
      </c>
      <c r="D266" cm="1">
        <f t="array" ref="D2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6" s="40" t="str">
        <f>_xlfn.XLOOKUP(PROPERTIES[[#This Row],[VEHIDCODE]],CONTROL[VEHIDCODE],CONTROL[ENGLISH])</f>
        <v>Vossloh Espana/EMD 334</v>
      </c>
      <c r="F266" t="s">
        <v>595</v>
      </c>
      <c r="G266" s="40" t="str">
        <f>_xlfn.XLOOKUP(PROPERTIES[[#This Row],[COUNTRY]],COUNTRIES[COUNTRY_DESCRIPTION],COUNTRIES[COUNTRY_LABEL],"")</f>
        <v>ES</v>
      </c>
      <c r="H266" t="str" cm="1">
        <f t="array" ref="H2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6" t="s">
        <v>17</v>
      </c>
      <c r="J266">
        <v>0</v>
      </c>
      <c r="K266">
        <v>8</v>
      </c>
      <c r="L266">
        <v>0</v>
      </c>
      <c r="M266" t="str" cm="1">
        <f t="array" ref="M2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6">
        <f>_xlfn.XLOOKUP("LOADINGSPEEDDEF_"&amp;PROPERTIES[[#This Row],[LOADINGSPEED]],LOADINGSPEEDDEF[TYPE],LOADINGSPEEDDEF[SPEED])</f>
        <v>20</v>
      </c>
      <c r="O266" t="str" cm="1">
        <f t="array" ref="O2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6">
        <f>IF(ISNUMBER(SEARCH("passenger",PROPERTIES[[#This Row],[CARGODEF]])),1,0)</f>
        <v>0</v>
      </c>
      <c r="Q266" s="23">
        <v>80</v>
      </c>
      <c r="R266">
        <v>3300</v>
      </c>
      <c r="S266">
        <v>0</v>
      </c>
      <c r="T266">
        <v>0</v>
      </c>
      <c r="U266">
        <v>0</v>
      </c>
      <c r="V266">
        <v>200</v>
      </c>
      <c r="W266">
        <v>0</v>
      </c>
      <c r="X266">
        <v>0</v>
      </c>
      <c r="Y266">
        <v>0</v>
      </c>
      <c r="Z266" s="20">
        <v>178</v>
      </c>
      <c r="AA266" s="19">
        <f>IFERROR(PROPERTIES[[#This Row],[TE_STARTING_KN]]/(PROPERTIES[[#This Row],[WEIGHT]]*9.81),0)</f>
        <v>0.22680937818552496</v>
      </c>
      <c r="AB266" s="19">
        <v>0</v>
      </c>
      <c r="AC266" s="16">
        <f>ROUND(IF(IFERROR(PROPERTIES[[#This Row],[TE_COEFFICIENT_CALC]],0)=0,PROPERTIES[[#This Row],[TE_COEFFICIENT_MANUAL]],PROPERTIES[[#This Row],[TE_COEFFICIENT_CALC]]),3)</f>
        <v>0.22700000000000001</v>
      </c>
      <c r="AD266" s="8" cm="1">
        <f t="array" ref="AD2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66" s="26">
        <v>0</v>
      </c>
      <c r="AF266" s="6">
        <v>0</v>
      </c>
      <c r="AG266" t="s">
        <v>231</v>
      </c>
      <c r="AH266" t="s">
        <v>229</v>
      </c>
      <c r="AI266" t="s">
        <v>229</v>
      </c>
      <c r="AJ266" s="2" t="s">
        <v>229</v>
      </c>
      <c r="AK266" s="2" t="s">
        <v>244</v>
      </c>
      <c r="AL26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6" s="2" t="str">
        <f>SUBSTITUTE(SUBSTITUTE(PROPERTIES[[#This Row],[PURCHASECOST_VALUE]], "PURCHASECOST_", ""), "_VALUE", "")</f>
        <v>DIESELENGINE</v>
      </c>
      <c r="AO266" s="44" t="b">
        <v>0</v>
      </c>
      <c r="AP266" s="48" t="b">
        <v>0</v>
      </c>
      <c r="AQ266" s="48" t="b">
        <v>0</v>
      </c>
      <c r="AR266" s="48">
        <v>0</v>
      </c>
      <c r="AS266" s="48" t="b">
        <v>0</v>
      </c>
      <c r="AT266" s="7" t="b">
        <v>0</v>
      </c>
      <c r="AU266" s="40" t="str" cm="1">
        <f t="array" ref="AU266">_xlfn.XLOOKUP(PROPERTIES[[#This Row],[VEHIDCODE]],GRAPHICS_PROPERTIES[VEHIDCODE],GRAPHICS_PROPERTIES[TEMPLATE_ID]&amp;GRAPHICS_PROPERTIES[TEMPLATE_AMENDMENT_CODE])</f>
        <v>TPL_01A</v>
      </c>
    </row>
    <row r="267" spans="1:47" x14ac:dyDescent="0.35">
      <c r="A267" s="2" t="s">
        <v>2901</v>
      </c>
      <c r="B267">
        <v>2011</v>
      </c>
      <c r="D267" cm="1">
        <f t="array" ref="D2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7" s="40" t="str">
        <f>_xlfn.XLOOKUP(PROPERTIES[[#This Row],[VEHIDCODE]],CONTROL[VEHIDCODE],CONTROL[ENGLISH])</f>
        <v>INKA CC300</v>
      </c>
      <c r="F267" t="s">
        <v>627</v>
      </c>
      <c r="G267" s="40" t="str">
        <f>_xlfn.XLOOKUP(PROPERTIES[[#This Row],[COUNTRY]],COUNTRIES[COUNTRY_DESCRIPTION],COUNTRIES[COUNTRY_LABEL],"")</f>
        <v>ID</v>
      </c>
      <c r="H267" t="str" cm="1">
        <f t="array" ref="H2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7" t="s">
        <v>17</v>
      </c>
      <c r="J267">
        <v>0</v>
      </c>
      <c r="K267">
        <v>8</v>
      </c>
      <c r="L267">
        <v>0</v>
      </c>
      <c r="M267" t="str" cm="1">
        <f t="array" ref="M2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7">
        <f>_xlfn.XLOOKUP("LOADINGSPEEDDEF_"&amp;PROPERTIES[[#This Row],[LOADINGSPEED]],LOADINGSPEEDDEF[TYPE],LOADINGSPEEDDEF[SPEED])</f>
        <v>20</v>
      </c>
      <c r="O267" t="str" cm="1">
        <f t="array" ref="O2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7">
        <f>IF(ISNUMBER(SEARCH("passenger",PROPERTIES[[#This Row],[CARGODEF]])),1,0)</f>
        <v>0</v>
      </c>
      <c r="Q267" s="23">
        <v>76</v>
      </c>
      <c r="R267">
        <v>2500</v>
      </c>
      <c r="S267">
        <v>0</v>
      </c>
      <c r="T267">
        <v>0</v>
      </c>
      <c r="U267">
        <v>0</v>
      </c>
      <c r="V267">
        <v>120</v>
      </c>
      <c r="W267">
        <v>0</v>
      </c>
      <c r="X267">
        <v>0</v>
      </c>
      <c r="Y267">
        <v>0</v>
      </c>
      <c r="Z267" s="20">
        <v>270</v>
      </c>
      <c r="AA267" s="19">
        <f>IFERROR(PROPERTIES[[#This Row],[TE_STARTING_KN]]/(PROPERTIES[[#This Row],[WEIGHT]]*9.81),0)</f>
        <v>0.36214389183969092</v>
      </c>
      <c r="AB267" s="19">
        <v>0</v>
      </c>
      <c r="AC267" s="16">
        <f>ROUND(IF(IFERROR(PROPERTIES[[#This Row],[TE_COEFFICIENT_CALC]],0)=0,PROPERTIES[[#This Row],[TE_COEFFICIENT_MANUAL]],PROPERTIES[[#This Row],[TE_COEFFICIENT_CALC]]),3)</f>
        <v>0.36199999999999999</v>
      </c>
      <c r="AD267" s="8" cm="1">
        <f t="array" ref="AD2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67" s="26">
        <v>0</v>
      </c>
      <c r="AF267" s="6">
        <v>0</v>
      </c>
      <c r="AG267" t="s">
        <v>232</v>
      </c>
      <c r="AH267" t="s">
        <v>229</v>
      </c>
      <c r="AI267" t="s">
        <v>229</v>
      </c>
      <c r="AJ267" s="2" t="s">
        <v>229</v>
      </c>
      <c r="AK267" s="2" t="s">
        <v>244</v>
      </c>
      <c r="AL26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7" s="2" t="str">
        <f>SUBSTITUTE(SUBSTITUTE(PROPERTIES[[#This Row],[PURCHASECOST_VALUE]], "PURCHASECOST_", ""), "_VALUE", "")</f>
        <v>DIESELENGINE</v>
      </c>
      <c r="AO267" s="44" t="b">
        <v>0</v>
      </c>
      <c r="AP267" s="48" t="b">
        <v>0</v>
      </c>
      <c r="AQ267" s="48" t="b">
        <v>0</v>
      </c>
      <c r="AR267" s="48">
        <v>0</v>
      </c>
      <c r="AS267" s="48" t="b">
        <v>0</v>
      </c>
      <c r="AT267" s="7" t="b">
        <v>0</v>
      </c>
      <c r="AU267" s="40" t="str" cm="1">
        <f t="array" ref="AU267">_xlfn.XLOOKUP(PROPERTIES[[#This Row],[VEHIDCODE]],GRAPHICS_PROPERTIES[VEHIDCODE],GRAPHICS_PROPERTIES[TEMPLATE_ID]&amp;GRAPHICS_PROPERTIES[TEMPLATE_AMENDMENT_CODE])</f>
        <v>TPL_01A</v>
      </c>
    </row>
    <row r="268" spans="1:47" x14ac:dyDescent="0.35">
      <c r="A268" s="2" t="s">
        <v>2902</v>
      </c>
      <c r="B268">
        <v>1930</v>
      </c>
      <c r="D268" cm="1">
        <f t="array" ref="D2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8" s="40" t="str">
        <f>_xlfn.XLOOKUP(PROPERTIES[[#This Row],[VEHIDCODE]],CONTROL[VEHIDCODE],CONTROL[ENGLISH])</f>
        <v>Great Southern Railway DH501</v>
      </c>
      <c r="F268" t="s">
        <v>538</v>
      </c>
      <c r="G268" s="40" t="str">
        <f>_xlfn.XLOOKUP(PROPERTIES[[#This Row],[COUNTRY]],COUNTRIES[COUNTRY_DESCRIPTION],COUNTRIES[COUNTRY_LABEL],"")</f>
        <v>AR</v>
      </c>
      <c r="H268" t="str" cm="1">
        <f t="array" ref="H2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8" t="s">
        <v>17</v>
      </c>
      <c r="J268">
        <v>0</v>
      </c>
      <c r="K268">
        <v>6</v>
      </c>
      <c r="L268">
        <v>0</v>
      </c>
      <c r="M268" t="str" cm="1">
        <f t="array" ref="M2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8">
        <f>_xlfn.XLOOKUP("LOADINGSPEEDDEF_"&amp;PROPERTIES[[#This Row],[LOADINGSPEED]],LOADINGSPEEDDEF[TYPE],LOADINGSPEEDDEF[SPEED])</f>
        <v>20</v>
      </c>
      <c r="O268" cm="1">
        <f t="array" ref="O2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68">
        <f>IF(ISNUMBER(SEARCH("passenger",PROPERTIES[[#This Row],[CARGODEF]])),1,0)</f>
        <v>0</v>
      </c>
      <c r="Q268" s="23">
        <v>148</v>
      </c>
      <c r="R268">
        <v>1200</v>
      </c>
      <c r="S268">
        <v>0</v>
      </c>
      <c r="T268">
        <v>0</v>
      </c>
      <c r="U268">
        <v>0</v>
      </c>
      <c r="V268">
        <v>85</v>
      </c>
      <c r="W268">
        <v>0</v>
      </c>
      <c r="X268">
        <v>0</v>
      </c>
      <c r="Y268">
        <v>0</v>
      </c>
      <c r="Z268" s="20">
        <v>200</v>
      </c>
      <c r="AA268" s="19">
        <f>IFERROR(PROPERTIES[[#This Row],[TE_STARTING_KN]]/(PROPERTIES[[#This Row],[WEIGHT]]*9.81),0)</f>
        <v>0.13775243133041298</v>
      </c>
      <c r="AB268" s="19">
        <v>0</v>
      </c>
      <c r="AC268" s="16">
        <f>ROUND(IF(IFERROR(PROPERTIES[[#This Row],[TE_COEFFICIENT_CALC]],0)=0,PROPERTIES[[#This Row],[TE_COEFFICIENT_MANUAL]],PROPERTIES[[#This Row],[TE_COEFFICIENT_CALC]]),3)</f>
        <v>0.13800000000000001</v>
      </c>
      <c r="AD268" s="8" cm="1">
        <f t="array" ref="AD2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68" s="26">
        <v>0</v>
      </c>
      <c r="AF268" s="6">
        <v>0</v>
      </c>
      <c r="AG268" t="s">
        <v>237</v>
      </c>
      <c r="AH268" t="s">
        <v>229</v>
      </c>
      <c r="AI268" t="s">
        <v>229</v>
      </c>
      <c r="AJ268" s="2" t="s">
        <v>229</v>
      </c>
      <c r="AK268" s="2" t="s">
        <v>244</v>
      </c>
      <c r="AL26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8" s="2" t="str">
        <f>SUBSTITUTE(SUBSTITUTE(PROPERTIES[[#This Row],[PURCHASECOST_VALUE]], "PURCHASECOST_", ""), "_VALUE", "")</f>
        <v>DIESELENGINE</v>
      </c>
      <c r="AO268" s="44" t="b">
        <v>0</v>
      </c>
      <c r="AP268" s="48" t="b">
        <v>0</v>
      </c>
      <c r="AQ268" s="48" t="b">
        <v>0</v>
      </c>
      <c r="AR268" s="48">
        <v>0</v>
      </c>
      <c r="AS268" s="48" t="b">
        <v>0</v>
      </c>
      <c r="AT268" s="7" t="b">
        <v>0</v>
      </c>
      <c r="AU268" s="40" t="str" cm="1">
        <f t="array" ref="AU268">_xlfn.XLOOKUP(PROPERTIES[[#This Row],[VEHIDCODE]],GRAPHICS_PROPERTIES[VEHIDCODE],GRAPHICS_PROPERTIES[TEMPLATE_ID]&amp;GRAPHICS_PROPERTIES[TEMPLATE_AMENDMENT_CODE])</f>
        <v>TPL_03C</v>
      </c>
    </row>
    <row r="269" spans="1:47" x14ac:dyDescent="0.35">
      <c r="A269" s="2" t="s">
        <v>2903</v>
      </c>
      <c r="B269">
        <v>1938</v>
      </c>
      <c r="D269" cm="1">
        <f t="array" ref="D2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9" s="40" t="str">
        <f>_xlfn.XLOOKUP(PROPERTIES[[#This Row],[VEHIDCODE]],CONTROL[VEHIDCODE],CONTROL[ENGLISH])</f>
        <v>EE VFFLB</v>
      </c>
      <c r="F269" t="s">
        <v>558</v>
      </c>
      <c r="G269" s="40" t="str">
        <f>_xlfn.XLOOKUP(PROPERTIES[[#This Row],[COUNTRY]],COUNTRIES[COUNTRY_DESCRIPTION],COUNTRIES[COUNTRY_LABEL],"")</f>
        <v>BR</v>
      </c>
      <c r="H269" t="str" cm="1">
        <f t="array" ref="H2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9" t="s">
        <v>17</v>
      </c>
      <c r="J269">
        <v>0</v>
      </c>
      <c r="K269">
        <v>4</v>
      </c>
      <c r="L269">
        <v>0</v>
      </c>
      <c r="M269" t="str" cm="1">
        <f t="array" ref="M2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9">
        <f>_xlfn.XLOOKUP("LOADINGSPEEDDEF_"&amp;PROPERTIES[[#This Row],[LOADINGSPEED]],LOADINGSPEEDDEF[TYPE],LOADINGSPEEDDEF[SPEED])</f>
        <v>20</v>
      </c>
      <c r="O269" cm="1">
        <f t="array" ref="O2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69">
        <f>IF(ISNUMBER(SEARCH("passenger",PROPERTIES[[#This Row],[CARGODEF]])),1,0)</f>
        <v>0</v>
      </c>
      <c r="Q269" s="23">
        <v>52</v>
      </c>
      <c r="R269">
        <v>450</v>
      </c>
      <c r="S269">
        <v>0</v>
      </c>
      <c r="T269">
        <v>0</v>
      </c>
      <c r="U269">
        <v>0</v>
      </c>
      <c r="V269">
        <v>76</v>
      </c>
      <c r="W269">
        <v>0</v>
      </c>
      <c r="X269">
        <v>0</v>
      </c>
      <c r="Y269">
        <v>0</v>
      </c>
      <c r="Z269" s="20">
        <v>0</v>
      </c>
      <c r="AA269" s="19">
        <f>IFERROR(PROPERTIES[[#This Row],[TE_STARTING_KN]]/(PROPERTIES[[#This Row],[WEIGHT]]*9.81),0)</f>
        <v>0</v>
      </c>
      <c r="AB269" s="19">
        <v>0.22</v>
      </c>
      <c r="AC269" s="16">
        <f>ROUND(IF(IFERROR(PROPERTIES[[#This Row],[TE_COEFFICIENT_CALC]],0)=0,PROPERTIES[[#This Row],[TE_COEFFICIENT_MANUAL]],PROPERTIES[[#This Row],[TE_COEFFICIENT_CALC]]),3)</f>
        <v>0.22</v>
      </c>
      <c r="AD269" s="8" cm="1">
        <f t="array" ref="AD2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69" s="26">
        <v>0</v>
      </c>
      <c r="AF269" s="6">
        <v>0</v>
      </c>
      <c r="AG269" t="s">
        <v>237</v>
      </c>
      <c r="AH269" t="s">
        <v>229</v>
      </c>
      <c r="AI269" t="s">
        <v>229</v>
      </c>
      <c r="AJ269" s="2" t="s">
        <v>229</v>
      </c>
      <c r="AK269" s="2" t="s">
        <v>244</v>
      </c>
      <c r="AL26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9" s="2" t="str">
        <f>SUBSTITUTE(SUBSTITUTE(PROPERTIES[[#This Row],[PURCHASECOST_VALUE]], "PURCHASECOST_", ""), "_VALUE", "")</f>
        <v>DIESELENGINE</v>
      </c>
      <c r="AO269" s="44" t="b">
        <v>0</v>
      </c>
      <c r="AP269" s="48" t="b">
        <v>0</v>
      </c>
      <c r="AQ269" s="48" t="b">
        <v>0</v>
      </c>
      <c r="AR269" s="48">
        <v>0</v>
      </c>
      <c r="AS269" s="48" t="b">
        <v>0</v>
      </c>
      <c r="AT269" s="7" t="b">
        <v>0</v>
      </c>
      <c r="AU269" s="40" t="str" cm="1">
        <f t="array" ref="AU269">_xlfn.XLOOKUP(PROPERTIES[[#This Row],[VEHIDCODE]],GRAPHICS_PROPERTIES[VEHIDCODE],GRAPHICS_PROPERTIES[TEMPLATE_ID]&amp;GRAPHICS_PROPERTIES[TEMPLATE_AMENDMENT_CODE])</f>
        <v>TPL_01A</v>
      </c>
    </row>
    <row r="270" spans="1:47" x14ac:dyDescent="0.35">
      <c r="A270" s="2" t="s">
        <v>2904</v>
      </c>
      <c r="B270">
        <v>1961</v>
      </c>
      <c r="D270" cm="1">
        <f t="array" ref="D2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0" s="40" t="str">
        <f>_xlfn.XLOOKUP(PROPERTIES[[#This Row],[VEHIDCODE]],CONTROL[VEHIDCODE],CONTROL[ENGLISH])</f>
        <v>GE U5B</v>
      </c>
      <c r="F270" t="s">
        <v>573</v>
      </c>
      <c r="G270" s="40" t="str">
        <f>_xlfn.XLOOKUP(PROPERTIES[[#This Row],[COUNTRY]],COUNTRIES[COUNTRY_DESCRIPTION],COUNTRIES[COUNTRY_LABEL],"")</f>
        <v>CL</v>
      </c>
      <c r="H270" t="str" cm="1">
        <f t="array" ref="H2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0" t="s">
        <v>17</v>
      </c>
      <c r="J270">
        <v>0</v>
      </c>
      <c r="K270">
        <v>5</v>
      </c>
      <c r="L270">
        <v>0</v>
      </c>
      <c r="M270" t="str" cm="1">
        <f t="array" ref="M2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0">
        <f>_xlfn.XLOOKUP("LOADINGSPEEDDEF_"&amp;PROPERTIES[[#This Row],[LOADINGSPEED]],LOADINGSPEEDDEF[TYPE],LOADINGSPEEDDEF[SPEED])</f>
        <v>20</v>
      </c>
      <c r="O270" cm="1">
        <f t="array" ref="O2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0">
        <f>IF(ISNUMBER(SEARCH("passenger",PROPERTIES[[#This Row],[CARGODEF]])),1,0)</f>
        <v>0</v>
      </c>
      <c r="Q270" s="23">
        <v>54</v>
      </c>
      <c r="R270">
        <v>600</v>
      </c>
      <c r="S270">
        <v>0</v>
      </c>
      <c r="T270">
        <v>0</v>
      </c>
      <c r="U270">
        <v>0</v>
      </c>
      <c r="V270">
        <v>64</v>
      </c>
      <c r="W270">
        <v>0</v>
      </c>
      <c r="X270">
        <v>0</v>
      </c>
      <c r="Y270">
        <v>0</v>
      </c>
      <c r="Z270" s="20">
        <v>138</v>
      </c>
      <c r="AA270" s="19">
        <f>IFERROR(PROPERTIES[[#This Row],[TE_STARTING_KN]]/(PROPERTIES[[#This Row],[WEIGHT]]*9.81),0)</f>
        <v>0.26050515347151432</v>
      </c>
      <c r="AB270" s="19">
        <v>0</v>
      </c>
      <c r="AC270" s="16">
        <f>ROUND(IF(IFERROR(PROPERTIES[[#This Row],[TE_COEFFICIENT_CALC]],0)=0,PROPERTIES[[#This Row],[TE_COEFFICIENT_MANUAL]],PROPERTIES[[#This Row],[TE_COEFFICIENT_CALC]]),3)</f>
        <v>0.26100000000000001</v>
      </c>
      <c r="AD270" s="8" cm="1">
        <f t="array" ref="AD2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0" s="26">
        <v>0</v>
      </c>
      <c r="AF270" s="6">
        <v>0</v>
      </c>
      <c r="AG270" t="s">
        <v>237</v>
      </c>
      <c r="AH270" t="s">
        <v>233</v>
      </c>
      <c r="AI270" t="s">
        <v>229</v>
      </c>
      <c r="AJ270" s="2" t="s">
        <v>229</v>
      </c>
      <c r="AK270" s="2" t="s">
        <v>244</v>
      </c>
      <c r="AL27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0" s="2" t="str">
        <f>SUBSTITUTE(SUBSTITUTE(PROPERTIES[[#This Row],[PURCHASECOST_VALUE]], "PURCHASECOST_", ""), "_VALUE", "")</f>
        <v>DIESELENGINE</v>
      </c>
      <c r="AO270" s="44" t="b">
        <v>0</v>
      </c>
      <c r="AP270" s="48" t="b">
        <v>0</v>
      </c>
      <c r="AQ270" s="48" t="b">
        <v>0</v>
      </c>
      <c r="AR270" s="48">
        <v>0</v>
      </c>
      <c r="AS270" s="48" t="b">
        <v>0</v>
      </c>
      <c r="AT270" s="7" t="b">
        <v>0</v>
      </c>
      <c r="AU270" s="40" t="str" cm="1">
        <f t="array" ref="AU270">_xlfn.XLOOKUP(PROPERTIES[[#This Row],[VEHIDCODE]],GRAPHICS_PROPERTIES[VEHIDCODE],GRAPHICS_PROPERTIES[TEMPLATE_ID]&amp;GRAPHICS_PROPERTIES[TEMPLATE_AMENDMENT_CODE])</f>
        <v>TPL_01A</v>
      </c>
    </row>
    <row r="271" spans="1:47" x14ac:dyDescent="0.35">
      <c r="A271" s="2" t="s">
        <v>2905</v>
      </c>
      <c r="B271">
        <v>1965</v>
      </c>
      <c r="D271" cm="1">
        <f t="array" ref="D2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1" s="40" t="str">
        <f>_xlfn.XLOOKUP(PROPERTIES[[#This Row],[VEHIDCODE]],CONTROL[VEHIDCODE],CONTROL[ENGLISH])</f>
        <v>ALCO RSD-39</v>
      </c>
      <c r="F271" t="s">
        <v>700</v>
      </c>
      <c r="G271" s="40" t="str">
        <f>_xlfn.XLOOKUP(PROPERTIES[[#This Row],[COUNTRY]],COUNTRIES[COUNTRY_DESCRIPTION],COUNTRIES[COUNTRY_LABEL],"")</f>
        <v>PE</v>
      </c>
      <c r="H271" t="str" cm="1">
        <f t="array" ref="H2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1" t="s">
        <v>17</v>
      </c>
      <c r="J271">
        <v>0</v>
      </c>
      <c r="K271">
        <v>6</v>
      </c>
      <c r="L271">
        <v>0</v>
      </c>
      <c r="M271" t="str" cm="1">
        <f t="array" ref="M2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1">
        <f>_xlfn.XLOOKUP("LOADINGSPEEDDEF_"&amp;PROPERTIES[[#This Row],[LOADINGSPEED]],LOADINGSPEEDDEF[TYPE],LOADINGSPEEDDEF[SPEED])</f>
        <v>20</v>
      </c>
      <c r="O271" cm="1">
        <f t="array" ref="O2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1">
        <f>IF(ISNUMBER(SEARCH("passenger",PROPERTIES[[#This Row],[CARGODEF]])),1,0)</f>
        <v>0</v>
      </c>
      <c r="Q271" s="23">
        <v>83</v>
      </c>
      <c r="R271">
        <v>1350</v>
      </c>
      <c r="S271">
        <v>0</v>
      </c>
      <c r="T271">
        <v>0</v>
      </c>
      <c r="U271">
        <v>0</v>
      </c>
      <c r="V271">
        <v>120</v>
      </c>
      <c r="W271">
        <v>0</v>
      </c>
      <c r="X271">
        <v>0</v>
      </c>
      <c r="Y271">
        <v>0</v>
      </c>
      <c r="Z271" s="20">
        <v>0</v>
      </c>
      <c r="AA271" s="19">
        <f>IFERROR(PROPERTIES[[#This Row],[TE_STARTING_KN]]/(PROPERTIES[[#This Row],[WEIGHT]]*9.81),0)</f>
        <v>0</v>
      </c>
      <c r="AB271" s="19">
        <v>0.17</v>
      </c>
      <c r="AC271" s="16">
        <f>ROUND(IF(IFERROR(PROPERTIES[[#This Row],[TE_COEFFICIENT_CALC]],0)=0,PROPERTIES[[#This Row],[TE_COEFFICIENT_MANUAL]],PROPERTIES[[#This Row],[TE_COEFFICIENT_CALC]]),3)</f>
        <v>0.17</v>
      </c>
      <c r="AD271" s="8" cm="1">
        <f t="array" ref="AD2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1" s="26">
        <v>0</v>
      </c>
      <c r="AF271" s="6">
        <v>0</v>
      </c>
      <c r="AG271" t="s">
        <v>237</v>
      </c>
      <c r="AH271" t="s">
        <v>231</v>
      </c>
      <c r="AI271" t="s">
        <v>229</v>
      </c>
      <c r="AJ271" s="2" t="s">
        <v>229</v>
      </c>
      <c r="AK271" s="2" t="s">
        <v>244</v>
      </c>
      <c r="AL27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1" s="2" t="str">
        <f>SUBSTITUTE(SUBSTITUTE(PROPERTIES[[#This Row],[PURCHASECOST_VALUE]], "PURCHASECOST_", ""), "_VALUE", "")</f>
        <v>DIESELENGINE</v>
      </c>
      <c r="AO271" s="44" t="b">
        <v>0</v>
      </c>
      <c r="AP271" s="48" t="b">
        <v>0</v>
      </c>
      <c r="AQ271" s="48" t="b">
        <v>0</v>
      </c>
      <c r="AR271" s="48">
        <v>0</v>
      </c>
      <c r="AS271" s="48" t="b">
        <v>0</v>
      </c>
      <c r="AT271" s="7" t="b">
        <v>0</v>
      </c>
      <c r="AU271" s="40" t="str" cm="1">
        <f t="array" ref="AU271">_xlfn.XLOOKUP(PROPERTIES[[#This Row],[VEHIDCODE]],GRAPHICS_PROPERTIES[VEHIDCODE],GRAPHICS_PROPERTIES[TEMPLATE_ID]&amp;GRAPHICS_PROPERTIES[TEMPLATE_AMENDMENT_CODE])</f>
        <v>TPL_01A</v>
      </c>
    </row>
    <row r="272" spans="1:47" x14ac:dyDescent="0.35">
      <c r="A272" s="2" t="s">
        <v>2906</v>
      </c>
      <c r="B272">
        <v>1970</v>
      </c>
      <c r="C272">
        <v>2030</v>
      </c>
      <c r="D272" cm="1">
        <f t="array" ref="D2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2" s="40" t="str">
        <f>_xlfn.XLOOKUP(PROPERTIES[[#This Row],[VEHIDCODE]],CONTROL[VEHIDCODE],CONTROL[ENGLISH])</f>
        <v>EMD DDM45</v>
      </c>
      <c r="F272" t="s">
        <v>558</v>
      </c>
      <c r="G272" s="40" t="str">
        <f>_xlfn.XLOOKUP(PROPERTIES[[#This Row],[COUNTRY]],COUNTRIES[COUNTRY_DESCRIPTION],COUNTRIES[COUNTRY_LABEL],"")</f>
        <v>BR</v>
      </c>
      <c r="H272" t="str" cm="1">
        <f t="array" ref="H2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2" t="s">
        <v>17</v>
      </c>
      <c r="J272">
        <v>0</v>
      </c>
      <c r="K272">
        <v>8</v>
      </c>
      <c r="L272">
        <v>0</v>
      </c>
      <c r="M272" t="str" cm="1">
        <f t="array" ref="M2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2">
        <f>_xlfn.XLOOKUP("LOADINGSPEEDDEF_"&amp;PROPERTIES[[#This Row],[LOADINGSPEED]],LOADINGSPEEDDEF[TYPE],LOADINGSPEEDDEF[SPEED])</f>
        <v>20</v>
      </c>
      <c r="O272" t="str" cm="1">
        <f t="array" ref="O2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72">
        <f>IF(ISNUMBER(SEARCH("passenger",PROPERTIES[[#This Row],[CARGODEF]])),1,0)</f>
        <v>0</v>
      </c>
      <c r="Q272" s="23">
        <v>162</v>
      </c>
      <c r="R272">
        <v>3600</v>
      </c>
      <c r="S272">
        <v>0</v>
      </c>
      <c r="T272">
        <v>0</v>
      </c>
      <c r="U272">
        <v>0</v>
      </c>
      <c r="V272">
        <v>85</v>
      </c>
      <c r="W272">
        <v>0</v>
      </c>
      <c r="X272">
        <v>0</v>
      </c>
      <c r="Y272">
        <v>0</v>
      </c>
      <c r="Z272" s="20">
        <v>388.9</v>
      </c>
      <c r="AA272" s="19">
        <f>IFERROR(PROPERTIES[[#This Row],[TE_STARTING_KN]]/(PROPERTIES[[#This Row],[WEIGHT]]*9.81),0)</f>
        <v>0.24471124199292732</v>
      </c>
      <c r="AB272" s="19">
        <v>0</v>
      </c>
      <c r="AC272" s="16">
        <f>ROUND(IF(IFERROR(PROPERTIES[[#This Row],[TE_COEFFICIENT_CALC]],0)=0,PROPERTIES[[#This Row],[TE_COEFFICIENT_MANUAL]],PROPERTIES[[#This Row],[TE_COEFFICIENT_CALC]]),3)</f>
        <v>0.245</v>
      </c>
      <c r="AD272" s="8" cm="1">
        <f t="array" ref="AD2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272" s="26">
        <v>0</v>
      </c>
      <c r="AF272" s="6">
        <v>0</v>
      </c>
      <c r="AG272" t="s">
        <v>237</v>
      </c>
      <c r="AH272" t="s">
        <v>229</v>
      </c>
      <c r="AI272" t="s">
        <v>229</v>
      </c>
      <c r="AJ272" s="2" t="s">
        <v>229</v>
      </c>
      <c r="AK272" s="2" t="s">
        <v>244</v>
      </c>
      <c r="AL27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2" s="2" t="str">
        <f>SUBSTITUTE(SUBSTITUTE(PROPERTIES[[#This Row],[PURCHASECOST_VALUE]], "PURCHASECOST_", ""), "_VALUE", "")</f>
        <v>DIESELENGINE</v>
      </c>
      <c r="AO272" s="44" t="b">
        <v>0</v>
      </c>
      <c r="AP272" s="48" t="b">
        <v>0</v>
      </c>
      <c r="AQ272" s="48" t="b">
        <v>0</v>
      </c>
      <c r="AR272" s="48">
        <v>0</v>
      </c>
      <c r="AS272" s="48" t="b">
        <v>0</v>
      </c>
      <c r="AT272" s="7" t="b">
        <v>0</v>
      </c>
      <c r="AU272" s="40" t="str" cm="1">
        <f t="array" ref="AU272">_xlfn.XLOOKUP(PROPERTIES[[#This Row],[VEHIDCODE]],GRAPHICS_PROPERTIES[VEHIDCODE],GRAPHICS_PROPERTIES[TEMPLATE_ID]&amp;GRAPHICS_PROPERTIES[TEMPLATE_AMENDMENT_CODE])</f>
        <v>TPL_01A</v>
      </c>
    </row>
    <row r="273" spans="1:47" x14ac:dyDescent="0.35">
      <c r="A273" s="2" t="s">
        <v>2907</v>
      </c>
      <c r="B273">
        <v>1984</v>
      </c>
      <c r="C273">
        <v>1999</v>
      </c>
      <c r="D273" cm="1">
        <f t="array" ref="D2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3" s="40" t="str">
        <f>_xlfn.XLOOKUP(PROPERTIES[[#This Row],[VEHIDCODE]],CONTROL[VEHIDCODE],CONTROL[ENGLISH])</f>
        <v>GE C39-8</v>
      </c>
      <c r="F273" t="s">
        <v>700</v>
      </c>
      <c r="G273" s="40" t="str">
        <f>_xlfn.XLOOKUP(PROPERTIES[[#This Row],[COUNTRY]],COUNTRIES[COUNTRY_DESCRIPTION],COUNTRIES[COUNTRY_LABEL],"")</f>
        <v>PE</v>
      </c>
      <c r="H273" t="str" cm="1">
        <f t="array" ref="H2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3" t="s">
        <v>17</v>
      </c>
      <c r="J273">
        <v>0</v>
      </c>
      <c r="K273">
        <v>8</v>
      </c>
      <c r="L273">
        <v>0</v>
      </c>
      <c r="M273" t="str" cm="1">
        <f t="array" ref="M2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3">
        <f>_xlfn.XLOOKUP("LOADINGSPEEDDEF_"&amp;PROPERTIES[[#This Row],[LOADINGSPEED]],LOADINGSPEEDDEF[TYPE],LOADINGSPEEDDEF[SPEED])</f>
        <v>20</v>
      </c>
      <c r="O273" cm="1">
        <f t="array" ref="O2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3">
        <f>IF(ISNUMBER(SEARCH("passenger",PROPERTIES[[#This Row],[CARGODEF]])),1,0)</f>
        <v>0</v>
      </c>
      <c r="Q273" s="23">
        <v>166</v>
      </c>
      <c r="R273">
        <v>3900</v>
      </c>
      <c r="S273">
        <v>0</v>
      </c>
      <c r="T273">
        <v>0</v>
      </c>
      <c r="U273">
        <v>0</v>
      </c>
      <c r="V273">
        <v>110</v>
      </c>
      <c r="W273">
        <v>0</v>
      </c>
      <c r="X273">
        <v>0</v>
      </c>
      <c r="Y273">
        <v>0</v>
      </c>
      <c r="Z273" s="20">
        <v>0</v>
      </c>
      <c r="AA273" s="19">
        <f>IFERROR(PROPERTIES[[#This Row],[TE_STARTING_KN]]/(PROPERTIES[[#This Row],[WEIGHT]]*9.81),0)</f>
        <v>0</v>
      </c>
      <c r="AB273" s="19">
        <v>0.28999999999999998</v>
      </c>
      <c r="AC273" s="16">
        <f>ROUND(IF(IFERROR(PROPERTIES[[#This Row],[TE_COEFFICIENT_CALC]],0)=0,PROPERTIES[[#This Row],[TE_COEFFICIENT_MANUAL]],PROPERTIES[[#This Row],[TE_COEFFICIENT_CALC]]),3)</f>
        <v>0.28999999999999998</v>
      </c>
      <c r="AD273" s="8" cm="1">
        <f t="array" ref="AD2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3" s="26">
        <v>0</v>
      </c>
      <c r="AF273" s="6">
        <v>0</v>
      </c>
      <c r="AG273" t="s">
        <v>240</v>
      </c>
      <c r="AH273" t="s">
        <v>229</v>
      </c>
      <c r="AI273" t="s">
        <v>229</v>
      </c>
      <c r="AJ273" s="2" t="s">
        <v>229</v>
      </c>
      <c r="AK273" s="2" t="s">
        <v>244</v>
      </c>
      <c r="AL27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3" s="2" t="str">
        <f>SUBSTITUTE(SUBSTITUTE(PROPERTIES[[#This Row],[PURCHASECOST_VALUE]], "PURCHASECOST_", ""), "_VALUE", "")</f>
        <v>DIESELENGINE</v>
      </c>
      <c r="AO273" s="44" t="b">
        <v>0</v>
      </c>
      <c r="AP273" s="48" t="b">
        <v>0</v>
      </c>
      <c r="AQ273" s="48" t="b">
        <v>0</v>
      </c>
      <c r="AR273" s="48">
        <v>0</v>
      </c>
      <c r="AS273" s="48" t="b">
        <v>0</v>
      </c>
      <c r="AT273" s="7" t="b">
        <v>0</v>
      </c>
      <c r="AU273" s="40" t="str" cm="1">
        <f t="array" ref="AU273">_xlfn.XLOOKUP(PROPERTIES[[#This Row],[VEHIDCODE]],GRAPHICS_PROPERTIES[VEHIDCODE],GRAPHICS_PROPERTIES[TEMPLATE_ID]&amp;GRAPHICS_PROPERTIES[TEMPLATE_AMENDMENT_CODE])</f>
        <v>TPL_01A</v>
      </c>
    </row>
    <row r="274" spans="1:47" x14ac:dyDescent="0.35">
      <c r="A274" s="2" t="s">
        <v>2908</v>
      </c>
      <c r="B274">
        <v>1991</v>
      </c>
      <c r="C274">
        <v>1980</v>
      </c>
      <c r="D274" cm="1">
        <f t="array" ref="D2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4" s="40" t="str">
        <f>_xlfn.XLOOKUP(PROPERTIES[[#This Row],[VEHIDCODE]],CONTROL[VEHIDCODE],CONTROL[ENGLISH])</f>
        <v>Macosa-Meinfesa 319.3 J26 CW/HEP</v>
      </c>
      <c r="F274" t="s">
        <v>538</v>
      </c>
      <c r="G274" s="40" t="str">
        <f>_xlfn.XLOOKUP(PROPERTIES[[#This Row],[COUNTRY]],COUNTRIES[COUNTRY_DESCRIPTION],COUNTRIES[COUNTRY_LABEL],"")</f>
        <v>AR</v>
      </c>
      <c r="H274" t="str" cm="1">
        <f t="array" ref="H2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4" t="s">
        <v>17</v>
      </c>
      <c r="J274">
        <v>0</v>
      </c>
      <c r="K274">
        <v>7</v>
      </c>
      <c r="L274">
        <v>0</v>
      </c>
      <c r="M274" t="str" cm="1">
        <f t="array" ref="M2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4">
        <f>_xlfn.XLOOKUP("LOADINGSPEEDDEF_"&amp;PROPERTIES[[#This Row],[LOADINGSPEED]],LOADINGSPEEDDEF[TYPE],LOADINGSPEEDDEF[SPEED])</f>
        <v>20</v>
      </c>
      <c r="O274" t="str" cm="1">
        <f t="array" ref="O2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74">
        <f>IF(ISNUMBER(SEARCH("passenger",PROPERTIES[[#This Row],[CARGODEF]])),1,0)</f>
        <v>0</v>
      </c>
      <c r="Q274" s="23">
        <v>117</v>
      </c>
      <c r="R274">
        <v>2027</v>
      </c>
      <c r="S274">
        <v>0</v>
      </c>
      <c r="T274">
        <v>0</v>
      </c>
      <c r="U274">
        <v>0</v>
      </c>
      <c r="V274">
        <v>140</v>
      </c>
      <c r="W274">
        <v>0</v>
      </c>
      <c r="X274">
        <v>0</v>
      </c>
      <c r="Y274">
        <v>0</v>
      </c>
      <c r="Z274" s="20">
        <v>302</v>
      </c>
      <c r="AA274" s="19">
        <f>IFERROR(PROPERTIES[[#This Row],[TE_STARTING_KN]]/(PROPERTIES[[#This Row],[WEIGHT]]*9.81),0)</f>
        <v>0.2631189175531683</v>
      </c>
      <c r="AB274" s="19">
        <v>0</v>
      </c>
      <c r="AC274" s="16">
        <f>ROUND(IF(IFERROR(PROPERTIES[[#This Row],[TE_COEFFICIENT_CALC]],0)=0,PROPERTIES[[#This Row],[TE_COEFFICIENT_MANUAL]],PROPERTIES[[#This Row],[TE_COEFFICIENT_CALC]]),3)</f>
        <v>0.26300000000000001</v>
      </c>
      <c r="AD274" s="8" cm="1">
        <f t="array" ref="AD2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4" s="26">
        <v>0</v>
      </c>
      <c r="AF274" s="6">
        <v>0</v>
      </c>
      <c r="AG274" t="s">
        <v>237</v>
      </c>
      <c r="AH274" t="s">
        <v>238</v>
      </c>
      <c r="AI274" t="s">
        <v>229</v>
      </c>
      <c r="AJ274" s="2" t="s">
        <v>229</v>
      </c>
      <c r="AK274" s="2" t="s">
        <v>244</v>
      </c>
      <c r="AL27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4" s="2" t="str">
        <f>SUBSTITUTE(SUBSTITUTE(PROPERTIES[[#This Row],[PURCHASECOST_VALUE]], "PURCHASECOST_", ""), "_VALUE", "")</f>
        <v>DIESELENGINE</v>
      </c>
      <c r="AO274" s="44" t="b">
        <v>0</v>
      </c>
      <c r="AP274" s="48" t="b">
        <v>0</v>
      </c>
      <c r="AQ274" s="48" t="b">
        <v>0</v>
      </c>
      <c r="AR274" s="48">
        <v>0</v>
      </c>
      <c r="AS274" s="48" t="b">
        <v>0</v>
      </c>
      <c r="AT274" s="7" t="b">
        <v>0</v>
      </c>
      <c r="AU274" s="40" t="str" cm="1">
        <f t="array" ref="AU274">_xlfn.XLOOKUP(PROPERTIES[[#This Row],[VEHIDCODE]],GRAPHICS_PROPERTIES[VEHIDCODE],GRAPHICS_PROPERTIES[TEMPLATE_ID]&amp;GRAPHICS_PROPERTIES[TEMPLATE_AMENDMENT_CODE])</f>
        <v>TPL_01A</v>
      </c>
    </row>
    <row r="275" spans="1:47" x14ac:dyDescent="0.35">
      <c r="A275" s="2" t="s">
        <v>2909</v>
      </c>
      <c r="B275">
        <v>2013</v>
      </c>
      <c r="D275" cm="1">
        <f t="array" ref="D2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5" s="40" t="str">
        <f>_xlfn.XLOOKUP(PROPERTIES[[#This Row],[VEHIDCODE]],CONTROL[VEHIDCODE],CONTROL[ENGLISH])</f>
        <v>CNR CKD8G</v>
      </c>
      <c r="F275" t="s">
        <v>538</v>
      </c>
      <c r="G275" s="40" t="str">
        <f>_xlfn.XLOOKUP(PROPERTIES[[#This Row],[COUNTRY]],COUNTRIES[COUNTRY_DESCRIPTION],COUNTRIES[COUNTRY_LABEL],"")</f>
        <v>AR</v>
      </c>
      <c r="H275" t="str" cm="1">
        <f t="array" ref="H2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5" t="s">
        <v>17</v>
      </c>
      <c r="J275">
        <v>0</v>
      </c>
      <c r="K275">
        <v>8</v>
      </c>
      <c r="L275">
        <v>0</v>
      </c>
      <c r="M275" t="str" cm="1">
        <f t="array" ref="M2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5">
        <f>_xlfn.XLOOKUP("LOADINGSPEEDDEF_"&amp;PROPERTIES[[#This Row],[LOADINGSPEED]],LOADINGSPEEDDEF[TYPE],LOADINGSPEEDDEF[SPEED])</f>
        <v>20</v>
      </c>
      <c r="O275" t="str" cm="1">
        <f t="array" ref="O2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75">
        <f>IF(ISNUMBER(SEARCH("passenger",PROPERTIES[[#This Row],[CARGODEF]])),1,0)</f>
        <v>0</v>
      </c>
      <c r="Q275" s="23">
        <v>120</v>
      </c>
      <c r="R275">
        <v>2950</v>
      </c>
      <c r="S275">
        <v>0</v>
      </c>
      <c r="T275">
        <v>0</v>
      </c>
      <c r="U275">
        <v>0</v>
      </c>
      <c r="V275">
        <v>120</v>
      </c>
      <c r="W275">
        <v>0</v>
      </c>
      <c r="X275">
        <v>0</v>
      </c>
      <c r="Y275">
        <v>0</v>
      </c>
      <c r="Z275" s="20">
        <v>384</v>
      </c>
      <c r="AA275" s="19">
        <f>IFERROR(PROPERTIES[[#This Row],[TE_STARTING_KN]]/(PROPERTIES[[#This Row],[WEIGHT]]*9.81),0)</f>
        <v>0.32619775739041795</v>
      </c>
      <c r="AB275" s="19">
        <v>0</v>
      </c>
      <c r="AC275" s="16">
        <f>ROUND(IF(IFERROR(PROPERTIES[[#This Row],[TE_COEFFICIENT_CALC]],0)=0,PROPERTIES[[#This Row],[TE_COEFFICIENT_MANUAL]],PROPERTIES[[#This Row],[TE_COEFFICIENT_CALC]]),3)</f>
        <v>0.32600000000000001</v>
      </c>
      <c r="AD275" s="8" cm="1">
        <f t="array" ref="AD2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75" s="26">
        <v>0</v>
      </c>
      <c r="AF275" s="6">
        <v>0</v>
      </c>
      <c r="AG275" t="s">
        <v>237</v>
      </c>
      <c r="AH275" t="s">
        <v>229</v>
      </c>
      <c r="AI275" t="s">
        <v>229</v>
      </c>
      <c r="AJ275" s="2" t="s">
        <v>229</v>
      </c>
      <c r="AK275" s="2" t="s">
        <v>244</v>
      </c>
      <c r="AL27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5" s="2" t="str">
        <f>SUBSTITUTE(SUBSTITUTE(PROPERTIES[[#This Row],[PURCHASECOST_VALUE]], "PURCHASECOST_", ""), "_VALUE", "")</f>
        <v>DIESELENGINE</v>
      </c>
      <c r="AO275" s="44" t="b">
        <v>0</v>
      </c>
      <c r="AP275" s="48" t="b">
        <v>0</v>
      </c>
      <c r="AQ275" s="48" t="b">
        <v>0</v>
      </c>
      <c r="AR275" s="48">
        <v>0</v>
      </c>
      <c r="AS275" s="48" t="b">
        <v>0</v>
      </c>
      <c r="AT275" s="7" t="b">
        <v>0</v>
      </c>
      <c r="AU275" s="40" t="str" cm="1">
        <f t="array" ref="AU275">_xlfn.XLOOKUP(PROPERTIES[[#This Row],[VEHIDCODE]],GRAPHICS_PROPERTIES[VEHIDCODE],GRAPHICS_PROPERTIES[TEMPLATE_ID]&amp;GRAPHICS_PROPERTIES[TEMPLATE_AMENDMENT_CODE])</f>
        <v>TPL_01A</v>
      </c>
    </row>
    <row r="276" spans="1:47" x14ac:dyDescent="0.35">
      <c r="A276" s="2" t="s">
        <v>2910</v>
      </c>
      <c r="B276">
        <v>1939</v>
      </c>
      <c r="C276">
        <v>1966</v>
      </c>
      <c r="D276" cm="1">
        <f t="array" ref="D2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6" s="40" t="str">
        <f>_xlfn.XLOOKUP(PROPERTIES[[#This Row],[VEHIDCODE]],CONTROL[VEHIDCODE],CONTROL[ENGLISH])</f>
        <v>AEG SAR DS</v>
      </c>
      <c r="F276" t="s">
        <v>771</v>
      </c>
      <c r="G276" s="40" t="str">
        <f>_xlfn.XLOOKUP(PROPERTIES[[#This Row],[COUNTRY]],COUNTRIES[COUNTRY_DESCRIPTION],COUNTRIES[COUNTRY_LABEL],"")</f>
        <v>ZA</v>
      </c>
      <c r="H276" t="str" cm="1">
        <f t="array" ref="H2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6" t="s">
        <v>17</v>
      </c>
      <c r="J276">
        <v>0</v>
      </c>
      <c r="K276">
        <v>5</v>
      </c>
      <c r="L276">
        <v>0</v>
      </c>
      <c r="M276" t="str" cm="1">
        <f t="array" ref="M2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6">
        <f>_xlfn.XLOOKUP("LOADINGSPEEDDEF_"&amp;PROPERTIES[[#This Row],[LOADINGSPEED]],LOADINGSPEEDDEF[TYPE],LOADINGSPEEDDEF[SPEED])</f>
        <v>20</v>
      </c>
      <c r="O276" cm="1">
        <f t="array" ref="O2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6">
        <f>IF(ISNUMBER(SEARCH("passenger",PROPERTIES[[#This Row],[CARGODEF]])),1,0)</f>
        <v>0</v>
      </c>
      <c r="Q276" s="23">
        <v>68</v>
      </c>
      <c r="R276">
        <v>410</v>
      </c>
      <c r="S276">
        <v>0</v>
      </c>
      <c r="T276">
        <v>0</v>
      </c>
      <c r="U276">
        <v>0</v>
      </c>
      <c r="V276">
        <v>60</v>
      </c>
      <c r="W276">
        <v>0</v>
      </c>
      <c r="X276">
        <v>0</v>
      </c>
      <c r="Y276">
        <v>0</v>
      </c>
      <c r="Z276" s="20">
        <v>157</v>
      </c>
      <c r="AA276" s="19">
        <f>IFERROR(PROPERTIES[[#This Row],[TE_STARTING_KN]]/(PROPERTIES[[#This Row],[WEIGHT]]*9.81),0)</f>
        <v>0.23535408047010853</v>
      </c>
      <c r="AB276" s="19">
        <v>0</v>
      </c>
      <c r="AC276" s="16">
        <f>ROUND(IF(IFERROR(PROPERTIES[[#This Row],[TE_COEFFICIENT_CALC]],0)=0,PROPERTIES[[#This Row],[TE_COEFFICIENT_MANUAL]],PROPERTIES[[#This Row],[TE_COEFFICIENT_CALC]]),3)</f>
        <v>0.23499999999999999</v>
      </c>
      <c r="AD276" s="8" cm="1">
        <f t="array" ref="AD2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76" s="26">
        <v>0</v>
      </c>
      <c r="AF276" s="6">
        <v>0</v>
      </c>
      <c r="AG276" t="s">
        <v>233</v>
      </c>
      <c r="AH276" t="s">
        <v>229</v>
      </c>
      <c r="AI276" t="s">
        <v>229</v>
      </c>
      <c r="AJ276" s="2" t="s">
        <v>229</v>
      </c>
      <c r="AK276" s="2" t="s">
        <v>244</v>
      </c>
      <c r="AL27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6" s="2" t="str">
        <f>SUBSTITUTE(SUBSTITUTE(PROPERTIES[[#This Row],[PURCHASECOST_VALUE]], "PURCHASECOST_", ""), "_VALUE", "")</f>
        <v>DIESELENGINE</v>
      </c>
      <c r="AO276" s="44" t="b">
        <v>0</v>
      </c>
      <c r="AP276" s="48" t="b">
        <v>0</v>
      </c>
      <c r="AQ276" s="48" t="b">
        <v>0</v>
      </c>
      <c r="AR276" s="48">
        <v>0</v>
      </c>
      <c r="AS276" s="48" t="b">
        <v>0</v>
      </c>
      <c r="AT276" s="7" t="b">
        <v>0</v>
      </c>
      <c r="AU276" s="40" t="str" cm="1">
        <f t="array" ref="AU276">_xlfn.XLOOKUP(PROPERTIES[[#This Row],[VEHIDCODE]],GRAPHICS_PROPERTIES[VEHIDCODE],GRAPHICS_PROPERTIES[TEMPLATE_ID]&amp;GRAPHICS_PROPERTIES[TEMPLATE_AMENDMENT_CODE])</f>
        <v>TPL_01A</v>
      </c>
    </row>
    <row r="277" spans="1:47" x14ac:dyDescent="0.35">
      <c r="A277" s="2" t="s">
        <v>2911</v>
      </c>
      <c r="B277">
        <v>1967</v>
      </c>
      <c r="C277">
        <v>2017</v>
      </c>
      <c r="D277" cm="1">
        <f t="array" ref="D2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7" s="40" t="str">
        <f>_xlfn.XLOOKUP(PROPERTIES[[#This Row],[VEHIDCODE]],CONTROL[VEHIDCODE],CONTROL[ENGLISH])</f>
        <v>GM GT26</v>
      </c>
      <c r="F277" t="s">
        <v>589</v>
      </c>
      <c r="G277" s="40" t="str">
        <f>_xlfn.XLOOKUP(PROPERTIES[[#This Row],[COUNTRY]],COUNTRIES[COUNTRY_DESCRIPTION],COUNTRIES[COUNTRY_LABEL],"")</f>
        <v>DZ</v>
      </c>
      <c r="H277" t="str" cm="1">
        <f t="array" ref="H2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7" t="s">
        <v>17</v>
      </c>
      <c r="J277">
        <v>0</v>
      </c>
      <c r="K277">
        <v>6</v>
      </c>
      <c r="L277">
        <v>0</v>
      </c>
      <c r="M277" t="str" cm="1">
        <f t="array" ref="M2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7">
        <f>_xlfn.XLOOKUP("LOADINGSPEEDDEF_"&amp;PROPERTIES[[#This Row],[LOADINGSPEED]],LOADINGSPEEDDEF[TYPE],LOADINGSPEEDDEF[SPEED])</f>
        <v>20</v>
      </c>
      <c r="O277" cm="1">
        <f t="array" ref="O2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7">
        <f>IF(ISNUMBER(SEARCH("passenger",PROPERTIES[[#This Row],[CARGODEF]])),1,0)</f>
        <v>0</v>
      </c>
      <c r="Q277" s="23">
        <v>115</v>
      </c>
      <c r="R277">
        <v>800</v>
      </c>
      <c r="S277">
        <v>0</v>
      </c>
      <c r="T277">
        <v>0</v>
      </c>
      <c r="U277">
        <v>0</v>
      </c>
      <c r="V277">
        <v>80</v>
      </c>
      <c r="W277">
        <v>0</v>
      </c>
      <c r="X277">
        <v>0</v>
      </c>
      <c r="Y277">
        <v>0</v>
      </c>
      <c r="Z277" s="20">
        <v>0</v>
      </c>
      <c r="AA277" s="19">
        <f>IFERROR(PROPERTIES[[#This Row],[TE_STARTING_KN]]/(PROPERTIES[[#This Row],[WEIGHT]]*9.81),0)</f>
        <v>0</v>
      </c>
      <c r="AB277" s="19">
        <v>0.16</v>
      </c>
      <c r="AC277" s="16">
        <f>ROUND(IF(IFERROR(PROPERTIES[[#This Row],[TE_COEFFICIENT_CALC]],0)=0,PROPERTIES[[#This Row],[TE_COEFFICIENT_MANUAL]],PROPERTIES[[#This Row],[TE_COEFFICIENT_CALC]]),3)</f>
        <v>0.16</v>
      </c>
      <c r="AD277" s="8" cm="1">
        <f t="array" ref="AD2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277" s="26">
        <v>0</v>
      </c>
      <c r="AF277" s="6">
        <v>0</v>
      </c>
      <c r="AG277" t="s">
        <v>233</v>
      </c>
      <c r="AH277" t="s">
        <v>1949</v>
      </c>
      <c r="AI277" t="s">
        <v>229</v>
      </c>
      <c r="AJ277" s="2" t="s">
        <v>229</v>
      </c>
      <c r="AK277" s="2" t="s">
        <v>244</v>
      </c>
      <c r="AL27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7" s="2" t="str">
        <f>SUBSTITUTE(SUBSTITUTE(PROPERTIES[[#This Row],[PURCHASECOST_VALUE]], "PURCHASECOST_", ""), "_VALUE", "")</f>
        <v>DIESELENGINE</v>
      </c>
      <c r="AO277" s="44" t="b">
        <v>0</v>
      </c>
      <c r="AP277" s="48" t="b">
        <v>0</v>
      </c>
      <c r="AQ277" s="48" t="b">
        <v>0</v>
      </c>
      <c r="AR277" s="48">
        <v>0</v>
      </c>
      <c r="AS277" s="48" t="b">
        <v>0</v>
      </c>
      <c r="AT277" s="7" t="b">
        <v>0</v>
      </c>
      <c r="AU277" s="40" t="str" cm="1">
        <f t="array" ref="AU277">_xlfn.XLOOKUP(PROPERTIES[[#This Row],[VEHIDCODE]],GRAPHICS_PROPERTIES[VEHIDCODE],GRAPHICS_PROPERTIES[TEMPLATE_ID]&amp;GRAPHICS_PROPERTIES[TEMPLATE_AMENDMENT_CODE])</f>
        <v>TPL_01A</v>
      </c>
    </row>
    <row r="278" spans="1:47" x14ac:dyDescent="0.35">
      <c r="A278" s="2" t="s">
        <v>2912</v>
      </c>
      <c r="B278">
        <v>1960</v>
      </c>
      <c r="D278" cm="1">
        <f t="array" ref="D2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8" s="40" t="str">
        <f>_xlfn.XLOOKUP(PROPERTIES[[#This Row],[VEHIDCODE]],CONTROL[VEHIDCODE],CONTROL[ENGLISH])</f>
        <v>EMD GL8 [040DF]</v>
      </c>
      <c r="F278" t="s">
        <v>757</v>
      </c>
      <c r="G278" s="40" t="str">
        <f>_xlfn.XLOOKUP(PROPERTIES[[#This Row],[COUNTRY]],COUNTRIES[COUNTRY_DESCRIPTION],COUNTRIES[COUNTRY_LABEL],"")</f>
        <v>US</v>
      </c>
      <c r="H278" t="str" cm="1">
        <f t="array" ref="H2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8" t="s">
        <v>17</v>
      </c>
      <c r="J278">
        <v>0</v>
      </c>
      <c r="K278">
        <v>5</v>
      </c>
      <c r="L278">
        <v>0</v>
      </c>
      <c r="M278" t="str" cm="1">
        <f t="array" ref="M2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8">
        <f>_xlfn.XLOOKUP("LOADINGSPEEDDEF_"&amp;PROPERTIES[[#This Row],[LOADINGSPEED]],LOADINGSPEEDDEF[TYPE],LOADINGSPEEDDEF[SPEED])</f>
        <v>20</v>
      </c>
      <c r="O278" cm="1">
        <f t="array" ref="O2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8">
        <f>IF(ISNUMBER(SEARCH("passenger",PROPERTIES[[#This Row],[CARGODEF]])),1,0)</f>
        <v>0</v>
      </c>
      <c r="Q278" s="23">
        <v>59</v>
      </c>
      <c r="R278">
        <v>875</v>
      </c>
      <c r="S278">
        <v>0</v>
      </c>
      <c r="T278">
        <v>0</v>
      </c>
      <c r="U278">
        <v>0</v>
      </c>
      <c r="V278">
        <v>100</v>
      </c>
      <c r="W278">
        <v>0</v>
      </c>
      <c r="X278">
        <v>0</v>
      </c>
      <c r="Y278">
        <v>0</v>
      </c>
      <c r="Z278" s="20">
        <v>0</v>
      </c>
      <c r="AA278" s="19">
        <f>IFERROR(PROPERTIES[[#This Row],[TE_STARTING_KN]]/(PROPERTIES[[#This Row],[WEIGHT]]*9.81),0)</f>
        <v>0</v>
      </c>
      <c r="AB278" s="19">
        <v>0.25</v>
      </c>
      <c r="AC278" s="16">
        <f>ROUND(IF(IFERROR(PROPERTIES[[#This Row],[TE_COEFFICIENT_CALC]],0)=0,PROPERTIES[[#This Row],[TE_COEFFICIENT_MANUAL]],PROPERTIES[[#This Row],[TE_COEFFICIENT_CALC]]),3)</f>
        <v>0.25</v>
      </c>
      <c r="AD278" s="8" cm="1">
        <f t="array" ref="AD2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8" s="26">
        <v>0</v>
      </c>
      <c r="AF278" s="6">
        <v>0</v>
      </c>
      <c r="AG278" t="s">
        <v>233</v>
      </c>
      <c r="AH278" t="s">
        <v>229</v>
      </c>
      <c r="AI278" t="s">
        <v>229</v>
      </c>
      <c r="AJ278" s="2" t="s">
        <v>229</v>
      </c>
      <c r="AK278" s="2" t="s">
        <v>244</v>
      </c>
      <c r="AL27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8" s="2" t="str">
        <f>SUBSTITUTE(SUBSTITUTE(PROPERTIES[[#This Row],[PURCHASECOST_VALUE]], "PURCHASECOST_", ""), "_VALUE", "")</f>
        <v>DIESELENGINE</v>
      </c>
      <c r="AO278" s="44" t="b">
        <v>0</v>
      </c>
      <c r="AP278" s="48" t="b">
        <v>0</v>
      </c>
      <c r="AQ278" s="48" t="b">
        <v>1</v>
      </c>
      <c r="AR278" s="48">
        <v>0</v>
      </c>
      <c r="AS278" s="48" t="b">
        <v>0</v>
      </c>
      <c r="AT278" s="7" t="b">
        <v>1</v>
      </c>
      <c r="AU278" s="40" t="str" cm="1">
        <f t="array" ref="AU278">_xlfn.XLOOKUP(PROPERTIES[[#This Row],[VEHIDCODE]],GRAPHICS_PROPERTIES[VEHIDCODE],GRAPHICS_PROPERTIES[TEMPLATE_ID]&amp;GRAPHICS_PROPERTIES[TEMPLATE_AMENDMENT_CODE])</f>
        <v>TPL_01A</v>
      </c>
    </row>
    <row r="279" spans="1:47" x14ac:dyDescent="0.35">
      <c r="A279" s="2" t="s">
        <v>2913</v>
      </c>
      <c r="B279">
        <v>1974</v>
      </c>
      <c r="D279" cm="1">
        <f t="array" ref="D2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9" s="40" t="str">
        <f>_xlfn.XLOOKUP(PROPERTIES[[#This Row],[VEHIDCODE]],CONTROL[VEHIDCODE],CONTROL[ENGLISH])</f>
        <v>LTZ TE114E</v>
      </c>
      <c r="F279" t="s">
        <v>592</v>
      </c>
      <c r="G279" s="40" t="str">
        <f>_xlfn.XLOOKUP(PROPERTIES[[#This Row],[COUNTRY]],COUNTRIES[COUNTRY_DESCRIPTION],COUNTRIES[COUNTRY_LABEL],"")</f>
        <v>EG</v>
      </c>
      <c r="H279" t="str" cm="1">
        <f t="array" ref="H2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9" t="s">
        <v>17</v>
      </c>
      <c r="J279">
        <v>0</v>
      </c>
      <c r="K279">
        <v>7</v>
      </c>
      <c r="L279">
        <v>0</v>
      </c>
      <c r="M279" t="str" cm="1">
        <f t="array" ref="M2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9">
        <f>_xlfn.XLOOKUP("LOADINGSPEEDDEF_"&amp;PROPERTIES[[#This Row],[LOADINGSPEED]],LOADINGSPEEDDEF[TYPE],LOADINGSPEEDDEF[SPEED])</f>
        <v>20</v>
      </c>
      <c r="O279" cm="1">
        <f t="array" ref="O2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9">
        <f>IF(ISNUMBER(SEARCH("passenger",PROPERTIES[[#This Row],[CARGODEF]])),1,0)</f>
        <v>0</v>
      </c>
      <c r="Q279" s="23">
        <v>120</v>
      </c>
      <c r="R279">
        <v>2800</v>
      </c>
      <c r="S279">
        <v>0</v>
      </c>
      <c r="T279">
        <v>0</v>
      </c>
      <c r="U279">
        <v>0</v>
      </c>
      <c r="V279">
        <v>120</v>
      </c>
      <c r="W279">
        <v>0</v>
      </c>
      <c r="X279">
        <v>0</v>
      </c>
      <c r="Y279">
        <v>0</v>
      </c>
      <c r="Z279" s="20">
        <v>365</v>
      </c>
      <c r="AA279" s="19">
        <f>IFERROR(PROPERTIES[[#This Row],[TE_STARTING_KN]]/(PROPERTIES[[#This Row],[WEIGHT]]*9.81),0)</f>
        <v>0.31005776418620457</v>
      </c>
      <c r="AB279" s="19">
        <v>0</v>
      </c>
      <c r="AC279" s="16">
        <f>ROUND(IF(IFERROR(PROPERTIES[[#This Row],[TE_COEFFICIENT_CALC]],0)=0,PROPERTIES[[#This Row],[TE_COEFFICIENT_MANUAL]],PROPERTIES[[#This Row],[TE_COEFFICIENT_CALC]]),3)</f>
        <v>0.31</v>
      </c>
      <c r="AD279" s="8" cm="1">
        <f t="array" ref="AD2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9" s="26">
        <v>0</v>
      </c>
      <c r="AF279" s="6">
        <v>0</v>
      </c>
      <c r="AG279" t="s">
        <v>233</v>
      </c>
      <c r="AH279" t="s">
        <v>1949</v>
      </c>
      <c r="AI279" t="s">
        <v>229</v>
      </c>
      <c r="AJ279" s="2" t="s">
        <v>229</v>
      </c>
      <c r="AK279" s="2" t="s">
        <v>244</v>
      </c>
      <c r="AL27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9" s="2" t="str">
        <f>SUBSTITUTE(SUBSTITUTE(PROPERTIES[[#This Row],[PURCHASECOST_VALUE]], "PURCHASECOST_", ""), "_VALUE", "")</f>
        <v>DIESELENGINE</v>
      </c>
      <c r="AO279" s="44" t="b">
        <v>0</v>
      </c>
      <c r="AP279" s="48" t="b">
        <v>0</v>
      </c>
      <c r="AQ279" s="48" t="b">
        <v>0</v>
      </c>
      <c r="AR279" s="48">
        <v>0</v>
      </c>
      <c r="AS279" s="48" t="b">
        <v>0</v>
      </c>
      <c r="AT279" s="7" t="b">
        <v>0</v>
      </c>
      <c r="AU279" s="40" t="str" cm="1">
        <f t="array" ref="AU279">_xlfn.XLOOKUP(PROPERTIES[[#This Row],[VEHIDCODE]],GRAPHICS_PROPERTIES[VEHIDCODE],GRAPHICS_PROPERTIES[TEMPLATE_ID]&amp;GRAPHICS_PROPERTIES[TEMPLATE_AMENDMENT_CODE])</f>
        <v>TPL_01A</v>
      </c>
    </row>
    <row r="280" spans="1:47" x14ac:dyDescent="0.35">
      <c r="A280" s="2" t="s">
        <v>2914</v>
      </c>
      <c r="B280">
        <v>1968</v>
      </c>
      <c r="D280" cm="1">
        <f t="array" ref="D2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0" s="40" t="str">
        <f>_xlfn.XLOOKUP(PROPERTIES[[#This Row],[VEHIDCODE]],CONTROL[VEHIDCODE],CONTROL[ENGLISH])</f>
        <v>GM G18</v>
      </c>
      <c r="F280" t="s">
        <v>757</v>
      </c>
      <c r="G280" s="40" t="str">
        <f>_xlfn.XLOOKUP(PROPERTIES[[#This Row],[COUNTRY]],COUNTRIES[COUNTRY_DESCRIPTION],COUNTRIES[COUNTRY_LABEL],"")</f>
        <v>US</v>
      </c>
      <c r="H280" t="str" cm="1">
        <f t="array" ref="H2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0" t="s">
        <v>17</v>
      </c>
      <c r="J280">
        <v>0</v>
      </c>
      <c r="K280">
        <v>5</v>
      </c>
      <c r="L280">
        <v>0</v>
      </c>
      <c r="M280" t="str" cm="1">
        <f t="array" ref="M2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0">
        <f>_xlfn.XLOOKUP("LOADINGSPEEDDEF_"&amp;PROPERTIES[[#This Row],[LOADINGSPEED]],LOADINGSPEEDDEF[TYPE],LOADINGSPEEDDEF[SPEED])</f>
        <v>20</v>
      </c>
      <c r="O280" cm="1">
        <f t="array" ref="O2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0">
        <f>IF(ISNUMBER(SEARCH("passenger",PROPERTIES[[#This Row],[CARGODEF]])),1,0)</f>
        <v>0</v>
      </c>
      <c r="Q280" s="23">
        <v>53</v>
      </c>
      <c r="R280">
        <v>700</v>
      </c>
      <c r="S280">
        <v>0</v>
      </c>
      <c r="T280">
        <v>0</v>
      </c>
      <c r="U280">
        <v>0</v>
      </c>
      <c r="V280">
        <v>75</v>
      </c>
      <c r="W280">
        <v>0</v>
      </c>
      <c r="X280">
        <v>0</v>
      </c>
      <c r="Y280">
        <v>0</v>
      </c>
      <c r="Z280" s="20">
        <v>128</v>
      </c>
      <c r="AA280" s="19">
        <f>IFERROR(PROPERTIES[[#This Row],[TE_STARTING_KN]]/(PROPERTIES[[#This Row],[WEIGHT]]*9.81),0)</f>
        <v>0.24618698670974937</v>
      </c>
      <c r="AB280" s="19">
        <v>0</v>
      </c>
      <c r="AC280" s="16">
        <f>ROUND(IF(IFERROR(PROPERTIES[[#This Row],[TE_COEFFICIENT_CALC]],0)=0,PROPERTIES[[#This Row],[TE_COEFFICIENT_MANUAL]],PROPERTIES[[#This Row],[TE_COEFFICIENT_CALC]]),3)</f>
        <v>0.246</v>
      </c>
      <c r="AD280" s="8" cm="1">
        <f t="array" ref="AD2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0" s="26">
        <v>0</v>
      </c>
      <c r="AF280" s="6">
        <v>0</v>
      </c>
      <c r="AG280" t="s">
        <v>233</v>
      </c>
      <c r="AH280" t="s">
        <v>237</v>
      </c>
      <c r="AI280" t="s">
        <v>231</v>
      </c>
      <c r="AJ280" s="2" t="s">
        <v>238</v>
      </c>
      <c r="AK280" s="2" t="s">
        <v>244</v>
      </c>
      <c r="AL28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0" s="2" t="str">
        <f>SUBSTITUTE(SUBSTITUTE(PROPERTIES[[#This Row],[PURCHASECOST_VALUE]], "PURCHASECOST_", ""), "_VALUE", "")</f>
        <v>DIESELENGINE</v>
      </c>
      <c r="AO280" s="44" t="b">
        <v>0</v>
      </c>
      <c r="AP280" s="48" t="b">
        <v>0</v>
      </c>
      <c r="AQ280" s="48" t="b">
        <v>0</v>
      </c>
      <c r="AR280" s="48">
        <v>0</v>
      </c>
      <c r="AS280" s="48" t="b">
        <v>0</v>
      </c>
      <c r="AT280" s="7" t="b">
        <v>0</v>
      </c>
      <c r="AU280" s="40" t="str" cm="1">
        <f t="array" ref="AU280">_xlfn.XLOOKUP(PROPERTIES[[#This Row],[VEHIDCODE]],GRAPHICS_PROPERTIES[VEHIDCODE],GRAPHICS_PROPERTIES[TEMPLATE_ID]&amp;GRAPHICS_PROPERTIES[TEMPLATE_AMENDMENT_CODE])</f>
        <v>TPL_01A</v>
      </c>
    </row>
    <row r="281" spans="1:47" x14ac:dyDescent="0.35">
      <c r="A281" s="2" t="s">
        <v>2915</v>
      </c>
      <c r="B281">
        <v>1967</v>
      </c>
      <c r="C281">
        <v>2018</v>
      </c>
      <c r="D281" cm="1">
        <f t="array" ref="D2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1" s="40" t="str">
        <f>_xlfn.XLOOKUP(PROPERTIES[[#This Row],[VEHIDCODE]],CONTROL[VEHIDCODE],CONTROL[ENGLISH])</f>
        <v>Alsthom CC 72000</v>
      </c>
      <c r="F281" t="s">
        <v>602</v>
      </c>
      <c r="G281" s="40" t="str">
        <f>_xlfn.XLOOKUP(PROPERTIES[[#This Row],[COUNTRY]],COUNTRIES[COUNTRY_DESCRIPTION],COUNTRIES[COUNTRY_LABEL],"")</f>
        <v>FR</v>
      </c>
      <c r="H281" t="str" cm="1">
        <f t="array" ref="H2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1" t="s">
        <v>17</v>
      </c>
      <c r="J281">
        <v>0</v>
      </c>
      <c r="K281">
        <v>8</v>
      </c>
      <c r="L281">
        <v>0</v>
      </c>
      <c r="M281" t="str" cm="1">
        <f t="array" ref="M2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1">
        <f>_xlfn.XLOOKUP("LOADINGSPEEDDEF_"&amp;PROPERTIES[[#This Row],[LOADINGSPEED]],LOADINGSPEEDDEF[TYPE],LOADINGSPEEDDEF[SPEED])</f>
        <v>20</v>
      </c>
      <c r="O281" cm="1">
        <f t="array" ref="O2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1">
        <f>IF(ISNUMBER(SEARCH("passenger",PROPERTIES[[#This Row],[CARGODEF]])),1,0)</f>
        <v>0</v>
      </c>
      <c r="Q281" s="23">
        <v>108</v>
      </c>
      <c r="R281">
        <v>3400</v>
      </c>
      <c r="S281">
        <v>0</v>
      </c>
      <c r="T281">
        <v>0</v>
      </c>
      <c r="U281">
        <v>0</v>
      </c>
      <c r="V281">
        <v>135</v>
      </c>
      <c r="W281">
        <v>0</v>
      </c>
      <c r="X281">
        <v>0</v>
      </c>
      <c r="Y281">
        <v>0</v>
      </c>
      <c r="Z281" s="20">
        <v>360</v>
      </c>
      <c r="AA281" s="19">
        <f>IFERROR(PROPERTIES[[#This Row],[TE_STARTING_KN]]/(PROPERTIES[[#This Row],[WEIGHT]]*9.81),0)</f>
        <v>0.3397893306150187</v>
      </c>
      <c r="AB281" s="19">
        <v>0</v>
      </c>
      <c r="AC281" s="16">
        <f>ROUND(IF(IFERROR(PROPERTIES[[#This Row],[TE_COEFFICIENT_CALC]],0)=0,PROPERTIES[[#This Row],[TE_COEFFICIENT_MANUAL]],PROPERTIES[[#This Row],[TE_COEFFICIENT_CALC]]),3)</f>
        <v>0.34</v>
      </c>
      <c r="AD281" s="8" cm="1">
        <f t="array" ref="AD2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281" s="26">
        <v>0</v>
      </c>
      <c r="AF281" s="6">
        <v>0</v>
      </c>
      <c r="AG281" t="s">
        <v>233</v>
      </c>
      <c r="AH281" t="s">
        <v>230</v>
      </c>
      <c r="AI281" t="s">
        <v>229</v>
      </c>
      <c r="AJ281" s="2" t="s">
        <v>229</v>
      </c>
      <c r="AK281" s="2" t="s">
        <v>244</v>
      </c>
      <c r="AL28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1" s="2" t="str">
        <f>SUBSTITUTE(SUBSTITUTE(PROPERTIES[[#This Row],[PURCHASECOST_VALUE]], "PURCHASECOST_", ""), "_VALUE", "")</f>
        <v>DIESELENGINE</v>
      </c>
      <c r="AO281" s="44" t="b">
        <v>0</v>
      </c>
      <c r="AP281" s="48" t="b">
        <v>0</v>
      </c>
      <c r="AQ281" s="48" t="b">
        <v>0</v>
      </c>
      <c r="AR281" s="48">
        <v>0</v>
      </c>
      <c r="AS281" s="48" t="b">
        <v>0</v>
      </c>
      <c r="AT281" s="7" t="b">
        <v>0</v>
      </c>
      <c r="AU281" s="40" t="str" cm="1">
        <f t="array" ref="AU281">_xlfn.XLOOKUP(PROPERTIES[[#This Row],[VEHIDCODE]],GRAPHICS_PROPERTIES[VEHIDCODE],GRAPHICS_PROPERTIES[TEMPLATE_ID]&amp;GRAPHICS_PROPERTIES[TEMPLATE_AMENDMENT_CODE])</f>
        <v>TPL_01A</v>
      </c>
    </row>
    <row r="282" spans="1:47" x14ac:dyDescent="0.35">
      <c r="A282" s="2" t="s">
        <v>2916</v>
      </c>
      <c r="B282">
        <v>1964</v>
      </c>
      <c r="C282">
        <v>1990</v>
      </c>
      <c r="D282" cm="1">
        <f t="array" ref="D2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2" s="40" t="str">
        <f>_xlfn.XLOOKUP(PROPERTIES[[#This Row],[VEHIDCODE]],CONTROL[VEHIDCODE],CONTROL[ENGLISH])</f>
        <v>LTZ TEP10L</v>
      </c>
      <c r="F282" t="s">
        <v>754</v>
      </c>
      <c r="G282" s="40" t="str">
        <f>_xlfn.XLOOKUP(PROPERTIES[[#This Row],[COUNTRY]],COUNTRIES[COUNTRY_DESCRIPTION],COUNTRIES[COUNTRY_LABEL],"")</f>
        <v>UA</v>
      </c>
      <c r="H282" t="str" cm="1">
        <f t="array" ref="H2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2" t="s">
        <v>17</v>
      </c>
      <c r="J282">
        <v>0</v>
      </c>
      <c r="K282">
        <v>8</v>
      </c>
      <c r="L282">
        <v>0</v>
      </c>
      <c r="M282" t="str" cm="1">
        <f t="array" ref="M2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2">
        <f>_xlfn.XLOOKUP("LOADINGSPEEDDEF_"&amp;PROPERTIES[[#This Row],[LOADINGSPEED]],LOADINGSPEEDDEF[TYPE],LOADINGSPEEDDEF[SPEED])</f>
        <v>20</v>
      </c>
      <c r="O282" cm="1">
        <f t="array" ref="O2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2">
        <f>IF(ISNUMBER(SEARCH("passenger",PROPERTIES[[#This Row],[CARGODEF]])),1,0)</f>
        <v>0</v>
      </c>
      <c r="Q282" s="23">
        <v>129</v>
      </c>
      <c r="R282">
        <v>2290</v>
      </c>
      <c r="S282">
        <v>0</v>
      </c>
      <c r="T282">
        <v>0</v>
      </c>
      <c r="U282">
        <v>0</v>
      </c>
      <c r="V282">
        <v>140</v>
      </c>
      <c r="W282">
        <v>0</v>
      </c>
      <c r="X282">
        <v>0</v>
      </c>
      <c r="Y282">
        <v>0</v>
      </c>
      <c r="Z282" s="20">
        <v>245</v>
      </c>
      <c r="AA282" s="19">
        <f>IFERROR(PROPERTIES[[#This Row],[TE_STARTING_KN]]/(PROPERTIES[[#This Row],[WEIGHT]]*9.81),0)</f>
        <v>0.19360089767599903</v>
      </c>
      <c r="AB282" s="19">
        <v>0</v>
      </c>
      <c r="AC282" s="16">
        <f>ROUND(IF(IFERROR(PROPERTIES[[#This Row],[TE_COEFFICIENT_CALC]],0)=0,PROPERTIES[[#This Row],[TE_COEFFICIENT_MANUAL]],PROPERTIES[[#This Row],[TE_COEFFICIENT_CALC]]),3)</f>
        <v>0.19400000000000001</v>
      </c>
      <c r="AD282" s="8" cm="1">
        <f t="array" ref="AD2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2" s="26">
        <v>0</v>
      </c>
      <c r="AF282" s="6">
        <v>0</v>
      </c>
      <c r="AG282" t="s">
        <v>1948</v>
      </c>
      <c r="AH282" t="s">
        <v>229</v>
      </c>
      <c r="AI282" t="s">
        <v>229</v>
      </c>
      <c r="AJ282" s="2" t="s">
        <v>229</v>
      </c>
      <c r="AK282" s="2" t="s">
        <v>244</v>
      </c>
      <c r="AL28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2" s="2" t="str">
        <f>SUBSTITUTE(SUBSTITUTE(PROPERTIES[[#This Row],[PURCHASECOST_VALUE]], "PURCHASECOST_", ""), "_VALUE", "")</f>
        <v>DIESELENGINE</v>
      </c>
      <c r="AO282" s="44" t="b">
        <v>0</v>
      </c>
      <c r="AP282" s="48" t="b">
        <v>0</v>
      </c>
      <c r="AQ282" s="48" t="b">
        <v>0</v>
      </c>
      <c r="AR282" s="48">
        <v>0</v>
      </c>
      <c r="AS282" s="48" t="b">
        <v>0</v>
      </c>
      <c r="AT282" s="7" t="b">
        <v>0</v>
      </c>
      <c r="AU282" s="40" t="str" cm="1">
        <f t="array" ref="AU282">_xlfn.XLOOKUP(PROPERTIES[[#This Row],[VEHIDCODE]],GRAPHICS_PROPERTIES[VEHIDCODE],GRAPHICS_PROPERTIES[TEMPLATE_ID]&amp;GRAPHICS_PROPERTIES[TEMPLATE_AMENDMENT_CODE])</f>
        <v>TPL_01A</v>
      </c>
    </row>
    <row r="283" spans="1:47" x14ac:dyDescent="0.35">
      <c r="A283" s="2" t="s">
        <v>2917</v>
      </c>
      <c r="B283">
        <v>1981</v>
      </c>
      <c r="D283" cm="1">
        <f t="array" ref="D2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3" s="40" t="str">
        <f>_xlfn.XLOOKUP(PROPERTIES[[#This Row],[VEHIDCODE]],CONTROL[VEHIDCODE],CONTROL[ENGLISH])</f>
        <v>LTZ 2TE10M</v>
      </c>
      <c r="F283" t="s">
        <v>716</v>
      </c>
      <c r="G283" s="40" t="str">
        <f>_xlfn.XLOOKUP(PROPERTIES[[#This Row],[COUNTRY]],COUNTRIES[COUNTRY_DESCRIPTION],COUNTRIES[COUNTRY_LABEL],"")</f>
        <v>RU</v>
      </c>
      <c r="H283" t="str" cm="1">
        <f t="array" ref="H2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3" t="s">
        <v>17</v>
      </c>
      <c r="J283">
        <v>0</v>
      </c>
      <c r="K283">
        <v>8</v>
      </c>
      <c r="L283">
        <v>0</v>
      </c>
      <c r="M283" t="str" cm="1">
        <f t="array" ref="M2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3">
        <f>_xlfn.XLOOKUP("LOADINGSPEEDDEF_"&amp;PROPERTIES[[#This Row],[LOADINGSPEED]],LOADINGSPEEDDEF[TYPE],LOADINGSPEEDDEF[SPEED])</f>
        <v>20</v>
      </c>
      <c r="O283" cm="1">
        <f t="array" ref="O2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3">
        <f>IF(ISNUMBER(SEARCH("passenger",PROPERTIES[[#This Row],[CARGODEF]])),1,0)</f>
        <v>0</v>
      </c>
      <c r="Q283" s="23">
        <v>276</v>
      </c>
      <c r="R283">
        <v>6160</v>
      </c>
      <c r="S283">
        <v>0</v>
      </c>
      <c r="T283">
        <v>0</v>
      </c>
      <c r="U283">
        <v>0</v>
      </c>
      <c r="V283">
        <v>100</v>
      </c>
      <c r="W283">
        <v>0</v>
      </c>
      <c r="X283">
        <v>0</v>
      </c>
      <c r="Y283">
        <v>0</v>
      </c>
      <c r="Z283" s="20">
        <v>784</v>
      </c>
      <c r="AA283" s="19">
        <f>IFERROR(PROPERTIES[[#This Row],[TE_STARTING_KN]]/(PROPERTIES[[#This Row],[WEIGHT]]*9.81),0)</f>
        <v>0.28955960348062465</v>
      </c>
      <c r="AB283" s="19">
        <v>0</v>
      </c>
      <c r="AC283" s="16">
        <f>ROUND(IF(IFERROR(PROPERTIES[[#This Row],[TE_COEFFICIENT_CALC]],0)=0,PROPERTIES[[#This Row],[TE_COEFFICIENT_MANUAL]],PROPERTIES[[#This Row],[TE_COEFFICIENT_CALC]]),3)</f>
        <v>0.28999999999999998</v>
      </c>
      <c r="AD283" s="8" cm="1">
        <f t="array" ref="AD2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3" s="26">
        <v>0</v>
      </c>
      <c r="AF283" s="6">
        <v>0</v>
      </c>
      <c r="AG283" t="s">
        <v>1951</v>
      </c>
      <c r="AH283" t="s">
        <v>229</v>
      </c>
      <c r="AI283" t="s">
        <v>229</v>
      </c>
      <c r="AJ283" s="2" t="s">
        <v>229</v>
      </c>
      <c r="AK283" s="2" t="s">
        <v>244</v>
      </c>
      <c r="AL28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3" s="2" t="str">
        <f>SUBSTITUTE(SUBSTITUTE(PROPERTIES[[#This Row],[PURCHASECOST_VALUE]], "PURCHASECOST_", ""), "_VALUE", "")</f>
        <v>DIESELENGINE</v>
      </c>
      <c r="AO283" s="44" t="b">
        <v>0</v>
      </c>
      <c r="AP283" s="48" t="b">
        <v>0</v>
      </c>
      <c r="AQ283" s="48" t="b">
        <v>1</v>
      </c>
      <c r="AR283" s="48">
        <v>0</v>
      </c>
      <c r="AS283" s="48" t="b">
        <v>0</v>
      </c>
      <c r="AT283" s="7" t="b">
        <v>1</v>
      </c>
      <c r="AU283" s="40" t="str" cm="1">
        <f t="array" ref="AU283">_xlfn.XLOOKUP(PROPERTIES[[#This Row],[VEHIDCODE]],GRAPHICS_PROPERTIES[VEHIDCODE],GRAPHICS_PROPERTIES[TEMPLATE_ID]&amp;GRAPHICS_PROPERTIES[TEMPLATE_AMENDMENT_CODE])</f>
        <v>TPL_03D</v>
      </c>
    </row>
    <row r="284" spans="1:47" x14ac:dyDescent="0.35">
      <c r="A284" s="2" t="s">
        <v>2918</v>
      </c>
      <c r="B284">
        <v>1985</v>
      </c>
      <c r="C284">
        <v>2000</v>
      </c>
      <c r="D284" cm="1">
        <f t="array" ref="D2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4" s="40" t="str">
        <f>_xlfn.XLOOKUP(PROPERTIES[[#This Row],[VEHIDCODE]],CONTROL[VEHIDCODE],CONTROL[ENGLISH])</f>
        <v>FAUR LDE1300</v>
      </c>
      <c r="F284" t="s">
        <v>705</v>
      </c>
      <c r="G284" s="40" t="str">
        <f>_xlfn.XLOOKUP(PROPERTIES[[#This Row],[COUNTRY]],COUNTRIES[COUNTRY_DESCRIPTION],COUNTRIES[COUNTRY_LABEL],"")</f>
        <v>PL</v>
      </c>
      <c r="H284" t="str" cm="1">
        <f t="array" ref="H2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4" t="s">
        <v>17</v>
      </c>
      <c r="J284">
        <v>0</v>
      </c>
      <c r="K284">
        <v>6</v>
      </c>
      <c r="L284">
        <v>0</v>
      </c>
      <c r="M284" t="str" cm="1">
        <f t="array" ref="M2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4">
        <f>_xlfn.XLOOKUP("LOADINGSPEEDDEF_"&amp;PROPERTIES[[#This Row],[LOADINGSPEED]],LOADINGSPEEDDEF[TYPE],LOADINGSPEEDDEF[SPEED])</f>
        <v>20</v>
      </c>
      <c r="O284" t="str" cm="1">
        <f t="array" ref="O2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84">
        <f>IF(ISNUMBER(SEARCH("passenger",PROPERTIES[[#This Row],[CARGODEF]])),1,0)</f>
        <v>0</v>
      </c>
      <c r="Q284" s="23">
        <v>74</v>
      </c>
      <c r="R284">
        <v>1015</v>
      </c>
      <c r="S284">
        <v>0</v>
      </c>
      <c r="T284">
        <v>0</v>
      </c>
      <c r="U284">
        <v>0</v>
      </c>
      <c r="V284">
        <v>100</v>
      </c>
      <c r="W284">
        <v>0</v>
      </c>
      <c r="X284">
        <v>0</v>
      </c>
      <c r="Y284">
        <v>0</v>
      </c>
      <c r="Z284" s="20">
        <v>181.42</v>
      </c>
      <c r="AA284" s="19">
        <f>IFERROR(PROPERTIES[[#This Row],[TE_STARTING_KN]]/(PROPERTIES[[#This Row],[WEIGHT]]*9.81),0)</f>
        <v>0.2499104609196352</v>
      </c>
      <c r="AB284" s="19">
        <v>0</v>
      </c>
      <c r="AC284" s="16">
        <f>ROUND(IF(IFERROR(PROPERTIES[[#This Row],[TE_COEFFICIENT_CALC]],0)=0,PROPERTIES[[#This Row],[TE_COEFFICIENT_MANUAL]],PROPERTIES[[#This Row],[TE_COEFFICIENT_CALC]]),3)</f>
        <v>0.25</v>
      </c>
      <c r="AD284" s="8" cm="1">
        <f t="array" ref="AD2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4" s="26">
        <v>0</v>
      </c>
      <c r="AF284" s="6">
        <v>0</v>
      </c>
      <c r="AG284" t="s">
        <v>236</v>
      </c>
      <c r="AH284" t="s">
        <v>229</v>
      </c>
      <c r="AI284" t="s">
        <v>229</v>
      </c>
      <c r="AJ284" s="2" t="s">
        <v>229</v>
      </c>
      <c r="AK284" s="2" t="s">
        <v>244</v>
      </c>
      <c r="AL28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4" s="2" t="str">
        <f>SUBSTITUTE(SUBSTITUTE(PROPERTIES[[#This Row],[PURCHASECOST_VALUE]], "PURCHASECOST_", ""), "_VALUE", "")</f>
        <v>DIESELENGINE</v>
      </c>
      <c r="AO284" s="44" t="b">
        <v>0</v>
      </c>
      <c r="AP284" s="48" t="b">
        <v>0</v>
      </c>
      <c r="AQ284" s="48" t="b">
        <v>0</v>
      </c>
      <c r="AR284" s="48">
        <v>0</v>
      </c>
      <c r="AS284" s="48" t="b">
        <v>0</v>
      </c>
      <c r="AT284" s="7" t="b">
        <v>0</v>
      </c>
      <c r="AU284" s="40" t="str" cm="1">
        <f t="array" ref="AU284">_xlfn.XLOOKUP(PROPERTIES[[#This Row],[VEHIDCODE]],GRAPHICS_PROPERTIES[VEHIDCODE],GRAPHICS_PROPERTIES[TEMPLATE_ID]&amp;GRAPHICS_PROPERTIES[TEMPLATE_AMENDMENT_CODE])</f>
        <v>TPL_01A</v>
      </c>
    </row>
    <row r="285" spans="1:47" x14ac:dyDescent="0.35">
      <c r="A285" s="2" t="s">
        <v>2919</v>
      </c>
      <c r="B285">
        <v>1987</v>
      </c>
      <c r="C285">
        <v>1990</v>
      </c>
      <c r="D285" cm="1">
        <f t="array" ref="D2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5" s="40" t="str">
        <f>_xlfn.XLOOKUP(PROPERTIES[[#This Row],[VEHIDCODE]],CONTROL[VEHIDCODE],CONTROL[ENGLISH])</f>
        <v>LTZ 2TE126</v>
      </c>
      <c r="F285" t="s">
        <v>754</v>
      </c>
      <c r="G285" s="40" t="str">
        <f>_xlfn.XLOOKUP(PROPERTIES[[#This Row],[COUNTRY]],COUNTRIES[COUNTRY_DESCRIPTION],COUNTRIES[COUNTRY_LABEL],"")</f>
        <v>UA</v>
      </c>
      <c r="H285" t="str" cm="1">
        <f t="array" ref="H2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5" t="s">
        <v>17</v>
      </c>
      <c r="J285">
        <v>0</v>
      </c>
      <c r="K285">
        <v>8</v>
      </c>
      <c r="M285" t="str" cm="1">
        <f t="array" ref="M2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5">
        <f>_xlfn.XLOOKUP("LOADINGSPEEDDEF_"&amp;PROPERTIES[[#This Row],[LOADINGSPEED]],LOADINGSPEEDDEF[TYPE],LOADINGSPEEDDEF[SPEED])</f>
        <v>20</v>
      </c>
      <c r="O285" t="str" cm="1">
        <f t="array" ref="O2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85">
        <f>IF(ISNUMBER(SEARCH("passenger",PROPERTIES[[#This Row],[CARGODEF]])),1,0)</f>
        <v>0</v>
      </c>
      <c r="Q285" s="23">
        <v>272</v>
      </c>
      <c r="R285">
        <v>6035</v>
      </c>
      <c r="S285">
        <v>0</v>
      </c>
      <c r="T285">
        <v>0</v>
      </c>
      <c r="U285">
        <v>0</v>
      </c>
      <c r="V285">
        <v>100</v>
      </c>
      <c r="W285">
        <v>0</v>
      </c>
      <c r="X285">
        <v>0</v>
      </c>
      <c r="Y285">
        <v>0</v>
      </c>
      <c r="Z285" s="20">
        <f>2*255</f>
        <v>510</v>
      </c>
      <c r="AA285" s="19">
        <f>IFERROR(PROPERTIES[[#This Row],[TE_STARTING_KN]]/(PROPERTIES[[#This Row],[WEIGHT]]*9.81),0)</f>
        <v>0.19113149847094801</v>
      </c>
      <c r="AB285" s="19">
        <v>0</v>
      </c>
      <c r="AC285" s="16">
        <f>ROUND(IF(IFERROR(PROPERTIES[[#This Row],[TE_COEFFICIENT_CALC]],0)=0,PROPERTIES[[#This Row],[TE_COEFFICIENT_MANUAL]],PROPERTIES[[#This Row],[TE_COEFFICIENT_CALC]]),3)</f>
        <v>0.191</v>
      </c>
      <c r="AD285" s="8" cm="1">
        <f t="array" ref="AD2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5" s="26">
        <v>0</v>
      </c>
      <c r="AF285" s="6">
        <v>2</v>
      </c>
      <c r="AG285" t="s">
        <v>1948</v>
      </c>
      <c r="AH285" t="s">
        <v>229</v>
      </c>
      <c r="AI285" t="s">
        <v>229</v>
      </c>
      <c r="AJ285" s="2" t="s">
        <v>229</v>
      </c>
      <c r="AK285" s="2" t="s">
        <v>244</v>
      </c>
      <c r="AL28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5" s="2" t="str">
        <f>SUBSTITUTE(SUBSTITUTE(PROPERTIES[[#This Row],[PURCHASECOST_VALUE]], "PURCHASECOST_", ""), "_VALUE", "")</f>
        <v>DIESELENGINE</v>
      </c>
      <c r="AO285" s="44" t="b">
        <v>0</v>
      </c>
      <c r="AP285" s="48" t="b">
        <v>0</v>
      </c>
      <c r="AQ285" s="48" t="b">
        <v>1</v>
      </c>
      <c r="AR285" s="48">
        <v>0</v>
      </c>
      <c r="AS285" s="48" t="b">
        <v>0</v>
      </c>
      <c r="AT285" s="7" t="b">
        <v>1</v>
      </c>
      <c r="AU285" s="40" t="str" cm="1">
        <f t="array" ref="AU285">_xlfn.XLOOKUP(PROPERTIES[[#This Row],[VEHIDCODE]],GRAPHICS_PROPERTIES[VEHIDCODE],GRAPHICS_PROPERTIES[TEMPLATE_ID]&amp;GRAPHICS_PROPERTIES[TEMPLATE_AMENDMENT_CODE])</f>
        <v>TPL_32A</v>
      </c>
    </row>
    <row r="286" spans="1:47" x14ac:dyDescent="0.35">
      <c r="A286" s="2" t="s">
        <v>2920</v>
      </c>
      <c r="B286">
        <v>1989</v>
      </c>
      <c r="D286" cm="1">
        <f t="array" ref="D2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6" s="40" t="str">
        <f>_xlfn.XLOOKUP(PROPERTIES[[#This Row],[VEHIDCODE]],CONTROL[VEHIDCODE],CONTROL[ENGLISH])</f>
        <v>LTZ 2TE10Ut</v>
      </c>
      <c r="F286" t="s">
        <v>754</v>
      </c>
      <c r="G286" s="40" t="str">
        <f>_xlfn.XLOOKUP(PROPERTIES[[#This Row],[COUNTRY]],COUNTRIES[COUNTRY_DESCRIPTION],COUNTRIES[COUNTRY_LABEL],"")</f>
        <v>UA</v>
      </c>
      <c r="H286" t="str" cm="1">
        <f t="array" ref="H2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6" t="s">
        <v>17</v>
      </c>
      <c r="J286">
        <v>0</v>
      </c>
      <c r="K286">
        <v>8</v>
      </c>
      <c r="L286">
        <v>0</v>
      </c>
      <c r="M286" t="str" cm="1">
        <f t="array" ref="M2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6">
        <f>_xlfn.XLOOKUP("LOADINGSPEEDDEF_"&amp;PROPERTIES[[#This Row],[LOADINGSPEED]],LOADINGSPEEDDEF[TYPE],LOADINGSPEEDDEF[SPEED])</f>
        <v>20</v>
      </c>
      <c r="O286" t="str" cm="1">
        <f t="array" ref="O2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86">
        <f>IF(ISNUMBER(SEARCH("passenger",PROPERTIES[[#This Row],[CARGODEF]])),1,0)</f>
        <v>0</v>
      </c>
      <c r="Q286" s="23">
        <v>276</v>
      </c>
      <c r="R286">
        <v>4560</v>
      </c>
      <c r="S286">
        <v>0</v>
      </c>
      <c r="T286">
        <v>0</v>
      </c>
      <c r="U286">
        <v>0</v>
      </c>
      <c r="V286">
        <v>120</v>
      </c>
      <c r="W286">
        <v>0</v>
      </c>
      <c r="X286">
        <v>0</v>
      </c>
      <c r="Y286">
        <v>0</v>
      </c>
      <c r="Z286" s="20">
        <v>0</v>
      </c>
      <c r="AA286" s="19">
        <f>IFERROR(PROPERTIES[[#This Row],[TE_STARTING_KN]]/(PROPERTIES[[#This Row],[WEIGHT]]*9.81),0)</f>
        <v>0</v>
      </c>
      <c r="AB286" s="19">
        <v>0.15</v>
      </c>
      <c r="AC286" s="16">
        <f>ROUND(IF(IFERROR(PROPERTIES[[#This Row],[TE_COEFFICIENT_CALC]],0)=0,PROPERTIES[[#This Row],[TE_COEFFICIENT_MANUAL]],PROPERTIES[[#This Row],[TE_COEFFICIENT_CALC]]),3)</f>
        <v>0.15</v>
      </c>
      <c r="AD286" s="8" cm="1">
        <f t="array" ref="AD2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6" s="26">
        <v>0</v>
      </c>
      <c r="AF286" s="6">
        <v>0</v>
      </c>
      <c r="AG286" t="s">
        <v>1948</v>
      </c>
      <c r="AH286" t="s">
        <v>229</v>
      </c>
      <c r="AI286" t="s">
        <v>229</v>
      </c>
      <c r="AJ286" s="2" t="s">
        <v>229</v>
      </c>
      <c r="AK286" s="2" t="s">
        <v>244</v>
      </c>
      <c r="AL28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6" s="2" t="str">
        <f>SUBSTITUTE(SUBSTITUTE(PROPERTIES[[#This Row],[PURCHASECOST_VALUE]], "PURCHASECOST_", ""), "_VALUE", "")</f>
        <v>DIESELENGINE</v>
      </c>
      <c r="AO286" s="44" t="b">
        <v>0</v>
      </c>
      <c r="AP286" s="48" t="b">
        <v>0</v>
      </c>
      <c r="AQ286" s="48" t="b">
        <v>1</v>
      </c>
      <c r="AR286" s="48">
        <v>0</v>
      </c>
      <c r="AS286" s="48" t="b">
        <v>0</v>
      </c>
      <c r="AT286" s="7" t="b">
        <v>1</v>
      </c>
      <c r="AU286" s="40" t="str" cm="1">
        <f t="array" ref="AU286">_xlfn.XLOOKUP(PROPERTIES[[#This Row],[VEHIDCODE]],GRAPHICS_PROPERTIES[VEHIDCODE],GRAPHICS_PROPERTIES[TEMPLATE_ID]&amp;GRAPHICS_PROPERTIES[TEMPLATE_AMENDMENT_CODE])</f>
        <v>TPL_03D</v>
      </c>
    </row>
    <row r="287" spans="1:47" x14ac:dyDescent="0.35">
      <c r="A287" s="2" t="s">
        <v>2921</v>
      </c>
      <c r="B287">
        <v>1992</v>
      </c>
      <c r="D287" cm="1">
        <f t="array" ref="D2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7" s="40" t="str">
        <f>_xlfn.XLOOKUP(PROPERTIES[[#This Row],[VEHIDCODE]],CONTROL[VEHIDCODE],CONTROL[ENGLISH])</f>
        <v>CMKS 709 0-4-0DE</v>
      </c>
      <c r="F287" t="s">
        <v>715</v>
      </c>
      <c r="G287" s="40" t="str">
        <f>_xlfn.XLOOKUP(PROPERTIES[[#This Row],[COUNTRY]],COUNTRIES[COUNTRY_DESCRIPTION],COUNTRIES[COUNTRY_LABEL],"")</f>
        <v>RS</v>
      </c>
      <c r="H287" t="str" cm="1">
        <f t="array" ref="H2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7" t="s">
        <v>17</v>
      </c>
      <c r="J287">
        <v>0</v>
      </c>
      <c r="K287">
        <v>4</v>
      </c>
      <c r="L287">
        <v>0</v>
      </c>
      <c r="M287" t="str" cm="1">
        <f t="array" ref="M2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7">
        <f>_xlfn.XLOOKUP("LOADINGSPEEDDEF_"&amp;PROPERTIES[[#This Row],[LOADINGSPEED]],LOADINGSPEEDDEF[TYPE],LOADINGSPEEDDEF[SPEED])</f>
        <v>20</v>
      </c>
      <c r="O287" t="str" cm="1">
        <f t="array" ref="O2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87">
        <f>IF(ISNUMBER(SEARCH("passenger",PROPERTIES[[#This Row],[CARGODEF]])),1,0)</f>
        <v>0</v>
      </c>
      <c r="Q287" s="23">
        <v>36</v>
      </c>
      <c r="R287">
        <v>530</v>
      </c>
      <c r="S287">
        <v>0</v>
      </c>
      <c r="T287">
        <v>0</v>
      </c>
      <c r="U287">
        <v>0</v>
      </c>
      <c r="V287">
        <v>80</v>
      </c>
      <c r="W287">
        <v>0</v>
      </c>
      <c r="X287">
        <v>0</v>
      </c>
      <c r="Y287">
        <v>0</v>
      </c>
      <c r="Z287" s="20">
        <v>108</v>
      </c>
      <c r="AA287" s="19">
        <f>IFERROR(PROPERTIES[[#This Row],[TE_STARTING_KN]]/(PROPERTIES[[#This Row],[WEIGHT]]*9.81),0)</f>
        <v>0.3058103975535168</v>
      </c>
      <c r="AB287" s="19">
        <v>0</v>
      </c>
      <c r="AC287" s="16">
        <f>ROUND(IF(IFERROR(PROPERTIES[[#This Row],[TE_COEFFICIENT_CALC]],0)=0,PROPERTIES[[#This Row],[TE_COEFFICIENT_MANUAL]],PROPERTIES[[#This Row],[TE_COEFFICIENT_CALC]]),3)</f>
        <v>0.30599999999999999</v>
      </c>
      <c r="AD287" s="8" cm="1">
        <f t="array" ref="AD2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7" s="26">
        <v>0</v>
      </c>
      <c r="AF287" s="6">
        <v>0</v>
      </c>
      <c r="AG287" t="s">
        <v>236</v>
      </c>
      <c r="AH287" t="s">
        <v>229</v>
      </c>
      <c r="AI287" t="s">
        <v>229</v>
      </c>
      <c r="AJ287" s="2" t="s">
        <v>229</v>
      </c>
      <c r="AK287" s="2" t="s">
        <v>244</v>
      </c>
      <c r="AL28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7" s="2" t="str">
        <f>SUBSTITUTE(SUBSTITUTE(PROPERTIES[[#This Row],[PURCHASECOST_VALUE]], "PURCHASECOST_", ""), "_VALUE", "")</f>
        <v>DIESELENGINE</v>
      </c>
      <c r="AO287" s="44" t="b">
        <v>0</v>
      </c>
      <c r="AP287" s="48" t="b">
        <v>0</v>
      </c>
      <c r="AQ287" s="48" t="b">
        <v>0</v>
      </c>
      <c r="AR287" s="48">
        <v>0</v>
      </c>
      <c r="AS287" s="48" t="b">
        <v>0</v>
      </c>
      <c r="AT287" s="7" t="b">
        <v>0</v>
      </c>
      <c r="AU287" s="40" t="str" cm="1">
        <f t="array" ref="AU287">_xlfn.XLOOKUP(PROPERTIES[[#This Row],[VEHIDCODE]],GRAPHICS_PROPERTIES[VEHIDCODE],GRAPHICS_PROPERTIES[TEMPLATE_ID]&amp;GRAPHICS_PROPERTIES[TEMPLATE_AMENDMENT_CODE])</f>
        <v>TPL_01A</v>
      </c>
    </row>
    <row r="288" spans="1:47" x14ac:dyDescent="0.35">
      <c r="A288" s="2" t="s">
        <v>2922</v>
      </c>
      <c r="B288">
        <v>1931</v>
      </c>
      <c r="C288">
        <v>1984</v>
      </c>
      <c r="D288" cm="1">
        <f t="array" ref="D2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8" s="40" t="str">
        <f>_xlfn.XLOOKUP(PROPERTIES[[#This Row],[VEHIDCODE]],CONTROL[VEHIDCODE],CONTROL[ENGLISH])</f>
        <v>Antonio Badoni Lecco 'Sogliole' 207</v>
      </c>
      <c r="F288" t="s">
        <v>636</v>
      </c>
      <c r="G288" s="40" t="str">
        <f>_xlfn.XLOOKUP(PROPERTIES[[#This Row],[COUNTRY]],COUNTRIES[COUNTRY_DESCRIPTION],COUNTRIES[COUNTRY_LABEL],"")</f>
        <v>IT</v>
      </c>
      <c r="H288" t="str" cm="1">
        <f t="array" ref="H2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8" t="s">
        <v>17</v>
      </c>
      <c r="J288">
        <v>0</v>
      </c>
      <c r="K288">
        <v>2</v>
      </c>
      <c r="L288">
        <v>0</v>
      </c>
      <c r="M288" t="str" cm="1">
        <f t="array" ref="M2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8">
        <f>_xlfn.XLOOKUP("LOADINGSPEEDDEF_"&amp;PROPERTIES[[#This Row],[LOADINGSPEED]],LOADINGSPEEDDEF[TYPE],LOADINGSPEEDDEF[SPEED])</f>
        <v>20</v>
      </c>
      <c r="O288" cm="1">
        <f t="array" ref="O2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8">
        <f>IF(ISNUMBER(SEARCH("passenger",PROPERTIES[[#This Row],[CARGODEF]])),1,0)</f>
        <v>0</v>
      </c>
      <c r="Q288" s="23">
        <v>6</v>
      </c>
      <c r="R288">
        <v>75</v>
      </c>
      <c r="S288">
        <v>0</v>
      </c>
      <c r="T288">
        <v>0</v>
      </c>
      <c r="U288">
        <v>0</v>
      </c>
      <c r="V288">
        <v>30</v>
      </c>
      <c r="W288">
        <v>0</v>
      </c>
      <c r="X288">
        <v>0</v>
      </c>
      <c r="Y288">
        <v>0</v>
      </c>
      <c r="Z288" s="20">
        <v>13</v>
      </c>
      <c r="AA288" s="19">
        <f>IFERROR(PROPERTIES[[#This Row],[TE_STARTING_KN]]/(PROPERTIES[[#This Row],[WEIGHT]]*9.81),0)</f>
        <v>0.22086306489976215</v>
      </c>
      <c r="AB288" s="19">
        <v>0</v>
      </c>
      <c r="AC288" s="16">
        <f>ROUND(IF(IFERROR(PROPERTIES[[#This Row],[TE_COEFFICIENT_CALC]],0)=0,PROPERTIES[[#This Row],[TE_COEFFICIENT_MANUAL]],PROPERTIES[[#This Row],[TE_COEFFICIENT_CALC]]),3)</f>
        <v>0.221</v>
      </c>
      <c r="AD288" s="8" cm="1">
        <f t="array" ref="AD2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288" s="26">
        <v>0</v>
      </c>
      <c r="AF288" s="6">
        <v>0</v>
      </c>
      <c r="AG288" t="s">
        <v>231</v>
      </c>
      <c r="AH288" t="s">
        <v>233</v>
      </c>
      <c r="AI288" t="s">
        <v>229</v>
      </c>
      <c r="AJ288" s="2" t="s">
        <v>229</v>
      </c>
      <c r="AK288" s="2" t="s">
        <v>244</v>
      </c>
      <c r="AL28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8" s="2" t="str">
        <f>SUBSTITUTE(SUBSTITUTE(PROPERTIES[[#This Row],[PURCHASECOST_VALUE]], "PURCHASECOST_", ""), "_VALUE", "")</f>
        <v>DIESELENGINE</v>
      </c>
      <c r="AO288" s="44" t="b">
        <v>0</v>
      </c>
      <c r="AP288" s="48" t="b">
        <v>0</v>
      </c>
      <c r="AQ288" s="48" t="b">
        <v>0</v>
      </c>
      <c r="AR288" s="48">
        <v>0</v>
      </c>
      <c r="AS288" s="48" t="b">
        <v>0</v>
      </c>
      <c r="AT288" s="7" t="b">
        <v>0</v>
      </c>
      <c r="AU288" s="40" t="str" cm="1">
        <f t="array" ref="AU288">_xlfn.XLOOKUP(PROPERTIES[[#This Row],[VEHIDCODE]],GRAPHICS_PROPERTIES[VEHIDCODE],GRAPHICS_PROPERTIES[TEMPLATE_ID]&amp;GRAPHICS_PROPERTIES[TEMPLATE_AMENDMENT_CODE])</f>
        <v>TPL_01A</v>
      </c>
    </row>
    <row r="289" spans="1:47" x14ac:dyDescent="0.35">
      <c r="A289" s="2" t="s">
        <v>2923</v>
      </c>
      <c r="B289">
        <v>1945</v>
      </c>
      <c r="C289">
        <v>1953</v>
      </c>
      <c r="D289" cm="1">
        <f t="array" ref="D2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9" s="40" t="str">
        <f>_xlfn.XLOOKUP(PROPERTIES[[#This Row],[VEHIDCODE]],CONTROL[VEHIDCODE],CONTROL[ENGLISH])</f>
        <v>Baldwin 0-6-6-0 1000</v>
      </c>
      <c r="F289" t="s">
        <v>716</v>
      </c>
      <c r="G289" s="40" t="str">
        <f>_xlfn.XLOOKUP(PROPERTIES[[#This Row],[COUNTRY]],COUNTRIES[COUNTRY_DESCRIPTION],COUNTRIES[COUNTRY_LABEL],"")</f>
        <v>RU</v>
      </c>
      <c r="H289" t="str" cm="1">
        <f t="array" ref="H2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9" t="s">
        <v>17</v>
      </c>
      <c r="J289">
        <v>0</v>
      </c>
      <c r="K289">
        <v>8</v>
      </c>
      <c r="L289">
        <v>0</v>
      </c>
      <c r="M289" t="str" cm="1">
        <f t="array" ref="M2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9">
        <f>_xlfn.XLOOKUP("LOADINGSPEEDDEF_"&amp;PROPERTIES[[#This Row],[LOADINGSPEED]],LOADINGSPEEDDEF[TYPE],LOADINGSPEEDDEF[SPEED])</f>
        <v>20</v>
      </c>
      <c r="O289" cm="1">
        <f t="array" ref="O2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9">
        <f>IF(ISNUMBER(SEARCH("passenger",PROPERTIES[[#This Row],[CARGODEF]])),1,0)</f>
        <v>0</v>
      </c>
      <c r="Q289" s="23">
        <v>122</v>
      </c>
      <c r="R289">
        <v>1000</v>
      </c>
      <c r="S289">
        <v>0</v>
      </c>
      <c r="T289">
        <v>0</v>
      </c>
      <c r="U289">
        <v>0</v>
      </c>
      <c r="V289">
        <v>97</v>
      </c>
      <c r="W289">
        <v>0</v>
      </c>
      <c r="X289">
        <v>0</v>
      </c>
      <c r="Y289">
        <v>0</v>
      </c>
      <c r="Z289" s="20">
        <v>310</v>
      </c>
      <c r="AA289" s="19">
        <f>IFERROR(PROPERTIES[[#This Row],[TE_STARTING_KN]]/(PROPERTIES[[#This Row],[WEIGHT]]*9.81),0)</f>
        <v>0.2590197356327601</v>
      </c>
      <c r="AB289" s="19">
        <v>0</v>
      </c>
      <c r="AC289" s="16">
        <f>ROUND(IF(IFERROR(PROPERTIES[[#This Row],[TE_COEFFICIENT_CALC]],0)=0,PROPERTIES[[#This Row],[TE_COEFFICIENT_MANUAL]],PROPERTIES[[#This Row],[TE_COEFFICIENT_CALC]]),3)</f>
        <v>0.25900000000000001</v>
      </c>
      <c r="AD289" s="8" cm="1">
        <f t="array" ref="AD2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89" s="26">
        <v>0</v>
      </c>
      <c r="AF289" s="6">
        <v>0</v>
      </c>
      <c r="AG289" t="s">
        <v>1948</v>
      </c>
      <c r="AH289" t="s">
        <v>229</v>
      </c>
      <c r="AI289" t="s">
        <v>229</v>
      </c>
      <c r="AJ289" s="2" t="s">
        <v>229</v>
      </c>
      <c r="AK289" s="2" t="s">
        <v>244</v>
      </c>
      <c r="AL28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9" s="2" t="str">
        <f>SUBSTITUTE(SUBSTITUTE(PROPERTIES[[#This Row],[PURCHASECOST_VALUE]], "PURCHASECOST_", ""), "_VALUE", "")</f>
        <v>DIESELENGINE</v>
      </c>
      <c r="AO289" s="44" t="b">
        <v>0</v>
      </c>
      <c r="AP289" s="48" t="b">
        <v>0</v>
      </c>
      <c r="AQ289" s="48" t="b">
        <v>0</v>
      </c>
      <c r="AR289" s="48">
        <v>0</v>
      </c>
      <c r="AS289" s="48" t="b">
        <v>0</v>
      </c>
      <c r="AT289" s="7" t="b">
        <v>0</v>
      </c>
      <c r="AU289" s="40" t="str" cm="1">
        <f t="array" ref="AU289">_xlfn.XLOOKUP(PROPERTIES[[#This Row],[VEHIDCODE]],GRAPHICS_PROPERTIES[VEHIDCODE],GRAPHICS_PROPERTIES[TEMPLATE_ID]&amp;GRAPHICS_PROPERTIES[TEMPLATE_AMENDMENT_CODE])</f>
        <v>TPL_01A</v>
      </c>
    </row>
    <row r="290" spans="1:47" x14ac:dyDescent="0.35">
      <c r="A290" s="2" t="s">
        <v>2924</v>
      </c>
      <c r="B290">
        <v>1948</v>
      </c>
      <c r="C290">
        <v>2000</v>
      </c>
      <c r="D290" cm="1">
        <f t="array" ref="D2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0" s="40" t="str">
        <f>_xlfn.XLOOKUP(PROPERTIES[[#This Row],[VEHIDCODE]],CONTROL[VEHIDCODE],CONTROL[ENGLISH])</f>
        <v>ALCO RSC-2</v>
      </c>
      <c r="F290" t="s">
        <v>710</v>
      </c>
      <c r="G290" s="40" t="str">
        <f>_xlfn.XLOOKUP(PROPERTIES[[#This Row],[COUNTRY]],COUNTRIES[COUNTRY_DESCRIPTION],COUNTRIES[COUNTRY_LABEL],"")</f>
        <v>PT</v>
      </c>
      <c r="H290" t="str" cm="1">
        <f t="array" ref="H2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0" t="s">
        <v>17</v>
      </c>
      <c r="J290">
        <v>0</v>
      </c>
      <c r="K290">
        <v>6</v>
      </c>
      <c r="L290">
        <v>0</v>
      </c>
      <c r="M290" t="str" cm="1">
        <f t="array" ref="M2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0">
        <f>_xlfn.XLOOKUP("LOADINGSPEEDDEF_"&amp;PROPERTIES[[#This Row],[LOADINGSPEED]],LOADINGSPEEDDEF[TYPE],LOADINGSPEEDDEF[SPEED])</f>
        <v>20</v>
      </c>
      <c r="O290" cm="1">
        <f t="array" ref="O2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90">
        <f>IF(ISNUMBER(SEARCH("passenger",PROPERTIES[[#This Row],[CARGODEF]])),1,0)</f>
        <v>0</v>
      </c>
      <c r="Q290" s="23">
        <v>111</v>
      </c>
      <c r="R290">
        <v>1500</v>
      </c>
      <c r="S290">
        <v>0</v>
      </c>
      <c r="T290">
        <v>0</v>
      </c>
      <c r="U290">
        <v>0</v>
      </c>
      <c r="V290">
        <v>120</v>
      </c>
      <c r="W290">
        <v>0</v>
      </c>
      <c r="X290">
        <v>0</v>
      </c>
      <c r="Y290">
        <v>0</v>
      </c>
      <c r="Z290" s="20">
        <v>0</v>
      </c>
      <c r="AA290" s="19">
        <f>IFERROR(PROPERTIES[[#This Row],[TE_STARTING_KN]]/(PROPERTIES[[#This Row],[WEIGHT]]*9.81),0)</f>
        <v>0</v>
      </c>
      <c r="AB290" s="19">
        <v>0.15</v>
      </c>
      <c r="AC290" s="16">
        <f>ROUND(IF(IFERROR(PROPERTIES[[#This Row],[TE_COEFFICIENT_CALC]],0)=0,PROPERTIES[[#This Row],[TE_COEFFICIENT_MANUAL]],PROPERTIES[[#This Row],[TE_COEFFICIENT_CALC]]),3)</f>
        <v>0.15</v>
      </c>
      <c r="AD290" s="8" cm="1">
        <f t="array" ref="AD2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290" s="26">
        <v>0</v>
      </c>
      <c r="AF290" s="6">
        <v>0</v>
      </c>
      <c r="AG290" t="s">
        <v>231</v>
      </c>
      <c r="AH290" t="s">
        <v>235</v>
      </c>
      <c r="AI290" t="s">
        <v>233</v>
      </c>
      <c r="AJ290" s="2" t="s">
        <v>233</v>
      </c>
      <c r="AK290" s="2" t="s">
        <v>244</v>
      </c>
      <c r="AL29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0" s="2" t="str">
        <f>SUBSTITUTE(SUBSTITUTE(PROPERTIES[[#This Row],[PURCHASECOST_VALUE]], "PURCHASECOST_", ""), "_VALUE", "")</f>
        <v>DIESELENGINE</v>
      </c>
      <c r="AO290" s="44" t="b">
        <v>0</v>
      </c>
      <c r="AP290" s="48" t="b">
        <v>0</v>
      </c>
      <c r="AQ290" s="48" t="b">
        <v>0</v>
      </c>
      <c r="AR290" s="48">
        <v>0</v>
      </c>
      <c r="AS290" s="48" t="b">
        <v>0</v>
      </c>
      <c r="AT290" s="7" t="b">
        <v>0</v>
      </c>
      <c r="AU290" s="40" t="str" cm="1">
        <f t="array" ref="AU290">_xlfn.XLOOKUP(PROPERTIES[[#This Row],[VEHIDCODE]],GRAPHICS_PROPERTIES[VEHIDCODE],GRAPHICS_PROPERTIES[TEMPLATE_ID]&amp;GRAPHICS_PROPERTIES[TEMPLATE_AMENDMENT_CODE])</f>
        <v>TPL_01A</v>
      </c>
    </row>
    <row r="291" spans="1:47" x14ac:dyDescent="0.35">
      <c r="A291" s="2" t="s">
        <v>2925</v>
      </c>
      <c r="B291">
        <v>1969</v>
      </c>
      <c r="C291">
        <v>2009</v>
      </c>
      <c r="D291" cm="1">
        <f t="array" ref="D2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1" s="40" t="str">
        <f>_xlfn.XLOOKUP(PROPERTIES[[#This Row],[VEHIDCODE]],CONTROL[VEHIDCODE],CONTROL[ENGLISH])</f>
        <v>Brissonneau and Lotz BB 67400</v>
      </c>
      <c r="F291" t="s">
        <v>602</v>
      </c>
      <c r="G291" s="40" t="str">
        <f>_xlfn.XLOOKUP(PROPERTIES[[#This Row],[COUNTRY]],COUNTRIES[COUNTRY_DESCRIPTION],COUNTRIES[COUNTRY_LABEL],"")</f>
        <v>FR</v>
      </c>
      <c r="H291" t="str" cm="1">
        <f t="array" ref="H2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1" t="s">
        <v>17</v>
      </c>
      <c r="J291">
        <v>0</v>
      </c>
      <c r="K291">
        <v>8</v>
      </c>
      <c r="L291">
        <v>0</v>
      </c>
      <c r="M291" t="str" cm="1">
        <f t="array" ref="M2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1">
        <f>_xlfn.XLOOKUP("LOADINGSPEEDDEF_"&amp;PROPERTIES[[#This Row],[LOADINGSPEED]],LOADINGSPEEDDEF[TYPE],LOADINGSPEEDDEF[SPEED])</f>
        <v>20</v>
      </c>
      <c r="O291" cm="1">
        <f t="array" ref="O2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91">
        <f>IF(ISNUMBER(SEARCH("passenger",PROPERTIES[[#This Row],[CARGODEF]])),1,0)</f>
        <v>0</v>
      </c>
      <c r="Q291" s="23">
        <v>83</v>
      </c>
      <c r="R291">
        <v>2367</v>
      </c>
      <c r="S291">
        <v>0</v>
      </c>
      <c r="T291">
        <v>0</v>
      </c>
      <c r="U291">
        <v>0</v>
      </c>
      <c r="V291">
        <v>140</v>
      </c>
      <c r="W291">
        <v>0</v>
      </c>
      <c r="X291">
        <v>0</v>
      </c>
      <c r="Y291">
        <v>0</v>
      </c>
      <c r="Z291" s="20">
        <v>250</v>
      </c>
      <c r="AA291" s="19">
        <f>IFERROR(PROPERTIES[[#This Row],[TE_STARTING_KN]]/(PROPERTIES[[#This Row],[WEIGHT]]*9.81),0)</f>
        <v>0.30703855176055905</v>
      </c>
      <c r="AB291" s="19">
        <v>0</v>
      </c>
      <c r="AC291" s="16">
        <f>ROUND(IF(IFERROR(PROPERTIES[[#This Row],[TE_COEFFICIENT_CALC]],0)=0,PROPERTIES[[#This Row],[TE_COEFFICIENT_MANUAL]],PROPERTIES[[#This Row],[TE_COEFFICIENT_CALC]]),3)</f>
        <v>0.307</v>
      </c>
      <c r="AD291" s="8" cm="1">
        <f t="array" ref="AD2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91" s="26">
        <v>0</v>
      </c>
      <c r="AF291" s="6">
        <v>0</v>
      </c>
      <c r="AG291" t="s">
        <v>230</v>
      </c>
      <c r="AH291" t="s">
        <v>229</v>
      </c>
      <c r="AI291" t="s">
        <v>229</v>
      </c>
      <c r="AJ291" s="2" t="s">
        <v>229</v>
      </c>
      <c r="AK291" s="2" t="s">
        <v>244</v>
      </c>
      <c r="AL29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1" s="2" t="str">
        <f>SUBSTITUTE(SUBSTITUTE(PROPERTIES[[#This Row],[PURCHASECOST_VALUE]], "PURCHASECOST_", ""), "_VALUE", "")</f>
        <v>DIESELENGINE</v>
      </c>
      <c r="AO291" s="44" t="b">
        <v>0</v>
      </c>
      <c r="AP291" s="48" t="b">
        <v>0</v>
      </c>
      <c r="AQ291" s="48" t="b">
        <v>0</v>
      </c>
      <c r="AR291" s="48">
        <v>0</v>
      </c>
      <c r="AS291" s="48" t="b">
        <v>0</v>
      </c>
      <c r="AT291" s="7" t="b">
        <v>0</v>
      </c>
      <c r="AU291" s="40" t="str" cm="1">
        <f t="array" ref="AU291">_xlfn.XLOOKUP(PROPERTIES[[#This Row],[VEHIDCODE]],GRAPHICS_PROPERTIES[VEHIDCODE],GRAPHICS_PROPERTIES[TEMPLATE_ID]&amp;GRAPHICS_PROPERTIES[TEMPLATE_AMENDMENT_CODE])</f>
        <v>TPL_01A</v>
      </c>
    </row>
    <row r="292" spans="1:47" x14ac:dyDescent="0.35">
      <c r="A292" s="2" t="s">
        <v>2926</v>
      </c>
      <c r="B292">
        <v>1988</v>
      </c>
      <c r="D292" cm="1">
        <f t="array" ref="D2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2" s="40" t="str">
        <f>_xlfn.XLOOKUP(PROPERTIES[[#This Row],[VEHIDCODE]],CONTROL[VEHIDCODE],CONTROL[ENGLISH])</f>
        <v>MaK DE 6400</v>
      </c>
      <c r="F292" t="s">
        <v>692</v>
      </c>
      <c r="G292" s="40" t="str">
        <f>_xlfn.XLOOKUP(PROPERTIES[[#This Row],[COUNTRY]],COUNTRIES[COUNTRY_DESCRIPTION],COUNTRIES[COUNTRY_LABEL],"")</f>
        <v>NL</v>
      </c>
      <c r="H292" t="str" cm="1">
        <f t="array" ref="H2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2" t="s">
        <v>17</v>
      </c>
      <c r="J292">
        <v>0</v>
      </c>
      <c r="K292">
        <v>6</v>
      </c>
      <c r="L292">
        <v>0</v>
      </c>
      <c r="M292" t="str" cm="1">
        <f t="array" ref="M2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2">
        <f>_xlfn.XLOOKUP("LOADINGSPEEDDEF_"&amp;PROPERTIES[[#This Row],[LOADINGSPEED]],LOADINGSPEEDDEF[TYPE],LOADINGSPEEDDEF[SPEED])</f>
        <v>20</v>
      </c>
      <c r="O292" t="str" cm="1">
        <f t="array" ref="O2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2">
        <f>IF(ISNUMBER(SEARCH("passenger",PROPERTIES[[#This Row],[CARGODEF]])),1,0)</f>
        <v>0</v>
      </c>
      <c r="Q292" s="23">
        <v>80</v>
      </c>
      <c r="R292">
        <v>1580</v>
      </c>
      <c r="S292">
        <v>0</v>
      </c>
      <c r="T292">
        <v>0</v>
      </c>
      <c r="U292">
        <v>0</v>
      </c>
      <c r="V292">
        <v>120</v>
      </c>
      <c r="W292">
        <v>0</v>
      </c>
      <c r="X292">
        <v>0</v>
      </c>
      <c r="Y292">
        <v>0</v>
      </c>
      <c r="Z292" s="20">
        <v>290</v>
      </c>
      <c r="AA292" s="19">
        <f>IFERROR(PROPERTIES[[#This Row],[TE_STARTING_KN]]/(PROPERTIES[[#This Row],[WEIGHT]]*9.81),0)</f>
        <v>0.36952089704383279</v>
      </c>
      <c r="AB292" s="19">
        <v>0</v>
      </c>
      <c r="AC292" s="16">
        <f>ROUND(IF(IFERROR(PROPERTIES[[#This Row],[TE_COEFFICIENT_CALC]],0)=0,PROPERTIES[[#This Row],[TE_COEFFICIENT_MANUAL]],PROPERTIES[[#This Row],[TE_COEFFICIENT_CALC]]),3)</f>
        <v>0.37</v>
      </c>
      <c r="AD292" s="8" cm="1">
        <f t="array" ref="AD2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92" s="26">
        <v>0</v>
      </c>
      <c r="AF292" s="6">
        <v>0</v>
      </c>
      <c r="AG292" t="s">
        <v>230</v>
      </c>
      <c r="AH292" t="s">
        <v>236</v>
      </c>
      <c r="AI292" t="s">
        <v>229</v>
      </c>
      <c r="AJ292" s="2" t="s">
        <v>229</v>
      </c>
      <c r="AK292" s="2" t="s">
        <v>244</v>
      </c>
      <c r="AL29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2" s="2" t="str">
        <f>SUBSTITUTE(SUBSTITUTE(PROPERTIES[[#This Row],[PURCHASECOST_VALUE]], "PURCHASECOST_", ""), "_VALUE", "")</f>
        <v>DIESELENGINE</v>
      </c>
      <c r="AO292" s="44" t="b">
        <v>0</v>
      </c>
      <c r="AP292" s="48" t="b">
        <v>0</v>
      </c>
      <c r="AQ292" s="48" t="b">
        <v>0</v>
      </c>
      <c r="AR292" s="48">
        <v>0</v>
      </c>
      <c r="AS292" s="48" t="b">
        <v>0</v>
      </c>
      <c r="AT292" s="7" t="b">
        <v>0</v>
      </c>
      <c r="AU292" s="40" t="str" cm="1">
        <f t="array" ref="AU292">_xlfn.XLOOKUP(PROPERTIES[[#This Row],[VEHIDCODE]],GRAPHICS_PROPERTIES[VEHIDCODE],GRAPHICS_PROPERTIES[TEMPLATE_ID]&amp;GRAPHICS_PROPERTIES[TEMPLATE_AMENDMENT_CODE])</f>
        <v>TPL_01A</v>
      </c>
    </row>
    <row r="293" spans="1:47" x14ac:dyDescent="0.35">
      <c r="A293" s="2" t="s">
        <v>2927</v>
      </c>
      <c r="B293">
        <v>2009</v>
      </c>
      <c r="D293" cm="1">
        <f t="array" ref="D2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3" s="40" t="str">
        <f>_xlfn.XLOOKUP(PROPERTIES[[#This Row],[VEHIDCODE]],CONTROL[VEHIDCODE],CONTROL[ENGLISH])</f>
        <v>GE ES40ACi</v>
      </c>
      <c r="F293" t="s">
        <v>592</v>
      </c>
      <c r="G293" s="40" t="str">
        <f>_xlfn.XLOOKUP(PROPERTIES[[#This Row],[COUNTRY]],COUNTRIES[COUNTRY_DESCRIPTION],COUNTRIES[COUNTRY_LABEL],"")</f>
        <v>EG</v>
      </c>
      <c r="H293" t="str" cm="1">
        <f t="array" ref="H2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3" t="s">
        <v>17</v>
      </c>
      <c r="J293">
        <v>0</v>
      </c>
      <c r="K293">
        <v>8</v>
      </c>
      <c r="L293">
        <v>0</v>
      </c>
      <c r="M293" t="str" cm="1">
        <f t="array" ref="M2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3">
        <f>_xlfn.XLOOKUP("LOADINGSPEEDDEF_"&amp;PROPERTIES[[#This Row],[LOADINGSPEED]],LOADINGSPEEDDEF[TYPE],LOADINGSPEEDDEF[SPEED])</f>
        <v>20</v>
      </c>
      <c r="O293" t="str" cm="1">
        <f t="array" ref="O2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3">
        <f>IF(ISNUMBER(SEARCH("passenger",PROPERTIES[[#This Row],[CARGODEF]])),1,0)</f>
        <v>0</v>
      </c>
      <c r="Q293" s="23">
        <v>140</v>
      </c>
      <c r="R293">
        <v>4250</v>
      </c>
      <c r="S293">
        <v>0</v>
      </c>
      <c r="T293">
        <v>0</v>
      </c>
      <c r="U293">
        <v>0</v>
      </c>
      <c r="V293">
        <v>121</v>
      </c>
      <c r="W293">
        <v>0</v>
      </c>
      <c r="X293">
        <v>0</v>
      </c>
      <c r="Y293">
        <v>0</v>
      </c>
      <c r="Z293" s="20">
        <v>810</v>
      </c>
      <c r="AA293" s="19">
        <f>IFERROR(PROPERTIES[[#This Row],[TE_STARTING_KN]]/(PROPERTIES[[#This Row],[WEIGHT]]*9.81),0)</f>
        <v>0.58977719528178241</v>
      </c>
      <c r="AB293" s="19">
        <v>0</v>
      </c>
      <c r="AC293" s="16">
        <f>ROUND(IF(IFERROR(PROPERTIES[[#This Row],[TE_COEFFICIENT_CALC]],0)=0,PROPERTIES[[#This Row],[TE_COEFFICIENT_MANUAL]],PROPERTIES[[#This Row],[TE_COEFFICIENT_CALC]]),3)</f>
        <v>0.59</v>
      </c>
      <c r="AD293" s="8" cm="1">
        <f t="array" ref="AD2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3" s="26">
        <v>0</v>
      </c>
      <c r="AF293" s="6">
        <v>0</v>
      </c>
      <c r="AG293" t="s">
        <v>233</v>
      </c>
      <c r="AH293" t="s">
        <v>229</v>
      </c>
      <c r="AI293" t="s">
        <v>229</v>
      </c>
      <c r="AJ293" s="2" t="s">
        <v>229</v>
      </c>
      <c r="AK293" s="2" t="s">
        <v>244</v>
      </c>
      <c r="AL29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3" s="2" t="str">
        <f>SUBSTITUTE(SUBSTITUTE(PROPERTIES[[#This Row],[PURCHASECOST_VALUE]], "PURCHASECOST_", ""), "_VALUE", "")</f>
        <v>DIESELENGINE</v>
      </c>
      <c r="AO293" s="44" t="b">
        <v>0</v>
      </c>
      <c r="AP293" s="48" t="b">
        <v>0</v>
      </c>
      <c r="AQ293" s="48" t="b">
        <v>0</v>
      </c>
      <c r="AR293" s="48">
        <v>0</v>
      </c>
      <c r="AS293" s="48" t="b">
        <v>0</v>
      </c>
      <c r="AT293" s="7" t="b">
        <v>0</v>
      </c>
      <c r="AU293" s="40" t="str" cm="1">
        <f t="array" ref="AU293">_xlfn.XLOOKUP(PROPERTIES[[#This Row],[VEHIDCODE]],GRAPHICS_PROPERTIES[VEHIDCODE],GRAPHICS_PROPERTIES[TEMPLATE_ID]&amp;GRAPHICS_PROPERTIES[TEMPLATE_AMENDMENT_CODE])</f>
        <v>TPL_01A</v>
      </c>
    </row>
    <row r="294" spans="1:47" x14ac:dyDescent="0.35">
      <c r="A294" s="2" t="s">
        <v>2928</v>
      </c>
      <c r="B294">
        <v>2014</v>
      </c>
      <c r="D294" cm="1">
        <f t="array" ref="D2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4" s="40" t="str">
        <f>_xlfn.XLOOKUP(PROPERTIES[[#This Row],[VEHIDCODE]],CONTROL[VEHIDCODE],CONTROL[ENGLISH])</f>
        <v>Vossloh Afro 4000</v>
      </c>
      <c r="F294" t="s">
        <v>771</v>
      </c>
      <c r="G294" s="40" t="str">
        <f>_xlfn.XLOOKUP(PROPERTIES[[#This Row],[COUNTRY]],COUNTRIES[COUNTRY_DESCRIPTION],COUNTRIES[COUNTRY_LABEL],"")</f>
        <v>ZA</v>
      </c>
      <c r="H294" t="str" cm="1">
        <f t="array" ref="H2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4" t="s">
        <v>17</v>
      </c>
      <c r="J294">
        <v>0</v>
      </c>
      <c r="K294">
        <v>8</v>
      </c>
      <c r="L294">
        <v>0</v>
      </c>
      <c r="M294" t="str" cm="1">
        <f t="array" ref="M2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4">
        <f>_xlfn.XLOOKUP("LOADINGSPEEDDEF_"&amp;PROPERTIES[[#This Row],[LOADINGSPEED]],LOADINGSPEEDDEF[TYPE],LOADINGSPEEDDEF[SPEED])</f>
        <v>20</v>
      </c>
      <c r="O294" t="str" cm="1">
        <f t="array" ref="O2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4">
        <f>IF(ISNUMBER(SEARCH("passenger",PROPERTIES[[#This Row],[CARGODEF]])),1,0)</f>
        <v>0</v>
      </c>
      <c r="Q294" s="23">
        <v>123</v>
      </c>
      <c r="R294">
        <v>4262</v>
      </c>
      <c r="S294">
        <v>0</v>
      </c>
      <c r="T294">
        <v>0</v>
      </c>
      <c r="U294">
        <v>0</v>
      </c>
      <c r="V294">
        <v>130</v>
      </c>
      <c r="W294">
        <v>0</v>
      </c>
      <c r="X294">
        <v>0</v>
      </c>
      <c r="Y294">
        <v>0</v>
      </c>
      <c r="Z294" s="20">
        <v>0</v>
      </c>
      <c r="AA294" s="19">
        <f>IFERROR(PROPERTIES[[#This Row],[TE_STARTING_KN]]/(PROPERTIES[[#This Row],[WEIGHT]]*9.81),0)</f>
        <v>0</v>
      </c>
      <c r="AB294" s="19">
        <v>0.26</v>
      </c>
      <c r="AC294" s="16">
        <f>ROUND(IF(IFERROR(PROPERTIES[[#This Row],[TE_COEFFICIENT_CALC]],0)=0,PROPERTIES[[#This Row],[TE_COEFFICIENT_MANUAL]],PROPERTIES[[#This Row],[TE_COEFFICIENT_CALC]]),3)</f>
        <v>0.26</v>
      </c>
      <c r="AD294" s="8" cm="1">
        <f t="array" ref="AD2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4" s="26">
        <v>0</v>
      </c>
      <c r="AF294" s="6">
        <v>0</v>
      </c>
      <c r="AG294" t="s">
        <v>233</v>
      </c>
      <c r="AH294" t="s">
        <v>229</v>
      </c>
      <c r="AI294" t="s">
        <v>229</v>
      </c>
      <c r="AJ294" s="2" t="s">
        <v>229</v>
      </c>
      <c r="AK294" s="2" t="s">
        <v>244</v>
      </c>
      <c r="AL29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4" s="2" t="str">
        <f>SUBSTITUTE(SUBSTITUTE(PROPERTIES[[#This Row],[PURCHASECOST_VALUE]], "PURCHASECOST_", ""), "_VALUE", "")</f>
        <v>DIESELENGINE</v>
      </c>
      <c r="AO294" s="44" t="b">
        <v>0</v>
      </c>
      <c r="AP294" s="48" t="b">
        <v>0</v>
      </c>
      <c r="AQ294" s="48" t="b">
        <v>0</v>
      </c>
      <c r="AR294" s="48">
        <v>0</v>
      </c>
      <c r="AS294" s="48" t="b">
        <v>0</v>
      </c>
      <c r="AT294" s="7" t="b">
        <v>0</v>
      </c>
      <c r="AU294" s="40" t="str" cm="1">
        <f t="array" ref="AU294">_xlfn.XLOOKUP(PROPERTIES[[#This Row],[VEHIDCODE]],GRAPHICS_PROPERTIES[VEHIDCODE],GRAPHICS_PROPERTIES[TEMPLATE_ID]&amp;GRAPHICS_PROPERTIES[TEMPLATE_AMENDMENT_CODE])</f>
        <v>TPL_01A</v>
      </c>
    </row>
    <row r="295" spans="1:47" x14ac:dyDescent="0.35">
      <c r="A295" s="2" t="s">
        <v>2929</v>
      </c>
      <c r="B295">
        <v>1966</v>
      </c>
      <c r="C295">
        <v>2030</v>
      </c>
      <c r="D295" cm="1">
        <f t="array" ref="D2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5" s="40" t="str">
        <f>_xlfn.XLOOKUP(PROPERTIES[[#This Row],[VEHIDCODE]],CONTROL[VEHIDCODE],CONTROL[ENGLISH])</f>
        <v>GE U10B</v>
      </c>
      <c r="F295" t="s">
        <v>595</v>
      </c>
      <c r="G295" s="40" t="str">
        <f>_xlfn.XLOOKUP(PROPERTIES[[#This Row],[COUNTRY]],COUNTRIES[COUNTRY_DESCRIPTION],COUNTRIES[COUNTRY_LABEL],"")</f>
        <v>ES</v>
      </c>
      <c r="H295" t="str" cm="1">
        <f t="array" ref="H2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5" t="s">
        <v>17</v>
      </c>
      <c r="J295">
        <v>0</v>
      </c>
      <c r="K295">
        <v>5</v>
      </c>
      <c r="L295">
        <v>0</v>
      </c>
      <c r="M295" t="str" cm="1">
        <f t="array" ref="M2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5">
        <f>_xlfn.XLOOKUP("LOADINGSPEEDDEF_"&amp;PROPERTIES[[#This Row],[LOADINGSPEED]],LOADINGSPEEDDEF[TYPE],LOADINGSPEEDDEF[SPEED])</f>
        <v>20</v>
      </c>
      <c r="O295" t="str" cm="1">
        <f t="array" ref="O2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5">
        <f>IF(ISNUMBER(SEARCH("passenger",PROPERTIES[[#This Row],[CARGODEF]])),1,0)</f>
        <v>0</v>
      </c>
      <c r="Q295" s="23">
        <v>64</v>
      </c>
      <c r="R295">
        <v>710</v>
      </c>
      <c r="S295">
        <v>0</v>
      </c>
      <c r="T295">
        <v>0</v>
      </c>
      <c r="U295">
        <v>0</v>
      </c>
      <c r="V295">
        <v>120</v>
      </c>
      <c r="W295">
        <v>0</v>
      </c>
      <c r="X295">
        <v>0</v>
      </c>
      <c r="Y295">
        <v>0</v>
      </c>
      <c r="Z295" s="20">
        <v>126</v>
      </c>
      <c r="AA295" s="19">
        <f>IFERROR(PROPERTIES[[#This Row],[TE_STARTING_KN]]/(PROPERTIES[[#This Row],[WEIGHT]]*9.81),0)</f>
        <v>0.2006880733944954</v>
      </c>
      <c r="AB295" s="19">
        <v>0</v>
      </c>
      <c r="AC295" s="16">
        <f>ROUND(IF(IFERROR(PROPERTIES[[#This Row],[TE_COEFFICIENT_CALC]],0)=0,PROPERTIES[[#This Row],[TE_COEFFICIENT_MANUAL]],PROPERTIES[[#This Row],[TE_COEFFICIENT_CALC]]),3)</f>
        <v>0.20100000000000001</v>
      </c>
      <c r="AD295" s="8" cm="1">
        <f t="array" ref="AD2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64</v>
      </c>
      <c r="AE295" s="26">
        <v>0</v>
      </c>
      <c r="AF295" s="6">
        <v>0</v>
      </c>
      <c r="AG295" t="s">
        <v>231</v>
      </c>
      <c r="AH295" t="s">
        <v>237</v>
      </c>
      <c r="AI295" t="s">
        <v>1947</v>
      </c>
      <c r="AJ295" s="2" t="s">
        <v>233</v>
      </c>
      <c r="AK295" s="2" t="s">
        <v>244</v>
      </c>
      <c r="AL29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5" s="2" t="str">
        <f>SUBSTITUTE(SUBSTITUTE(PROPERTIES[[#This Row],[PURCHASECOST_VALUE]], "PURCHASECOST_", ""), "_VALUE", "")</f>
        <v>DIESELENGINE</v>
      </c>
      <c r="AO295" s="44" t="b">
        <v>0</v>
      </c>
      <c r="AP295" s="48" t="b">
        <v>0</v>
      </c>
      <c r="AQ295" s="48" t="b">
        <v>0</v>
      </c>
      <c r="AR295" s="48">
        <v>0</v>
      </c>
      <c r="AS295" s="48" t="b">
        <v>0</v>
      </c>
      <c r="AT295" s="7" t="b">
        <v>0</v>
      </c>
      <c r="AU295" s="40" t="str" cm="1">
        <f t="array" ref="AU295">_xlfn.XLOOKUP(PROPERTIES[[#This Row],[VEHIDCODE]],GRAPHICS_PROPERTIES[VEHIDCODE],GRAPHICS_PROPERTIES[TEMPLATE_ID]&amp;GRAPHICS_PROPERTIES[TEMPLATE_AMENDMENT_CODE])</f>
        <v>TPL_01A</v>
      </c>
    </row>
    <row r="296" spans="1:47" x14ac:dyDescent="0.35">
      <c r="A296" s="2" t="s">
        <v>2930</v>
      </c>
      <c r="B296">
        <v>2002</v>
      </c>
      <c r="C296">
        <v>2022</v>
      </c>
      <c r="D296" cm="1">
        <f t="array" ref="D2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6" s="40" t="str">
        <f>_xlfn.XLOOKUP(PROPERTIES[[#This Row],[VEHIDCODE]],CONTROL[VEHIDCODE],CONTROL[ENGLISH])</f>
        <v>EMD/Pacific GT26C-3</v>
      </c>
      <c r="F296" t="s">
        <v>541</v>
      </c>
      <c r="G296" s="40" t="str">
        <f>_xlfn.XLOOKUP(PROPERTIES[[#This Row],[COUNTRY]],COUNTRIES[COUNTRY_DESCRIPTION],COUNTRIES[COUNTRY_LABEL],"")</f>
        <v>AU</v>
      </c>
      <c r="H296" t="str" cm="1">
        <f t="array" ref="H2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6" t="s">
        <v>17</v>
      </c>
      <c r="J296">
        <v>0</v>
      </c>
      <c r="K296">
        <v>7</v>
      </c>
      <c r="L296">
        <v>0</v>
      </c>
      <c r="M296" t="str" cm="1">
        <f t="array" ref="M2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6">
        <f>_xlfn.XLOOKUP("LOADINGSPEEDDEF_"&amp;PROPERTIES[[#This Row],[LOADINGSPEED]],LOADINGSPEEDDEF[TYPE],LOADINGSPEEDDEF[SPEED])</f>
        <v>20</v>
      </c>
      <c r="O296" t="str" cm="1">
        <f t="array" ref="O2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6">
        <f>IF(ISNUMBER(SEARCH("passenger",PROPERTIES[[#This Row],[CARGODEF]])),1,0)</f>
        <v>0</v>
      </c>
      <c r="Q296" s="23">
        <v>124</v>
      </c>
      <c r="R296">
        <v>3300</v>
      </c>
      <c r="S296">
        <v>0</v>
      </c>
      <c r="T296">
        <v>0</v>
      </c>
      <c r="U296">
        <v>0</v>
      </c>
      <c r="V296">
        <v>115</v>
      </c>
      <c r="W296">
        <v>0</v>
      </c>
      <c r="X296">
        <v>0</v>
      </c>
      <c r="Y296">
        <v>0</v>
      </c>
      <c r="Z296" s="20">
        <v>385</v>
      </c>
      <c r="AA296" s="19">
        <f>IFERROR(PROPERTIES[[#This Row],[TE_STARTING_KN]]/(PROPERTIES[[#This Row],[WEIGHT]]*9.81),0)</f>
        <v>0.3164973200486666</v>
      </c>
      <c r="AB296" s="19">
        <v>0</v>
      </c>
      <c r="AC296" s="16">
        <f>ROUND(IF(IFERROR(PROPERTIES[[#This Row],[TE_COEFFICIENT_CALC]],0)=0,PROPERTIES[[#This Row],[TE_COEFFICIENT_MANUAL]],PROPERTIES[[#This Row],[TE_COEFFICIENT_CALC]]),3)</f>
        <v>0.316</v>
      </c>
      <c r="AD296" s="8" cm="1">
        <f t="array" ref="AD2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6" s="26">
        <v>0</v>
      </c>
      <c r="AF296" s="6">
        <v>0</v>
      </c>
      <c r="AG296" t="s">
        <v>232</v>
      </c>
      <c r="AH296" t="s">
        <v>229</v>
      </c>
      <c r="AI296" t="s">
        <v>229</v>
      </c>
      <c r="AJ296" s="2" t="s">
        <v>229</v>
      </c>
      <c r="AK296" s="2" t="s">
        <v>244</v>
      </c>
      <c r="AL29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6" s="2" t="str">
        <f>SUBSTITUTE(SUBSTITUTE(PROPERTIES[[#This Row],[PURCHASECOST_VALUE]], "PURCHASECOST_", ""), "_VALUE", "")</f>
        <v>DIESELENGINE</v>
      </c>
      <c r="AO296" s="44" t="b">
        <v>0</v>
      </c>
      <c r="AP296" s="48" t="b">
        <v>0</v>
      </c>
      <c r="AQ296" s="48" t="b">
        <v>0</v>
      </c>
      <c r="AR296" s="48">
        <v>0</v>
      </c>
      <c r="AS296" s="48" t="b">
        <v>0</v>
      </c>
      <c r="AT296" s="7" t="b">
        <v>0</v>
      </c>
      <c r="AU296" s="40" t="str" cm="1">
        <f t="array" ref="AU296">_xlfn.XLOOKUP(PROPERTIES[[#This Row],[VEHIDCODE]],GRAPHICS_PROPERTIES[VEHIDCODE],GRAPHICS_PROPERTIES[TEMPLATE_ID]&amp;GRAPHICS_PROPERTIES[TEMPLATE_AMENDMENT_CODE])</f>
        <v>TPL_17B</v>
      </c>
    </row>
    <row r="297" spans="1:47" x14ac:dyDescent="0.35">
      <c r="A297" s="2" t="s">
        <v>2931</v>
      </c>
      <c r="B297">
        <v>2006</v>
      </c>
      <c r="D297" cm="1">
        <f t="array" ref="D2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7" s="40" t="str">
        <f>_xlfn.XLOOKUP(PROPERTIES[[#This Row],[VEHIDCODE]],CONTROL[VEHIDCODE],CONTROL[ENGLISH])</f>
        <v>CargoNet 312</v>
      </c>
      <c r="F297" t="s">
        <v>693</v>
      </c>
      <c r="G297" s="40" t="str">
        <f>_xlfn.XLOOKUP(PROPERTIES[[#This Row],[COUNTRY]],COUNTRIES[COUNTRY_DESCRIPTION],COUNTRIES[COUNTRY_LABEL],"")</f>
        <v>NO</v>
      </c>
      <c r="H297" t="str" cm="1">
        <f t="array" ref="H2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7" t="s">
        <v>17</v>
      </c>
      <c r="J297">
        <v>0</v>
      </c>
      <c r="K297">
        <v>8</v>
      </c>
      <c r="L297">
        <v>0</v>
      </c>
      <c r="M297" t="str" cm="1">
        <f t="array" ref="M2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7">
        <f>_xlfn.XLOOKUP("LOADINGSPEEDDEF_"&amp;PROPERTIES[[#This Row],[LOADINGSPEED]],LOADINGSPEEDDEF[TYPE],LOADINGSPEEDDEF[SPEED])</f>
        <v>20</v>
      </c>
      <c r="O297" t="str" cm="1">
        <f t="array" ref="O2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7">
        <f>IF(ISNUMBER(SEARCH("passenger",PROPERTIES[[#This Row],[CARGODEF]])),1,0)</f>
        <v>0</v>
      </c>
      <c r="Q297" s="23">
        <v>123</v>
      </c>
      <c r="R297">
        <v>4262</v>
      </c>
      <c r="S297">
        <v>0</v>
      </c>
      <c r="T297">
        <v>0</v>
      </c>
      <c r="U297">
        <v>0</v>
      </c>
      <c r="V297">
        <v>120</v>
      </c>
      <c r="W297">
        <v>0</v>
      </c>
      <c r="X297">
        <v>0</v>
      </c>
      <c r="Y297">
        <v>0</v>
      </c>
      <c r="Z297" s="20">
        <v>400</v>
      </c>
      <c r="AA297" s="19">
        <f>IFERROR(PROPERTIES[[#This Row],[TE_STARTING_KN]]/(PROPERTIES[[#This Row],[WEIGHT]]*9.81),0)</f>
        <v>0.33150178596587188</v>
      </c>
      <c r="AB297" s="19">
        <v>0</v>
      </c>
      <c r="AC297" s="16">
        <f>ROUND(IF(IFERROR(PROPERTIES[[#This Row],[TE_COEFFICIENT_CALC]],0)=0,PROPERTIES[[#This Row],[TE_COEFFICIENT_MANUAL]],PROPERTIES[[#This Row],[TE_COEFFICIENT_CALC]]),3)</f>
        <v>0.33200000000000002</v>
      </c>
      <c r="AD297" s="8" cm="1">
        <f t="array" ref="AD2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7" s="26">
        <v>0</v>
      </c>
      <c r="AF297" s="6">
        <v>0</v>
      </c>
      <c r="AG297" t="s">
        <v>234</v>
      </c>
      <c r="AH297" t="s">
        <v>229</v>
      </c>
      <c r="AI297" t="s">
        <v>229</v>
      </c>
      <c r="AJ297" s="2" t="s">
        <v>229</v>
      </c>
      <c r="AK297" s="2" t="s">
        <v>244</v>
      </c>
      <c r="AL29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7" s="2" t="str">
        <f>SUBSTITUTE(SUBSTITUTE(PROPERTIES[[#This Row],[PURCHASECOST_VALUE]], "PURCHASECOST_", ""), "_VALUE", "")</f>
        <v>DIESELENGINE</v>
      </c>
      <c r="AO297" s="44" t="b">
        <v>0</v>
      </c>
      <c r="AP297" s="48" t="b">
        <v>0</v>
      </c>
      <c r="AQ297" s="48" t="b">
        <v>0</v>
      </c>
      <c r="AR297" s="48">
        <v>0</v>
      </c>
      <c r="AS297" s="48" t="b">
        <v>0</v>
      </c>
      <c r="AT297" s="7" t="b">
        <v>0</v>
      </c>
      <c r="AU297" s="40" t="str" cm="1">
        <f t="array" ref="AU297">_xlfn.XLOOKUP(PROPERTIES[[#This Row],[VEHIDCODE]],GRAPHICS_PROPERTIES[VEHIDCODE],GRAPHICS_PROPERTIES[TEMPLATE_ID]&amp;GRAPHICS_PROPERTIES[TEMPLATE_AMENDMENT_CODE])</f>
        <v>TPL_01A</v>
      </c>
    </row>
    <row r="298" spans="1:47" x14ac:dyDescent="0.35">
      <c r="A298" s="2" t="s">
        <v>2932</v>
      </c>
      <c r="B298">
        <v>2008</v>
      </c>
      <c r="D298" cm="1">
        <f t="array" ref="D2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8" s="40" t="str">
        <f>_xlfn.XLOOKUP(PROPERTIES[[#This Row],[VEHIDCODE]],CONTROL[VEHIDCODE],CONTROL[ENGLISH])</f>
        <v>GE/Pacific C44ESACi</v>
      </c>
      <c r="F298" t="s">
        <v>541</v>
      </c>
      <c r="G298" s="40" t="str">
        <f>_xlfn.XLOOKUP(PROPERTIES[[#This Row],[COUNTRY]],COUNTRIES[COUNTRY_DESCRIPTION],COUNTRIES[COUNTRY_LABEL],"")</f>
        <v>AU</v>
      </c>
      <c r="H298" t="str" cm="1">
        <f t="array" ref="H2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8" t="s">
        <v>17</v>
      </c>
      <c r="J298">
        <v>0</v>
      </c>
      <c r="K298">
        <v>8</v>
      </c>
      <c r="L298">
        <v>0</v>
      </c>
      <c r="M298" t="str" cm="1">
        <f t="array" ref="M2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8">
        <f>_xlfn.XLOOKUP("LOADINGSPEEDDEF_"&amp;PROPERTIES[[#This Row],[LOADINGSPEED]],LOADINGSPEEDDEF[TYPE],LOADINGSPEEDDEF[SPEED])</f>
        <v>20</v>
      </c>
      <c r="O298" t="str" cm="1">
        <f t="array" ref="O2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8">
        <f>IF(ISNUMBER(SEARCH("passenger",PROPERTIES[[#This Row],[CARGODEF]])),1,0)</f>
        <v>0</v>
      </c>
      <c r="Q298" s="23">
        <v>140</v>
      </c>
      <c r="R298">
        <v>4520</v>
      </c>
      <c r="S298">
        <v>0</v>
      </c>
      <c r="T298">
        <v>0</v>
      </c>
      <c r="U298">
        <v>0</v>
      </c>
      <c r="V298">
        <v>115</v>
      </c>
      <c r="W298">
        <v>0</v>
      </c>
      <c r="X298">
        <v>0</v>
      </c>
      <c r="Y298">
        <v>0</v>
      </c>
      <c r="Z298" s="20">
        <v>535</v>
      </c>
      <c r="AA298" s="19">
        <f>IFERROR(PROPERTIES[[#This Row],[TE_STARTING_KN]]/(PROPERTIES[[#This Row],[WEIGHT]]*9.81),0)</f>
        <v>0.38954419688364639</v>
      </c>
      <c r="AB298" s="19">
        <v>0</v>
      </c>
      <c r="AC298" s="16">
        <f>ROUND(IF(IFERROR(PROPERTIES[[#This Row],[TE_COEFFICIENT_CALC]],0)=0,PROPERTIES[[#This Row],[TE_COEFFICIENT_MANUAL]],PROPERTIES[[#This Row],[TE_COEFFICIENT_CALC]]),3)</f>
        <v>0.39</v>
      </c>
      <c r="AD298" s="8" cm="1">
        <f t="array" ref="AD2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8" s="26">
        <v>0</v>
      </c>
      <c r="AF298" s="6">
        <v>0</v>
      </c>
      <c r="AG298" t="s">
        <v>232</v>
      </c>
      <c r="AH298" t="s">
        <v>229</v>
      </c>
      <c r="AI298" t="s">
        <v>229</v>
      </c>
      <c r="AJ298" s="2" t="s">
        <v>229</v>
      </c>
      <c r="AK298" s="2" t="s">
        <v>244</v>
      </c>
      <c r="AL29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8" s="2" t="str">
        <f>SUBSTITUTE(SUBSTITUTE(PROPERTIES[[#This Row],[PURCHASECOST_VALUE]], "PURCHASECOST_", ""), "_VALUE", "")</f>
        <v>DIESELENGINE</v>
      </c>
      <c r="AO298" s="44" t="b">
        <v>0</v>
      </c>
      <c r="AP298" s="48" t="b">
        <v>0</v>
      </c>
      <c r="AQ298" s="48" t="b">
        <v>0</v>
      </c>
      <c r="AR298" s="48">
        <v>0</v>
      </c>
      <c r="AS298" s="48" t="b">
        <v>0</v>
      </c>
      <c r="AT298" s="7" t="b">
        <v>0</v>
      </c>
      <c r="AU298" s="40" t="str" cm="1">
        <f t="array" ref="AU298">_xlfn.XLOOKUP(PROPERTIES[[#This Row],[VEHIDCODE]],GRAPHICS_PROPERTIES[VEHIDCODE],GRAPHICS_PROPERTIES[TEMPLATE_ID]&amp;GRAPHICS_PROPERTIES[TEMPLATE_AMENDMENT_CODE])</f>
        <v>TPL_01A</v>
      </c>
    </row>
    <row r="299" spans="1:47" x14ac:dyDescent="0.35">
      <c r="A299" s="2" t="s">
        <v>2933</v>
      </c>
      <c r="B299">
        <v>2014</v>
      </c>
      <c r="D299" cm="1">
        <f t="array" ref="D2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9" s="40" t="str">
        <f>_xlfn.XLOOKUP(PROPERTIES[[#This Row],[VEHIDCODE]],CONTROL[VEHIDCODE],CONTROL[ENGLISH])</f>
        <v>Stadler UKLight</v>
      </c>
      <c r="F299" t="s">
        <v>603</v>
      </c>
      <c r="G299" s="40" t="str">
        <f>_xlfn.XLOOKUP(PROPERTIES[[#This Row],[COUNTRY]],COUNTRIES[COUNTRY_DESCRIPTION],COUNTRIES[COUNTRY_LABEL],"")</f>
        <v>GB</v>
      </c>
      <c r="H299" t="str" cm="1">
        <f t="array" ref="H2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9" t="s">
        <v>17</v>
      </c>
      <c r="J299">
        <v>0</v>
      </c>
      <c r="K299">
        <v>8</v>
      </c>
      <c r="L299">
        <v>0</v>
      </c>
      <c r="M299" t="str" cm="1">
        <f t="array" ref="M2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9">
        <f>_xlfn.XLOOKUP("LOADINGSPEEDDEF_"&amp;PROPERTIES[[#This Row],[LOADINGSPEED]],LOADINGSPEEDDEF[TYPE],LOADINGSPEEDDEF[SPEED])</f>
        <v>20</v>
      </c>
      <c r="O299" t="str" cm="1">
        <f t="array" ref="O2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9">
        <f>IF(ISNUMBER(SEARCH("passenger",PROPERTIES[[#This Row],[CARGODEF]])),1,0)</f>
        <v>0</v>
      </c>
      <c r="Q299" s="23">
        <v>85</v>
      </c>
      <c r="R299">
        <v>3800</v>
      </c>
      <c r="S299">
        <v>0</v>
      </c>
      <c r="T299">
        <v>0</v>
      </c>
      <c r="U299">
        <v>0</v>
      </c>
      <c r="V299">
        <v>160</v>
      </c>
      <c r="W299">
        <v>0</v>
      </c>
      <c r="X299">
        <v>0</v>
      </c>
      <c r="Y299">
        <v>0</v>
      </c>
      <c r="Z299" s="20">
        <v>317</v>
      </c>
      <c r="AA299" s="19">
        <f>IFERROR(PROPERTIES[[#This Row],[TE_STARTING_KN]]/(PROPERTIES[[#This Row],[WEIGHT]]*9.81),0)</f>
        <v>0.38016429813515618</v>
      </c>
      <c r="AB299" s="19">
        <v>0</v>
      </c>
      <c r="AC299" s="16">
        <f>ROUND(IF(IFERROR(PROPERTIES[[#This Row],[TE_COEFFICIENT_CALC]],0)=0,PROPERTIES[[#This Row],[TE_COEFFICIENT_MANUAL]],PROPERTIES[[#This Row],[TE_COEFFICIENT_CALC]]),3)</f>
        <v>0.38</v>
      </c>
      <c r="AD299" s="8" cm="1">
        <f t="array" ref="AD2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9" s="26">
        <v>0</v>
      </c>
      <c r="AF299" s="6">
        <v>0</v>
      </c>
      <c r="AG299" t="s">
        <v>234</v>
      </c>
      <c r="AH299" t="s">
        <v>229</v>
      </c>
      <c r="AI299" t="s">
        <v>229</v>
      </c>
      <c r="AJ299" s="2" t="s">
        <v>229</v>
      </c>
      <c r="AK299" s="2" t="s">
        <v>244</v>
      </c>
      <c r="AL29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9" s="2" t="str">
        <f>SUBSTITUTE(SUBSTITUTE(PROPERTIES[[#This Row],[PURCHASECOST_VALUE]], "PURCHASECOST_", ""), "_VALUE", "")</f>
        <v>DIESELENGINE</v>
      </c>
      <c r="AO299" s="44" t="b">
        <v>0</v>
      </c>
      <c r="AP299" s="48" t="b">
        <v>0</v>
      </c>
      <c r="AQ299" s="48" t="b">
        <v>0</v>
      </c>
      <c r="AR299" s="48">
        <v>0</v>
      </c>
      <c r="AS299" s="48" t="b">
        <v>0</v>
      </c>
      <c r="AT299" s="7" t="b">
        <v>0</v>
      </c>
      <c r="AU299" s="40" t="str" cm="1">
        <f t="array" ref="AU299">_xlfn.XLOOKUP(PROPERTIES[[#This Row],[VEHIDCODE]],GRAPHICS_PROPERTIES[VEHIDCODE],GRAPHICS_PROPERTIES[TEMPLATE_ID]&amp;GRAPHICS_PROPERTIES[TEMPLATE_AMENDMENT_CODE])</f>
        <v>TPL_01A</v>
      </c>
    </row>
    <row r="300" spans="1:47" x14ac:dyDescent="0.35">
      <c r="A300" s="2" t="s">
        <v>2934</v>
      </c>
      <c r="B300">
        <v>2015</v>
      </c>
      <c r="D300" cm="1">
        <f t="array" ref="D3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00" s="40" t="str">
        <f>_xlfn.XLOOKUP(PROPERTIES[[#This Row],[VEHIDCODE]],CONTROL[VEHIDCODE],CONTROL[ENGLISH])</f>
        <v>Siemens Charger ALC-42</v>
      </c>
      <c r="F300" t="s">
        <v>757</v>
      </c>
      <c r="G300" s="40" t="str">
        <f>_xlfn.XLOOKUP(PROPERTIES[[#This Row],[COUNTRY]],COUNTRIES[COUNTRY_DESCRIPTION],COUNTRIES[COUNTRY_LABEL],"")</f>
        <v>US</v>
      </c>
      <c r="H300" t="str" cm="1">
        <f t="array" ref="H3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00" t="s">
        <v>17</v>
      </c>
      <c r="J300">
        <v>0</v>
      </c>
      <c r="K300">
        <v>8</v>
      </c>
      <c r="L300">
        <v>0</v>
      </c>
      <c r="M300" t="str" cm="1">
        <f t="array" ref="M3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00">
        <f>_xlfn.XLOOKUP("LOADINGSPEEDDEF_"&amp;PROPERTIES[[#This Row],[LOADINGSPEED]],LOADINGSPEEDDEF[TYPE],LOADINGSPEEDDEF[SPEED])</f>
        <v>20</v>
      </c>
      <c r="O300" t="str" cm="1">
        <f t="array" ref="O3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00">
        <f>IF(ISNUMBER(SEARCH("passenger",PROPERTIES[[#This Row],[CARGODEF]])),1,0)</f>
        <v>0</v>
      </c>
      <c r="Q300" s="23">
        <v>120</v>
      </c>
      <c r="R300">
        <v>4200</v>
      </c>
      <c r="S300">
        <v>0</v>
      </c>
      <c r="T300">
        <v>0</v>
      </c>
      <c r="U300">
        <v>0</v>
      </c>
      <c r="V300">
        <v>201</v>
      </c>
      <c r="W300">
        <v>0</v>
      </c>
      <c r="X300">
        <v>0</v>
      </c>
      <c r="Y300">
        <v>0</v>
      </c>
      <c r="Z300" s="20">
        <v>290</v>
      </c>
      <c r="AA300" s="19">
        <f>IFERROR(PROPERTIES[[#This Row],[TE_STARTING_KN]]/(PROPERTIES[[#This Row],[WEIGHT]]*9.81),0)</f>
        <v>0.24634726469588855</v>
      </c>
      <c r="AB300" s="19">
        <v>0</v>
      </c>
      <c r="AC300" s="16">
        <f>ROUND(IF(IFERROR(PROPERTIES[[#This Row],[TE_COEFFICIENT_CALC]],0)=0,PROPERTIES[[#This Row],[TE_COEFFICIENT_MANUAL]],PROPERTIES[[#This Row],[TE_COEFFICIENT_CALC]]),3)</f>
        <v>0.246</v>
      </c>
      <c r="AD300" s="8" cm="1">
        <f t="array" ref="AD3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300" s="26">
        <v>0</v>
      </c>
      <c r="AF300" s="6">
        <v>0</v>
      </c>
      <c r="AG300" t="s">
        <v>235</v>
      </c>
      <c r="AH300" t="s">
        <v>229</v>
      </c>
      <c r="AI300" t="s">
        <v>229</v>
      </c>
      <c r="AJ300" s="2" t="s">
        <v>229</v>
      </c>
      <c r="AK300" s="2" t="s">
        <v>244</v>
      </c>
      <c r="AL30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30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300" s="2" t="str">
        <f>SUBSTITUTE(SUBSTITUTE(PROPERTIES[[#This Row],[PURCHASECOST_VALUE]], "PURCHASECOST_", ""), "_VALUE", "")</f>
        <v>DIESELENGINE</v>
      </c>
      <c r="AO300" s="44" t="b">
        <v>0</v>
      </c>
      <c r="AP300" s="48" t="b">
        <v>0</v>
      </c>
      <c r="AQ300" s="48" t="b">
        <v>0</v>
      </c>
      <c r="AR300" s="48">
        <v>0</v>
      </c>
      <c r="AS300" s="48" t="b">
        <v>0</v>
      </c>
      <c r="AT300" s="7" t="b">
        <v>0</v>
      </c>
      <c r="AU300" s="40" t="str" cm="1">
        <f t="array" ref="AU300">_xlfn.XLOOKUP(PROPERTIES[[#This Row],[VEHIDCODE]],GRAPHICS_PROPERTIES[VEHIDCODE],GRAPHICS_PROPERTIES[TEMPLATE_ID]&amp;GRAPHICS_PROPERTIES[TEMPLATE_AMENDMENT_CODE])</f>
        <v>TPL_01A</v>
      </c>
    </row>
    <row r="301" spans="1:47" x14ac:dyDescent="0.35">
      <c r="A301" s="2" t="s">
        <v>2935</v>
      </c>
      <c r="B301">
        <v>1911</v>
      </c>
      <c r="C301">
        <v>2013</v>
      </c>
      <c r="D301" cm="1">
        <f t="array" ref="D3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1" s="40" t="str">
        <f>_xlfn.XLOOKUP(PROPERTIES[[#This Row],[VEHIDCODE]],CONTROL[VEHIDCODE],CONTROL[ENGLISH])</f>
        <v>Buenos Aires 'Le Brugeoise'</v>
      </c>
      <c r="F301" t="s">
        <v>538</v>
      </c>
      <c r="G301" s="40" t="str">
        <f>_xlfn.XLOOKUP(PROPERTIES[[#This Row],[COUNTRY]],COUNTRIES[COUNTRY_DESCRIPTION],COUNTRIES[COUNTRY_LABEL],"")</f>
        <v>AR</v>
      </c>
      <c r="H301" t="str" cm="1">
        <f t="array" ref="H3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1" t="s">
        <v>22</v>
      </c>
      <c r="J301">
        <v>84</v>
      </c>
      <c r="K301">
        <v>7</v>
      </c>
      <c r="L301">
        <v>0</v>
      </c>
      <c r="M301" t="str" cm="1">
        <f t="array" ref="M3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1">
        <f>_xlfn.XLOOKUP("LOADINGSPEEDDEF_"&amp;PROPERTIES[[#This Row],[LOADINGSPEED]],LOADINGSPEEDDEF[TYPE],LOADINGSPEEDDEF[SPEED])</f>
        <v>120</v>
      </c>
      <c r="O301" cm="1">
        <f t="array" ref="O3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1">
        <f>IF(ISNUMBER(SEARCH("passenger",PROPERTIES[[#This Row],[CARGODEF]])),1,0)</f>
        <v>1</v>
      </c>
      <c r="Q301" s="23">
        <v>13.5</v>
      </c>
      <c r="R301">
        <v>310</v>
      </c>
      <c r="S301">
        <v>0</v>
      </c>
      <c r="T301">
        <v>0</v>
      </c>
      <c r="U301">
        <v>0</v>
      </c>
      <c r="V301">
        <v>50</v>
      </c>
      <c r="W301">
        <v>0</v>
      </c>
      <c r="X301">
        <v>0</v>
      </c>
      <c r="Y301">
        <v>0</v>
      </c>
      <c r="Z301" s="20">
        <v>0</v>
      </c>
      <c r="AA301" s="19">
        <f>IFERROR(PROPERTIES[[#This Row],[TE_STARTING_KN]]/(PROPERTIES[[#This Row],[WEIGHT]]*9.81),0)</f>
        <v>0</v>
      </c>
      <c r="AB301" s="19">
        <v>0.2</v>
      </c>
      <c r="AC301" s="16">
        <f>ROUND(IF(IFERROR(PROPERTIES[[#This Row],[TE_COEFFICIENT_CALC]],0)=0,PROPERTIES[[#This Row],[TE_COEFFICIENT_MANUAL]],PROPERTIES[[#This Row],[TE_COEFFICIENT_CALC]]),3)</f>
        <v>0.2</v>
      </c>
      <c r="AD301" s="8" cm="1">
        <f t="array" ref="AD3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102</v>
      </c>
      <c r="AE301" s="26">
        <v>142</v>
      </c>
      <c r="AF301" s="6">
        <v>7</v>
      </c>
      <c r="AG301" t="s">
        <v>237</v>
      </c>
      <c r="AH301" t="s">
        <v>229</v>
      </c>
      <c r="AI301" t="s">
        <v>229</v>
      </c>
      <c r="AJ301" s="2" t="s">
        <v>229</v>
      </c>
      <c r="AK301" s="2" t="s">
        <v>244</v>
      </c>
      <c r="AL30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1" s="2" t="str">
        <f>SUBSTITUTE(SUBSTITUTE(PROPERTIES[[#This Row],[PURCHASECOST_VALUE]], "PURCHASECOST_", ""), "_VALUE", "")</f>
        <v>METRO</v>
      </c>
      <c r="AO301" s="44" t="b">
        <v>0</v>
      </c>
      <c r="AP301" s="48" t="b">
        <v>0</v>
      </c>
      <c r="AQ301" s="48" t="b">
        <v>0</v>
      </c>
      <c r="AR301" s="48">
        <v>0</v>
      </c>
      <c r="AS301" s="48" t="b">
        <v>0</v>
      </c>
      <c r="AT301" s="7" t="b">
        <v>0</v>
      </c>
      <c r="AU301" s="40" t="str" cm="1">
        <f t="array" ref="AU301">_xlfn.XLOOKUP(PROPERTIES[[#This Row],[VEHIDCODE]],GRAPHICS_PROPERTIES[VEHIDCODE],GRAPHICS_PROPERTIES[TEMPLATE_ID]&amp;GRAPHICS_PROPERTIES[TEMPLATE_AMENDMENT_CODE])</f>
        <v>TPL_02C</v>
      </c>
    </row>
    <row r="302" spans="1:47" x14ac:dyDescent="0.35">
      <c r="A302" s="2" t="s">
        <v>2936</v>
      </c>
      <c r="B302">
        <v>1930</v>
      </c>
      <c r="C302">
        <v>1968</v>
      </c>
      <c r="D302" cm="1">
        <f t="array" ref="D3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2" s="40" t="str">
        <f>_xlfn.XLOOKUP(PROPERTIES[[#This Row],[VEHIDCODE]],CONTROL[VEHIDCODE],CONTROL[ENGLISH])</f>
        <v>ACF New York R1</v>
      </c>
      <c r="F302" t="s">
        <v>757</v>
      </c>
      <c r="G302" s="40" t="str">
        <f>_xlfn.XLOOKUP(PROPERTIES[[#This Row],[COUNTRY]],COUNTRIES[COUNTRY_DESCRIPTION],COUNTRIES[COUNTRY_LABEL],"")</f>
        <v>US</v>
      </c>
      <c r="H302" t="str" cm="1">
        <f t="array" ref="H3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2" t="s">
        <v>22</v>
      </c>
      <c r="J302">
        <v>105</v>
      </c>
      <c r="K302">
        <v>8</v>
      </c>
      <c r="M302" t="str" cm="1">
        <f t="array" ref="M3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2">
        <f>_xlfn.XLOOKUP("LOADINGSPEEDDEF_"&amp;PROPERTIES[[#This Row],[LOADINGSPEED]],LOADINGSPEEDDEF[TYPE],LOADINGSPEEDDEF[SPEED])</f>
        <v>120</v>
      </c>
      <c r="O302" cm="1">
        <f t="array" ref="O3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2">
        <f>IF(ISNUMBER(SEARCH("passenger",PROPERTIES[[#This Row],[CARGODEF]])),1,0)</f>
        <v>1</v>
      </c>
      <c r="Q302" s="23">
        <v>42</v>
      </c>
      <c r="R302">
        <v>760</v>
      </c>
      <c r="S302">
        <v>0</v>
      </c>
      <c r="T302">
        <v>0</v>
      </c>
      <c r="U302">
        <v>0</v>
      </c>
      <c r="V302">
        <v>90</v>
      </c>
      <c r="W302">
        <v>0</v>
      </c>
      <c r="X302">
        <v>0</v>
      </c>
      <c r="Y302">
        <v>0</v>
      </c>
      <c r="Z302" s="20">
        <v>0</v>
      </c>
      <c r="AA302" s="19">
        <f>IFERROR(PROPERTIES[[#This Row],[TE_STARTING_KN]]/(PROPERTIES[[#This Row],[WEIGHT]]*9.81),0)</f>
        <v>0</v>
      </c>
      <c r="AB302" s="19">
        <v>0.24</v>
      </c>
      <c r="AC302" s="16">
        <f>ROUND(IF(IFERROR(PROPERTIES[[#This Row],[TE_COEFFICIENT_CALC]],0)=0,PROPERTIES[[#This Row],[TE_COEFFICIENT_MANUAL]],PROPERTIES[[#This Row],[TE_COEFFICIENT_CALC]]),3)</f>
        <v>0.24</v>
      </c>
      <c r="AD302" s="8" cm="1">
        <f t="array" ref="AD3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2" s="26">
        <v>156</v>
      </c>
      <c r="AF302" s="6">
        <v>8</v>
      </c>
      <c r="AG302" t="s">
        <v>235</v>
      </c>
      <c r="AH302" t="s">
        <v>229</v>
      </c>
      <c r="AI302" t="s">
        <v>229</v>
      </c>
      <c r="AJ302" s="2" t="s">
        <v>229</v>
      </c>
      <c r="AK302" s="2" t="s">
        <v>244</v>
      </c>
      <c r="AL30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2" s="2" t="str">
        <f>SUBSTITUTE(SUBSTITUTE(PROPERTIES[[#This Row],[PURCHASECOST_VALUE]], "PURCHASECOST_", ""), "_VALUE", "")</f>
        <v>METRO</v>
      </c>
      <c r="AO302" s="44" t="b">
        <v>0</v>
      </c>
      <c r="AP302" s="48" t="b">
        <v>0</v>
      </c>
      <c r="AQ302" s="48" t="b">
        <v>0</v>
      </c>
      <c r="AR302" s="48">
        <v>0</v>
      </c>
      <c r="AS302" s="48" t="b">
        <v>0</v>
      </c>
      <c r="AT302" s="7" t="b">
        <v>0</v>
      </c>
      <c r="AU302" s="40" t="str" cm="1">
        <f t="array" ref="AU302">_xlfn.XLOOKUP(PROPERTIES[[#This Row],[VEHIDCODE]],GRAPHICS_PROPERTIES[VEHIDCODE],GRAPHICS_PROPERTIES[TEMPLATE_ID]&amp;GRAPHICS_PROPERTIES[TEMPLATE_AMENDMENT_CODE])</f>
        <v>TPL_02C</v>
      </c>
    </row>
    <row r="303" spans="1:47" x14ac:dyDescent="0.35">
      <c r="A303" s="2" t="s">
        <v>2937</v>
      </c>
      <c r="B303">
        <v>1942</v>
      </c>
      <c r="C303">
        <v>2001</v>
      </c>
      <c r="D303" cm="1">
        <f t="array" ref="D3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3" s="40" t="str">
        <f>_xlfn.XLOOKUP(PROPERTIES[[#This Row],[VEHIDCODE]],CONTROL[VEHIDCODE],CONTROL[ENGLISH])</f>
        <v>LHB ET 171</v>
      </c>
      <c r="F303" t="s">
        <v>584</v>
      </c>
      <c r="G303" s="40" t="str">
        <f>_xlfn.XLOOKUP(PROPERTIES[[#This Row],[COUNTRY]],COUNTRIES[COUNTRY_DESCRIPTION],COUNTRIES[COUNTRY_LABEL],"")</f>
        <v>DE</v>
      </c>
      <c r="H303" t="str" cm="1">
        <f t="array" ref="H3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3" t="s">
        <v>22</v>
      </c>
      <c r="J303">
        <v>95</v>
      </c>
      <c r="K303">
        <v>8</v>
      </c>
      <c r="M303" t="str" cm="1">
        <f t="array" ref="M3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3">
        <f>_xlfn.XLOOKUP("LOADINGSPEEDDEF_"&amp;PROPERTIES[[#This Row],[LOADINGSPEED]],LOADINGSPEEDDEF[TYPE],LOADINGSPEEDDEF[SPEED])</f>
        <v>120</v>
      </c>
      <c r="O303" cm="1">
        <f t="array" ref="O3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3">
        <f>IF(ISNUMBER(SEARCH("passenger",PROPERTIES[[#This Row],[CARGODEF]])),1,0)</f>
        <v>1</v>
      </c>
      <c r="Q303" s="23">
        <v>48</v>
      </c>
      <c r="R303">
        <v>800</v>
      </c>
      <c r="S303">
        <v>0</v>
      </c>
      <c r="T303">
        <v>0</v>
      </c>
      <c r="U303">
        <v>0</v>
      </c>
      <c r="V303">
        <v>80</v>
      </c>
      <c r="W303">
        <v>0</v>
      </c>
      <c r="X303">
        <v>0</v>
      </c>
      <c r="Y303">
        <v>0</v>
      </c>
      <c r="Z303" s="20">
        <v>0</v>
      </c>
      <c r="AA303" s="19">
        <f>IFERROR(PROPERTIES[[#This Row],[TE_STARTING_KN]]/(PROPERTIES[[#This Row],[WEIGHT]]*9.81),0)</f>
        <v>0</v>
      </c>
      <c r="AB303" s="19">
        <v>0.22</v>
      </c>
      <c r="AC303" s="16">
        <f>ROUND(IF(IFERROR(PROPERTIES[[#This Row],[TE_COEFFICIENT_CALC]],0)=0,PROPERTIES[[#This Row],[TE_COEFFICIENT_MANUAL]],PROPERTIES[[#This Row],[TE_COEFFICIENT_CALC]]),3)</f>
        <v>0.22</v>
      </c>
      <c r="AD303" s="8" cm="1">
        <f t="array" ref="AD3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303" s="26">
        <v>160</v>
      </c>
      <c r="AF303" s="6">
        <v>8</v>
      </c>
      <c r="AG303" t="s">
        <v>230</v>
      </c>
      <c r="AH303" t="s">
        <v>229</v>
      </c>
      <c r="AI303" t="s">
        <v>229</v>
      </c>
      <c r="AJ303" s="2" t="s">
        <v>229</v>
      </c>
      <c r="AK303" s="2" t="s">
        <v>244</v>
      </c>
      <c r="AL30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3" s="2" t="str">
        <f>SUBSTITUTE(SUBSTITUTE(PROPERTIES[[#This Row],[PURCHASECOST_VALUE]], "PURCHASECOST_", ""), "_VALUE", "")</f>
        <v>METRO</v>
      </c>
      <c r="AO303" s="44" t="b">
        <v>0</v>
      </c>
      <c r="AP303" s="48" t="b">
        <v>0</v>
      </c>
      <c r="AQ303" s="48" t="b">
        <v>0</v>
      </c>
      <c r="AR303" s="48">
        <v>0</v>
      </c>
      <c r="AS303" s="48" t="b">
        <v>0</v>
      </c>
      <c r="AT303" s="7" t="b">
        <v>0</v>
      </c>
      <c r="AU303" s="40" t="str" cm="1">
        <f t="array" ref="AU303">_xlfn.XLOOKUP(PROPERTIES[[#This Row],[VEHIDCODE]],GRAPHICS_PROPERTIES[VEHIDCODE],GRAPHICS_PROPERTIES[TEMPLATE_ID]&amp;GRAPHICS_PROPERTIES[TEMPLATE_AMENDMENT_CODE])</f>
        <v>TPL_02C</v>
      </c>
    </row>
    <row r="304" spans="1:47" x14ac:dyDescent="0.35">
      <c r="A304" s="2" t="s">
        <v>2938</v>
      </c>
      <c r="B304">
        <v>1957</v>
      </c>
      <c r="C304">
        <v>1999</v>
      </c>
      <c r="D304" cm="1">
        <f t="array" ref="D3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4" s="40" t="str">
        <f>_xlfn.XLOOKUP(PROPERTIES[[#This Row],[VEHIDCODE]],CONTROL[VEHIDCODE],CONTROL[ENGLISH])</f>
        <v>GEC-Alsthom Paris MP55</v>
      </c>
      <c r="F304" t="s">
        <v>602</v>
      </c>
      <c r="G304" s="40" t="str">
        <f>_xlfn.XLOOKUP(PROPERTIES[[#This Row],[COUNTRY]],COUNTRIES[COUNTRY_DESCRIPTION],COUNTRIES[COUNTRY_LABEL],"")</f>
        <v>FR</v>
      </c>
      <c r="H304" t="str" cm="1">
        <f t="array" ref="H3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4" t="s">
        <v>22</v>
      </c>
      <c r="J304">
        <v>65</v>
      </c>
      <c r="K304">
        <v>7</v>
      </c>
      <c r="L304">
        <v>0</v>
      </c>
      <c r="M304" t="str" cm="1">
        <f t="array" ref="M3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4">
        <f>_xlfn.XLOOKUP("LOADINGSPEEDDEF_"&amp;PROPERTIES[[#This Row],[LOADINGSPEED]],LOADINGSPEEDDEF[TYPE],LOADINGSPEEDDEF[SPEED])</f>
        <v>120</v>
      </c>
      <c r="O304" cm="1">
        <f t="array" ref="O3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4">
        <f>IF(ISNUMBER(SEARCH("passenger",PROPERTIES[[#This Row],[CARGODEF]])),1,0)</f>
        <v>1</v>
      </c>
      <c r="Q304" s="23">
        <v>10</v>
      </c>
      <c r="R304">
        <v>140</v>
      </c>
      <c r="S304">
        <v>0</v>
      </c>
      <c r="T304">
        <v>0</v>
      </c>
      <c r="U304">
        <v>0</v>
      </c>
      <c r="V304">
        <v>45</v>
      </c>
      <c r="W304">
        <v>0</v>
      </c>
      <c r="X304">
        <v>0</v>
      </c>
      <c r="Y304">
        <v>0</v>
      </c>
      <c r="Z304" s="20">
        <v>0</v>
      </c>
      <c r="AA304" s="19">
        <f>IFERROR(PROPERTIES[[#This Row],[TE_STARTING_KN]]/(PROPERTIES[[#This Row],[WEIGHT]]*9.81),0)</f>
        <v>0</v>
      </c>
      <c r="AB304" s="19">
        <v>0.18</v>
      </c>
      <c r="AC304" s="16">
        <f>ROUND(IF(IFERROR(PROPERTIES[[#This Row],[TE_COEFFICIENT_CALC]],0)=0,PROPERTIES[[#This Row],[TE_COEFFICIENT_MANUAL]],PROPERTIES[[#This Row],[TE_COEFFICIENT_CALC]]),3)</f>
        <v>0.18</v>
      </c>
      <c r="AD304" s="8" cm="1">
        <f t="array" ref="AD3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4" s="26">
        <v>140</v>
      </c>
      <c r="AF304" s="6">
        <v>7</v>
      </c>
      <c r="AG304" t="s">
        <v>230</v>
      </c>
      <c r="AH304" t="s">
        <v>229</v>
      </c>
      <c r="AI304" t="s">
        <v>229</v>
      </c>
      <c r="AJ304" s="2" t="s">
        <v>229</v>
      </c>
      <c r="AK304" s="2" t="s">
        <v>244</v>
      </c>
      <c r="AL30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4" s="2" t="str">
        <f>SUBSTITUTE(SUBSTITUTE(PROPERTIES[[#This Row],[PURCHASECOST_VALUE]], "PURCHASECOST_", ""), "_VALUE", "")</f>
        <v>METRO</v>
      </c>
      <c r="AO304" s="44" t="b">
        <v>0</v>
      </c>
      <c r="AP304" s="48" t="b">
        <v>0</v>
      </c>
      <c r="AQ304" s="48" t="b">
        <v>0</v>
      </c>
      <c r="AR304" s="48">
        <v>0</v>
      </c>
      <c r="AS304" s="48" t="b">
        <v>0</v>
      </c>
      <c r="AT304" s="7" t="b">
        <v>0</v>
      </c>
      <c r="AU304" s="40" t="str" cm="1">
        <f t="array" ref="AU304">_xlfn.XLOOKUP(PROPERTIES[[#This Row],[VEHIDCODE]],GRAPHICS_PROPERTIES[VEHIDCODE],GRAPHICS_PROPERTIES[TEMPLATE_ID]&amp;GRAPHICS_PROPERTIES[TEMPLATE_AMENDMENT_CODE])</f>
        <v>TPL_02C</v>
      </c>
    </row>
    <row r="305" spans="1:47" x14ac:dyDescent="0.35">
      <c r="A305" s="2" t="s">
        <v>2939</v>
      </c>
      <c r="B305">
        <v>1959</v>
      </c>
      <c r="C305">
        <v>2000</v>
      </c>
      <c r="D305" cm="1">
        <f t="array" ref="D3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5" s="40" t="str">
        <f>_xlfn.XLOOKUP(PROPERTIES[[#This Row],[VEHIDCODE]],CONTROL[VEHIDCODE],CONTROL[ENGLISH])</f>
        <v>LHB Lisbon ML7</v>
      </c>
      <c r="F305" t="s">
        <v>710</v>
      </c>
      <c r="G305" s="40" t="str">
        <f>_xlfn.XLOOKUP(PROPERTIES[[#This Row],[COUNTRY]],COUNTRIES[COUNTRY_DESCRIPTION],COUNTRIES[COUNTRY_LABEL],"")</f>
        <v>PT</v>
      </c>
      <c r="H305" t="str" cm="1">
        <f t="array" ref="H3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5" t="s">
        <v>22</v>
      </c>
      <c r="J305">
        <v>85</v>
      </c>
      <c r="K305">
        <v>8</v>
      </c>
      <c r="M305" t="str" cm="1">
        <f t="array" ref="M3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5">
        <f>_xlfn.XLOOKUP("LOADINGSPEEDDEF_"&amp;PROPERTIES[[#This Row],[LOADINGSPEED]],LOADINGSPEEDDEF[TYPE],LOADINGSPEEDDEF[SPEED])</f>
        <v>120</v>
      </c>
      <c r="O305" cm="1">
        <f t="array" ref="O3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5">
        <f>IF(ISNUMBER(SEARCH("passenger",PROPERTIES[[#This Row],[CARGODEF]])),1,0)</f>
        <v>1</v>
      </c>
      <c r="Q305" s="23">
        <v>19</v>
      </c>
      <c r="R305">
        <v>430</v>
      </c>
      <c r="S305">
        <v>0</v>
      </c>
      <c r="T305">
        <v>0</v>
      </c>
      <c r="U305">
        <v>0</v>
      </c>
      <c r="V305">
        <v>60</v>
      </c>
      <c r="W305">
        <v>0</v>
      </c>
      <c r="X305">
        <v>0</v>
      </c>
      <c r="Y305">
        <v>0</v>
      </c>
      <c r="Z305" s="20">
        <v>0</v>
      </c>
      <c r="AA305" s="19">
        <f>IFERROR(PROPERTIES[[#This Row],[TE_STARTING_KN]]/(PROPERTIES[[#This Row],[WEIGHT]]*9.81),0)</f>
        <v>0</v>
      </c>
      <c r="AB305" s="19">
        <v>0.24</v>
      </c>
      <c r="AC305" s="16">
        <f>ROUND(IF(IFERROR(PROPERTIES[[#This Row],[TE_COEFFICIENT_CALC]],0)=0,PROPERTIES[[#This Row],[TE_COEFFICIENT_MANUAL]],PROPERTIES[[#This Row],[TE_COEFFICIENT_CALC]]),3)</f>
        <v>0.24</v>
      </c>
      <c r="AD305" s="8" cm="1">
        <f t="array" ref="AD3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5" s="26">
        <v>160</v>
      </c>
      <c r="AF305" s="6">
        <v>8</v>
      </c>
      <c r="AG305" t="s">
        <v>231</v>
      </c>
      <c r="AH305" t="s">
        <v>229</v>
      </c>
      <c r="AI305" t="s">
        <v>229</v>
      </c>
      <c r="AJ305" s="2" t="s">
        <v>229</v>
      </c>
      <c r="AK305" s="2" t="s">
        <v>244</v>
      </c>
      <c r="AL30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5" s="2" t="str">
        <f>SUBSTITUTE(SUBSTITUTE(PROPERTIES[[#This Row],[PURCHASECOST_VALUE]], "PURCHASECOST_", ""), "_VALUE", "")</f>
        <v>METRO</v>
      </c>
      <c r="AO305" s="44" t="b">
        <v>0</v>
      </c>
      <c r="AP305" s="48" t="b">
        <v>0</v>
      </c>
      <c r="AQ305" s="48" t="b">
        <v>0</v>
      </c>
      <c r="AR305" s="48">
        <v>0</v>
      </c>
      <c r="AS305" s="48" t="b">
        <v>0</v>
      </c>
      <c r="AT305" s="7" t="b">
        <v>0</v>
      </c>
      <c r="AU305" s="40" t="str" cm="1">
        <f t="array" ref="AU305">_xlfn.XLOOKUP(PROPERTIES[[#This Row],[VEHIDCODE]],GRAPHICS_PROPERTIES[VEHIDCODE],GRAPHICS_PROPERTIES[TEMPLATE_ID]&amp;GRAPHICS_PROPERTIES[TEMPLATE_AMENDMENT_CODE])</f>
        <v>TPL_02C</v>
      </c>
    </row>
    <row r="306" spans="1:47" x14ac:dyDescent="0.35">
      <c r="A306" s="2" t="s">
        <v>2940</v>
      </c>
      <c r="B306">
        <v>1970</v>
      </c>
      <c r="C306">
        <v>2018</v>
      </c>
      <c r="D306" cm="1">
        <f t="array" ref="D3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6" s="40" t="str">
        <f>_xlfn.XLOOKUP(PROPERTIES[[#This Row],[VEHIDCODE]],CONTROL[VEHIDCODE],CONTROL[ENGLISH])</f>
        <v>MMZ 81-707 Type Ezsh</v>
      </c>
      <c r="F306" t="s">
        <v>716</v>
      </c>
      <c r="G306" s="40" t="str">
        <f>_xlfn.XLOOKUP(PROPERTIES[[#This Row],[COUNTRY]],COUNTRIES[COUNTRY_DESCRIPTION],COUNTRIES[COUNTRY_LABEL],"")</f>
        <v>RU</v>
      </c>
      <c r="H306" t="str" cm="1">
        <f t="array" ref="H3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6" t="s">
        <v>22</v>
      </c>
      <c r="J306">
        <v>132</v>
      </c>
      <c r="K306">
        <v>8</v>
      </c>
      <c r="M306" t="str" cm="1">
        <f t="array" ref="M3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6">
        <f>_xlfn.XLOOKUP("LOADINGSPEEDDEF_"&amp;PROPERTIES[[#This Row],[LOADINGSPEED]],LOADINGSPEEDDEF[TYPE],LOADINGSPEEDDEF[SPEED])</f>
        <v>120</v>
      </c>
      <c r="O306" cm="1">
        <f t="array" ref="O3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6">
        <f>IF(ISNUMBER(SEARCH("passenger",PROPERTIES[[#This Row],[CARGODEF]])),1,0)</f>
        <v>1</v>
      </c>
      <c r="Q306" s="23">
        <v>32.5</v>
      </c>
      <c r="R306">
        <v>770</v>
      </c>
      <c r="S306">
        <v>0</v>
      </c>
      <c r="T306">
        <v>0</v>
      </c>
      <c r="U306">
        <v>0</v>
      </c>
      <c r="V306">
        <v>90</v>
      </c>
      <c r="W306">
        <v>0</v>
      </c>
      <c r="X306">
        <v>0</v>
      </c>
      <c r="Y306">
        <v>0</v>
      </c>
      <c r="Z306" s="20">
        <v>0</v>
      </c>
      <c r="AA306" s="19">
        <f>IFERROR(PROPERTIES[[#This Row],[TE_STARTING_KN]]/(PROPERTIES[[#This Row],[WEIGHT]]*9.81),0)</f>
        <v>0</v>
      </c>
      <c r="AB306" s="19">
        <v>0.25</v>
      </c>
      <c r="AC306" s="16">
        <f>ROUND(IF(IFERROR(PROPERTIES[[#This Row],[TE_COEFFICIENT_CALC]],0)=0,PROPERTIES[[#This Row],[TE_COEFFICIENT_MANUAL]],PROPERTIES[[#This Row],[TE_COEFFICIENT_CALC]]),3)</f>
        <v>0.25</v>
      </c>
      <c r="AD306" s="8" cm="1">
        <f t="array" ref="AD3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6" s="26">
        <v>150</v>
      </c>
      <c r="AF306" s="6">
        <v>8</v>
      </c>
      <c r="AG306" t="s">
        <v>1948</v>
      </c>
      <c r="AH306" t="s">
        <v>229</v>
      </c>
      <c r="AI306" t="s">
        <v>229</v>
      </c>
      <c r="AJ306" s="2" t="s">
        <v>229</v>
      </c>
      <c r="AK306" s="2" t="s">
        <v>244</v>
      </c>
      <c r="AL30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6" s="2" t="str">
        <f>SUBSTITUTE(SUBSTITUTE(PROPERTIES[[#This Row],[PURCHASECOST_VALUE]], "PURCHASECOST_", ""), "_VALUE", "")</f>
        <v>METRO</v>
      </c>
      <c r="AO306" s="44" t="b">
        <v>0</v>
      </c>
      <c r="AP306" s="48" t="b">
        <v>0</v>
      </c>
      <c r="AQ306" s="48" t="b">
        <v>0</v>
      </c>
      <c r="AR306" s="48">
        <v>0</v>
      </c>
      <c r="AS306" s="48" t="b">
        <v>0</v>
      </c>
      <c r="AT306" s="7" t="b">
        <v>0</v>
      </c>
      <c r="AU306" s="40" t="str" cm="1">
        <f t="array" ref="AU306">_xlfn.XLOOKUP(PROPERTIES[[#This Row],[VEHIDCODE]],GRAPHICS_PROPERTIES[VEHIDCODE],GRAPHICS_PROPERTIES[TEMPLATE_ID]&amp;GRAPHICS_PROPERTIES[TEMPLATE_AMENDMENT_CODE])</f>
        <v>TPL_02C</v>
      </c>
    </row>
    <row r="307" spans="1:47" x14ac:dyDescent="0.35">
      <c r="A307" s="2" t="s">
        <v>2941</v>
      </c>
      <c r="B307">
        <v>1964</v>
      </c>
      <c r="C307">
        <v>2009</v>
      </c>
      <c r="D307" cm="1">
        <f t="array" ref="D3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7" s="40" t="str">
        <f>_xlfn.XLOOKUP(PROPERTIES[[#This Row],[VEHIDCODE]],CONTROL[VEHIDCODE],CONTROL[ENGLISH])</f>
        <v>Strommens Oslo T1000</v>
      </c>
      <c r="F307" t="s">
        <v>693</v>
      </c>
      <c r="G307" s="40" t="str">
        <f>_xlfn.XLOOKUP(PROPERTIES[[#This Row],[COUNTRY]],COUNTRIES[COUNTRY_DESCRIPTION],COUNTRIES[COUNTRY_LABEL],"")</f>
        <v>NO</v>
      </c>
      <c r="H307" t="str" cm="1">
        <f t="array" ref="H3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7" t="s">
        <v>22</v>
      </c>
      <c r="J307">
        <v>135</v>
      </c>
      <c r="K307">
        <v>7</v>
      </c>
      <c r="L307">
        <v>0</v>
      </c>
      <c r="M307" t="str" cm="1">
        <f t="array" ref="M3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7">
        <f>_xlfn.XLOOKUP("LOADINGSPEEDDEF_"&amp;PROPERTIES[[#This Row],[LOADINGSPEED]],LOADINGSPEEDDEF[TYPE],LOADINGSPEEDDEF[SPEED])</f>
        <v>120</v>
      </c>
      <c r="O307" cm="1">
        <f t="array" ref="O3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7">
        <f>IF(ISNUMBER(SEARCH("passenger",PROPERTIES[[#This Row],[CARGODEF]])),1,0)</f>
        <v>1</v>
      </c>
      <c r="Q307" s="23">
        <v>29.7</v>
      </c>
      <c r="R307">
        <v>1050</v>
      </c>
      <c r="S307">
        <v>0</v>
      </c>
      <c r="T307">
        <v>0</v>
      </c>
      <c r="U307">
        <v>0</v>
      </c>
      <c r="V307">
        <v>70</v>
      </c>
      <c r="W307">
        <v>0</v>
      </c>
      <c r="X307">
        <v>0</v>
      </c>
      <c r="Y307">
        <v>0</v>
      </c>
      <c r="Z307" s="20">
        <v>0</v>
      </c>
      <c r="AA307" s="19">
        <f>IFERROR(PROPERTIES[[#This Row],[TE_STARTING_KN]]/(PROPERTIES[[#This Row],[WEIGHT]]*9.81),0)</f>
        <v>0</v>
      </c>
      <c r="AB307" s="19">
        <v>0.25</v>
      </c>
      <c r="AC307" s="16">
        <f>ROUND(IF(IFERROR(PROPERTIES[[#This Row],[TE_COEFFICIENT_CALC]],0)=0,PROPERTIES[[#This Row],[TE_COEFFICIENT_MANUAL]],PROPERTIES[[#This Row],[TE_COEFFICIENT_CALC]]),3)</f>
        <v>0.25</v>
      </c>
      <c r="AD307" s="8" cm="1">
        <f t="array" ref="AD3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7" s="26">
        <v>180</v>
      </c>
      <c r="AF307" s="6">
        <v>7</v>
      </c>
      <c r="AG307" t="s">
        <v>234</v>
      </c>
      <c r="AH307" t="s">
        <v>229</v>
      </c>
      <c r="AI307" t="s">
        <v>229</v>
      </c>
      <c r="AJ307" s="2" t="s">
        <v>229</v>
      </c>
      <c r="AK307" s="2" t="s">
        <v>244</v>
      </c>
      <c r="AL30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7" s="2" t="str">
        <f>SUBSTITUTE(SUBSTITUTE(PROPERTIES[[#This Row],[PURCHASECOST_VALUE]], "PURCHASECOST_", ""), "_VALUE", "")</f>
        <v>METRO</v>
      </c>
      <c r="AO307" s="44" t="b">
        <v>0</v>
      </c>
      <c r="AP307" s="48" t="b">
        <v>0</v>
      </c>
      <c r="AQ307" s="48" t="b">
        <v>0</v>
      </c>
      <c r="AR307" s="48">
        <v>0</v>
      </c>
      <c r="AS307" s="48" t="b">
        <v>0</v>
      </c>
      <c r="AT307" s="7" t="b">
        <v>0</v>
      </c>
      <c r="AU307" s="40" t="str" cm="1">
        <f t="array" ref="AU307">_xlfn.XLOOKUP(PROPERTIES[[#This Row],[VEHIDCODE]],GRAPHICS_PROPERTIES[VEHIDCODE],GRAPHICS_PROPERTIES[TEMPLATE_ID]&amp;GRAPHICS_PROPERTIES[TEMPLATE_AMENDMENT_CODE])</f>
        <v>TPL_02C</v>
      </c>
    </row>
    <row r="308" spans="1:47" x14ac:dyDescent="0.35">
      <c r="A308" s="2" t="s">
        <v>2942</v>
      </c>
      <c r="B308">
        <v>1965</v>
      </c>
      <c r="C308">
        <v>1997</v>
      </c>
      <c r="D308" cm="1">
        <f t="array" ref="D3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8" s="40" t="str">
        <f>_xlfn.XLOOKUP(PROPERTIES[[#This Row],[VEHIDCODE]],CONTROL[VEHIDCODE],CONTROL[ENGLISH])</f>
        <v>Hawker Siddeley Toronto H1</v>
      </c>
      <c r="F308" t="s">
        <v>565</v>
      </c>
      <c r="G308" s="40" t="str">
        <f>_xlfn.XLOOKUP(PROPERTIES[[#This Row],[COUNTRY]],COUNTRIES[COUNTRY_DESCRIPTION],COUNTRIES[COUNTRY_LABEL],"")</f>
        <v>CA</v>
      </c>
      <c r="H308" t="str" cm="1">
        <f t="array" ref="H3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8" t="s">
        <v>22</v>
      </c>
      <c r="J308">
        <v>150</v>
      </c>
      <c r="K308">
        <v>8</v>
      </c>
      <c r="M308" t="str" cm="1">
        <f t="array" ref="M3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8">
        <f>_xlfn.XLOOKUP("LOADINGSPEEDDEF_"&amp;PROPERTIES[[#This Row],[LOADINGSPEED]],LOADINGSPEEDDEF[TYPE],LOADINGSPEEDDEF[SPEED])</f>
        <v>120</v>
      </c>
      <c r="O308" cm="1">
        <f t="array" ref="O3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8">
        <f>IF(ISNUMBER(SEARCH("passenger",PROPERTIES[[#This Row],[CARGODEF]])),1,0)</f>
        <v>1</v>
      </c>
      <c r="Q308" s="23">
        <v>27.5</v>
      </c>
      <c r="R308">
        <v>960</v>
      </c>
      <c r="S308">
        <v>0</v>
      </c>
      <c r="T308">
        <v>0</v>
      </c>
      <c r="U308">
        <v>0</v>
      </c>
      <c r="V308">
        <v>80</v>
      </c>
      <c r="W308">
        <v>0</v>
      </c>
      <c r="X308">
        <v>0</v>
      </c>
      <c r="Y308">
        <v>0</v>
      </c>
      <c r="Z308" s="20">
        <v>0</v>
      </c>
      <c r="AA308" s="19">
        <f>IFERROR(PROPERTIES[[#This Row],[TE_STARTING_KN]]/(PROPERTIES[[#This Row],[WEIGHT]]*9.81),0)</f>
        <v>0</v>
      </c>
      <c r="AB308" s="19">
        <v>0.25</v>
      </c>
      <c r="AC308" s="16">
        <f>ROUND(IF(IFERROR(PROPERTIES[[#This Row],[TE_COEFFICIENT_CALC]],0)=0,PROPERTIES[[#This Row],[TE_COEFFICIENT_MANUAL]],PROPERTIES[[#This Row],[TE_COEFFICIENT_CALC]]),3)</f>
        <v>0.25</v>
      </c>
      <c r="AD308" s="8" cm="1">
        <f t="array" ref="AD3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8" s="26">
        <v>210</v>
      </c>
      <c r="AF308" s="6">
        <v>8</v>
      </c>
      <c r="AG308" t="s">
        <v>235</v>
      </c>
      <c r="AH308" t="s">
        <v>229</v>
      </c>
      <c r="AI308" t="s">
        <v>229</v>
      </c>
      <c r="AJ308" s="2" t="s">
        <v>229</v>
      </c>
      <c r="AK308" s="2" t="s">
        <v>244</v>
      </c>
      <c r="AL30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8" s="2" t="str">
        <f>SUBSTITUTE(SUBSTITUTE(PROPERTIES[[#This Row],[PURCHASECOST_VALUE]], "PURCHASECOST_", ""), "_VALUE", "")</f>
        <v>METRO</v>
      </c>
      <c r="AO308" s="44" t="b">
        <v>0</v>
      </c>
      <c r="AP308" s="48" t="b">
        <v>0</v>
      </c>
      <c r="AQ308" s="48" t="b">
        <v>0</v>
      </c>
      <c r="AR308" s="48">
        <v>0</v>
      </c>
      <c r="AS308" s="48" t="b">
        <v>0</v>
      </c>
      <c r="AT308" s="7" t="b">
        <v>0</v>
      </c>
      <c r="AU308" s="40" t="str" cm="1">
        <f t="array" ref="AU308">_xlfn.XLOOKUP(PROPERTIES[[#This Row],[VEHIDCODE]],GRAPHICS_PROPERTIES[VEHIDCODE],GRAPHICS_PROPERTIES[TEMPLATE_ID]&amp;GRAPHICS_PROPERTIES[TEMPLATE_AMENDMENT_CODE])</f>
        <v>TPL_02C</v>
      </c>
    </row>
    <row r="309" spans="1:47" x14ac:dyDescent="0.35">
      <c r="A309" s="2" t="s">
        <v>2943</v>
      </c>
      <c r="B309">
        <v>1971</v>
      </c>
      <c r="C309">
        <v>2026</v>
      </c>
      <c r="D309" cm="1">
        <f t="array" ref="D3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9" s="40" t="str">
        <f>_xlfn.XLOOKUP(PROPERTIES[[#This Row],[VEHIDCODE]],CONTROL[VEHIDCODE],CONTROL[ENGLISH])</f>
        <v>MAN Munchen MVG A2</v>
      </c>
      <c r="F309" t="s">
        <v>584</v>
      </c>
      <c r="G309" s="40" t="str">
        <f>_xlfn.XLOOKUP(PROPERTIES[[#This Row],[COUNTRY]],COUNTRIES[COUNTRY_DESCRIPTION],COUNTRIES[COUNTRY_LABEL],"")</f>
        <v>DE</v>
      </c>
      <c r="H309" t="str" cm="1">
        <f t="array" ref="H3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9" t="s">
        <v>22</v>
      </c>
      <c r="J309">
        <v>145</v>
      </c>
      <c r="K309">
        <v>8</v>
      </c>
      <c r="M309" t="str" cm="1">
        <f t="array" ref="M3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9">
        <f>_xlfn.XLOOKUP("LOADINGSPEEDDEF_"&amp;PROPERTIES[[#This Row],[LOADINGSPEED]],LOADINGSPEEDDEF[TYPE],LOADINGSPEEDDEF[SPEED])</f>
        <v>120</v>
      </c>
      <c r="O309" t="str" cm="1">
        <f t="array" ref="O3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09">
        <f>IF(ISNUMBER(SEARCH("passenger",PROPERTIES[[#This Row],[CARGODEF]])),1,0)</f>
        <v>1</v>
      </c>
      <c r="Q309" s="23">
        <v>25.8</v>
      </c>
      <c r="R309">
        <v>965</v>
      </c>
      <c r="S309">
        <v>0</v>
      </c>
      <c r="T309">
        <v>0</v>
      </c>
      <c r="U309">
        <v>0</v>
      </c>
      <c r="V309">
        <v>80</v>
      </c>
      <c r="W309">
        <v>0</v>
      </c>
      <c r="X309">
        <v>0</v>
      </c>
      <c r="Y309">
        <v>0</v>
      </c>
      <c r="Z309" s="20">
        <v>0</v>
      </c>
      <c r="AA309" s="19">
        <f>IFERROR(PROPERTIES[[#This Row],[TE_STARTING_KN]]/(PROPERTIES[[#This Row],[WEIGHT]]*9.81),0)</f>
        <v>0</v>
      </c>
      <c r="AB309" s="19">
        <v>0.26</v>
      </c>
      <c r="AC309" s="16">
        <f>ROUND(IF(IFERROR(PROPERTIES[[#This Row],[TE_COEFFICIENT_CALC]],0)=0,PROPERTIES[[#This Row],[TE_COEFFICIENT_MANUAL]],PROPERTIES[[#This Row],[TE_COEFFICIENT_CALC]]),3)</f>
        <v>0.26</v>
      </c>
      <c r="AD309" s="8" cm="1">
        <f t="array" ref="AD3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55</v>
      </c>
      <c r="AE309" s="26">
        <v>195</v>
      </c>
      <c r="AF309" s="6">
        <v>8</v>
      </c>
      <c r="AG309" t="s">
        <v>230</v>
      </c>
      <c r="AH309" t="s">
        <v>229</v>
      </c>
      <c r="AI309" t="s">
        <v>229</v>
      </c>
      <c r="AJ309" s="2" t="s">
        <v>229</v>
      </c>
      <c r="AK309" s="2" t="s">
        <v>244</v>
      </c>
      <c r="AL30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9" s="2" t="str">
        <f>SUBSTITUTE(SUBSTITUTE(PROPERTIES[[#This Row],[PURCHASECOST_VALUE]], "PURCHASECOST_", ""), "_VALUE", "")</f>
        <v>METRO</v>
      </c>
      <c r="AO309" s="44" t="b">
        <v>0</v>
      </c>
      <c r="AP309" s="48" t="b">
        <v>0</v>
      </c>
      <c r="AQ309" s="48" t="b">
        <v>0</v>
      </c>
      <c r="AR309" s="48">
        <v>0</v>
      </c>
      <c r="AS309" s="48" t="b">
        <v>0</v>
      </c>
      <c r="AT309" s="7" t="b">
        <v>0</v>
      </c>
      <c r="AU309" s="40" t="str" cm="1">
        <f t="array" ref="AU309">_xlfn.XLOOKUP(PROPERTIES[[#This Row],[VEHIDCODE]],GRAPHICS_PROPERTIES[VEHIDCODE],GRAPHICS_PROPERTIES[TEMPLATE_ID]&amp;GRAPHICS_PROPERTIES[TEMPLATE_AMENDMENT_CODE])</f>
        <v>TPL_02C</v>
      </c>
    </row>
    <row r="310" spans="1:47" x14ac:dyDescent="0.35">
      <c r="A310" s="2" t="s">
        <v>2944</v>
      </c>
      <c r="B310">
        <v>1971</v>
      </c>
      <c r="C310">
        <v>2012</v>
      </c>
      <c r="D310" cm="1">
        <f t="array" ref="D3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0" s="40" t="str">
        <f>_xlfn.XLOOKUP(PROPERTIES[[#This Row],[VEHIDCODE]],CONTROL[VEHIDCODE],CONTROL[ENGLISH])</f>
        <v>St. Louis Car Co New York R44</v>
      </c>
      <c r="F310" t="s">
        <v>757</v>
      </c>
      <c r="G310" s="40" t="str">
        <f>_xlfn.XLOOKUP(PROPERTIES[[#This Row],[COUNTRY]],COUNTRIES[COUNTRY_DESCRIPTION],COUNTRIES[COUNTRY_LABEL],"")</f>
        <v>US</v>
      </c>
      <c r="H310" t="str" cm="1">
        <f t="array" ref="H3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0" t="s">
        <v>22</v>
      </c>
      <c r="J310">
        <v>150</v>
      </c>
      <c r="K310">
        <v>8</v>
      </c>
      <c r="M310" t="str" cm="1">
        <f t="array" ref="M3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0">
        <f>_xlfn.XLOOKUP("LOADINGSPEEDDEF_"&amp;PROPERTIES[[#This Row],[LOADINGSPEED]],LOADINGSPEEDDEF[TYPE],LOADINGSPEEDDEF[SPEED])</f>
        <v>120</v>
      </c>
      <c r="O310" cm="1">
        <f t="array" ref="O3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10">
        <f>IF(ISNUMBER(SEARCH("passenger",PROPERTIES[[#This Row],[CARGODEF]])),1,0)</f>
        <v>1</v>
      </c>
      <c r="Q310" s="23">
        <v>37</v>
      </c>
      <c r="R310">
        <v>920</v>
      </c>
      <c r="S310">
        <v>0</v>
      </c>
      <c r="T310">
        <v>0</v>
      </c>
      <c r="U310">
        <v>0</v>
      </c>
      <c r="V310">
        <v>110</v>
      </c>
      <c r="W310">
        <v>0</v>
      </c>
      <c r="X310">
        <v>0</v>
      </c>
      <c r="Y310">
        <v>0</v>
      </c>
      <c r="Z310" s="20">
        <v>0</v>
      </c>
      <c r="AA310" s="19">
        <f>IFERROR(PROPERTIES[[#This Row],[TE_STARTING_KN]]/(PROPERTIES[[#This Row],[WEIGHT]]*9.81),0)</f>
        <v>0</v>
      </c>
      <c r="AB310" s="19">
        <v>0.26</v>
      </c>
      <c r="AC310" s="16">
        <f>ROUND(IF(IFERROR(PROPERTIES[[#This Row],[TE_COEFFICIENT_CALC]],0)=0,PROPERTIES[[#This Row],[TE_COEFFICIENT_MANUAL]],PROPERTIES[[#This Row],[TE_COEFFICIENT_CALC]]),3)</f>
        <v>0.26</v>
      </c>
      <c r="AD310" s="8" cm="1">
        <f t="array" ref="AD3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0" s="26">
        <v>162</v>
      </c>
      <c r="AF310" s="6">
        <v>8</v>
      </c>
      <c r="AG310" t="s">
        <v>235</v>
      </c>
      <c r="AH310" t="s">
        <v>229</v>
      </c>
      <c r="AI310" t="s">
        <v>229</v>
      </c>
      <c r="AJ310" s="2" t="s">
        <v>229</v>
      </c>
      <c r="AK310" s="2" t="s">
        <v>244</v>
      </c>
      <c r="AL31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0" s="2" t="str">
        <f>SUBSTITUTE(SUBSTITUTE(PROPERTIES[[#This Row],[PURCHASECOST_VALUE]], "PURCHASECOST_", ""), "_VALUE", "")</f>
        <v>METRO</v>
      </c>
      <c r="AO310" s="44" t="b">
        <v>0</v>
      </c>
      <c r="AP310" s="48" t="b">
        <v>0</v>
      </c>
      <c r="AQ310" s="48" t="b">
        <v>0</v>
      </c>
      <c r="AR310" s="48">
        <v>0</v>
      </c>
      <c r="AS310" s="48" t="b">
        <v>0</v>
      </c>
      <c r="AT310" s="7" t="b">
        <v>0</v>
      </c>
      <c r="AU310" s="40" t="str" cm="1">
        <f t="array" ref="AU310">_xlfn.XLOOKUP(PROPERTIES[[#This Row],[VEHIDCODE]],GRAPHICS_PROPERTIES[VEHIDCODE],GRAPHICS_PROPERTIES[TEMPLATE_ID]&amp;GRAPHICS_PROPERTIES[TEMPLATE_AMENDMENT_CODE])</f>
        <v>TPL_02C</v>
      </c>
    </row>
    <row r="311" spans="1:47" x14ac:dyDescent="0.35">
      <c r="A311" s="2" t="s">
        <v>2945</v>
      </c>
      <c r="B311">
        <v>1973</v>
      </c>
      <c r="C311">
        <v>2015</v>
      </c>
      <c r="D311" cm="1">
        <f t="array" ref="D3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1" s="40" t="str">
        <f>_xlfn.XLOOKUP(PROPERTIES[[#This Row],[VEHIDCODE]],CONTROL[VEHIDCODE],CONTROL[ENGLISH])</f>
        <v>LHB Amsterdam M1</v>
      </c>
      <c r="F311" t="s">
        <v>692</v>
      </c>
      <c r="G311" s="40" t="str">
        <f>_xlfn.XLOOKUP(PROPERTIES[[#This Row],[COUNTRY]],COUNTRIES[COUNTRY_DESCRIPTION],COUNTRIES[COUNTRY_LABEL],"")</f>
        <v>NL</v>
      </c>
      <c r="H311" t="str" cm="1">
        <f t="array" ref="H3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1" t="s">
        <v>22</v>
      </c>
      <c r="J311">
        <v>150</v>
      </c>
      <c r="K311">
        <v>8</v>
      </c>
      <c r="M311" t="str" cm="1">
        <f t="array" ref="M3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1">
        <f>_xlfn.XLOOKUP("LOADINGSPEEDDEF_"&amp;PROPERTIES[[#This Row],[LOADINGSPEED]],LOADINGSPEEDDEF[TYPE],LOADINGSPEEDDEF[SPEED])</f>
        <v>120</v>
      </c>
      <c r="O311" cm="1">
        <f t="array" ref="O3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11">
        <f>IF(ISNUMBER(SEARCH("passenger",PROPERTIES[[#This Row],[CARGODEF]])),1,0)</f>
        <v>1</v>
      </c>
      <c r="Q311" s="23">
        <v>27</v>
      </c>
      <c r="R311">
        <v>1050</v>
      </c>
      <c r="S311">
        <v>0</v>
      </c>
      <c r="T311">
        <v>0</v>
      </c>
      <c r="U311">
        <v>0</v>
      </c>
      <c r="V311">
        <v>80</v>
      </c>
      <c r="W311">
        <v>0</v>
      </c>
      <c r="X311">
        <v>0</v>
      </c>
      <c r="Y311">
        <v>0</v>
      </c>
      <c r="Z311" s="20">
        <v>0</v>
      </c>
      <c r="AA311" s="19">
        <f>IFERROR(PROPERTIES[[#This Row],[TE_STARTING_KN]]/(PROPERTIES[[#This Row],[WEIGHT]]*9.81),0)</f>
        <v>0</v>
      </c>
      <c r="AB311" s="19">
        <v>0.26</v>
      </c>
      <c r="AC311" s="16">
        <f>ROUND(IF(IFERROR(PROPERTIES[[#This Row],[TE_COEFFICIENT_CALC]],0)=0,PROPERTIES[[#This Row],[TE_COEFFICIENT_MANUAL]],PROPERTIES[[#This Row],[TE_COEFFICIENT_CALC]]),3)</f>
        <v>0.26</v>
      </c>
      <c r="AD311" s="8" cm="1">
        <f t="array" ref="AD3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1" s="26">
        <v>174</v>
      </c>
      <c r="AF311" s="6">
        <v>7</v>
      </c>
      <c r="AG311" t="s">
        <v>230</v>
      </c>
      <c r="AH311" t="s">
        <v>229</v>
      </c>
      <c r="AI311" t="s">
        <v>229</v>
      </c>
      <c r="AJ311" s="2" t="s">
        <v>229</v>
      </c>
      <c r="AK311" s="2" t="s">
        <v>244</v>
      </c>
      <c r="AL31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1" s="2" t="str">
        <f>SUBSTITUTE(SUBSTITUTE(PROPERTIES[[#This Row],[PURCHASECOST_VALUE]], "PURCHASECOST_", ""), "_VALUE", "")</f>
        <v>METRO</v>
      </c>
      <c r="AO311" s="44" t="b">
        <v>0</v>
      </c>
      <c r="AP311" s="48" t="b">
        <v>0</v>
      </c>
      <c r="AQ311" s="48" t="b">
        <v>0</v>
      </c>
      <c r="AR311" s="48">
        <v>0</v>
      </c>
      <c r="AS311" s="48" t="b">
        <v>0</v>
      </c>
      <c r="AT311" s="7" t="b">
        <v>0</v>
      </c>
      <c r="AU311" s="40" t="str" cm="1">
        <f t="array" ref="AU311">_xlfn.XLOOKUP(PROPERTIES[[#This Row],[VEHIDCODE]],GRAPHICS_PROPERTIES[VEHIDCODE],GRAPHICS_PROPERTIES[TEMPLATE_ID]&amp;GRAPHICS_PROPERTIES[TEMPLATE_AMENDMENT_CODE])</f>
        <v>TPL_02C</v>
      </c>
    </row>
    <row r="312" spans="1:47" x14ac:dyDescent="0.35">
      <c r="A312" s="2" t="s">
        <v>2946</v>
      </c>
      <c r="B312">
        <v>1974</v>
      </c>
      <c r="C312">
        <v>2005</v>
      </c>
      <c r="D312" cm="1">
        <f t="array" ref="D3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2" s="40" t="str">
        <f>_xlfn.XLOOKUP(PROPERTIES[[#This Row],[VEHIDCODE]],CONTROL[VEHIDCODE],CONTROL[ENGLISH])</f>
        <v>ASEA Stockholm C8</v>
      </c>
      <c r="F312" t="s">
        <v>722</v>
      </c>
      <c r="G312" s="40" t="str">
        <f>_xlfn.XLOOKUP(PROPERTIES[[#This Row],[COUNTRY]],COUNTRIES[COUNTRY_DESCRIPTION],COUNTRIES[COUNTRY_LABEL],"")</f>
        <v>SE</v>
      </c>
      <c r="H312" t="str" cm="1">
        <f t="array" ref="H3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2" t="s">
        <v>22</v>
      </c>
      <c r="J312">
        <v>150</v>
      </c>
      <c r="K312">
        <v>8</v>
      </c>
      <c r="M312" t="str" cm="1">
        <f t="array" ref="M3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2">
        <f>_xlfn.XLOOKUP("LOADINGSPEEDDEF_"&amp;PROPERTIES[[#This Row],[LOADINGSPEED]],LOADINGSPEEDDEF[TYPE],LOADINGSPEEDDEF[SPEED])</f>
        <v>120</v>
      </c>
      <c r="O312" cm="1">
        <f t="array" ref="O3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12">
        <f>IF(ISNUMBER(SEARCH("passenger",PROPERTIES[[#This Row],[CARGODEF]])),1,0)</f>
        <v>1</v>
      </c>
      <c r="Q312" s="23">
        <v>23.5</v>
      </c>
      <c r="R312">
        <v>860</v>
      </c>
      <c r="S312">
        <v>0</v>
      </c>
      <c r="T312">
        <v>0</v>
      </c>
      <c r="U312">
        <v>0</v>
      </c>
      <c r="V312">
        <v>90</v>
      </c>
      <c r="W312">
        <v>0</v>
      </c>
      <c r="X312">
        <v>0</v>
      </c>
      <c r="Y312">
        <v>0</v>
      </c>
      <c r="Z312" s="20">
        <v>0</v>
      </c>
      <c r="AA312" s="19">
        <f>IFERROR(PROPERTIES[[#This Row],[TE_STARTING_KN]]/(PROPERTIES[[#This Row],[WEIGHT]]*9.81),0)</f>
        <v>0</v>
      </c>
      <c r="AB312" s="19">
        <v>0.27</v>
      </c>
      <c r="AC312" s="16">
        <f>ROUND(IF(IFERROR(PROPERTIES[[#This Row],[TE_COEFFICIENT_CALC]],0)=0,PROPERTIES[[#This Row],[TE_COEFFICIENT_MANUAL]],PROPERTIES[[#This Row],[TE_COEFFICIENT_CALC]]),3)</f>
        <v>0.27</v>
      </c>
      <c r="AD312" s="8" cm="1">
        <f t="array" ref="AD3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2" s="26">
        <v>158</v>
      </c>
      <c r="AF312" s="6">
        <v>8</v>
      </c>
      <c r="AG312" t="s">
        <v>234</v>
      </c>
      <c r="AH312" t="s">
        <v>229</v>
      </c>
      <c r="AI312" t="s">
        <v>229</v>
      </c>
      <c r="AJ312" s="2" t="s">
        <v>229</v>
      </c>
      <c r="AK312" s="2" t="s">
        <v>244</v>
      </c>
      <c r="AL31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2" s="2" t="str">
        <f>SUBSTITUTE(SUBSTITUTE(PROPERTIES[[#This Row],[PURCHASECOST_VALUE]], "PURCHASECOST_", ""), "_VALUE", "")</f>
        <v>METRO</v>
      </c>
      <c r="AO312" s="44" t="b">
        <v>0</v>
      </c>
      <c r="AP312" s="48" t="b">
        <v>0</v>
      </c>
      <c r="AQ312" s="48" t="b">
        <v>0</v>
      </c>
      <c r="AR312" s="48">
        <v>0</v>
      </c>
      <c r="AS312" s="48" t="b">
        <v>0</v>
      </c>
      <c r="AT312" s="7" t="b">
        <v>0</v>
      </c>
      <c r="AU312" s="40" t="str" cm="1">
        <f t="array" ref="AU312">_xlfn.XLOOKUP(PROPERTIES[[#This Row],[VEHIDCODE]],GRAPHICS_PROPERTIES[VEHIDCODE],GRAPHICS_PROPERTIES[TEMPLATE_ID]&amp;GRAPHICS_PROPERTIES[TEMPLATE_AMENDMENT_CODE])</f>
        <v>TPL_02C</v>
      </c>
    </row>
    <row r="313" spans="1:47" x14ac:dyDescent="0.35">
      <c r="A313" s="2" t="s">
        <v>2947</v>
      </c>
      <c r="B313">
        <v>1953</v>
      </c>
      <c r="C313">
        <v>2015</v>
      </c>
      <c r="D313" cm="1">
        <f t="array" ref="D3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3" s="40" t="str">
        <f>_xlfn.XLOOKUP(PROPERTIES[[#This Row],[VEHIDCODE]],CONTROL[VEHIDCODE],CONTROL[ENGLISH])</f>
        <v>AEG D</v>
      </c>
      <c r="F313" t="s">
        <v>774</v>
      </c>
      <c r="G313" s="40" t="str">
        <f>_xlfn.XLOOKUP(PROPERTIES[[#This Row],[COUNTRY]],COUNTRIES[COUNTRY_DESCRIPTION],COUNTRIES[COUNTRY_LABEL],"")</f>
        <v>GDR</v>
      </c>
      <c r="H313" t="str" cm="1">
        <f t="array" ref="H3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3" t="s">
        <v>22</v>
      </c>
      <c r="J313">
        <v>160</v>
      </c>
      <c r="K313">
        <v>8</v>
      </c>
      <c r="M313" t="str" cm="1">
        <f t="array" ref="M3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3">
        <f>_xlfn.XLOOKUP("LOADINGSPEEDDEF_"&amp;PROPERTIES[[#This Row],[LOADINGSPEED]],LOADINGSPEEDDEF[TYPE],LOADINGSPEEDDEF[SPEED])</f>
        <v>120</v>
      </c>
      <c r="O313" cm="1">
        <f t="array" ref="O3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13">
        <f>IF(ISNUMBER(SEARCH("passenger",PROPERTIES[[#This Row],[CARGODEF]])),1,0)</f>
        <v>1</v>
      </c>
      <c r="Q313" s="23">
        <v>28.5</v>
      </c>
      <c r="R313">
        <v>800</v>
      </c>
      <c r="S313">
        <v>0</v>
      </c>
      <c r="T313">
        <v>0</v>
      </c>
      <c r="U313">
        <v>0</v>
      </c>
      <c r="V313">
        <v>70</v>
      </c>
      <c r="W313">
        <v>0</v>
      </c>
      <c r="X313">
        <v>0</v>
      </c>
      <c r="Y313">
        <v>0</v>
      </c>
      <c r="Z313" s="20">
        <v>0</v>
      </c>
      <c r="AA313" s="19">
        <f>IFERROR(PROPERTIES[[#This Row],[TE_STARTING_KN]]/(PROPERTIES[[#This Row],[WEIGHT]]*9.81),0)</f>
        <v>0</v>
      </c>
      <c r="AB313" s="19">
        <v>0.23</v>
      </c>
      <c r="AC313" s="16">
        <f>ROUND(IF(IFERROR(PROPERTIES[[#This Row],[TE_COEFFICIENT_CALC]],0)=0,PROPERTIES[[#This Row],[TE_COEFFICIENT_MANUAL]],PROPERTIES[[#This Row],[TE_COEFFICIENT_CALC]]),3)</f>
        <v>0.23</v>
      </c>
      <c r="AD313" s="8" cm="1">
        <f t="array" ref="AD3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62</v>
      </c>
      <c r="AE313" s="26">
        <v>180</v>
      </c>
      <c r="AF313" s="6">
        <v>8</v>
      </c>
      <c r="AG313" t="s">
        <v>230</v>
      </c>
      <c r="AH313" t="s">
        <v>238</v>
      </c>
      <c r="AI313" t="s">
        <v>229</v>
      </c>
      <c r="AJ313" s="2" t="s">
        <v>229</v>
      </c>
      <c r="AK313" s="2" t="s">
        <v>244</v>
      </c>
      <c r="AL31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3" s="2" t="str">
        <f>SUBSTITUTE(SUBSTITUTE(PROPERTIES[[#This Row],[PURCHASECOST_VALUE]], "PURCHASECOST_", ""), "_VALUE", "")</f>
        <v>METRO</v>
      </c>
      <c r="AO313" s="44" t="b">
        <v>0</v>
      </c>
      <c r="AP313" s="48" t="b">
        <v>0</v>
      </c>
      <c r="AQ313" s="48" t="b">
        <v>0</v>
      </c>
      <c r="AR313" s="48">
        <v>0</v>
      </c>
      <c r="AS313" s="48" t="b">
        <v>0</v>
      </c>
      <c r="AT313" s="7" t="b">
        <v>0</v>
      </c>
      <c r="AU313" s="40" t="str" cm="1">
        <f t="array" ref="AU313">_xlfn.XLOOKUP(PROPERTIES[[#This Row],[VEHIDCODE]],GRAPHICS_PROPERTIES[VEHIDCODE],GRAPHICS_PROPERTIES[TEMPLATE_ID]&amp;GRAPHICS_PROPERTIES[TEMPLATE_AMENDMENT_CODE])</f>
        <v>TPL_02C</v>
      </c>
    </row>
    <row r="314" spans="1:47" x14ac:dyDescent="0.35">
      <c r="A314" s="2" t="s">
        <v>2948</v>
      </c>
      <c r="B314">
        <v>1977</v>
      </c>
      <c r="C314">
        <v>2004</v>
      </c>
      <c r="D314" cm="1">
        <f t="array" ref="D3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4" s="40" t="str">
        <f>_xlfn.XLOOKUP(PROPERTIES[[#This Row],[VEHIDCODE]],CONTROL[VEHIDCODE],CONTROL[ENGLISH])</f>
        <v>Valmet Helsinki M100</v>
      </c>
      <c r="F314" t="s">
        <v>597</v>
      </c>
      <c r="G314" s="40" t="str">
        <f>_xlfn.XLOOKUP(PROPERTIES[[#This Row],[COUNTRY]],COUNTRIES[COUNTRY_DESCRIPTION],COUNTRIES[COUNTRY_LABEL],"")</f>
        <v>FI</v>
      </c>
      <c r="H314" t="str" cm="1">
        <f t="array" ref="H3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4" t="s">
        <v>22</v>
      </c>
      <c r="J314">
        <v>144</v>
      </c>
      <c r="K314">
        <v>8</v>
      </c>
      <c r="M314" t="str" cm="1">
        <f t="array" ref="M3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4">
        <f>_xlfn.XLOOKUP("LOADINGSPEEDDEF_"&amp;PROPERTIES[[#This Row],[LOADINGSPEED]],LOADINGSPEEDDEF[TYPE],LOADINGSPEEDDEF[SPEED])</f>
        <v>120</v>
      </c>
      <c r="O314" t="str" cm="1">
        <f t="array" ref="O3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4">
        <f>IF(ISNUMBER(SEARCH("passenger",PROPERTIES[[#This Row],[CARGODEF]])),1,0)</f>
        <v>1</v>
      </c>
      <c r="Q314" s="23">
        <v>30.8</v>
      </c>
      <c r="R314">
        <v>1340</v>
      </c>
      <c r="S314">
        <v>0</v>
      </c>
      <c r="T314">
        <v>0</v>
      </c>
      <c r="U314">
        <v>0</v>
      </c>
      <c r="V314">
        <v>90</v>
      </c>
      <c r="W314">
        <v>0</v>
      </c>
      <c r="X314">
        <v>0</v>
      </c>
      <c r="Y314">
        <v>0</v>
      </c>
      <c r="Z314" s="20">
        <v>0</v>
      </c>
      <c r="AA314" s="19">
        <f>IFERROR(PROPERTIES[[#This Row],[TE_STARTING_KN]]/(PROPERTIES[[#This Row],[WEIGHT]]*9.81),0)</f>
        <v>0</v>
      </c>
      <c r="AB314" s="19">
        <v>0.3</v>
      </c>
      <c r="AC314" s="16">
        <f>ROUND(IF(IFERROR(PROPERTIES[[#This Row],[TE_COEFFICIENT_CALC]],0)=0,PROPERTIES[[#This Row],[TE_COEFFICIENT_MANUAL]],PROPERTIES[[#This Row],[TE_COEFFICIENT_CALC]]),3)</f>
        <v>0.3</v>
      </c>
      <c r="AD314" s="8" cm="1">
        <f t="array" ref="AD3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4" s="26">
        <v>165</v>
      </c>
      <c r="AF314" s="6">
        <v>8</v>
      </c>
      <c r="AG314" t="s">
        <v>234</v>
      </c>
      <c r="AH314" t="s">
        <v>229</v>
      </c>
      <c r="AI314" t="s">
        <v>229</v>
      </c>
      <c r="AJ314" s="2" t="s">
        <v>229</v>
      </c>
      <c r="AK314" s="2" t="s">
        <v>244</v>
      </c>
      <c r="AL31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4" s="2" t="str">
        <f>SUBSTITUTE(SUBSTITUTE(PROPERTIES[[#This Row],[PURCHASECOST_VALUE]], "PURCHASECOST_", ""), "_VALUE", "")</f>
        <v>METRO</v>
      </c>
      <c r="AO314" s="44" t="b">
        <v>0</v>
      </c>
      <c r="AP314" s="48" t="b">
        <v>0</v>
      </c>
      <c r="AQ314" s="48" t="b">
        <v>0</v>
      </c>
      <c r="AR314" s="48">
        <v>0</v>
      </c>
      <c r="AS314" s="48" t="b">
        <v>0</v>
      </c>
      <c r="AT314" s="7" t="b">
        <v>0</v>
      </c>
      <c r="AU314" s="40" t="str" cm="1">
        <f t="array" ref="AU314">_xlfn.XLOOKUP(PROPERTIES[[#This Row],[VEHIDCODE]],GRAPHICS_PROPERTIES[VEHIDCODE],GRAPHICS_PROPERTIES[TEMPLATE_ID]&amp;GRAPHICS_PROPERTIES[TEMPLATE_AMENDMENT_CODE])</f>
        <v>TPL_02C</v>
      </c>
    </row>
    <row r="315" spans="1:47" x14ac:dyDescent="0.35">
      <c r="A315" s="2" t="s">
        <v>2949</v>
      </c>
      <c r="B315">
        <v>1979</v>
      </c>
      <c r="C315">
        <v>2016</v>
      </c>
      <c r="D315" cm="1">
        <f t="array" ref="D3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5" s="40" t="str">
        <f>_xlfn.XLOOKUP(PROPERTIES[[#This Row],[VEHIDCODE]],CONTROL[VEHIDCODE],CONTROL[ENGLISH])</f>
        <v>Sorefame Sao Paulo Serie 5500</v>
      </c>
      <c r="F315" t="s">
        <v>558</v>
      </c>
      <c r="G315" s="40" t="str">
        <f>_xlfn.XLOOKUP(PROPERTIES[[#This Row],[COUNTRY]],COUNTRIES[COUNTRY_DESCRIPTION],COUNTRIES[COUNTRY_LABEL],"")</f>
        <v>BR</v>
      </c>
      <c r="H315" t="str" cm="1">
        <f t="array" ref="H3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5" t="s">
        <v>22</v>
      </c>
      <c r="J315">
        <v>160</v>
      </c>
      <c r="K315">
        <v>8</v>
      </c>
      <c r="M315" t="str" cm="1">
        <f t="array" ref="M3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5">
        <f>_xlfn.XLOOKUP("LOADINGSPEEDDEF_"&amp;PROPERTIES[[#This Row],[LOADINGSPEED]],LOADINGSPEEDDEF[TYPE],LOADINGSPEEDDEF[SPEED])</f>
        <v>120</v>
      </c>
      <c r="O315" t="str" cm="1">
        <f t="array" ref="O3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5">
        <f>IF(ISNUMBER(SEARCH("passenger",PROPERTIES[[#This Row],[CARGODEF]])),1,0)</f>
        <v>1</v>
      </c>
      <c r="Q315" s="23">
        <v>52</v>
      </c>
      <c r="R315">
        <v>1530</v>
      </c>
      <c r="S315">
        <v>0</v>
      </c>
      <c r="T315">
        <v>0</v>
      </c>
      <c r="U315">
        <v>0</v>
      </c>
      <c r="V315">
        <v>100</v>
      </c>
      <c r="W315">
        <v>0</v>
      </c>
      <c r="X315">
        <v>0</v>
      </c>
      <c r="Y315">
        <v>0</v>
      </c>
      <c r="Z315" s="20">
        <v>0</v>
      </c>
      <c r="AA315" s="19">
        <f>IFERROR(PROPERTIES[[#This Row],[TE_STARTING_KN]]/(PROPERTIES[[#This Row],[WEIGHT]]*9.81),0)</f>
        <v>0</v>
      </c>
      <c r="AB315" s="19">
        <v>0.25</v>
      </c>
      <c r="AC315" s="16">
        <f>ROUND(IF(IFERROR(PROPERTIES[[#This Row],[TE_COEFFICIENT_CALC]],0)=0,PROPERTIES[[#This Row],[TE_COEFFICIENT_MANUAL]],PROPERTIES[[#This Row],[TE_COEFFICIENT_CALC]]),3)</f>
        <v>0.25</v>
      </c>
      <c r="AD315" s="8" cm="1">
        <f t="array" ref="AD3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5" s="26">
        <v>230</v>
      </c>
      <c r="AF315" s="6">
        <v>8</v>
      </c>
      <c r="AG315" t="s">
        <v>237</v>
      </c>
      <c r="AH315" t="s">
        <v>229</v>
      </c>
      <c r="AI315" t="s">
        <v>229</v>
      </c>
      <c r="AJ315" s="2" t="s">
        <v>229</v>
      </c>
      <c r="AK315" s="2" t="s">
        <v>244</v>
      </c>
      <c r="AL31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5" s="2" t="str">
        <f>SUBSTITUTE(SUBSTITUTE(PROPERTIES[[#This Row],[PURCHASECOST_VALUE]], "PURCHASECOST_", ""), "_VALUE", "")</f>
        <v>METRO</v>
      </c>
      <c r="AO315" s="44" t="b">
        <v>0</v>
      </c>
      <c r="AP315" s="48" t="b">
        <v>0</v>
      </c>
      <c r="AQ315" s="48" t="b">
        <v>0</v>
      </c>
      <c r="AR315" s="48">
        <v>0</v>
      </c>
      <c r="AS315" s="48" t="b">
        <v>0</v>
      </c>
      <c r="AT315" s="7" t="b">
        <v>0</v>
      </c>
      <c r="AU315" s="40" t="str" cm="1">
        <f t="array" ref="AU315">_xlfn.XLOOKUP(PROPERTIES[[#This Row],[VEHIDCODE]],GRAPHICS_PROPERTIES[VEHIDCODE],GRAPHICS_PROPERTIES[TEMPLATE_ID]&amp;GRAPHICS_PROPERTIES[TEMPLATE_AMENDMENT_CODE])</f>
        <v>TPL_02C</v>
      </c>
    </row>
    <row r="316" spans="1:47" x14ac:dyDescent="0.35">
      <c r="A316" s="2" t="s">
        <v>2950</v>
      </c>
      <c r="B316">
        <v>1981</v>
      </c>
      <c r="C316">
        <v>2018</v>
      </c>
      <c r="D316" cm="1">
        <f t="array" ref="D3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6" s="40" t="str">
        <f>_xlfn.XLOOKUP(PROPERTIES[[#This Row],[VEHIDCODE]],CONTROL[VEHIDCODE],CONTROL[ENGLISH])</f>
        <v>MMZ 81-720</v>
      </c>
      <c r="F316" t="s">
        <v>716</v>
      </c>
      <c r="G316" s="40" t="str">
        <f>_xlfn.XLOOKUP(PROPERTIES[[#This Row],[COUNTRY]],COUNTRIES[COUNTRY_DESCRIPTION],COUNTRIES[COUNTRY_LABEL],"")</f>
        <v>RU</v>
      </c>
      <c r="H316" t="str" cm="1">
        <f t="array" ref="H3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6" t="s">
        <v>22</v>
      </c>
      <c r="J316">
        <v>144</v>
      </c>
      <c r="K316">
        <v>8</v>
      </c>
      <c r="M316" t="str" cm="1">
        <f t="array" ref="M3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6">
        <f>_xlfn.XLOOKUP("LOADINGSPEEDDEF_"&amp;PROPERTIES[[#This Row],[LOADINGSPEED]],LOADINGSPEEDDEF[TYPE],LOADINGSPEEDDEF[SPEED])</f>
        <v>120</v>
      </c>
      <c r="O316" t="str" cm="1">
        <f t="array" ref="O3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6">
        <f>IF(ISNUMBER(SEARCH("passenger",PROPERTIES[[#This Row],[CARGODEF]])),1,0)</f>
        <v>1</v>
      </c>
      <c r="Q316" s="23">
        <v>36</v>
      </c>
      <c r="R316">
        <v>1115</v>
      </c>
      <c r="S316">
        <v>0</v>
      </c>
      <c r="T316">
        <v>0</v>
      </c>
      <c r="U316">
        <v>0</v>
      </c>
      <c r="V316">
        <v>100</v>
      </c>
      <c r="W316">
        <v>0</v>
      </c>
      <c r="X316">
        <v>0</v>
      </c>
      <c r="Y316">
        <v>0</v>
      </c>
      <c r="Z316" s="20">
        <v>0</v>
      </c>
      <c r="AA316" s="19">
        <f>IFERROR(PROPERTIES[[#This Row],[TE_STARTING_KN]]/(PROPERTIES[[#This Row],[WEIGHT]]*9.81),0)</f>
        <v>0</v>
      </c>
      <c r="AB316" s="19">
        <v>0.3</v>
      </c>
      <c r="AC316" s="16">
        <f>ROUND(IF(IFERROR(PROPERTIES[[#This Row],[TE_COEFFICIENT_CALC]],0)=0,PROPERTIES[[#This Row],[TE_COEFFICIENT_MANUAL]],PROPERTIES[[#This Row],[TE_COEFFICIENT_CALC]]),3)</f>
        <v>0.3</v>
      </c>
      <c r="AD316" s="8" cm="1">
        <f t="array" ref="AD3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6" s="26">
        <v>144</v>
      </c>
      <c r="AF316" s="6">
        <v>8</v>
      </c>
      <c r="AG316" t="s">
        <v>1948</v>
      </c>
      <c r="AH316" t="s">
        <v>229</v>
      </c>
      <c r="AI316" t="s">
        <v>229</v>
      </c>
      <c r="AJ316" s="2" t="s">
        <v>229</v>
      </c>
      <c r="AK316" s="2" t="s">
        <v>244</v>
      </c>
      <c r="AL31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6" s="2" t="str">
        <f>SUBSTITUTE(SUBSTITUTE(PROPERTIES[[#This Row],[PURCHASECOST_VALUE]], "PURCHASECOST_", ""), "_VALUE", "")</f>
        <v>METRO</v>
      </c>
      <c r="AO316" s="44" t="b">
        <v>0</v>
      </c>
      <c r="AP316" s="48" t="b">
        <v>0</v>
      </c>
      <c r="AQ316" s="48" t="b">
        <v>0</v>
      </c>
      <c r="AR316" s="48">
        <v>0</v>
      </c>
      <c r="AS316" s="48" t="b">
        <v>0</v>
      </c>
      <c r="AT316" s="7" t="b">
        <v>0</v>
      </c>
      <c r="AU316" s="40" t="str" cm="1">
        <f t="array" ref="AU316">_xlfn.XLOOKUP(PROPERTIES[[#This Row],[VEHIDCODE]],GRAPHICS_PROPERTIES[VEHIDCODE],GRAPHICS_PROPERTIES[TEMPLATE_ID]&amp;GRAPHICS_PROPERTIES[TEMPLATE_AMENDMENT_CODE])</f>
        <v>TPL_02C</v>
      </c>
    </row>
    <row r="317" spans="1:47" x14ac:dyDescent="0.35">
      <c r="A317" s="2" t="s">
        <v>2951</v>
      </c>
      <c r="B317">
        <v>1985</v>
      </c>
      <c r="C317">
        <v>2013</v>
      </c>
      <c r="D317" cm="1">
        <f t="array" ref="D3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7" s="40" t="str">
        <f>_xlfn.XLOOKUP(PROPERTIES[[#This Row],[VEHIDCODE]],CONTROL[VEHIDCODE],CONTROL[ENGLISH])</f>
        <v>Kawasaki Tokyo S01</v>
      </c>
      <c r="F317" t="s">
        <v>640</v>
      </c>
      <c r="G317" s="40" t="str">
        <f>_xlfn.XLOOKUP(PROPERTIES[[#This Row],[COUNTRY]],COUNTRIES[COUNTRY_DESCRIPTION],COUNTRIES[COUNTRY_LABEL],"")</f>
        <v>JP</v>
      </c>
      <c r="H317" t="str" cm="1">
        <f t="array" ref="H3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7" t="s">
        <v>22</v>
      </c>
      <c r="J317">
        <v>100</v>
      </c>
      <c r="K317">
        <v>8</v>
      </c>
      <c r="M317" t="str" cm="1">
        <f t="array" ref="M3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7">
        <f>_xlfn.XLOOKUP("LOADINGSPEEDDEF_"&amp;PROPERTIES[[#This Row],[LOADINGSPEED]],LOADINGSPEEDDEF[TYPE],LOADINGSPEEDDEF[SPEED])</f>
        <v>120</v>
      </c>
      <c r="O317" t="str" cm="1">
        <f t="array" ref="O3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7">
        <f>IF(ISNUMBER(SEARCH("passenger",PROPERTIES[[#This Row],[CARGODEF]])),1,0)</f>
        <v>1</v>
      </c>
      <c r="Q317" s="23">
        <v>23.5</v>
      </c>
      <c r="R317">
        <v>640</v>
      </c>
      <c r="S317">
        <v>0</v>
      </c>
      <c r="T317">
        <v>0</v>
      </c>
      <c r="U317">
        <v>0</v>
      </c>
      <c r="V317">
        <v>80</v>
      </c>
      <c r="W317">
        <v>0</v>
      </c>
      <c r="X317">
        <v>0</v>
      </c>
      <c r="Y317">
        <v>0</v>
      </c>
      <c r="Z317" s="20">
        <v>0</v>
      </c>
      <c r="AA317" s="19">
        <f>IFERROR(PROPERTIES[[#This Row],[TE_STARTING_KN]]/(PROPERTIES[[#This Row],[WEIGHT]]*9.81),0)</f>
        <v>0</v>
      </c>
      <c r="AB317" s="19">
        <v>0.28000000000000003</v>
      </c>
      <c r="AC317" s="16">
        <f>ROUND(IF(IFERROR(PROPERTIES[[#This Row],[TE_COEFFICIENT_CALC]],0)=0,PROPERTIES[[#This Row],[TE_COEFFICIENT_MANUAL]],PROPERTIES[[#This Row],[TE_COEFFICIENT_CALC]]),3)</f>
        <v>0.28000000000000003</v>
      </c>
      <c r="AD317" s="8" cm="1">
        <f t="array" ref="AD3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7" s="26">
        <v>120</v>
      </c>
      <c r="AF317" s="6">
        <v>8</v>
      </c>
      <c r="AG317" t="s">
        <v>238</v>
      </c>
      <c r="AH317" t="s">
        <v>229</v>
      </c>
      <c r="AI317" t="s">
        <v>229</v>
      </c>
      <c r="AJ317" s="2" t="s">
        <v>229</v>
      </c>
      <c r="AK317" s="2" t="s">
        <v>244</v>
      </c>
      <c r="AL31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7" s="2" t="str">
        <f>SUBSTITUTE(SUBSTITUTE(PROPERTIES[[#This Row],[PURCHASECOST_VALUE]], "PURCHASECOST_", ""), "_VALUE", "")</f>
        <v>METRO</v>
      </c>
      <c r="AO317" s="44" t="b">
        <v>0</v>
      </c>
      <c r="AP317" s="48" t="b">
        <v>0</v>
      </c>
      <c r="AQ317" s="48" t="b">
        <v>0</v>
      </c>
      <c r="AR317" s="48">
        <v>0</v>
      </c>
      <c r="AS317" s="48" t="b">
        <v>0</v>
      </c>
      <c r="AT317" s="7" t="b">
        <v>0</v>
      </c>
      <c r="AU317" s="40" t="str" cm="1">
        <f t="array" ref="AU317">_xlfn.XLOOKUP(PROPERTIES[[#This Row],[VEHIDCODE]],GRAPHICS_PROPERTIES[VEHIDCODE],GRAPHICS_PROPERTIES[TEMPLATE_ID]&amp;GRAPHICS_PROPERTIES[TEMPLATE_AMENDMENT_CODE])</f>
        <v>TPL_02C</v>
      </c>
    </row>
    <row r="318" spans="1:47" x14ac:dyDescent="0.35">
      <c r="A318" s="2" t="s">
        <v>2952</v>
      </c>
      <c r="B318">
        <v>1987</v>
      </c>
      <c r="D318" cm="1">
        <f t="array" ref="D3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8" s="40" t="str">
        <f>_xlfn.XLOOKUP(PROPERTIES[[#This Row],[VEHIDCODE]],CONTROL[VEHIDCODE],CONTROL[ENGLISH])</f>
        <v>Kinki Sharyo Vcairo</v>
      </c>
      <c r="F318" t="s">
        <v>592</v>
      </c>
      <c r="G318" s="40" t="str">
        <f>_xlfn.XLOOKUP(PROPERTIES[[#This Row],[COUNTRY]],COUNTRIES[COUNTRY_DESCRIPTION],COUNTRIES[COUNTRY_LABEL],"")</f>
        <v>EG</v>
      </c>
      <c r="H318" t="str" cm="1">
        <f t="array" ref="H3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8" t="s">
        <v>22</v>
      </c>
      <c r="J318">
        <v>165</v>
      </c>
      <c r="K318">
        <v>8</v>
      </c>
      <c r="M318" t="str" cm="1">
        <f t="array" ref="M3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8">
        <f>_xlfn.XLOOKUP("LOADINGSPEEDDEF_"&amp;PROPERTIES[[#This Row],[LOADINGSPEED]],LOADINGSPEEDDEF[TYPE],LOADINGSPEEDDEF[SPEED])</f>
        <v>120</v>
      </c>
      <c r="O318" t="str" cm="1">
        <f t="array" ref="O3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8">
        <f>IF(ISNUMBER(SEARCH("passenger",PROPERTIES[[#This Row],[CARGODEF]])),1,0)</f>
        <v>1</v>
      </c>
      <c r="Q318" s="23">
        <v>37.5</v>
      </c>
      <c r="R318">
        <v>1450</v>
      </c>
      <c r="S318">
        <v>0</v>
      </c>
      <c r="T318">
        <v>0</v>
      </c>
      <c r="U318">
        <v>0</v>
      </c>
      <c r="V318">
        <v>100</v>
      </c>
      <c r="W318">
        <v>0</v>
      </c>
      <c r="X318">
        <v>0</v>
      </c>
      <c r="Y318">
        <v>0</v>
      </c>
      <c r="Z318" s="20">
        <v>0</v>
      </c>
      <c r="AA318" s="19">
        <f>IFERROR(PROPERTIES[[#This Row],[TE_STARTING_KN]]/(PROPERTIES[[#This Row],[WEIGHT]]*9.81),0)</f>
        <v>0</v>
      </c>
      <c r="AB318" s="19">
        <v>0.26</v>
      </c>
      <c r="AC318" s="16">
        <f>ROUND(IF(IFERROR(PROPERTIES[[#This Row],[TE_COEFFICIENT_CALC]],0)=0,PROPERTIES[[#This Row],[TE_COEFFICIENT_MANUAL]],PROPERTIES[[#This Row],[TE_COEFFICIENT_CALC]]),3)</f>
        <v>0.26</v>
      </c>
      <c r="AD318" s="8" cm="1">
        <f t="array" ref="AD3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8" s="26">
        <v>250</v>
      </c>
      <c r="AF318" s="6">
        <v>8</v>
      </c>
      <c r="AG318" t="s">
        <v>233</v>
      </c>
      <c r="AH318" t="s">
        <v>229</v>
      </c>
      <c r="AI318" t="s">
        <v>229</v>
      </c>
      <c r="AJ318" s="2" t="s">
        <v>229</v>
      </c>
      <c r="AK318" s="2" t="s">
        <v>244</v>
      </c>
      <c r="AL31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8" s="2" t="str">
        <f>SUBSTITUTE(SUBSTITUTE(PROPERTIES[[#This Row],[PURCHASECOST_VALUE]], "PURCHASECOST_", ""), "_VALUE", "")</f>
        <v>METRO</v>
      </c>
      <c r="AO318" s="44" t="b">
        <v>0</v>
      </c>
      <c r="AP318" s="48" t="b">
        <v>0</v>
      </c>
      <c r="AQ318" s="48" t="b">
        <v>0</v>
      </c>
      <c r="AR318" s="48">
        <v>0</v>
      </c>
      <c r="AS318" s="48" t="b">
        <v>0</v>
      </c>
      <c r="AT318" s="7" t="b">
        <v>0</v>
      </c>
      <c r="AU318" s="40" t="str" cm="1">
        <f t="array" ref="AU318">_xlfn.XLOOKUP(PROPERTIES[[#This Row],[VEHIDCODE]],GRAPHICS_PROPERTIES[VEHIDCODE],GRAPHICS_PROPERTIES[TEMPLATE_ID]&amp;GRAPHICS_PROPERTIES[TEMPLATE_AMENDMENT_CODE])</f>
        <v>TPL_02C</v>
      </c>
    </row>
    <row r="319" spans="1:47" x14ac:dyDescent="0.35">
      <c r="A319" s="2" t="s">
        <v>2953</v>
      </c>
      <c r="B319">
        <v>1986</v>
      </c>
      <c r="C319">
        <v>1995</v>
      </c>
      <c r="D319" cm="1">
        <f t="array" ref="D3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9" s="40" t="str">
        <f>_xlfn.XLOOKUP(PROPERTIES[[#This Row],[VEHIDCODE]],CONTROL[VEHIDCODE],CONTROL[ENGLISH])</f>
        <v>LHB London DLR P86</v>
      </c>
      <c r="F319" t="s">
        <v>603</v>
      </c>
      <c r="G319" s="40" t="str">
        <f>_xlfn.XLOOKUP(PROPERTIES[[#This Row],[COUNTRY]],COUNTRIES[COUNTRY_DESCRIPTION],COUNTRIES[COUNTRY_LABEL],"")</f>
        <v>GB</v>
      </c>
      <c r="H319" t="str" cm="1">
        <f t="array" ref="H3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9" t="s">
        <v>22</v>
      </c>
      <c r="J319">
        <v>142</v>
      </c>
      <c r="K319">
        <v>6</v>
      </c>
      <c r="L319">
        <v>0</v>
      </c>
      <c r="M319" t="str" cm="1">
        <f t="array" ref="M3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9">
        <f>_xlfn.XLOOKUP("LOADINGSPEEDDEF_"&amp;PROPERTIES[[#This Row],[LOADINGSPEED]],LOADINGSPEEDDEF[TYPE],LOADINGSPEEDDEF[SPEED])</f>
        <v>120</v>
      </c>
      <c r="O319" t="str" cm="1">
        <f t="array" ref="O3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9">
        <f>IF(ISNUMBER(SEARCH("passenger",PROPERTIES[[#This Row],[CARGODEF]])),1,0)</f>
        <v>1</v>
      </c>
      <c r="Q319" s="23">
        <v>33</v>
      </c>
      <c r="R319">
        <v>640</v>
      </c>
      <c r="S319">
        <v>0</v>
      </c>
      <c r="T319">
        <v>0</v>
      </c>
      <c r="U319">
        <v>0</v>
      </c>
      <c r="V319">
        <v>80</v>
      </c>
      <c r="W319">
        <v>0</v>
      </c>
      <c r="X319">
        <v>0</v>
      </c>
      <c r="Y319">
        <v>0</v>
      </c>
      <c r="Z319" s="20">
        <v>0</v>
      </c>
      <c r="AA319" s="19">
        <f>IFERROR(PROPERTIES[[#This Row],[TE_STARTING_KN]]/(PROPERTIES[[#This Row],[WEIGHT]]*9.81),0)</f>
        <v>0</v>
      </c>
      <c r="AB319" s="19">
        <v>0.25</v>
      </c>
      <c r="AC319" s="16">
        <f>ROUND(IF(IFERROR(PROPERTIES[[#This Row],[TE_COEFFICIENT_CALC]],0)=0,PROPERTIES[[#This Row],[TE_COEFFICIENT_MANUAL]],PROPERTIES[[#This Row],[TE_COEFFICIENT_CALC]]),3)</f>
        <v>0.25</v>
      </c>
      <c r="AD319" s="8" cm="1">
        <f t="array" ref="AD3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9" s="26">
        <v>200</v>
      </c>
      <c r="AF319" s="6">
        <v>6</v>
      </c>
      <c r="AG319" t="s">
        <v>234</v>
      </c>
      <c r="AH319" t="s">
        <v>229</v>
      </c>
      <c r="AI319" t="s">
        <v>229</v>
      </c>
      <c r="AJ319" s="2" t="s">
        <v>229</v>
      </c>
      <c r="AK319" s="2" t="s">
        <v>244</v>
      </c>
      <c r="AL31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9" s="2" t="str">
        <f>SUBSTITUTE(SUBSTITUTE(PROPERTIES[[#This Row],[PURCHASECOST_VALUE]], "PURCHASECOST_", ""), "_VALUE", "")</f>
        <v>METRO</v>
      </c>
      <c r="AO319" s="44" t="b">
        <v>0</v>
      </c>
      <c r="AP319" s="48" t="b">
        <v>0</v>
      </c>
      <c r="AQ319" s="48" t="b">
        <v>0</v>
      </c>
      <c r="AR319" s="48">
        <v>0</v>
      </c>
      <c r="AS319" s="48" t="b">
        <v>0</v>
      </c>
      <c r="AT319" s="7" t="b">
        <v>0</v>
      </c>
      <c r="AU319" s="40" t="str" cm="1">
        <f t="array" ref="AU319">_xlfn.XLOOKUP(PROPERTIES[[#This Row],[VEHIDCODE]],GRAPHICS_PROPERTIES[VEHIDCODE],GRAPHICS_PROPERTIES[TEMPLATE_ID]&amp;GRAPHICS_PROPERTIES[TEMPLATE_AMENDMENT_CODE])</f>
        <v>TPL_02C</v>
      </c>
    </row>
    <row r="320" spans="1:47" x14ac:dyDescent="0.35">
      <c r="A320" s="2" t="s">
        <v>2954</v>
      </c>
      <c r="B320">
        <v>1993</v>
      </c>
      <c r="C320">
        <v>2030</v>
      </c>
      <c r="D320" cm="1">
        <f t="array" ref="D3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0" s="40" t="str">
        <f>_xlfn.XLOOKUP(PROPERTIES[[#This Row],[VEHIDCODE]],CONTROL[VEHIDCODE],CONTROL[ENGLISH])</f>
        <v>MMZ 81-717.5M</v>
      </c>
      <c r="F320" t="s">
        <v>716</v>
      </c>
      <c r="G320" s="40" t="str">
        <f>_xlfn.XLOOKUP(PROPERTIES[[#This Row],[COUNTRY]],COUNTRIES[COUNTRY_DESCRIPTION],COUNTRIES[COUNTRY_LABEL],"")</f>
        <v>RU</v>
      </c>
      <c r="H320" t="str" cm="1">
        <f t="array" ref="H3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0" t="s">
        <v>22</v>
      </c>
      <c r="J320">
        <v>144</v>
      </c>
      <c r="K320">
        <v>8</v>
      </c>
      <c r="M320" t="str" cm="1">
        <f t="array" ref="M3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0">
        <f>_xlfn.XLOOKUP("LOADINGSPEEDDEF_"&amp;PROPERTIES[[#This Row],[LOADINGSPEED]],LOADINGSPEEDDEF[TYPE],LOADINGSPEEDDEF[SPEED])</f>
        <v>120</v>
      </c>
      <c r="O320" t="str" cm="1">
        <f t="array" ref="O3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0">
        <f>IF(ISNUMBER(SEARCH("passenger",PROPERTIES[[#This Row],[CARGODEF]])),1,0)</f>
        <v>1</v>
      </c>
      <c r="Q320" s="23">
        <v>34</v>
      </c>
      <c r="R320">
        <v>1180</v>
      </c>
      <c r="S320">
        <v>0</v>
      </c>
      <c r="T320">
        <v>0</v>
      </c>
      <c r="U320">
        <v>0</v>
      </c>
      <c r="V320">
        <v>90</v>
      </c>
      <c r="W320">
        <v>0</v>
      </c>
      <c r="X320">
        <v>0</v>
      </c>
      <c r="Y320">
        <v>0</v>
      </c>
      <c r="Z320" s="20">
        <v>0</v>
      </c>
      <c r="AA320" s="19">
        <f>IFERROR(PROPERTIES[[#This Row],[TE_STARTING_KN]]/(PROPERTIES[[#This Row],[WEIGHT]]*9.81),0)</f>
        <v>0</v>
      </c>
      <c r="AB320" s="19">
        <v>0.27</v>
      </c>
      <c r="AC320" s="16">
        <f>ROUND(IF(IFERROR(PROPERTIES[[#This Row],[TE_COEFFICIENT_CALC]],0)=0,PROPERTIES[[#This Row],[TE_COEFFICIENT_MANUAL]],PROPERTIES[[#This Row],[TE_COEFFICIENT_CALC]]),3)</f>
        <v>0.27</v>
      </c>
      <c r="AD320" s="8" cm="1">
        <f t="array" ref="AD3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0" s="26">
        <v>147</v>
      </c>
      <c r="AF320" s="6">
        <v>8</v>
      </c>
      <c r="AG320" t="s">
        <v>1948</v>
      </c>
      <c r="AH320" t="s">
        <v>229</v>
      </c>
      <c r="AI320" t="s">
        <v>229</v>
      </c>
      <c r="AJ320" s="2" t="s">
        <v>229</v>
      </c>
      <c r="AK320" s="2" t="s">
        <v>244</v>
      </c>
      <c r="AL32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0" s="2" t="str">
        <f>SUBSTITUTE(SUBSTITUTE(PROPERTIES[[#This Row],[PURCHASECOST_VALUE]], "PURCHASECOST_", ""), "_VALUE", "")</f>
        <v>METRO</v>
      </c>
      <c r="AO320" s="44" t="b">
        <v>0</v>
      </c>
      <c r="AP320" s="48" t="b">
        <v>0</v>
      </c>
      <c r="AQ320" s="48" t="b">
        <v>0</v>
      </c>
      <c r="AR320" s="48">
        <v>0</v>
      </c>
      <c r="AS320" s="48" t="b">
        <v>0</v>
      </c>
      <c r="AT320" s="7" t="b">
        <v>0</v>
      </c>
      <c r="AU320" s="40" t="str" cm="1">
        <f t="array" ref="AU320">_xlfn.XLOOKUP(PROPERTIES[[#This Row],[VEHIDCODE]],GRAPHICS_PROPERTIES[VEHIDCODE],GRAPHICS_PROPERTIES[TEMPLATE_ID]&amp;GRAPHICS_PROPERTIES[TEMPLATE_AMENDMENT_CODE])</f>
        <v>TPL_02C</v>
      </c>
    </row>
    <row r="321" spans="1:47" x14ac:dyDescent="0.35">
      <c r="A321" s="2" t="s">
        <v>2955</v>
      </c>
      <c r="B321">
        <v>1993</v>
      </c>
      <c r="C321">
        <v>2004</v>
      </c>
      <c r="D321" cm="1">
        <f t="array" ref="D3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1" s="40" t="str">
        <f>_xlfn.XLOOKUP(PROPERTIES[[#This Row],[VEHIDCODE]],CONTROL[VEHIDCODE],CONTROL[ENGLISH])</f>
        <v>Bombardier Boston 01800</v>
      </c>
      <c r="F321" t="s">
        <v>757</v>
      </c>
      <c r="G321" s="40" t="str">
        <f>_xlfn.XLOOKUP(PROPERTIES[[#This Row],[COUNTRY]],COUNTRIES[COUNTRY_DESCRIPTION],COUNTRIES[COUNTRY_LABEL],"")</f>
        <v>US</v>
      </c>
      <c r="H321" t="str" cm="1">
        <f t="array" ref="H3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1" t="s">
        <v>22</v>
      </c>
      <c r="J321">
        <v>155</v>
      </c>
      <c r="K321">
        <v>8</v>
      </c>
      <c r="M321" t="str" cm="1">
        <f t="array" ref="M3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1">
        <f>_xlfn.XLOOKUP("LOADINGSPEEDDEF_"&amp;PROPERTIES[[#This Row],[LOADINGSPEED]],LOADINGSPEEDDEF[TYPE],LOADINGSPEEDDEF[SPEED])</f>
        <v>120</v>
      </c>
      <c r="O321" t="str" cm="1">
        <f t="array" ref="O3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1">
        <f>IF(ISNUMBER(SEARCH("passenger",PROPERTIES[[#This Row],[CARGODEF]])),1,0)</f>
        <v>1</v>
      </c>
      <c r="Q321" s="23">
        <v>36.5</v>
      </c>
      <c r="R321">
        <v>910</v>
      </c>
      <c r="S321">
        <v>0</v>
      </c>
      <c r="T321">
        <v>0</v>
      </c>
      <c r="U321">
        <v>0</v>
      </c>
      <c r="V321">
        <v>80</v>
      </c>
      <c r="W321">
        <v>0</v>
      </c>
      <c r="X321">
        <v>0</v>
      </c>
      <c r="Y321">
        <v>0</v>
      </c>
      <c r="Z321" s="20">
        <v>0</v>
      </c>
      <c r="AA321" s="19">
        <f>IFERROR(PROPERTIES[[#This Row],[TE_STARTING_KN]]/(PROPERTIES[[#This Row],[WEIGHT]]*9.81),0)</f>
        <v>0</v>
      </c>
      <c r="AB321" s="19">
        <v>0.26</v>
      </c>
      <c r="AC321" s="16">
        <f>ROUND(IF(IFERROR(PROPERTIES[[#This Row],[TE_COEFFICIENT_CALC]],0)=0,PROPERTIES[[#This Row],[TE_COEFFICIENT_MANUAL]],PROPERTIES[[#This Row],[TE_COEFFICIENT_CALC]]),3)</f>
        <v>0.26</v>
      </c>
      <c r="AD321" s="8" cm="1">
        <f t="array" ref="AD3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1" s="26">
        <v>150</v>
      </c>
      <c r="AF321" s="6">
        <v>8</v>
      </c>
      <c r="AG321" t="s">
        <v>235</v>
      </c>
      <c r="AH321" t="s">
        <v>229</v>
      </c>
      <c r="AI321" t="s">
        <v>229</v>
      </c>
      <c r="AJ321" s="2" t="s">
        <v>229</v>
      </c>
      <c r="AK321" s="2" t="s">
        <v>244</v>
      </c>
      <c r="AL32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1" s="2" t="str">
        <f>SUBSTITUTE(SUBSTITUTE(PROPERTIES[[#This Row],[PURCHASECOST_VALUE]], "PURCHASECOST_", ""), "_VALUE", "")</f>
        <v>METRO</v>
      </c>
      <c r="AO321" s="44" t="b">
        <v>0</v>
      </c>
      <c r="AP321" s="48" t="b">
        <v>0</v>
      </c>
      <c r="AQ321" s="48" t="b">
        <v>0</v>
      </c>
      <c r="AR321" s="48">
        <v>0</v>
      </c>
      <c r="AS321" s="48" t="b">
        <v>0</v>
      </c>
      <c r="AT321" s="7" t="b">
        <v>0</v>
      </c>
      <c r="AU321" s="40" t="str" cm="1">
        <f t="array" ref="AU321">_xlfn.XLOOKUP(PROPERTIES[[#This Row],[VEHIDCODE]],GRAPHICS_PROPERTIES[VEHIDCODE],GRAPHICS_PROPERTIES[TEMPLATE_ID]&amp;GRAPHICS_PROPERTIES[TEMPLATE_AMENDMENT_CODE])</f>
        <v>TPL_02C</v>
      </c>
    </row>
    <row r="322" spans="1:47" x14ac:dyDescent="0.35">
      <c r="A322" s="2" t="s">
        <v>2956</v>
      </c>
      <c r="B322">
        <v>1993</v>
      </c>
      <c r="C322">
        <v>2020</v>
      </c>
      <c r="D322" cm="1">
        <f t="array" ref="D3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2" s="40" t="str">
        <f>_xlfn.XLOOKUP(PROPERTIES[[#This Row],[VEHIDCODE]],CONTROL[VEHIDCODE],CONTROL[ENGLISH])</f>
        <v>Breda LA A650</v>
      </c>
      <c r="F322" t="s">
        <v>757</v>
      </c>
      <c r="G322" s="40" t="str">
        <f>_xlfn.XLOOKUP(PROPERTIES[[#This Row],[COUNTRY]],COUNTRIES[COUNTRY_DESCRIPTION],COUNTRIES[COUNTRY_LABEL],"")</f>
        <v>US</v>
      </c>
      <c r="H322" t="str" cm="1">
        <f t="array" ref="H3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2" t="s">
        <v>22</v>
      </c>
      <c r="J322">
        <v>150</v>
      </c>
      <c r="K322">
        <v>8</v>
      </c>
      <c r="M322" t="str" cm="1">
        <f t="array" ref="M3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2">
        <f>_xlfn.XLOOKUP("LOADINGSPEEDDEF_"&amp;PROPERTIES[[#This Row],[LOADINGSPEED]],LOADINGSPEEDDEF[TYPE],LOADINGSPEEDDEF[SPEED])</f>
        <v>120</v>
      </c>
      <c r="O322" t="str" cm="1">
        <f t="array" ref="O3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2">
        <f>IF(ISNUMBER(SEARCH("passenger",PROPERTIES[[#This Row],[CARGODEF]])),1,0)</f>
        <v>1</v>
      </c>
      <c r="Q322" s="23">
        <v>36.5</v>
      </c>
      <c r="R322">
        <v>1250</v>
      </c>
      <c r="S322">
        <v>0</v>
      </c>
      <c r="T322">
        <v>0</v>
      </c>
      <c r="U322">
        <v>0</v>
      </c>
      <c r="V322">
        <v>70</v>
      </c>
      <c r="W322">
        <v>0</v>
      </c>
      <c r="X322">
        <v>0</v>
      </c>
      <c r="Y322">
        <v>0</v>
      </c>
      <c r="Z322" s="20">
        <v>0</v>
      </c>
      <c r="AA322" s="19">
        <f>IFERROR(PROPERTIES[[#This Row],[TE_STARTING_KN]]/(PROPERTIES[[#This Row],[WEIGHT]]*9.81),0)</f>
        <v>0</v>
      </c>
      <c r="AB322" s="19">
        <v>0.28000000000000003</v>
      </c>
      <c r="AC322" s="16">
        <f>ROUND(IF(IFERROR(PROPERTIES[[#This Row],[TE_COEFFICIENT_CALC]],0)=0,PROPERTIES[[#This Row],[TE_COEFFICIENT_MANUAL]],PROPERTIES[[#This Row],[TE_COEFFICIENT_CALC]]),3)</f>
        <v>0.28000000000000003</v>
      </c>
      <c r="AD322" s="8" cm="1">
        <f t="array" ref="AD3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2" s="26">
        <v>170</v>
      </c>
      <c r="AF322" s="6">
        <v>8</v>
      </c>
      <c r="AG322" t="s">
        <v>235</v>
      </c>
      <c r="AH322" t="s">
        <v>229</v>
      </c>
      <c r="AI322" t="s">
        <v>229</v>
      </c>
      <c r="AJ322" s="2" t="s">
        <v>229</v>
      </c>
      <c r="AK322" s="2" t="s">
        <v>244</v>
      </c>
      <c r="AL32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2" s="2" t="str">
        <f>SUBSTITUTE(SUBSTITUTE(PROPERTIES[[#This Row],[PURCHASECOST_VALUE]], "PURCHASECOST_", ""), "_VALUE", "")</f>
        <v>METRO</v>
      </c>
      <c r="AO322" s="44" t="b">
        <v>0</v>
      </c>
      <c r="AP322" s="48" t="b">
        <v>0</v>
      </c>
      <c r="AQ322" s="48" t="b">
        <v>0</v>
      </c>
      <c r="AR322" s="48">
        <v>0</v>
      </c>
      <c r="AS322" s="48" t="b">
        <v>0</v>
      </c>
      <c r="AT322" s="7" t="b">
        <v>0</v>
      </c>
      <c r="AU322" s="40" t="str" cm="1">
        <f t="array" ref="AU322">_xlfn.XLOOKUP(PROPERTIES[[#This Row],[VEHIDCODE]],GRAPHICS_PROPERTIES[VEHIDCODE],GRAPHICS_PROPERTIES[TEMPLATE_ID]&amp;GRAPHICS_PROPERTIES[TEMPLATE_AMENDMENT_CODE])</f>
        <v>TPL_02C</v>
      </c>
    </row>
    <row r="323" spans="1:47" x14ac:dyDescent="0.35">
      <c r="A323" s="2" t="s">
        <v>2957</v>
      </c>
      <c r="B323">
        <v>1992</v>
      </c>
      <c r="D323" cm="1">
        <f t="array" ref="D3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3" s="40" t="str">
        <f>_xlfn.XLOOKUP(PROPERTIES[[#This Row],[VEHIDCODE]],CONTROL[VEHIDCODE],CONTROL[ENGLISH])</f>
        <v>Kawasaki Taipei C301</v>
      </c>
      <c r="F323" t="s">
        <v>752</v>
      </c>
      <c r="G323" s="40" t="str">
        <f>_xlfn.XLOOKUP(PROPERTIES[[#This Row],[COUNTRY]],COUNTRIES[COUNTRY_DESCRIPTION],COUNTRIES[COUNTRY_LABEL],"")</f>
        <v>TW</v>
      </c>
      <c r="H323" t="str" cm="1">
        <f t="array" ref="H3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3" t="s">
        <v>22</v>
      </c>
      <c r="J323">
        <v>155</v>
      </c>
      <c r="K323">
        <v>8</v>
      </c>
      <c r="M323" t="str" cm="1">
        <f t="array" ref="M3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3">
        <f>_xlfn.XLOOKUP("LOADINGSPEEDDEF_"&amp;PROPERTIES[[#This Row],[LOADINGSPEED]],LOADINGSPEEDDEF[TYPE],LOADINGSPEEDDEF[SPEED])</f>
        <v>120</v>
      </c>
      <c r="O323" t="str" cm="1">
        <f t="array" ref="O3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3">
        <f>IF(ISNUMBER(SEARCH("passenger",PROPERTIES[[#This Row],[CARGODEF]])),1,0)</f>
        <v>1</v>
      </c>
      <c r="Q323" s="23">
        <v>39.5</v>
      </c>
      <c r="R323">
        <v>1550</v>
      </c>
      <c r="S323">
        <v>0</v>
      </c>
      <c r="T323">
        <v>0</v>
      </c>
      <c r="U323">
        <v>0</v>
      </c>
      <c r="V323">
        <v>80</v>
      </c>
      <c r="W323">
        <v>0</v>
      </c>
      <c r="X323">
        <v>0</v>
      </c>
      <c r="Y323">
        <v>0</v>
      </c>
      <c r="Z323" s="20">
        <v>0</v>
      </c>
      <c r="AA323" s="19">
        <f>IFERROR(PROPERTIES[[#This Row],[TE_STARTING_KN]]/(PROPERTIES[[#This Row],[WEIGHT]]*9.81),0)</f>
        <v>0</v>
      </c>
      <c r="AB323" s="19">
        <v>0.3</v>
      </c>
      <c r="AC323" s="16">
        <f>ROUND(IF(IFERROR(PROPERTIES[[#This Row],[TE_COEFFICIENT_CALC]],0)=0,PROPERTIES[[#This Row],[TE_COEFFICIENT_MANUAL]],PROPERTIES[[#This Row],[TE_COEFFICIENT_CALC]]),3)</f>
        <v>0.3</v>
      </c>
      <c r="AD323" s="8" cm="1">
        <f t="array" ref="AD3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3" s="26">
        <v>250</v>
      </c>
      <c r="AF323" s="6">
        <v>8</v>
      </c>
      <c r="AG323" t="s">
        <v>238</v>
      </c>
      <c r="AH323" t="s">
        <v>229</v>
      </c>
      <c r="AI323" t="s">
        <v>229</v>
      </c>
      <c r="AJ323" s="2" t="s">
        <v>229</v>
      </c>
      <c r="AK323" s="2" t="s">
        <v>244</v>
      </c>
      <c r="AL32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3" s="2" t="str">
        <f>SUBSTITUTE(SUBSTITUTE(PROPERTIES[[#This Row],[PURCHASECOST_VALUE]], "PURCHASECOST_", ""), "_VALUE", "")</f>
        <v>METRO</v>
      </c>
      <c r="AO323" s="44" t="b">
        <v>0</v>
      </c>
      <c r="AP323" s="48" t="b">
        <v>0</v>
      </c>
      <c r="AQ323" s="48" t="b">
        <v>0</v>
      </c>
      <c r="AR323" s="48">
        <v>0</v>
      </c>
      <c r="AS323" s="48" t="b">
        <v>0</v>
      </c>
      <c r="AT323" s="7" t="b">
        <v>0</v>
      </c>
      <c r="AU323" s="40" t="str" cm="1">
        <f t="array" ref="AU323">_xlfn.XLOOKUP(PROPERTIES[[#This Row],[VEHIDCODE]],GRAPHICS_PROPERTIES[VEHIDCODE],GRAPHICS_PROPERTIES[TEMPLATE_ID]&amp;GRAPHICS_PROPERTIES[TEMPLATE_AMENDMENT_CODE])</f>
        <v>TPL_02C</v>
      </c>
    </row>
    <row r="324" spans="1:47" x14ac:dyDescent="0.35">
      <c r="A324" s="2" t="s">
        <v>2958</v>
      </c>
      <c r="B324">
        <v>1997</v>
      </c>
      <c r="C324">
        <v>2022</v>
      </c>
      <c r="D324" cm="1">
        <f t="array" ref="D3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4" s="40" t="str">
        <f>_xlfn.XLOOKUP(PROPERTIES[[#This Row],[VEHIDCODE]],CONTROL[VEHIDCODE],CONTROL[ENGLISH])</f>
        <v>CAF Amsterdam S3 90</v>
      </c>
      <c r="F324" t="s">
        <v>692</v>
      </c>
      <c r="G324" s="40" t="str">
        <f>_xlfn.XLOOKUP(PROPERTIES[[#This Row],[COUNTRY]],COUNTRIES[COUNTRY_DESCRIPTION],COUNTRIES[COUNTRY_LABEL],"")</f>
        <v>NL</v>
      </c>
      <c r="H324" t="str" cm="1">
        <f t="array" ref="H3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4" t="s">
        <v>22</v>
      </c>
      <c r="J324">
        <v>125</v>
      </c>
      <c r="K324">
        <v>8</v>
      </c>
      <c r="M324" t="str" cm="1">
        <f t="array" ref="M3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4">
        <f>_xlfn.XLOOKUP("LOADINGSPEEDDEF_"&amp;PROPERTIES[[#This Row],[LOADINGSPEED]],LOADINGSPEEDDEF[TYPE],LOADINGSPEEDDEF[SPEED])</f>
        <v>120</v>
      </c>
      <c r="O324" t="str" cm="1">
        <f t="array" ref="O3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4">
        <f>IF(ISNUMBER(SEARCH("passenger",PROPERTIES[[#This Row],[CARGODEF]])),1,0)</f>
        <v>1</v>
      </c>
      <c r="Q324" s="23">
        <v>24</v>
      </c>
      <c r="R324">
        <v>1020</v>
      </c>
      <c r="S324">
        <v>0</v>
      </c>
      <c r="T324">
        <v>0</v>
      </c>
      <c r="U324">
        <v>0</v>
      </c>
      <c r="V324">
        <v>70</v>
      </c>
      <c r="W324">
        <v>0</v>
      </c>
      <c r="X324">
        <v>0</v>
      </c>
      <c r="Y324">
        <v>0</v>
      </c>
      <c r="Z324" s="20">
        <v>0</v>
      </c>
      <c r="AA324" s="19">
        <f>IFERROR(PROPERTIES[[#This Row],[TE_STARTING_KN]]/(PROPERTIES[[#This Row],[WEIGHT]]*9.81),0)</f>
        <v>0</v>
      </c>
      <c r="AB324" s="19">
        <v>0.28000000000000003</v>
      </c>
      <c r="AC324" s="16">
        <f>ROUND(IF(IFERROR(PROPERTIES[[#This Row],[TE_COEFFICIENT_CALC]],0)=0,PROPERTIES[[#This Row],[TE_COEFFICIENT_MANUAL]],PROPERTIES[[#This Row],[TE_COEFFICIENT_CALC]]),3)</f>
        <v>0.28000000000000003</v>
      </c>
      <c r="AD324" s="8" cm="1">
        <f t="array" ref="AD3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4" s="26">
        <v>250</v>
      </c>
      <c r="AF324" s="6">
        <v>8</v>
      </c>
      <c r="AG324" t="s">
        <v>230</v>
      </c>
      <c r="AH324" t="s">
        <v>229</v>
      </c>
      <c r="AI324" t="s">
        <v>229</v>
      </c>
      <c r="AJ324" s="2" t="s">
        <v>229</v>
      </c>
      <c r="AK324" s="2" t="s">
        <v>244</v>
      </c>
      <c r="AL32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4" s="2" t="str">
        <f>SUBSTITUTE(SUBSTITUTE(PROPERTIES[[#This Row],[PURCHASECOST_VALUE]], "PURCHASECOST_", ""), "_VALUE", "")</f>
        <v>METRO</v>
      </c>
      <c r="AO324" s="44" t="b">
        <v>0</v>
      </c>
      <c r="AP324" s="48" t="b">
        <v>0</v>
      </c>
      <c r="AQ324" s="48" t="b">
        <v>0</v>
      </c>
      <c r="AR324" s="48">
        <v>0</v>
      </c>
      <c r="AS324" s="48" t="b">
        <v>0</v>
      </c>
      <c r="AT324" s="7" t="b">
        <v>0</v>
      </c>
      <c r="AU324" s="40" t="str" cm="1">
        <f t="array" ref="AU324">_xlfn.XLOOKUP(PROPERTIES[[#This Row],[VEHIDCODE]],GRAPHICS_PROPERTIES[VEHIDCODE],GRAPHICS_PROPERTIES[TEMPLATE_ID]&amp;GRAPHICS_PROPERTIES[TEMPLATE_AMENDMENT_CODE])</f>
        <v>TPL_02C</v>
      </c>
    </row>
    <row r="325" spans="1:47" x14ac:dyDescent="0.35">
      <c r="A325" s="2" t="s">
        <v>2959</v>
      </c>
      <c r="B325">
        <v>1997</v>
      </c>
      <c r="D325" cm="1">
        <f t="array" ref="D3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5" s="40" t="str">
        <f>_xlfn.XLOOKUP(PROPERTIES[[#This Row],[VEHIDCODE]],CONTROL[VEHIDCODE],CONTROL[ENGLISH])</f>
        <v>GEC-Alsthom Paris MP89</v>
      </c>
      <c r="F325" t="s">
        <v>602</v>
      </c>
      <c r="G325" s="40" t="str">
        <f>_xlfn.XLOOKUP(PROPERTIES[[#This Row],[COUNTRY]],COUNTRIES[COUNTRY_DESCRIPTION],COUNTRIES[COUNTRY_LABEL],"")</f>
        <v>FR</v>
      </c>
      <c r="H325" t="str" cm="1">
        <f t="array" ref="H3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5" t="s">
        <v>22</v>
      </c>
      <c r="J325">
        <v>120</v>
      </c>
      <c r="K325">
        <v>7</v>
      </c>
      <c r="L325">
        <v>0</v>
      </c>
      <c r="M325" t="str" cm="1">
        <f t="array" ref="M3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5">
        <f>_xlfn.XLOOKUP("LOADINGSPEEDDEF_"&amp;PROPERTIES[[#This Row],[LOADINGSPEED]],LOADINGSPEEDDEF[TYPE],LOADINGSPEEDDEF[SPEED])</f>
        <v>120</v>
      </c>
      <c r="O325" t="str" cm="1">
        <f t="array" ref="O3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5">
        <f>IF(ISNUMBER(SEARCH("passenger",PROPERTIES[[#This Row],[CARGODEF]])),1,0)</f>
        <v>1</v>
      </c>
      <c r="Q325" s="23">
        <v>24</v>
      </c>
      <c r="R325">
        <v>2680</v>
      </c>
      <c r="S325">
        <v>0</v>
      </c>
      <c r="T325">
        <v>0</v>
      </c>
      <c r="U325">
        <v>0</v>
      </c>
      <c r="V325">
        <v>80</v>
      </c>
      <c r="W325">
        <v>0</v>
      </c>
      <c r="X325">
        <v>0</v>
      </c>
      <c r="Y325">
        <v>0</v>
      </c>
      <c r="Z325" s="20">
        <v>0</v>
      </c>
      <c r="AA325" s="19">
        <f>IFERROR(PROPERTIES[[#This Row],[TE_STARTING_KN]]/(PROPERTIES[[#This Row],[WEIGHT]]*9.81),0)</f>
        <v>0</v>
      </c>
      <c r="AB325" s="19">
        <v>0.35</v>
      </c>
      <c r="AC325" s="16">
        <f>ROUND(IF(IFERROR(PROPERTIES[[#This Row],[TE_COEFFICIENT_CALC]],0)=0,PROPERTIES[[#This Row],[TE_COEFFICIENT_MANUAL]],PROPERTIES[[#This Row],[TE_COEFFICIENT_CALC]]),3)</f>
        <v>0.35</v>
      </c>
      <c r="AD325" s="8" cm="1">
        <f t="array" ref="AD3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5" s="26">
        <v>120</v>
      </c>
      <c r="AF325" s="6">
        <v>7</v>
      </c>
      <c r="AG325" t="s">
        <v>230</v>
      </c>
      <c r="AH325" t="s">
        <v>229</v>
      </c>
      <c r="AI325" t="s">
        <v>229</v>
      </c>
      <c r="AJ325" s="2" t="s">
        <v>229</v>
      </c>
      <c r="AK325" s="2" t="s">
        <v>244</v>
      </c>
      <c r="AL32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5" s="2" t="str">
        <f>SUBSTITUTE(SUBSTITUTE(PROPERTIES[[#This Row],[PURCHASECOST_VALUE]], "PURCHASECOST_", ""), "_VALUE", "")</f>
        <v>METRO</v>
      </c>
      <c r="AO325" s="44" t="b">
        <v>0</v>
      </c>
      <c r="AP325" s="48" t="b">
        <v>0</v>
      </c>
      <c r="AQ325" s="48" t="b">
        <v>0</v>
      </c>
      <c r="AR325" s="48">
        <v>0</v>
      </c>
      <c r="AS325" s="48" t="b">
        <v>0</v>
      </c>
      <c r="AT325" s="7" t="b">
        <v>0</v>
      </c>
      <c r="AU325" s="40" t="str" cm="1">
        <f t="array" ref="AU325">_xlfn.XLOOKUP(PROPERTIES[[#This Row],[VEHIDCODE]],GRAPHICS_PROPERTIES[VEHIDCODE],GRAPHICS_PROPERTIES[TEMPLATE_ID]&amp;GRAPHICS_PROPERTIES[TEMPLATE_AMENDMENT_CODE])</f>
        <v>TPL_02C</v>
      </c>
    </row>
    <row r="326" spans="1:47" x14ac:dyDescent="0.35">
      <c r="A326" s="2" t="s">
        <v>2960</v>
      </c>
      <c r="B326">
        <v>2003</v>
      </c>
      <c r="D326" cm="1">
        <f t="array" ref="D3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6" s="40" t="str">
        <f>_xlfn.XLOOKUP(PROPERTIES[[#This Row],[VEHIDCODE]],CONTROL[VEHIDCODE],CONTROL[ENGLISH])</f>
        <v>MMZ 81-740</v>
      </c>
      <c r="F326" t="s">
        <v>716</v>
      </c>
      <c r="G326" s="40" t="str">
        <f>_xlfn.XLOOKUP(PROPERTIES[[#This Row],[COUNTRY]],COUNTRIES[COUNTRY_DESCRIPTION],COUNTRIES[COUNTRY_LABEL],"")</f>
        <v>RU</v>
      </c>
      <c r="H326" t="str" cm="1">
        <f t="array" ref="H3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6" t="s">
        <v>22</v>
      </c>
      <c r="J326">
        <v>172</v>
      </c>
      <c r="K326">
        <v>7</v>
      </c>
      <c r="L326">
        <v>0</v>
      </c>
      <c r="M326" t="str" cm="1">
        <f t="array" ref="M3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6">
        <f>_xlfn.XLOOKUP("LOADINGSPEEDDEF_"&amp;PROPERTIES[[#This Row],[LOADINGSPEED]],LOADINGSPEEDDEF[TYPE],LOADINGSPEEDDEF[SPEED])</f>
        <v>120</v>
      </c>
      <c r="O326" t="str" cm="1">
        <f t="array" ref="O3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6">
        <f>IF(ISNUMBER(SEARCH("passenger",PROPERTIES[[#This Row],[CARGODEF]])),1,0)</f>
        <v>1</v>
      </c>
      <c r="Q326" s="23">
        <v>47</v>
      </c>
      <c r="R326">
        <v>1400</v>
      </c>
      <c r="S326">
        <v>0</v>
      </c>
      <c r="T326">
        <v>0</v>
      </c>
      <c r="U326">
        <v>0</v>
      </c>
      <c r="V326">
        <v>90</v>
      </c>
      <c r="W326">
        <v>0</v>
      </c>
      <c r="X326">
        <v>0</v>
      </c>
      <c r="Y326">
        <v>0</v>
      </c>
      <c r="Z326" s="20">
        <v>0</v>
      </c>
      <c r="AA326" s="19">
        <f>IFERROR(PROPERTIES[[#This Row],[TE_STARTING_KN]]/(PROPERTIES[[#This Row],[WEIGHT]]*9.81),0)</f>
        <v>0</v>
      </c>
      <c r="AB326" s="19">
        <v>0.3</v>
      </c>
      <c r="AC326" s="16">
        <f>ROUND(IF(IFERROR(PROPERTIES[[#This Row],[TE_COEFFICIENT_CALC]],0)=0,PROPERTIES[[#This Row],[TE_COEFFICIENT_MANUAL]],PROPERTIES[[#This Row],[TE_COEFFICIENT_CALC]]),3)</f>
        <v>0.3</v>
      </c>
      <c r="AD326" s="8" cm="1">
        <f t="array" ref="AD3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6" s="26">
        <v>120</v>
      </c>
      <c r="AF326" s="6">
        <v>6</v>
      </c>
      <c r="AG326" t="s">
        <v>1948</v>
      </c>
      <c r="AH326" t="s">
        <v>229</v>
      </c>
      <c r="AI326" t="s">
        <v>229</v>
      </c>
      <c r="AJ326" s="2" t="s">
        <v>229</v>
      </c>
      <c r="AK326" s="2" t="s">
        <v>244</v>
      </c>
      <c r="AL32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6" s="2" t="str">
        <f>SUBSTITUTE(SUBSTITUTE(PROPERTIES[[#This Row],[PURCHASECOST_VALUE]], "PURCHASECOST_", ""), "_VALUE", "")</f>
        <v>METRO</v>
      </c>
      <c r="AO326" s="44" t="b">
        <v>0</v>
      </c>
      <c r="AP326" s="48" t="b">
        <v>0</v>
      </c>
      <c r="AQ326" s="48" t="b">
        <v>0</v>
      </c>
      <c r="AR326" s="48">
        <v>0</v>
      </c>
      <c r="AS326" s="48" t="b">
        <v>0</v>
      </c>
      <c r="AT326" s="7" t="b">
        <v>0</v>
      </c>
      <c r="AU326" s="40" t="str" cm="1">
        <f t="array" ref="AU326">_xlfn.XLOOKUP(PROPERTIES[[#This Row],[VEHIDCODE]],GRAPHICS_PROPERTIES[VEHIDCODE],GRAPHICS_PROPERTIES[TEMPLATE_ID]&amp;GRAPHICS_PROPERTIES[TEMPLATE_AMENDMENT_CODE])</f>
        <v>TPL_02C</v>
      </c>
    </row>
    <row r="327" spans="1:47" x14ac:dyDescent="0.35">
      <c r="A327" s="2" t="s">
        <v>2961</v>
      </c>
      <c r="B327">
        <v>2003</v>
      </c>
      <c r="D327" cm="1">
        <f t="array" ref="D3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7" s="40" t="str">
        <f>_xlfn.XLOOKUP(PROPERTIES[[#This Row],[VEHIDCODE]],CONTROL[VEHIDCODE],CONTROL[ENGLISH])</f>
        <v>Alstom Singapore C830 'Metropolis'</v>
      </c>
      <c r="F327" t="s">
        <v>723</v>
      </c>
      <c r="G327" s="40" t="str">
        <f>_xlfn.XLOOKUP(PROPERTIES[[#This Row],[COUNTRY]],COUNTRIES[COUNTRY_DESCRIPTION],COUNTRIES[COUNTRY_LABEL],"")</f>
        <v>SG</v>
      </c>
      <c r="H327" t="str" cm="1">
        <f t="array" ref="H3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7" t="s">
        <v>22</v>
      </c>
      <c r="J327">
        <v>150</v>
      </c>
      <c r="K327">
        <v>8</v>
      </c>
      <c r="M327" t="str" cm="1">
        <f t="array" ref="M3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7">
        <f>_xlfn.XLOOKUP("LOADINGSPEEDDEF_"&amp;PROPERTIES[[#This Row],[LOADINGSPEED]],LOADINGSPEEDDEF[TYPE],LOADINGSPEEDDEF[SPEED])</f>
        <v>120</v>
      </c>
      <c r="O327" t="str" cm="1">
        <f t="array" ref="O3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7">
        <f>IF(ISNUMBER(SEARCH("passenger",PROPERTIES[[#This Row],[CARGODEF]])),1,0)</f>
        <v>1</v>
      </c>
      <c r="Q327" s="23">
        <v>35</v>
      </c>
      <c r="R327">
        <v>1500</v>
      </c>
      <c r="S327">
        <v>0</v>
      </c>
      <c r="T327">
        <v>0</v>
      </c>
      <c r="U327">
        <v>0</v>
      </c>
      <c r="V327">
        <v>90</v>
      </c>
      <c r="W327">
        <v>0</v>
      </c>
      <c r="X327">
        <v>0</v>
      </c>
      <c r="Y327">
        <v>0</v>
      </c>
      <c r="Z327" s="20">
        <v>0</v>
      </c>
      <c r="AA327" s="19">
        <f>IFERROR(PROPERTIES[[#This Row],[TE_STARTING_KN]]/(PROPERTIES[[#This Row],[WEIGHT]]*9.81),0)</f>
        <v>0</v>
      </c>
      <c r="AB327" s="19">
        <v>0.3</v>
      </c>
      <c r="AC327" s="16">
        <f>ROUND(IF(IFERROR(PROPERTIES[[#This Row],[TE_COEFFICIENT_CALC]],0)=0,PROPERTIES[[#This Row],[TE_COEFFICIENT_MANUAL]],PROPERTIES[[#This Row],[TE_COEFFICIENT_CALC]]),3)</f>
        <v>0.3</v>
      </c>
      <c r="AD327" s="8" cm="1">
        <f t="array" ref="AD3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7" s="26">
        <v>250</v>
      </c>
      <c r="AF327" s="6">
        <v>8</v>
      </c>
      <c r="AG327" t="s">
        <v>238</v>
      </c>
      <c r="AH327" t="s">
        <v>229</v>
      </c>
      <c r="AI327" t="s">
        <v>229</v>
      </c>
      <c r="AJ327" s="2" t="s">
        <v>229</v>
      </c>
      <c r="AK327" s="2" t="s">
        <v>244</v>
      </c>
      <c r="AL32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7" s="2" t="str">
        <f>SUBSTITUTE(SUBSTITUTE(PROPERTIES[[#This Row],[PURCHASECOST_VALUE]], "PURCHASECOST_", ""), "_VALUE", "")</f>
        <v>METRO</v>
      </c>
      <c r="AO327" s="44" t="b">
        <v>0</v>
      </c>
      <c r="AP327" s="48" t="b">
        <v>0</v>
      </c>
      <c r="AQ327" s="48" t="b">
        <v>1</v>
      </c>
      <c r="AR327" s="48">
        <v>0</v>
      </c>
      <c r="AS327" s="48" t="b">
        <v>0</v>
      </c>
      <c r="AT327" s="7" t="b">
        <v>1</v>
      </c>
      <c r="AU327" s="40" t="str" cm="1">
        <f t="array" ref="AU327">_xlfn.XLOOKUP(PROPERTIES[[#This Row],[VEHIDCODE]],GRAPHICS_PROPERTIES[VEHIDCODE],GRAPHICS_PROPERTIES[TEMPLATE_ID]&amp;GRAPHICS_PROPERTIES[TEMPLATE_AMENDMENT_CODE])</f>
        <v>TPL_02C</v>
      </c>
    </row>
    <row r="328" spans="1:47" x14ac:dyDescent="0.35">
      <c r="A328" s="2" t="s">
        <v>2962</v>
      </c>
      <c r="B328">
        <v>2007</v>
      </c>
      <c r="D328" cm="1">
        <f t="array" ref="D3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8" s="40" t="str">
        <f>_xlfn.XLOOKUP(PROPERTIES[[#This Row],[VEHIDCODE]],CONTROL[VEHIDCODE],CONTROL[ENGLISH])</f>
        <v>Siemens Oslo MX3000</v>
      </c>
      <c r="F328" t="s">
        <v>693</v>
      </c>
      <c r="G328" s="40" t="str">
        <f>_xlfn.XLOOKUP(PROPERTIES[[#This Row],[COUNTRY]],COUNTRIES[COUNTRY_DESCRIPTION],COUNTRIES[COUNTRY_LABEL],"")</f>
        <v>NO</v>
      </c>
      <c r="H328" t="str" cm="1">
        <f t="array" ref="H3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8" t="s">
        <v>22</v>
      </c>
      <c r="J328">
        <v>164</v>
      </c>
      <c r="K328">
        <v>7</v>
      </c>
      <c r="L328">
        <v>0</v>
      </c>
      <c r="M328" t="str" cm="1">
        <f t="array" ref="M3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8">
        <f>_xlfn.XLOOKUP("LOADINGSPEEDDEF_"&amp;PROPERTIES[[#This Row],[LOADINGSPEED]],LOADINGSPEEDDEF[TYPE],LOADINGSPEEDDEF[SPEED])</f>
        <v>120</v>
      </c>
      <c r="O328" t="str" cm="1">
        <f t="array" ref="O3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8">
        <f>IF(ISNUMBER(SEARCH("passenger",PROPERTIES[[#This Row],[CARGODEF]])),1,0)</f>
        <v>1</v>
      </c>
      <c r="Q328" s="23">
        <v>31.3</v>
      </c>
      <c r="R328">
        <v>1500</v>
      </c>
      <c r="S328">
        <v>0</v>
      </c>
      <c r="T328">
        <v>0</v>
      </c>
      <c r="U328">
        <v>0</v>
      </c>
      <c r="V328">
        <v>80</v>
      </c>
      <c r="W328">
        <v>0</v>
      </c>
      <c r="X328">
        <v>0</v>
      </c>
      <c r="Y328">
        <v>0</v>
      </c>
      <c r="Z328" s="20">
        <v>0</v>
      </c>
      <c r="AA328" s="19">
        <f>IFERROR(PROPERTIES[[#This Row],[TE_STARTING_KN]]/(PROPERTIES[[#This Row],[WEIGHT]]*9.81),0)</f>
        <v>0</v>
      </c>
      <c r="AB328" s="19">
        <v>0.32</v>
      </c>
      <c r="AC328" s="16">
        <f>ROUND(IF(IFERROR(PROPERTIES[[#This Row],[TE_COEFFICIENT_CALC]],0)=0,PROPERTIES[[#This Row],[TE_COEFFICIENT_MANUAL]],PROPERTIES[[#This Row],[TE_COEFFICIENT_CALC]]),3)</f>
        <v>0.32</v>
      </c>
      <c r="AD328" s="8" cm="1">
        <f t="array" ref="AD3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8" s="26">
        <v>164</v>
      </c>
      <c r="AF328" s="6">
        <v>7</v>
      </c>
      <c r="AG328" t="s">
        <v>234</v>
      </c>
      <c r="AH328" t="s">
        <v>229</v>
      </c>
      <c r="AI328" t="s">
        <v>229</v>
      </c>
      <c r="AJ328" s="2" t="s">
        <v>229</v>
      </c>
      <c r="AK328" s="2" t="s">
        <v>244</v>
      </c>
      <c r="AL32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8" s="2" t="str">
        <f>SUBSTITUTE(SUBSTITUTE(PROPERTIES[[#This Row],[PURCHASECOST_VALUE]], "PURCHASECOST_", ""), "_VALUE", "")</f>
        <v>METRO</v>
      </c>
      <c r="AO328" s="44" t="b">
        <v>0</v>
      </c>
      <c r="AP328" s="48" t="b">
        <v>0</v>
      </c>
      <c r="AQ328" s="48" t="b">
        <v>0</v>
      </c>
      <c r="AR328" s="48">
        <v>0</v>
      </c>
      <c r="AS328" s="48" t="b">
        <v>0</v>
      </c>
      <c r="AT328" s="7" t="b">
        <v>0</v>
      </c>
      <c r="AU328" s="40" t="str" cm="1">
        <f t="array" ref="AU328">_xlfn.XLOOKUP(PROPERTIES[[#This Row],[VEHIDCODE]],GRAPHICS_PROPERTIES[VEHIDCODE],GRAPHICS_PROPERTIES[TEMPLATE_ID]&amp;GRAPHICS_PROPERTIES[TEMPLATE_AMENDMENT_CODE])</f>
        <v>TPL_02C</v>
      </c>
    </row>
    <row r="329" spans="1:47" x14ac:dyDescent="0.35">
      <c r="A329" s="2" t="s">
        <v>2963</v>
      </c>
      <c r="B329">
        <v>2009</v>
      </c>
      <c r="D329" cm="1">
        <f t="array" ref="D3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9" s="40" t="str">
        <f>_xlfn.XLOOKUP(PROPERTIES[[#This Row],[VEHIDCODE]],CONTROL[VEHIDCODE],CONTROL[ENGLISH])</f>
        <v>Kawasaki Osaka 30000</v>
      </c>
      <c r="F329" t="s">
        <v>640</v>
      </c>
      <c r="G329" s="40" t="str">
        <f>_xlfn.XLOOKUP(PROPERTIES[[#This Row],[COUNTRY]],COUNTRIES[COUNTRY_DESCRIPTION],COUNTRIES[COUNTRY_LABEL],"")</f>
        <v>JP</v>
      </c>
      <c r="H329" t="str" cm="1">
        <f t="array" ref="H3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9" t="s">
        <v>22</v>
      </c>
      <c r="J329">
        <v>140</v>
      </c>
      <c r="K329">
        <v>8</v>
      </c>
      <c r="M329" t="str" cm="1">
        <f t="array" ref="M3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9">
        <f>_xlfn.XLOOKUP("LOADINGSPEEDDEF_"&amp;PROPERTIES[[#This Row],[LOADINGSPEED]],LOADINGSPEEDDEF[TYPE],LOADINGSPEEDDEF[SPEED])</f>
        <v>120</v>
      </c>
      <c r="O329" t="str" cm="1">
        <f t="array" ref="O3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9">
        <f>IF(ISNUMBER(SEARCH("passenger",PROPERTIES[[#This Row],[CARGODEF]])),1,0)</f>
        <v>1</v>
      </c>
      <c r="Q329" s="23">
        <v>31.5</v>
      </c>
      <c r="R329">
        <v>1820</v>
      </c>
      <c r="S329">
        <v>0</v>
      </c>
      <c r="T329">
        <v>0</v>
      </c>
      <c r="U329">
        <v>0</v>
      </c>
      <c r="V329">
        <v>70</v>
      </c>
      <c r="W329">
        <v>0</v>
      </c>
      <c r="X329">
        <v>0</v>
      </c>
      <c r="Y329">
        <v>0</v>
      </c>
      <c r="Z329" s="20">
        <v>0</v>
      </c>
      <c r="AA329" s="19">
        <f>IFERROR(PROPERTIES[[#This Row],[TE_STARTING_KN]]/(PROPERTIES[[#This Row],[WEIGHT]]*9.81),0)</f>
        <v>0</v>
      </c>
      <c r="AB329" s="19">
        <v>0.3</v>
      </c>
      <c r="AC329" s="16">
        <f>ROUND(IF(IFERROR(PROPERTIES[[#This Row],[TE_COEFFICIENT_CALC]],0)=0,PROPERTIES[[#This Row],[TE_COEFFICIENT_MANUAL]],PROPERTIES[[#This Row],[TE_COEFFICIENT_CALC]]),3)</f>
        <v>0.3</v>
      </c>
      <c r="AD329" s="8" cm="1">
        <f t="array" ref="AD3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9" s="26">
        <v>140</v>
      </c>
      <c r="AF329" s="6">
        <v>8</v>
      </c>
      <c r="AG329" t="s">
        <v>238</v>
      </c>
      <c r="AH329" t="s">
        <v>229</v>
      </c>
      <c r="AI329" t="s">
        <v>229</v>
      </c>
      <c r="AJ329" s="2" t="s">
        <v>229</v>
      </c>
      <c r="AK329" s="2" t="s">
        <v>244</v>
      </c>
      <c r="AL32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9" s="2" t="str">
        <f>SUBSTITUTE(SUBSTITUTE(PROPERTIES[[#This Row],[PURCHASECOST_VALUE]], "PURCHASECOST_", ""), "_VALUE", "")</f>
        <v>METRO</v>
      </c>
      <c r="AO329" s="44" t="b">
        <v>0</v>
      </c>
      <c r="AP329" s="48" t="b">
        <v>0</v>
      </c>
      <c r="AQ329" s="48" t="b">
        <v>0</v>
      </c>
      <c r="AR329" s="48">
        <v>0</v>
      </c>
      <c r="AS329" s="48" t="b">
        <v>0</v>
      </c>
      <c r="AT329" s="7" t="b">
        <v>0</v>
      </c>
      <c r="AU329" s="40" t="str" cm="1">
        <f t="array" ref="AU329">_xlfn.XLOOKUP(PROPERTIES[[#This Row],[VEHIDCODE]],GRAPHICS_PROPERTIES[VEHIDCODE],GRAPHICS_PROPERTIES[TEMPLATE_ID]&amp;GRAPHICS_PROPERTIES[TEMPLATE_AMENDMENT_CODE])</f>
        <v>TPL_02C</v>
      </c>
    </row>
    <row r="330" spans="1:47" x14ac:dyDescent="0.35">
      <c r="A330" s="2" t="s">
        <v>2964</v>
      </c>
      <c r="B330">
        <v>2012</v>
      </c>
      <c r="D330" cm="1">
        <f t="array" ref="D3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0" s="40" t="str">
        <f>_xlfn.XLOOKUP(PROPERTIES[[#This Row],[VEHIDCODE]],CONTROL[VEHIDCODE],CONTROL[ENGLISH])</f>
        <v>Kawasaki Singapore C151A</v>
      </c>
      <c r="F330" t="s">
        <v>723</v>
      </c>
      <c r="G330" s="40" t="str">
        <f>_xlfn.XLOOKUP(PROPERTIES[[#This Row],[COUNTRY]],COUNTRIES[COUNTRY_DESCRIPTION],COUNTRIES[COUNTRY_LABEL],"")</f>
        <v>SG</v>
      </c>
      <c r="H330" t="str" cm="1">
        <f t="array" ref="H3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0" t="s">
        <v>22</v>
      </c>
      <c r="J330">
        <v>162</v>
      </c>
      <c r="K330">
        <v>8</v>
      </c>
      <c r="M330" t="str" cm="1">
        <f t="array" ref="M3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0">
        <f>_xlfn.XLOOKUP("LOADINGSPEEDDEF_"&amp;PROPERTIES[[#This Row],[LOADINGSPEED]],LOADINGSPEEDDEF[TYPE],LOADINGSPEEDDEF[SPEED])</f>
        <v>120</v>
      </c>
      <c r="O330" t="str" cm="1">
        <f t="array" ref="O3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30">
        <f>IF(ISNUMBER(SEARCH("passenger",PROPERTIES[[#This Row],[CARGODEF]])),1,0)</f>
        <v>1</v>
      </c>
      <c r="Q330" s="23">
        <v>35</v>
      </c>
      <c r="R330">
        <v>1580</v>
      </c>
      <c r="S330">
        <v>0</v>
      </c>
      <c r="T330">
        <v>0</v>
      </c>
      <c r="U330">
        <v>0</v>
      </c>
      <c r="V330">
        <v>90</v>
      </c>
      <c r="W330">
        <v>0</v>
      </c>
      <c r="X330">
        <v>0</v>
      </c>
      <c r="Y330">
        <v>0</v>
      </c>
      <c r="Z330" s="20">
        <v>0</v>
      </c>
      <c r="AA330" s="19">
        <f>IFERROR(PROPERTIES[[#This Row],[TE_STARTING_KN]]/(PROPERTIES[[#This Row],[WEIGHT]]*9.81),0)</f>
        <v>0</v>
      </c>
      <c r="AB330" s="19">
        <v>0.3</v>
      </c>
      <c r="AC330" s="16">
        <f>ROUND(IF(IFERROR(PROPERTIES[[#This Row],[TE_COEFFICIENT_CALC]],0)=0,PROPERTIES[[#This Row],[TE_COEFFICIENT_MANUAL]],PROPERTIES[[#This Row],[TE_COEFFICIENT_CALC]]),3)</f>
        <v>0.3</v>
      </c>
      <c r="AD330" s="8" cm="1">
        <f t="array" ref="AD3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0" s="26">
        <v>250</v>
      </c>
      <c r="AF330" s="6">
        <v>8</v>
      </c>
      <c r="AG330" t="s">
        <v>238</v>
      </c>
      <c r="AH330" t="s">
        <v>229</v>
      </c>
      <c r="AI330" t="s">
        <v>229</v>
      </c>
      <c r="AJ330" s="2" t="s">
        <v>229</v>
      </c>
      <c r="AK330" s="2" t="s">
        <v>244</v>
      </c>
      <c r="AL33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0" s="2" t="str">
        <f>SUBSTITUTE(SUBSTITUTE(PROPERTIES[[#This Row],[PURCHASECOST_VALUE]], "PURCHASECOST_", ""), "_VALUE", "")</f>
        <v>METRO</v>
      </c>
      <c r="AO330" s="44" t="b">
        <v>0</v>
      </c>
      <c r="AP330" s="48" t="b">
        <v>0</v>
      </c>
      <c r="AQ330" s="48" t="b">
        <v>0</v>
      </c>
      <c r="AR330" s="48">
        <v>0</v>
      </c>
      <c r="AS330" s="48" t="b">
        <v>0</v>
      </c>
      <c r="AT330" s="7" t="b">
        <v>0</v>
      </c>
      <c r="AU330" s="40" t="str" cm="1">
        <f t="array" ref="AU330">_xlfn.XLOOKUP(PROPERTIES[[#This Row],[VEHIDCODE]],GRAPHICS_PROPERTIES[VEHIDCODE],GRAPHICS_PROPERTIES[TEMPLATE_ID]&amp;GRAPHICS_PROPERTIES[TEMPLATE_AMENDMENT_CODE])</f>
        <v>TPL_02C</v>
      </c>
    </row>
    <row r="331" spans="1:47" x14ac:dyDescent="0.35">
      <c r="A331" s="2" t="s">
        <v>2965</v>
      </c>
      <c r="B331">
        <v>2013</v>
      </c>
      <c r="D331" cm="1">
        <f t="array" ref="D3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1" s="40" t="str">
        <f>_xlfn.XLOOKUP(PROPERTIES[[#This Row],[VEHIDCODE]],CONTROL[VEHIDCODE],CONTROL[ENGLISH])</f>
        <v>Kawasaki Washington 7000</v>
      </c>
      <c r="F331" t="s">
        <v>757</v>
      </c>
      <c r="G331" s="40" t="str">
        <f>_xlfn.XLOOKUP(PROPERTIES[[#This Row],[COUNTRY]],COUNTRIES[COUNTRY_DESCRIPTION],COUNTRIES[COUNTRY_LABEL],"")</f>
        <v>US</v>
      </c>
      <c r="H331" t="str" cm="1">
        <f t="array" ref="H3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1" t="s">
        <v>22</v>
      </c>
      <c r="J331">
        <v>175</v>
      </c>
      <c r="K331">
        <v>8</v>
      </c>
      <c r="M331" t="str" cm="1">
        <f t="array" ref="M3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1">
        <f>_xlfn.XLOOKUP("LOADINGSPEEDDEF_"&amp;PROPERTIES[[#This Row],[LOADINGSPEED]],LOADINGSPEEDDEF[TYPE],LOADINGSPEEDDEF[SPEED])</f>
        <v>120</v>
      </c>
      <c r="O331" t="str" cm="1">
        <f t="array" ref="O3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31">
        <f>IF(ISNUMBER(SEARCH("passenger",PROPERTIES[[#This Row],[CARGODEF]])),1,0)</f>
        <v>1</v>
      </c>
      <c r="Q331" s="23">
        <v>36.5</v>
      </c>
      <c r="R331">
        <v>1520</v>
      </c>
      <c r="S331">
        <v>0</v>
      </c>
      <c r="T331">
        <v>0</v>
      </c>
      <c r="U331">
        <v>0</v>
      </c>
      <c r="V331">
        <v>90</v>
      </c>
      <c r="W331">
        <v>0</v>
      </c>
      <c r="X331">
        <v>0</v>
      </c>
      <c r="Y331">
        <v>0</v>
      </c>
      <c r="Z331" s="20">
        <v>0</v>
      </c>
      <c r="AA331" s="19">
        <f>IFERROR(PROPERTIES[[#This Row],[TE_STARTING_KN]]/(PROPERTIES[[#This Row],[WEIGHT]]*9.81),0)</f>
        <v>0</v>
      </c>
      <c r="AB331" s="19">
        <v>0.3</v>
      </c>
      <c r="AC331" s="16">
        <f>ROUND(IF(IFERROR(PROPERTIES[[#This Row],[TE_COEFFICIENT_CALC]],0)=0,PROPERTIES[[#This Row],[TE_COEFFICIENT_MANUAL]],PROPERTIES[[#This Row],[TE_COEFFICIENT_CALC]]),3)</f>
        <v>0.3</v>
      </c>
      <c r="AD331" s="8" cm="1">
        <f t="array" ref="AD3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1" s="26">
        <v>184</v>
      </c>
      <c r="AF331" s="6">
        <v>8</v>
      </c>
      <c r="AG331" t="s">
        <v>235</v>
      </c>
      <c r="AH331" t="s">
        <v>229</v>
      </c>
      <c r="AI331" t="s">
        <v>229</v>
      </c>
      <c r="AJ331" s="2" t="s">
        <v>229</v>
      </c>
      <c r="AK331" s="2" t="s">
        <v>244</v>
      </c>
      <c r="AL33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1" s="2" t="str">
        <f>SUBSTITUTE(SUBSTITUTE(PROPERTIES[[#This Row],[PURCHASECOST_VALUE]], "PURCHASECOST_", ""), "_VALUE", "")</f>
        <v>METRO</v>
      </c>
      <c r="AO331" s="44" t="b">
        <v>0</v>
      </c>
      <c r="AP331" s="48" t="b">
        <v>0</v>
      </c>
      <c r="AQ331" s="48" t="b">
        <v>0</v>
      </c>
      <c r="AR331" s="48">
        <v>0</v>
      </c>
      <c r="AS331" s="48" t="b">
        <v>0</v>
      </c>
      <c r="AT331" s="7" t="b">
        <v>0</v>
      </c>
      <c r="AU331" s="40" t="str" cm="1">
        <f t="array" ref="AU331">_xlfn.XLOOKUP(PROPERTIES[[#This Row],[VEHIDCODE]],GRAPHICS_PROPERTIES[VEHIDCODE],GRAPHICS_PROPERTIES[TEMPLATE_ID]&amp;GRAPHICS_PROPERTIES[TEMPLATE_AMENDMENT_CODE])</f>
        <v>TPL_02C</v>
      </c>
    </row>
    <row r="332" spans="1:47" x14ac:dyDescent="0.35">
      <c r="A332" s="2" t="s">
        <v>2966</v>
      </c>
      <c r="B332">
        <v>2024</v>
      </c>
      <c r="D332" cm="1">
        <f t="array" ref="D3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2" s="40" t="str">
        <f>_xlfn.XLOOKUP(PROPERTIES[[#This Row],[VEHIDCODE]],CONTROL[VEHIDCODE],CONTROL[ENGLISH])</f>
        <v>Hitachi Thessaloniki 2014</v>
      </c>
      <c r="F332" t="s">
        <v>615</v>
      </c>
      <c r="G332" s="40" t="str">
        <f>_xlfn.XLOOKUP(PROPERTIES[[#This Row],[COUNTRY]],COUNTRIES[COUNTRY_DESCRIPTION],COUNTRIES[COUNTRY_LABEL],"")</f>
        <v>GR</v>
      </c>
      <c r="H332" t="str" cm="1">
        <f t="array" ref="H3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2" t="s">
        <v>22</v>
      </c>
      <c r="J332">
        <v>115</v>
      </c>
      <c r="K332">
        <v>6</v>
      </c>
      <c r="L332">
        <v>0</v>
      </c>
      <c r="M332" t="str" cm="1">
        <f t="array" ref="M3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2">
        <f>_xlfn.XLOOKUP("LOADINGSPEEDDEF_"&amp;PROPERTIES[[#This Row],[LOADINGSPEED]],LOADINGSPEEDDEF[TYPE],LOADINGSPEEDDEF[SPEED])</f>
        <v>120</v>
      </c>
      <c r="O332" t="str" cm="1">
        <f t="array" ref="O3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32">
        <f>IF(ISNUMBER(SEARCH("passenger",PROPERTIES[[#This Row],[CARGODEF]])),1,0)</f>
        <v>1</v>
      </c>
      <c r="Q332" s="23">
        <v>27.5</v>
      </c>
      <c r="R332">
        <v>1360</v>
      </c>
      <c r="S332">
        <v>0</v>
      </c>
      <c r="T332">
        <v>0</v>
      </c>
      <c r="U332">
        <v>0</v>
      </c>
      <c r="V332">
        <v>80</v>
      </c>
      <c r="W332">
        <v>0</v>
      </c>
      <c r="X332">
        <v>0</v>
      </c>
      <c r="Y332">
        <v>0</v>
      </c>
      <c r="Z332" s="20">
        <v>0</v>
      </c>
      <c r="AA332" s="19">
        <f>IFERROR(PROPERTIES[[#This Row],[TE_STARTING_KN]]/(PROPERTIES[[#This Row],[WEIGHT]]*9.81),0)</f>
        <v>0</v>
      </c>
      <c r="AB332" s="19">
        <v>0.3</v>
      </c>
      <c r="AC332" s="16">
        <f>ROUND(IF(IFERROR(PROPERTIES[[#This Row],[TE_COEFFICIENT_CALC]],0)=0,PROPERTIES[[#This Row],[TE_COEFFICIENT_MANUAL]],PROPERTIES[[#This Row],[TE_COEFFICIENT_CALC]]),3)</f>
        <v>0.3</v>
      </c>
      <c r="AD332" s="8" cm="1">
        <f t="array" ref="AD3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2" s="26">
        <v>110</v>
      </c>
      <c r="AF332" s="6">
        <v>6</v>
      </c>
      <c r="AG332" t="s">
        <v>231</v>
      </c>
      <c r="AH332" t="s">
        <v>229</v>
      </c>
      <c r="AI332" t="s">
        <v>229</v>
      </c>
      <c r="AJ332" s="2" t="s">
        <v>229</v>
      </c>
      <c r="AK332" s="2" t="s">
        <v>244</v>
      </c>
      <c r="AL33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2" s="2" t="str">
        <f>SUBSTITUTE(SUBSTITUTE(PROPERTIES[[#This Row],[PURCHASECOST_VALUE]], "PURCHASECOST_", ""), "_VALUE", "")</f>
        <v>METRO</v>
      </c>
      <c r="AO332" s="44" t="b">
        <v>0</v>
      </c>
      <c r="AP332" s="48" t="b">
        <v>0</v>
      </c>
      <c r="AQ332" s="48" t="b">
        <v>0</v>
      </c>
      <c r="AR332" s="48">
        <v>0</v>
      </c>
      <c r="AS332" s="48" t="b">
        <v>0</v>
      </c>
      <c r="AT332" s="7" t="b">
        <v>0</v>
      </c>
      <c r="AU332" s="40" t="str" cm="1">
        <f t="array" ref="AU332">_xlfn.XLOOKUP(PROPERTIES[[#This Row],[VEHIDCODE]],GRAPHICS_PROPERTIES[VEHIDCODE],GRAPHICS_PROPERTIES[TEMPLATE_ID]&amp;GRAPHICS_PROPERTIES[TEMPLATE_AMENDMENT_CODE])</f>
        <v>TPL_02C</v>
      </c>
    </row>
    <row r="333" spans="1:47" x14ac:dyDescent="0.35">
      <c r="A333" s="2" t="s">
        <v>2967</v>
      </c>
      <c r="B333">
        <v>1901</v>
      </c>
      <c r="D333" cm="1">
        <f t="array" ref="D3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3" s="40" t="str">
        <f>_xlfn.XLOOKUP(PROPERTIES[[#This Row],[VEHIDCODE]],CONTROL[VEHIDCODE],CONTROL[ENGLISH])</f>
        <v>AEG Berlin U-Bahn A I</v>
      </c>
      <c r="F333" t="s">
        <v>584</v>
      </c>
      <c r="G333" s="40" t="str">
        <f>_xlfn.XLOOKUP(PROPERTIES[[#This Row],[COUNTRY]],COUNTRIES[COUNTRY_DESCRIPTION],COUNTRIES[COUNTRY_LABEL],"")</f>
        <v>DE</v>
      </c>
      <c r="H333" t="str" cm="1">
        <f t="array" ref="H3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3" t="s">
        <v>22</v>
      </c>
      <c r="J333">
        <v>85</v>
      </c>
      <c r="K333">
        <v>5</v>
      </c>
      <c r="L333">
        <v>0</v>
      </c>
      <c r="M333" t="str" cm="1">
        <f t="array" ref="M3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3">
        <f>_xlfn.XLOOKUP("LOADINGSPEEDDEF_"&amp;PROPERTIES[[#This Row],[LOADINGSPEED]],LOADINGSPEEDDEF[TYPE],LOADINGSPEEDDEF[SPEED])</f>
        <v>120</v>
      </c>
      <c r="O333" cm="1">
        <f t="array" ref="O3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3">
        <f>IF(ISNUMBER(SEARCH("passenger",PROPERTIES[[#This Row],[CARGODEF]])),1,0)</f>
        <v>1</v>
      </c>
      <c r="Q333" s="23">
        <v>18.5</v>
      </c>
      <c r="R333">
        <v>320</v>
      </c>
      <c r="S333">
        <v>0</v>
      </c>
      <c r="T333">
        <v>0</v>
      </c>
      <c r="U333">
        <v>0</v>
      </c>
      <c r="V333">
        <v>50</v>
      </c>
      <c r="W333">
        <v>0</v>
      </c>
      <c r="X333">
        <v>0</v>
      </c>
      <c r="Y333">
        <v>0</v>
      </c>
      <c r="Z333" s="20">
        <v>0</v>
      </c>
      <c r="AA333" s="19">
        <f>IFERROR(PROPERTIES[[#This Row],[TE_STARTING_KN]]/(PROPERTIES[[#This Row],[WEIGHT]]*9.81),0)</f>
        <v>0</v>
      </c>
      <c r="AB333" s="19">
        <v>0.18</v>
      </c>
      <c r="AC333" s="16">
        <f>ROUND(IF(IFERROR(PROPERTIES[[#This Row],[TE_COEFFICIENT_CALC]],0)=0,PROPERTIES[[#This Row],[TE_COEFFICIENT_MANUAL]],PROPERTIES[[#This Row],[TE_COEFFICIENT_CALC]]),3)</f>
        <v>0.18</v>
      </c>
      <c r="AD333" s="8" cm="1">
        <f t="array" ref="AD3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3" s="26">
        <v>88</v>
      </c>
      <c r="AF333" s="6">
        <v>5</v>
      </c>
      <c r="AG333" t="s">
        <v>230</v>
      </c>
      <c r="AH333" t="s">
        <v>229</v>
      </c>
      <c r="AI333" t="s">
        <v>229</v>
      </c>
      <c r="AJ333" s="2" t="s">
        <v>229</v>
      </c>
      <c r="AK333" s="2" t="s">
        <v>244</v>
      </c>
      <c r="AL33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3" s="2" t="str">
        <f>SUBSTITUTE(SUBSTITUTE(PROPERTIES[[#This Row],[PURCHASECOST_VALUE]], "PURCHASECOST_", ""), "_VALUE", "")</f>
        <v>METRO</v>
      </c>
      <c r="AO333" s="44" t="b">
        <v>0</v>
      </c>
      <c r="AP333" s="48" t="b">
        <v>0</v>
      </c>
      <c r="AQ333" s="48" t="b">
        <v>0</v>
      </c>
      <c r="AR333" s="48">
        <v>0</v>
      </c>
      <c r="AS333" s="48" t="b">
        <v>0</v>
      </c>
      <c r="AT333" s="7" t="b">
        <v>0</v>
      </c>
      <c r="AU333" s="40" t="str" cm="1">
        <f t="array" ref="AU333">_xlfn.XLOOKUP(PROPERTIES[[#This Row],[VEHIDCODE]],GRAPHICS_PROPERTIES[VEHIDCODE],GRAPHICS_PROPERTIES[TEMPLATE_ID]&amp;GRAPHICS_PROPERTIES[TEMPLATE_AMENDMENT_CODE])</f>
        <v>TPL_02C</v>
      </c>
    </row>
    <row r="334" spans="1:47" x14ac:dyDescent="0.35">
      <c r="A334" s="2" t="s">
        <v>2968</v>
      </c>
      <c r="B334">
        <v>1910</v>
      </c>
      <c r="C334">
        <v>1955</v>
      </c>
      <c r="D334" cm="1">
        <f t="array" ref="D3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4" s="40" t="str">
        <f>_xlfn.XLOOKUP(PROPERTIES[[#This Row],[VEHIDCODE]],CONTROL[VEHIDCODE],CONTROL[ENGLISH])</f>
        <v>ACF New York Hedley Hi-V</v>
      </c>
      <c r="F334" t="s">
        <v>757</v>
      </c>
      <c r="G334" s="40" t="str">
        <f>_xlfn.XLOOKUP(PROPERTIES[[#This Row],[COUNTRY]],COUNTRIES[COUNTRY_DESCRIPTION],COUNTRIES[COUNTRY_LABEL],"")</f>
        <v>US</v>
      </c>
      <c r="H334" t="str" cm="1">
        <f t="array" ref="H3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4" t="s">
        <v>22</v>
      </c>
      <c r="J334">
        <v>100</v>
      </c>
      <c r="K334">
        <v>8</v>
      </c>
      <c r="M334" t="str" cm="1">
        <f t="array" ref="M3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4">
        <f>_xlfn.XLOOKUP("LOADINGSPEEDDEF_"&amp;PROPERTIES[[#This Row],[LOADINGSPEED]],LOADINGSPEEDDEF[TYPE],LOADINGSPEEDDEF[SPEED])</f>
        <v>120</v>
      </c>
      <c r="O334" cm="1">
        <f t="array" ref="O3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4">
        <f>IF(ISNUMBER(SEARCH("passenger",PROPERTIES[[#This Row],[CARGODEF]])),1,0)</f>
        <v>1</v>
      </c>
      <c r="Q334" s="23">
        <v>38.5</v>
      </c>
      <c r="R334">
        <v>400</v>
      </c>
      <c r="S334">
        <v>0</v>
      </c>
      <c r="T334">
        <v>0</v>
      </c>
      <c r="U334">
        <v>0</v>
      </c>
      <c r="V334">
        <v>72</v>
      </c>
      <c r="W334">
        <v>0</v>
      </c>
      <c r="X334">
        <v>0</v>
      </c>
      <c r="Y334">
        <v>0</v>
      </c>
      <c r="Z334" s="20">
        <v>0</v>
      </c>
      <c r="AA334" s="19">
        <f>IFERROR(PROPERTIES[[#This Row],[TE_STARTING_KN]]/(PROPERTIES[[#This Row],[WEIGHT]]*9.81),0)</f>
        <v>0</v>
      </c>
      <c r="AB334" s="19">
        <v>0.18</v>
      </c>
      <c r="AC334" s="16">
        <f>ROUND(IF(IFERROR(PROPERTIES[[#This Row],[TE_COEFFICIENT_CALC]],0)=0,PROPERTIES[[#This Row],[TE_COEFFICIENT_MANUAL]],PROPERTIES[[#This Row],[TE_COEFFICIENT_CALC]]),3)</f>
        <v>0.18</v>
      </c>
      <c r="AD334" s="8" cm="1">
        <f t="array" ref="AD3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4" s="26">
        <v>128</v>
      </c>
      <c r="AF334" s="6">
        <v>8</v>
      </c>
      <c r="AG334" t="s">
        <v>235</v>
      </c>
      <c r="AH334" t="s">
        <v>229</v>
      </c>
      <c r="AI334" t="s">
        <v>229</v>
      </c>
      <c r="AJ334" s="2" t="s">
        <v>229</v>
      </c>
      <c r="AK334" s="2" t="s">
        <v>244</v>
      </c>
      <c r="AL33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4" s="2" t="str">
        <f>SUBSTITUTE(SUBSTITUTE(PROPERTIES[[#This Row],[PURCHASECOST_VALUE]], "PURCHASECOST_", ""), "_VALUE", "")</f>
        <v>METRO</v>
      </c>
      <c r="AO334" s="44" t="b">
        <v>0</v>
      </c>
      <c r="AP334" s="48" t="b">
        <v>0</v>
      </c>
      <c r="AQ334" s="48" t="b">
        <v>0</v>
      </c>
      <c r="AR334" s="48">
        <v>0</v>
      </c>
      <c r="AS334" s="48" t="b">
        <v>0</v>
      </c>
      <c r="AT334" s="7" t="b">
        <v>0</v>
      </c>
      <c r="AU334" s="40" t="str" cm="1">
        <f t="array" ref="AU334">_xlfn.XLOOKUP(PROPERTIES[[#This Row],[VEHIDCODE]],GRAPHICS_PROPERTIES[VEHIDCODE],GRAPHICS_PROPERTIES[TEMPLATE_ID]&amp;GRAPHICS_PROPERTIES[TEMPLATE_AMENDMENT_CODE])</f>
        <v>TPL_02C</v>
      </c>
    </row>
    <row r="335" spans="1:47" x14ac:dyDescent="0.35">
      <c r="A335" s="2" t="s">
        <v>2969</v>
      </c>
      <c r="B335">
        <v>1933</v>
      </c>
      <c r="C335">
        <v>1972</v>
      </c>
      <c r="D335" cm="1">
        <f t="array" ref="D3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5" s="40" t="str">
        <f>_xlfn.XLOOKUP(PROPERTIES[[#This Row],[VEHIDCODE]],CONTROL[VEHIDCODE],CONTROL[ENGLISH])</f>
        <v>Kawasaki Osaka 1000</v>
      </c>
      <c r="F335" t="s">
        <v>640</v>
      </c>
      <c r="G335" s="40" t="str">
        <f>_xlfn.XLOOKUP(PROPERTIES[[#This Row],[COUNTRY]],COUNTRIES[COUNTRY_DESCRIPTION],COUNTRIES[COUNTRY_LABEL],"")</f>
        <v>JP</v>
      </c>
      <c r="H335" t="str" cm="1">
        <f t="array" ref="H3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5" t="s">
        <v>22</v>
      </c>
      <c r="J335">
        <v>120</v>
      </c>
      <c r="K335">
        <v>7</v>
      </c>
      <c r="L335">
        <v>0</v>
      </c>
      <c r="M335" t="str" cm="1">
        <f t="array" ref="M3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5">
        <f>_xlfn.XLOOKUP("LOADINGSPEEDDEF_"&amp;PROPERTIES[[#This Row],[LOADINGSPEED]],LOADINGSPEEDDEF[TYPE],LOADINGSPEEDDEF[SPEED])</f>
        <v>120</v>
      </c>
      <c r="O335" cm="1">
        <f t="array" ref="O3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5">
        <f>IF(ISNUMBER(SEARCH("passenger",PROPERTIES[[#This Row],[CARGODEF]])),1,0)</f>
        <v>1</v>
      </c>
      <c r="Q335" s="23">
        <v>40</v>
      </c>
      <c r="R335">
        <v>615</v>
      </c>
      <c r="S335">
        <v>0</v>
      </c>
      <c r="T335">
        <v>0</v>
      </c>
      <c r="U335">
        <v>0</v>
      </c>
      <c r="V335">
        <v>65</v>
      </c>
      <c r="W335">
        <v>0</v>
      </c>
      <c r="X335">
        <v>0</v>
      </c>
      <c r="Y335">
        <v>0</v>
      </c>
      <c r="Z335" s="20">
        <v>0</v>
      </c>
      <c r="AA335" s="19">
        <f>IFERROR(PROPERTIES[[#This Row],[TE_STARTING_KN]]/(PROPERTIES[[#This Row],[WEIGHT]]*9.81),0)</f>
        <v>0</v>
      </c>
      <c r="AB335" s="19">
        <v>0.2</v>
      </c>
      <c r="AC335" s="16">
        <f>ROUND(IF(IFERROR(PROPERTIES[[#This Row],[TE_COEFFICIENT_CALC]],0)=0,PROPERTIES[[#This Row],[TE_COEFFICIENT_MANUAL]],PROPERTIES[[#This Row],[TE_COEFFICIENT_CALC]]),3)</f>
        <v>0.2</v>
      </c>
      <c r="AD335" s="8" cm="1">
        <f t="array" ref="AD3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5" s="26">
        <v>145</v>
      </c>
      <c r="AF335" s="6">
        <v>7</v>
      </c>
      <c r="AG335" t="s">
        <v>238</v>
      </c>
      <c r="AH335" t="s">
        <v>229</v>
      </c>
      <c r="AI335" t="s">
        <v>229</v>
      </c>
      <c r="AJ335" s="2" t="s">
        <v>229</v>
      </c>
      <c r="AK335" s="2" t="s">
        <v>244</v>
      </c>
      <c r="AL33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5" s="2" t="str">
        <f>SUBSTITUTE(SUBSTITUTE(PROPERTIES[[#This Row],[PURCHASECOST_VALUE]], "PURCHASECOST_", ""), "_VALUE", "")</f>
        <v>METRO</v>
      </c>
      <c r="AO335" s="44" t="b">
        <v>0</v>
      </c>
      <c r="AP335" s="48" t="b">
        <v>0</v>
      </c>
      <c r="AQ335" s="48" t="b">
        <v>0</v>
      </c>
      <c r="AR335" s="48">
        <v>0</v>
      </c>
      <c r="AS335" s="48" t="b">
        <v>0</v>
      </c>
      <c r="AT335" s="7" t="b">
        <v>0</v>
      </c>
      <c r="AU335" s="40" t="str" cm="1">
        <f t="array" ref="AU335">_xlfn.XLOOKUP(PROPERTIES[[#This Row],[VEHIDCODE]],GRAPHICS_PROPERTIES[VEHIDCODE],GRAPHICS_PROPERTIES[TEMPLATE_ID]&amp;GRAPHICS_PROPERTIES[TEMPLATE_AMENDMENT_CODE])</f>
        <v>TPL_02C</v>
      </c>
    </row>
    <row r="336" spans="1:47" x14ac:dyDescent="0.35">
      <c r="A336" s="2" t="s">
        <v>2970</v>
      </c>
      <c r="B336">
        <v>1934</v>
      </c>
      <c r="C336">
        <v>1975</v>
      </c>
      <c r="D336" cm="1">
        <f t="array" ref="D3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6" s="40" t="str">
        <f>_xlfn.XLOOKUP(PROPERTIES[[#This Row],[VEHIDCODE]],CONTROL[VEHIDCODE],CONTROL[ENGLISH])</f>
        <v>MMZ Type A</v>
      </c>
      <c r="F336" t="s">
        <v>716</v>
      </c>
      <c r="G336" s="40" t="str">
        <f>_xlfn.XLOOKUP(PROPERTIES[[#This Row],[COUNTRY]],COUNTRIES[COUNTRY_DESCRIPTION],COUNTRIES[COUNTRY_LABEL],"")</f>
        <v>RU</v>
      </c>
      <c r="H336" t="str" cm="1">
        <f t="array" ref="H3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6" t="s">
        <v>22</v>
      </c>
      <c r="J336">
        <v>135</v>
      </c>
      <c r="K336">
        <v>7</v>
      </c>
      <c r="L336">
        <v>0</v>
      </c>
      <c r="M336" t="str" cm="1">
        <f t="array" ref="M3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6">
        <f>_xlfn.XLOOKUP("LOADINGSPEEDDEF_"&amp;PROPERTIES[[#This Row],[LOADINGSPEED]],LOADINGSPEEDDEF[TYPE],LOADINGSPEEDDEF[SPEED])</f>
        <v>120</v>
      </c>
      <c r="O336" cm="1">
        <f t="array" ref="O3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6">
        <f>IF(ISNUMBER(SEARCH("passenger",PROPERTIES[[#This Row],[CARGODEF]])),1,0)</f>
        <v>1</v>
      </c>
      <c r="Q336" s="23">
        <v>41</v>
      </c>
      <c r="R336">
        <v>535</v>
      </c>
      <c r="S336">
        <v>0</v>
      </c>
      <c r="T336">
        <v>0</v>
      </c>
      <c r="U336">
        <v>0</v>
      </c>
      <c r="V336">
        <v>65</v>
      </c>
      <c r="W336">
        <v>0</v>
      </c>
      <c r="X336">
        <v>0</v>
      </c>
      <c r="Y336">
        <v>0</v>
      </c>
      <c r="Z336" s="20">
        <v>0</v>
      </c>
      <c r="AA336" s="19">
        <f>IFERROR(PROPERTIES[[#This Row],[TE_STARTING_KN]]/(PROPERTIES[[#This Row],[WEIGHT]]*9.81),0)</f>
        <v>0</v>
      </c>
      <c r="AB336" s="19">
        <v>0.19</v>
      </c>
      <c r="AC336" s="16">
        <f>ROUND(IF(IFERROR(PROPERTIES[[#This Row],[TE_COEFFICIENT_CALC]],0)=0,PROPERTIES[[#This Row],[TE_COEFFICIENT_MANUAL]],PROPERTIES[[#This Row],[TE_COEFFICIENT_CALC]]),3)</f>
        <v>0.19</v>
      </c>
      <c r="AD336" s="8" cm="1">
        <f t="array" ref="AD3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6" s="26">
        <v>131</v>
      </c>
      <c r="AF336" s="6">
        <v>7</v>
      </c>
      <c r="AG336" t="s">
        <v>1948</v>
      </c>
      <c r="AH336" t="s">
        <v>229</v>
      </c>
      <c r="AI336" t="s">
        <v>229</v>
      </c>
      <c r="AJ336" s="2" t="s">
        <v>229</v>
      </c>
      <c r="AK336" s="2" t="s">
        <v>244</v>
      </c>
      <c r="AL33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6" s="2" t="str">
        <f>SUBSTITUTE(SUBSTITUTE(PROPERTIES[[#This Row],[PURCHASECOST_VALUE]], "PURCHASECOST_", ""), "_VALUE", "")</f>
        <v>METRO</v>
      </c>
      <c r="AO336" s="44" t="b">
        <v>0</v>
      </c>
      <c r="AP336" s="48" t="b">
        <v>0</v>
      </c>
      <c r="AQ336" s="48" t="b">
        <v>0</v>
      </c>
      <c r="AR336" s="48">
        <v>0</v>
      </c>
      <c r="AS336" s="48" t="b">
        <v>0</v>
      </c>
      <c r="AT336" s="7" t="b">
        <v>0</v>
      </c>
      <c r="AU336" s="40" t="str" cm="1">
        <f t="array" ref="AU336">_xlfn.XLOOKUP(PROPERTIES[[#This Row],[VEHIDCODE]],GRAPHICS_PROPERTIES[VEHIDCODE],GRAPHICS_PROPERTIES[TEMPLATE_ID]&amp;GRAPHICS_PROPERTIES[TEMPLATE_AMENDMENT_CODE])</f>
        <v>TPL_02C</v>
      </c>
    </row>
    <row r="337" spans="1:47" x14ac:dyDescent="0.35">
      <c r="A337" s="2" t="s">
        <v>2971</v>
      </c>
      <c r="B337">
        <v>1948</v>
      </c>
      <c r="C337">
        <v>1983</v>
      </c>
      <c r="D337" cm="1">
        <f t="array" ref="D3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7" s="40" t="str">
        <f>_xlfn.XLOOKUP(PROPERTIES[[#This Row],[VEHIDCODE]],CONTROL[VEHIDCODE],CONTROL[ENGLISH])</f>
        <v>ACF New York R10</v>
      </c>
      <c r="F337" t="s">
        <v>757</v>
      </c>
      <c r="G337" s="40" t="str">
        <f>_xlfn.XLOOKUP(PROPERTIES[[#This Row],[COUNTRY]],COUNTRIES[COUNTRY_DESCRIPTION],COUNTRIES[COUNTRY_LABEL],"")</f>
        <v>US</v>
      </c>
      <c r="H337" t="str" cm="1">
        <f t="array" ref="H3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7" t="s">
        <v>22</v>
      </c>
      <c r="J337">
        <v>145</v>
      </c>
      <c r="K337">
        <v>8</v>
      </c>
      <c r="M337" t="str" cm="1">
        <f t="array" ref="M3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7">
        <f>_xlfn.XLOOKUP("LOADINGSPEEDDEF_"&amp;PROPERTIES[[#This Row],[LOADINGSPEED]],LOADINGSPEEDDEF[TYPE],LOADINGSPEEDDEF[SPEED])</f>
        <v>120</v>
      </c>
      <c r="O337" cm="1">
        <f t="array" ref="O3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7">
        <f>IF(ISNUMBER(SEARCH("passenger",PROPERTIES[[#This Row],[CARGODEF]])),1,0)</f>
        <v>1</v>
      </c>
      <c r="Q337" s="23">
        <v>36.5</v>
      </c>
      <c r="R337">
        <v>800</v>
      </c>
      <c r="S337">
        <v>0</v>
      </c>
      <c r="T337">
        <v>0</v>
      </c>
      <c r="U337">
        <v>0</v>
      </c>
      <c r="V337">
        <v>88</v>
      </c>
      <c r="W337">
        <v>0</v>
      </c>
      <c r="X337">
        <v>0</v>
      </c>
      <c r="Y337">
        <v>0</v>
      </c>
      <c r="Z337" s="20">
        <v>0</v>
      </c>
      <c r="AA337" s="19">
        <f>IFERROR(PROPERTIES[[#This Row],[TE_STARTING_KN]]/(PROPERTIES[[#This Row],[WEIGHT]]*9.81),0)</f>
        <v>0</v>
      </c>
      <c r="AB337" s="19">
        <v>0.21</v>
      </c>
      <c r="AC337" s="16">
        <f>ROUND(IF(IFERROR(PROPERTIES[[#This Row],[TE_COEFFICIENT_CALC]],0)=0,PROPERTIES[[#This Row],[TE_COEFFICIENT_MANUAL]],PROPERTIES[[#This Row],[TE_COEFFICIENT_CALC]]),3)</f>
        <v>0.21</v>
      </c>
      <c r="AD337" s="8" cm="1">
        <f t="array" ref="AD3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7" s="26">
        <v>160</v>
      </c>
      <c r="AF337" s="6">
        <v>8</v>
      </c>
      <c r="AG337" t="s">
        <v>235</v>
      </c>
      <c r="AH337" t="s">
        <v>229</v>
      </c>
      <c r="AI337" t="s">
        <v>229</v>
      </c>
      <c r="AJ337" s="2" t="s">
        <v>229</v>
      </c>
      <c r="AK337" s="2" t="s">
        <v>244</v>
      </c>
      <c r="AL33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7" s="2" t="str">
        <f>SUBSTITUTE(SUBSTITUTE(PROPERTIES[[#This Row],[PURCHASECOST_VALUE]], "PURCHASECOST_", ""), "_VALUE", "")</f>
        <v>METRO</v>
      </c>
      <c r="AO337" s="44" t="b">
        <v>0</v>
      </c>
      <c r="AP337" s="48" t="b">
        <v>0</v>
      </c>
      <c r="AQ337" s="48" t="b">
        <v>0</v>
      </c>
      <c r="AR337" s="48">
        <v>0</v>
      </c>
      <c r="AS337" s="48" t="b">
        <v>0</v>
      </c>
      <c r="AT337" s="7" t="b">
        <v>0</v>
      </c>
      <c r="AU337" s="40" t="str" cm="1">
        <f t="array" ref="AU337">_xlfn.XLOOKUP(PROPERTIES[[#This Row],[VEHIDCODE]],GRAPHICS_PROPERTIES[VEHIDCODE],GRAPHICS_PROPERTIES[TEMPLATE_ID]&amp;GRAPHICS_PROPERTIES[TEMPLATE_AMENDMENT_CODE])</f>
        <v>TPL_02C</v>
      </c>
    </row>
    <row r="338" spans="1:47" x14ac:dyDescent="0.35">
      <c r="A338" s="2" t="s">
        <v>2972</v>
      </c>
      <c r="B338">
        <v>1954</v>
      </c>
      <c r="C338">
        <v>2010</v>
      </c>
      <c r="D338" cm="1">
        <f t="array" ref="D3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8" s="40" t="str">
        <f>_xlfn.XLOOKUP(PROPERTIES[[#This Row],[VEHIDCODE]],CONTROL[VEHIDCODE],CONTROL[ENGLISH])</f>
        <v>Stanga Rome MR 100</v>
      </c>
      <c r="F338" t="s">
        <v>636</v>
      </c>
      <c r="G338" s="40" t="str">
        <f>_xlfn.XLOOKUP(PROPERTIES[[#This Row],[COUNTRY]],COUNTRIES[COUNTRY_DESCRIPTION],COUNTRIES[COUNTRY_LABEL],"")</f>
        <v>IT</v>
      </c>
      <c r="H338" t="str" cm="1">
        <f t="array" ref="H3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8" t="s">
        <v>22</v>
      </c>
      <c r="J338">
        <v>140</v>
      </c>
      <c r="K338">
        <v>7</v>
      </c>
      <c r="L338">
        <v>0</v>
      </c>
      <c r="M338" t="str" cm="1">
        <f t="array" ref="M3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8">
        <f>_xlfn.XLOOKUP("LOADINGSPEEDDEF_"&amp;PROPERTIES[[#This Row],[LOADINGSPEED]],LOADINGSPEEDDEF[TYPE],LOADINGSPEEDDEF[SPEED])</f>
        <v>120</v>
      </c>
      <c r="O338" cm="1">
        <f t="array" ref="O3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8">
        <f>IF(ISNUMBER(SEARCH("passenger",PROPERTIES[[#This Row],[CARGODEF]])),1,0)</f>
        <v>1</v>
      </c>
      <c r="Q338" s="23">
        <v>40</v>
      </c>
      <c r="R338">
        <v>830</v>
      </c>
      <c r="S338">
        <v>0</v>
      </c>
      <c r="T338">
        <v>0</v>
      </c>
      <c r="U338">
        <v>0</v>
      </c>
      <c r="V338">
        <v>100</v>
      </c>
      <c r="W338">
        <v>0</v>
      </c>
      <c r="X338">
        <v>0</v>
      </c>
      <c r="Y338">
        <v>0</v>
      </c>
      <c r="Z338" s="20">
        <v>0</v>
      </c>
      <c r="AA338" s="19">
        <f>IFERROR(PROPERTIES[[#This Row],[TE_STARTING_KN]]/(PROPERTIES[[#This Row],[WEIGHT]]*9.81),0)</f>
        <v>0</v>
      </c>
      <c r="AB338" s="19">
        <v>0.21</v>
      </c>
      <c r="AC338" s="16">
        <f>ROUND(IF(IFERROR(PROPERTIES[[#This Row],[TE_COEFFICIENT_CALC]],0)=0,PROPERTIES[[#This Row],[TE_COEFFICIENT_MANUAL]],PROPERTIES[[#This Row],[TE_COEFFICIENT_CALC]]),3)</f>
        <v>0.21</v>
      </c>
      <c r="AD338" s="8" cm="1">
        <f t="array" ref="AD3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338" s="26">
        <v>156</v>
      </c>
      <c r="AF338" s="6">
        <v>7</v>
      </c>
      <c r="AG338" t="s">
        <v>231</v>
      </c>
      <c r="AH338" t="s">
        <v>229</v>
      </c>
      <c r="AI338" t="s">
        <v>229</v>
      </c>
      <c r="AJ338" s="2" t="s">
        <v>229</v>
      </c>
      <c r="AK338" s="2" t="s">
        <v>244</v>
      </c>
      <c r="AL33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8" s="2" t="str">
        <f>SUBSTITUTE(SUBSTITUTE(PROPERTIES[[#This Row],[PURCHASECOST_VALUE]], "PURCHASECOST_", ""), "_VALUE", "")</f>
        <v>METRO</v>
      </c>
      <c r="AO338" s="44" t="b">
        <v>0</v>
      </c>
      <c r="AP338" s="48" t="b">
        <v>0</v>
      </c>
      <c r="AQ338" s="48" t="b">
        <v>0</v>
      </c>
      <c r="AR338" s="48">
        <v>0</v>
      </c>
      <c r="AS338" s="48" t="b">
        <v>0</v>
      </c>
      <c r="AT338" s="7" t="b">
        <v>0</v>
      </c>
      <c r="AU338" s="40" t="str" cm="1">
        <f t="array" ref="AU338">_xlfn.XLOOKUP(PROPERTIES[[#This Row],[VEHIDCODE]],GRAPHICS_PROPERTIES[VEHIDCODE],GRAPHICS_PROPERTIES[TEMPLATE_ID]&amp;GRAPHICS_PROPERTIES[TEMPLATE_AMENDMENT_CODE])</f>
        <v>TPL_02C</v>
      </c>
    </row>
    <row r="339" spans="1:47" x14ac:dyDescent="0.35">
      <c r="A339" s="2" t="s">
        <v>2973</v>
      </c>
      <c r="B339">
        <v>1955</v>
      </c>
      <c r="C339">
        <v>1995</v>
      </c>
      <c r="D339" cm="1">
        <f t="array" ref="D3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9" s="40" t="str">
        <f>_xlfn.XLOOKUP(PROPERTIES[[#This Row],[VEHIDCODE]],CONTROL[VEHIDCODE],CONTROL[ENGLISH])</f>
        <v>MMZ 81-702 Type D</v>
      </c>
      <c r="F339" t="s">
        <v>716</v>
      </c>
      <c r="G339" s="40" t="str">
        <f>_xlfn.XLOOKUP(PROPERTIES[[#This Row],[COUNTRY]],COUNTRIES[COUNTRY_DESCRIPTION],COUNTRIES[COUNTRY_LABEL],"")</f>
        <v>RU</v>
      </c>
      <c r="H339" t="str" cm="1">
        <f t="array" ref="H3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9" t="s">
        <v>22</v>
      </c>
      <c r="J339">
        <v>140</v>
      </c>
      <c r="K339">
        <v>8</v>
      </c>
      <c r="M339" t="str" cm="1">
        <f t="array" ref="M3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9">
        <f>_xlfn.XLOOKUP("LOADINGSPEEDDEF_"&amp;PROPERTIES[[#This Row],[LOADINGSPEED]],LOADINGSPEEDDEF[TYPE],LOADINGSPEEDDEF[SPEED])</f>
        <v>120</v>
      </c>
      <c r="O339" cm="1">
        <f t="array" ref="O3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9">
        <f>IF(ISNUMBER(SEARCH("passenger",PROPERTIES[[#This Row],[CARGODEF]])),1,0)</f>
        <v>1</v>
      </c>
      <c r="Q339" s="23">
        <v>36.200000000000003</v>
      </c>
      <c r="R339">
        <v>760</v>
      </c>
      <c r="S339">
        <v>0</v>
      </c>
      <c r="T339">
        <v>0</v>
      </c>
      <c r="U339">
        <v>0</v>
      </c>
      <c r="V339">
        <v>75</v>
      </c>
      <c r="W339">
        <v>0</v>
      </c>
      <c r="X339">
        <v>0</v>
      </c>
      <c r="Y339">
        <v>0</v>
      </c>
      <c r="Z339" s="20">
        <v>0</v>
      </c>
      <c r="AA339" s="19">
        <f>IFERROR(PROPERTIES[[#This Row],[TE_STARTING_KN]]/(PROPERTIES[[#This Row],[WEIGHT]]*9.81),0)</f>
        <v>0</v>
      </c>
      <c r="AB339" s="19">
        <v>0.21</v>
      </c>
      <c r="AC339" s="16">
        <f>ROUND(IF(IFERROR(PROPERTIES[[#This Row],[TE_COEFFICIENT_CALC]],0)=0,PROPERTIES[[#This Row],[TE_COEFFICIENT_MANUAL]],PROPERTIES[[#This Row],[TE_COEFFICIENT_CALC]]),3)</f>
        <v>0.21</v>
      </c>
      <c r="AD339" s="8" cm="1">
        <f t="array" ref="AD3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9" s="26">
        <v>132</v>
      </c>
      <c r="AF339" s="6">
        <v>8</v>
      </c>
      <c r="AG339" t="s">
        <v>1948</v>
      </c>
      <c r="AH339" t="s">
        <v>229</v>
      </c>
      <c r="AI339" t="s">
        <v>229</v>
      </c>
      <c r="AJ339" s="2" t="s">
        <v>229</v>
      </c>
      <c r="AK339" s="2" t="s">
        <v>244</v>
      </c>
      <c r="AL33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9" s="2" t="str">
        <f>SUBSTITUTE(SUBSTITUTE(PROPERTIES[[#This Row],[PURCHASECOST_VALUE]], "PURCHASECOST_", ""), "_VALUE", "")</f>
        <v>METRO</v>
      </c>
      <c r="AO339" s="44" t="b">
        <v>0</v>
      </c>
      <c r="AP339" s="48" t="b">
        <v>0</v>
      </c>
      <c r="AQ339" s="48" t="b">
        <v>0</v>
      </c>
      <c r="AR339" s="48">
        <v>0</v>
      </c>
      <c r="AS339" s="48" t="b">
        <v>0</v>
      </c>
      <c r="AT339" s="7" t="b">
        <v>0</v>
      </c>
      <c r="AU339" s="40" t="str" cm="1">
        <f t="array" ref="AU339">_xlfn.XLOOKUP(PROPERTIES[[#This Row],[VEHIDCODE]],GRAPHICS_PROPERTIES[VEHIDCODE],GRAPHICS_PROPERTIES[TEMPLATE_ID]&amp;GRAPHICS_PROPERTIES[TEMPLATE_AMENDMENT_CODE])</f>
        <v>TPL_02C</v>
      </c>
    </row>
    <row r="340" spans="1:47" x14ac:dyDescent="0.35">
      <c r="A340" s="2" t="s">
        <v>2974</v>
      </c>
      <c r="B340">
        <v>1968</v>
      </c>
      <c r="C340">
        <v>2003</v>
      </c>
      <c r="D340" cm="1">
        <f t="array" ref="D3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0" s="40" t="str">
        <f>_xlfn.XLOOKUP(PROPERTIES[[#This Row],[VEHIDCODE]],CONTROL[VEHIDCODE],CONTROL[ENGLISH])</f>
        <v>Werkspoor Rotterdam MG2 Type M</v>
      </c>
      <c r="F340" t="s">
        <v>692</v>
      </c>
      <c r="G340" s="40" t="str">
        <f>_xlfn.XLOOKUP(PROPERTIES[[#This Row],[COUNTRY]],COUNTRIES[COUNTRY_DESCRIPTION],COUNTRIES[COUNTRY_LABEL],"")</f>
        <v>NL</v>
      </c>
      <c r="H340" t="str" cm="1">
        <f t="array" ref="H3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0" t="s">
        <v>22</v>
      </c>
      <c r="J340">
        <v>140</v>
      </c>
      <c r="K340">
        <v>7</v>
      </c>
      <c r="L340">
        <v>0</v>
      </c>
      <c r="M340" t="str" cm="1">
        <f t="array" ref="M3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0">
        <f>_xlfn.XLOOKUP("LOADINGSPEEDDEF_"&amp;PROPERTIES[[#This Row],[LOADINGSPEED]],LOADINGSPEEDDEF[TYPE],LOADINGSPEEDDEF[SPEED])</f>
        <v>120</v>
      </c>
      <c r="O340" cm="1">
        <f t="array" ref="O3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40">
        <f>IF(ISNUMBER(SEARCH("passenger",PROPERTIES[[#This Row],[CARGODEF]])),1,0)</f>
        <v>1</v>
      </c>
      <c r="Q340" s="23">
        <v>25</v>
      </c>
      <c r="R340">
        <v>630</v>
      </c>
      <c r="S340">
        <v>0</v>
      </c>
      <c r="T340">
        <v>0</v>
      </c>
      <c r="U340">
        <v>0</v>
      </c>
      <c r="V340">
        <v>80</v>
      </c>
      <c r="W340">
        <v>0</v>
      </c>
      <c r="X340">
        <v>0</v>
      </c>
      <c r="Y340">
        <v>0</v>
      </c>
      <c r="Z340" s="20">
        <v>0</v>
      </c>
      <c r="AA340" s="19">
        <f>IFERROR(PROPERTIES[[#This Row],[TE_STARTING_KN]]/(PROPERTIES[[#This Row],[WEIGHT]]*9.81),0)</f>
        <v>0</v>
      </c>
      <c r="AB340" s="19">
        <v>0.23</v>
      </c>
      <c r="AC340" s="16">
        <f>ROUND(IF(IFERROR(PROPERTIES[[#This Row],[TE_COEFFICIENT_CALC]],0)=0,PROPERTIES[[#This Row],[TE_COEFFICIENT_MANUAL]],PROPERTIES[[#This Row],[TE_COEFFICIENT_CALC]]),3)</f>
        <v>0.23</v>
      </c>
      <c r="AD340" s="8" cm="1">
        <f t="array" ref="AD3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0" s="26">
        <v>235</v>
      </c>
      <c r="AF340" s="6">
        <v>7</v>
      </c>
      <c r="AG340" t="s">
        <v>230</v>
      </c>
      <c r="AH340" t="s">
        <v>229</v>
      </c>
      <c r="AI340" t="s">
        <v>229</v>
      </c>
      <c r="AJ340" s="2" t="s">
        <v>229</v>
      </c>
      <c r="AK340" s="2" t="s">
        <v>244</v>
      </c>
      <c r="AL34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0" s="2" t="str">
        <f>SUBSTITUTE(SUBSTITUTE(PROPERTIES[[#This Row],[PURCHASECOST_VALUE]], "PURCHASECOST_", ""), "_VALUE", "")</f>
        <v>METRO</v>
      </c>
      <c r="AO340" s="44" t="b">
        <v>0</v>
      </c>
      <c r="AP340" s="48" t="b">
        <v>0</v>
      </c>
      <c r="AQ340" s="48" t="b">
        <v>0</v>
      </c>
      <c r="AR340" s="48">
        <v>0</v>
      </c>
      <c r="AS340" s="48" t="b">
        <v>0</v>
      </c>
      <c r="AT340" s="7" t="b">
        <v>0</v>
      </c>
      <c r="AU340" s="40" t="str" cm="1">
        <f t="array" ref="AU340">_xlfn.XLOOKUP(PROPERTIES[[#This Row],[VEHIDCODE]],GRAPHICS_PROPERTIES[VEHIDCODE],GRAPHICS_PROPERTIES[TEMPLATE_ID]&amp;GRAPHICS_PROPERTIES[TEMPLATE_AMENDMENT_CODE])</f>
        <v>TPL_02C</v>
      </c>
    </row>
    <row r="341" spans="1:47" x14ac:dyDescent="0.35">
      <c r="A341" s="2" t="s">
        <v>2975</v>
      </c>
      <c r="B341">
        <v>1972</v>
      </c>
      <c r="C341">
        <v>1997</v>
      </c>
      <c r="D341" cm="1">
        <f t="array" ref="D3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1" s="40" t="str">
        <f>_xlfn.XLOOKUP(PROPERTIES[[#This Row],[VEHIDCODE]],CONTROL[VEHIDCODE],CONTROL[ENGLISH])</f>
        <v>MMZ 81-709 ECS</v>
      </c>
      <c r="F341" t="s">
        <v>716</v>
      </c>
      <c r="G341" s="40" t="str">
        <f>_xlfn.XLOOKUP(PROPERTIES[[#This Row],[COUNTRY]],COUNTRIES[COUNTRY_DESCRIPTION],COUNTRIES[COUNTRY_LABEL],"")</f>
        <v>RU</v>
      </c>
      <c r="H341" t="str" cm="1">
        <f t="array" ref="H3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1" t="s">
        <v>22</v>
      </c>
      <c r="J341">
        <v>131</v>
      </c>
      <c r="K341">
        <v>8</v>
      </c>
      <c r="M341" t="str" cm="1">
        <f t="array" ref="M3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1">
        <f>_xlfn.XLOOKUP("LOADINGSPEEDDEF_"&amp;PROPERTIES[[#This Row],[LOADINGSPEED]],LOADINGSPEEDDEF[TYPE],LOADINGSPEEDDEF[SPEED])</f>
        <v>120</v>
      </c>
      <c r="O341" cm="1">
        <f t="array" ref="O3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41">
        <f>IF(ISNUMBER(SEARCH("passenger",PROPERTIES[[#This Row],[CARGODEF]])),1,0)</f>
        <v>1</v>
      </c>
      <c r="Q341" s="23">
        <v>32.5</v>
      </c>
      <c r="R341">
        <v>910</v>
      </c>
      <c r="S341">
        <v>0</v>
      </c>
      <c r="T341">
        <v>0</v>
      </c>
      <c r="U341">
        <v>0</v>
      </c>
      <c r="V341">
        <v>80</v>
      </c>
      <c r="W341">
        <v>0</v>
      </c>
      <c r="X341">
        <v>0</v>
      </c>
      <c r="Y341">
        <v>0</v>
      </c>
      <c r="Z341" s="20">
        <v>0</v>
      </c>
      <c r="AA341" s="19">
        <f>IFERROR(PROPERTIES[[#This Row],[TE_STARTING_KN]]/(PROPERTIES[[#This Row],[WEIGHT]]*9.81),0)</f>
        <v>0</v>
      </c>
      <c r="AB341" s="19">
        <v>0.25</v>
      </c>
      <c r="AC341" s="16">
        <f>ROUND(IF(IFERROR(PROPERTIES[[#This Row],[TE_COEFFICIENT_CALC]],0)=0,PROPERTIES[[#This Row],[TE_COEFFICIENT_MANUAL]],PROPERTIES[[#This Row],[TE_COEFFICIENT_CALC]]),3)</f>
        <v>0.25</v>
      </c>
      <c r="AD341" s="8" cm="1">
        <f t="array" ref="AD3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1" s="26">
        <v>150</v>
      </c>
      <c r="AF341" s="6">
        <v>8</v>
      </c>
      <c r="AG341" t="s">
        <v>1948</v>
      </c>
      <c r="AH341" t="s">
        <v>229</v>
      </c>
      <c r="AI341" t="s">
        <v>229</v>
      </c>
      <c r="AJ341" s="2" t="s">
        <v>229</v>
      </c>
      <c r="AK341" s="2" t="s">
        <v>244</v>
      </c>
      <c r="AL34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1" s="2" t="str">
        <f>SUBSTITUTE(SUBSTITUTE(PROPERTIES[[#This Row],[PURCHASECOST_VALUE]], "PURCHASECOST_", ""), "_VALUE", "")</f>
        <v>METRO</v>
      </c>
      <c r="AO341" s="44" t="b">
        <v>0</v>
      </c>
      <c r="AP341" s="48" t="b">
        <v>0</v>
      </c>
      <c r="AQ341" s="48" t="b">
        <v>1</v>
      </c>
      <c r="AR341" s="48">
        <v>0</v>
      </c>
      <c r="AS341" s="48" t="b">
        <v>0</v>
      </c>
      <c r="AT341" s="7" t="b">
        <v>1</v>
      </c>
      <c r="AU341" s="40" t="str" cm="1">
        <f t="array" ref="AU341">_xlfn.XLOOKUP(PROPERTIES[[#This Row],[VEHIDCODE]],GRAPHICS_PROPERTIES[VEHIDCODE],GRAPHICS_PROPERTIES[TEMPLATE_ID]&amp;GRAPHICS_PROPERTIES[TEMPLATE_AMENDMENT_CODE])</f>
        <v>TPL_02C</v>
      </c>
    </row>
    <row r="342" spans="1:47" x14ac:dyDescent="0.35">
      <c r="A342" s="2" t="s">
        <v>2976</v>
      </c>
      <c r="B342">
        <v>1999</v>
      </c>
      <c r="C342">
        <v>2019</v>
      </c>
      <c r="D342" cm="1">
        <f t="array" ref="D3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2" s="40" t="str">
        <f>_xlfn.XLOOKUP(PROPERTIES[[#This Row],[VEHIDCODE]],CONTROL[VEHIDCODE],CONTROL[ENGLISH])</f>
        <v>Hitachi Buenos Aires Serie 1200</v>
      </c>
      <c r="F342" t="s">
        <v>538</v>
      </c>
      <c r="G342" s="40" t="str">
        <f>_xlfn.XLOOKUP(PROPERTIES[[#This Row],[COUNTRY]],COUNTRIES[COUNTRY_DESCRIPTION],COUNTRIES[COUNTRY_LABEL],"")</f>
        <v>AR</v>
      </c>
      <c r="H342" t="str" cm="1">
        <f t="array" ref="H3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2" t="s">
        <v>22</v>
      </c>
      <c r="J342">
        <v>115</v>
      </c>
      <c r="K342">
        <v>7</v>
      </c>
      <c r="L342">
        <v>0</v>
      </c>
      <c r="M342" t="str" cm="1">
        <f t="array" ref="M3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2">
        <f>_xlfn.XLOOKUP("LOADINGSPEEDDEF_"&amp;PROPERTIES[[#This Row],[LOADINGSPEED]],LOADINGSPEEDDEF[TYPE],LOADINGSPEEDDEF[SPEED])</f>
        <v>120</v>
      </c>
      <c r="O342" t="str" cm="1">
        <f t="array" ref="O3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2">
        <f>IF(ISNUMBER(SEARCH("passenger",PROPERTIES[[#This Row],[CARGODEF]])),1,0)</f>
        <v>1</v>
      </c>
      <c r="Q342" s="23">
        <v>23.5</v>
      </c>
      <c r="R342">
        <v>640</v>
      </c>
      <c r="S342">
        <v>0</v>
      </c>
      <c r="T342">
        <v>0</v>
      </c>
      <c r="U342">
        <v>0</v>
      </c>
      <c r="V342">
        <v>75</v>
      </c>
      <c r="W342">
        <v>0</v>
      </c>
      <c r="X342">
        <v>0</v>
      </c>
      <c r="Y342">
        <v>0</v>
      </c>
      <c r="Z342" s="20">
        <v>0</v>
      </c>
      <c r="AA342" s="19">
        <f>IFERROR(PROPERTIES[[#This Row],[TE_STARTING_KN]]/(PROPERTIES[[#This Row],[WEIGHT]]*9.81),0)</f>
        <v>0</v>
      </c>
      <c r="AB342" s="19">
        <v>0.23</v>
      </c>
      <c r="AC342" s="16">
        <f>ROUND(IF(IFERROR(PROPERTIES[[#This Row],[TE_COEFFICIENT_CALC]],0)=0,PROPERTIES[[#This Row],[TE_COEFFICIENT_MANUAL]],PROPERTIES[[#This Row],[TE_COEFFICIENT_CALC]]),3)</f>
        <v>0.23</v>
      </c>
      <c r="AD342" s="8" cm="1">
        <f t="array" ref="AD3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2" s="26">
        <v>162</v>
      </c>
      <c r="AF342" s="6">
        <v>7</v>
      </c>
      <c r="AG342" t="s">
        <v>237</v>
      </c>
      <c r="AH342" t="s">
        <v>229</v>
      </c>
      <c r="AI342" t="s">
        <v>229</v>
      </c>
      <c r="AJ342" s="2" t="s">
        <v>229</v>
      </c>
      <c r="AK342" s="2" t="s">
        <v>244</v>
      </c>
      <c r="AL34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2" s="2" t="str">
        <f>SUBSTITUTE(SUBSTITUTE(PROPERTIES[[#This Row],[PURCHASECOST_VALUE]], "PURCHASECOST_", ""), "_VALUE", "")</f>
        <v>METRO</v>
      </c>
      <c r="AO342" s="44" t="b">
        <v>0</v>
      </c>
      <c r="AP342" s="48" t="b">
        <v>0</v>
      </c>
      <c r="AQ342" s="48" t="b">
        <v>0</v>
      </c>
      <c r="AR342" s="48">
        <v>0</v>
      </c>
      <c r="AS342" s="48" t="b">
        <v>0</v>
      </c>
      <c r="AT342" s="7" t="b">
        <v>0</v>
      </c>
      <c r="AU342" s="40" t="str" cm="1">
        <f t="array" ref="AU342">_xlfn.XLOOKUP(PROPERTIES[[#This Row],[VEHIDCODE]],GRAPHICS_PROPERTIES[VEHIDCODE],GRAPHICS_PROPERTIES[TEMPLATE_ID]&amp;GRAPHICS_PROPERTIES[TEMPLATE_AMENDMENT_CODE])</f>
        <v>TPL_02C</v>
      </c>
    </row>
    <row r="343" spans="1:47" x14ac:dyDescent="0.35">
      <c r="A343" s="2" t="s">
        <v>2977</v>
      </c>
      <c r="B343">
        <v>1996</v>
      </c>
      <c r="D343" cm="1">
        <f t="array" ref="D3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3" s="40" t="str">
        <f>_xlfn.XLOOKUP(PROPERTIES[[#This Row],[VEHIDCODE]],CONTROL[VEHIDCODE],CONTROL[ENGLISH])</f>
        <v>GEC-Alsthom Santiago NS-93</v>
      </c>
      <c r="F343" t="s">
        <v>573</v>
      </c>
      <c r="G343" s="40" t="str">
        <f>_xlfn.XLOOKUP(PROPERTIES[[#This Row],[COUNTRY]],COUNTRIES[COUNTRY_DESCRIPTION],COUNTRIES[COUNTRY_LABEL],"")</f>
        <v>CL</v>
      </c>
      <c r="H343" t="str" cm="1">
        <f t="array" ref="H3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3" t="s">
        <v>22</v>
      </c>
      <c r="J343">
        <v>160</v>
      </c>
      <c r="K343">
        <v>7</v>
      </c>
      <c r="L343">
        <v>0</v>
      </c>
      <c r="M343" t="str" cm="1">
        <f t="array" ref="M3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3">
        <f>_xlfn.XLOOKUP("LOADINGSPEEDDEF_"&amp;PROPERTIES[[#This Row],[LOADINGSPEED]],LOADINGSPEEDDEF[TYPE],LOADINGSPEEDDEF[SPEED])</f>
        <v>120</v>
      </c>
      <c r="O343" t="str" cm="1">
        <f t="array" ref="O3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3">
        <f>IF(ISNUMBER(SEARCH("passenger",PROPERTIES[[#This Row],[CARGODEF]])),1,0)</f>
        <v>1</v>
      </c>
      <c r="Q343" s="23">
        <v>24.5</v>
      </c>
      <c r="R343">
        <v>2400</v>
      </c>
      <c r="S343">
        <v>0</v>
      </c>
      <c r="T343">
        <v>0</v>
      </c>
      <c r="U343">
        <v>0</v>
      </c>
      <c r="V343">
        <v>100</v>
      </c>
      <c r="W343">
        <v>0</v>
      </c>
      <c r="X343">
        <v>0</v>
      </c>
      <c r="Y343">
        <v>0</v>
      </c>
      <c r="Z343" s="20">
        <v>0</v>
      </c>
      <c r="AA343" s="19">
        <f>IFERROR(PROPERTIES[[#This Row],[TE_STARTING_KN]]/(PROPERTIES[[#This Row],[WEIGHT]]*9.81),0)</f>
        <v>0</v>
      </c>
      <c r="AB343" s="19">
        <v>0.35</v>
      </c>
      <c r="AC343" s="16">
        <f>ROUND(IF(IFERROR(PROPERTIES[[#This Row],[TE_COEFFICIENT_CALC]],0)=0,PROPERTIES[[#This Row],[TE_COEFFICIENT_MANUAL]],PROPERTIES[[#This Row],[TE_COEFFICIENT_CALC]]),3)</f>
        <v>0.35</v>
      </c>
      <c r="AD343" s="8" cm="1">
        <f t="array" ref="AD3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3" s="26">
        <v>116</v>
      </c>
      <c r="AF343" s="6">
        <v>7</v>
      </c>
      <c r="AG343" t="s">
        <v>237</v>
      </c>
      <c r="AH343" t="s">
        <v>229</v>
      </c>
      <c r="AI343" t="s">
        <v>229</v>
      </c>
      <c r="AJ343" s="2" t="s">
        <v>229</v>
      </c>
      <c r="AK343" s="2" t="s">
        <v>244</v>
      </c>
      <c r="AL34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3" s="2" t="str">
        <f>SUBSTITUTE(SUBSTITUTE(PROPERTIES[[#This Row],[PURCHASECOST_VALUE]], "PURCHASECOST_", ""), "_VALUE", "")</f>
        <v>METRO</v>
      </c>
      <c r="AO343" s="44" t="b">
        <v>0</v>
      </c>
      <c r="AP343" s="48" t="b">
        <v>0</v>
      </c>
      <c r="AQ343" s="48" t="b">
        <v>0</v>
      </c>
      <c r="AR343" s="48">
        <v>0</v>
      </c>
      <c r="AS343" s="48" t="b">
        <v>0</v>
      </c>
      <c r="AT343" s="7" t="b">
        <v>0</v>
      </c>
      <c r="AU343" s="40" t="str" cm="1">
        <f t="array" ref="AU343">_xlfn.XLOOKUP(PROPERTIES[[#This Row],[VEHIDCODE]],GRAPHICS_PROPERTIES[VEHIDCODE],GRAPHICS_PROPERTIES[TEMPLATE_ID]&amp;GRAPHICS_PROPERTIES[TEMPLATE_AMENDMENT_CODE])</f>
        <v>TPL_02C</v>
      </c>
    </row>
    <row r="344" spans="1:47" x14ac:dyDescent="0.35">
      <c r="A344" s="2" t="s">
        <v>2978</v>
      </c>
      <c r="B344">
        <v>2004</v>
      </c>
      <c r="D344" cm="1">
        <f t="array" ref="D3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4" s="40" t="str">
        <f>_xlfn.XLOOKUP(PROPERTIES[[#This Row],[VEHIDCODE]],CONTROL[VEHIDCODE],CONTROL[ENGLISH])</f>
        <v>Alstom Brasil Santiago AS-2002</v>
      </c>
      <c r="F344" t="s">
        <v>573</v>
      </c>
      <c r="G344" s="40" t="str">
        <f>_xlfn.XLOOKUP(PROPERTIES[[#This Row],[COUNTRY]],COUNTRIES[COUNTRY_DESCRIPTION],COUNTRIES[COUNTRY_LABEL],"")</f>
        <v>CL</v>
      </c>
      <c r="H344" t="str" cm="1">
        <f t="array" ref="H3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4" t="s">
        <v>22</v>
      </c>
      <c r="J344">
        <v>175</v>
      </c>
      <c r="K344">
        <v>8</v>
      </c>
      <c r="M344" t="str" cm="1">
        <f t="array" ref="M3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4">
        <f>_xlfn.XLOOKUP("LOADINGSPEEDDEF_"&amp;PROPERTIES[[#This Row],[LOADINGSPEED]],LOADINGSPEEDDEF[TYPE],LOADINGSPEEDDEF[SPEED])</f>
        <v>120</v>
      </c>
      <c r="O344" t="str" cm="1">
        <f t="array" ref="O3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4">
        <f>IF(ISNUMBER(SEARCH("passenger",PROPERTIES[[#This Row],[CARGODEF]])),1,0)</f>
        <v>1</v>
      </c>
      <c r="Q344" s="23">
        <v>32</v>
      </c>
      <c r="R344">
        <v>1550</v>
      </c>
      <c r="S344">
        <v>0</v>
      </c>
      <c r="T344">
        <v>0</v>
      </c>
      <c r="U344">
        <v>0</v>
      </c>
      <c r="V344">
        <v>100</v>
      </c>
      <c r="W344">
        <v>0</v>
      </c>
      <c r="X344">
        <v>0</v>
      </c>
      <c r="Y344">
        <v>0</v>
      </c>
      <c r="Z344" s="20">
        <v>0</v>
      </c>
      <c r="AA344" s="19">
        <f>IFERROR(PROPERTIES[[#This Row],[TE_STARTING_KN]]/(PROPERTIES[[#This Row],[WEIGHT]]*9.81),0)</f>
        <v>0</v>
      </c>
      <c r="AB344" s="19">
        <v>0.28000000000000003</v>
      </c>
      <c r="AC344" s="16">
        <f>ROUND(IF(IFERROR(PROPERTIES[[#This Row],[TE_COEFFICIENT_CALC]],0)=0,PROPERTIES[[#This Row],[TE_COEFFICIENT_MANUAL]],PROPERTIES[[#This Row],[TE_COEFFICIENT_CALC]]),3)</f>
        <v>0.28000000000000003</v>
      </c>
      <c r="AD344" s="8" cm="1">
        <f t="array" ref="AD3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4" s="26">
        <v>196</v>
      </c>
      <c r="AF344" s="6">
        <v>8</v>
      </c>
      <c r="AG344" t="s">
        <v>237</v>
      </c>
      <c r="AH344" t="s">
        <v>229</v>
      </c>
      <c r="AI344" t="s">
        <v>229</v>
      </c>
      <c r="AJ344" s="2" t="s">
        <v>229</v>
      </c>
      <c r="AK344" s="2" t="s">
        <v>244</v>
      </c>
      <c r="AL34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4" s="2" t="str">
        <f>SUBSTITUTE(SUBSTITUTE(PROPERTIES[[#This Row],[PURCHASECOST_VALUE]], "PURCHASECOST_", ""), "_VALUE", "")</f>
        <v>METRO</v>
      </c>
      <c r="AO344" s="44" t="b">
        <v>0</v>
      </c>
      <c r="AP344" s="48" t="b">
        <v>0</v>
      </c>
      <c r="AQ344" s="48" t="b">
        <v>1</v>
      </c>
      <c r="AR344" s="48">
        <v>0</v>
      </c>
      <c r="AS344" s="48" t="b">
        <v>0</v>
      </c>
      <c r="AT344" s="7" t="b">
        <v>1</v>
      </c>
      <c r="AU344" s="40" t="str" cm="1">
        <f t="array" ref="AU344">_xlfn.XLOOKUP(PROPERTIES[[#This Row],[VEHIDCODE]],GRAPHICS_PROPERTIES[VEHIDCODE],GRAPHICS_PROPERTIES[TEMPLATE_ID]&amp;GRAPHICS_PROPERTIES[TEMPLATE_AMENDMENT_CODE])</f>
        <v>TPL_02C</v>
      </c>
    </row>
    <row r="345" spans="1:47" x14ac:dyDescent="0.35">
      <c r="A345" s="2" t="s">
        <v>2979</v>
      </c>
      <c r="B345">
        <v>2008</v>
      </c>
      <c r="D345" cm="1">
        <f t="array" ref="D3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5" s="40" t="str">
        <f>_xlfn.XLOOKUP(PROPERTIES[[#This Row],[VEHIDCODE]],CONTROL[VEHIDCODE],CONTROL[ENGLISH])</f>
        <v>TUDH Recife VLT Mobile 3</v>
      </c>
      <c r="F345" t="s">
        <v>558</v>
      </c>
      <c r="G345" s="40" t="str">
        <f>_xlfn.XLOOKUP(PROPERTIES[[#This Row],[COUNTRY]],COUNTRIES[COUNTRY_DESCRIPTION],COUNTRIES[COUNTRY_LABEL],"")</f>
        <v>BR</v>
      </c>
      <c r="H345" t="str" cm="1">
        <f t="array" ref="H3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5" t="s">
        <v>22</v>
      </c>
      <c r="J345">
        <v>150</v>
      </c>
      <c r="K345">
        <v>8</v>
      </c>
      <c r="M345" t="str" cm="1">
        <f t="array" ref="M3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5">
        <f>_xlfn.XLOOKUP("LOADINGSPEEDDEF_"&amp;PROPERTIES[[#This Row],[LOADINGSPEED]],LOADINGSPEEDDEF[TYPE],LOADINGSPEEDDEF[SPEED])</f>
        <v>120</v>
      </c>
      <c r="O345" t="str" cm="1">
        <f t="array" ref="O3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5">
        <f>IF(ISNUMBER(SEARCH("passenger",PROPERTIES[[#This Row],[CARGODEF]])),1,0)</f>
        <v>1</v>
      </c>
      <c r="Q345" s="23">
        <v>28</v>
      </c>
      <c r="R345">
        <v>1000</v>
      </c>
      <c r="S345">
        <v>0</v>
      </c>
      <c r="T345">
        <v>0</v>
      </c>
      <c r="U345">
        <v>0</v>
      </c>
      <c r="V345">
        <v>80</v>
      </c>
      <c r="W345">
        <v>0</v>
      </c>
      <c r="X345">
        <v>0</v>
      </c>
      <c r="Y345">
        <v>0</v>
      </c>
      <c r="Z345" s="20">
        <v>0</v>
      </c>
      <c r="AA345" s="19">
        <f>IFERROR(PROPERTIES[[#This Row],[TE_STARTING_KN]]/(PROPERTIES[[#This Row],[WEIGHT]]*9.81),0)</f>
        <v>0</v>
      </c>
      <c r="AB345" s="19">
        <v>0.24</v>
      </c>
      <c r="AC345" s="16">
        <f>ROUND(IF(IFERROR(PROPERTIES[[#This Row],[TE_COEFFICIENT_CALC]],0)=0,PROPERTIES[[#This Row],[TE_COEFFICIENT_MANUAL]],PROPERTIES[[#This Row],[TE_COEFFICIENT_CALC]]),3)</f>
        <v>0.24</v>
      </c>
      <c r="AD345" s="8" cm="1">
        <f t="array" ref="AD3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5" s="26">
        <v>182</v>
      </c>
      <c r="AF345" s="6">
        <v>8</v>
      </c>
      <c r="AG345" t="s">
        <v>237</v>
      </c>
      <c r="AH345" t="s">
        <v>229</v>
      </c>
      <c r="AI345" t="s">
        <v>229</v>
      </c>
      <c r="AJ345" s="2" t="s">
        <v>229</v>
      </c>
      <c r="AK345" s="2" t="s">
        <v>244</v>
      </c>
      <c r="AL34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5" s="2" t="str">
        <f>SUBSTITUTE(SUBSTITUTE(PROPERTIES[[#This Row],[PURCHASECOST_VALUE]], "PURCHASECOST_", ""), "_VALUE", "")</f>
        <v>METRO</v>
      </c>
      <c r="AO345" s="44" t="b">
        <v>0</v>
      </c>
      <c r="AP345" s="48" t="b">
        <v>0</v>
      </c>
      <c r="AQ345" s="48" t="b">
        <v>0</v>
      </c>
      <c r="AR345" s="48">
        <v>0</v>
      </c>
      <c r="AS345" s="48" t="b">
        <v>0</v>
      </c>
      <c r="AT345" s="7" t="b">
        <v>0</v>
      </c>
      <c r="AU345" s="40" t="str" cm="1">
        <f t="array" ref="AU345">_xlfn.XLOOKUP(PROPERTIES[[#This Row],[VEHIDCODE]],GRAPHICS_PROPERTIES[VEHIDCODE],GRAPHICS_PROPERTIES[TEMPLATE_ID]&amp;GRAPHICS_PROPERTIES[TEMPLATE_AMENDMENT_CODE])</f>
        <v>TPL_02C</v>
      </c>
    </row>
    <row r="346" spans="1:47" x14ac:dyDescent="0.35">
      <c r="A346" s="2" t="s">
        <v>2980</v>
      </c>
      <c r="B346">
        <v>1974</v>
      </c>
      <c r="C346">
        <v>2010</v>
      </c>
      <c r="D346" cm="1">
        <f t="array" ref="D3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6" s="40" t="str">
        <f>_xlfn.XLOOKUP(PROPERTIES[[#This Row],[VEHIDCODE]],CONTROL[VEHIDCODE],CONTROL[ENGLISH])</f>
        <v>CAF Madrid Series 5000</v>
      </c>
      <c r="F346" t="s">
        <v>595</v>
      </c>
      <c r="G346" s="40" t="str">
        <f>_xlfn.XLOOKUP(PROPERTIES[[#This Row],[COUNTRY]],COUNTRIES[COUNTRY_DESCRIPTION],COUNTRIES[COUNTRY_LABEL],"")</f>
        <v>ES</v>
      </c>
      <c r="H346" t="str" cm="1">
        <f t="array" ref="H3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6" t="s">
        <v>22</v>
      </c>
      <c r="J346">
        <v>160</v>
      </c>
      <c r="K346">
        <v>8</v>
      </c>
      <c r="M346" t="str" cm="1">
        <f t="array" ref="M3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6">
        <f>_xlfn.XLOOKUP("LOADINGSPEEDDEF_"&amp;PROPERTIES[[#This Row],[LOADINGSPEED]],LOADINGSPEEDDEF[TYPE],LOADINGSPEEDDEF[SPEED])</f>
        <v>120</v>
      </c>
      <c r="O346" cm="1">
        <f t="array" ref="O3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46">
        <f>IF(ISNUMBER(SEARCH("passenger",PROPERTIES[[#This Row],[CARGODEF]])),1,0)</f>
        <v>1</v>
      </c>
      <c r="Q346" s="23">
        <v>32</v>
      </c>
      <c r="R346">
        <v>1100</v>
      </c>
      <c r="S346">
        <v>0</v>
      </c>
      <c r="T346">
        <v>0</v>
      </c>
      <c r="U346">
        <v>0</v>
      </c>
      <c r="V346">
        <v>80</v>
      </c>
      <c r="W346">
        <v>0</v>
      </c>
      <c r="X346">
        <v>0</v>
      </c>
      <c r="Y346">
        <v>0</v>
      </c>
      <c r="Z346" s="20">
        <v>0</v>
      </c>
      <c r="AA346" s="19">
        <f>IFERROR(PROPERTIES[[#This Row],[TE_STARTING_KN]]/(PROPERTIES[[#This Row],[WEIGHT]]*9.81),0)</f>
        <v>0</v>
      </c>
      <c r="AB346" s="19">
        <v>0.24</v>
      </c>
      <c r="AC346" s="16">
        <f>ROUND(IF(IFERROR(PROPERTIES[[#This Row],[TE_COEFFICIENT_CALC]],0)=0,PROPERTIES[[#This Row],[TE_COEFFICIENT_MANUAL]],PROPERTIES[[#This Row],[TE_COEFFICIENT_CALC]]),3)</f>
        <v>0.24</v>
      </c>
      <c r="AD346" s="8" cm="1">
        <f t="array" ref="AD3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6" s="26">
        <v>192</v>
      </c>
      <c r="AF346" s="6">
        <v>8</v>
      </c>
      <c r="AG346" t="s">
        <v>231</v>
      </c>
      <c r="AH346" t="s">
        <v>229</v>
      </c>
      <c r="AI346" t="s">
        <v>229</v>
      </c>
      <c r="AJ346" s="2" t="s">
        <v>229</v>
      </c>
      <c r="AK346" s="2" t="s">
        <v>244</v>
      </c>
      <c r="AL34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6" s="2" t="str">
        <f>SUBSTITUTE(SUBSTITUTE(PROPERTIES[[#This Row],[PURCHASECOST_VALUE]], "PURCHASECOST_", ""), "_VALUE", "")</f>
        <v>METRO</v>
      </c>
      <c r="AO346" s="44" t="b">
        <v>0</v>
      </c>
      <c r="AP346" s="48" t="b">
        <v>0</v>
      </c>
      <c r="AQ346" s="48" t="b">
        <v>0</v>
      </c>
      <c r="AR346" s="48">
        <v>0</v>
      </c>
      <c r="AS346" s="48" t="b">
        <v>0</v>
      </c>
      <c r="AT346" s="7" t="b">
        <v>0</v>
      </c>
      <c r="AU346" s="40" t="str" cm="1">
        <f t="array" ref="AU346">_xlfn.XLOOKUP(PROPERTIES[[#This Row],[VEHIDCODE]],GRAPHICS_PROPERTIES[VEHIDCODE],GRAPHICS_PROPERTIES[TEMPLATE_ID]&amp;GRAPHICS_PROPERTIES[TEMPLATE_AMENDMENT_CODE])</f>
        <v>TPL_02C</v>
      </c>
    </row>
    <row r="347" spans="1:47" x14ac:dyDescent="0.35">
      <c r="A347" s="2" t="s">
        <v>2981</v>
      </c>
      <c r="B347">
        <v>1999</v>
      </c>
      <c r="D347" cm="1">
        <f t="array" ref="D3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7" s="40" t="str">
        <f>_xlfn.XLOOKUP(PROPERTIES[[#This Row],[VEHIDCODE]],CONTROL[VEHIDCODE],CONTROL[ENGLISH])</f>
        <v>CAF Rome S/300</v>
      </c>
      <c r="F347" t="s">
        <v>636</v>
      </c>
      <c r="G347" s="40" t="str">
        <f>_xlfn.XLOOKUP(PROPERTIES[[#This Row],[COUNTRY]],COUNTRIES[COUNTRY_DESCRIPTION],COUNTRIES[COUNTRY_LABEL],"")</f>
        <v>IT</v>
      </c>
      <c r="H347" t="str" cm="1">
        <f t="array" ref="H3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7" t="s">
        <v>22</v>
      </c>
      <c r="J347">
        <v>210</v>
      </c>
      <c r="K347">
        <v>8</v>
      </c>
      <c r="M347" t="str" cm="1">
        <f t="array" ref="M3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7">
        <f>_xlfn.XLOOKUP("LOADINGSPEEDDEF_"&amp;PROPERTIES[[#This Row],[LOADINGSPEED]],LOADINGSPEEDDEF[TYPE],LOADINGSPEEDDEF[SPEED])</f>
        <v>120</v>
      </c>
      <c r="O347" t="str" cm="1">
        <f t="array" ref="O3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7">
        <f>IF(ISNUMBER(SEARCH("passenger",PROPERTIES[[#This Row],[CARGODEF]])),1,0)</f>
        <v>1</v>
      </c>
      <c r="Q347" s="23">
        <v>31.5</v>
      </c>
      <c r="R347">
        <v>1650</v>
      </c>
      <c r="S347">
        <v>0</v>
      </c>
      <c r="T347">
        <v>0</v>
      </c>
      <c r="U347">
        <v>0</v>
      </c>
      <c r="V347">
        <v>80</v>
      </c>
      <c r="W347">
        <v>0</v>
      </c>
      <c r="X347">
        <v>0</v>
      </c>
      <c r="Y347">
        <v>0</v>
      </c>
      <c r="Z347" s="20">
        <v>0</v>
      </c>
      <c r="AA347" s="19">
        <f>IFERROR(PROPERTIES[[#This Row],[TE_STARTING_KN]]/(PROPERTIES[[#This Row],[WEIGHT]]*9.81),0)</f>
        <v>0</v>
      </c>
      <c r="AB347" s="19">
        <v>0.3</v>
      </c>
      <c r="AC347" s="16">
        <f>ROUND(IF(IFERROR(PROPERTIES[[#This Row],[TE_COEFFICIENT_CALC]],0)=0,PROPERTIES[[#This Row],[TE_COEFFICIENT_MANUAL]],PROPERTIES[[#This Row],[TE_COEFFICIENT_CALC]]),3)</f>
        <v>0.3</v>
      </c>
      <c r="AD347" s="8" cm="1">
        <f t="array" ref="AD3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7" s="26">
        <v>194</v>
      </c>
      <c r="AF347" s="6">
        <v>8</v>
      </c>
      <c r="AG347" t="s">
        <v>231</v>
      </c>
      <c r="AH347" t="s">
        <v>229</v>
      </c>
      <c r="AI347" t="s">
        <v>229</v>
      </c>
      <c r="AJ347" s="2" t="s">
        <v>229</v>
      </c>
      <c r="AK347" s="2" t="s">
        <v>244</v>
      </c>
      <c r="AL34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7" s="2" t="str">
        <f>SUBSTITUTE(SUBSTITUTE(PROPERTIES[[#This Row],[PURCHASECOST_VALUE]], "PURCHASECOST_", ""), "_VALUE", "")</f>
        <v>METRO</v>
      </c>
      <c r="AO347" s="44" t="b">
        <v>0</v>
      </c>
      <c r="AP347" s="48" t="b">
        <v>0</v>
      </c>
      <c r="AQ347" s="48" t="b">
        <v>0</v>
      </c>
      <c r="AR347" s="48">
        <v>0</v>
      </c>
      <c r="AS347" s="48" t="b">
        <v>0</v>
      </c>
      <c r="AT347" s="7" t="b">
        <v>0</v>
      </c>
      <c r="AU347" s="40" t="str" cm="1">
        <f t="array" ref="AU347">_xlfn.XLOOKUP(PROPERTIES[[#This Row],[VEHIDCODE]],GRAPHICS_PROPERTIES[VEHIDCODE],GRAPHICS_PROPERTIES[TEMPLATE_ID]&amp;GRAPHICS_PROPERTIES[TEMPLATE_AMENDMENT_CODE])</f>
        <v>TPL_02C</v>
      </c>
    </row>
    <row r="348" spans="1:47" x14ac:dyDescent="0.35">
      <c r="A348" s="2" t="s">
        <v>2982</v>
      </c>
      <c r="B348">
        <v>2011</v>
      </c>
      <c r="D348" cm="1">
        <f t="array" ref="D3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8" s="40" t="str">
        <f>_xlfn.XLOOKUP(PROPERTIES[[#This Row],[VEHIDCODE]],CONTROL[VEHIDCODE],CONTROL[ENGLISH])</f>
        <v>CAF Algiers 2011 Stock</v>
      </c>
      <c r="F348" t="s">
        <v>589</v>
      </c>
      <c r="G348" s="40" t="str">
        <f>_xlfn.XLOOKUP(PROPERTIES[[#This Row],[COUNTRY]],COUNTRIES[COUNTRY_DESCRIPTION],COUNTRIES[COUNTRY_LABEL],"")</f>
        <v>DZ</v>
      </c>
      <c r="H348" t="str" cm="1">
        <f t="array" ref="H3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8" t="s">
        <v>22</v>
      </c>
      <c r="J348">
        <v>165</v>
      </c>
      <c r="K348">
        <v>7</v>
      </c>
      <c r="L348">
        <v>0</v>
      </c>
      <c r="M348" t="str" cm="1">
        <f t="array" ref="M3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8">
        <f>_xlfn.XLOOKUP("LOADINGSPEEDDEF_"&amp;PROPERTIES[[#This Row],[LOADINGSPEED]],LOADINGSPEEDDEF[TYPE],LOADINGSPEEDDEF[SPEED])</f>
        <v>120</v>
      </c>
      <c r="O348" t="str" cm="1">
        <f t="array" ref="O3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8">
        <f>IF(ISNUMBER(SEARCH("passenger",PROPERTIES[[#This Row],[CARGODEF]])),1,0)</f>
        <v>1</v>
      </c>
      <c r="Q348" s="23">
        <v>25.5</v>
      </c>
      <c r="R348">
        <v>1450</v>
      </c>
      <c r="S348">
        <v>0</v>
      </c>
      <c r="T348">
        <v>0</v>
      </c>
      <c r="U348">
        <v>0</v>
      </c>
      <c r="V348">
        <v>80</v>
      </c>
      <c r="W348">
        <v>0</v>
      </c>
      <c r="X348">
        <v>0</v>
      </c>
      <c r="Y348">
        <v>0</v>
      </c>
      <c r="Z348" s="20">
        <v>0</v>
      </c>
      <c r="AA348" s="19">
        <f>IFERROR(PROPERTIES[[#This Row],[TE_STARTING_KN]]/(PROPERTIES[[#This Row],[WEIGHT]]*9.81),0)</f>
        <v>0</v>
      </c>
      <c r="AB348" s="19">
        <v>0.3</v>
      </c>
      <c r="AC348" s="16">
        <f>ROUND(IF(IFERROR(PROPERTIES[[#This Row],[TE_COEFFICIENT_CALC]],0)=0,PROPERTIES[[#This Row],[TE_COEFFICIENT_MANUAL]],PROPERTIES[[#This Row],[TE_COEFFICIENT_CALC]]),3)</f>
        <v>0.3</v>
      </c>
      <c r="AD348" s="8" cm="1">
        <f t="array" ref="AD3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8" s="26">
        <v>215</v>
      </c>
      <c r="AF348" s="6">
        <v>7</v>
      </c>
      <c r="AG348" t="s">
        <v>233</v>
      </c>
      <c r="AH348" t="s">
        <v>229</v>
      </c>
      <c r="AI348" t="s">
        <v>229</v>
      </c>
      <c r="AJ348" s="2" t="s">
        <v>229</v>
      </c>
      <c r="AK348" s="2" t="s">
        <v>244</v>
      </c>
      <c r="AL34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8" s="2" t="str">
        <f>SUBSTITUTE(SUBSTITUTE(PROPERTIES[[#This Row],[PURCHASECOST_VALUE]], "PURCHASECOST_", ""), "_VALUE", "")</f>
        <v>METRO</v>
      </c>
      <c r="AO348" s="44" t="b">
        <v>0</v>
      </c>
      <c r="AP348" s="48" t="b">
        <v>0</v>
      </c>
      <c r="AQ348" s="48" t="b">
        <v>0</v>
      </c>
      <c r="AR348" s="48">
        <v>0</v>
      </c>
      <c r="AS348" s="48" t="b">
        <v>0</v>
      </c>
      <c r="AT348" s="7" t="b">
        <v>0</v>
      </c>
      <c r="AU348" s="40" t="str" cm="1">
        <f t="array" ref="AU348">_xlfn.XLOOKUP(PROPERTIES[[#This Row],[VEHIDCODE]],GRAPHICS_PROPERTIES[VEHIDCODE],GRAPHICS_PROPERTIES[TEMPLATE_ID]&amp;GRAPHICS_PROPERTIES[TEMPLATE_AMENDMENT_CODE])</f>
        <v>TPL_02C</v>
      </c>
    </row>
    <row r="349" spans="1:47" x14ac:dyDescent="0.35">
      <c r="A349" s="2" t="s">
        <v>2983</v>
      </c>
      <c r="B349">
        <v>2015</v>
      </c>
      <c r="D349" cm="1">
        <f t="array" ref="D3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9" s="40" t="str">
        <f>_xlfn.XLOOKUP(PROPERTIES[[#This Row],[VEHIDCODE]],CONTROL[VEHIDCODE],CONTROL[ENGLISH])</f>
        <v>Stadler Berlin U-Bahn IK</v>
      </c>
      <c r="F349" t="s">
        <v>584</v>
      </c>
      <c r="G349" s="40" t="str">
        <f>_xlfn.XLOOKUP(PROPERTIES[[#This Row],[COUNTRY]],COUNTRIES[COUNTRY_DESCRIPTION],COUNTRIES[COUNTRY_LABEL],"")</f>
        <v>DE</v>
      </c>
      <c r="H349" t="str" cm="1">
        <f t="array" ref="H3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9" t="s">
        <v>22</v>
      </c>
      <c r="J349">
        <v>125</v>
      </c>
      <c r="K349">
        <v>8</v>
      </c>
      <c r="M349" t="str" cm="1">
        <f t="array" ref="M3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9">
        <f>_xlfn.XLOOKUP("LOADINGSPEEDDEF_"&amp;PROPERTIES[[#This Row],[LOADINGSPEED]],LOADINGSPEEDDEF[TYPE],LOADINGSPEEDDEF[SPEED])</f>
        <v>120</v>
      </c>
      <c r="O349" t="str" cm="1">
        <f t="array" ref="O3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9">
        <f>IF(ISNUMBER(SEARCH("passenger",PROPERTIES[[#This Row],[CARGODEF]])),1,0)</f>
        <v>1</v>
      </c>
      <c r="Q349" s="23">
        <v>21.5</v>
      </c>
      <c r="R349">
        <v>440</v>
      </c>
      <c r="S349">
        <v>0</v>
      </c>
      <c r="T349">
        <v>0</v>
      </c>
      <c r="U349">
        <v>0</v>
      </c>
      <c r="V349">
        <v>80</v>
      </c>
      <c r="W349">
        <v>0</v>
      </c>
      <c r="X349">
        <v>0</v>
      </c>
      <c r="Y349">
        <v>0</v>
      </c>
      <c r="Z349" s="20">
        <v>0</v>
      </c>
      <c r="AA349" s="19">
        <f>IFERROR(PROPERTIES[[#This Row],[TE_STARTING_KN]]/(PROPERTIES[[#This Row],[WEIGHT]]*9.81),0)</f>
        <v>0</v>
      </c>
      <c r="AB349" s="19">
        <v>0.22</v>
      </c>
      <c r="AC349" s="16">
        <f>ROUND(IF(IFERROR(PROPERTIES[[#This Row],[TE_COEFFICIENT_CALC]],0)=0,PROPERTIES[[#This Row],[TE_COEFFICIENT_MANUAL]],PROPERTIES[[#This Row],[TE_COEFFICIENT_CALC]]),3)</f>
        <v>0.22</v>
      </c>
      <c r="AD349" s="8" cm="1">
        <f t="array" ref="AD3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9" s="26">
        <v>145</v>
      </c>
      <c r="AF349" s="6">
        <v>8</v>
      </c>
      <c r="AG349" t="s">
        <v>230</v>
      </c>
      <c r="AH349" t="s">
        <v>229</v>
      </c>
      <c r="AI349" t="s">
        <v>229</v>
      </c>
      <c r="AJ349" s="2" t="s">
        <v>229</v>
      </c>
      <c r="AK349" s="2" t="s">
        <v>244</v>
      </c>
      <c r="AL34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9" s="2" t="str">
        <f>SUBSTITUTE(SUBSTITUTE(PROPERTIES[[#This Row],[PURCHASECOST_VALUE]], "PURCHASECOST_", ""), "_VALUE", "")</f>
        <v>METRO</v>
      </c>
      <c r="AO349" s="44" t="b">
        <v>0</v>
      </c>
      <c r="AP349" s="48" t="b">
        <v>0</v>
      </c>
      <c r="AQ349" s="48" t="b">
        <v>0</v>
      </c>
      <c r="AR349" s="48">
        <v>0</v>
      </c>
      <c r="AS349" s="48" t="b">
        <v>0</v>
      </c>
      <c r="AT349" s="7" t="b">
        <v>0</v>
      </c>
      <c r="AU349" s="40" t="str" cm="1">
        <f t="array" ref="AU349">_xlfn.XLOOKUP(PROPERTIES[[#This Row],[VEHIDCODE]],GRAPHICS_PROPERTIES[VEHIDCODE],GRAPHICS_PROPERTIES[TEMPLATE_ID]&amp;GRAPHICS_PROPERTIES[TEMPLATE_AMENDMENT_CODE])</f>
        <v>TPL_02C</v>
      </c>
    </row>
    <row r="350" spans="1:47" x14ac:dyDescent="0.35">
      <c r="A350" s="2" t="s">
        <v>2984</v>
      </c>
      <c r="B350">
        <v>1950</v>
      </c>
      <c r="C350">
        <v>1992</v>
      </c>
      <c r="D350" cm="1">
        <f t="array" ref="D3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50" s="40" t="str">
        <f>_xlfn.XLOOKUP(PROPERTIES[[#This Row],[VEHIDCODE]],CONTROL[VEHIDCODE],CONTROL[ENGLISH])</f>
        <v>St. Louis Car Company Chicago L 6000 Series</v>
      </c>
      <c r="F350" t="s">
        <v>757</v>
      </c>
      <c r="G350" s="40" t="str">
        <f>_xlfn.XLOOKUP(PROPERTIES[[#This Row],[COUNTRY]],COUNTRIES[COUNTRY_DESCRIPTION],COUNTRIES[COUNTRY_LABEL],"")</f>
        <v>US</v>
      </c>
      <c r="H350" t="str" cm="1">
        <f t="array" ref="H3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50" t="s">
        <v>22</v>
      </c>
      <c r="J350">
        <v>125</v>
      </c>
      <c r="K350">
        <v>7</v>
      </c>
      <c r="L350">
        <v>0</v>
      </c>
      <c r="M350" t="str" cm="1">
        <f t="array" ref="M3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50">
        <f>_xlfn.XLOOKUP("LOADINGSPEEDDEF_"&amp;PROPERTIES[[#This Row],[LOADINGSPEED]],LOADINGSPEEDDEF[TYPE],LOADINGSPEEDDEF[SPEED])</f>
        <v>120</v>
      </c>
      <c r="O350" cm="1">
        <f t="array" ref="O3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0">
        <f>IF(ISNUMBER(SEARCH("passenger",PROPERTIES[[#This Row],[CARGODEF]])),1,0)</f>
        <v>1</v>
      </c>
      <c r="Q350" s="23">
        <v>21.5</v>
      </c>
      <c r="R350">
        <v>440</v>
      </c>
      <c r="S350">
        <v>0</v>
      </c>
      <c r="T350">
        <v>0</v>
      </c>
      <c r="U350">
        <v>0</v>
      </c>
      <c r="V350">
        <v>80</v>
      </c>
      <c r="W350">
        <v>0</v>
      </c>
      <c r="X350">
        <v>0</v>
      </c>
      <c r="Y350">
        <v>0</v>
      </c>
      <c r="Z350" s="20">
        <v>0</v>
      </c>
      <c r="AA350" s="19">
        <f>IFERROR(PROPERTIES[[#This Row],[TE_STARTING_KN]]/(PROPERTIES[[#This Row],[WEIGHT]]*9.81),0)</f>
        <v>0</v>
      </c>
      <c r="AB350" s="19">
        <v>0.22</v>
      </c>
      <c r="AC350" s="16">
        <f>ROUND(IF(IFERROR(PROPERTIES[[#This Row],[TE_COEFFICIENT_CALC]],0)=0,PROPERTIES[[#This Row],[TE_COEFFICIENT_MANUAL]],PROPERTIES[[#This Row],[TE_COEFFICIENT_CALC]]),3)</f>
        <v>0.22</v>
      </c>
      <c r="AD350" s="8" cm="1">
        <f t="array" ref="AD3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50" s="26">
        <v>130</v>
      </c>
      <c r="AF350" s="6">
        <v>7</v>
      </c>
      <c r="AG350" t="s">
        <v>235</v>
      </c>
      <c r="AH350" t="s">
        <v>229</v>
      </c>
      <c r="AI350" t="s">
        <v>229</v>
      </c>
      <c r="AJ350" s="2" t="s">
        <v>229</v>
      </c>
      <c r="AK350" s="2" t="s">
        <v>244</v>
      </c>
      <c r="AL35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5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50" s="2" t="str">
        <f>SUBSTITUTE(SUBSTITUTE(PROPERTIES[[#This Row],[PURCHASECOST_VALUE]], "PURCHASECOST_", ""), "_VALUE", "")</f>
        <v>METRO</v>
      </c>
      <c r="AO350" s="44" t="b">
        <v>0</v>
      </c>
      <c r="AP350" s="48" t="b">
        <v>0</v>
      </c>
      <c r="AQ350" s="48" t="b">
        <v>0</v>
      </c>
      <c r="AR350" s="48">
        <v>0</v>
      </c>
      <c r="AS350" s="48" t="b">
        <v>0</v>
      </c>
      <c r="AT350" s="7" t="b">
        <v>0</v>
      </c>
      <c r="AU350" s="40" t="str" cm="1">
        <f t="array" ref="AU350">_xlfn.XLOOKUP(PROPERTIES[[#This Row],[VEHIDCODE]],GRAPHICS_PROPERTIES[VEHIDCODE],GRAPHICS_PROPERTIES[TEMPLATE_ID]&amp;GRAPHICS_PROPERTIES[TEMPLATE_AMENDMENT_CODE])</f>
        <v>TPL_02C</v>
      </c>
    </row>
    <row r="351" spans="1:47" x14ac:dyDescent="0.35">
      <c r="A351" s="2" t="s">
        <v>2985</v>
      </c>
      <c r="B351">
        <v>1903</v>
      </c>
      <c r="C351">
        <v>1939</v>
      </c>
      <c r="D351" cm="1">
        <f t="array" ref="D3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51" s="40" t="str">
        <f>_xlfn.XLOOKUP(PROPERTIES[[#This Row],[VEHIDCODE]],CONTROL[VEHIDCODE],CONTROL[ENGLISH])</f>
        <v>BRC&amp;W London 1903 Stock</v>
      </c>
      <c r="F351" t="s">
        <v>603</v>
      </c>
      <c r="G351" s="40" t="str">
        <f>_xlfn.XLOOKUP(PROPERTIES[[#This Row],[COUNTRY]],COUNTRIES[COUNTRY_DESCRIPTION],COUNTRIES[COUNTRY_LABEL],"")</f>
        <v>GB</v>
      </c>
      <c r="H351" t="str" cm="1">
        <f t="array" ref="H3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51" t="s">
        <v>22</v>
      </c>
      <c r="J351">
        <v>90</v>
      </c>
      <c r="K351">
        <v>8</v>
      </c>
      <c r="M351" t="str" cm="1">
        <f t="array" ref="M3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51">
        <f>_xlfn.XLOOKUP("LOADINGSPEEDDEF_"&amp;PROPERTIES[[#This Row],[LOADINGSPEED]],LOADINGSPEEDDEF[TYPE],LOADINGSPEEDDEF[SPEED])</f>
        <v>120</v>
      </c>
      <c r="O351" cm="1">
        <f t="array" ref="O3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1">
        <f>IF(ISNUMBER(SEARCH("passenger",PROPERTIES[[#This Row],[CARGODEF]])),1,0)</f>
        <v>1</v>
      </c>
      <c r="Q351" s="23">
        <v>29.5</v>
      </c>
      <c r="R351">
        <v>400</v>
      </c>
      <c r="S351">
        <v>0</v>
      </c>
      <c r="T351">
        <v>0</v>
      </c>
      <c r="U351">
        <v>0</v>
      </c>
      <c r="V351">
        <v>55</v>
      </c>
      <c r="W351">
        <v>0</v>
      </c>
      <c r="X351">
        <v>0</v>
      </c>
      <c r="Y351">
        <v>0</v>
      </c>
      <c r="Z351" s="20">
        <v>0</v>
      </c>
      <c r="AA351" s="19">
        <f>IFERROR(PROPERTIES[[#This Row],[TE_STARTING_KN]]/(PROPERTIES[[#This Row],[WEIGHT]]*9.81),0)</f>
        <v>0</v>
      </c>
      <c r="AB351" s="19">
        <v>0.18</v>
      </c>
      <c r="AC351" s="16">
        <f>ROUND(IF(IFERROR(PROPERTIES[[#This Row],[TE_COEFFICIENT_CALC]],0)=0,PROPERTIES[[#This Row],[TE_COEFFICIENT_MANUAL]],PROPERTIES[[#This Row],[TE_COEFFICIENT_CALC]]),3)</f>
        <v>0.18</v>
      </c>
      <c r="AD351" s="8" cm="1">
        <f t="array" ref="AD3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51" s="26">
        <v>125</v>
      </c>
      <c r="AF351" s="6">
        <v>8</v>
      </c>
      <c r="AG351" t="s">
        <v>234</v>
      </c>
      <c r="AH351" t="s">
        <v>229</v>
      </c>
      <c r="AI351" t="s">
        <v>229</v>
      </c>
      <c r="AJ351" s="2" t="s">
        <v>229</v>
      </c>
      <c r="AK351" s="2" t="s">
        <v>244</v>
      </c>
      <c r="AL35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5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51" s="2" t="str">
        <f>SUBSTITUTE(SUBSTITUTE(PROPERTIES[[#This Row],[PURCHASECOST_VALUE]], "PURCHASECOST_", ""), "_VALUE", "")</f>
        <v>METRO</v>
      </c>
      <c r="AO351" s="44" t="b">
        <v>0</v>
      </c>
      <c r="AP351" s="48" t="b">
        <v>0</v>
      </c>
      <c r="AQ351" s="48" t="b">
        <v>0</v>
      </c>
      <c r="AR351" s="48">
        <v>0</v>
      </c>
      <c r="AS351" s="48" t="b">
        <v>0</v>
      </c>
      <c r="AT351" s="7" t="b">
        <v>0</v>
      </c>
      <c r="AU351" s="40" t="str" cm="1">
        <f t="array" ref="AU351">_xlfn.XLOOKUP(PROPERTIES[[#This Row],[VEHIDCODE]],GRAPHICS_PROPERTIES[VEHIDCODE],GRAPHICS_PROPERTIES[TEMPLATE_ID]&amp;GRAPHICS_PROPERTIES[TEMPLATE_AMENDMENT_CODE])</f>
        <v>TPL_02C</v>
      </c>
    </row>
    <row r="352" spans="1:47" x14ac:dyDescent="0.35">
      <c r="A352" s="2" t="s">
        <v>2986</v>
      </c>
      <c r="B352">
        <v>1938</v>
      </c>
      <c r="C352">
        <v>2021</v>
      </c>
      <c r="D352" cm="1">
        <f t="array" ref="D3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52" s="40" t="str">
        <f>_xlfn.XLOOKUP(PROPERTIES[[#This Row],[VEHIDCODE]],CONTROL[VEHIDCODE],CONTROL[ENGLISH])</f>
        <v>BRC&amp;W London 1938 Stock</v>
      </c>
      <c r="F352" t="s">
        <v>603</v>
      </c>
      <c r="G352" s="40" t="str">
        <f>_xlfn.XLOOKUP(PROPERTIES[[#This Row],[COUNTRY]],COUNTRIES[COUNTRY_DESCRIPTION],COUNTRIES[COUNTRY_LABEL],"")</f>
        <v>GB</v>
      </c>
      <c r="H352" t="str" cm="1">
        <f t="array" ref="H3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52" t="s">
        <v>22</v>
      </c>
      <c r="J352">
        <v>105</v>
      </c>
      <c r="K352">
        <v>7</v>
      </c>
      <c r="L352">
        <v>0</v>
      </c>
      <c r="M352" t="str" cm="1">
        <f t="array" ref="M3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52">
        <f>_xlfn.XLOOKUP("LOADINGSPEEDDEF_"&amp;PROPERTIES[[#This Row],[LOADINGSPEED]],LOADINGSPEEDDEF[TYPE],LOADINGSPEEDDEF[SPEED])</f>
        <v>120</v>
      </c>
      <c r="O352" cm="1">
        <f t="array" ref="O3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2">
        <f>IF(ISNUMBER(SEARCH("passenger",PROPERTIES[[#This Row],[CARGODEF]])),1,0)</f>
        <v>1</v>
      </c>
      <c r="Q352" s="23">
        <v>25.5</v>
      </c>
      <c r="R352">
        <v>600</v>
      </c>
      <c r="S352">
        <v>0</v>
      </c>
      <c r="T352">
        <v>0</v>
      </c>
      <c r="U352">
        <v>0</v>
      </c>
      <c r="V352">
        <v>72</v>
      </c>
      <c r="W352">
        <v>0</v>
      </c>
      <c r="X352">
        <v>0</v>
      </c>
      <c r="Y352">
        <v>0</v>
      </c>
      <c r="Z352" s="20">
        <v>0</v>
      </c>
      <c r="AA352" s="19">
        <f>IFERROR(PROPERTIES[[#This Row],[TE_STARTING_KN]]/(PROPERTIES[[#This Row],[WEIGHT]]*9.81),0)</f>
        <v>0</v>
      </c>
      <c r="AB352" s="19">
        <v>0.2</v>
      </c>
      <c r="AC352" s="16">
        <f>ROUND(IF(IFERROR(PROPERTIES[[#This Row],[TE_COEFFICIENT_CALC]],0)=0,PROPERTIES[[#This Row],[TE_COEFFICIENT_MANUAL]],PROPERTIES[[#This Row],[TE_COEFFICIENT_CALC]]),3)</f>
        <v>0.2</v>
      </c>
      <c r="AD352" s="8" cm="1">
        <f t="array" ref="AD3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83</v>
      </c>
      <c r="AE352" s="26">
        <v>120</v>
      </c>
      <c r="AF352" s="6">
        <v>7</v>
      </c>
      <c r="AG352" t="s">
        <v>234</v>
      </c>
      <c r="AH352" t="s">
        <v>229</v>
      </c>
      <c r="AI352" t="s">
        <v>229</v>
      </c>
      <c r="AJ352" s="2" t="s">
        <v>229</v>
      </c>
      <c r="AK352" s="2" t="s">
        <v>244</v>
      </c>
      <c r="AL35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5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52" s="2" t="str">
        <f>SUBSTITUTE(SUBSTITUTE(PROPERTIES[[#This Row],[PURCHASECOST_VALUE]], "PURCHASECOST_", ""), "_VALUE", "")</f>
        <v>METRO</v>
      </c>
      <c r="AO352" s="44" t="b">
        <v>0</v>
      </c>
      <c r="AP352" s="48" t="b">
        <v>0</v>
      </c>
      <c r="AQ352" s="48" t="b">
        <v>0</v>
      </c>
      <c r="AR352" s="48">
        <v>0</v>
      </c>
      <c r="AS352" s="48" t="b">
        <v>0</v>
      </c>
      <c r="AT352" s="7" t="b">
        <v>0</v>
      </c>
      <c r="AU352" s="40" t="str" cm="1">
        <f t="array" ref="AU352">_xlfn.XLOOKUP(PROPERTIES[[#This Row],[VEHIDCODE]],GRAPHICS_PROPERTIES[VEHIDCODE],GRAPHICS_PROPERTIES[TEMPLATE_ID]&amp;GRAPHICS_PROPERTIES[TEMPLATE_AMENDMENT_CODE])</f>
        <v>TPL_02C</v>
      </c>
    </row>
    <row r="353" spans="1:47" x14ac:dyDescent="0.35">
      <c r="A353" s="2" t="s">
        <v>2987</v>
      </c>
      <c r="B353">
        <v>1914</v>
      </c>
      <c r="C353">
        <v>1950</v>
      </c>
      <c r="D353" cm="1">
        <f t="array" ref="D3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3" s="40" t="str">
        <f>_xlfn.XLOOKUP(PROPERTIES[[#This Row],[VEHIDCODE]],CONTROL[VEHIDCODE],CONTROL[ENGLISH])</f>
        <v>NER EF1</v>
      </c>
      <c r="F353" t="s">
        <v>603</v>
      </c>
      <c r="G353" s="40" t="str">
        <f>_xlfn.XLOOKUP(PROPERTIES[[#This Row],[COUNTRY]],COUNTRIES[COUNTRY_DESCRIPTION],COUNTRIES[COUNTRY_LABEL],"")</f>
        <v>GB</v>
      </c>
      <c r="H353" t="str" cm="1">
        <f t="array" ref="H3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3" t="s">
        <v>17</v>
      </c>
      <c r="J353">
        <v>0</v>
      </c>
      <c r="K353">
        <v>7</v>
      </c>
      <c r="L353">
        <v>0</v>
      </c>
      <c r="M353" t="str" cm="1">
        <f t="array" ref="M3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3">
        <f>_xlfn.XLOOKUP("LOADINGSPEEDDEF_"&amp;PROPERTIES[[#This Row],[LOADINGSPEED]],LOADINGSPEEDDEF[TYPE],LOADINGSPEEDDEF[SPEED])</f>
        <v>20</v>
      </c>
      <c r="O353" cm="1">
        <f t="array" ref="O3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3">
        <f>IF(ISNUMBER(SEARCH("passenger",PROPERTIES[[#This Row],[CARGODEF]])),1,0)</f>
        <v>0</v>
      </c>
      <c r="Q353" s="23">
        <v>74</v>
      </c>
      <c r="R353">
        <v>1100</v>
      </c>
      <c r="S353">
        <v>0</v>
      </c>
      <c r="T353">
        <v>0</v>
      </c>
      <c r="U353">
        <v>0</v>
      </c>
      <c r="V353">
        <v>40</v>
      </c>
      <c r="W353">
        <v>0</v>
      </c>
      <c r="X353">
        <v>0</v>
      </c>
      <c r="Y353">
        <v>0</v>
      </c>
      <c r="Z353" s="20">
        <v>125</v>
      </c>
      <c r="AA353" s="19">
        <f>IFERROR(PROPERTIES[[#This Row],[TE_STARTING_KN]]/(PROPERTIES[[#This Row],[WEIGHT]]*9.81),0)</f>
        <v>0.17219053916301622</v>
      </c>
      <c r="AB353" s="19">
        <v>0</v>
      </c>
      <c r="AC353" s="16">
        <f>ROUND(IF(IFERROR(PROPERTIES[[#This Row],[TE_COEFFICIENT_CALC]],0)=0,PROPERTIES[[#This Row],[TE_COEFFICIENT_MANUAL]],PROPERTIES[[#This Row],[TE_COEFFICIENT_CALC]]),3)</f>
        <v>0.17199999999999999</v>
      </c>
      <c r="AD353" s="8" cm="1">
        <f t="array" ref="AD3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353" s="26">
        <v>0</v>
      </c>
      <c r="AF353" s="6">
        <v>0</v>
      </c>
      <c r="AG353" t="s">
        <v>234</v>
      </c>
      <c r="AH353" t="s">
        <v>229</v>
      </c>
      <c r="AI353" t="s">
        <v>229</v>
      </c>
      <c r="AJ353" s="2" t="s">
        <v>229</v>
      </c>
      <c r="AK353" s="2" t="s">
        <v>244</v>
      </c>
      <c r="AL35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3" s="2" t="str">
        <f>SUBSTITUTE(SUBSTITUTE(PROPERTIES[[#This Row],[PURCHASECOST_VALUE]], "PURCHASECOST_", ""), "_VALUE", "")</f>
        <v>ELECTRICENGINE</v>
      </c>
      <c r="AO353" s="44" t="b">
        <v>0</v>
      </c>
      <c r="AP353" s="48" t="b">
        <v>0</v>
      </c>
      <c r="AQ353" s="48" t="b">
        <v>0</v>
      </c>
      <c r="AR353" s="48">
        <v>0</v>
      </c>
      <c r="AS353" s="48" t="b">
        <v>0</v>
      </c>
      <c r="AT353" s="7" t="b">
        <v>0</v>
      </c>
      <c r="AU353" s="40" t="str" cm="1">
        <f t="array" ref="AU353">_xlfn.XLOOKUP(PROPERTIES[[#This Row],[VEHIDCODE]],GRAPHICS_PROPERTIES[VEHIDCODE],GRAPHICS_PROPERTIES[TEMPLATE_ID]&amp;GRAPHICS_PROPERTIES[TEMPLATE_AMENDMENT_CODE])</f>
        <v>TPL_01A</v>
      </c>
    </row>
    <row r="354" spans="1:47" x14ac:dyDescent="0.35">
      <c r="A354" s="2" t="s">
        <v>2988</v>
      </c>
      <c r="B354">
        <v>1931</v>
      </c>
      <c r="C354">
        <v>1972</v>
      </c>
      <c r="D354" cm="1">
        <f t="array" ref="D3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4" s="40" t="str">
        <f>_xlfn.XLOOKUP(PROPERTIES[[#This Row],[VEHIDCODE]],CONTROL[VEHIDCODE],CONTROL[ENGLISH])</f>
        <v>JNR EB10</v>
      </c>
      <c r="F354" t="s">
        <v>640</v>
      </c>
      <c r="G354" s="40" t="str">
        <f>_xlfn.XLOOKUP(PROPERTIES[[#This Row],[COUNTRY]],COUNTRIES[COUNTRY_DESCRIPTION],COUNTRIES[COUNTRY_LABEL],"")</f>
        <v>JP</v>
      </c>
      <c r="H354" t="str" cm="1">
        <f t="array" ref="H3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4" t="s">
        <v>17</v>
      </c>
      <c r="J354">
        <v>0</v>
      </c>
      <c r="K354">
        <v>4</v>
      </c>
      <c r="L354">
        <v>0</v>
      </c>
      <c r="M354" t="str" cm="1">
        <f t="array" ref="M3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4">
        <f>_xlfn.XLOOKUP("LOADINGSPEEDDEF_"&amp;PROPERTIES[[#This Row],[LOADINGSPEED]],LOADINGSPEEDDEF[TYPE],LOADINGSPEEDDEF[SPEED])</f>
        <v>20</v>
      </c>
      <c r="O354" cm="1">
        <f t="array" ref="O3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4">
        <f>IF(ISNUMBER(SEARCH("passenger",PROPERTIES[[#This Row],[CARGODEF]])),1,0)</f>
        <v>0</v>
      </c>
      <c r="Q354" s="23">
        <v>22.64</v>
      </c>
      <c r="R354">
        <v>360</v>
      </c>
      <c r="S354">
        <v>0</v>
      </c>
      <c r="T354">
        <v>0</v>
      </c>
      <c r="U354">
        <v>0</v>
      </c>
      <c r="V354">
        <v>40</v>
      </c>
      <c r="W354">
        <v>0</v>
      </c>
      <c r="X354">
        <v>0</v>
      </c>
      <c r="Y354">
        <v>0</v>
      </c>
      <c r="Z354" s="20">
        <v>38</v>
      </c>
      <c r="AA354" s="19">
        <f>IFERROR(PROPERTIES[[#This Row],[TE_STARTING_KN]]/(PROPERTIES[[#This Row],[WEIGHT]]*9.81),0)</f>
        <v>0.17109533432028323</v>
      </c>
      <c r="AB354" s="19">
        <v>0</v>
      </c>
      <c r="AC354" s="16">
        <f>ROUND(IF(IFERROR(PROPERTIES[[#This Row],[TE_COEFFICIENT_CALC]],0)=0,PROPERTIES[[#This Row],[TE_COEFFICIENT_MANUAL]],PROPERTIES[[#This Row],[TE_COEFFICIENT_CALC]]),3)</f>
        <v>0.17100000000000001</v>
      </c>
      <c r="AD354" s="8" cm="1">
        <f t="array" ref="AD3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354" s="26">
        <v>0</v>
      </c>
      <c r="AF354" s="6">
        <v>0</v>
      </c>
      <c r="AG354" t="s">
        <v>238</v>
      </c>
      <c r="AH354" t="s">
        <v>229</v>
      </c>
      <c r="AI354" t="s">
        <v>229</v>
      </c>
      <c r="AJ354" s="2" t="s">
        <v>229</v>
      </c>
      <c r="AK354" s="2" t="s">
        <v>244</v>
      </c>
      <c r="AL35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4" s="2" t="str">
        <f>SUBSTITUTE(SUBSTITUTE(PROPERTIES[[#This Row],[PURCHASECOST_VALUE]], "PURCHASECOST_", ""), "_VALUE", "")</f>
        <v>ELECTRICENGINE</v>
      </c>
      <c r="AO354" s="44" t="b">
        <v>0</v>
      </c>
      <c r="AP354" s="48" t="b">
        <v>0</v>
      </c>
      <c r="AQ354" s="48" t="b">
        <v>0</v>
      </c>
      <c r="AR354" s="48">
        <v>0</v>
      </c>
      <c r="AS354" s="48" t="b">
        <v>0</v>
      </c>
      <c r="AT354" s="7" t="b">
        <v>0</v>
      </c>
      <c r="AU354" s="40" t="str" cm="1">
        <f t="array" ref="AU354">_xlfn.XLOOKUP(PROPERTIES[[#This Row],[VEHIDCODE]],GRAPHICS_PROPERTIES[VEHIDCODE],GRAPHICS_PROPERTIES[TEMPLATE_ID]&amp;GRAPHICS_PROPERTIES[TEMPLATE_AMENDMENT_CODE])</f>
        <v>TPL_01A</v>
      </c>
    </row>
    <row r="355" spans="1:47" x14ac:dyDescent="0.35">
      <c r="A355" s="2" t="s">
        <v>2989</v>
      </c>
      <c r="B355">
        <v>1936</v>
      </c>
      <c r="C355">
        <v>1958</v>
      </c>
      <c r="D355" cm="1">
        <f t="array" ref="D3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5" s="40" t="str">
        <f>_xlfn.XLOOKUP(PROPERTIES[[#This Row],[VEHIDCODE]],CONTROL[VEHIDCODE],CONTROL[ENGLISH])</f>
        <v>Hitachi/Kawasaki EF55</v>
      </c>
      <c r="F355" t="s">
        <v>640</v>
      </c>
      <c r="G355" s="40" t="str">
        <f>_xlfn.XLOOKUP(PROPERTIES[[#This Row],[COUNTRY]],COUNTRIES[COUNTRY_DESCRIPTION],COUNTRIES[COUNTRY_LABEL],"")</f>
        <v>JP</v>
      </c>
      <c r="H355" t="str" cm="1">
        <f t="array" ref="H3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5" t="s">
        <v>17</v>
      </c>
      <c r="J355">
        <v>0</v>
      </c>
      <c r="K355">
        <v>8</v>
      </c>
      <c r="L355">
        <v>0</v>
      </c>
      <c r="M355" t="str" cm="1">
        <f t="array" ref="M3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5">
        <f>_xlfn.XLOOKUP("LOADINGSPEEDDEF_"&amp;PROPERTIES[[#This Row],[LOADINGSPEED]],LOADINGSPEEDDEF[TYPE],LOADINGSPEEDDEF[SPEED])</f>
        <v>20</v>
      </c>
      <c r="O355" cm="1">
        <f t="array" ref="O3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5">
        <f>IF(ISNUMBER(SEARCH("passenger",PROPERTIES[[#This Row],[CARGODEF]])),1,0)</f>
        <v>0</v>
      </c>
      <c r="Q355" s="23">
        <v>100</v>
      </c>
      <c r="R355">
        <v>1810</v>
      </c>
      <c r="S355">
        <v>0</v>
      </c>
      <c r="T355">
        <v>0</v>
      </c>
      <c r="U355">
        <v>0</v>
      </c>
      <c r="V355">
        <v>95</v>
      </c>
      <c r="W355">
        <v>0</v>
      </c>
      <c r="X355">
        <v>0</v>
      </c>
      <c r="Y355">
        <v>0</v>
      </c>
      <c r="Z355" s="20">
        <v>61.7</v>
      </c>
      <c r="AA355" s="19">
        <f>IFERROR(PROPERTIES[[#This Row],[TE_STARTING_KN]]/(PROPERTIES[[#This Row],[WEIGHT]]*9.81),0)</f>
        <v>6.2895005096839957E-2</v>
      </c>
      <c r="AB355" s="19">
        <v>0</v>
      </c>
      <c r="AC355" s="16">
        <f>ROUND(IF(IFERROR(PROPERTIES[[#This Row],[TE_COEFFICIENT_CALC]],0)=0,PROPERTIES[[#This Row],[TE_COEFFICIENT_MANUAL]],PROPERTIES[[#This Row],[TE_COEFFICIENT_CALC]]),3)</f>
        <v>6.3E-2</v>
      </c>
      <c r="AD355" s="8" cm="1">
        <f t="array" ref="AD3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55" s="26">
        <v>0</v>
      </c>
      <c r="AF355" s="6">
        <v>0</v>
      </c>
      <c r="AG355" t="s">
        <v>238</v>
      </c>
      <c r="AH355" t="s">
        <v>229</v>
      </c>
      <c r="AI355" t="s">
        <v>229</v>
      </c>
      <c r="AJ355" s="2" t="s">
        <v>229</v>
      </c>
      <c r="AK355" s="2" t="s">
        <v>244</v>
      </c>
      <c r="AL35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5" s="2" t="str">
        <f>SUBSTITUTE(SUBSTITUTE(PROPERTIES[[#This Row],[PURCHASECOST_VALUE]], "PURCHASECOST_", ""), "_VALUE", "")</f>
        <v>ELECTRICENGINE</v>
      </c>
      <c r="AO355" s="44" t="b">
        <v>0</v>
      </c>
      <c r="AP355" s="48" t="b">
        <v>0</v>
      </c>
      <c r="AQ355" s="48" t="b">
        <v>0</v>
      </c>
      <c r="AR355" s="48">
        <v>0</v>
      </c>
      <c r="AS355" s="48" t="b">
        <v>0</v>
      </c>
      <c r="AT355" s="7" t="b">
        <v>0</v>
      </c>
      <c r="AU355" s="40" t="str" cm="1">
        <f t="array" ref="AU355">_xlfn.XLOOKUP(PROPERTIES[[#This Row],[VEHIDCODE]],GRAPHICS_PROPERTIES[VEHIDCODE],GRAPHICS_PROPERTIES[TEMPLATE_ID]&amp;GRAPHICS_PROPERTIES[TEMPLATE_AMENDMENT_CODE])</f>
        <v>TPL_03F</v>
      </c>
    </row>
    <row r="356" spans="1:47" x14ac:dyDescent="0.35">
      <c r="A356" s="2" t="s">
        <v>2990</v>
      </c>
      <c r="B356">
        <v>1947</v>
      </c>
      <c r="C356">
        <v>1982</v>
      </c>
      <c r="D356" cm="1">
        <f t="array" ref="D3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6" s="40" t="str">
        <f>_xlfn.XLOOKUP(PROPERTIES[[#This Row],[VEHIDCODE]],CONTROL[VEHIDCODE],CONTROL[ENGLISH])</f>
        <v>SLM NS 1000</v>
      </c>
      <c r="F356" t="s">
        <v>692</v>
      </c>
      <c r="G356" s="40" t="str">
        <f>_xlfn.XLOOKUP(PROPERTIES[[#This Row],[COUNTRY]],COUNTRIES[COUNTRY_DESCRIPTION],COUNTRIES[COUNTRY_LABEL],"")</f>
        <v>NL</v>
      </c>
      <c r="H356" t="str" cm="1">
        <f t="array" ref="H3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6" t="s">
        <v>17</v>
      </c>
      <c r="J356">
        <v>0</v>
      </c>
      <c r="K356">
        <v>8</v>
      </c>
      <c r="L356">
        <v>0</v>
      </c>
      <c r="M356" t="str" cm="1">
        <f t="array" ref="M3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6">
        <f>_xlfn.XLOOKUP("LOADINGSPEEDDEF_"&amp;PROPERTIES[[#This Row],[LOADINGSPEED]],LOADINGSPEEDDEF[TYPE],LOADINGSPEEDDEF[SPEED])</f>
        <v>20</v>
      </c>
      <c r="O356" cm="1">
        <f t="array" ref="O3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6">
        <f>IF(ISNUMBER(SEARCH("passenger",PROPERTIES[[#This Row],[CARGODEF]])),1,0)</f>
        <v>0</v>
      </c>
      <c r="Q356" s="23">
        <v>100</v>
      </c>
      <c r="R356">
        <v>3749</v>
      </c>
      <c r="S356">
        <v>0</v>
      </c>
      <c r="T356">
        <v>0</v>
      </c>
      <c r="U356">
        <v>0</v>
      </c>
      <c r="V356">
        <v>100</v>
      </c>
      <c r="W356">
        <v>0</v>
      </c>
      <c r="X356">
        <v>0</v>
      </c>
      <c r="Y356">
        <v>0</v>
      </c>
      <c r="Z356" s="20">
        <v>177</v>
      </c>
      <c r="AA356" s="19">
        <f>IFERROR(PROPERTIES[[#This Row],[TE_STARTING_KN]]/(PROPERTIES[[#This Row],[WEIGHT]]*9.81),0)</f>
        <v>0.18042813455657492</v>
      </c>
      <c r="AB356" s="19">
        <v>0</v>
      </c>
      <c r="AC356" s="16">
        <f>ROUND(IF(IFERROR(PROPERTIES[[#This Row],[TE_COEFFICIENT_CALC]],0)=0,PROPERTIES[[#This Row],[TE_COEFFICIENT_MANUAL]],PROPERTIES[[#This Row],[TE_COEFFICIENT_CALC]]),3)</f>
        <v>0.18</v>
      </c>
      <c r="AD356" s="8" cm="1">
        <f t="array" ref="AD3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356" s="26">
        <v>0</v>
      </c>
      <c r="AF356" s="6">
        <v>0</v>
      </c>
      <c r="AG356" t="s">
        <v>230</v>
      </c>
      <c r="AH356" t="s">
        <v>229</v>
      </c>
      <c r="AI356" t="s">
        <v>229</v>
      </c>
      <c r="AJ356" s="2" t="s">
        <v>229</v>
      </c>
      <c r="AK356" s="2" t="s">
        <v>244</v>
      </c>
      <c r="AL35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6" s="2" t="str">
        <f>SUBSTITUTE(SUBSTITUTE(PROPERTIES[[#This Row],[PURCHASECOST_VALUE]], "PURCHASECOST_", ""), "_VALUE", "")</f>
        <v>ELECTRICENGINE</v>
      </c>
      <c r="AO356" s="44" t="b">
        <v>0</v>
      </c>
      <c r="AP356" s="48" t="b">
        <v>0</v>
      </c>
      <c r="AQ356" s="48" t="b">
        <v>0</v>
      </c>
      <c r="AR356" s="48">
        <v>0</v>
      </c>
      <c r="AS356" s="48" t="b">
        <v>0</v>
      </c>
      <c r="AT356" s="7" t="b">
        <v>0</v>
      </c>
      <c r="AU356" s="40" t="str" cm="1">
        <f t="array" ref="AU356">_xlfn.XLOOKUP(PROPERTIES[[#This Row],[VEHIDCODE]],GRAPHICS_PROPERTIES[VEHIDCODE],GRAPHICS_PROPERTIES[TEMPLATE_ID]&amp;GRAPHICS_PROPERTIES[TEMPLATE_AMENDMENT_CODE])</f>
        <v>TPL_01A</v>
      </c>
    </row>
    <row r="357" spans="1:47" x14ac:dyDescent="0.35">
      <c r="A357" s="2" t="s">
        <v>2991</v>
      </c>
      <c r="B357">
        <v>1980</v>
      </c>
      <c r="C357">
        <v>2009</v>
      </c>
      <c r="D357" cm="1">
        <f t="array" ref="D3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7" s="40" t="str">
        <f>_xlfn.XLOOKUP(PROPERTIES[[#This Row],[VEHIDCODE]],CONTROL[VEHIDCODE],CONTROL[ENGLISH])</f>
        <v>Alsthom BB 7200/NS 1600</v>
      </c>
      <c r="F357" t="s">
        <v>692</v>
      </c>
      <c r="G357" s="40" t="str">
        <f>_xlfn.XLOOKUP(PROPERTIES[[#This Row],[COUNTRY]],COUNTRIES[COUNTRY_DESCRIPTION],COUNTRIES[COUNTRY_LABEL],"")</f>
        <v>NL</v>
      </c>
      <c r="H357" t="str" cm="1">
        <f t="array" ref="H3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7" t="s">
        <v>17</v>
      </c>
      <c r="J357">
        <v>0</v>
      </c>
      <c r="K357">
        <v>8</v>
      </c>
      <c r="L357">
        <v>0</v>
      </c>
      <c r="M357" t="str" cm="1">
        <f t="array" ref="M3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7">
        <f>_xlfn.XLOOKUP("LOADINGSPEEDDEF_"&amp;PROPERTIES[[#This Row],[LOADINGSPEED]],LOADINGSPEEDDEF[TYPE],LOADINGSPEEDDEF[SPEED])</f>
        <v>20</v>
      </c>
      <c r="O357" cm="1">
        <f t="array" ref="O3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7">
        <f>IF(ISNUMBER(SEARCH("passenger",PROPERTIES[[#This Row],[CARGODEF]])),1,0)</f>
        <v>0</v>
      </c>
      <c r="Q357" s="23">
        <v>83</v>
      </c>
      <c r="R357">
        <v>6200</v>
      </c>
      <c r="S357">
        <v>0</v>
      </c>
      <c r="T357">
        <v>0</v>
      </c>
      <c r="U357">
        <v>0</v>
      </c>
      <c r="V357">
        <v>160</v>
      </c>
      <c r="W357">
        <v>0</v>
      </c>
      <c r="X357">
        <v>0</v>
      </c>
      <c r="Y357">
        <v>0</v>
      </c>
      <c r="Z357" s="20">
        <v>294</v>
      </c>
      <c r="AA357" s="19">
        <f>IFERROR(PROPERTIES[[#This Row],[TE_STARTING_KN]]/(PROPERTIES[[#This Row],[WEIGHT]]*9.81),0)</f>
        <v>0.36107733687041743</v>
      </c>
      <c r="AB357" s="19">
        <v>0</v>
      </c>
      <c r="AC357" s="16">
        <f>ROUND(IF(IFERROR(PROPERTIES[[#This Row],[TE_COEFFICIENT_CALC]],0)=0,PROPERTIES[[#This Row],[TE_COEFFICIENT_MANUAL]],PROPERTIES[[#This Row],[TE_COEFFICIENT_CALC]]),3)</f>
        <v>0.36099999999999999</v>
      </c>
      <c r="AD357" s="8" cm="1">
        <f t="array" ref="AD3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57" s="26">
        <v>0</v>
      </c>
      <c r="AF357" s="6">
        <v>0</v>
      </c>
      <c r="AG357" t="s">
        <v>230</v>
      </c>
      <c r="AH357" t="s">
        <v>229</v>
      </c>
      <c r="AI357" t="s">
        <v>229</v>
      </c>
      <c r="AJ357" s="2" t="s">
        <v>229</v>
      </c>
      <c r="AK357" s="2" t="s">
        <v>244</v>
      </c>
      <c r="AL35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7" s="2" t="str">
        <f>SUBSTITUTE(SUBSTITUTE(PROPERTIES[[#This Row],[PURCHASECOST_VALUE]], "PURCHASECOST_", ""), "_VALUE", "")</f>
        <v>ELECTRICENGINE</v>
      </c>
      <c r="AO357" s="44" t="b">
        <v>0</v>
      </c>
      <c r="AP357" s="48" t="b">
        <v>0</v>
      </c>
      <c r="AQ357" s="48" t="b">
        <v>0</v>
      </c>
      <c r="AR357" s="48">
        <v>0</v>
      </c>
      <c r="AS357" s="48" t="b">
        <v>0</v>
      </c>
      <c r="AT357" s="7" t="b">
        <v>0</v>
      </c>
      <c r="AU357" s="40" t="str" cm="1">
        <f t="array" ref="AU357">_xlfn.XLOOKUP(PROPERTIES[[#This Row],[VEHIDCODE]],GRAPHICS_PROPERTIES[VEHIDCODE],GRAPHICS_PROPERTIES[TEMPLATE_ID]&amp;GRAPHICS_PROPERTIES[TEMPLATE_AMENDMENT_CODE])</f>
        <v>TPL_01A</v>
      </c>
    </row>
    <row r="358" spans="1:47" x14ac:dyDescent="0.35">
      <c r="A358" s="2" t="s">
        <v>2992</v>
      </c>
      <c r="B358">
        <v>1923</v>
      </c>
      <c r="C358">
        <v>1981</v>
      </c>
      <c r="D358" cm="1">
        <f t="array" ref="D3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8" s="40" t="str">
        <f>_xlfn.XLOOKUP(PROPERTIES[[#This Row],[VEHIDCODE]],CONTROL[VEHIDCODE],CONTROL[ENGLISH])</f>
        <v>Victorian Railways E</v>
      </c>
      <c r="F358" t="s">
        <v>541</v>
      </c>
      <c r="G358" s="40" t="str">
        <f>_xlfn.XLOOKUP(PROPERTIES[[#This Row],[COUNTRY]],COUNTRIES[COUNTRY_DESCRIPTION],COUNTRIES[COUNTRY_LABEL],"")</f>
        <v>AU</v>
      </c>
      <c r="H358" t="str" cm="1">
        <f t="array" ref="H3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8" t="s">
        <v>17</v>
      </c>
      <c r="J358">
        <v>0</v>
      </c>
      <c r="K358">
        <v>7</v>
      </c>
      <c r="L358">
        <v>0</v>
      </c>
      <c r="M358" t="str" cm="1">
        <f t="array" ref="M3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8">
        <f>_xlfn.XLOOKUP("LOADINGSPEEDDEF_"&amp;PROPERTIES[[#This Row],[LOADINGSPEED]],LOADINGSPEEDDEF[TYPE],LOADINGSPEEDDEF[SPEED])</f>
        <v>20</v>
      </c>
      <c r="O358" cm="1">
        <f t="array" ref="O3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8">
        <f>IF(ISNUMBER(SEARCH("passenger",PROPERTIES[[#This Row],[CARGODEF]])),1,0)</f>
        <v>0</v>
      </c>
      <c r="Q358" s="23">
        <v>56</v>
      </c>
      <c r="R358">
        <v>620</v>
      </c>
      <c r="S358">
        <v>0</v>
      </c>
      <c r="T358">
        <v>0</v>
      </c>
      <c r="U358">
        <v>0</v>
      </c>
      <c r="V358">
        <v>65</v>
      </c>
      <c r="W358">
        <v>0</v>
      </c>
      <c r="X358">
        <v>0</v>
      </c>
      <c r="Y358">
        <v>0</v>
      </c>
      <c r="Z358" s="20">
        <v>109</v>
      </c>
      <c r="AA358" s="19">
        <f>IFERROR(PROPERTIES[[#This Row],[TE_STARTING_KN]]/(PROPERTIES[[#This Row],[WEIGHT]]*9.81),0)</f>
        <v>0.1984126984126984</v>
      </c>
      <c r="AB358" s="19">
        <v>0</v>
      </c>
      <c r="AC358" s="16">
        <f>ROUND(IF(IFERROR(PROPERTIES[[#This Row],[TE_COEFFICIENT_CALC]],0)=0,PROPERTIES[[#This Row],[TE_COEFFICIENT_MANUAL]],PROPERTIES[[#This Row],[TE_COEFFICIENT_CALC]]),3)</f>
        <v>0.19800000000000001</v>
      </c>
      <c r="AD358" s="8" cm="1">
        <f t="array" ref="AD3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358" s="26">
        <v>0</v>
      </c>
      <c r="AF358" s="6">
        <v>0</v>
      </c>
      <c r="AG358" t="s">
        <v>232</v>
      </c>
      <c r="AH358" t="s">
        <v>229</v>
      </c>
      <c r="AI358" t="s">
        <v>229</v>
      </c>
      <c r="AJ358" s="2" t="s">
        <v>229</v>
      </c>
      <c r="AK358" s="2" t="s">
        <v>244</v>
      </c>
      <c r="AL35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8" s="2" t="str">
        <f>SUBSTITUTE(SUBSTITUTE(PROPERTIES[[#This Row],[PURCHASECOST_VALUE]], "PURCHASECOST_", ""), "_VALUE", "")</f>
        <v>ELECTRICENGINE</v>
      </c>
      <c r="AO358" s="44" t="b">
        <v>0</v>
      </c>
      <c r="AP358" s="48" t="b">
        <v>0</v>
      </c>
      <c r="AQ358" s="48" t="b">
        <v>0</v>
      </c>
      <c r="AR358" s="48">
        <v>0</v>
      </c>
      <c r="AS358" s="48" t="b">
        <v>0</v>
      </c>
      <c r="AT358" s="7" t="b">
        <v>0</v>
      </c>
      <c r="AU358" s="40" t="str" cm="1">
        <f t="array" ref="AU358">_xlfn.XLOOKUP(PROPERTIES[[#This Row],[VEHIDCODE]],GRAPHICS_PROPERTIES[VEHIDCODE],GRAPHICS_PROPERTIES[TEMPLATE_ID]&amp;GRAPHICS_PROPERTIES[TEMPLATE_AMENDMENT_CODE])</f>
        <v>TPL_01A</v>
      </c>
    </row>
    <row r="359" spans="1:47" x14ac:dyDescent="0.35">
      <c r="A359" s="2" t="s">
        <v>2993</v>
      </c>
      <c r="B359">
        <v>1903</v>
      </c>
      <c r="C359">
        <v>1966</v>
      </c>
      <c r="D359" cm="1">
        <f t="array" ref="D3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9" s="40" t="str">
        <f>_xlfn.XLOOKUP(PROPERTIES[[#This Row],[VEHIDCODE]],CONTROL[VEHIDCODE],CONTROL[ENGLISH])</f>
        <v>British Thomson-Houston ES1</v>
      </c>
      <c r="F359" t="s">
        <v>603</v>
      </c>
      <c r="G359" s="40" t="str">
        <f>_xlfn.XLOOKUP(PROPERTIES[[#This Row],[COUNTRY]],COUNTRIES[COUNTRY_DESCRIPTION],COUNTRIES[COUNTRY_LABEL],"")</f>
        <v>GB</v>
      </c>
      <c r="H359" t="str" cm="1">
        <f t="array" ref="H3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9" t="s">
        <v>17</v>
      </c>
      <c r="J359">
        <v>0</v>
      </c>
      <c r="K359">
        <v>6</v>
      </c>
      <c r="L359">
        <v>0</v>
      </c>
      <c r="M359" t="str" cm="1">
        <f t="array" ref="M3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9">
        <f>_xlfn.XLOOKUP("LOADINGSPEEDDEF_"&amp;PROPERTIES[[#This Row],[LOADINGSPEED]],LOADINGSPEEDDEF[TYPE],LOADINGSPEEDDEF[SPEED])</f>
        <v>20</v>
      </c>
      <c r="O359" cm="1">
        <f t="array" ref="O3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9">
        <f>IF(ISNUMBER(SEARCH("passenger",PROPERTIES[[#This Row],[CARGODEF]])),1,0)</f>
        <v>0</v>
      </c>
      <c r="Q359" s="23">
        <v>57</v>
      </c>
      <c r="R359">
        <v>640</v>
      </c>
      <c r="S359">
        <v>0</v>
      </c>
      <c r="T359">
        <v>0</v>
      </c>
      <c r="U359">
        <v>0</v>
      </c>
      <c r="V359">
        <v>43</v>
      </c>
      <c r="W359">
        <v>0</v>
      </c>
      <c r="X359">
        <v>0</v>
      </c>
      <c r="Y359">
        <v>0</v>
      </c>
      <c r="Z359" s="20">
        <v>111.2</v>
      </c>
      <c r="AA359" s="19">
        <f>IFERROR(PROPERTIES[[#This Row],[TE_STARTING_KN]]/(PROPERTIES[[#This Row],[WEIGHT]]*9.81),0)</f>
        <v>0.19886617665468459</v>
      </c>
      <c r="AB359" s="19">
        <v>0</v>
      </c>
      <c r="AC359" s="16">
        <f>ROUND(IF(IFERROR(PROPERTIES[[#This Row],[TE_COEFFICIENT_CALC]],0)=0,PROPERTIES[[#This Row],[TE_COEFFICIENT_MANUAL]],PROPERTIES[[#This Row],[TE_COEFFICIENT_CALC]]),3)</f>
        <v>0.19900000000000001</v>
      </c>
      <c r="AD359" s="8" cm="1">
        <f t="array" ref="AD3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63</v>
      </c>
      <c r="AE359" s="26">
        <v>0</v>
      </c>
      <c r="AF359" s="6">
        <v>0</v>
      </c>
      <c r="AG359" t="s">
        <v>234</v>
      </c>
      <c r="AH359" t="s">
        <v>229</v>
      </c>
      <c r="AI359" t="s">
        <v>229</v>
      </c>
      <c r="AJ359" s="2" t="s">
        <v>229</v>
      </c>
      <c r="AK359" s="2" t="s">
        <v>244</v>
      </c>
      <c r="AL35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9" s="2" t="str">
        <f>SUBSTITUTE(SUBSTITUTE(PROPERTIES[[#This Row],[PURCHASECOST_VALUE]], "PURCHASECOST_", ""), "_VALUE", "")</f>
        <v>ELECTRICENGINE</v>
      </c>
      <c r="AO359" s="44" t="b">
        <v>0</v>
      </c>
      <c r="AP359" s="48" t="b">
        <v>0</v>
      </c>
      <c r="AQ359" s="48" t="b">
        <v>0</v>
      </c>
      <c r="AR359" s="48">
        <v>0</v>
      </c>
      <c r="AS359" s="48" t="b">
        <v>0</v>
      </c>
      <c r="AT359" s="7" t="b">
        <v>0</v>
      </c>
      <c r="AU359" s="40" t="str" cm="1">
        <f t="array" ref="AU359">_xlfn.XLOOKUP(PROPERTIES[[#This Row],[VEHIDCODE]],GRAPHICS_PROPERTIES[VEHIDCODE],GRAPHICS_PROPERTIES[TEMPLATE_ID]&amp;GRAPHICS_PROPERTIES[TEMPLATE_AMENDMENT_CODE])</f>
        <v>TPL_01A</v>
      </c>
    </row>
    <row r="360" spans="1:47" x14ac:dyDescent="0.35">
      <c r="A360" s="2" t="s">
        <v>2994</v>
      </c>
      <c r="B360">
        <v>1903</v>
      </c>
      <c r="C360">
        <v>1913</v>
      </c>
      <c r="D360" cm="1">
        <f t="array" ref="D3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0" s="40" t="str">
        <f>_xlfn.XLOOKUP(PROPERTIES[[#This Row],[VEHIDCODE]],CONTROL[VEHIDCODE],CONTROL[ENGLISH])</f>
        <v>ALCO-GE NYC S-Motor S1</v>
      </c>
      <c r="F360" t="s">
        <v>757</v>
      </c>
      <c r="G360" s="40" t="str">
        <f>_xlfn.XLOOKUP(PROPERTIES[[#This Row],[COUNTRY]],COUNTRIES[COUNTRY_DESCRIPTION],COUNTRIES[COUNTRY_LABEL],"")</f>
        <v>US</v>
      </c>
      <c r="H360" t="str" cm="1">
        <f t="array" ref="H3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0" t="s">
        <v>17</v>
      </c>
      <c r="J360">
        <v>0</v>
      </c>
      <c r="K360">
        <v>7</v>
      </c>
      <c r="L360">
        <v>0</v>
      </c>
      <c r="M360" t="str" cm="1">
        <f t="array" ref="M3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0">
        <f>_xlfn.XLOOKUP("LOADINGSPEEDDEF_"&amp;PROPERTIES[[#This Row],[LOADINGSPEED]],LOADINGSPEEDDEF[TYPE],LOADINGSPEEDDEF[SPEED])</f>
        <v>20</v>
      </c>
      <c r="O360" cm="1">
        <f t="array" ref="O3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0">
        <f>IF(ISNUMBER(SEARCH("passenger",PROPERTIES[[#This Row],[CARGODEF]])),1,0)</f>
        <v>0</v>
      </c>
      <c r="Q360" s="23">
        <v>103</v>
      </c>
      <c r="R360">
        <v>2200</v>
      </c>
      <c r="S360">
        <v>0</v>
      </c>
      <c r="T360">
        <v>0</v>
      </c>
      <c r="U360">
        <v>0</v>
      </c>
      <c r="V360">
        <v>97</v>
      </c>
      <c r="W360">
        <v>0</v>
      </c>
      <c r="X360">
        <v>0</v>
      </c>
      <c r="Y360">
        <v>0</v>
      </c>
      <c r="Z360" s="20">
        <v>160</v>
      </c>
      <c r="AA360" s="19">
        <f>IFERROR(PROPERTIES[[#This Row],[TE_STARTING_KN]]/(PROPERTIES[[#This Row],[WEIGHT]]*9.81),0)</f>
        <v>0.15834842591767861</v>
      </c>
      <c r="AB360" s="19">
        <v>0</v>
      </c>
      <c r="AC360" s="16">
        <f>ROUND(IF(IFERROR(PROPERTIES[[#This Row],[TE_COEFFICIENT_CALC]],0)=0,PROPERTIES[[#This Row],[TE_COEFFICIENT_MANUAL]],PROPERTIES[[#This Row],[TE_COEFFICIENT_CALC]]),3)</f>
        <v>0.158</v>
      </c>
      <c r="AD360" s="8" cm="1">
        <f t="array" ref="AD3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60" s="26">
        <v>0</v>
      </c>
      <c r="AF360" s="6">
        <v>0</v>
      </c>
      <c r="AG360" t="s">
        <v>235</v>
      </c>
      <c r="AH360" t="s">
        <v>229</v>
      </c>
      <c r="AI360" t="s">
        <v>229</v>
      </c>
      <c r="AJ360" s="2" t="s">
        <v>229</v>
      </c>
      <c r="AK360" s="2" t="s">
        <v>244</v>
      </c>
      <c r="AL36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0" s="2" t="str">
        <f>SUBSTITUTE(SUBSTITUTE(PROPERTIES[[#This Row],[PURCHASECOST_VALUE]], "PURCHASECOST_", ""), "_VALUE", "")</f>
        <v>ELECTRICENGINE</v>
      </c>
      <c r="AO360" s="44" t="b">
        <v>0</v>
      </c>
      <c r="AP360" s="48" t="b">
        <v>0</v>
      </c>
      <c r="AQ360" s="48" t="b">
        <v>0</v>
      </c>
      <c r="AR360" s="48">
        <v>0</v>
      </c>
      <c r="AS360" s="48" t="b">
        <v>0</v>
      </c>
      <c r="AT360" s="7" t="b">
        <v>0</v>
      </c>
      <c r="AU360" s="40" t="str" cm="1">
        <f t="array" ref="AU360">_xlfn.XLOOKUP(PROPERTIES[[#This Row],[VEHIDCODE]],GRAPHICS_PROPERTIES[VEHIDCODE],GRAPHICS_PROPERTIES[TEMPLATE_ID]&amp;GRAPHICS_PROPERTIES[TEMPLATE_AMENDMENT_CODE])</f>
        <v>TPL_01A</v>
      </c>
    </row>
    <row r="361" spans="1:47" x14ac:dyDescent="0.35">
      <c r="A361" s="2" t="s">
        <v>2995</v>
      </c>
      <c r="B361">
        <v>1930</v>
      </c>
      <c r="C361">
        <v>1993</v>
      </c>
      <c r="D361" cm="1">
        <f t="array" ref="D3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1" s="40" t="str">
        <f>_xlfn.XLOOKUP(PROPERTIES[[#This Row],[VEHIDCODE]],CONTROL[VEHIDCODE],CONTROL[ENGLISH])</f>
        <v>Nippon Sharyo DeKi 400</v>
      </c>
      <c r="F361" t="s">
        <v>640</v>
      </c>
      <c r="G361" s="40" t="str">
        <f>_xlfn.XLOOKUP(PROPERTIES[[#This Row],[COUNTRY]],COUNTRIES[COUNTRY_DESCRIPTION],COUNTRIES[COUNTRY_LABEL],"")</f>
        <v>JP</v>
      </c>
      <c r="H361" t="str" cm="1">
        <f t="array" ref="H3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1" t="s">
        <v>17</v>
      </c>
      <c r="J361">
        <v>0</v>
      </c>
      <c r="K361">
        <v>6</v>
      </c>
      <c r="L361">
        <v>0</v>
      </c>
      <c r="M361" t="str" cm="1">
        <f t="array" ref="M3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1">
        <f>_xlfn.XLOOKUP("LOADINGSPEEDDEF_"&amp;PROPERTIES[[#This Row],[LOADINGSPEED]],LOADINGSPEEDDEF[TYPE],LOADINGSPEEDDEF[SPEED])</f>
        <v>20</v>
      </c>
      <c r="O361" cm="1">
        <f t="array" ref="O3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1">
        <f>IF(ISNUMBER(SEARCH("passenger",PROPERTIES[[#This Row],[CARGODEF]])),1,0)</f>
        <v>0</v>
      </c>
      <c r="Q361" s="23">
        <v>40</v>
      </c>
      <c r="R361">
        <v>482</v>
      </c>
      <c r="S361">
        <v>0</v>
      </c>
      <c r="T361">
        <v>0</v>
      </c>
      <c r="U361">
        <v>0</v>
      </c>
      <c r="V361">
        <v>28</v>
      </c>
      <c r="W361">
        <v>0</v>
      </c>
      <c r="X361">
        <v>0</v>
      </c>
      <c r="Y361">
        <v>0</v>
      </c>
      <c r="Z361" s="20">
        <v>78</v>
      </c>
      <c r="AA361" s="19">
        <f>IFERROR(PROPERTIES[[#This Row],[TE_STARTING_KN]]/(PROPERTIES[[#This Row],[WEIGHT]]*9.81),0)</f>
        <v>0.19877675840978593</v>
      </c>
      <c r="AB361" s="19">
        <v>0</v>
      </c>
      <c r="AC361" s="16">
        <f>ROUND(IF(IFERROR(PROPERTIES[[#This Row],[TE_COEFFICIENT_CALC]],0)=0,PROPERTIES[[#This Row],[TE_COEFFICIENT_MANUAL]],PROPERTIES[[#This Row],[TE_COEFFICIENT_CALC]]),3)</f>
        <v>0.19900000000000001</v>
      </c>
      <c r="AD361" s="8" cm="1">
        <f t="array" ref="AD3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63</v>
      </c>
      <c r="AE361" s="26">
        <v>0</v>
      </c>
      <c r="AF361" s="6">
        <v>0</v>
      </c>
      <c r="AG361" t="s">
        <v>238</v>
      </c>
      <c r="AH361" t="s">
        <v>229</v>
      </c>
      <c r="AI361" t="s">
        <v>229</v>
      </c>
      <c r="AJ361" s="2" t="s">
        <v>229</v>
      </c>
      <c r="AK361" s="2" t="s">
        <v>244</v>
      </c>
      <c r="AL36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1" s="2" t="str">
        <f>SUBSTITUTE(SUBSTITUTE(PROPERTIES[[#This Row],[PURCHASECOST_VALUE]], "PURCHASECOST_", ""), "_VALUE", "")</f>
        <v>ELECTRICENGINE</v>
      </c>
      <c r="AO361" s="44" t="b">
        <v>0</v>
      </c>
      <c r="AP361" s="48" t="b">
        <v>0</v>
      </c>
      <c r="AQ361" s="48" t="b">
        <v>0</v>
      </c>
      <c r="AR361" s="48">
        <v>0</v>
      </c>
      <c r="AS361" s="48" t="b">
        <v>0</v>
      </c>
      <c r="AT361" s="7" t="b">
        <v>0</v>
      </c>
      <c r="AU361" s="40" t="str" cm="1">
        <f t="array" ref="AU361">_xlfn.XLOOKUP(PROPERTIES[[#This Row],[VEHIDCODE]],GRAPHICS_PROPERTIES[VEHIDCODE],GRAPHICS_PROPERTIES[TEMPLATE_ID]&amp;GRAPHICS_PROPERTIES[TEMPLATE_AMENDMENT_CODE])</f>
        <v>TPL_01A</v>
      </c>
    </row>
    <row r="362" spans="1:47" x14ac:dyDescent="0.35">
      <c r="A362" s="2" t="s">
        <v>2996</v>
      </c>
      <c r="B362">
        <v>1928</v>
      </c>
      <c r="C362">
        <v>2000</v>
      </c>
      <c r="D362" cm="1">
        <f t="array" ref="D3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2" s="40" t="str">
        <f>_xlfn.XLOOKUP(PROPERTIES[[#This Row],[VEHIDCODE]],CONTROL[VEHIDCODE],CONTROL[ENGLISH])</f>
        <v>Vulcan Foundry-SLM EF/1</v>
      </c>
      <c r="F362" t="s">
        <v>631</v>
      </c>
      <c r="G362" s="40" t="str">
        <f>_xlfn.XLOOKUP(PROPERTIES[[#This Row],[COUNTRY]],COUNTRIES[COUNTRY_DESCRIPTION],COUNTRIES[COUNTRY_LABEL],"")</f>
        <v>IN</v>
      </c>
      <c r="H362" t="str" cm="1">
        <f t="array" ref="H3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2" t="s">
        <v>17</v>
      </c>
      <c r="J362">
        <v>0</v>
      </c>
      <c r="K362">
        <v>8</v>
      </c>
      <c r="L362">
        <v>0</v>
      </c>
      <c r="M362" t="str" cm="1">
        <f t="array" ref="M3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2">
        <f>_xlfn.XLOOKUP("LOADINGSPEEDDEF_"&amp;PROPERTIES[[#This Row],[LOADINGSPEED]],LOADINGSPEEDDEF[TYPE],LOADINGSPEEDDEF[SPEED])</f>
        <v>20</v>
      </c>
      <c r="O362" cm="1">
        <f t="array" ref="O3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2">
        <f>IF(ISNUMBER(SEARCH("passenger",PROPERTIES[[#This Row],[CARGODEF]])),1,0)</f>
        <v>0</v>
      </c>
      <c r="Q362" s="23">
        <v>123</v>
      </c>
      <c r="R362">
        <v>2600</v>
      </c>
      <c r="S362">
        <v>0</v>
      </c>
      <c r="T362">
        <v>0</v>
      </c>
      <c r="U362">
        <v>0</v>
      </c>
      <c r="V362">
        <v>80</v>
      </c>
      <c r="W362">
        <v>0</v>
      </c>
      <c r="X362">
        <v>0</v>
      </c>
      <c r="Y362">
        <v>0</v>
      </c>
      <c r="Z362" s="20">
        <v>300</v>
      </c>
      <c r="AA362" s="19">
        <f>IFERROR(PROPERTIES[[#This Row],[TE_STARTING_KN]]/(PROPERTIES[[#This Row],[WEIGHT]]*9.81),0)</f>
        <v>0.24862633947440391</v>
      </c>
      <c r="AB362" s="19">
        <v>0</v>
      </c>
      <c r="AC362" s="16">
        <f>ROUND(IF(IFERROR(PROPERTIES[[#This Row],[TE_COEFFICIENT_CALC]],0)=0,PROPERTIES[[#This Row],[TE_COEFFICIENT_MANUAL]],PROPERTIES[[#This Row],[TE_COEFFICIENT_CALC]]),3)</f>
        <v>0.249</v>
      </c>
      <c r="AD362" s="8" cm="1">
        <f t="array" ref="AD3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72</v>
      </c>
      <c r="AE362" s="26">
        <v>0</v>
      </c>
      <c r="AF362" s="6">
        <v>0</v>
      </c>
      <c r="AG362" t="s">
        <v>238</v>
      </c>
      <c r="AH362" t="s">
        <v>229</v>
      </c>
      <c r="AI362" t="s">
        <v>229</v>
      </c>
      <c r="AJ362" s="2" t="s">
        <v>229</v>
      </c>
      <c r="AK362" s="2" t="s">
        <v>244</v>
      </c>
      <c r="AL36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2" s="2" t="str">
        <f>SUBSTITUTE(SUBSTITUTE(PROPERTIES[[#This Row],[PURCHASECOST_VALUE]], "PURCHASECOST_", ""), "_VALUE", "")</f>
        <v>ELECTRICENGINE</v>
      </c>
      <c r="AO362" s="44" t="b">
        <v>0</v>
      </c>
      <c r="AP362" s="48" t="b">
        <v>0</v>
      </c>
      <c r="AQ362" s="48" t="b">
        <v>0</v>
      </c>
      <c r="AR362" s="48">
        <v>0</v>
      </c>
      <c r="AS362" s="48" t="b">
        <v>0</v>
      </c>
      <c r="AT362" s="7" t="b">
        <v>0</v>
      </c>
      <c r="AU362" s="40" t="str" cm="1">
        <f t="array" ref="AU362">_xlfn.XLOOKUP(PROPERTIES[[#This Row],[VEHIDCODE]],GRAPHICS_PROPERTIES[VEHIDCODE],GRAPHICS_PROPERTIES[TEMPLATE_ID]&amp;GRAPHICS_PROPERTIES[TEMPLATE_AMENDMENT_CODE])</f>
        <v>TPL_03C</v>
      </c>
    </row>
    <row r="363" spans="1:47" x14ac:dyDescent="0.35">
      <c r="A363" s="2" t="s">
        <v>2997</v>
      </c>
      <c r="B363">
        <v>1954</v>
      </c>
      <c r="C363">
        <v>1973</v>
      </c>
      <c r="D363" cm="1">
        <f t="array" ref="D3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3" s="40" t="str">
        <f>_xlfn.XLOOKUP(PROPERTIES[[#This Row],[VEHIDCODE]],CONTROL[VEHIDCODE],CONTROL[ENGLISH])</f>
        <v>Jeumont-Schneider BB 9004</v>
      </c>
      <c r="F363" t="s">
        <v>602</v>
      </c>
      <c r="G363" s="40" t="str">
        <f>_xlfn.XLOOKUP(PROPERTIES[[#This Row],[COUNTRY]],COUNTRIES[COUNTRY_DESCRIPTION],COUNTRIES[COUNTRY_LABEL],"")</f>
        <v>FR</v>
      </c>
      <c r="H363" t="str" cm="1">
        <f t="array" ref="H3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3" t="s">
        <v>17</v>
      </c>
      <c r="J363">
        <v>0</v>
      </c>
      <c r="K363">
        <v>8</v>
      </c>
      <c r="L363">
        <v>0</v>
      </c>
      <c r="M363" t="str" cm="1">
        <f t="array" ref="M3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3">
        <f>_xlfn.XLOOKUP("LOADINGSPEEDDEF_"&amp;PROPERTIES[[#This Row],[LOADINGSPEED]],LOADINGSPEEDDEF[TYPE],LOADINGSPEEDDEF[SPEED])</f>
        <v>20</v>
      </c>
      <c r="O363" cm="1">
        <f t="array" ref="O3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3">
        <f>IF(ISNUMBER(SEARCH("passenger",PROPERTIES[[#This Row],[CARGODEF]])),1,0)</f>
        <v>0</v>
      </c>
      <c r="Q363" s="23">
        <v>83</v>
      </c>
      <c r="R363">
        <v>4260</v>
      </c>
      <c r="S363">
        <v>0</v>
      </c>
      <c r="T363">
        <v>0</v>
      </c>
      <c r="U363">
        <v>0</v>
      </c>
      <c r="V363">
        <v>140</v>
      </c>
      <c r="W363">
        <v>0</v>
      </c>
      <c r="X363">
        <v>0</v>
      </c>
      <c r="Y363">
        <v>0</v>
      </c>
      <c r="Z363" s="20">
        <v>235</v>
      </c>
      <c r="AA363" s="19">
        <f>IFERROR(PROPERTIES[[#This Row],[TE_STARTING_KN]]/(PROPERTIES[[#This Row],[WEIGHT]]*9.81),0)</f>
        <v>0.28861623865492553</v>
      </c>
      <c r="AB363" s="19">
        <v>0</v>
      </c>
      <c r="AC363" s="16">
        <f>ROUND(IF(IFERROR(PROPERTIES[[#This Row],[TE_COEFFICIENT_CALC]],0)=0,PROPERTIES[[#This Row],[TE_COEFFICIENT_MANUAL]],PROPERTIES[[#This Row],[TE_COEFFICIENT_CALC]]),3)</f>
        <v>0.28899999999999998</v>
      </c>
      <c r="AD363" s="8" cm="1">
        <f t="array" ref="AD3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63" s="26">
        <v>0</v>
      </c>
      <c r="AF363" s="6">
        <v>0</v>
      </c>
      <c r="AG363" t="s">
        <v>230</v>
      </c>
      <c r="AH363" t="s">
        <v>229</v>
      </c>
      <c r="AI363" t="s">
        <v>229</v>
      </c>
      <c r="AJ363" s="2" t="s">
        <v>229</v>
      </c>
      <c r="AK363" s="2" t="s">
        <v>244</v>
      </c>
      <c r="AL36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3" s="2" t="str">
        <f>SUBSTITUTE(SUBSTITUTE(PROPERTIES[[#This Row],[PURCHASECOST_VALUE]], "PURCHASECOST_", ""), "_VALUE", "")</f>
        <v>ELECTRICENGINE</v>
      </c>
      <c r="AO363" s="44" t="b">
        <v>0</v>
      </c>
      <c r="AP363" s="48" t="b">
        <v>0</v>
      </c>
      <c r="AQ363" s="48" t="b">
        <v>0</v>
      </c>
      <c r="AR363" s="48">
        <v>0</v>
      </c>
      <c r="AS363" s="48" t="b">
        <v>0</v>
      </c>
      <c r="AT363" s="7" t="b">
        <v>0</v>
      </c>
      <c r="AU363" s="40" t="str" cm="1">
        <f t="array" ref="AU363">_xlfn.XLOOKUP(PROPERTIES[[#This Row],[VEHIDCODE]],GRAPHICS_PROPERTIES[VEHIDCODE],GRAPHICS_PROPERTIES[TEMPLATE_ID]&amp;GRAPHICS_PROPERTIES[TEMPLATE_AMENDMENT_CODE])</f>
        <v>TPL_01A</v>
      </c>
    </row>
    <row r="364" spans="1:47" x14ac:dyDescent="0.35">
      <c r="A364" s="2" t="s">
        <v>2998</v>
      </c>
      <c r="B364">
        <v>1925</v>
      </c>
      <c r="C364">
        <v>1976</v>
      </c>
      <c r="D364" cm="1">
        <f t="array" ref="D3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4" s="40" t="str">
        <f>_xlfn.XLOOKUP(PROPERTIES[[#This Row],[VEHIDCODE]],CONTROL[VEHIDCODE],CONTROL[ENGLISH])</f>
        <v>Werkspoor ESS 3200</v>
      </c>
      <c r="F364" t="s">
        <v>627</v>
      </c>
      <c r="G364" s="40" t="str">
        <f>_xlfn.XLOOKUP(PROPERTIES[[#This Row],[COUNTRY]],COUNTRIES[COUNTRY_DESCRIPTION],COUNTRIES[COUNTRY_LABEL],"")</f>
        <v>ID</v>
      </c>
      <c r="H364" t="str" cm="1">
        <f t="array" ref="H3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4" t="s">
        <v>17</v>
      </c>
      <c r="J364">
        <v>0</v>
      </c>
      <c r="K364">
        <v>6</v>
      </c>
      <c r="L364">
        <v>0</v>
      </c>
      <c r="M364" t="str" cm="1">
        <f t="array" ref="M3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4">
        <f>_xlfn.XLOOKUP("LOADINGSPEEDDEF_"&amp;PROPERTIES[[#This Row],[LOADINGSPEED]],LOADINGSPEEDDEF[TYPE],LOADINGSPEEDDEF[SPEED])</f>
        <v>20</v>
      </c>
      <c r="O364" cm="1">
        <f t="array" ref="O3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4">
        <f>IF(ISNUMBER(SEARCH("passenger",PROPERTIES[[#This Row],[CARGODEF]])),1,0)</f>
        <v>0</v>
      </c>
      <c r="Q364" s="23">
        <v>69</v>
      </c>
      <c r="R364">
        <v>1026</v>
      </c>
      <c r="S364">
        <v>0</v>
      </c>
      <c r="T364">
        <v>0</v>
      </c>
      <c r="U364">
        <v>0</v>
      </c>
      <c r="V364">
        <v>120</v>
      </c>
      <c r="W364">
        <v>0</v>
      </c>
      <c r="X364">
        <v>0</v>
      </c>
      <c r="Y364">
        <v>0</v>
      </c>
      <c r="Z364" s="20">
        <v>0</v>
      </c>
      <c r="AA364" s="19">
        <f>IFERROR(PROPERTIES[[#This Row],[TE_STARTING_KN]]/(PROPERTIES[[#This Row],[WEIGHT]]*9.81),0)</f>
        <v>0</v>
      </c>
      <c r="AB364" s="19">
        <v>0.23</v>
      </c>
      <c r="AC364" s="16">
        <f>ROUND(IF(IFERROR(PROPERTIES[[#This Row],[TE_COEFFICIENT_CALC]],0)=0,PROPERTIES[[#This Row],[TE_COEFFICIENT_MANUAL]],PROPERTIES[[#This Row],[TE_COEFFICIENT_CALC]]),3)</f>
        <v>0.23</v>
      </c>
      <c r="AD364" s="8" cm="1">
        <f t="array" ref="AD3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364" s="26">
        <v>0</v>
      </c>
      <c r="AF364" s="6">
        <v>0</v>
      </c>
      <c r="AG364" t="s">
        <v>232</v>
      </c>
      <c r="AH364" t="s">
        <v>229</v>
      </c>
      <c r="AI364" t="s">
        <v>229</v>
      </c>
      <c r="AJ364" s="2" t="s">
        <v>229</v>
      </c>
      <c r="AK364" s="2" t="s">
        <v>244</v>
      </c>
      <c r="AL36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4" s="2" t="str">
        <f>SUBSTITUTE(SUBSTITUTE(PROPERTIES[[#This Row],[PURCHASECOST_VALUE]], "PURCHASECOST_", ""), "_VALUE", "")</f>
        <v>ELECTRICENGINE</v>
      </c>
      <c r="AO364" s="44" t="b">
        <v>0</v>
      </c>
      <c r="AP364" s="48" t="b">
        <v>0</v>
      </c>
      <c r="AQ364" s="48" t="b">
        <v>0</v>
      </c>
      <c r="AR364" s="48">
        <v>0</v>
      </c>
      <c r="AS364" s="48" t="b">
        <v>0</v>
      </c>
      <c r="AT364" s="7" t="b">
        <v>0</v>
      </c>
      <c r="AU364" s="40" t="str" cm="1">
        <f t="array" ref="AU364">_xlfn.XLOOKUP(PROPERTIES[[#This Row],[VEHIDCODE]],GRAPHICS_PROPERTIES[VEHIDCODE],GRAPHICS_PROPERTIES[TEMPLATE_ID]&amp;GRAPHICS_PROPERTIES[TEMPLATE_AMENDMENT_CODE])</f>
        <v>TPL_01A</v>
      </c>
    </row>
    <row r="365" spans="1:47" x14ac:dyDescent="0.35">
      <c r="A365" s="2" t="s">
        <v>2999</v>
      </c>
      <c r="B365">
        <v>1953</v>
      </c>
      <c r="C365">
        <v>1985</v>
      </c>
      <c r="D365" cm="1">
        <f t="array" ref="D3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5" s="40" t="str">
        <f>_xlfn.XLOOKUP(PROPERTIES[[#This Row],[VEHIDCODE]],CONTROL[VEHIDCODE],CONTROL[ENGLISH])</f>
        <v>Metropolitan-Vickers EM2</v>
      </c>
      <c r="F365" t="s">
        <v>603</v>
      </c>
      <c r="G365" s="40" t="str">
        <f>_xlfn.XLOOKUP(PROPERTIES[[#This Row],[COUNTRY]],COUNTRIES[COUNTRY_DESCRIPTION],COUNTRIES[COUNTRY_LABEL],"")</f>
        <v>GB</v>
      </c>
      <c r="H365" t="str" cm="1">
        <f t="array" ref="H3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5" t="s">
        <v>17</v>
      </c>
      <c r="J365">
        <v>0</v>
      </c>
      <c r="K365">
        <v>8</v>
      </c>
      <c r="L365">
        <v>0</v>
      </c>
      <c r="M365" t="str" cm="1">
        <f t="array" ref="M3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5">
        <f>_xlfn.XLOOKUP("LOADINGSPEEDDEF_"&amp;PROPERTIES[[#This Row],[LOADINGSPEED]],LOADINGSPEEDDEF[TYPE],LOADINGSPEEDDEF[SPEED])</f>
        <v>20</v>
      </c>
      <c r="O365" cm="1">
        <f t="array" ref="O3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5">
        <f>IF(ISNUMBER(SEARCH("passenger",PROPERTIES[[#This Row],[CARGODEF]])),1,0)</f>
        <v>0</v>
      </c>
      <c r="Q365" s="23">
        <v>104</v>
      </c>
      <c r="R365">
        <v>2490</v>
      </c>
      <c r="S365">
        <v>0</v>
      </c>
      <c r="T365">
        <v>0</v>
      </c>
      <c r="U365">
        <v>0</v>
      </c>
      <c r="V365">
        <v>145</v>
      </c>
      <c r="W365">
        <v>0</v>
      </c>
      <c r="X365">
        <v>0</v>
      </c>
      <c r="Y365">
        <v>0</v>
      </c>
      <c r="Z365" s="20">
        <v>200</v>
      </c>
      <c r="AA365" s="19">
        <f>IFERROR(PROPERTIES[[#This Row],[TE_STARTING_KN]]/(PROPERTIES[[#This Row],[WEIGHT]]*9.81),0)</f>
        <v>0.19603230612404923</v>
      </c>
      <c r="AB365" s="19">
        <v>0</v>
      </c>
      <c r="AC365" s="16">
        <f>ROUND(IF(IFERROR(PROPERTIES[[#This Row],[TE_COEFFICIENT_CALC]],0)=0,PROPERTIES[[#This Row],[TE_COEFFICIENT_MANUAL]],PROPERTIES[[#This Row],[TE_COEFFICIENT_CALC]]),3)</f>
        <v>0.19600000000000001</v>
      </c>
      <c r="AD365" s="8" cm="1">
        <f t="array" ref="AD3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65" s="26">
        <v>0</v>
      </c>
      <c r="AF365" s="6">
        <v>0</v>
      </c>
      <c r="AG365" t="s">
        <v>234</v>
      </c>
      <c r="AH365" t="s">
        <v>229</v>
      </c>
      <c r="AI365" t="s">
        <v>229</v>
      </c>
      <c r="AJ365" s="2" t="s">
        <v>229</v>
      </c>
      <c r="AK365" s="2" t="s">
        <v>244</v>
      </c>
      <c r="AL36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5" s="2" t="str">
        <f>SUBSTITUTE(SUBSTITUTE(PROPERTIES[[#This Row],[PURCHASECOST_VALUE]], "PURCHASECOST_", ""), "_VALUE", "")</f>
        <v>ELECTRICENGINE</v>
      </c>
      <c r="AO365" s="44" t="b">
        <v>0</v>
      </c>
      <c r="AP365" s="48" t="b">
        <v>0</v>
      </c>
      <c r="AQ365" s="48" t="b">
        <v>0</v>
      </c>
      <c r="AR365" s="48">
        <v>0</v>
      </c>
      <c r="AS365" s="48" t="b">
        <v>0</v>
      </c>
      <c r="AT365" s="7" t="b">
        <v>0</v>
      </c>
      <c r="AU365" s="40" t="str" cm="1">
        <f t="array" ref="AU365">_xlfn.XLOOKUP(PROPERTIES[[#This Row],[VEHIDCODE]],GRAPHICS_PROPERTIES[VEHIDCODE],GRAPHICS_PROPERTIES[TEMPLATE_ID]&amp;GRAPHICS_PROPERTIES[TEMPLATE_AMENDMENT_CODE])</f>
        <v>TPL_01A</v>
      </c>
    </row>
    <row r="366" spans="1:47" x14ac:dyDescent="0.35">
      <c r="A366" s="2" t="s">
        <v>3000</v>
      </c>
      <c r="B366">
        <v>1922</v>
      </c>
      <c r="C366">
        <v>1950</v>
      </c>
      <c r="D366" cm="1">
        <f t="array" ref="D3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6" s="40" t="str">
        <f>_xlfn.XLOOKUP(PROPERTIES[[#This Row],[VEHIDCODE]],CONTROL[VEHIDCODE],CONTROL[ENGLISH])</f>
        <v>NER EE1</v>
      </c>
      <c r="F366" t="s">
        <v>603</v>
      </c>
      <c r="G366" s="40" t="str">
        <f>_xlfn.XLOOKUP(PROPERTIES[[#This Row],[COUNTRY]],COUNTRIES[COUNTRY_DESCRIPTION],COUNTRIES[COUNTRY_LABEL],"")</f>
        <v>GB</v>
      </c>
      <c r="H366" t="str" cm="1">
        <f t="array" ref="H3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6" t="s">
        <v>17</v>
      </c>
      <c r="J366">
        <v>0</v>
      </c>
      <c r="K366">
        <v>8</v>
      </c>
      <c r="L366">
        <v>0</v>
      </c>
      <c r="M366" t="str" cm="1">
        <f t="array" ref="M3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6">
        <f>_xlfn.XLOOKUP("LOADINGSPEEDDEF_"&amp;PROPERTIES[[#This Row],[LOADINGSPEED]],LOADINGSPEEDDEF[TYPE],LOADINGSPEEDDEF[SPEED])</f>
        <v>20</v>
      </c>
      <c r="O366" cm="1">
        <f t="array" ref="O3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6">
        <f>IF(ISNUMBER(SEARCH("passenger",PROPERTIES[[#This Row],[CARGODEF]])),1,0)</f>
        <v>0</v>
      </c>
      <c r="Q366" s="23">
        <v>111</v>
      </c>
      <c r="R366">
        <v>1800</v>
      </c>
      <c r="S366">
        <v>0</v>
      </c>
      <c r="T366">
        <v>0</v>
      </c>
      <c r="U366">
        <v>0</v>
      </c>
      <c r="V366">
        <v>105</v>
      </c>
      <c r="W366">
        <v>0</v>
      </c>
      <c r="X366">
        <v>0</v>
      </c>
      <c r="Y366">
        <v>0</v>
      </c>
      <c r="Z366" s="20">
        <v>126.4</v>
      </c>
      <c r="AA366" s="19">
        <f>IFERROR(PROPERTIES[[#This Row],[TE_STARTING_KN]]/(PROPERTIES[[#This Row],[WEIGHT]]*9.81),0)</f>
        <v>0.11607938213442801</v>
      </c>
      <c r="AB366" s="19">
        <v>0</v>
      </c>
      <c r="AC366" s="16">
        <f>ROUND(IF(IFERROR(PROPERTIES[[#This Row],[TE_COEFFICIENT_CALC]],0)=0,PROPERTIES[[#This Row],[TE_COEFFICIENT_MANUAL]],PROPERTIES[[#This Row],[TE_COEFFICIENT_CALC]]),3)</f>
        <v>0.11600000000000001</v>
      </c>
      <c r="AD366" s="8" cm="1">
        <f t="array" ref="AD3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66" s="26">
        <v>0</v>
      </c>
      <c r="AF366" s="6">
        <v>0</v>
      </c>
      <c r="AG366" t="s">
        <v>234</v>
      </c>
      <c r="AH366" t="s">
        <v>229</v>
      </c>
      <c r="AI366" t="s">
        <v>229</v>
      </c>
      <c r="AJ366" s="2" t="s">
        <v>229</v>
      </c>
      <c r="AK366" s="2" t="s">
        <v>244</v>
      </c>
      <c r="AL36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6" s="2" t="str">
        <f>SUBSTITUTE(SUBSTITUTE(PROPERTIES[[#This Row],[PURCHASECOST_VALUE]], "PURCHASECOST_", ""), "_VALUE", "")</f>
        <v>ELECTRICENGINE</v>
      </c>
      <c r="AO366" s="44" t="b">
        <v>0</v>
      </c>
      <c r="AP366" s="48" t="b">
        <v>0</v>
      </c>
      <c r="AQ366" s="48" t="b">
        <v>0</v>
      </c>
      <c r="AR366" s="48">
        <v>0</v>
      </c>
      <c r="AS366" s="48" t="b">
        <v>0</v>
      </c>
      <c r="AT366" s="7" t="b">
        <v>0</v>
      </c>
      <c r="AU366" s="40" t="str" cm="1">
        <f t="array" ref="AU366">_xlfn.XLOOKUP(PROPERTIES[[#This Row],[VEHIDCODE]],GRAPHICS_PROPERTIES[VEHIDCODE],GRAPHICS_PROPERTIES[TEMPLATE_ID]&amp;GRAPHICS_PROPERTIES[TEMPLATE_AMENDMENT_CODE])</f>
        <v>TPL_01A</v>
      </c>
    </row>
    <row r="367" spans="1:47" x14ac:dyDescent="0.35">
      <c r="A367" s="2" t="s">
        <v>3001</v>
      </c>
      <c r="B367">
        <v>1916</v>
      </c>
      <c r="C367">
        <v>1952</v>
      </c>
      <c r="D367" cm="1">
        <f t="array" ref="D3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7" s="40" t="str">
        <f>_xlfn.XLOOKUP(PROPERTIES[[#This Row],[VEHIDCODE]],CONTROL[VEHIDCODE],CONTROL[ENGLISH])</f>
        <v>GE ES-2</v>
      </c>
      <c r="F367" t="s">
        <v>757</v>
      </c>
      <c r="G367" s="40" t="str">
        <f>_xlfn.XLOOKUP(PROPERTIES[[#This Row],[COUNTRY]],COUNTRIES[COUNTRY_DESCRIPTION],COUNTRIES[COUNTRY_LABEL],"")</f>
        <v>US</v>
      </c>
      <c r="H367" t="str" cm="1">
        <f t="array" ref="H3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7" t="s">
        <v>17</v>
      </c>
      <c r="J367">
        <v>0</v>
      </c>
      <c r="K367">
        <v>6</v>
      </c>
      <c r="L367">
        <v>0</v>
      </c>
      <c r="M367" t="str" cm="1">
        <f t="array" ref="M3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7">
        <f>_xlfn.XLOOKUP("LOADINGSPEEDDEF_"&amp;PROPERTIES[[#This Row],[LOADINGSPEED]],LOADINGSPEEDDEF[TYPE],LOADINGSPEEDDEF[SPEED])</f>
        <v>20</v>
      </c>
      <c r="O367" cm="1">
        <f t="array" ref="O3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7">
        <f>IF(ISNUMBER(SEARCH("passenger",PROPERTIES[[#This Row],[CARGODEF]])),1,0)</f>
        <v>0</v>
      </c>
      <c r="Q367" s="23">
        <v>74</v>
      </c>
      <c r="R367">
        <v>670</v>
      </c>
      <c r="S367">
        <v>0</v>
      </c>
      <c r="T367">
        <v>0</v>
      </c>
      <c r="U367">
        <v>0</v>
      </c>
      <c r="V367">
        <v>72</v>
      </c>
      <c r="W367">
        <v>0</v>
      </c>
      <c r="X367">
        <v>0</v>
      </c>
      <c r="Y367">
        <v>0</v>
      </c>
      <c r="Z367" s="20">
        <v>0</v>
      </c>
      <c r="AA367" s="19">
        <f>IFERROR(PROPERTIES[[#This Row],[TE_STARTING_KN]]/(PROPERTIES[[#This Row],[WEIGHT]]*9.81),0)</f>
        <v>0</v>
      </c>
      <c r="AB367" s="19">
        <v>0.18</v>
      </c>
      <c r="AC367" s="16">
        <f>ROUND(IF(IFERROR(PROPERTIES[[#This Row],[TE_COEFFICIENT_CALC]],0)=0,PROPERTIES[[#This Row],[TE_COEFFICIENT_MANUAL]],PROPERTIES[[#This Row],[TE_COEFFICIENT_CALC]]),3)</f>
        <v>0.18</v>
      </c>
      <c r="AD367" s="8" cm="1">
        <f t="array" ref="AD3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367" s="26">
        <v>0</v>
      </c>
      <c r="AF367" s="6">
        <v>0</v>
      </c>
      <c r="AG367" t="s">
        <v>235</v>
      </c>
      <c r="AH367" t="s">
        <v>229</v>
      </c>
      <c r="AI367" t="s">
        <v>229</v>
      </c>
      <c r="AJ367" s="2" t="s">
        <v>229</v>
      </c>
      <c r="AK367" s="2" t="s">
        <v>244</v>
      </c>
      <c r="AL36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7" s="2" t="str">
        <f>SUBSTITUTE(SUBSTITUTE(PROPERTIES[[#This Row],[PURCHASECOST_VALUE]], "PURCHASECOST_", ""), "_VALUE", "")</f>
        <v>ELECTRICENGINE</v>
      </c>
      <c r="AO367" s="44" t="b">
        <v>0</v>
      </c>
      <c r="AP367" s="48" t="b">
        <v>0</v>
      </c>
      <c r="AQ367" s="48" t="b">
        <v>0</v>
      </c>
      <c r="AR367" s="48">
        <v>0</v>
      </c>
      <c r="AS367" s="48" t="b">
        <v>0</v>
      </c>
      <c r="AT367" s="7" t="b">
        <v>0</v>
      </c>
      <c r="AU367" s="40" t="str" cm="1">
        <f t="array" ref="AU367">_xlfn.XLOOKUP(PROPERTIES[[#This Row],[VEHIDCODE]],GRAPHICS_PROPERTIES[VEHIDCODE],GRAPHICS_PROPERTIES[TEMPLATE_ID]&amp;GRAPHICS_PROPERTIES[TEMPLATE_AMENDMENT_CODE])</f>
        <v>TPL_01A</v>
      </c>
    </row>
    <row r="368" spans="1:47" x14ac:dyDescent="0.35">
      <c r="A368" s="2" t="s">
        <v>3002</v>
      </c>
      <c r="B368">
        <v>1919</v>
      </c>
      <c r="C368">
        <v>1962</v>
      </c>
      <c r="D368" cm="1">
        <f t="array" ref="D3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8" s="40" t="str">
        <f>_xlfn.XLOOKUP(PROPERTIES[[#This Row],[VEHIDCODE]],CONTROL[VEHIDCODE],CONTROL[ENGLISH])</f>
        <v>GE 2-4-8-0+0-8-4-2 EP2</v>
      </c>
      <c r="F368" t="s">
        <v>757</v>
      </c>
      <c r="G368" s="40" t="str">
        <f>_xlfn.XLOOKUP(PROPERTIES[[#This Row],[COUNTRY]],COUNTRIES[COUNTRY_DESCRIPTION],COUNTRIES[COUNTRY_LABEL],"")</f>
        <v>US</v>
      </c>
      <c r="H368" t="str" cm="1">
        <f t="array" ref="H3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8" t="s">
        <v>17</v>
      </c>
      <c r="J368">
        <v>0</v>
      </c>
      <c r="K368">
        <v>8</v>
      </c>
      <c r="M368" t="str" cm="1">
        <f t="array" ref="M3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8">
        <f>_xlfn.XLOOKUP("LOADINGSPEEDDEF_"&amp;PROPERTIES[[#This Row],[LOADINGSPEED]],LOADINGSPEEDDEF[TYPE],LOADINGSPEEDDEF[SPEED])</f>
        <v>20</v>
      </c>
      <c r="O368" cm="1">
        <f t="array" ref="O3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8">
        <f>IF(ISNUMBER(SEARCH("passenger",PROPERTIES[[#This Row],[CARGODEF]])),1,0)</f>
        <v>0</v>
      </c>
      <c r="Q368" s="23">
        <v>240</v>
      </c>
      <c r="R368">
        <v>4440</v>
      </c>
      <c r="S368">
        <v>0</v>
      </c>
      <c r="T368">
        <v>0</v>
      </c>
      <c r="U368">
        <v>0</v>
      </c>
      <c r="V368">
        <v>113</v>
      </c>
      <c r="W368">
        <v>0</v>
      </c>
      <c r="X368">
        <v>0</v>
      </c>
      <c r="Y368">
        <v>0</v>
      </c>
      <c r="Z368" s="20">
        <v>516</v>
      </c>
      <c r="AA368" s="19">
        <f>IFERROR(PROPERTIES[[#This Row],[TE_STARTING_KN]]/(PROPERTIES[[#This Row],[WEIGHT]]*9.81),0)</f>
        <v>0.21916411824668705</v>
      </c>
      <c r="AB368" s="19">
        <v>0</v>
      </c>
      <c r="AC368" s="16">
        <f>ROUND(IF(IFERROR(PROPERTIES[[#This Row],[TE_COEFFICIENT_CALC]],0)=0,PROPERTIES[[#This Row],[TE_COEFFICIENT_MANUAL]],PROPERTIES[[#This Row],[TE_COEFFICIENT_CALC]]),3)</f>
        <v>0.219</v>
      </c>
      <c r="AD368" s="8" cm="1">
        <f t="array" ref="AD3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368" s="26">
        <v>0</v>
      </c>
      <c r="AF368" s="6">
        <v>2</v>
      </c>
      <c r="AG368" t="s">
        <v>235</v>
      </c>
      <c r="AH368" t="s">
        <v>229</v>
      </c>
      <c r="AI368" t="s">
        <v>229</v>
      </c>
      <c r="AJ368" s="2" t="s">
        <v>229</v>
      </c>
      <c r="AK368" s="2" t="s">
        <v>244</v>
      </c>
      <c r="AL36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8" s="2" t="str">
        <f>SUBSTITUTE(SUBSTITUTE(PROPERTIES[[#This Row],[PURCHASECOST_VALUE]], "PURCHASECOST_", ""), "_VALUE", "")</f>
        <v>ELECTRICENGINE</v>
      </c>
      <c r="AO368" s="44" t="b">
        <v>0</v>
      </c>
      <c r="AP368" s="48" t="b">
        <v>0</v>
      </c>
      <c r="AQ368" s="48" t="b">
        <v>0</v>
      </c>
      <c r="AR368" s="48">
        <v>0</v>
      </c>
      <c r="AS368" s="48" t="b">
        <v>0</v>
      </c>
      <c r="AT368" s="7" t="b">
        <v>0</v>
      </c>
      <c r="AU368" s="40" t="str" cm="1">
        <f t="array" ref="AU368">_xlfn.XLOOKUP(PROPERTIES[[#This Row],[VEHIDCODE]],GRAPHICS_PROPERTIES[VEHIDCODE],GRAPHICS_PROPERTIES[TEMPLATE_ID]&amp;GRAPHICS_PROPERTIES[TEMPLATE_AMENDMENT_CODE])</f>
        <v>TPL_16A</v>
      </c>
    </row>
    <row r="369" spans="1:47" x14ac:dyDescent="0.35">
      <c r="A369" s="2" t="s">
        <v>3003</v>
      </c>
      <c r="B369">
        <v>1922</v>
      </c>
      <c r="C369">
        <v>2010</v>
      </c>
      <c r="D369" cm="1">
        <f t="array" ref="D3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9" s="40" t="str">
        <f>_xlfn.XLOOKUP(PROPERTIES[[#This Row],[VEHIDCODE]],CONTROL[VEHIDCODE],CONTROL[ENGLISH])</f>
        <v>Baldwin Westinghouse E-28</v>
      </c>
      <c r="F369" t="s">
        <v>573</v>
      </c>
      <c r="G369" s="40" t="str">
        <f>_xlfn.XLOOKUP(PROPERTIES[[#This Row],[COUNTRY]],COUNTRIES[COUNTRY_DESCRIPTION],COUNTRIES[COUNTRY_LABEL],"")</f>
        <v>CL</v>
      </c>
      <c r="H369" t="str" cm="1">
        <f t="array" ref="H3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9" t="s">
        <v>17</v>
      </c>
      <c r="J369">
        <v>0</v>
      </c>
      <c r="K369">
        <v>8</v>
      </c>
      <c r="L369">
        <v>0</v>
      </c>
      <c r="M369" t="str" cm="1">
        <f t="array" ref="M3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9">
        <f>_xlfn.XLOOKUP("LOADINGSPEEDDEF_"&amp;PROPERTIES[[#This Row],[LOADINGSPEED]],LOADINGSPEEDDEF[TYPE],LOADINGSPEEDDEF[SPEED])</f>
        <v>20</v>
      </c>
      <c r="O369" cm="1">
        <f t="array" ref="O3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9">
        <f>IF(ISNUMBER(SEARCH("passenger",PROPERTIES[[#This Row],[CARGODEF]])),1,0)</f>
        <v>0</v>
      </c>
      <c r="Q369" s="23">
        <v>115</v>
      </c>
      <c r="R369">
        <v>2250</v>
      </c>
      <c r="S369">
        <v>0</v>
      </c>
      <c r="T369">
        <v>0</v>
      </c>
      <c r="U369">
        <v>0</v>
      </c>
      <c r="V369">
        <v>80</v>
      </c>
      <c r="W369">
        <v>0</v>
      </c>
      <c r="X369">
        <v>0</v>
      </c>
      <c r="Y369">
        <v>0</v>
      </c>
      <c r="Z369" s="20">
        <v>200</v>
      </c>
      <c r="AA369" s="19">
        <f>IFERROR(PROPERTIES[[#This Row],[TE_STARTING_KN]]/(PROPERTIES[[#This Row],[WEIGHT]]*9.81),0)</f>
        <v>0.17728138988609668</v>
      </c>
      <c r="AB369" s="19">
        <v>0</v>
      </c>
      <c r="AC369" s="16">
        <f>ROUND(IF(IFERROR(PROPERTIES[[#This Row],[TE_COEFFICIENT_CALC]],0)=0,PROPERTIES[[#This Row],[TE_COEFFICIENT_MANUAL]],PROPERTIES[[#This Row],[TE_COEFFICIENT_CALC]]),3)</f>
        <v>0.17699999999999999</v>
      </c>
      <c r="AD369" s="8" cm="1">
        <f t="array" ref="AD3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88</v>
      </c>
      <c r="AE369" s="26">
        <v>0</v>
      </c>
      <c r="AF369" s="6">
        <v>0</v>
      </c>
      <c r="AG369" t="s">
        <v>237</v>
      </c>
      <c r="AH369" t="s">
        <v>229</v>
      </c>
      <c r="AI369" t="s">
        <v>229</v>
      </c>
      <c r="AJ369" s="2" t="s">
        <v>229</v>
      </c>
      <c r="AK369" s="2" t="s">
        <v>244</v>
      </c>
      <c r="AL36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9" s="2" t="str">
        <f>SUBSTITUTE(SUBSTITUTE(PROPERTIES[[#This Row],[PURCHASECOST_VALUE]], "PURCHASECOST_", ""), "_VALUE", "")</f>
        <v>ELECTRICENGINE</v>
      </c>
      <c r="AO369" s="44" t="b">
        <v>0</v>
      </c>
      <c r="AP369" s="48" t="b">
        <v>0</v>
      </c>
      <c r="AQ369" s="48" t="b">
        <v>0</v>
      </c>
      <c r="AR369" s="48">
        <v>0</v>
      </c>
      <c r="AS369" s="48" t="b">
        <v>0</v>
      </c>
      <c r="AT369" s="7" t="b">
        <v>0</v>
      </c>
      <c r="AU369" s="40" t="str" cm="1">
        <f t="array" ref="AU369">_xlfn.XLOOKUP(PROPERTIES[[#This Row],[VEHIDCODE]],GRAPHICS_PROPERTIES[VEHIDCODE],GRAPHICS_PROPERTIES[TEMPLATE_ID]&amp;GRAPHICS_PROPERTIES[TEMPLATE_AMENDMENT_CODE])</f>
        <v>TPL_01A</v>
      </c>
    </row>
    <row r="370" spans="1:47" x14ac:dyDescent="0.35">
      <c r="A370" s="2" t="s">
        <v>3004</v>
      </c>
      <c r="B370">
        <v>1934</v>
      </c>
      <c r="C370">
        <v>1988</v>
      </c>
      <c r="D370" cm="1">
        <f t="array" ref="D3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0" s="40" t="str">
        <f>_xlfn.XLOOKUP(PROPERTIES[[#This Row],[VEHIDCODE]],CONTROL[VEHIDCODE],CONTROL[ENGLISH])</f>
        <v>Breda E.428</v>
      </c>
      <c r="F370" t="s">
        <v>636</v>
      </c>
      <c r="G370" s="40" t="str">
        <f>_xlfn.XLOOKUP(PROPERTIES[[#This Row],[COUNTRY]],COUNTRIES[COUNTRY_DESCRIPTION],COUNTRIES[COUNTRY_LABEL],"")</f>
        <v>IT</v>
      </c>
      <c r="H370" t="str" cm="1">
        <f t="array" ref="H3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0" t="s">
        <v>17</v>
      </c>
      <c r="J370">
        <v>0</v>
      </c>
      <c r="K370">
        <v>8</v>
      </c>
      <c r="L370">
        <v>0</v>
      </c>
      <c r="M370" t="str" cm="1">
        <f t="array" ref="M3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0">
        <f>_xlfn.XLOOKUP("LOADINGSPEEDDEF_"&amp;PROPERTIES[[#This Row],[LOADINGSPEED]],LOADINGSPEEDDEF[TYPE],LOADINGSPEEDDEF[SPEED])</f>
        <v>20</v>
      </c>
      <c r="O370" cm="1">
        <f t="array" ref="O3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0">
        <f>IF(ISNUMBER(SEARCH("passenger",PROPERTIES[[#This Row],[CARGODEF]])),1,0)</f>
        <v>0</v>
      </c>
      <c r="Q370" s="23">
        <v>130</v>
      </c>
      <c r="R370">
        <v>3800</v>
      </c>
      <c r="S370">
        <v>0</v>
      </c>
      <c r="T370">
        <v>0</v>
      </c>
      <c r="U370">
        <v>0</v>
      </c>
      <c r="V370">
        <v>130</v>
      </c>
      <c r="W370">
        <v>0</v>
      </c>
      <c r="X370">
        <v>0</v>
      </c>
      <c r="Y370">
        <v>0</v>
      </c>
      <c r="Z370" s="20">
        <v>180</v>
      </c>
      <c r="AA370" s="19">
        <f>IFERROR(PROPERTIES[[#This Row],[TE_STARTING_KN]]/(PROPERTIES[[#This Row],[WEIGHT]]*9.81),0)</f>
        <v>0.14114326040931546</v>
      </c>
      <c r="AB370" s="19">
        <v>0</v>
      </c>
      <c r="AC370" s="16">
        <f>ROUND(IF(IFERROR(PROPERTIES[[#This Row],[TE_COEFFICIENT_CALC]],0)=0,PROPERTIES[[#This Row],[TE_COEFFICIENT_MANUAL]],PROPERTIES[[#This Row],[TE_COEFFICIENT_CALC]]),3)</f>
        <v>0.14099999999999999</v>
      </c>
      <c r="AD370" s="8" cm="1">
        <f t="array" ref="AD3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370" s="26">
        <v>0</v>
      </c>
      <c r="AF370" s="6">
        <v>0</v>
      </c>
      <c r="AG370" t="s">
        <v>231</v>
      </c>
      <c r="AH370" t="s">
        <v>229</v>
      </c>
      <c r="AI370" t="s">
        <v>229</v>
      </c>
      <c r="AJ370" s="2" t="s">
        <v>229</v>
      </c>
      <c r="AK370" s="2" t="s">
        <v>244</v>
      </c>
      <c r="AL37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0" s="2" t="str">
        <f>SUBSTITUTE(SUBSTITUTE(PROPERTIES[[#This Row],[PURCHASECOST_VALUE]], "PURCHASECOST_", ""), "_VALUE", "")</f>
        <v>ELECTRICENGINE</v>
      </c>
      <c r="AO370" s="44" t="b">
        <v>0</v>
      </c>
      <c r="AP370" s="48" t="b">
        <v>0</v>
      </c>
      <c r="AQ370" s="48" t="b">
        <v>0</v>
      </c>
      <c r="AR370" s="48">
        <v>0</v>
      </c>
      <c r="AS370" s="48" t="b">
        <v>0</v>
      </c>
      <c r="AT370" s="7" t="b">
        <v>0</v>
      </c>
      <c r="AU370" s="40" t="str" cm="1">
        <f t="array" ref="AU370">_xlfn.XLOOKUP(PROPERTIES[[#This Row],[VEHIDCODE]],GRAPHICS_PROPERTIES[VEHIDCODE],GRAPHICS_PROPERTIES[TEMPLATE_ID]&amp;GRAPHICS_PROPERTIES[TEMPLATE_AMENDMENT_CODE])</f>
        <v>TPL_01A</v>
      </c>
    </row>
    <row r="371" spans="1:47" x14ac:dyDescent="0.35">
      <c r="A371" s="2" t="s">
        <v>3005</v>
      </c>
      <c r="B371">
        <v>1936</v>
      </c>
      <c r="C371">
        <v>1983</v>
      </c>
      <c r="D371" cm="1">
        <f t="array" ref="D3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1" s="40" t="str">
        <f>_xlfn.XLOOKUP(PROPERTIES[[#This Row],[VEHIDCODE]],CONTROL[VEHIDCODE],CONTROL[ENGLISH])</f>
        <v>Werkspoor SAR ES</v>
      </c>
      <c r="F371" t="s">
        <v>771</v>
      </c>
      <c r="G371" s="40" t="str">
        <f>_xlfn.XLOOKUP(PROPERTIES[[#This Row],[COUNTRY]],COUNTRIES[COUNTRY_DESCRIPTION],COUNTRIES[COUNTRY_LABEL],"")</f>
        <v>ZA</v>
      </c>
      <c r="H371" t="str" cm="1">
        <f t="array" ref="H3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1" t="s">
        <v>17</v>
      </c>
      <c r="J371">
        <v>0</v>
      </c>
      <c r="K371">
        <v>8</v>
      </c>
      <c r="L371">
        <v>0</v>
      </c>
      <c r="M371" t="str" cm="1">
        <f t="array" ref="M3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1">
        <f>_xlfn.XLOOKUP("LOADINGSPEEDDEF_"&amp;PROPERTIES[[#This Row],[LOADINGSPEED]],LOADINGSPEEDDEF[TYPE],LOADINGSPEEDDEF[SPEED])</f>
        <v>20</v>
      </c>
      <c r="O371" cm="1">
        <f t="array" ref="O3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1">
        <f>IF(ISNUMBER(SEARCH("passenger",PROPERTIES[[#This Row],[CARGODEF]])),1,0)</f>
        <v>0</v>
      </c>
      <c r="Q371" s="23">
        <v>68</v>
      </c>
      <c r="R371">
        <v>1202</v>
      </c>
      <c r="S371">
        <v>0</v>
      </c>
      <c r="T371">
        <v>0</v>
      </c>
      <c r="U371">
        <v>0</v>
      </c>
      <c r="V371">
        <v>40</v>
      </c>
      <c r="W371">
        <v>0</v>
      </c>
      <c r="X371">
        <v>0</v>
      </c>
      <c r="Y371">
        <v>0</v>
      </c>
      <c r="Z371" s="20">
        <v>176</v>
      </c>
      <c r="AA371" s="19">
        <f>IFERROR(PROPERTIES[[#This Row],[TE_STARTING_KN]]/(PROPERTIES[[#This Row],[WEIGHT]]*9.81),0)</f>
        <v>0.26383642141872038</v>
      </c>
      <c r="AB371" s="19">
        <v>0</v>
      </c>
      <c r="AC371" s="16">
        <f>ROUND(IF(IFERROR(PROPERTIES[[#This Row],[TE_COEFFICIENT_CALC]],0)=0,PROPERTIES[[#This Row],[TE_COEFFICIENT_MANUAL]],PROPERTIES[[#This Row],[TE_COEFFICIENT_CALC]]),3)</f>
        <v>0.26400000000000001</v>
      </c>
      <c r="AD371" s="8" cm="1">
        <f t="array" ref="AD3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47</v>
      </c>
      <c r="AE371" s="26">
        <v>0</v>
      </c>
      <c r="AF371" s="6">
        <v>0</v>
      </c>
      <c r="AG371" t="s">
        <v>233</v>
      </c>
      <c r="AH371" t="s">
        <v>229</v>
      </c>
      <c r="AI371" t="s">
        <v>229</v>
      </c>
      <c r="AJ371" s="2" t="s">
        <v>229</v>
      </c>
      <c r="AK371" s="2" t="s">
        <v>244</v>
      </c>
      <c r="AL37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1" s="2" t="str">
        <f>SUBSTITUTE(SUBSTITUTE(PROPERTIES[[#This Row],[PURCHASECOST_VALUE]], "PURCHASECOST_", ""), "_VALUE", "")</f>
        <v>ELECTRICENGINE</v>
      </c>
      <c r="AO371" s="44" t="b">
        <v>0</v>
      </c>
      <c r="AP371" s="48" t="b">
        <v>0</v>
      </c>
      <c r="AQ371" s="48" t="b">
        <v>0</v>
      </c>
      <c r="AR371" s="48">
        <v>0</v>
      </c>
      <c r="AS371" s="48" t="b">
        <v>0</v>
      </c>
      <c r="AT371" s="7" t="b">
        <v>0</v>
      </c>
      <c r="AU371" s="40" t="str" cm="1">
        <f t="array" ref="AU371">_xlfn.XLOOKUP(PROPERTIES[[#This Row],[VEHIDCODE]],GRAPHICS_PROPERTIES[VEHIDCODE],GRAPHICS_PROPERTIES[TEMPLATE_ID]&amp;GRAPHICS_PROPERTIES[TEMPLATE_AMENDMENT_CODE])</f>
        <v>TPL_01A</v>
      </c>
    </row>
    <row r="372" spans="1:47" x14ac:dyDescent="0.35">
      <c r="A372" s="2" t="s">
        <v>3006</v>
      </c>
      <c r="B372">
        <v>1962</v>
      </c>
      <c r="C372">
        <v>2004</v>
      </c>
      <c r="D372" cm="1">
        <f t="array" ref="D3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2" s="40" t="str">
        <f>_xlfn.XLOOKUP(PROPERTIES[[#This Row],[VEHIDCODE]],CONTROL[VEHIDCODE],CONTROL[ENGLISH])</f>
        <v>English Electric E [AEI E]</v>
      </c>
      <c r="F372" t="s">
        <v>705</v>
      </c>
      <c r="G372" s="40" t="str">
        <f>_xlfn.XLOOKUP(PROPERTIES[[#This Row],[COUNTRY]],COUNTRIES[COUNTRY_DESCRIPTION],COUNTRIES[COUNTRY_LABEL],"")</f>
        <v>PL</v>
      </c>
      <c r="H372" t="str" cm="1">
        <f t="array" ref="H3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2" t="s">
        <v>17</v>
      </c>
      <c r="J372">
        <v>0</v>
      </c>
      <c r="K372">
        <v>7</v>
      </c>
      <c r="L372">
        <v>0</v>
      </c>
      <c r="M372" t="str" cm="1">
        <f t="array" ref="M3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2">
        <f>_xlfn.XLOOKUP("LOADINGSPEEDDEF_"&amp;PROPERTIES[[#This Row],[LOADINGSPEED]],LOADINGSPEEDDEF[TYPE],LOADINGSPEEDDEF[SPEED])</f>
        <v>20</v>
      </c>
      <c r="O372" cm="1">
        <f t="array" ref="O3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2">
        <f>IF(ISNUMBER(SEARCH("passenger",PROPERTIES[[#This Row],[CARGODEF]])),1,0)</f>
        <v>0</v>
      </c>
      <c r="Q372" s="23">
        <v>81</v>
      </c>
      <c r="R372">
        <v>1500</v>
      </c>
      <c r="S372">
        <v>0</v>
      </c>
      <c r="T372">
        <v>0</v>
      </c>
      <c r="U372">
        <v>0</v>
      </c>
      <c r="V372">
        <v>126</v>
      </c>
      <c r="W372">
        <v>0</v>
      </c>
      <c r="X372">
        <v>0</v>
      </c>
      <c r="Y372">
        <v>0</v>
      </c>
      <c r="Z372" s="20">
        <v>280</v>
      </c>
      <c r="AA372" s="19">
        <f>IFERROR(PROPERTIES[[#This Row],[TE_STARTING_KN]]/(PROPERTIES[[#This Row],[WEIGHT]]*9.81),0)</f>
        <v>0.35237412063779716</v>
      </c>
      <c r="AB372" s="19">
        <v>0</v>
      </c>
      <c r="AC372" s="16">
        <f>ROUND(IF(IFERROR(PROPERTIES[[#This Row],[TE_COEFFICIENT_CALC]],0)=0,PROPERTIES[[#This Row],[TE_COEFFICIENT_MANUAL]],PROPERTIES[[#This Row],[TE_COEFFICIENT_CALC]]),3)</f>
        <v>0.35199999999999998</v>
      </c>
      <c r="AD372" s="8" cm="1">
        <f t="array" ref="AD3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372" s="26">
        <v>0</v>
      </c>
      <c r="AF372" s="6">
        <v>0</v>
      </c>
      <c r="AG372" t="s">
        <v>236</v>
      </c>
      <c r="AH372" t="s">
        <v>229</v>
      </c>
      <c r="AI372" t="s">
        <v>229</v>
      </c>
      <c r="AJ372" s="2" t="s">
        <v>229</v>
      </c>
      <c r="AK372" s="2" t="s">
        <v>244</v>
      </c>
      <c r="AL37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2" s="2" t="str">
        <f>SUBSTITUTE(SUBSTITUTE(PROPERTIES[[#This Row],[PURCHASECOST_VALUE]], "PURCHASECOST_", ""), "_VALUE", "")</f>
        <v>ELECTRICENGINE</v>
      </c>
      <c r="AO372" s="44" t="b">
        <v>0</v>
      </c>
      <c r="AP372" s="48" t="b">
        <v>0</v>
      </c>
      <c r="AQ372" s="48" t="b">
        <v>0</v>
      </c>
      <c r="AR372" s="48">
        <v>0</v>
      </c>
      <c r="AS372" s="48" t="b">
        <v>0</v>
      </c>
      <c r="AT372" s="7" t="b">
        <v>0</v>
      </c>
      <c r="AU372" s="40" t="str" cm="1">
        <f t="array" ref="AU372">_xlfn.XLOOKUP(PROPERTIES[[#This Row],[VEHIDCODE]],GRAPHICS_PROPERTIES[VEHIDCODE],GRAPHICS_PROPERTIES[TEMPLATE_ID]&amp;GRAPHICS_PROPERTIES[TEMPLATE_AMENDMENT_CODE])</f>
        <v>TPL_01A</v>
      </c>
    </row>
    <row r="373" spans="1:47" x14ac:dyDescent="0.35">
      <c r="A373" s="2" t="s">
        <v>3007</v>
      </c>
      <c r="B373">
        <v>1977</v>
      </c>
      <c r="C373">
        <v>2016</v>
      </c>
      <c r="D373" cm="1">
        <f t="array" ref="D3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3" s="40" t="str">
        <f>_xlfn.XLOOKUP(PROPERTIES[[#This Row],[VEHIDCODE]],CONTROL[VEHIDCODE],CONTROL[ENGLISH])</f>
        <v>HCP 203E</v>
      </c>
      <c r="F373" t="s">
        <v>705</v>
      </c>
      <c r="G373" s="40" t="str">
        <f>_xlfn.XLOOKUP(PROPERTIES[[#This Row],[COUNTRY]],COUNTRIES[COUNTRY_DESCRIPTION],COUNTRIES[COUNTRY_LABEL],"")</f>
        <v>PL</v>
      </c>
      <c r="H373" t="str" cm="1">
        <f t="array" ref="H3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3" t="s">
        <v>17</v>
      </c>
      <c r="J373">
        <v>0</v>
      </c>
      <c r="K373">
        <v>7</v>
      </c>
      <c r="L373">
        <v>0</v>
      </c>
      <c r="M373" t="str" cm="1">
        <f t="array" ref="M3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3">
        <f>_xlfn.XLOOKUP("LOADINGSPEEDDEF_"&amp;PROPERTIES[[#This Row],[LOADINGSPEED]],LOADINGSPEEDDEF[TYPE],LOADINGSPEEDDEF[SPEED])</f>
        <v>20</v>
      </c>
      <c r="O373" cm="1">
        <f t="array" ref="O3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3">
        <f>IF(ISNUMBER(SEARCH("passenger",PROPERTIES[[#This Row],[CARGODEF]])),1,0)</f>
        <v>0</v>
      </c>
      <c r="Q373" s="23">
        <v>167</v>
      </c>
      <c r="R373">
        <v>5400</v>
      </c>
      <c r="S373">
        <v>0</v>
      </c>
      <c r="T373">
        <v>0</v>
      </c>
      <c r="U373">
        <v>0</v>
      </c>
      <c r="V373">
        <v>125</v>
      </c>
      <c r="W373">
        <v>0</v>
      </c>
      <c r="X373">
        <v>0</v>
      </c>
      <c r="Y373">
        <v>0</v>
      </c>
      <c r="Z373" s="20">
        <v>500</v>
      </c>
      <c r="AA373" s="19">
        <f>IFERROR(PROPERTIES[[#This Row],[TE_STARTING_KN]]/(PROPERTIES[[#This Row],[WEIGHT]]*9.81),0)</f>
        <v>0.30519999755840005</v>
      </c>
      <c r="AB373" s="19">
        <v>0</v>
      </c>
      <c r="AC373" s="16">
        <f>ROUND(IF(IFERROR(PROPERTIES[[#This Row],[TE_COEFFICIENT_CALC]],0)=0,PROPERTIES[[#This Row],[TE_COEFFICIENT_MANUAL]],PROPERTIES[[#This Row],[TE_COEFFICIENT_CALC]]),3)</f>
        <v>0.30499999999999999</v>
      </c>
      <c r="AD373" s="8" cm="1">
        <f t="array" ref="AD3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73" s="26">
        <v>0</v>
      </c>
      <c r="AF373" s="6">
        <v>7</v>
      </c>
      <c r="AG373" t="s">
        <v>236</v>
      </c>
      <c r="AH373" t="s">
        <v>229</v>
      </c>
      <c r="AI373" t="s">
        <v>229</v>
      </c>
      <c r="AJ373" s="2" t="s">
        <v>229</v>
      </c>
      <c r="AK373" s="2" t="s">
        <v>244</v>
      </c>
      <c r="AL37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3" s="2" t="str">
        <f>SUBSTITUTE(SUBSTITUTE(PROPERTIES[[#This Row],[PURCHASECOST_VALUE]], "PURCHASECOST_", ""), "_VALUE", "")</f>
        <v>ELECTRICENGINE</v>
      </c>
      <c r="AO373" s="44" t="b">
        <v>0</v>
      </c>
      <c r="AP373" s="48" t="b">
        <v>0</v>
      </c>
      <c r="AQ373" s="48" t="b">
        <v>0</v>
      </c>
      <c r="AR373" s="48">
        <v>0</v>
      </c>
      <c r="AS373" s="48" t="b">
        <v>0</v>
      </c>
      <c r="AT373" s="7" t="b">
        <v>0</v>
      </c>
      <c r="AU373" s="40" t="str" cm="1">
        <f t="array" ref="AU373">_xlfn.XLOOKUP(PROPERTIES[[#This Row],[VEHIDCODE]],GRAPHICS_PROPERTIES[VEHIDCODE],GRAPHICS_PROPERTIES[TEMPLATE_ID]&amp;GRAPHICS_PROPERTIES[TEMPLATE_AMENDMENT_CODE])</f>
        <v>TPL_03D</v>
      </c>
    </row>
    <row r="374" spans="1:47" x14ac:dyDescent="0.35">
      <c r="A374" s="2" t="s">
        <v>3008</v>
      </c>
      <c r="B374">
        <v>1986</v>
      </c>
      <c r="D374" cm="1">
        <f t="array" ref="D3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4" s="40" t="str">
        <f>_xlfn.XLOOKUP(PROPERTIES[[#This Row],[VEHIDCODE]],CONTROL[VEHIDCODE],CONTROL[ENGLISH])</f>
        <v>Pafawag 104E</v>
      </c>
      <c r="F374" t="s">
        <v>705</v>
      </c>
      <c r="G374" s="40" t="str">
        <f>_xlfn.XLOOKUP(PROPERTIES[[#This Row],[COUNTRY]],COUNTRIES[COUNTRY_DESCRIPTION],COUNTRIES[COUNTRY_LABEL],"")</f>
        <v>PL</v>
      </c>
      <c r="H374" t="str" cm="1">
        <f t="array" ref="H3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4" t="s">
        <v>17</v>
      </c>
      <c r="J374">
        <v>0</v>
      </c>
      <c r="K374">
        <v>7</v>
      </c>
      <c r="L374">
        <v>0</v>
      </c>
      <c r="M374" t="str" cm="1">
        <f t="array" ref="M3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4">
        <f>_xlfn.XLOOKUP("LOADINGSPEEDDEF_"&amp;PROPERTIES[[#This Row],[LOADINGSPEED]],LOADINGSPEEDDEF[TYPE],LOADINGSPEEDDEF[SPEED])</f>
        <v>20</v>
      </c>
      <c r="O374" t="str" cm="1">
        <f t="array" ref="O3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74">
        <f>IF(ISNUMBER(SEARCH("passenger",PROPERTIES[[#This Row],[CARGODEF]])),1,0)</f>
        <v>0</v>
      </c>
      <c r="Q374" s="23">
        <v>83.5</v>
      </c>
      <c r="R374">
        <v>3916</v>
      </c>
      <c r="S374">
        <v>0</v>
      </c>
      <c r="T374">
        <v>0</v>
      </c>
      <c r="U374">
        <v>0</v>
      </c>
      <c r="V374">
        <v>160</v>
      </c>
      <c r="W374">
        <v>0</v>
      </c>
      <c r="X374">
        <v>0</v>
      </c>
      <c r="Y374">
        <v>0</v>
      </c>
      <c r="Z374" s="20">
        <v>195</v>
      </c>
      <c r="AA374" s="19">
        <f>IFERROR(PROPERTIES[[#This Row],[TE_STARTING_KN]]/(PROPERTIES[[#This Row],[WEIGHT]]*9.81),0)</f>
        <v>0.23805599809555203</v>
      </c>
      <c r="AB374" s="19">
        <v>0</v>
      </c>
      <c r="AC374" s="16">
        <f>ROUND(IF(IFERROR(PROPERTIES[[#This Row],[TE_COEFFICIENT_CALC]],0)=0,PROPERTIES[[#This Row],[TE_COEFFICIENT_MANUAL]],PROPERTIES[[#This Row],[TE_COEFFICIENT_CALC]]),3)</f>
        <v>0.23799999999999999</v>
      </c>
      <c r="AD374" s="8" cm="1">
        <f t="array" ref="AD3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74" s="26">
        <v>0</v>
      </c>
      <c r="AF374" s="6">
        <v>0</v>
      </c>
      <c r="AG374" t="s">
        <v>236</v>
      </c>
      <c r="AH374" t="s">
        <v>229</v>
      </c>
      <c r="AI374" t="s">
        <v>229</v>
      </c>
      <c r="AJ374" s="2" t="s">
        <v>229</v>
      </c>
      <c r="AK374" s="2" t="s">
        <v>244</v>
      </c>
      <c r="AL37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4" s="2" t="str">
        <f>SUBSTITUTE(SUBSTITUTE(PROPERTIES[[#This Row],[PURCHASECOST_VALUE]], "PURCHASECOST_", ""), "_VALUE", "")</f>
        <v>ELECTRICENGINE</v>
      </c>
      <c r="AO374" s="44" t="b">
        <v>0</v>
      </c>
      <c r="AP374" s="48" t="b">
        <v>0</v>
      </c>
      <c r="AQ374" s="48" t="b">
        <v>0</v>
      </c>
      <c r="AR374" s="48">
        <v>0</v>
      </c>
      <c r="AS374" s="48" t="b">
        <v>0</v>
      </c>
      <c r="AT374" s="7" t="b">
        <v>0</v>
      </c>
      <c r="AU374" s="40" t="str" cm="1">
        <f t="array" ref="AU374">_xlfn.XLOOKUP(PROPERTIES[[#This Row],[VEHIDCODE]],GRAPHICS_PROPERTIES[VEHIDCODE],GRAPHICS_PROPERTIES[TEMPLATE_ID]&amp;GRAPHICS_PROPERTIES[TEMPLATE_AMENDMENT_CODE])</f>
        <v>TPL_01A</v>
      </c>
    </row>
    <row r="375" spans="1:47" x14ac:dyDescent="0.35">
      <c r="A375" s="2" t="s">
        <v>3009</v>
      </c>
      <c r="B375">
        <v>1991</v>
      </c>
      <c r="D375" cm="1">
        <f t="array" ref="D3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5" s="40" t="str">
        <f>_xlfn.XLOOKUP(PROPERTIES[[#This Row],[VEHIDCODE]],CONTROL[VEHIDCODE],CONTROL[ENGLISH])</f>
        <v>Skoda 98E</v>
      </c>
      <c r="F375" t="s">
        <v>727</v>
      </c>
      <c r="G375" s="40" t="str">
        <f>_xlfn.XLOOKUP(PROPERTIES[[#This Row],[COUNTRY]],COUNTRIES[COUNTRY_DESCRIPTION],COUNTRIES[COUNTRY_LABEL],"")</f>
        <v>SK</v>
      </c>
      <c r="H375" t="str" cm="1">
        <f t="array" ref="H3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5" t="s">
        <v>17</v>
      </c>
      <c r="J375">
        <v>0</v>
      </c>
      <c r="K375">
        <v>7</v>
      </c>
      <c r="L375">
        <v>0</v>
      </c>
      <c r="M375" t="str" cm="1">
        <f t="array" ref="M3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5">
        <f>_xlfn.XLOOKUP("LOADINGSPEEDDEF_"&amp;PROPERTIES[[#This Row],[LOADINGSPEED]],LOADINGSPEEDDEF[TYPE],LOADINGSPEEDDEF[SPEED])</f>
        <v>20</v>
      </c>
      <c r="O375" t="str" cm="1">
        <f t="array" ref="O3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75">
        <f>IF(ISNUMBER(SEARCH("passenger",PROPERTIES[[#This Row],[CARGODEF]])),1,0)</f>
        <v>0</v>
      </c>
      <c r="Q375" s="23">
        <v>85</v>
      </c>
      <c r="R375">
        <v>4872</v>
      </c>
      <c r="S375">
        <v>0</v>
      </c>
      <c r="T375">
        <v>0</v>
      </c>
      <c r="U375">
        <v>0</v>
      </c>
      <c r="V375">
        <v>140</v>
      </c>
      <c r="W375">
        <v>0</v>
      </c>
      <c r="X375">
        <v>0</v>
      </c>
      <c r="Y375">
        <v>0</v>
      </c>
      <c r="Z375" s="20">
        <v>258</v>
      </c>
      <c r="AA375" s="19">
        <f>IFERROR(PROPERTIES[[#This Row],[TE_STARTING_KN]]/(PROPERTIES[[#This Row],[WEIGHT]]*9.81),0)</f>
        <v>0.30940816693649936</v>
      </c>
      <c r="AB375" s="19">
        <v>0</v>
      </c>
      <c r="AC375" s="16">
        <f>ROUND(IF(IFERROR(PROPERTIES[[#This Row],[TE_COEFFICIENT_CALC]],0)=0,PROPERTIES[[#This Row],[TE_COEFFICIENT_MANUAL]],PROPERTIES[[#This Row],[TE_COEFFICIENT_CALC]]),3)</f>
        <v>0.309</v>
      </c>
      <c r="AD375" s="8" cm="1">
        <f t="array" ref="AD3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75" s="26">
        <v>0</v>
      </c>
      <c r="AF375" s="6">
        <v>0</v>
      </c>
      <c r="AG375" t="s">
        <v>236</v>
      </c>
      <c r="AH375" t="s">
        <v>229</v>
      </c>
      <c r="AI375" t="s">
        <v>229</v>
      </c>
      <c r="AJ375" s="2" t="s">
        <v>229</v>
      </c>
      <c r="AK375" s="2" t="s">
        <v>244</v>
      </c>
      <c r="AL37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5" s="2" t="str">
        <f>SUBSTITUTE(SUBSTITUTE(PROPERTIES[[#This Row],[PURCHASECOST_VALUE]], "PURCHASECOST_", ""), "_VALUE", "")</f>
        <v>ELECTRICENGINE</v>
      </c>
      <c r="AO375" s="44" t="b">
        <v>0</v>
      </c>
      <c r="AP375" s="48" t="b">
        <v>0</v>
      </c>
      <c r="AQ375" s="48" t="b">
        <v>0</v>
      </c>
      <c r="AR375" s="48">
        <v>0</v>
      </c>
      <c r="AS375" s="48" t="b">
        <v>0</v>
      </c>
      <c r="AT375" s="7" t="b">
        <v>0</v>
      </c>
      <c r="AU375" s="40" t="str" cm="1">
        <f t="array" ref="AU375">_xlfn.XLOOKUP(PROPERTIES[[#This Row],[VEHIDCODE]],GRAPHICS_PROPERTIES[VEHIDCODE],GRAPHICS_PROPERTIES[TEMPLATE_ID]&amp;GRAPHICS_PROPERTIES[TEMPLATE_AMENDMENT_CODE])</f>
        <v>TPL_01A</v>
      </c>
    </row>
    <row r="376" spans="1:47" x14ac:dyDescent="0.35">
      <c r="A376" s="2" t="s">
        <v>3010</v>
      </c>
      <c r="B376">
        <v>1961</v>
      </c>
      <c r="C376">
        <v>2009</v>
      </c>
      <c r="D376" cm="1">
        <f t="array" ref="D3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6" s="40" t="str">
        <f>_xlfn.XLOOKUP(PROPERTIES[[#This Row],[VEHIDCODE]],CONTROL[VEHIDCODE],CONTROL[ENGLISH])</f>
        <v>TIBB E.646</v>
      </c>
      <c r="F376" t="s">
        <v>636</v>
      </c>
      <c r="G376" s="40" t="str">
        <f>_xlfn.XLOOKUP(PROPERTIES[[#This Row],[COUNTRY]],COUNTRIES[COUNTRY_DESCRIPTION],COUNTRIES[COUNTRY_LABEL],"")</f>
        <v>IT</v>
      </c>
      <c r="H376" t="str" cm="1">
        <f t="array" ref="H3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6" t="s">
        <v>17</v>
      </c>
      <c r="J376">
        <v>0</v>
      </c>
      <c r="K376">
        <v>5</v>
      </c>
      <c r="L376">
        <v>0</v>
      </c>
      <c r="M376" t="str" cm="1">
        <f t="array" ref="M3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6">
        <f>_xlfn.XLOOKUP("LOADINGSPEEDDEF_"&amp;PROPERTIES[[#This Row],[LOADINGSPEED]],LOADINGSPEEDDEF[TYPE],LOADINGSPEEDDEF[SPEED])</f>
        <v>20</v>
      </c>
      <c r="O376" cm="1">
        <f t="array" ref="O3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6">
        <f>IF(ISNUMBER(SEARCH("passenger",PROPERTIES[[#This Row],[CARGODEF]])),1,0)</f>
        <v>0</v>
      </c>
      <c r="Q376" s="23">
        <v>110</v>
      </c>
      <c r="R376">
        <v>5070</v>
      </c>
      <c r="S376">
        <v>0</v>
      </c>
      <c r="T376">
        <v>0</v>
      </c>
      <c r="U376">
        <v>0</v>
      </c>
      <c r="V376">
        <v>140</v>
      </c>
      <c r="W376">
        <v>0</v>
      </c>
      <c r="X376">
        <v>0</v>
      </c>
      <c r="Y376">
        <v>0</v>
      </c>
      <c r="Z376" s="20">
        <v>233</v>
      </c>
      <c r="AA376" s="19">
        <f>IFERROR(PROPERTIES[[#This Row],[TE_STARTING_KN]]/(PROPERTIES[[#This Row],[WEIGHT]]*9.81),0)</f>
        <v>0.21592067463627093</v>
      </c>
      <c r="AB376" s="19">
        <v>0</v>
      </c>
      <c r="AC376" s="16">
        <f>ROUND(IF(IFERROR(PROPERTIES[[#This Row],[TE_COEFFICIENT_CALC]],0)=0,PROPERTIES[[#This Row],[TE_COEFFICIENT_MANUAL]],PROPERTIES[[#This Row],[TE_COEFFICIENT_CALC]]),3)</f>
        <v>0.216</v>
      </c>
      <c r="AD376" s="8" cm="1">
        <f t="array" ref="AD3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376" s="26">
        <v>0</v>
      </c>
      <c r="AF376" s="6">
        <v>5</v>
      </c>
      <c r="AG376" t="s">
        <v>231</v>
      </c>
      <c r="AH376" t="s">
        <v>229</v>
      </c>
      <c r="AI376" t="s">
        <v>229</v>
      </c>
      <c r="AJ376" s="2" t="s">
        <v>229</v>
      </c>
      <c r="AK376" s="2" t="s">
        <v>244</v>
      </c>
      <c r="AL37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6" s="2" t="str">
        <f>SUBSTITUTE(SUBSTITUTE(PROPERTIES[[#This Row],[PURCHASECOST_VALUE]], "PURCHASECOST_", ""), "_VALUE", "")</f>
        <v>ELECTRICENGINE</v>
      </c>
      <c r="AO376" s="44" t="b">
        <v>0</v>
      </c>
      <c r="AP376" s="48" t="b">
        <v>0</v>
      </c>
      <c r="AQ376" s="48" t="b">
        <v>0</v>
      </c>
      <c r="AR376" s="48">
        <v>0</v>
      </c>
      <c r="AS376" s="48" t="b">
        <v>0</v>
      </c>
      <c r="AT376" s="7" t="b">
        <v>0</v>
      </c>
      <c r="AU376" s="40" t="str" cm="1">
        <f t="array" ref="AU376">_xlfn.XLOOKUP(PROPERTIES[[#This Row],[VEHIDCODE]],GRAPHICS_PROPERTIES[VEHIDCODE],GRAPHICS_PROPERTIES[TEMPLATE_ID]&amp;GRAPHICS_PROPERTIES[TEMPLATE_AMENDMENT_CODE])</f>
        <v>TPL_03D</v>
      </c>
    </row>
    <row r="377" spans="1:47" x14ac:dyDescent="0.35">
      <c r="A377" s="2" t="s">
        <v>3011</v>
      </c>
      <c r="B377">
        <v>1943</v>
      </c>
      <c r="C377">
        <v>2008</v>
      </c>
      <c r="D377" cm="1">
        <f t="array" ref="D3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7" s="40" t="str">
        <f>_xlfn.XLOOKUP(PROPERTIES[[#This Row],[VEHIDCODE]],CONTROL[VEHIDCODE],CONTROL[ENGLISH])</f>
        <v>Breda E.424</v>
      </c>
      <c r="F377" t="s">
        <v>636</v>
      </c>
      <c r="G377" s="40" t="str">
        <f>_xlfn.XLOOKUP(PROPERTIES[[#This Row],[COUNTRY]],COUNTRIES[COUNTRY_DESCRIPTION],COUNTRIES[COUNTRY_LABEL],"")</f>
        <v>IT</v>
      </c>
      <c r="H377" t="str" cm="1">
        <f t="array" ref="H3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7" t="s">
        <v>17</v>
      </c>
      <c r="J377">
        <v>0</v>
      </c>
      <c r="K377">
        <v>8</v>
      </c>
      <c r="L377">
        <v>0</v>
      </c>
      <c r="M377" t="str" cm="1">
        <f t="array" ref="M3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7">
        <f>_xlfn.XLOOKUP("LOADINGSPEEDDEF_"&amp;PROPERTIES[[#This Row],[LOADINGSPEED]],LOADINGSPEEDDEF[TYPE],LOADINGSPEEDDEF[SPEED])</f>
        <v>20</v>
      </c>
      <c r="O377" cm="1">
        <f t="array" ref="O3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7">
        <f>IF(ISNUMBER(SEARCH("passenger",PROPERTIES[[#This Row],[CARGODEF]])),1,0)</f>
        <v>0</v>
      </c>
      <c r="Q377" s="23">
        <v>65</v>
      </c>
      <c r="R377">
        <v>2000</v>
      </c>
      <c r="S377">
        <v>0</v>
      </c>
      <c r="T377">
        <v>0</v>
      </c>
      <c r="U377">
        <v>0</v>
      </c>
      <c r="V377">
        <v>120</v>
      </c>
      <c r="W377">
        <v>0</v>
      </c>
      <c r="X377">
        <v>0</v>
      </c>
      <c r="Y377">
        <v>0</v>
      </c>
      <c r="Z377" s="20">
        <v>168</v>
      </c>
      <c r="AA377" s="19">
        <f>IFERROR(PROPERTIES[[#This Row],[TE_STARTING_KN]]/(PROPERTIES[[#This Row],[WEIGHT]]*9.81),0)</f>
        <v>0.26346741943072222</v>
      </c>
      <c r="AB377" s="19">
        <v>0</v>
      </c>
      <c r="AC377" s="16">
        <f>ROUND(IF(IFERROR(PROPERTIES[[#This Row],[TE_COEFFICIENT_CALC]],0)=0,PROPERTIES[[#This Row],[TE_COEFFICIENT_MANUAL]],PROPERTIES[[#This Row],[TE_COEFFICIENT_CALC]]),3)</f>
        <v>0.26300000000000001</v>
      </c>
      <c r="AD377" s="8" cm="1">
        <f t="array" ref="AD3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65</v>
      </c>
      <c r="AE377" s="26">
        <v>0</v>
      </c>
      <c r="AF377" s="6">
        <v>0</v>
      </c>
      <c r="AG377" t="s">
        <v>231</v>
      </c>
      <c r="AH377" t="s">
        <v>229</v>
      </c>
      <c r="AI377" t="s">
        <v>229</v>
      </c>
      <c r="AJ377" s="2" t="s">
        <v>229</v>
      </c>
      <c r="AK377" s="2" t="s">
        <v>244</v>
      </c>
      <c r="AL37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7" s="2" t="str">
        <f>SUBSTITUTE(SUBSTITUTE(PROPERTIES[[#This Row],[PURCHASECOST_VALUE]], "PURCHASECOST_", ""), "_VALUE", "")</f>
        <v>ELECTRICENGINE</v>
      </c>
      <c r="AO377" s="44" t="b">
        <v>0</v>
      </c>
      <c r="AP377" s="48" t="b">
        <v>0</v>
      </c>
      <c r="AQ377" s="48" t="b">
        <v>0</v>
      </c>
      <c r="AR377" s="48">
        <v>0</v>
      </c>
      <c r="AS377" s="48" t="b">
        <v>0</v>
      </c>
      <c r="AT377" s="7" t="b">
        <v>0</v>
      </c>
      <c r="AU377" s="40" t="str" cm="1">
        <f t="array" ref="AU377">_xlfn.XLOOKUP(PROPERTIES[[#This Row],[VEHIDCODE]],GRAPHICS_PROPERTIES[VEHIDCODE],GRAPHICS_PROPERTIES[TEMPLATE_ID]&amp;GRAPHICS_PROPERTIES[TEMPLATE_AMENDMENT_CODE])</f>
        <v>TPL_01A</v>
      </c>
    </row>
    <row r="378" spans="1:47" x14ac:dyDescent="0.35">
      <c r="A378" s="2" t="s">
        <v>3012</v>
      </c>
      <c r="B378">
        <v>1967</v>
      </c>
      <c r="C378">
        <v>1989</v>
      </c>
      <c r="D378" cm="1">
        <f t="array" ref="D3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8" s="40" t="str">
        <f>_xlfn.XLOOKUP(PROPERTIES[[#This Row],[VEHIDCODE]],CONTROL[VEHIDCODE],CONTROL[ENGLISH])</f>
        <v>Savigliano E.444</v>
      </c>
      <c r="F378" t="s">
        <v>636</v>
      </c>
      <c r="G378" s="40" t="str">
        <f>_xlfn.XLOOKUP(PROPERTIES[[#This Row],[COUNTRY]],COUNTRIES[COUNTRY_DESCRIPTION],COUNTRIES[COUNTRY_LABEL],"")</f>
        <v>IT</v>
      </c>
      <c r="H378" t="str" cm="1">
        <f t="array" ref="H3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8" t="s">
        <v>17</v>
      </c>
      <c r="J378">
        <v>0</v>
      </c>
      <c r="K378">
        <v>8</v>
      </c>
      <c r="L378">
        <v>0</v>
      </c>
      <c r="M378" t="str" cm="1">
        <f t="array" ref="M3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8">
        <f>_xlfn.XLOOKUP("LOADINGSPEEDDEF_"&amp;PROPERTIES[[#This Row],[LOADINGSPEED]],LOADINGSPEEDDEF[TYPE],LOADINGSPEEDDEF[SPEED])</f>
        <v>20</v>
      </c>
      <c r="O378" cm="1">
        <f t="array" ref="O3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8">
        <f>IF(ISNUMBER(SEARCH("passenger",PROPERTIES[[#This Row],[CARGODEF]])),1,0)</f>
        <v>0</v>
      </c>
      <c r="Q378" s="23">
        <v>83</v>
      </c>
      <c r="R378">
        <v>5729</v>
      </c>
      <c r="S378">
        <v>0</v>
      </c>
      <c r="T378">
        <v>0</v>
      </c>
      <c r="U378">
        <v>0</v>
      </c>
      <c r="V378">
        <v>200</v>
      </c>
      <c r="W378">
        <v>0</v>
      </c>
      <c r="X378">
        <v>0</v>
      </c>
      <c r="Y378">
        <v>0</v>
      </c>
      <c r="Z378" s="20">
        <v>201</v>
      </c>
      <c r="AA378" s="19">
        <f>IFERROR(PROPERTIES[[#This Row],[TE_STARTING_KN]]/(PROPERTIES[[#This Row],[WEIGHT]]*9.81),0)</f>
        <v>0.24685899561548946</v>
      </c>
      <c r="AB378" s="19">
        <v>0</v>
      </c>
      <c r="AC378" s="16">
        <f>ROUND(IF(IFERROR(PROPERTIES[[#This Row],[TE_COEFFICIENT_CALC]],0)=0,PROPERTIES[[#This Row],[TE_COEFFICIENT_MANUAL]],PROPERTIES[[#This Row],[TE_COEFFICIENT_CALC]]),3)</f>
        <v>0.247</v>
      </c>
      <c r="AD378" s="8" cm="1">
        <f t="array" ref="AD3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78" s="26">
        <v>0</v>
      </c>
      <c r="AF378" s="6">
        <v>0</v>
      </c>
      <c r="AG378" t="s">
        <v>231</v>
      </c>
      <c r="AH378" t="s">
        <v>229</v>
      </c>
      <c r="AI378" t="s">
        <v>229</v>
      </c>
      <c r="AJ378" s="2" t="s">
        <v>229</v>
      </c>
      <c r="AK378" s="2" t="s">
        <v>244</v>
      </c>
      <c r="AL37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8" s="2" t="str">
        <f>SUBSTITUTE(SUBSTITUTE(PROPERTIES[[#This Row],[PURCHASECOST_VALUE]], "PURCHASECOST_", ""), "_VALUE", "")</f>
        <v>ELECTRICENGINE</v>
      </c>
      <c r="AO378" s="44" t="b">
        <v>0</v>
      </c>
      <c r="AP378" s="48" t="b">
        <v>0</v>
      </c>
      <c r="AQ378" s="48" t="b">
        <v>0</v>
      </c>
      <c r="AR378" s="48">
        <v>0</v>
      </c>
      <c r="AS378" s="48" t="b">
        <v>0</v>
      </c>
      <c r="AT378" s="7" t="b">
        <v>0</v>
      </c>
      <c r="AU378" s="40" t="str" cm="1">
        <f t="array" ref="AU378">_xlfn.XLOOKUP(PROPERTIES[[#This Row],[VEHIDCODE]],GRAPHICS_PROPERTIES[VEHIDCODE],GRAPHICS_PROPERTIES[TEMPLATE_ID]&amp;GRAPHICS_PROPERTIES[TEMPLATE_AMENDMENT_CODE])</f>
        <v>TPL_01A</v>
      </c>
    </row>
    <row r="379" spans="1:47" x14ac:dyDescent="0.35">
      <c r="A379" s="2" t="s">
        <v>3013</v>
      </c>
      <c r="B379">
        <v>1979</v>
      </c>
      <c r="C379">
        <v>2030</v>
      </c>
      <c r="D379" cm="1">
        <f t="array" ref="D3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9" s="40" t="str">
        <f>_xlfn.XLOOKUP(PROPERTIES[[#This Row],[VEHIDCODE]],CONTROL[VEHIDCODE],CONTROL[ENGLISH])</f>
        <v>Fiat E.633</v>
      </c>
      <c r="F379" t="s">
        <v>636</v>
      </c>
      <c r="G379" s="40" t="str">
        <f>_xlfn.XLOOKUP(PROPERTIES[[#This Row],[COUNTRY]],COUNTRIES[COUNTRY_DESCRIPTION],COUNTRIES[COUNTRY_LABEL],"")</f>
        <v>IT</v>
      </c>
      <c r="H379" t="str" cm="1">
        <f t="array" ref="H3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9" t="s">
        <v>17</v>
      </c>
      <c r="J379">
        <v>0</v>
      </c>
      <c r="K379">
        <v>8</v>
      </c>
      <c r="L379">
        <v>0</v>
      </c>
      <c r="M379" t="str" cm="1">
        <f t="array" ref="M3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9">
        <f>_xlfn.XLOOKUP("LOADINGSPEEDDEF_"&amp;PROPERTIES[[#This Row],[LOADINGSPEED]],LOADINGSPEEDDEF[TYPE],LOADINGSPEEDDEF[SPEED])</f>
        <v>20</v>
      </c>
      <c r="O379" t="str" cm="1">
        <f t="array" ref="O3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79">
        <f>IF(ISNUMBER(SEARCH("passenger",PROPERTIES[[#This Row],[CARGODEF]])),1,0)</f>
        <v>0</v>
      </c>
      <c r="Q379" s="23">
        <v>103</v>
      </c>
      <c r="R379">
        <v>5600</v>
      </c>
      <c r="S379">
        <v>0</v>
      </c>
      <c r="T379">
        <v>0</v>
      </c>
      <c r="U379">
        <v>0</v>
      </c>
      <c r="V379">
        <v>130</v>
      </c>
      <c r="W379">
        <v>0</v>
      </c>
      <c r="X379">
        <v>0</v>
      </c>
      <c r="Y379">
        <v>0</v>
      </c>
      <c r="Z379" s="20">
        <v>308</v>
      </c>
      <c r="AA379" s="19">
        <f>IFERROR(PROPERTIES[[#This Row],[TE_STARTING_KN]]/(PROPERTIES[[#This Row],[WEIGHT]]*9.81),0)</f>
        <v>0.30482071989153131</v>
      </c>
      <c r="AB379" s="19">
        <v>0</v>
      </c>
      <c r="AC379" s="16">
        <f>ROUND(IF(IFERROR(PROPERTIES[[#This Row],[TE_COEFFICIENT_CALC]],0)=0,PROPERTIES[[#This Row],[TE_COEFFICIENT_MANUAL]],PROPERTIES[[#This Row],[TE_COEFFICIENT_CALC]]),3)</f>
        <v>0.30499999999999999</v>
      </c>
      <c r="AD379" s="8" cm="1">
        <f t="array" ref="AD3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379" s="26">
        <v>0</v>
      </c>
      <c r="AF379" s="6">
        <v>0</v>
      </c>
      <c r="AG379" t="s">
        <v>231</v>
      </c>
      <c r="AH379" t="s">
        <v>229</v>
      </c>
      <c r="AI379" t="s">
        <v>229</v>
      </c>
      <c r="AJ379" s="2" t="s">
        <v>229</v>
      </c>
      <c r="AK379" s="2" t="s">
        <v>244</v>
      </c>
      <c r="AL37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9" s="2" t="str">
        <f>SUBSTITUTE(SUBSTITUTE(PROPERTIES[[#This Row],[PURCHASECOST_VALUE]], "PURCHASECOST_", ""), "_VALUE", "")</f>
        <v>ELECTRICENGINE</v>
      </c>
      <c r="AO379" s="44" t="b">
        <v>0</v>
      </c>
      <c r="AP379" s="48" t="b">
        <v>0</v>
      </c>
      <c r="AQ379" s="48" t="b">
        <v>0</v>
      </c>
      <c r="AR379" s="48">
        <v>0</v>
      </c>
      <c r="AS379" s="48" t="b">
        <v>0</v>
      </c>
      <c r="AT379" s="7" t="b">
        <v>0</v>
      </c>
      <c r="AU379" s="40" t="str" cm="1">
        <f t="array" ref="AU379">_xlfn.XLOOKUP(PROPERTIES[[#This Row],[VEHIDCODE]],GRAPHICS_PROPERTIES[VEHIDCODE],GRAPHICS_PROPERTIES[TEMPLATE_ID]&amp;GRAPHICS_PROPERTIES[TEMPLATE_AMENDMENT_CODE])</f>
        <v>TPL_01A</v>
      </c>
    </row>
    <row r="380" spans="1:47" x14ac:dyDescent="0.35">
      <c r="A380" s="2" t="s">
        <v>3014</v>
      </c>
      <c r="B380">
        <v>1960</v>
      </c>
      <c r="C380">
        <v>2009</v>
      </c>
      <c r="D380" cm="1">
        <f t="array" ref="D3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0" s="40" t="str">
        <f>_xlfn.XLOOKUP(PROPERTIES[[#This Row],[VEHIDCODE]],CONTROL[VEHIDCODE],CONTROL[ENGLISH])</f>
        <v>BN/ACEC 25.5</v>
      </c>
      <c r="F380" t="s">
        <v>548</v>
      </c>
      <c r="G380" s="40" t="str">
        <f>_xlfn.XLOOKUP(PROPERTIES[[#This Row],[COUNTRY]],COUNTRIES[COUNTRY_DESCRIPTION],COUNTRIES[COUNTRY_LABEL],"")</f>
        <v>BE</v>
      </c>
      <c r="H380" t="str" cm="1">
        <f t="array" ref="H3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0" t="s">
        <v>17</v>
      </c>
      <c r="J380">
        <v>0</v>
      </c>
      <c r="K380">
        <v>8</v>
      </c>
      <c r="L380">
        <v>0</v>
      </c>
      <c r="M380" t="str" cm="1">
        <f t="array" ref="M3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0">
        <f>_xlfn.XLOOKUP("LOADINGSPEEDDEF_"&amp;PROPERTIES[[#This Row],[LOADINGSPEED]],LOADINGSPEEDDEF[TYPE],LOADINGSPEEDDEF[SPEED])</f>
        <v>20</v>
      </c>
      <c r="O380" cm="1">
        <f t="array" ref="O3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0">
        <f>IF(ISNUMBER(SEARCH("passenger",PROPERTIES[[#This Row],[CARGODEF]])),1,0)</f>
        <v>0</v>
      </c>
      <c r="Q380" s="23">
        <v>85</v>
      </c>
      <c r="R380">
        <v>2520</v>
      </c>
      <c r="S380">
        <v>0</v>
      </c>
      <c r="T380">
        <v>0</v>
      </c>
      <c r="U380">
        <v>0</v>
      </c>
      <c r="V380">
        <v>130</v>
      </c>
      <c r="W380">
        <v>0</v>
      </c>
      <c r="X380">
        <v>0</v>
      </c>
      <c r="Y380">
        <v>0</v>
      </c>
      <c r="Z380" s="20">
        <v>196</v>
      </c>
      <c r="AA380" s="19">
        <f>IFERROR(PROPERTIES[[#This Row],[TE_STARTING_KN]]/(PROPERTIES[[#This Row],[WEIGHT]]*9.81),0)</f>
        <v>0.23505426635485999</v>
      </c>
      <c r="AB380" s="19">
        <v>0</v>
      </c>
      <c r="AC380" s="16">
        <f>ROUND(IF(IFERROR(PROPERTIES[[#This Row],[TE_COEFFICIENT_CALC]],0)=0,PROPERTIES[[#This Row],[TE_COEFFICIENT_MANUAL]],PROPERTIES[[#This Row],[TE_COEFFICIENT_CALC]]),3)</f>
        <v>0.23499999999999999</v>
      </c>
      <c r="AD380" s="8" cm="1">
        <f t="array" ref="AD3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380" s="26">
        <v>0</v>
      </c>
      <c r="AF380" s="6">
        <v>0</v>
      </c>
      <c r="AG380" t="s">
        <v>230</v>
      </c>
      <c r="AH380" t="s">
        <v>229</v>
      </c>
      <c r="AI380" t="s">
        <v>229</v>
      </c>
      <c r="AJ380" s="2" t="s">
        <v>229</v>
      </c>
      <c r="AK380" s="2" t="s">
        <v>244</v>
      </c>
      <c r="AL38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0" s="2" t="str">
        <f>SUBSTITUTE(SUBSTITUTE(PROPERTIES[[#This Row],[PURCHASECOST_VALUE]], "PURCHASECOST_", ""), "_VALUE", "")</f>
        <v>ELECTRICENGINE</v>
      </c>
      <c r="AO380" s="44" t="b">
        <v>0</v>
      </c>
      <c r="AP380" s="48" t="b">
        <v>0</v>
      </c>
      <c r="AQ380" s="48" t="b">
        <v>0</v>
      </c>
      <c r="AR380" s="48">
        <v>0</v>
      </c>
      <c r="AS380" s="48" t="b">
        <v>0</v>
      </c>
      <c r="AT380" s="7" t="b">
        <v>0</v>
      </c>
      <c r="AU380" s="40" t="str" cm="1">
        <f t="array" ref="AU380">_xlfn.XLOOKUP(PROPERTIES[[#This Row],[VEHIDCODE]],GRAPHICS_PROPERTIES[VEHIDCODE],GRAPHICS_PROPERTIES[TEMPLATE_ID]&amp;GRAPHICS_PROPERTIES[TEMPLATE_AMENDMENT_CODE])</f>
        <v>TPL_01A</v>
      </c>
    </row>
    <row r="381" spans="1:47" x14ac:dyDescent="0.35">
      <c r="A381" s="2" t="s">
        <v>3015</v>
      </c>
      <c r="B381">
        <v>1982</v>
      </c>
      <c r="C381">
        <v>2010</v>
      </c>
      <c r="D381" cm="1">
        <f t="array" ref="D3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1" s="40" t="str">
        <f>_xlfn.XLOOKUP(PROPERTIES[[#This Row],[VEHIDCODE]],CONTROL[VEHIDCODE],CONTROL[ENGLISH])</f>
        <v>Krauss Maffei/CAF 250</v>
      </c>
      <c r="F381" t="s">
        <v>595</v>
      </c>
      <c r="G381" s="40" t="str">
        <f>_xlfn.XLOOKUP(PROPERTIES[[#This Row],[COUNTRY]],COUNTRIES[COUNTRY_DESCRIPTION],COUNTRIES[COUNTRY_LABEL],"")</f>
        <v>ES</v>
      </c>
      <c r="H381" t="str" cm="1">
        <f t="array" ref="H3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1" t="s">
        <v>17</v>
      </c>
      <c r="J381">
        <v>0</v>
      </c>
      <c r="K381">
        <v>8</v>
      </c>
      <c r="L381">
        <v>0</v>
      </c>
      <c r="M381" t="str" cm="1">
        <f t="array" ref="M3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1">
        <f>_xlfn.XLOOKUP("LOADINGSPEEDDEF_"&amp;PROPERTIES[[#This Row],[LOADINGSPEED]],LOADINGSPEEDDEF[TYPE],LOADINGSPEEDDEF[SPEED])</f>
        <v>20</v>
      </c>
      <c r="O381" cm="1">
        <f t="array" ref="O3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1">
        <f>IF(ISNUMBER(SEARCH("passenger",PROPERTIES[[#This Row],[CARGODEF]])),1,0)</f>
        <v>0</v>
      </c>
      <c r="Q381" s="23">
        <v>124</v>
      </c>
      <c r="R381">
        <v>6440</v>
      </c>
      <c r="S381">
        <v>0</v>
      </c>
      <c r="T381">
        <v>0</v>
      </c>
      <c r="U381">
        <v>0</v>
      </c>
      <c r="V381">
        <v>160</v>
      </c>
      <c r="W381">
        <v>0</v>
      </c>
      <c r="X381">
        <v>0</v>
      </c>
      <c r="Y381">
        <v>0</v>
      </c>
      <c r="Z381" s="20">
        <v>410</v>
      </c>
      <c r="AA381" s="19">
        <f>IFERROR(PROPERTIES[[#This Row],[TE_STARTING_KN]]/(PROPERTIES[[#This Row],[WEIGHT]]*9.81),0)</f>
        <v>0.33704909407780076</v>
      </c>
      <c r="AB381" s="19">
        <v>0</v>
      </c>
      <c r="AC381" s="16">
        <f>ROUND(IF(IFERROR(PROPERTIES[[#This Row],[TE_COEFFICIENT_CALC]],0)=0,PROPERTIES[[#This Row],[TE_COEFFICIENT_MANUAL]],PROPERTIES[[#This Row],[TE_COEFFICIENT_CALC]]),3)</f>
        <v>0.33700000000000002</v>
      </c>
      <c r="AD381" s="8" cm="1">
        <f t="array" ref="AD3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81" s="26">
        <v>0</v>
      </c>
      <c r="AF381" s="6">
        <v>0</v>
      </c>
      <c r="AG381" t="s">
        <v>231</v>
      </c>
      <c r="AH381" t="s">
        <v>229</v>
      </c>
      <c r="AI381" t="s">
        <v>229</v>
      </c>
      <c r="AJ381" s="2" t="s">
        <v>229</v>
      </c>
      <c r="AK381" s="2" t="s">
        <v>244</v>
      </c>
      <c r="AL38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1" s="2" t="str">
        <f>SUBSTITUTE(SUBSTITUTE(PROPERTIES[[#This Row],[PURCHASECOST_VALUE]], "PURCHASECOST_", ""), "_VALUE", "")</f>
        <v>ELECTRICENGINE</v>
      </c>
      <c r="AO381" s="44" t="b">
        <v>0</v>
      </c>
      <c r="AP381" s="48" t="b">
        <v>0</v>
      </c>
      <c r="AQ381" s="48" t="b">
        <v>0</v>
      </c>
      <c r="AR381" s="48">
        <v>0</v>
      </c>
      <c r="AS381" s="48" t="b">
        <v>0</v>
      </c>
      <c r="AT381" s="7" t="b">
        <v>0</v>
      </c>
      <c r="AU381" s="40" t="str" cm="1">
        <f t="array" ref="AU381">_xlfn.XLOOKUP(PROPERTIES[[#This Row],[VEHIDCODE]],GRAPHICS_PROPERTIES[VEHIDCODE],GRAPHICS_PROPERTIES[TEMPLATE_ID]&amp;GRAPHICS_PROPERTIES[TEMPLATE_AMENDMENT_CODE])</f>
        <v>TPL_01A</v>
      </c>
    </row>
    <row r="382" spans="1:47" x14ac:dyDescent="0.35">
      <c r="A382" s="2" t="s">
        <v>3016</v>
      </c>
      <c r="B382">
        <v>1940</v>
      </c>
      <c r="C382">
        <v>1992</v>
      </c>
      <c r="D382" cm="1">
        <f t="array" ref="D3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2" s="40" t="str">
        <f>_xlfn.XLOOKUP(PROPERTIES[[#This Row],[VEHIDCODE]],CONTROL[VEHIDCODE],CONTROL[ENGLISH])</f>
        <v>EF-E 29 GE 2-C+C-2</v>
      </c>
      <c r="F382" t="s">
        <v>573</v>
      </c>
      <c r="G382" s="40" t="str">
        <f>_xlfn.XLOOKUP(PROPERTIES[[#This Row],[COUNTRY]],COUNTRIES[COUNTRY_DESCRIPTION],COUNTRIES[COUNTRY_LABEL],"")</f>
        <v>CL</v>
      </c>
      <c r="H382" t="str" cm="1">
        <f t="array" ref="H3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2" t="s">
        <v>17</v>
      </c>
      <c r="J382">
        <v>0</v>
      </c>
      <c r="K382">
        <v>8</v>
      </c>
      <c r="M382" t="str" cm="1">
        <f t="array" ref="M3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2">
        <f>_xlfn.XLOOKUP("LOADINGSPEEDDEF_"&amp;PROPERTIES[[#This Row],[LOADINGSPEED]],LOADINGSPEEDDEF[TYPE],LOADINGSPEEDDEF[SPEED])</f>
        <v>20</v>
      </c>
      <c r="O382" cm="1">
        <f t="array" ref="O3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2">
        <f>IF(ISNUMBER(SEARCH("passenger",PROPERTIES[[#This Row],[CARGODEF]])),1,0)</f>
        <v>0</v>
      </c>
      <c r="Q382" s="23">
        <v>116</v>
      </c>
      <c r="R382">
        <v>3100</v>
      </c>
      <c r="S382">
        <v>0</v>
      </c>
      <c r="T382">
        <v>0</v>
      </c>
      <c r="U382">
        <v>0</v>
      </c>
      <c r="V382">
        <v>100</v>
      </c>
      <c r="W382">
        <v>0</v>
      </c>
      <c r="X382">
        <v>0</v>
      </c>
      <c r="Y382">
        <v>0</v>
      </c>
      <c r="Z382" s="20">
        <v>315</v>
      </c>
      <c r="AA382" s="19">
        <f>IFERROR(PROPERTIES[[#This Row],[TE_STARTING_KN]]/(PROPERTIES[[#This Row],[WEIGHT]]*9.81),0)</f>
        <v>0.27681113571654536</v>
      </c>
      <c r="AB382" s="19">
        <v>0</v>
      </c>
      <c r="AC382" s="16">
        <f>ROUND(IF(IFERROR(PROPERTIES[[#This Row],[TE_COEFFICIENT_CALC]],0)=0,PROPERTIES[[#This Row],[TE_COEFFICIENT_MANUAL]],PROPERTIES[[#This Row],[TE_COEFFICIENT_CALC]]),3)</f>
        <v>0.27700000000000002</v>
      </c>
      <c r="AD382" s="8" cm="1">
        <f t="array" ref="AD3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382" s="26">
        <v>0</v>
      </c>
      <c r="AF382" s="6">
        <v>1</v>
      </c>
      <c r="AG382" t="s">
        <v>240</v>
      </c>
      <c r="AH382" t="s">
        <v>1948</v>
      </c>
      <c r="AI382" t="s">
        <v>229</v>
      </c>
      <c r="AJ382" s="2" t="s">
        <v>229</v>
      </c>
      <c r="AK382" s="2" t="s">
        <v>244</v>
      </c>
      <c r="AL38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2" s="2" t="str">
        <f>SUBSTITUTE(SUBSTITUTE(PROPERTIES[[#This Row],[PURCHASECOST_VALUE]], "PURCHASECOST_", ""), "_VALUE", "")</f>
        <v>ELECTRICENGINE</v>
      </c>
      <c r="AO382" s="44" t="b">
        <v>0</v>
      </c>
      <c r="AP382" s="48" t="b">
        <v>0</v>
      </c>
      <c r="AQ382" s="48" t="b">
        <v>1</v>
      </c>
      <c r="AR382" s="48">
        <v>0</v>
      </c>
      <c r="AS382" s="48" t="b">
        <v>0</v>
      </c>
      <c r="AT382" s="7" t="b">
        <v>1</v>
      </c>
      <c r="AU382" s="40" t="str" cm="1">
        <f t="array" ref="AU382">_xlfn.XLOOKUP(PROPERTIES[[#This Row],[VEHIDCODE]],GRAPHICS_PROPERTIES[VEHIDCODE],GRAPHICS_PROPERTIES[TEMPLATE_ID]&amp;GRAPHICS_PROPERTIES[TEMPLATE_AMENDMENT_CODE])</f>
        <v>TPL_16A</v>
      </c>
    </row>
    <row r="383" spans="1:47" x14ac:dyDescent="0.35">
      <c r="A383" s="2" t="s">
        <v>3017</v>
      </c>
      <c r="B383">
        <v>1974</v>
      </c>
      <c r="D383" cm="1">
        <f t="array" ref="D3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3" s="40" t="str">
        <f>_xlfn.XLOOKUP(PROPERTIES[[#This Row],[VEHIDCODE]],CONTROL[VEHIDCODE],CONTROL[ENGLISH])</f>
        <v>GAI/Breda E-17</v>
      </c>
      <c r="F383" t="s">
        <v>573</v>
      </c>
      <c r="G383" s="40" t="str">
        <f>_xlfn.XLOOKUP(PROPERTIES[[#This Row],[COUNTRY]],COUNTRIES[COUNTRY_DESCRIPTION],COUNTRIES[COUNTRY_LABEL],"")</f>
        <v>CL</v>
      </c>
      <c r="H383" t="str" cm="1">
        <f t="array" ref="H3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3" t="s">
        <v>17</v>
      </c>
      <c r="J383">
        <v>0</v>
      </c>
      <c r="K383">
        <v>6</v>
      </c>
      <c r="L383">
        <v>0</v>
      </c>
      <c r="M383" t="str" cm="1">
        <f t="array" ref="M3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3">
        <f>_xlfn.XLOOKUP("LOADINGSPEEDDEF_"&amp;PROPERTIES[[#This Row],[LOADINGSPEED]],LOADINGSPEEDDEF[TYPE],LOADINGSPEEDDEF[SPEED])</f>
        <v>20</v>
      </c>
      <c r="O383" cm="1">
        <f t="array" ref="O3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3">
        <f>IF(ISNUMBER(SEARCH("passenger",PROPERTIES[[#This Row],[CARGODEF]])),1,0)</f>
        <v>0</v>
      </c>
      <c r="Q383" s="23">
        <v>78</v>
      </c>
      <c r="R383">
        <v>1640</v>
      </c>
      <c r="S383">
        <v>0</v>
      </c>
      <c r="T383">
        <v>0</v>
      </c>
      <c r="U383">
        <v>0</v>
      </c>
      <c r="V383">
        <v>90</v>
      </c>
      <c r="W383">
        <v>0</v>
      </c>
      <c r="X383">
        <v>0</v>
      </c>
      <c r="Y383">
        <v>0</v>
      </c>
      <c r="Z383" s="20">
        <v>0</v>
      </c>
      <c r="AA383" s="19">
        <f>IFERROR(PROPERTIES[[#This Row],[TE_STARTING_KN]]/(PROPERTIES[[#This Row],[WEIGHT]]*9.81),0)</f>
        <v>0</v>
      </c>
      <c r="AB383" s="19">
        <v>0.24</v>
      </c>
      <c r="AC383" s="16">
        <f>ROUND(IF(IFERROR(PROPERTIES[[#This Row],[TE_COEFFICIENT_CALC]],0)=0,PROPERTIES[[#This Row],[TE_COEFFICIENT_MANUAL]],PROPERTIES[[#This Row],[TE_COEFFICIENT_CALC]]),3)</f>
        <v>0.24</v>
      </c>
      <c r="AD383" s="8" cm="1">
        <f t="array" ref="AD3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83" s="26">
        <v>0</v>
      </c>
      <c r="AF383" s="6">
        <v>0</v>
      </c>
      <c r="AG383" t="s">
        <v>237</v>
      </c>
      <c r="AH383" t="s">
        <v>229</v>
      </c>
      <c r="AI383" t="s">
        <v>229</v>
      </c>
      <c r="AJ383" s="2" t="s">
        <v>229</v>
      </c>
      <c r="AK383" s="2" t="s">
        <v>244</v>
      </c>
      <c r="AL38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3" s="2" t="str">
        <f>SUBSTITUTE(SUBSTITUTE(PROPERTIES[[#This Row],[PURCHASECOST_VALUE]], "PURCHASECOST_", ""), "_VALUE", "")</f>
        <v>ELECTRICENGINE</v>
      </c>
      <c r="AO383" s="44" t="b">
        <v>0</v>
      </c>
      <c r="AP383" s="48" t="b">
        <v>0</v>
      </c>
      <c r="AQ383" s="48" t="b">
        <v>0</v>
      </c>
      <c r="AR383" s="48">
        <v>0</v>
      </c>
      <c r="AS383" s="48" t="b">
        <v>0</v>
      </c>
      <c r="AT383" s="7" t="b">
        <v>0</v>
      </c>
      <c r="AU383" s="40" t="str" cm="1">
        <f t="array" ref="AU383">_xlfn.XLOOKUP(PROPERTIES[[#This Row],[VEHIDCODE]],GRAPHICS_PROPERTIES[VEHIDCODE],GRAPHICS_PROPERTIES[TEMPLATE_ID]&amp;GRAPHICS_PROPERTIES[TEMPLATE_AMENDMENT_CODE])</f>
        <v>TPL_01A</v>
      </c>
    </row>
    <row r="384" spans="1:47" x14ac:dyDescent="0.35">
      <c r="A384" s="2" t="s">
        <v>3018</v>
      </c>
      <c r="B384">
        <v>1948</v>
      </c>
      <c r="C384">
        <v>1998</v>
      </c>
      <c r="D384" cm="1">
        <f t="array" ref="D3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4" s="40" t="str">
        <f>_xlfn.XLOOKUP(PROPERTIES[[#This Row],[VEHIDCODE]],CONTROL[VEHIDCODE],CONTROL[ENGLISH])</f>
        <v>Alsthom BB 8100</v>
      </c>
      <c r="F384" t="s">
        <v>602</v>
      </c>
      <c r="G384" s="40" t="str">
        <f>_xlfn.XLOOKUP(PROPERTIES[[#This Row],[COUNTRY]],COUNTRIES[COUNTRY_DESCRIPTION],COUNTRIES[COUNTRY_LABEL],"")</f>
        <v>FR</v>
      </c>
      <c r="H384" t="str" cm="1">
        <f t="array" ref="H3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4" t="s">
        <v>17</v>
      </c>
      <c r="J384">
        <v>0</v>
      </c>
      <c r="K384">
        <v>6</v>
      </c>
      <c r="L384">
        <v>0</v>
      </c>
      <c r="M384" t="str" cm="1">
        <f t="array" ref="M3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4">
        <f>_xlfn.XLOOKUP("LOADINGSPEEDDEF_"&amp;PROPERTIES[[#This Row],[LOADINGSPEED]],LOADINGSPEEDDEF[TYPE],LOADINGSPEEDDEF[SPEED])</f>
        <v>20</v>
      </c>
      <c r="O384" cm="1">
        <f t="array" ref="O3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4">
        <f>IF(ISNUMBER(SEARCH("passenger",PROPERTIES[[#This Row],[CARGODEF]])),1,0)</f>
        <v>0</v>
      </c>
      <c r="Q384" s="23">
        <v>88</v>
      </c>
      <c r="R384">
        <v>1710</v>
      </c>
      <c r="S384">
        <v>0</v>
      </c>
      <c r="T384">
        <v>0</v>
      </c>
      <c r="U384">
        <v>0</v>
      </c>
      <c r="V384">
        <v>80</v>
      </c>
      <c r="W384">
        <v>0</v>
      </c>
      <c r="X384">
        <v>0</v>
      </c>
      <c r="Y384">
        <v>0</v>
      </c>
      <c r="Z384" s="20">
        <v>0</v>
      </c>
      <c r="AA384" s="19">
        <f>IFERROR(PROPERTIES[[#This Row],[TE_STARTING_KN]]/(PROPERTIES[[#This Row],[WEIGHT]]*9.81),0)</f>
        <v>0</v>
      </c>
      <c r="AB384" s="19">
        <v>0.17</v>
      </c>
      <c r="AC384" s="16">
        <f>ROUND(IF(IFERROR(PROPERTIES[[#This Row],[TE_COEFFICIENT_CALC]],0)=0,PROPERTIES[[#This Row],[TE_COEFFICIENT_MANUAL]],PROPERTIES[[#This Row],[TE_COEFFICIENT_CALC]]),3)</f>
        <v>0.17</v>
      </c>
      <c r="AD384" s="8" cm="1">
        <f t="array" ref="AD3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84" s="26">
        <v>0</v>
      </c>
      <c r="AF384" s="6">
        <v>0</v>
      </c>
      <c r="AG384" t="s">
        <v>233</v>
      </c>
      <c r="AH384" t="s">
        <v>230</v>
      </c>
      <c r="AI384" t="s">
        <v>229</v>
      </c>
      <c r="AJ384" s="2" t="s">
        <v>229</v>
      </c>
      <c r="AK384" s="2" t="s">
        <v>244</v>
      </c>
      <c r="AL38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4" s="2" t="str">
        <f>SUBSTITUTE(SUBSTITUTE(PROPERTIES[[#This Row],[PURCHASECOST_VALUE]], "PURCHASECOST_", ""), "_VALUE", "")</f>
        <v>ELECTRICENGINE</v>
      </c>
      <c r="AO384" s="44" t="b">
        <v>0</v>
      </c>
      <c r="AP384" s="48" t="b">
        <v>0</v>
      </c>
      <c r="AQ384" s="48" t="b">
        <v>0</v>
      </c>
      <c r="AR384" s="48">
        <v>0</v>
      </c>
      <c r="AS384" s="48" t="b">
        <v>0</v>
      </c>
      <c r="AT384" s="7" t="b">
        <v>0</v>
      </c>
      <c r="AU384" s="40" t="str" cm="1">
        <f t="array" ref="AU384">_xlfn.XLOOKUP(PROPERTIES[[#This Row],[VEHIDCODE]],GRAPHICS_PROPERTIES[VEHIDCODE],GRAPHICS_PROPERTIES[TEMPLATE_ID]&amp;GRAPHICS_PROPERTIES[TEMPLATE_AMENDMENT_CODE])</f>
        <v>TPL_01A</v>
      </c>
    </row>
    <row r="385" spans="1:47" x14ac:dyDescent="0.35">
      <c r="A385" s="2" t="s">
        <v>3019</v>
      </c>
      <c r="B385">
        <v>1958</v>
      </c>
      <c r="C385">
        <v>1968</v>
      </c>
      <c r="D385" cm="1">
        <f t="array" ref="D3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5" s="40" t="str">
        <f>_xlfn.XLOOKUP(PROPERTIES[[#This Row],[VEHIDCODE]],CONTROL[VEHIDCODE],CONTROL[ENGLISH])</f>
        <v>Vulcan Foundry-EE EM/1</v>
      </c>
      <c r="F385" t="s">
        <v>631</v>
      </c>
      <c r="G385" s="40" t="str">
        <f>_xlfn.XLOOKUP(PROPERTIES[[#This Row],[COUNTRY]],COUNTRIES[COUNTRY_DESCRIPTION],COUNTRIES[COUNTRY_LABEL],"")</f>
        <v>IN</v>
      </c>
      <c r="H385" t="str" cm="1">
        <f t="array" ref="H3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5" t="s">
        <v>17</v>
      </c>
      <c r="J385">
        <v>0</v>
      </c>
      <c r="K385">
        <v>8</v>
      </c>
      <c r="L385">
        <v>0</v>
      </c>
      <c r="M385" t="str" cm="1">
        <f t="array" ref="M3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5">
        <f>_xlfn.XLOOKUP("LOADINGSPEEDDEF_"&amp;PROPERTIES[[#This Row],[LOADINGSPEED]],LOADINGSPEEDDEF[TYPE],LOADINGSPEEDDEF[SPEED])</f>
        <v>20</v>
      </c>
      <c r="O385" cm="1">
        <f t="array" ref="O3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5">
        <f>IF(ISNUMBER(SEARCH("passenger",PROPERTIES[[#This Row],[CARGODEF]])),1,0)</f>
        <v>0</v>
      </c>
      <c r="Q385" s="23">
        <v>124</v>
      </c>
      <c r="R385">
        <v>3700</v>
      </c>
      <c r="S385">
        <v>0</v>
      </c>
      <c r="T385">
        <v>0</v>
      </c>
      <c r="U385">
        <v>0</v>
      </c>
      <c r="V385">
        <v>104</v>
      </c>
      <c r="W385">
        <v>0</v>
      </c>
      <c r="X385">
        <v>0</v>
      </c>
      <c r="Y385">
        <v>0</v>
      </c>
      <c r="Z385" s="20">
        <v>300</v>
      </c>
      <c r="AA385" s="19">
        <f>IFERROR(PROPERTIES[[#This Row],[TE_STARTING_KN]]/(PROPERTIES[[#This Row],[WEIGHT]]*9.81),0)</f>
        <v>0.24662128834961033</v>
      </c>
      <c r="AB385" s="19">
        <v>0</v>
      </c>
      <c r="AC385" s="16">
        <f>ROUND(IF(IFERROR(PROPERTIES[[#This Row],[TE_COEFFICIENT_CALC]],0)=0,PROPERTIES[[#This Row],[TE_COEFFICIENT_MANUAL]],PROPERTIES[[#This Row],[TE_COEFFICIENT_CALC]]),3)</f>
        <v>0.247</v>
      </c>
      <c r="AD385" s="8" cm="1">
        <f t="array" ref="AD3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85" s="26">
        <v>0</v>
      </c>
      <c r="AF385" s="6">
        <v>0</v>
      </c>
      <c r="AG385" t="s">
        <v>238</v>
      </c>
      <c r="AH385" t="s">
        <v>229</v>
      </c>
      <c r="AI385" t="s">
        <v>229</v>
      </c>
      <c r="AJ385" s="2" t="s">
        <v>229</v>
      </c>
      <c r="AK385" s="2" t="s">
        <v>244</v>
      </c>
      <c r="AL38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5" s="2" t="str">
        <f>SUBSTITUTE(SUBSTITUTE(PROPERTIES[[#This Row],[PURCHASECOST_VALUE]], "PURCHASECOST_", ""), "_VALUE", "")</f>
        <v>ELECTRICENGINE</v>
      </c>
      <c r="AO385" s="44" t="b">
        <v>0</v>
      </c>
      <c r="AP385" s="48" t="b">
        <v>0</v>
      </c>
      <c r="AQ385" s="48" t="b">
        <v>0</v>
      </c>
      <c r="AR385" s="48">
        <v>0</v>
      </c>
      <c r="AS385" s="48" t="b">
        <v>0</v>
      </c>
      <c r="AT385" s="7" t="b">
        <v>0</v>
      </c>
      <c r="AU385" s="40" t="str" cm="1">
        <f t="array" ref="AU385">_xlfn.XLOOKUP(PROPERTIES[[#This Row],[VEHIDCODE]],GRAPHICS_PROPERTIES[VEHIDCODE],GRAPHICS_PROPERTIES[TEMPLATE_ID]&amp;GRAPHICS_PROPERTIES[TEMPLATE_AMENDMENT_CODE])</f>
        <v>TPL_01A</v>
      </c>
    </row>
    <row r="386" spans="1:47" x14ac:dyDescent="0.35">
      <c r="A386" s="2" t="s">
        <v>3020</v>
      </c>
      <c r="B386">
        <v>1992</v>
      </c>
      <c r="D386" cm="1">
        <f t="array" ref="D3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6" s="40" t="str">
        <f>_xlfn.XLOOKUP(PROPERTIES[[#This Row],[VEHIDCODE]],CONTROL[VEHIDCODE],CONTROL[ENGLISH])</f>
        <v>Union Carriage &amp; Wagon E38</v>
      </c>
      <c r="F386" t="s">
        <v>771</v>
      </c>
      <c r="G386" s="40" t="str">
        <f>_xlfn.XLOOKUP(PROPERTIES[[#This Row],[COUNTRY]],COUNTRIES[COUNTRY_DESCRIPTION],COUNTRIES[COUNTRY_LABEL],"")</f>
        <v>ZA</v>
      </c>
      <c r="H386" t="str" cm="1">
        <f t="array" ref="H3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6" t="s">
        <v>17</v>
      </c>
      <c r="J386">
        <v>0</v>
      </c>
      <c r="K386">
        <v>6</v>
      </c>
      <c r="L386">
        <v>0</v>
      </c>
      <c r="M386" t="str" cm="1">
        <f t="array" ref="M3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6">
        <f>_xlfn.XLOOKUP("LOADINGSPEEDDEF_"&amp;PROPERTIES[[#This Row],[LOADINGSPEED]],LOADINGSPEEDDEF[TYPE],LOADINGSPEEDDEF[SPEED])</f>
        <v>20</v>
      </c>
      <c r="O386" t="str" cm="1">
        <f t="array" ref="O3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86">
        <f>IF(ISNUMBER(SEARCH("passenger",PROPERTIES[[#This Row],[CARGODEF]])),1,0)</f>
        <v>0</v>
      </c>
      <c r="Q386" s="23">
        <v>74</v>
      </c>
      <c r="R386">
        <v>2000</v>
      </c>
      <c r="S386">
        <v>0</v>
      </c>
      <c r="T386">
        <v>0</v>
      </c>
      <c r="U386">
        <v>0</v>
      </c>
      <c r="V386">
        <v>100</v>
      </c>
      <c r="W386">
        <v>0</v>
      </c>
      <c r="X386">
        <v>0</v>
      </c>
      <c r="Y386">
        <v>0</v>
      </c>
      <c r="Z386" s="20">
        <v>260</v>
      </c>
      <c r="AA386" s="19">
        <f>IFERROR(PROPERTIES[[#This Row],[TE_STARTING_KN]]/(PROPERTIES[[#This Row],[WEIGHT]]*9.81),0)</f>
        <v>0.35815632145907372</v>
      </c>
      <c r="AB386" s="19">
        <v>0</v>
      </c>
      <c r="AC386" s="16">
        <f>ROUND(IF(IFERROR(PROPERTIES[[#This Row],[TE_COEFFICIENT_CALC]],0)=0,PROPERTIES[[#This Row],[TE_COEFFICIENT_MANUAL]],PROPERTIES[[#This Row],[TE_COEFFICIENT_CALC]]),3)</f>
        <v>0.35799999999999998</v>
      </c>
      <c r="AD386" s="8" cm="1">
        <f t="array" ref="AD3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386" s="26">
        <v>0</v>
      </c>
      <c r="AF386" s="6">
        <v>0</v>
      </c>
      <c r="AG386" t="s">
        <v>233</v>
      </c>
      <c r="AH386" t="s">
        <v>229</v>
      </c>
      <c r="AI386" t="s">
        <v>229</v>
      </c>
      <c r="AJ386" s="2" t="s">
        <v>229</v>
      </c>
      <c r="AK386" s="2" t="s">
        <v>244</v>
      </c>
      <c r="AL38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6" s="2" t="str">
        <f>SUBSTITUTE(SUBSTITUTE(PROPERTIES[[#This Row],[PURCHASECOST_VALUE]], "PURCHASECOST_", ""), "_VALUE", "")</f>
        <v>ELECTRICENGINE</v>
      </c>
      <c r="AO386" s="44" t="b">
        <v>0</v>
      </c>
      <c r="AP386" s="48" t="b">
        <v>0</v>
      </c>
      <c r="AQ386" s="48" t="b">
        <v>0</v>
      </c>
      <c r="AR386" s="48">
        <v>0</v>
      </c>
      <c r="AS386" s="48" t="b">
        <v>0</v>
      </c>
      <c r="AT386" s="7" t="b">
        <v>0</v>
      </c>
      <c r="AU386" s="40" t="str" cm="1">
        <f t="array" ref="AU386">_xlfn.XLOOKUP(PROPERTIES[[#This Row],[VEHIDCODE]],GRAPHICS_PROPERTIES[VEHIDCODE],GRAPHICS_PROPERTIES[TEMPLATE_ID]&amp;GRAPHICS_PROPERTIES[TEMPLATE_AMENDMENT_CODE])</f>
        <v>TPL_01A</v>
      </c>
    </row>
    <row r="387" spans="1:47" x14ac:dyDescent="0.35">
      <c r="A387" s="2" t="s">
        <v>3021</v>
      </c>
      <c r="B387">
        <v>1980</v>
      </c>
      <c r="D387" cm="1">
        <f t="array" ref="D3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7" s="40" t="str">
        <f>_xlfn.XLOOKUP(PROPERTIES[[#This Row],[VEHIDCODE]],CONTROL[VEHIDCODE],CONTROL[ENGLISH])</f>
        <v>Mitsubishi series 269</v>
      </c>
      <c r="F387" t="s">
        <v>573</v>
      </c>
      <c r="G387" s="40" t="str">
        <f>_xlfn.XLOOKUP(PROPERTIES[[#This Row],[COUNTRY]],COUNTRIES[COUNTRY_DESCRIPTION],COUNTRIES[COUNTRY_LABEL],"")</f>
        <v>CL</v>
      </c>
      <c r="H387" t="str" cm="1">
        <f t="array" ref="H3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7" t="s">
        <v>17</v>
      </c>
      <c r="J387">
        <v>0</v>
      </c>
      <c r="K387">
        <v>7</v>
      </c>
      <c r="L387">
        <v>0</v>
      </c>
      <c r="M387" t="str" cm="1">
        <f t="array" ref="M3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7">
        <f>_xlfn.XLOOKUP("LOADINGSPEEDDEF_"&amp;PROPERTIES[[#This Row],[LOADINGSPEED]],LOADINGSPEEDDEF[TYPE],LOADINGSPEEDDEF[SPEED])</f>
        <v>20</v>
      </c>
      <c r="O387" cm="1">
        <f t="array" ref="O3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7">
        <f>IF(ISNUMBER(SEARCH("passenger",PROPERTIES[[#This Row],[CARGODEF]])),1,0)</f>
        <v>0</v>
      </c>
      <c r="Q387" s="23">
        <v>88</v>
      </c>
      <c r="R387">
        <v>4340</v>
      </c>
      <c r="S387">
        <v>0</v>
      </c>
      <c r="T387">
        <v>0</v>
      </c>
      <c r="U387">
        <v>0</v>
      </c>
      <c r="V387">
        <v>160</v>
      </c>
      <c r="W387">
        <v>0</v>
      </c>
      <c r="X387">
        <v>0</v>
      </c>
      <c r="Y387">
        <v>0</v>
      </c>
      <c r="Z387" s="20">
        <v>0</v>
      </c>
      <c r="AA387" s="19">
        <f>IFERROR(PROPERTIES[[#This Row],[TE_STARTING_KN]]/(PROPERTIES[[#This Row],[WEIGHT]]*9.81),0)</f>
        <v>0</v>
      </c>
      <c r="AB387" s="19">
        <v>0.16</v>
      </c>
      <c r="AC387" s="16">
        <f>ROUND(IF(IFERROR(PROPERTIES[[#This Row],[TE_COEFFICIENT_CALC]],0)=0,PROPERTIES[[#This Row],[TE_COEFFICIENT_MANUAL]],PROPERTIES[[#This Row],[TE_COEFFICIENT_CALC]]),3)</f>
        <v>0.16</v>
      </c>
      <c r="AD387" s="8" cm="1">
        <f t="array" ref="AD3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87" s="26">
        <v>0</v>
      </c>
      <c r="AF387" s="6">
        <v>0</v>
      </c>
      <c r="AG387" t="s">
        <v>237</v>
      </c>
      <c r="AH387" t="s">
        <v>231</v>
      </c>
      <c r="AI387" t="s">
        <v>229</v>
      </c>
      <c r="AJ387" s="2" t="s">
        <v>229</v>
      </c>
      <c r="AK387" s="2" t="s">
        <v>244</v>
      </c>
      <c r="AL38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7" s="2" t="str">
        <f>SUBSTITUTE(SUBSTITUTE(PROPERTIES[[#This Row],[PURCHASECOST_VALUE]], "PURCHASECOST_", ""), "_VALUE", "")</f>
        <v>ELECTRICENGINE</v>
      </c>
      <c r="AO387" s="44" t="b">
        <v>0</v>
      </c>
      <c r="AP387" s="48" t="b">
        <v>0</v>
      </c>
      <c r="AQ387" s="48" t="b">
        <v>0</v>
      </c>
      <c r="AR387" s="48">
        <v>0</v>
      </c>
      <c r="AS387" s="48" t="b">
        <v>0</v>
      </c>
      <c r="AT387" s="7" t="b">
        <v>0</v>
      </c>
      <c r="AU387" s="40" t="str" cm="1">
        <f t="array" ref="AU387">_xlfn.XLOOKUP(PROPERTIES[[#This Row],[VEHIDCODE]],GRAPHICS_PROPERTIES[VEHIDCODE],GRAPHICS_PROPERTIES[TEMPLATE_ID]&amp;GRAPHICS_PROPERTIES[TEMPLATE_AMENDMENT_CODE])</f>
        <v>TPL_01A</v>
      </c>
    </row>
    <row r="388" spans="1:47" x14ac:dyDescent="0.35">
      <c r="A388" s="2" t="s">
        <v>3022</v>
      </c>
      <c r="B388">
        <v>1980</v>
      </c>
      <c r="C388">
        <v>2002</v>
      </c>
      <c r="D388" cm="1">
        <f t="array" ref="D3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8" s="40" t="str">
        <f>_xlfn.XLOOKUP(PROPERTIES[[#This Row],[VEHIDCODE]],CONTROL[VEHIDCODE],CONTROL[ENGLISH])</f>
        <v>Skoda 69E</v>
      </c>
      <c r="F388" t="s">
        <v>583</v>
      </c>
      <c r="G388" s="40" t="str">
        <f>_xlfn.XLOOKUP(PROPERTIES[[#This Row],[COUNTRY]],COUNTRIES[COUNTRY_DESCRIPTION],COUNTRIES[COUNTRY_LABEL],"")</f>
        <v>CZ</v>
      </c>
      <c r="H388" t="str" cm="1">
        <f t="array" ref="H3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8" t="s">
        <v>17</v>
      </c>
      <c r="J388">
        <v>0</v>
      </c>
      <c r="K388">
        <v>7</v>
      </c>
      <c r="L388">
        <v>0</v>
      </c>
      <c r="M388" t="str" cm="1">
        <f t="array" ref="M3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8">
        <f>_xlfn.XLOOKUP("LOADINGSPEEDDEF_"&amp;PROPERTIES[[#This Row],[LOADINGSPEED]],LOADINGSPEEDDEF[TYPE],LOADINGSPEEDDEF[SPEED])</f>
        <v>20</v>
      </c>
      <c r="O388" cm="1">
        <f t="array" ref="O3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8">
        <f>IF(ISNUMBER(SEARCH("passenger",PROPERTIES[[#This Row],[CARGODEF]])),1,0)</f>
        <v>0</v>
      </c>
      <c r="Q388" s="23">
        <v>87</v>
      </c>
      <c r="R388">
        <v>4667</v>
      </c>
      <c r="S388">
        <v>0</v>
      </c>
      <c r="T388">
        <v>4104</v>
      </c>
      <c r="U388">
        <v>0</v>
      </c>
      <c r="V388">
        <v>120</v>
      </c>
      <c r="W388">
        <v>0</v>
      </c>
      <c r="X388">
        <v>0</v>
      </c>
      <c r="Y388">
        <v>0</v>
      </c>
      <c r="Z388" s="20">
        <v>260</v>
      </c>
      <c r="AA388" s="19">
        <f>IFERROR(PROPERTIES[[#This Row],[TE_STARTING_KN]]/(PROPERTIES[[#This Row],[WEIGHT]]*9.81),0)</f>
        <v>0.30463871020656846</v>
      </c>
      <c r="AB388" s="19">
        <v>0</v>
      </c>
      <c r="AC388" s="16">
        <f>ROUND(IF(IFERROR(PROPERTIES[[#This Row],[TE_COEFFICIENT_CALC]],0)=0,PROPERTIES[[#This Row],[TE_COEFFICIENT_MANUAL]],PROPERTIES[[#This Row],[TE_COEFFICIENT_CALC]]),3)</f>
        <v>0.30499999999999999</v>
      </c>
      <c r="AD388" s="8" cm="1">
        <f t="array" ref="AD3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88" s="26">
        <v>0</v>
      </c>
      <c r="AF388" s="6">
        <v>0</v>
      </c>
      <c r="AG388" t="s">
        <v>236</v>
      </c>
      <c r="AH388" t="s">
        <v>229</v>
      </c>
      <c r="AI388" t="s">
        <v>229</v>
      </c>
      <c r="AJ388" s="2" t="s">
        <v>229</v>
      </c>
      <c r="AK388" s="2" t="s">
        <v>244</v>
      </c>
      <c r="AL38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8" s="2" t="str">
        <f>SUBSTITUTE(SUBSTITUTE(PROPERTIES[[#This Row],[PURCHASECOST_VALUE]], "PURCHASECOST_", ""), "_VALUE", "")</f>
        <v>ELECTRICENGINE</v>
      </c>
      <c r="AO388" s="44" t="b">
        <v>0</v>
      </c>
      <c r="AP388" s="48" t="b">
        <v>0</v>
      </c>
      <c r="AQ388" s="48" t="b">
        <v>0</v>
      </c>
      <c r="AR388" s="48">
        <v>0</v>
      </c>
      <c r="AS388" s="48" t="b">
        <v>0</v>
      </c>
      <c r="AT388" s="7" t="b">
        <v>0</v>
      </c>
      <c r="AU388" s="40" t="str" cm="1">
        <f t="array" ref="AU388">_xlfn.XLOOKUP(PROPERTIES[[#This Row],[VEHIDCODE]],GRAPHICS_PROPERTIES[VEHIDCODE],GRAPHICS_PROPERTIES[TEMPLATE_ID]&amp;GRAPHICS_PROPERTIES[TEMPLATE_AMENDMENT_CODE])</f>
        <v>TPL_01A</v>
      </c>
    </row>
    <row r="389" spans="1:47" x14ac:dyDescent="0.35">
      <c r="A389" s="2" t="s">
        <v>3023</v>
      </c>
      <c r="B389">
        <v>1911</v>
      </c>
      <c r="C389">
        <v>1956</v>
      </c>
      <c r="D389" cm="1">
        <f t="array" ref="D3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9" s="40" t="str">
        <f>_xlfn.XLOOKUP(PROPERTIES[[#This Row],[VEHIDCODE]],CONTROL[VEHIDCODE],CONTROL[ENGLISH])</f>
        <v>AEG/Skabo EL7</v>
      </c>
      <c r="F389" t="s">
        <v>693</v>
      </c>
      <c r="G389" s="40" t="str">
        <f>_xlfn.XLOOKUP(PROPERTIES[[#This Row],[COUNTRY]],COUNTRIES[COUNTRY_DESCRIPTION],COUNTRIES[COUNTRY_LABEL],"")</f>
        <v>NO</v>
      </c>
      <c r="H389" t="str" cm="1">
        <f t="array" ref="H3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9" t="s">
        <v>17</v>
      </c>
      <c r="J389">
        <v>0</v>
      </c>
      <c r="K389">
        <v>6</v>
      </c>
      <c r="L389">
        <v>0</v>
      </c>
      <c r="M389" t="str" cm="1">
        <f t="array" ref="M3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9">
        <f>_xlfn.XLOOKUP("LOADINGSPEEDDEF_"&amp;PROPERTIES[[#This Row],[LOADINGSPEED]],LOADINGSPEEDDEF[TYPE],LOADINGSPEEDDEF[SPEED])</f>
        <v>20</v>
      </c>
      <c r="O389" cm="1">
        <f t="array" ref="O3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9">
        <f>IF(ISNUMBER(SEARCH("passenger",PROPERTIES[[#This Row],[CARGODEF]])),1,0)</f>
        <v>0</v>
      </c>
      <c r="Q389" s="23">
        <v>48</v>
      </c>
      <c r="R389">
        <v>490</v>
      </c>
      <c r="S389">
        <v>0</v>
      </c>
      <c r="T389">
        <v>0</v>
      </c>
      <c r="U389">
        <v>0</v>
      </c>
      <c r="V389">
        <v>45</v>
      </c>
      <c r="W389">
        <v>0</v>
      </c>
      <c r="X389">
        <v>0</v>
      </c>
      <c r="Y389">
        <v>0</v>
      </c>
      <c r="Z389" s="20">
        <v>0</v>
      </c>
      <c r="AA389" s="19">
        <f>IFERROR(PROPERTIES[[#This Row],[TE_STARTING_KN]]/(PROPERTIES[[#This Row],[WEIGHT]]*9.81),0)</f>
        <v>0</v>
      </c>
      <c r="AB389" s="19">
        <v>0.22</v>
      </c>
      <c r="AC389" s="16">
        <f>ROUND(IF(IFERROR(PROPERTIES[[#This Row],[TE_COEFFICIENT_CALC]],0)=0,PROPERTIES[[#This Row],[TE_COEFFICIENT_MANUAL]],PROPERTIES[[#This Row],[TE_COEFFICIENT_CALC]]),3)</f>
        <v>0.22</v>
      </c>
      <c r="AD389" s="8" cm="1">
        <f t="array" ref="AD3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389" s="26">
        <v>0</v>
      </c>
      <c r="AF389" s="6">
        <v>0</v>
      </c>
      <c r="AG389" t="s">
        <v>234</v>
      </c>
      <c r="AH389" t="s">
        <v>229</v>
      </c>
      <c r="AI389" t="s">
        <v>229</v>
      </c>
      <c r="AJ389" s="2" t="s">
        <v>229</v>
      </c>
      <c r="AK389" s="2" t="s">
        <v>244</v>
      </c>
      <c r="AL38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9" s="2" t="str">
        <f>SUBSTITUTE(SUBSTITUTE(PROPERTIES[[#This Row],[PURCHASECOST_VALUE]], "PURCHASECOST_", ""), "_VALUE", "")</f>
        <v>ELECTRICENGINE</v>
      </c>
      <c r="AO389" s="44" t="b">
        <v>0</v>
      </c>
      <c r="AP389" s="48" t="b">
        <v>0</v>
      </c>
      <c r="AQ389" s="48" t="b">
        <v>0</v>
      </c>
      <c r="AR389" s="48">
        <v>0</v>
      </c>
      <c r="AS389" s="48" t="b">
        <v>0</v>
      </c>
      <c r="AT389" s="7" t="b">
        <v>0</v>
      </c>
      <c r="AU389" s="40" t="str" cm="1">
        <f t="array" ref="AU389">_xlfn.XLOOKUP(PROPERTIES[[#This Row],[VEHIDCODE]],GRAPHICS_PROPERTIES[VEHIDCODE],GRAPHICS_PROPERTIES[TEMPLATE_ID]&amp;GRAPHICS_PROPERTIES[TEMPLATE_AMENDMENT_CODE])</f>
        <v>TPL_01A</v>
      </c>
    </row>
    <row r="390" spans="1:47" x14ac:dyDescent="0.35">
      <c r="A390" s="2" t="s">
        <v>3024</v>
      </c>
      <c r="B390">
        <v>1916</v>
      </c>
      <c r="C390">
        <v>1940</v>
      </c>
      <c r="D390" cm="1">
        <f t="array" ref="D3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0" s="40" t="str">
        <f>_xlfn.XLOOKUP(PROPERTIES[[#This Row],[VEHIDCODE]],CONTROL[VEHIDCODE],CONTROL[ENGLISH])</f>
        <v xml:space="preserve">Westinghouse FF-1 'Big Liz' </v>
      </c>
      <c r="F390" t="s">
        <v>757</v>
      </c>
      <c r="G390" s="40" t="str">
        <f>_xlfn.XLOOKUP(PROPERTIES[[#This Row],[COUNTRY]],COUNTRIES[COUNTRY_DESCRIPTION],COUNTRIES[COUNTRY_LABEL],"")</f>
        <v>US</v>
      </c>
      <c r="H390" t="str" cm="1">
        <f t="array" ref="H3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0" t="s">
        <v>17</v>
      </c>
      <c r="J390">
        <v>0</v>
      </c>
      <c r="K390">
        <v>8</v>
      </c>
      <c r="M390" t="str" cm="1">
        <f t="array" ref="M3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0">
        <f>_xlfn.XLOOKUP("LOADINGSPEEDDEF_"&amp;PROPERTIES[[#This Row],[LOADINGSPEED]],LOADINGSPEEDDEF[TYPE],LOADINGSPEEDDEF[SPEED])</f>
        <v>20</v>
      </c>
      <c r="O390" cm="1">
        <f t="array" ref="O3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0">
        <f>IF(ISNUMBER(SEARCH("passenger",PROPERTIES[[#This Row],[CARGODEF]])),1,0)</f>
        <v>0</v>
      </c>
      <c r="Q390" s="23">
        <v>234</v>
      </c>
      <c r="R390">
        <v>4600</v>
      </c>
      <c r="S390">
        <v>0</v>
      </c>
      <c r="T390">
        <v>0</v>
      </c>
      <c r="U390">
        <v>0</v>
      </c>
      <c r="V390">
        <v>33</v>
      </c>
      <c r="W390">
        <v>0</v>
      </c>
      <c r="X390">
        <v>0</v>
      </c>
      <c r="Y390">
        <v>0</v>
      </c>
      <c r="Z390" s="20">
        <v>620</v>
      </c>
      <c r="AA390" s="19">
        <f>IFERROR(PROPERTIES[[#This Row],[TE_STARTING_KN]]/(PROPERTIES[[#This Row],[WEIGHT]]*9.81),0)</f>
        <v>0.27008895510424563</v>
      </c>
      <c r="AB390" s="19">
        <v>0</v>
      </c>
      <c r="AC390" s="16">
        <f>ROUND(IF(IFERROR(PROPERTIES[[#This Row],[TE_COEFFICIENT_CALC]],0)=0,PROPERTIES[[#This Row],[TE_COEFFICIENT_MANUAL]],PROPERTIES[[#This Row],[TE_COEFFICIENT_CALC]]),3)</f>
        <v>0.27</v>
      </c>
      <c r="AD390" s="8" cm="1">
        <f t="array" ref="AD3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90" s="26">
        <v>0</v>
      </c>
      <c r="AF390" s="6">
        <v>2</v>
      </c>
      <c r="AG390" t="s">
        <v>235</v>
      </c>
      <c r="AH390" t="s">
        <v>229</v>
      </c>
      <c r="AI390" t="s">
        <v>229</v>
      </c>
      <c r="AJ390" s="2" t="s">
        <v>229</v>
      </c>
      <c r="AK390" s="2" t="s">
        <v>244</v>
      </c>
      <c r="AL39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0" s="2" t="str">
        <f>SUBSTITUTE(SUBSTITUTE(PROPERTIES[[#This Row],[PURCHASECOST_VALUE]], "PURCHASECOST_", ""), "_VALUE", "")</f>
        <v>ELECTRICENGINE</v>
      </c>
      <c r="AO390" s="44" t="b">
        <v>0</v>
      </c>
      <c r="AP390" s="48" t="b">
        <v>0</v>
      </c>
      <c r="AQ390" s="48" t="b">
        <v>0</v>
      </c>
      <c r="AR390" s="48">
        <v>0</v>
      </c>
      <c r="AS390" s="48" t="b">
        <v>0</v>
      </c>
      <c r="AT390" s="7" t="b">
        <v>0</v>
      </c>
      <c r="AU390" s="40" t="str" cm="1">
        <f t="array" ref="AU390">_xlfn.XLOOKUP(PROPERTIES[[#This Row],[VEHIDCODE]],GRAPHICS_PROPERTIES[VEHIDCODE],GRAPHICS_PROPERTIES[TEMPLATE_ID]&amp;GRAPHICS_PROPERTIES[TEMPLATE_AMENDMENT_CODE])</f>
        <v>TPL_32C</v>
      </c>
    </row>
    <row r="391" spans="1:47" x14ac:dyDescent="0.35">
      <c r="A391" s="2" t="s">
        <v>3025</v>
      </c>
      <c r="B391">
        <v>1928</v>
      </c>
      <c r="C391">
        <v>1988</v>
      </c>
      <c r="D391" cm="1">
        <f t="array" ref="D3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1" s="40" t="str">
        <f>_xlfn.XLOOKUP(PROPERTIES[[#This Row],[VEHIDCODE]],CONTROL[VEHIDCODE],CONTROL[ENGLISH])</f>
        <v>ELIN/Floridsdorf 1161</v>
      </c>
      <c r="F391" t="s">
        <v>540</v>
      </c>
      <c r="G391" s="40" t="str">
        <f>_xlfn.XLOOKUP(PROPERTIES[[#This Row],[COUNTRY]],COUNTRIES[COUNTRY_DESCRIPTION],COUNTRIES[COUNTRY_LABEL],"")</f>
        <v>AT</v>
      </c>
      <c r="H391" t="str" cm="1">
        <f t="array" ref="H3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1" t="s">
        <v>17</v>
      </c>
      <c r="J391">
        <v>0</v>
      </c>
      <c r="K391">
        <v>5</v>
      </c>
      <c r="L391">
        <v>0</v>
      </c>
      <c r="M391" t="str" cm="1">
        <f t="array" ref="M3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1">
        <f>_xlfn.XLOOKUP("LOADINGSPEEDDEF_"&amp;PROPERTIES[[#This Row],[LOADINGSPEED]],LOADINGSPEEDDEF[TYPE],LOADINGSPEEDDEF[SPEED])</f>
        <v>20</v>
      </c>
      <c r="O391" cm="1">
        <f t="array" ref="O3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1">
        <f>IF(ISNUMBER(SEARCH("passenger",PROPERTIES[[#This Row],[CARGODEF]])),1,0)</f>
        <v>0</v>
      </c>
      <c r="Q391" s="23">
        <v>55</v>
      </c>
      <c r="R391">
        <v>1000</v>
      </c>
      <c r="S391">
        <v>0</v>
      </c>
      <c r="T391">
        <v>0</v>
      </c>
      <c r="U391">
        <v>0</v>
      </c>
      <c r="V391">
        <v>40</v>
      </c>
      <c r="W391">
        <v>0</v>
      </c>
      <c r="X391">
        <v>0</v>
      </c>
      <c r="Y391">
        <v>0</v>
      </c>
      <c r="Z391" s="20">
        <v>140</v>
      </c>
      <c r="AA391" s="19">
        <f>IFERROR(PROPERTIES[[#This Row],[TE_STARTING_KN]]/(PROPERTIES[[#This Row],[WEIGHT]]*9.81),0)</f>
        <v>0.25947548883328697</v>
      </c>
      <c r="AB391" s="19">
        <v>0</v>
      </c>
      <c r="AC391" s="16">
        <f>ROUND(IF(IFERROR(PROPERTIES[[#This Row],[TE_COEFFICIENT_CALC]],0)=0,PROPERTIES[[#This Row],[TE_COEFFICIENT_MANUAL]],PROPERTIES[[#This Row],[TE_COEFFICIENT_CALC]]),3)</f>
        <v>0.25900000000000001</v>
      </c>
      <c r="AD391" s="8" cm="1">
        <f t="array" ref="AD3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391" s="26">
        <v>0</v>
      </c>
      <c r="AF391" s="6">
        <v>0</v>
      </c>
      <c r="AG391" t="s">
        <v>230</v>
      </c>
      <c r="AH391" t="s">
        <v>229</v>
      </c>
      <c r="AI391" t="s">
        <v>229</v>
      </c>
      <c r="AJ391" s="2" t="s">
        <v>229</v>
      </c>
      <c r="AK391" s="2" t="s">
        <v>244</v>
      </c>
      <c r="AL39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1" s="2" t="str">
        <f>SUBSTITUTE(SUBSTITUTE(PROPERTIES[[#This Row],[PURCHASECOST_VALUE]], "PURCHASECOST_", ""), "_VALUE", "")</f>
        <v>ELECTRICENGINE</v>
      </c>
      <c r="AO391" s="44" t="b">
        <v>0</v>
      </c>
      <c r="AP391" s="48" t="b">
        <v>0</v>
      </c>
      <c r="AQ391" s="48" t="b">
        <v>0</v>
      </c>
      <c r="AR391" s="48">
        <v>0</v>
      </c>
      <c r="AS391" s="48" t="b">
        <v>0</v>
      </c>
      <c r="AT391" s="7" t="b">
        <v>0</v>
      </c>
      <c r="AU391" s="40" t="str" cm="1">
        <f t="array" ref="AU391">_xlfn.XLOOKUP(PROPERTIES[[#This Row],[VEHIDCODE]],GRAPHICS_PROPERTIES[VEHIDCODE],GRAPHICS_PROPERTIES[TEMPLATE_ID]&amp;GRAPHICS_PROPERTIES[TEMPLATE_AMENDMENT_CODE])</f>
        <v>TPL_03C</v>
      </c>
    </row>
    <row r="392" spans="1:47" x14ac:dyDescent="0.35">
      <c r="A392" s="2" t="s">
        <v>3026</v>
      </c>
      <c r="B392">
        <v>1930</v>
      </c>
      <c r="C392">
        <v>1981</v>
      </c>
      <c r="D392" cm="1">
        <f t="array" ref="D3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2" s="40" t="str">
        <f>_xlfn.XLOOKUP(PROPERTIES[[#This Row],[VEHIDCODE]],CONTROL[VEHIDCODE],CONTROL[ENGLISH])</f>
        <v>Maffei/SSW Lok 5 'Adolphine'</v>
      </c>
      <c r="F392" t="s">
        <v>584</v>
      </c>
      <c r="G392" s="40" t="str">
        <f>_xlfn.XLOOKUP(PROPERTIES[[#This Row],[COUNTRY]],COUNTRIES[COUNTRY_DESCRIPTION],COUNTRIES[COUNTRY_LABEL],"")</f>
        <v>DE</v>
      </c>
      <c r="H392" t="str" cm="1">
        <f t="array" ref="H3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2" t="s">
        <v>17</v>
      </c>
      <c r="J392">
        <v>0</v>
      </c>
      <c r="K392">
        <v>6</v>
      </c>
      <c r="L392">
        <v>0</v>
      </c>
      <c r="M392" t="str" cm="1">
        <f t="array" ref="M3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2">
        <f>_xlfn.XLOOKUP("LOADINGSPEEDDEF_"&amp;PROPERTIES[[#This Row],[LOADINGSPEED]],LOADINGSPEEDDEF[TYPE],LOADINGSPEEDDEF[SPEED])</f>
        <v>20</v>
      </c>
      <c r="O392" cm="1">
        <f t="array" ref="O3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2">
        <f>IF(ISNUMBER(SEARCH("passenger",PROPERTIES[[#This Row],[CARGODEF]])),1,0)</f>
        <v>0</v>
      </c>
      <c r="Q392" s="23">
        <v>32</v>
      </c>
      <c r="R392">
        <v>810</v>
      </c>
      <c r="S392">
        <v>0</v>
      </c>
      <c r="T392">
        <v>0</v>
      </c>
      <c r="U392">
        <v>0</v>
      </c>
      <c r="V392">
        <v>50</v>
      </c>
      <c r="W392">
        <v>0</v>
      </c>
      <c r="X392">
        <v>0</v>
      </c>
      <c r="Y392">
        <v>0</v>
      </c>
      <c r="Z392" s="20">
        <v>93</v>
      </c>
      <c r="AA392" s="19">
        <f>IFERROR(PROPERTIES[[#This Row],[TE_STARTING_KN]]/(PROPERTIES[[#This Row],[WEIGHT]]*9.81),0)</f>
        <v>0.29625382262996941</v>
      </c>
      <c r="AB392" s="19">
        <v>0</v>
      </c>
      <c r="AC392" s="16">
        <f>ROUND(IF(IFERROR(PROPERTIES[[#This Row],[TE_COEFFICIENT_CALC]],0)=0,PROPERTIES[[#This Row],[TE_COEFFICIENT_MANUAL]],PROPERTIES[[#This Row],[TE_COEFFICIENT_CALC]]),3)</f>
        <v>0.29599999999999999</v>
      </c>
      <c r="AD392" s="8" cm="1">
        <f t="array" ref="AD3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392" s="26">
        <v>0</v>
      </c>
      <c r="AF392" s="6">
        <v>0</v>
      </c>
      <c r="AG392" t="s">
        <v>230</v>
      </c>
      <c r="AH392" t="s">
        <v>229</v>
      </c>
      <c r="AI392" t="s">
        <v>229</v>
      </c>
      <c r="AJ392" s="2" t="s">
        <v>229</v>
      </c>
      <c r="AK392" s="2" t="s">
        <v>244</v>
      </c>
      <c r="AL39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2" s="2" t="str">
        <f>SUBSTITUTE(SUBSTITUTE(PROPERTIES[[#This Row],[PURCHASECOST_VALUE]], "PURCHASECOST_", ""), "_VALUE", "")</f>
        <v>ELECTRICENGINE</v>
      </c>
      <c r="AO392" s="44" t="b">
        <v>0</v>
      </c>
      <c r="AP392" s="48" t="b">
        <v>0</v>
      </c>
      <c r="AQ392" s="48" t="b">
        <v>0</v>
      </c>
      <c r="AR392" s="48">
        <v>0</v>
      </c>
      <c r="AS392" s="48" t="b">
        <v>0</v>
      </c>
      <c r="AT392" s="7" t="b">
        <v>0</v>
      </c>
      <c r="AU392" s="40" t="str" cm="1">
        <f t="array" ref="AU392">_xlfn.XLOOKUP(PROPERTIES[[#This Row],[VEHIDCODE]],GRAPHICS_PROPERTIES[VEHIDCODE],GRAPHICS_PROPERTIES[TEMPLATE_ID]&amp;GRAPHICS_PROPERTIES[TEMPLATE_AMENDMENT_CODE])</f>
        <v>TPL_01A</v>
      </c>
    </row>
    <row r="393" spans="1:47" x14ac:dyDescent="0.35">
      <c r="A393" s="2" t="s">
        <v>3027</v>
      </c>
      <c r="B393">
        <v>1931</v>
      </c>
      <c r="C393">
        <v>1990</v>
      </c>
      <c r="D393" cm="1">
        <f t="array" ref="D3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3" s="40" t="str">
        <f>_xlfn.XLOOKUP(PROPERTIES[[#This Row],[VEHIDCODE]],CONTROL[VEHIDCODE],CONTROL[ENGLISH])</f>
        <v>Thune/ASEA EL10</v>
      </c>
      <c r="F393" t="s">
        <v>693</v>
      </c>
      <c r="G393" s="40" t="str">
        <f>_xlfn.XLOOKUP(PROPERTIES[[#This Row],[COUNTRY]],COUNTRIES[COUNTRY_DESCRIPTION],COUNTRIES[COUNTRY_LABEL],"")</f>
        <v>NO</v>
      </c>
      <c r="H393" t="str" cm="1">
        <f t="array" ref="H3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3" t="s">
        <v>17</v>
      </c>
      <c r="J393">
        <v>0</v>
      </c>
      <c r="K393">
        <v>6</v>
      </c>
      <c r="L393">
        <v>0</v>
      </c>
      <c r="M393" t="str" cm="1">
        <f t="array" ref="M3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3">
        <f>_xlfn.XLOOKUP("LOADINGSPEEDDEF_"&amp;PROPERTIES[[#This Row],[LOADINGSPEED]],LOADINGSPEEDDEF[TYPE],LOADINGSPEEDDEF[SPEED])</f>
        <v>20</v>
      </c>
      <c r="O393" cm="1">
        <f t="array" ref="O3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3">
        <f>IF(ISNUMBER(SEARCH("passenger",PROPERTIES[[#This Row],[CARGODEF]])),1,0)</f>
        <v>0</v>
      </c>
      <c r="Q393" s="23">
        <v>47.3</v>
      </c>
      <c r="R393">
        <v>700</v>
      </c>
      <c r="S393">
        <v>0</v>
      </c>
      <c r="T393">
        <v>0</v>
      </c>
      <c r="U393">
        <v>0</v>
      </c>
      <c r="V393">
        <v>45</v>
      </c>
      <c r="W393">
        <v>0</v>
      </c>
      <c r="X393">
        <v>0</v>
      </c>
      <c r="Y393">
        <v>0</v>
      </c>
      <c r="Z393" s="20">
        <v>110</v>
      </c>
      <c r="AA393" s="19">
        <f>IFERROR(PROPERTIES[[#This Row],[TE_STARTING_KN]]/(PROPERTIES[[#This Row],[WEIGHT]]*9.81),0)</f>
        <v>0.23706232368489677</v>
      </c>
      <c r="AB393" s="19">
        <v>0</v>
      </c>
      <c r="AC393" s="16">
        <f>ROUND(IF(IFERROR(PROPERTIES[[#This Row],[TE_COEFFICIENT_CALC]],0)=0,PROPERTIES[[#This Row],[TE_COEFFICIENT_MANUAL]],PROPERTIES[[#This Row],[TE_COEFFICIENT_CALC]]),3)</f>
        <v>0.23699999999999999</v>
      </c>
      <c r="AD393" s="8" cm="1">
        <f t="array" ref="AD3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393" s="26">
        <v>0</v>
      </c>
      <c r="AF393" s="6">
        <v>0</v>
      </c>
      <c r="AG393" t="s">
        <v>234</v>
      </c>
      <c r="AH393" t="s">
        <v>229</v>
      </c>
      <c r="AI393" t="s">
        <v>229</v>
      </c>
      <c r="AJ393" s="2" t="s">
        <v>229</v>
      </c>
      <c r="AK393" s="2" t="s">
        <v>244</v>
      </c>
      <c r="AL39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3" s="2" t="str">
        <f>SUBSTITUTE(SUBSTITUTE(PROPERTIES[[#This Row],[PURCHASECOST_VALUE]], "PURCHASECOST_", ""), "_VALUE", "")</f>
        <v>ELECTRICENGINE</v>
      </c>
      <c r="AO393" s="44" t="b">
        <v>0</v>
      </c>
      <c r="AP393" s="48" t="b">
        <v>0</v>
      </c>
      <c r="AQ393" s="48" t="b">
        <v>0</v>
      </c>
      <c r="AR393" s="48">
        <v>0</v>
      </c>
      <c r="AS393" s="48" t="b">
        <v>0</v>
      </c>
      <c r="AT393" s="7" t="b">
        <v>0</v>
      </c>
      <c r="AU393" s="40" t="str" cm="1">
        <f t="array" ref="AU393">_xlfn.XLOOKUP(PROPERTIES[[#This Row],[VEHIDCODE]],GRAPHICS_PROPERTIES[VEHIDCODE],GRAPHICS_PROPERTIES[TEMPLATE_ID]&amp;GRAPHICS_PROPERTIES[TEMPLATE_AMENDMENT_CODE])</f>
        <v>TPL_01A</v>
      </c>
    </row>
    <row r="394" spans="1:47" x14ac:dyDescent="0.35">
      <c r="A394" s="2" t="s">
        <v>3028</v>
      </c>
      <c r="B394">
        <v>1933</v>
      </c>
      <c r="C394">
        <v>1982</v>
      </c>
      <c r="D394" cm="1">
        <f t="array" ref="D3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4" s="40" t="str">
        <f>_xlfn.XLOOKUP(PROPERTIES[[#This Row],[VEHIDCODE]],CONTROL[VEHIDCODE],CONTROL[ENGLISH])</f>
        <v>AEG E 04</v>
      </c>
      <c r="F394" t="s">
        <v>584</v>
      </c>
      <c r="G394" s="40" t="str">
        <f>_xlfn.XLOOKUP(PROPERTIES[[#This Row],[COUNTRY]],COUNTRIES[COUNTRY_DESCRIPTION],COUNTRIES[COUNTRY_LABEL],"")</f>
        <v>DE</v>
      </c>
      <c r="H394" t="str" cm="1">
        <f t="array" ref="H3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4" t="s">
        <v>17</v>
      </c>
      <c r="J394">
        <v>0</v>
      </c>
      <c r="K394">
        <v>8</v>
      </c>
      <c r="L394">
        <v>0</v>
      </c>
      <c r="M394" t="str" cm="1">
        <f t="array" ref="M3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4">
        <f>_xlfn.XLOOKUP("LOADINGSPEEDDEF_"&amp;PROPERTIES[[#This Row],[LOADINGSPEED]],LOADINGSPEEDDEF[TYPE],LOADINGSPEEDDEF[SPEED])</f>
        <v>20</v>
      </c>
      <c r="O394" cm="1">
        <f t="array" ref="O3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4">
        <f>IF(ISNUMBER(SEARCH("passenger",PROPERTIES[[#This Row],[CARGODEF]])),1,0)</f>
        <v>0</v>
      </c>
      <c r="Q394" s="23">
        <v>92</v>
      </c>
      <c r="R394">
        <v>2935</v>
      </c>
      <c r="S394">
        <v>0</v>
      </c>
      <c r="T394">
        <v>0</v>
      </c>
      <c r="U394">
        <v>0</v>
      </c>
      <c r="V394">
        <v>110</v>
      </c>
      <c r="W394">
        <v>0</v>
      </c>
      <c r="X394">
        <v>0</v>
      </c>
      <c r="Y394">
        <v>0</v>
      </c>
      <c r="Z394" s="20">
        <v>177</v>
      </c>
      <c r="AA394" s="19">
        <f>IFERROR(PROPERTIES[[#This Row],[TE_STARTING_KN]]/(PROPERTIES[[#This Row],[WEIGHT]]*9.81),0)</f>
        <v>0.19611753756149447</v>
      </c>
      <c r="AB394" s="19">
        <v>0</v>
      </c>
      <c r="AC394" s="16">
        <f>ROUND(IF(IFERROR(PROPERTIES[[#This Row],[TE_COEFFICIENT_CALC]],0)=0,PROPERTIES[[#This Row],[TE_COEFFICIENT_MANUAL]],PROPERTIES[[#This Row],[TE_COEFFICIENT_CALC]]),3)</f>
        <v>0.19600000000000001</v>
      </c>
      <c r="AD394" s="8" cm="1">
        <f t="array" ref="AD3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394" s="26">
        <v>0</v>
      </c>
      <c r="AF394" s="6">
        <v>0</v>
      </c>
      <c r="AG394" t="s">
        <v>230</v>
      </c>
      <c r="AH394" t="s">
        <v>229</v>
      </c>
      <c r="AI394" t="s">
        <v>229</v>
      </c>
      <c r="AJ394" s="2" t="s">
        <v>229</v>
      </c>
      <c r="AK394" s="2" t="s">
        <v>244</v>
      </c>
      <c r="AL39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4" s="2" t="str">
        <f>SUBSTITUTE(SUBSTITUTE(PROPERTIES[[#This Row],[PURCHASECOST_VALUE]], "PURCHASECOST_", ""), "_VALUE", "")</f>
        <v>ELECTRICENGINE</v>
      </c>
      <c r="AO394" s="44" t="b">
        <v>0</v>
      </c>
      <c r="AP394" s="48" t="b">
        <v>0</v>
      </c>
      <c r="AQ394" s="48" t="b">
        <v>0</v>
      </c>
      <c r="AR394" s="48">
        <v>0</v>
      </c>
      <c r="AS394" s="48" t="b">
        <v>0</v>
      </c>
      <c r="AT394" s="7" t="b">
        <v>0</v>
      </c>
      <c r="AU394" s="40" t="str" cm="1">
        <f t="array" ref="AU394">_xlfn.XLOOKUP(PROPERTIES[[#This Row],[VEHIDCODE]],GRAPHICS_PROPERTIES[VEHIDCODE],GRAPHICS_PROPERTIES[TEMPLATE_ID]&amp;GRAPHICS_PROPERTIES[TEMPLATE_AMENDMENT_CODE])</f>
        <v>TPL_01A</v>
      </c>
    </row>
    <row r="395" spans="1:47" x14ac:dyDescent="0.35">
      <c r="A395" s="2" t="s">
        <v>3029</v>
      </c>
      <c r="B395">
        <v>1935</v>
      </c>
      <c r="C395">
        <v>1983</v>
      </c>
      <c r="D395" cm="1">
        <f t="array" ref="D3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5" s="40" t="str">
        <f>_xlfn.XLOOKUP(PROPERTIES[[#This Row],[VEHIDCODE]],CONTROL[VEHIDCODE],CONTROL[ENGLISH])</f>
        <v>GE 4-6-0+0-6-4OE GG-1</v>
      </c>
      <c r="F395" t="s">
        <v>757</v>
      </c>
      <c r="G395" s="40" t="str">
        <f>_xlfn.XLOOKUP(PROPERTIES[[#This Row],[COUNTRY]],COUNTRIES[COUNTRY_DESCRIPTION],COUNTRIES[COUNTRY_LABEL],"")</f>
        <v>US</v>
      </c>
      <c r="H395" t="str" cm="1">
        <f t="array" ref="H3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5" t="s">
        <v>17</v>
      </c>
      <c r="J395">
        <v>0</v>
      </c>
      <c r="K395">
        <v>8</v>
      </c>
      <c r="M395" t="str" cm="1">
        <f t="array" ref="M3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5">
        <f>_xlfn.XLOOKUP("LOADINGSPEEDDEF_"&amp;PROPERTIES[[#This Row],[LOADINGSPEED]],LOADINGSPEEDDEF[TYPE],LOADINGSPEEDDEF[SPEED])</f>
        <v>20</v>
      </c>
      <c r="O395" cm="1">
        <f t="array" ref="O3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5">
        <f>IF(ISNUMBER(SEARCH("passenger",PROPERTIES[[#This Row],[CARGODEF]])),1,0)</f>
        <v>0</v>
      </c>
      <c r="Q395" s="23">
        <v>215</v>
      </c>
      <c r="R395">
        <v>4620</v>
      </c>
      <c r="S395">
        <v>0</v>
      </c>
      <c r="T395">
        <v>0</v>
      </c>
      <c r="U395">
        <v>0</v>
      </c>
      <c r="V395">
        <v>160</v>
      </c>
      <c r="W395">
        <v>0</v>
      </c>
      <c r="X395">
        <v>0</v>
      </c>
      <c r="Y395">
        <v>0</v>
      </c>
      <c r="Z395" s="20">
        <v>291</v>
      </c>
      <c r="AA395" s="19">
        <f>IFERROR(PROPERTIES[[#This Row],[TE_STARTING_KN]]/(PROPERTIES[[#This Row],[WEIGHT]]*9.81),0)</f>
        <v>0.1379702723846099</v>
      </c>
      <c r="AB395" s="19">
        <v>0</v>
      </c>
      <c r="AC395" s="16">
        <f>ROUND(IF(IFERROR(PROPERTIES[[#This Row],[TE_COEFFICIENT_CALC]],0)=0,PROPERTIES[[#This Row],[TE_COEFFICIENT_MANUAL]],PROPERTIES[[#This Row],[TE_COEFFICIENT_CALC]]),3)</f>
        <v>0.13800000000000001</v>
      </c>
      <c r="AD395" s="8" cm="1">
        <f t="array" ref="AD3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395" s="26">
        <v>0</v>
      </c>
      <c r="AF395" s="6">
        <v>2</v>
      </c>
      <c r="AG395" t="s">
        <v>235</v>
      </c>
      <c r="AH395" t="s">
        <v>229</v>
      </c>
      <c r="AI395" t="s">
        <v>229</v>
      </c>
      <c r="AJ395" s="2" t="s">
        <v>229</v>
      </c>
      <c r="AK395" s="2" t="s">
        <v>244</v>
      </c>
      <c r="AL39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5" s="2" t="str">
        <f>SUBSTITUTE(SUBSTITUTE(PROPERTIES[[#This Row],[PURCHASECOST_VALUE]], "PURCHASECOST_", ""), "_VALUE", "")</f>
        <v>ELECTRICENGINE</v>
      </c>
      <c r="AO395" s="44" t="b">
        <v>0</v>
      </c>
      <c r="AP395" s="48" t="b">
        <v>0</v>
      </c>
      <c r="AQ395" s="48" t="b">
        <v>0</v>
      </c>
      <c r="AR395" s="48">
        <v>0</v>
      </c>
      <c r="AS395" s="48" t="b">
        <v>0</v>
      </c>
      <c r="AT395" s="7" t="b">
        <v>0</v>
      </c>
      <c r="AU395" s="40" t="str" cm="1">
        <f t="array" ref="AU395">_xlfn.XLOOKUP(PROPERTIES[[#This Row],[VEHIDCODE]],GRAPHICS_PROPERTIES[VEHIDCODE],GRAPHICS_PROPERTIES[TEMPLATE_ID]&amp;GRAPHICS_PROPERTIES[TEMPLATE_AMENDMENT_CODE])</f>
        <v>TPL_16A</v>
      </c>
    </row>
    <row r="396" spans="1:47" x14ac:dyDescent="0.35">
      <c r="A396" s="2" t="s">
        <v>3030</v>
      </c>
      <c r="B396">
        <v>1940</v>
      </c>
      <c r="C396">
        <v>1942</v>
      </c>
      <c r="D396" cm="1">
        <f t="array" ref="D3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6" s="40" t="str">
        <f>_xlfn.XLOOKUP(PROPERTIES[[#This Row],[VEHIDCODE]],CONTROL[VEHIDCODE],CONTROL[ENGLISH])</f>
        <v>SLM 1100 'Crocodile'</v>
      </c>
      <c r="F396" t="s">
        <v>584</v>
      </c>
      <c r="G396" s="40" t="str">
        <f>_xlfn.XLOOKUP(PROPERTIES[[#This Row],[COUNTRY]],COUNTRIES[COUNTRY_DESCRIPTION],COUNTRIES[COUNTRY_LABEL],"")</f>
        <v>DE</v>
      </c>
      <c r="H396" t="str" cm="1">
        <f t="array" ref="H3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6" t="s">
        <v>17</v>
      </c>
      <c r="J396">
        <v>0</v>
      </c>
      <c r="K396">
        <v>8</v>
      </c>
      <c r="L396">
        <v>0</v>
      </c>
      <c r="M396" t="str" cm="1">
        <f t="array" ref="M3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6">
        <f>_xlfn.XLOOKUP("LOADINGSPEEDDEF_"&amp;PROPERTIES[[#This Row],[LOADINGSPEED]],LOADINGSPEEDDEF[TYPE],LOADINGSPEEDDEF[SPEED])</f>
        <v>20</v>
      </c>
      <c r="O396" cm="1">
        <f t="array" ref="O3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6">
        <f>IF(ISNUMBER(SEARCH("passenger",PROPERTIES[[#This Row],[CARGODEF]])),1,0)</f>
        <v>0</v>
      </c>
      <c r="Q396" s="23">
        <v>128</v>
      </c>
      <c r="R396">
        <v>3648</v>
      </c>
      <c r="S396">
        <v>0</v>
      </c>
      <c r="T396">
        <v>0</v>
      </c>
      <c r="U396">
        <v>0</v>
      </c>
      <c r="V396">
        <v>75</v>
      </c>
      <c r="W396">
        <v>0</v>
      </c>
      <c r="X396">
        <v>0</v>
      </c>
      <c r="Y396">
        <v>0</v>
      </c>
      <c r="Z396" s="20">
        <v>300</v>
      </c>
      <c r="AA396" s="19">
        <f>IFERROR(PROPERTIES[[#This Row],[TE_STARTING_KN]]/(PROPERTIES[[#This Row],[WEIGHT]]*9.81),0)</f>
        <v>0.23891437308868502</v>
      </c>
      <c r="AB396" s="19">
        <v>0</v>
      </c>
      <c r="AC396" s="16">
        <f>ROUND(IF(IFERROR(PROPERTIES[[#This Row],[TE_COEFFICIENT_CALC]],0)=0,PROPERTIES[[#This Row],[TE_COEFFICIENT_MANUAL]],PROPERTIES[[#This Row],[TE_COEFFICIENT_CALC]]),3)</f>
        <v>0.23899999999999999</v>
      </c>
      <c r="AD396" s="8" cm="1">
        <f t="array" ref="AD3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96" s="26">
        <v>0</v>
      </c>
      <c r="AF396" s="6">
        <v>0</v>
      </c>
      <c r="AG396" t="s">
        <v>230</v>
      </c>
      <c r="AH396" t="s">
        <v>229</v>
      </c>
      <c r="AI396" t="s">
        <v>229</v>
      </c>
      <c r="AJ396" s="2" t="s">
        <v>229</v>
      </c>
      <c r="AK396" s="2" t="s">
        <v>244</v>
      </c>
      <c r="AL39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6" s="2" t="str">
        <f>SUBSTITUTE(SUBSTITUTE(PROPERTIES[[#This Row],[PURCHASECOST_VALUE]], "PURCHASECOST_", ""), "_VALUE", "")</f>
        <v>ELECTRICENGINE</v>
      </c>
      <c r="AO396" s="44" t="b">
        <v>0</v>
      </c>
      <c r="AP396" s="48" t="b">
        <v>0</v>
      </c>
      <c r="AQ396" s="48" t="b">
        <v>0</v>
      </c>
      <c r="AR396" s="48">
        <v>0</v>
      </c>
      <c r="AS396" s="48" t="b">
        <v>0</v>
      </c>
      <c r="AT396" s="7" t="b">
        <v>0</v>
      </c>
      <c r="AU396" s="40" t="str" cm="1">
        <f t="array" ref="AU396">_xlfn.XLOOKUP(PROPERTIES[[#This Row],[VEHIDCODE]],GRAPHICS_PROPERTIES[VEHIDCODE],GRAPHICS_PROPERTIES[TEMPLATE_ID]&amp;GRAPHICS_PROPERTIES[TEMPLATE_AMENDMENT_CODE])</f>
        <v>TPL_01A</v>
      </c>
    </row>
    <row r="397" spans="1:47" x14ac:dyDescent="0.35">
      <c r="A397" s="2" t="s">
        <v>3031</v>
      </c>
      <c r="B397">
        <v>1970</v>
      </c>
      <c r="C397">
        <v>2017</v>
      </c>
      <c r="D397" cm="1">
        <f t="array" ref="D3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7" s="40" t="str">
        <f>_xlfn.XLOOKUP(PROPERTIES[[#This Row],[VEHIDCODE]],CONTROL[VEHIDCODE],CONTROL[ENGLISH])</f>
        <v>AEG/BBC/Henschel/Siemens E03</v>
      </c>
      <c r="F397" t="s">
        <v>584</v>
      </c>
      <c r="G397" s="40" t="str">
        <f>_xlfn.XLOOKUP(PROPERTIES[[#This Row],[COUNTRY]],COUNTRIES[COUNTRY_DESCRIPTION],COUNTRIES[COUNTRY_LABEL],"")</f>
        <v>DE</v>
      </c>
      <c r="H397" t="str" cm="1">
        <f t="array" ref="H3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7" t="s">
        <v>17</v>
      </c>
      <c r="J397">
        <v>0</v>
      </c>
      <c r="K397">
        <v>8</v>
      </c>
      <c r="L397">
        <v>0</v>
      </c>
      <c r="M397" t="str" cm="1">
        <f t="array" ref="M3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7">
        <f>_xlfn.XLOOKUP("LOADINGSPEEDDEF_"&amp;PROPERTIES[[#This Row],[LOADINGSPEED]],LOADINGSPEEDDEF[TYPE],LOADINGSPEEDDEF[SPEED])</f>
        <v>20</v>
      </c>
      <c r="O397" cm="1">
        <f t="array" ref="O3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7">
        <f>IF(ISNUMBER(SEARCH("passenger",PROPERTIES[[#This Row],[CARGODEF]])),1,0)</f>
        <v>0</v>
      </c>
      <c r="Q397" s="23">
        <v>114</v>
      </c>
      <c r="R397">
        <v>9980</v>
      </c>
      <c r="S397">
        <v>0</v>
      </c>
      <c r="T397">
        <v>0</v>
      </c>
      <c r="U397">
        <v>0</v>
      </c>
      <c r="V397">
        <v>200</v>
      </c>
      <c r="W397">
        <v>0</v>
      </c>
      <c r="X397">
        <v>0</v>
      </c>
      <c r="Y397">
        <v>0</v>
      </c>
      <c r="Z397" s="20">
        <v>312</v>
      </c>
      <c r="AA397" s="19">
        <f>IFERROR(PROPERTIES[[#This Row],[TE_STARTING_KN]]/(PROPERTIES[[#This Row],[WEIGHT]]*9.81),0)</f>
        <v>0.27898492408391007</v>
      </c>
      <c r="AB397" s="19">
        <v>0</v>
      </c>
      <c r="AC397" s="16">
        <f>ROUND(IF(IFERROR(PROPERTIES[[#This Row],[TE_COEFFICIENT_CALC]],0)=0,PROPERTIES[[#This Row],[TE_COEFFICIENT_MANUAL]],PROPERTIES[[#This Row],[TE_COEFFICIENT_CALC]]),3)</f>
        <v>0.27900000000000003</v>
      </c>
      <c r="AD397" s="8" cm="1">
        <f t="array" ref="AD3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47</v>
      </c>
      <c r="AE397" s="26">
        <v>0</v>
      </c>
      <c r="AF397" s="6">
        <v>0</v>
      </c>
      <c r="AG397" t="s">
        <v>230</v>
      </c>
      <c r="AH397" t="s">
        <v>229</v>
      </c>
      <c r="AI397" t="s">
        <v>229</v>
      </c>
      <c r="AJ397" s="2" t="s">
        <v>229</v>
      </c>
      <c r="AK397" s="2" t="s">
        <v>244</v>
      </c>
      <c r="AL39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7" s="2" t="str">
        <f>SUBSTITUTE(SUBSTITUTE(PROPERTIES[[#This Row],[PURCHASECOST_VALUE]], "PURCHASECOST_", ""), "_VALUE", "")</f>
        <v>ELECTRICENGINE</v>
      </c>
      <c r="AO397" s="44" t="b">
        <v>0</v>
      </c>
      <c r="AP397" s="48" t="b">
        <v>0</v>
      </c>
      <c r="AQ397" s="48" t="b">
        <v>0</v>
      </c>
      <c r="AR397" s="48">
        <v>0</v>
      </c>
      <c r="AS397" s="48" t="b">
        <v>0</v>
      </c>
      <c r="AT397" s="7" t="b">
        <v>0</v>
      </c>
      <c r="AU397" s="40" t="str" cm="1">
        <f t="array" ref="AU397">_xlfn.XLOOKUP(PROPERTIES[[#This Row],[VEHIDCODE]],GRAPHICS_PROPERTIES[VEHIDCODE],GRAPHICS_PROPERTIES[TEMPLATE_ID]&amp;GRAPHICS_PROPERTIES[TEMPLATE_AMENDMENT_CODE])</f>
        <v>TPL_01A</v>
      </c>
    </row>
    <row r="398" spans="1:47" x14ac:dyDescent="0.35">
      <c r="A398" s="2" t="s">
        <v>3032</v>
      </c>
      <c r="B398">
        <v>1925</v>
      </c>
      <c r="C398">
        <v>1975</v>
      </c>
      <c r="D398" cm="1">
        <f t="array" ref="D3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8" s="40" t="str">
        <f>_xlfn.XLOOKUP(PROPERTIES[[#This Row],[VEHIDCODE]],CONTROL[VEHIDCODE],CONTROL[ENGLISH])</f>
        <v>Krauss/WASSEG E 91.9</v>
      </c>
      <c r="F398" t="s">
        <v>584</v>
      </c>
      <c r="G398" s="40" t="str">
        <f>_xlfn.XLOOKUP(PROPERTIES[[#This Row],[COUNTRY]],COUNTRIES[COUNTRY_DESCRIPTION],COUNTRIES[COUNTRY_LABEL],"")</f>
        <v>DE</v>
      </c>
      <c r="H398" t="str" cm="1">
        <f t="array" ref="H3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8" t="s">
        <v>17</v>
      </c>
      <c r="J398">
        <v>0</v>
      </c>
      <c r="K398">
        <v>8</v>
      </c>
      <c r="L398">
        <v>0</v>
      </c>
      <c r="M398" t="str" cm="1">
        <f t="array" ref="M3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8">
        <f>_xlfn.XLOOKUP("LOADINGSPEEDDEF_"&amp;PROPERTIES[[#This Row],[LOADINGSPEED]],LOADINGSPEEDDEF[TYPE],LOADINGSPEEDDEF[SPEED])</f>
        <v>20</v>
      </c>
      <c r="O398" cm="1">
        <f t="array" ref="O3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8">
        <f>IF(ISNUMBER(SEARCH("passenger",PROPERTIES[[#This Row],[CARGODEF]])),1,0)</f>
        <v>0</v>
      </c>
      <c r="Q398" s="23">
        <v>124</v>
      </c>
      <c r="R398">
        <v>2230</v>
      </c>
      <c r="S398">
        <v>0</v>
      </c>
      <c r="T398">
        <v>0</v>
      </c>
      <c r="U398">
        <v>0</v>
      </c>
      <c r="V398">
        <v>55</v>
      </c>
      <c r="W398">
        <v>0</v>
      </c>
      <c r="X398">
        <v>0</v>
      </c>
      <c r="Y398">
        <v>0</v>
      </c>
      <c r="Z398" s="20">
        <v>294</v>
      </c>
      <c r="AA398" s="19">
        <f>IFERROR(PROPERTIES[[#This Row],[TE_STARTING_KN]]/(PROPERTIES[[#This Row],[WEIGHT]]*9.81),0)</f>
        <v>0.24168886258261812</v>
      </c>
      <c r="AB398" s="19">
        <v>0</v>
      </c>
      <c r="AC398" s="16">
        <f>ROUND(IF(IFERROR(PROPERTIES[[#This Row],[TE_COEFFICIENT_CALC]],0)=0,PROPERTIES[[#This Row],[TE_COEFFICIENT_MANUAL]],PROPERTIES[[#This Row],[TE_COEFFICIENT_CALC]]),3)</f>
        <v>0.24199999999999999</v>
      </c>
      <c r="AD398" s="8" cm="1">
        <f t="array" ref="AD3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98" s="26">
        <v>0</v>
      </c>
      <c r="AF398" s="6">
        <v>0</v>
      </c>
      <c r="AG398" t="s">
        <v>230</v>
      </c>
      <c r="AH398" t="s">
        <v>229</v>
      </c>
      <c r="AI398" t="s">
        <v>229</v>
      </c>
      <c r="AJ398" s="2" t="s">
        <v>229</v>
      </c>
      <c r="AK398" s="2" t="s">
        <v>244</v>
      </c>
      <c r="AL39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8" s="2" t="str">
        <f>SUBSTITUTE(SUBSTITUTE(PROPERTIES[[#This Row],[PURCHASECOST_VALUE]], "PURCHASECOST_", ""), "_VALUE", "")</f>
        <v>ELECTRICENGINE</v>
      </c>
      <c r="AO398" s="44" t="b">
        <v>0</v>
      </c>
      <c r="AP398" s="48" t="b">
        <v>0</v>
      </c>
      <c r="AQ398" s="48" t="b">
        <v>0</v>
      </c>
      <c r="AR398" s="48">
        <v>0</v>
      </c>
      <c r="AS398" s="48" t="b">
        <v>0</v>
      </c>
      <c r="AT398" s="7" t="b">
        <v>0</v>
      </c>
      <c r="AU398" s="40" t="str" cm="1">
        <f t="array" ref="AU398">_xlfn.XLOOKUP(PROPERTIES[[#This Row],[VEHIDCODE]],GRAPHICS_PROPERTIES[VEHIDCODE],GRAPHICS_PROPERTIES[TEMPLATE_ID]&amp;GRAPHICS_PROPERTIES[TEMPLATE_AMENDMENT_CODE])</f>
        <v>TPL_01A</v>
      </c>
    </row>
    <row r="399" spans="1:47" x14ac:dyDescent="0.35">
      <c r="A399" s="2" t="s">
        <v>3033</v>
      </c>
      <c r="B399">
        <v>1954</v>
      </c>
      <c r="C399">
        <v>1973</v>
      </c>
      <c r="D399" cm="1">
        <f t="array" ref="D3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9" s="40" t="str">
        <f>_xlfn.XLOOKUP(PROPERTIES[[#This Row],[VEHIDCODE]],CONTROL[VEHIDCODE],CONTROL[ENGLISH])</f>
        <v>SLM Ce 4/4</v>
      </c>
      <c r="F399" t="s">
        <v>570</v>
      </c>
      <c r="G399" s="40" t="str">
        <f>_xlfn.XLOOKUP(PROPERTIES[[#This Row],[COUNTRY]],COUNTRIES[COUNTRY_DESCRIPTION],COUNTRIES[COUNTRY_LABEL],"")</f>
        <v>CH</v>
      </c>
      <c r="H399" t="str" cm="1">
        <f t="array" ref="H3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9" t="s">
        <v>17</v>
      </c>
      <c r="J399">
        <v>0</v>
      </c>
      <c r="K399">
        <v>5</v>
      </c>
      <c r="L399">
        <v>0</v>
      </c>
      <c r="M399" t="str" cm="1">
        <f t="array" ref="M3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9">
        <f>_xlfn.XLOOKUP("LOADINGSPEEDDEF_"&amp;PROPERTIES[[#This Row],[LOADINGSPEED]],LOADINGSPEEDDEF[TYPE],LOADINGSPEEDDEF[SPEED])</f>
        <v>20</v>
      </c>
      <c r="O399" cm="1">
        <f t="array" ref="O3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9">
        <f>IF(ISNUMBER(SEARCH("passenger",PROPERTIES[[#This Row],[CARGODEF]])),1,0)</f>
        <v>0</v>
      </c>
      <c r="Q399" s="23">
        <v>70</v>
      </c>
      <c r="R399">
        <v>1000</v>
      </c>
      <c r="S399">
        <v>0</v>
      </c>
      <c r="T399">
        <v>0</v>
      </c>
      <c r="U399">
        <v>0</v>
      </c>
      <c r="V399">
        <v>65</v>
      </c>
      <c r="W399">
        <v>0</v>
      </c>
      <c r="X399">
        <v>0</v>
      </c>
      <c r="Y399">
        <v>0</v>
      </c>
      <c r="Z399" s="20">
        <v>74</v>
      </c>
      <c r="AA399" s="19">
        <f>IFERROR(PROPERTIES[[#This Row],[TE_STARTING_KN]]/(PROPERTIES[[#This Row],[WEIGHT]]*9.81),0)</f>
        <v>0.10776175913790592</v>
      </c>
      <c r="AB399" s="19">
        <v>0</v>
      </c>
      <c r="AC399" s="16">
        <f>ROUND(IF(IFERROR(PROPERTIES[[#This Row],[TE_COEFFICIENT_CALC]],0)=0,PROPERTIES[[#This Row],[TE_COEFFICIENT_MANUAL]],PROPERTIES[[#This Row],[TE_COEFFICIENT_CALC]]),3)</f>
        <v>0.108</v>
      </c>
      <c r="AD399" s="8" cm="1">
        <f t="array" ref="AD3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99" s="26">
        <v>0</v>
      </c>
      <c r="AF399" s="6">
        <v>0</v>
      </c>
      <c r="AG399" t="s">
        <v>230</v>
      </c>
      <c r="AH399" t="s">
        <v>229</v>
      </c>
      <c r="AI399" t="s">
        <v>229</v>
      </c>
      <c r="AJ399" s="2" t="s">
        <v>229</v>
      </c>
      <c r="AK399" s="2" t="s">
        <v>244</v>
      </c>
      <c r="AL39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9" s="2" t="str">
        <f>SUBSTITUTE(SUBSTITUTE(PROPERTIES[[#This Row],[PURCHASECOST_VALUE]], "PURCHASECOST_", ""), "_VALUE", "")</f>
        <v>ELECTRICENGINE</v>
      </c>
      <c r="AO399" s="44" t="b">
        <v>0</v>
      </c>
      <c r="AP399" s="48" t="b">
        <v>0</v>
      </c>
      <c r="AQ399" s="48" t="b">
        <v>0</v>
      </c>
      <c r="AR399" s="48">
        <v>0</v>
      </c>
      <c r="AS399" s="48" t="b">
        <v>0</v>
      </c>
      <c r="AT399" s="7" t="b">
        <v>0</v>
      </c>
      <c r="AU399" s="40" t="str" cm="1">
        <f t="array" ref="AU399">_xlfn.XLOOKUP(PROPERTIES[[#This Row],[VEHIDCODE]],GRAPHICS_PROPERTIES[VEHIDCODE],GRAPHICS_PROPERTIES[TEMPLATE_ID]&amp;GRAPHICS_PROPERTIES[TEMPLATE_AMENDMENT_CODE])</f>
        <v>TPL_01A</v>
      </c>
    </row>
    <row r="400" spans="1:47" x14ac:dyDescent="0.35">
      <c r="A400" s="2" t="s">
        <v>3034</v>
      </c>
      <c r="B400">
        <v>1955</v>
      </c>
      <c r="C400">
        <v>2013</v>
      </c>
      <c r="D400" cm="1">
        <f t="array" ref="D4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0" s="40" t="str">
        <f>_xlfn.XLOOKUP(PROPERTIES[[#This Row],[VEHIDCODE]],CONTROL[VEHIDCODE],CONTROL[ENGLISH])</f>
        <v>SLM Ae 6/6</v>
      </c>
      <c r="F400" t="s">
        <v>570</v>
      </c>
      <c r="G400" s="40" t="str">
        <f>_xlfn.XLOOKUP(PROPERTIES[[#This Row],[COUNTRY]],COUNTRIES[COUNTRY_DESCRIPTION],COUNTRIES[COUNTRY_LABEL],"")</f>
        <v>CH</v>
      </c>
      <c r="H400" t="str" cm="1">
        <f t="array" ref="H4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0" t="s">
        <v>17</v>
      </c>
      <c r="J400">
        <v>0</v>
      </c>
      <c r="K400">
        <v>8</v>
      </c>
      <c r="L400">
        <v>0</v>
      </c>
      <c r="M400" t="str" cm="1">
        <f t="array" ref="M4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0">
        <f>_xlfn.XLOOKUP("LOADINGSPEEDDEF_"&amp;PROPERTIES[[#This Row],[LOADINGSPEED]],LOADINGSPEEDDEF[TYPE],LOADINGSPEEDDEF[SPEED])</f>
        <v>20</v>
      </c>
      <c r="O400" cm="1">
        <f t="array" ref="O4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0">
        <f>IF(ISNUMBER(SEARCH("passenger",PROPERTIES[[#This Row],[CARGODEF]])),1,0)</f>
        <v>0</v>
      </c>
      <c r="Q400" s="23">
        <v>120</v>
      </c>
      <c r="R400">
        <v>5770</v>
      </c>
      <c r="S400">
        <v>0</v>
      </c>
      <c r="T400">
        <v>0</v>
      </c>
      <c r="U400">
        <v>0</v>
      </c>
      <c r="V400">
        <v>120</v>
      </c>
      <c r="W400">
        <v>0</v>
      </c>
      <c r="X400">
        <v>0</v>
      </c>
      <c r="Y400">
        <v>0</v>
      </c>
      <c r="Z400" s="20">
        <v>392</v>
      </c>
      <c r="AA400" s="19">
        <f>IFERROR(PROPERTIES[[#This Row],[TE_STARTING_KN]]/(PROPERTIES[[#This Row],[WEIGHT]]*9.81),0)</f>
        <v>0.3329935440027183</v>
      </c>
      <c r="AB400" s="19">
        <v>0</v>
      </c>
      <c r="AC400" s="16">
        <f>ROUND(IF(IFERROR(PROPERTIES[[#This Row],[TE_COEFFICIENT_CALC]],0)=0,PROPERTIES[[#This Row],[TE_COEFFICIENT_MANUAL]],PROPERTIES[[#This Row],[TE_COEFFICIENT_CALC]]),3)</f>
        <v>0.33300000000000002</v>
      </c>
      <c r="AD400" s="8" cm="1">
        <f t="array" ref="AD4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400" s="26">
        <v>0</v>
      </c>
      <c r="AF400" s="6">
        <v>0</v>
      </c>
      <c r="AG400" t="s">
        <v>230</v>
      </c>
      <c r="AH400" t="s">
        <v>229</v>
      </c>
      <c r="AI400" t="s">
        <v>229</v>
      </c>
      <c r="AJ400" s="2" t="s">
        <v>229</v>
      </c>
      <c r="AK400" s="2" t="s">
        <v>244</v>
      </c>
      <c r="AL40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0" s="2" t="str">
        <f>SUBSTITUTE(SUBSTITUTE(PROPERTIES[[#This Row],[PURCHASECOST_VALUE]], "PURCHASECOST_", ""), "_VALUE", "")</f>
        <v>ELECTRICENGINE</v>
      </c>
      <c r="AO400" s="44" t="b">
        <v>0</v>
      </c>
      <c r="AP400" s="48" t="b">
        <v>0</v>
      </c>
      <c r="AQ400" s="48" t="b">
        <v>0</v>
      </c>
      <c r="AR400" s="48">
        <v>0</v>
      </c>
      <c r="AS400" s="48" t="b">
        <v>0</v>
      </c>
      <c r="AT400" s="7" t="b">
        <v>0</v>
      </c>
      <c r="AU400" s="40" t="str" cm="1">
        <f t="array" ref="AU400">_xlfn.XLOOKUP(PROPERTIES[[#This Row],[VEHIDCODE]],GRAPHICS_PROPERTIES[VEHIDCODE],GRAPHICS_PROPERTIES[TEMPLATE_ID]&amp;GRAPHICS_PROPERTIES[TEMPLATE_AMENDMENT_CODE])</f>
        <v>TPL_01A</v>
      </c>
    </row>
    <row r="401" spans="1:47" x14ac:dyDescent="0.35">
      <c r="A401" s="2" t="s">
        <v>3035</v>
      </c>
      <c r="B401">
        <v>1991</v>
      </c>
      <c r="C401">
        <v>2017</v>
      </c>
      <c r="D401" cm="1">
        <f t="array" ref="D4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1" s="40" t="str">
        <f>_xlfn.XLOOKUP(PROPERTIES[[#This Row],[VEHIDCODE]],CONTROL[VEHIDCODE],CONTROL[ENGLISH])</f>
        <v>SLM-ABB Lok 2000</v>
      </c>
      <c r="F401" t="s">
        <v>570</v>
      </c>
      <c r="G401" s="40" t="str">
        <f>_xlfn.XLOOKUP(PROPERTIES[[#This Row],[COUNTRY]],COUNTRIES[COUNTRY_DESCRIPTION],COUNTRIES[COUNTRY_LABEL],"")</f>
        <v>CH</v>
      </c>
      <c r="H401" t="str" cm="1">
        <f t="array" ref="H4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1" t="s">
        <v>17</v>
      </c>
      <c r="J401">
        <v>0</v>
      </c>
      <c r="K401">
        <v>8</v>
      </c>
      <c r="L401">
        <v>0</v>
      </c>
      <c r="M401" t="str" cm="1">
        <f t="array" ref="M4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1">
        <f>_xlfn.XLOOKUP("LOADINGSPEEDDEF_"&amp;PROPERTIES[[#This Row],[LOADINGSPEED]],LOADINGSPEEDDEF[TYPE],LOADINGSPEEDDEF[SPEED])</f>
        <v>20</v>
      </c>
      <c r="O401" t="str" cm="1">
        <f t="array" ref="O4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01">
        <f>IF(ISNUMBER(SEARCH("passenger",PROPERTIES[[#This Row],[CARGODEF]])),1,0)</f>
        <v>0</v>
      </c>
      <c r="Q401" s="23">
        <v>84</v>
      </c>
      <c r="R401">
        <v>7510</v>
      </c>
      <c r="S401">
        <v>0</v>
      </c>
      <c r="T401">
        <v>0</v>
      </c>
      <c r="U401">
        <v>0</v>
      </c>
      <c r="V401">
        <v>230</v>
      </c>
      <c r="W401">
        <v>0</v>
      </c>
      <c r="X401">
        <v>0</v>
      </c>
      <c r="Y401">
        <v>0</v>
      </c>
      <c r="Z401" s="20">
        <v>300</v>
      </c>
      <c r="AA401" s="19">
        <f>IFERROR(PROPERTIES[[#This Row],[TE_STARTING_KN]]/(PROPERTIES[[#This Row],[WEIGHT]]*9.81),0)</f>
        <v>0.36405999708752002</v>
      </c>
      <c r="AB401" s="19">
        <v>0</v>
      </c>
      <c r="AC401" s="16">
        <f>ROUND(IF(IFERROR(PROPERTIES[[#This Row],[TE_COEFFICIENT_CALC]],0)=0,PROPERTIES[[#This Row],[TE_COEFFICIENT_MANUAL]],PROPERTIES[[#This Row],[TE_COEFFICIENT_CALC]]),3)</f>
        <v>0.36399999999999999</v>
      </c>
      <c r="AD401" s="8" cm="1">
        <f t="array" ref="AD4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01" s="26">
        <v>0</v>
      </c>
      <c r="AF401" s="6">
        <v>0</v>
      </c>
      <c r="AG401" t="s">
        <v>1950</v>
      </c>
      <c r="AH401" t="s">
        <v>238</v>
      </c>
      <c r="AI401" t="s">
        <v>229</v>
      </c>
      <c r="AJ401" s="2" t="s">
        <v>229</v>
      </c>
      <c r="AK401" s="2" t="s">
        <v>244</v>
      </c>
      <c r="AL40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1" s="2" t="str">
        <f>SUBSTITUTE(SUBSTITUTE(PROPERTIES[[#This Row],[PURCHASECOST_VALUE]], "PURCHASECOST_", ""), "_VALUE", "")</f>
        <v>ELECTRICENGINE</v>
      </c>
      <c r="AO401" s="44" t="b">
        <v>0</v>
      </c>
      <c r="AP401" s="48" t="b">
        <v>0</v>
      </c>
      <c r="AQ401" s="48" t="b">
        <v>0</v>
      </c>
      <c r="AR401" s="48">
        <v>0</v>
      </c>
      <c r="AS401" s="48" t="b">
        <v>0</v>
      </c>
      <c r="AT401" s="7" t="b">
        <v>0</v>
      </c>
      <c r="AU401" s="40" t="str" cm="1">
        <f t="array" ref="AU401">_xlfn.XLOOKUP(PROPERTIES[[#This Row],[VEHIDCODE]],GRAPHICS_PROPERTIES[VEHIDCODE],GRAPHICS_PROPERTIES[TEMPLATE_ID]&amp;GRAPHICS_PROPERTIES[TEMPLATE_AMENDMENT_CODE])</f>
        <v>TPL_01A</v>
      </c>
    </row>
    <row r="402" spans="1:47" x14ac:dyDescent="0.35">
      <c r="A402" s="2" t="s">
        <v>3036</v>
      </c>
      <c r="B402">
        <v>2012</v>
      </c>
      <c r="D402" cm="1">
        <f t="array" ref="D4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2" s="40" t="str">
        <f>_xlfn.XLOOKUP(PROPERTIES[[#This Row],[VEHIDCODE]],CONTROL[VEHIDCODE],CONTROL[ENGLISH])</f>
        <v>Stadler Butler Eem 923</v>
      </c>
      <c r="F402" t="s">
        <v>570</v>
      </c>
      <c r="G402" s="40" t="str">
        <f>_xlfn.XLOOKUP(PROPERTIES[[#This Row],[COUNTRY]],COUNTRIES[COUNTRY_DESCRIPTION],COUNTRIES[COUNTRY_LABEL],"")</f>
        <v>CH</v>
      </c>
      <c r="H402" t="str" cm="1">
        <f t="array" ref="H4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2" t="s">
        <v>17</v>
      </c>
      <c r="J402">
        <v>0</v>
      </c>
      <c r="K402">
        <v>5</v>
      </c>
      <c r="L402">
        <v>0</v>
      </c>
      <c r="M402" t="str" cm="1">
        <f t="array" ref="M4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2">
        <f>_xlfn.XLOOKUP("LOADINGSPEEDDEF_"&amp;PROPERTIES[[#This Row],[LOADINGSPEED]],LOADINGSPEEDDEF[TYPE],LOADINGSPEEDDEF[SPEED])</f>
        <v>20</v>
      </c>
      <c r="O402" t="str" cm="1">
        <f t="array" ref="O4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02">
        <f>IF(ISNUMBER(SEARCH("passenger",PROPERTIES[[#This Row],[CARGODEF]])),1,0)</f>
        <v>0</v>
      </c>
      <c r="Q402" s="23">
        <v>45</v>
      </c>
      <c r="R402">
        <v>2012</v>
      </c>
      <c r="S402">
        <v>0</v>
      </c>
      <c r="T402">
        <v>0</v>
      </c>
      <c r="U402">
        <v>389</v>
      </c>
      <c r="V402">
        <v>120</v>
      </c>
      <c r="W402">
        <v>0</v>
      </c>
      <c r="X402">
        <v>0</v>
      </c>
      <c r="Y402">
        <v>120</v>
      </c>
      <c r="Z402" s="20">
        <v>150</v>
      </c>
      <c r="AA402" s="19">
        <f>IFERROR(PROPERTIES[[#This Row],[TE_STARTING_KN]]/(PROPERTIES[[#This Row],[WEIGHT]]*9.81),0)</f>
        <v>0.33978933061501865</v>
      </c>
      <c r="AB402" s="19">
        <v>0</v>
      </c>
      <c r="AC402" s="16">
        <f>ROUND(IF(IFERROR(PROPERTIES[[#This Row],[TE_COEFFICIENT_CALC]],0)=0,PROPERTIES[[#This Row],[TE_COEFFICIENT_MANUAL]],PROPERTIES[[#This Row],[TE_COEFFICIENT_CALC]]),3)</f>
        <v>0.34</v>
      </c>
      <c r="AD402" s="8" cm="1">
        <f t="array" ref="AD4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02" s="26">
        <v>0</v>
      </c>
      <c r="AF402" s="6">
        <v>0</v>
      </c>
      <c r="AG402" t="s">
        <v>230</v>
      </c>
      <c r="AH402" t="s">
        <v>229</v>
      </c>
      <c r="AI402" t="s">
        <v>229</v>
      </c>
      <c r="AJ402" s="2" t="s">
        <v>229</v>
      </c>
      <c r="AK402" s="2" t="s">
        <v>244</v>
      </c>
      <c r="AL40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2" s="2" t="str">
        <f>SUBSTITUTE(SUBSTITUTE(PROPERTIES[[#This Row],[PURCHASECOST_VALUE]], "PURCHASECOST_", ""), "_VALUE", "")</f>
        <v>ELECTRICENGINE</v>
      </c>
      <c r="AO402" s="44" t="s">
        <v>3645</v>
      </c>
      <c r="AP402" s="48" t="b">
        <v>0</v>
      </c>
      <c r="AQ402" s="48" t="b">
        <v>0</v>
      </c>
      <c r="AR402" s="48">
        <v>0</v>
      </c>
      <c r="AS402" s="48" t="b">
        <v>0</v>
      </c>
      <c r="AT402" s="7" t="b">
        <v>0</v>
      </c>
      <c r="AU402" s="40" t="str" cm="1">
        <f t="array" ref="AU402">_xlfn.XLOOKUP(PROPERTIES[[#This Row],[VEHIDCODE]],GRAPHICS_PROPERTIES[VEHIDCODE],GRAPHICS_PROPERTIES[TEMPLATE_ID]&amp;GRAPHICS_PROPERTIES[TEMPLATE_AMENDMENT_CODE])</f>
        <v>TPL_01A</v>
      </c>
    </row>
    <row r="403" spans="1:47" x14ac:dyDescent="0.35">
      <c r="A403" s="2" t="s">
        <v>3037</v>
      </c>
      <c r="B403">
        <v>1974</v>
      </c>
      <c r="C403">
        <v>2018</v>
      </c>
      <c r="D403" cm="1">
        <f t="array" ref="D4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3" s="40" t="str">
        <f>_xlfn.XLOOKUP(PROPERTIES[[#This Row],[VEHIDCODE]],CONTROL[VEHIDCODE],CONTROL[ENGLISH])</f>
        <v>SGP 1044</v>
      </c>
      <c r="F403" t="s">
        <v>540</v>
      </c>
      <c r="G403" s="40" t="str">
        <f>_xlfn.XLOOKUP(PROPERTIES[[#This Row],[COUNTRY]],COUNTRIES[COUNTRY_DESCRIPTION],COUNTRIES[COUNTRY_LABEL],"")</f>
        <v>AT</v>
      </c>
      <c r="H403" t="str" cm="1">
        <f t="array" ref="H4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3" t="s">
        <v>17</v>
      </c>
      <c r="J403">
        <v>0</v>
      </c>
      <c r="K403">
        <v>8</v>
      </c>
      <c r="L403">
        <v>0</v>
      </c>
      <c r="M403" t="str" cm="1">
        <f t="array" ref="M4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3">
        <f>_xlfn.XLOOKUP("LOADINGSPEEDDEF_"&amp;PROPERTIES[[#This Row],[LOADINGSPEED]],LOADINGSPEEDDEF[TYPE],LOADINGSPEEDDEF[SPEED])</f>
        <v>20</v>
      </c>
      <c r="O403" cm="1">
        <f t="array" ref="O4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3">
        <f>IF(ISNUMBER(SEARCH("passenger",PROPERTIES[[#This Row],[CARGODEF]])),1,0)</f>
        <v>0</v>
      </c>
      <c r="Q403" s="23">
        <v>84</v>
      </c>
      <c r="R403">
        <v>6970</v>
      </c>
      <c r="S403">
        <v>0</v>
      </c>
      <c r="T403">
        <v>0</v>
      </c>
      <c r="U403">
        <v>0</v>
      </c>
      <c r="V403">
        <v>160</v>
      </c>
      <c r="W403">
        <v>0</v>
      </c>
      <c r="X403">
        <v>0</v>
      </c>
      <c r="Y403">
        <v>0</v>
      </c>
      <c r="Z403" s="20">
        <v>341</v>
      </c>
      <c r="AA403" s="19">
        <f>IFERROR(PROPERTIES[[#This Row],[TE_STARTING_KN]]/(PROPERTIES[[#This Row],[WEIGHT]]*9.81),0)</f>
        <v>0.4138148633561477</v>
      </c>
      <c r="AB403" s="19">
        <v>0</v>
      </c>
      <c r="AC403" s="16">
        <f>ROUND(IF(IFERROR(PROPERTIES[[#This Row],[TE_COEFFICIENT_CALC]],0)=0,PROPERTIES[[#This Row],[TE_COEFFICIENT_MANUAL]],PROPERTIES[[#This Row],[TE_COEFFICIENT_CALC]]),3)</f>
        <v>0.41399999999999998</v>
      </c>
      <c r="AD403" s="8" cm="1">
        <f t="array" ref="AD4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44</v>
      </c>
      <c r="AE403" s="26">
        <v>0</v>
      </c>
      <c r="AF403" s="6">
        <v>0</v>
      </c>
      <c r="AG403" t="s">
        <v>230</v>
      </c>
      <c r="AH403" t="s">
        <v>229</v>
      </c>
      <c r="AI403" t="s">
        <v>229</v>
      </c>
      <c r="AJ403" s="2" t="s">
        <v>229</v>
      </c>
      <c r="AK403" s="2" t="s">
        <v>244</v>
      </c>
      <c r="AL40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3" s="2" t="str">
        <f>SUBSTITUTE(SUBSTITUTE(PROPERTIES[[#This Row],[PURCHASECOST_VALUE]], "PURCHASECOST_", ""), "_VALUE", "")</f>
        <v>ELECTRICENGINE</v>
      </c>
      <c r="AO403" s="44" t="b">
        <v>0</v>
      </c>
      <c r="AP403" s="48" t="b">
        <v>0</v>
      </c>
      <c r="AQ403" s="48" t="b">
        <v>0</v>
      </c>
      <c r="AR403" s="48">
        <v>0</v>
      </c>
      <c r="AS403" s="48" t="b">
        <v>0</v>
      </c>
      <c r="AT403" s="7" t="b">
        <v>0</v>
      </c>
      <c r="AU403" s="40" t="str" cm="1">
        <f t="array" ref="AU403">_xlfn.XLOOKUP(PROPERTIES[[#This Row],[VEHIDCODE]],GRAPHICS_PROPERTIES[VEHIDCODE],GRAPHICS_PROPERTIES[TEMPLATE_ID]&amp;GRAPHICS_PROPERTIES[TEMPLATE_AMENDMENT_CODE])</f>
        <v>TPL_01A</v>
      </c>
    </row>
    <row r="404" spans="1:47" x14ac:dyDescent="0.35">
      <c r="A404" s="2" t="s">
        <v>3038</v>
      </c>
      <c r="B404">
        <v>1982</v>
      </c>
      <c r="C404">
        <v>2021</v>
      </c>
      <c r="D404" cm="1">
        <f t="array" ref="D4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4" s="40" t="str">
        <f>_xlfn.XLOOKUP(PROPERTIES[[#This Row],[VEHIDCODE]],CONTROL[VEHIDCODE],CONTROL[ENGLISH])</f>
        <v>SGP 1063</v>
      </c>
      <c r="F404" t="s">
        <v>540</v>
      </c>
      <c r="G404" s="40" t="str">
        <f>_xlfn.XLOOKUP(PROPERTIES[[#This Row],[COUNTRY]],COUNTRIES[COUNTRY_DESCRIPTION],COUNTRIES[COUNTRY_LABEL],"")</f>
        <v>AT</v>
      </c>
      <c r="H404" t="str" cm="1">
        <f t="array" ref="H4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4" t="s">
        <v>17</v>
      </c>
      <c r="J404">
        <v>0</v>
      </c>
      <c r="K404">
        <v>8</v>
      </c>
      <c r="L404">
        <v>0</v>
      </c>
      <c r="M404" t="str" cm="1">
        <f t="array" ref="M4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4">
        <f>_xlfn.XLOOKUP("LOADINGSPEEDDEF_"&amp;PROPERTIES[[#This Row],[LOADINGSPEED]],LOADINGSPEEDDEF[TYPE],LOADINGSPEEDDEF[SPEED])</f>
        <v>20</v>
      </c>
      <c r="O404" cm="1">
        <f t="array" ref="O4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4">
        <f>IF(ISNUMBER(SEARCH("passenger",PROPERTIES[[#This Row],[CARGODEF]])),1,0)</f>
        <v>0</v>
      </c>
      <c r="Q404" s="23">
        <v>82</v>
      </c>
      <c r="R404">
        <v>2680</v>
      </c>
      <c r="S404">
        <v>0</v>
      </c>
      <c r="T404">
        <v>0</v>
      </c>
      <c r="U404">
        <v>0</v>
      </c>
      <c r="V404">
        <v>100</v>
      </c>
      <c r="W404">
        <v>0</v>
      </c>
      <c r="X404">
        <v>0</v>
      </c>
      <c r="Y404">
        <v>0</v>
      </c>
      <c r="Z404" s="20">
        <v>260</v>
      </c>
      <c r="AA404" s="19">
        <f>IFERROR(PROPERTIES[[#This Row],[TE_STARTING_KN]]/(PROPERTIES[[#This Row],[WEIGHT]]*9.81),0)</f>
        <v>0.32321424131672505</v>
      </c>
      <c r="AB404" s="19">
        <v>0</v>
      </c>
      <c r="AC404" s="16">
        <f>ROUND(IF(IFERROR(PROPERTIES[[#This Row],[TE_COEFFICIENT_CALC]],0)=0,PROPERTIES[[#This Row],[TE_COEFFICIENT_MANUAL]],PROPERTIES[[#This Row],[TE_COEFFICIENT_CALC]]),3)</f>
        <v>0.32300000000000001</v>
      </c>
      <c r="AD404" s="8" cm="1">
        <f t="array" ref="AD4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04" s="26">
        <v>0</v>
      </c>
      <c r="AF404" s="6">
        <v>0</v>
      </c>
      <c r="AG404" t="s">
        <v>230</v>
      </c>
      <c r="AH404" t="s">
        <v>229</v>
      </c>
      <c r="AI404" t="s">
        <v>229</v>
      </c>
      <c r="AJ404" s="2" t="s">
        <v>229</v>
      </c>
      <c r="AK404" s="2" t="s">
        <v>244</v>
      </c>
      <c r="AL40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4" s="2" t="str">
        <f>SUBSTITUTE(SUBSTITUTE(PROPERTIES[[#This Row],[PURCHASECOST_VALUE]], "PURCHASECOST_", ""), "_VALUE", "")</f>
        <v>ELECTRICENGINE</v>
      </c>
      <c r="AO404" s="44" t="b">
        <v>0</v>
      </c>
      <c r="AP404" s="48" t="b">
        <v>0</v>
      </c>
      <c r="AQ404" s="48" t="b">
        <v>0</v>
      </c>
      <c r="AR404" s="48">
        <v>0</v>
      </c>
      <c r="AS404" s="48" t="b">
        <v>0</v>
      </c>
      <c r="AT404" s="7" t="b">
        <v>0</v>
      </c>
      <c r="AU404" s="40" t="str" cm="1">
        <f t="array" ref="AU404">_xlfn.XLOOKUP(PROPERTIES[[#This Row],[VEHIDCODE]],GRAPHICS_PROPERTIES[VEHIDCODE],GRAPHICS_PROPERTIES[TEMPLATE_ID]&amp;GRAPHICS_PROPERTIES[TEMPLATE_AMENDMENT_CODE])</f>
        <v>TPL_01A</v>
      </c>
    </row>
    <row r="405" spans="1:47" x14ac:dyDescent="0.35">
      <c r="A405" s="2" t="s">
        <v>3039</v>
      </c>
      <c r="B405">
        <v>1953</v>
      </c>
      <c r="C405">
        <v>1991</v>
      </c>
      <c r="D405" cm="1">
        <f t="array" ref="D4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5" s="40" t="str">
        <f>_xlfn.XLOOKUP(PROPERTIES[[#This Row],[VEHIDCODE]],CONTROL[VEHIDCODE],CONTROL[ENGLISH])</f>
        <v>ASEA Dm3</v>
      </c>
      <c r="F405" t="s">
        <v>722</v>
      </c>
      <c r="G405" s="40" t="str">
        <f>_xlfn.XLOOKUP(PROPERTIES[[#This Row],[COUNTRY]],COUNTRIES[COUNTRY_DESCRIPTION],COUNTRIES[COUNTRY_LABEL],"")</f>
        <v>SE</v>
      </c>
      <c r="H405" t="str" cm="1">
        <f t="array" ref="H4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5" t="s">
        <v>17</v>
      </c>
      <c r="J405">
        <v>0</v>
      </c>
      <c r="K405">
        <v>7</v>
      </c>
      <c r="L405">
        <v>6</v>
      </c>
      <c r="M405" t="str" cm="1">
        <f t="array" ref="M4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5">
        <f>_xlfn.XLOOKUP("LOADINGSPEEDDEF_"&amp;PROPERTIES[[#This Row],[LOADINGSPEED]],LOADINGSPEEDDEF[TYPE],LOADINGSPEEDDEF[SPEED])</f>
        <v>20</v>
      </c>
      <c r="O405" cm="1">
        <f t="array" ref="O4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5">
        <f>IF(ISNUMBER(SEARCH("passenger",PROPERTIES[[#This Row],[CARGODEF]])),1,0)</f>
        <v>0</v>
      </c>
      <c r="Q405" s="23">
        <v>273</v>
      </c>
      <c r="R405">
        <v>9700</v>
      </c>
      <c r="S405">
        <v>0</v>
      </c>
      <c r="T405">
        <v>0</v>
      </c>
      <c r="U405">
        <v>0</v>
      </c>
      <c r="V405">
        <v>75</v>
      </c>
      <c r="W405">
        <v>0</v>
      </c>
      <c r="X405">
        <v>0</v>
      </c>
      <c r="Y405">
        <v>0</v>
      </c>
      <c r="Z405" s="20">
        <v>940</v>
      </c>
      <c r="AA405" s="19">
        <f>IFERROR(PROPERTIES[[#This Row],[TE_STARTING_KN]]/(PROPERTIES[[#This Row],[WEIGHT]]*9.81),0)</f>
        <v>0.35099117667925006</v>
      </c>
      <c r="AB405" s="19">
        <v>0</v>
      </c>
      <c r="AC405" s="16">
        <f>ROUND(IF(IFERROR(PROPERTIES[[#This Row],[TE_COEFFICIENT_CALC]],0)=0,PROPERTIES[[#This Row],[TE_COEFFICIENT_MANUAL]],PROPERTIES[[#This Row],[TE_COEFFICIENT_CALC]]),3)</f>
        <v>0.35099999999999998</v>
      </c>
      <c r="AD405" s="8" cm="1">
        <f t="array" ref="AD4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05" s="26">
        <v>0</v>
      </c>
      <c r="AF405" s="6">
        <v>7</v>
      </c>
      <c r="AG405" t="s">
        <v>234</v>
      </c>
      <c r="AH405" t="s">
        <v>229</v>
      </c>
      <c r="AI405" t="s">
        <v>229</v>
      </c>
      <c r="AJ405" s="2" t="s">
        <v>229</v>
      </c>
      <c r="AK405" s="2" t="s">
        <v>244</v>
      </c>
      <c r="AL40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5" s="2" t="str">
        <f>SUBSTITUTE(SUBSTITUTE(PROPERTIES[[#This Row],[PURCHASECOST_VALUE]], "PURCHASECOST_", ""), "_VALUE", "")</f>
        <v>ELECTRICENGINE</v>
      </c>
      <c r="AO405" s="44" t="b">
        <v>0</v>
      </c>
      <c r="AP405" s="48" t="b">
        <v>0</v>
      </c>
      <c r="AQ405" s="48" t="b">
        <v>0</v>
      </c>
      <c r="AR405" s="48">
        <v>0</v>
      </c>
      <c r="AS405" s="48" t="b">
        <v>0</v>
      </c>
      <c r="AT405" s="7" t="b">
        <v>0</v>
      </c>
      <c r="AU405" s="40" t="str" cm="1">
        <f t="array" ref="AU405">_xlfn.XLOOKUP(PROPERTIES[[#This Row],[VEHIDCODE]],GRAPHICS_PROPERTIES[VEHIDCODE],GRAPHICS_PROPERTIES[TEMPLATE_ID]&amp;GRAPHICS_PROPERTIES[TEMPLATE_AMENDMENT_CODE])</f>
        <v>TPL_17D</v>
      </c>
    </row>
    <row r="406" spans="1:47" x14ac:dyDescent="0.35">
      <c r="A406" s="2" t="s">
        <v>3040</v>
      </c>
      <c r="B406">
        <v>2000</v>
      </c>
      <c r="D406" cm="1">
        <f t="array" ref="D4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6" s="40" t="str">
        <f>_xlfn.XLOOKUP(PROPERTIES[[#This Row],[VEHIDCODE]],CONTROL[VEHIDCODE],CONTROL[ENGLISH])</f>
        <v>Bombardier Traxx H80 AC</v>
      </c>
      <c r="F406" t="s">
        <v>722</v>
      </c>
      <c r="G406" s="40" t="str">
        <f>_xlfn.XLOOKUP(PROPERTIES[[#This Row],[COUNTRY]],COUNTRIES[COUNTRY_DESCRIPTION],COUNTRIES[COUNTRY_LABEL],"")</f>
        <v>SE</v>
      </c>
      <c r="H406" t="str" cm="1">
        <f t="array" ref="H4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6" t="s">
        <v>17</v>
      </c>
      <c r="J406">
        <v>0</v>
      </c>
      <c r="K406">
        <v>8</v>
      </c>
      <c r="M406" t="str" cm="1">
        <f t="array" ref="M4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6">
        <f>_xlfn.XLOOKUP("LOADINGSPEEDDEF_"&amp;PROPERTIES[[#This Row],[LOADINGSPEED]],LOADINGSPEEDDEF[TYPE],LOADINGSPEEDDEF[SPEED])</f>
        <v>20</v>
      </c>
      <c r="O406" t="str" cm="1">
        <f t="array" ref="O4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06">
        <f>IF(ISNUMBER(SEARCH("passenger",PROPERTIES[[#This Row],[CARGODEF]])),1,0)</f>
        <v>0</v>
      </c>
      <c r="Q406" s="23">
        <f>180*2</f>
        <v>360</v>
      </c>
      <c r="R406">
        <f>7200*2</f>
        <v>14400</v>
      </c>
      <c r="S406">
        <v>0</v>
      </c>
      <c r="T406">
        <v>0</v>
      </c>
      <c r="U406">
        <v>0</v>
      </c>
      <c r="V406">
        <v>80</v>
      </c>
      <c r="W406">
        <v>0</v>
      </c>
      <c r="X406">
        <v>0</v>
      </c>
      <c r="Y406">
        <v>0</v>
      </c>
      <c r="Z406" s="20">
        <f>600*2</f>
        <v>1200</v>
      </c>
      <c r="AA406" s="19">
        <f>IFERROR(PROPERTIES[[#This Row],[TE_STARTING_KN]]/(PROPERTIES[[#This Row],[WEIGHT]]*9.81),0)</f>
        <v>0.33978933061501865</v>
      </c>
      <c r="AB406" s="19">
        <v>0</v>
      </c>
      <c r="AC406" s="16">
        <f>ROUND(IF(IFERROR(PROPERTIES[[#This Row],[TE_COEFFICIENT_CALC]],0)=0,PROPERTIES[[#This Row],[TE_COEFFICIENT_MANUAL]],PROPERTIES[[#This Row],[TE_COEFFICIENT_CALC]]),3)</f>
        <v>0.34</v>
      </c>
      <c r="AD406" s="8" cm="1">
        <f t="array" ref="AD4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06" s="26">
        <v>0</v>
      </c>
      <c r="AF406" s="6">
        <v>8</v>
      </c>
      <c r="AG406" t="s">
        <v>234</v>
      </c>
      <c r="AH406" t="s">
        <v>229</v>
      </c>
      <c r="AI406" t="s">
        <v>229</v>
      </c>
      <c r="AJ406" s="2" t="s">
        <v>229</v>
      </c>
      <c r="AK406" s="2" t="s">
        <v>244</v>
      </c>
      <c r="AL40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6" s="2" t="str">
        <f>SUBSTITUTE(SUBSTITUTE(PROPERTIES[[#This Row],[PURCHASECOST_VALUE]], "PURCHASECOST_", ""), "_VALUE", "")</f>
        <v>ELECTRICENGINE</v>
      </c>
      <c r="AO406" s="44" t="b">
        <v>0</v>
      </c>
      <c r="AP406" s="48" t="b">
        <v>0</v>
      </c>
      <c r="AQ406" s="48" t="b">
        <v>0</v>
      </c>
      <c r="AR406" s="48">
        <v>0</v>
      </c>
      <c r="AS406" s="48" t="b">
        <v>0</v>
      </c>
      <c r="AT406" s="7" t="b">
        <v>0</v>
      </c>
      <c r="AU406" s="40" t="str" cm="1">
        <f t="array" ref="AU406">_xlfn.XLOOKUP(PROPERTIES[[#This Row],[VEHIDCODE]],GRAPHICS_PROPERTIES[VEHIDCODE],GRAPHICS_PROPERTIES[TEMPLATE_ID]&amp;GRAPHICS_PROPERTIES[TEMPLATE_AMENDMENT_CODE])</f>
        <v>TPL_03D</v>
      </c>
    </row>
    <row r="407" spans="1:47" x14ac:dyDescent="0.35">
      <c r="A407" s="2" t="s">
        <v>3041</v>
      </c>
      <c r="B407">
        <v>1914</v>
      </c>
      <c r="C407">
        <v>1954</v>
      </c>
      <c r="D407" cm="1">
        <f t="array" ref="D4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7" s="40" t="str">
        <f>_xlfn.XLOOKUP(PROPERTIES[[#This Row],[VEHIDCODE]],CONTROL[VEHIDCODE],CONTROL[ENGLISH])</f>
        <v>Siemens Oa</v>
      </c>
      <c r="F407" t="s">
        <v>722</v>
      </c>
      <c r="G407" s="40" t="str">
        <f>_xlfn.XLOOKUP(PROPERTIES[[#This Row],[COUNTRY]],COUNTRIES[COUNTRY_DESCRIPTION],COUNTRIES[COUNTRY_LABEL],"")</f>
        <v>SE</v>
      </c>
      <c r="H407" t="str" cm="1">
        <f t="array" ref="H4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7" t="s">
        <v>17</v>
      </c>
      <c r="J407">
        <v>0</v>
      </c>
      <c r="K407">
        <v>6</v>
      </c>
      <c r="L407">
        <v>0</v>
      </c>
      <c r="M407" t="str" cm="1">
        <f t="array" ref="M4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7">
        <f>_xlfn.XLOOKUP("LOADINGSPEEDDEF_"&amp;PROPERTIES[[#This Row],[LOADINGSPEED]],LOADINGSPEEDDEF[TYPE],LOADINGSPEEDDEF[SPEED])</f>
        <v>20</v>
      </c>
      <c r="O407" cm="1">
        <f t="array" ref="O4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7">
        <f>IF(ISNUMBER(SEARCH("passenger",PROPERTIES[[#This Row],[CARGODEF]])),1,0)</f>
        <v>0</v>
      </c>
      <c r="Q407" s="23">
        <v>136.80000000000001</v>
      </c>
      <c r="R407">
        <v>1600</v>
      </c>
      <c r="S407">
        <v>0</v>
      </c>
      <c r="T407">
        <v>0</v>
      </c>
      <c r="U407">
        <v>0</v>
      </c>
      <c r="V407">
        <v>60</v>
      </c>
      <c r="W407">
        <v>0</v>
      </c>
      <c r="X407">
        <v>0</v>
      </c>
      <c r="Y407">
        <v>0</v>
      </c>
      <c r="Z407" s="20">
        <v>248</v>
      </c>
      <c r="AA407" s="19">
        <f>IFERROR(PROPERTIES[[#This Row],[TE_STARTING_KN]]/(PROPERTIES[[#This Row],[WEIGHT]]*9.81),0)</f>
        <v>0.18479770612395749</v>
      </c>
      <c r="AB407" s="19">
        <v>0</v>
      </c>
      <c r="AC407" s="16">
        <f>ROUND(IF(IFERROR(PROPERTIES[[#This Row],[TE_COEFFICIENT_CALC]],0)=0,PROPERTIES[[#This Row],[TE_COEFFICIENT_MANUAL]],PROPERTIES[[#This Row],[TE_COEFFICIENT_CALC]]),3)</f>
        <v>0.185</v>
      </c>
      <c r="AD407" s="8" cm="1">
        <f t="array" ref="AD4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07" s="26">
        <v>0</v>
      </c>
      <c r="AF407" s="6">
        <v>6</v>
      </c>
      <c r="AG407" t="s">
        <v>234</v>
      </c>
      <c r="AH407" t="s">
        <v>229</v>
      </c>
      <c r="AI407" t="s">
        <v>229</v>
      </c>
      <c r="AJ407" s="2" t="s">
        <v>229</v>
      </c>
      <c r="AK407" s="2" t="s">
        <v>244</v>
      </c>
      <c r="AL40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7" s="2" t="str">
        <f>SUBSTITUTE(SUBSTITUTE(PROPERTIES[[#This Row],[PURCHASECOST_VALUE]], "PURCHASECOST_", ""), "_VALUE", "")</f>
        <v>ELECTRICENGINE</v>
      </c>
      <c r="AO407" s="44" t="b">
        <v>0</v>
      </c>
      <c r="AP407" s="48" t="b">
        <v>0</v>
      </c>
      <c r="AQ407" s="48" t="b">
        <v>0</v>
      </c>
      <c r="AR407" s="48">
        <v>0</v>
      </c>
      <c r="AS407" s="48" t="b">
        <v>0</v>
      </c>
      <c r="AT407" s="7" t="b">
        <v>0</v>
      </c>
      <c r="AU407" s="40" t="str" cm="1">
        <f t="array" ref="AU407">_xlfn.XLOOKUP(PROPERTIES[[#This Row],[VEHIDCODE]],GRAPHICS_PROPERTIES[VEHIDCODE],GRAPHICS_PROPERTIES[TEMPLATE_ID]&amp;GRAPHICS_PROPERTIES[TEMPLATE_AMENDMENT_CODE])</f>
        <v>TPL_17E</v>
      </c>
    </row>
    <row r="408" spans="1:47" x14ac:dyDescent="0.35">
      <c r="A408" s="2" t="s">
        <v>3042</v>
      </c>
      <c r="B408">
        <v>1942</v>
      </c>
      <c r="C408">
        <v>1978</v>
      </c>
      <c r="D408" cm="1">
        <f t="array" ref="D4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8" s="40" t="str">
        <f>_xlfn.XLOOKUP(PROPERTIES[[#This Row],[VEHIDCODE]],CONTROL[VEHIDCODE],CONTROL[ENGLISH])</f>
        <v>ASEA F</v>
      </c>
      <c r="F408" t="s">
        <v>722</v>
      </c>
      <c r="G408" s="40" t="str">
        <f>_xlfn.XLOOKUP(PROPERTIES[[#This Row],[COUNTRY]],COUNTRIES[COUNTRY_DESCRIPTION],COUNTRIES[COUNTRY_LABEL],"")</f>
        <v>SE</v>
      </c>
      <c r="H408" t="str" cm="1">
        <f t="array" ref="H4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8" t="s">
        <v>17</v>
      </c>
      <c r="J408">
        <v>0</v>
      </c>
      <c r="K408">
        <v>8</v>
      </c>
      <c r="L408">
        <v>0</v>
      </c>
      <c r="M408" t="str" cm="1">
        <f t="array" ref="M4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8">
        <f>_xlfn.XLOOKUP("LOADINGSPEEDDEF_"&amp;PROPERTIES[[#This Row],[LOADINGSPEED]],LOADINGSPEEDDEF[TYPE],LOADINGSPEEDDEF[SPEED])</f>
        <v>20</v>
      </c>
      <c r="O408" cm="1">
        <f t="array" ref="O4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8">
        <f>IF(ISNUMBER(SEARCH("passenger",PROPERTIES[[#This Row],[CARGODEF]])),1,0)</f>
        <v>0</v>
      </c>
      <c r="Q408" s="23">
        <v>102</v>
      </c>
      <c r="R408">
        <v>3460</v>
      </c>
      <c r="S408">
        <v>0</v>
      </c>
      <c r="T408">
        <v>0</v>
      </c>
      <c r="U408">
        <v>0</v>
      </c>
      <c r="V408">
        <v>135</v>
      </c>
      <c r="W408">
        <v>0</v>
      </c>
      <c r="X408">
        <v>0</v>
      </c>
      <c r="Y408">
        <v>0</v>
      </c>
      <c r="Z408" s="20">
        <v>203</v>
      </c>
      <c r="AA408" s="19">
        <f>IFERROR(PROPERTIES[[#This Row],[TE_STARTING_KN]]/(PROPERTIES[[#This Row],[WEIGHT]]*9.81),0)</f>
        <v>0.20287421798484939</v>
      </c>
      <c r="AB408" s="19">
        <v>0</v>
      </c>
      <c r="AC408" s="16">
        <f>ROUND(IF(IFERROR(PROPERTIES[[#This Row],[TE_COEFFICIENT_CALC]],0)=0,PROPERTIES[[#This Row],[TE_COEFFICIENT_MANUAL]],PROPERTIES[[#This Row],[TE_COEFFICIENT_CALC]]),3)</f>
        <v>0.20300000000000001</v>
      </c>
      <c r="AD408" s="8" cm="1">
        <f t="array" ref="AD4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408" s="26">
        <v>0</v>
      </c>
      <c r="AF408" s="6">
        <v>0</v>
      </c>
      <c r="AG408" t="s">
        <v>234</v>
      </c>
      <c r="AH408" t="s">
        <v>229</v>
      </c>
      <c r="AI408" t="s">
        <v>229</v>
      </c>
      <c r="AJ408" s="2" t="s">
        <v>229</v>
      </c>
      <c r="AK408" s="2" t="s">
        <v>244</v>
      </c>
      <c r="AL40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8" s="2" t="str">
        <f>SUBSTITUTE(SUBSTITUTE(PROPERTIES[[#This Row],[PURCHASECOST_VALUE]], "PURCHASECOST_", ""), "_VALUE", "")</f>
        <v>ELECTRICENGINE</v>
      </c>
      <c r="AO408" s="44" t="b">
        <v>0</v>
      </c>
      <c r="AP408" s="48" t="b">
        <v>0</v>
      </c>
      <c r="AQ408" s="48" t="b">
        <v>0</v>
      </c>
      <c r="AR408" s="48">
        <v>0</v>
      </c>
      <c r="AS408" s="48" t="b">
        <v>0</v>
      </c>
      <c r="AT408" s="7" t="b">
        <v>0</v>
      </c>
      <c r="AU408" s="40" t="str" cm="1">
        <f t="array" ref="AU408">_xlfn.XLOOKUP(PROPERTIES[[#This Row],[VEHIDCODE]],GRAPHICS_PROPERTIES[VEHIDCODE],GRAPHICS_PROPERTIES[TEMPLATE_ID]&amp;GRAPHICS_PROPERTIES[TEMPLATE_AMENDMENT_CODE])</f>
        <v>TPL_01A</v>
      </c>
    </row>
    <row r="409" spans="1:47" x14ac:dyDescent="0.35">
      <c r="A409" s="2" t="s">
        <v>3043</v>
      </c>
      <c r="B409">
        <v>1982</v>
      </c>
      <c r="C409">
        <v>1997</v>
      </c>
      <c r="D409" cm="1">
        <f t="array" ref="D4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9" s="40" t="str">
        <f>_xlfn.XLOOKUP(PROPERTIES[[#This Row],[VEHIDCODE]],CONTROL[VEHIDCODE],CONTROL[ENGLISH])</f>
        <v>Thyssen-Henschel EL17</v>
      </c>
      <c r="F409" t="s">
        <v>693</v>
      </c>
      <c r="G409" s="40" t="str">
        <f>_xlfn.XLOOKUP(PROPERTIES[[#This Row],[COUNTRY]],COUNTRIES[COUNTRY_DESCRIPTION],COUNTRIES[COUNTRY_LABEL],"")</f>
        <v>NO</v>
      </c>
      <c r="H409" t="str" cm="1">
        <f t="array" ref="H4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9" t="s">
        <v>17</v>
      </c>
      <c r="J409">
        <v>0</v>
      </c>
      <c r="K409">
        <v>7</v>
      </c>
      <c r="L409">
        <v>0</v>
      </c>
      <c r="M409" t="str" cm="1">
        <f t="array" ref="M4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9">
        <f>_xlfn.XLOOKUP("LOADINGSPEEDDEF_"&amp;PROPERTIES[[#This Row],[LOADINGSPEED]],LOADINGSPEEDDEF[TYPE],LOADINGSPEEDDEF[SPEED])</f>
        <v>20</v>
      </c>
      <c r="O409" cm="1">
        <f t="array" ref="O4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9">
        <f>IF(ISNUMBER(SEARCH("passenger",PROPERTIES[[#This Row],[CARGODEF]])),1,0)</f>
        <v>0</v>
      </c>
      <c r="Q409" s="23">
        <v>64</v>
      </c>
      <c r="R409">
        <v>4000</v>
      </c>
      <c r="S409">
        <v>0</v>
      </c>
      <c r="T409">
        <v>0</v>
      </c>
      <c r="U409">
        <v>0</v>
      </c>
      <c r="V409">
        <v>150</v>
      </c>
      <c r="W409">
        <v>0</v>
      </c>
      <c r="X409">
        <v>0</v>
      </c>
      <c r="Y409">
        <v>0</v>
      </c>
      <c r="Z409" s="20">
        <v>240</v>
      </c>
      <c r="AA409" s="19">
        <f>IFERROR(PROPERTIES[[#This Row],[TE_STARTING_KN]]/(PROPERTIES[[#This Row],[WEIGHT]]*9.81),0)</f>
        <v>0.38226299694189603</v>
      </c>
      <c r="AB409" s="19">
        <v>0</v>
      </c>
      <c r="AC409" s="16">
        <f>ROUND(IF(IFERROR(PROPERTIES[[#This Row],[TE_COEFFICIENT_CALC]],0)=0,PROPERTIES[[#This Row],[TE_COEFFICIENT_MANUAL]],PROPERTIES[[#This Row],[TE_COEFFICIENT_CALC]]),3)</f>
        <v>0.38200000000000001</v>
      </c>
      <c r="AD409" s="8" cm="1">
        <f t="array" ref="AD4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09" s="26">
        <v>0</v>
      </c>
      <c r="AF409" s="6">
        <v>0</v>
      </c>
      <c r="AG409" t="s">
        <v>234</v>
      </c>
      <c r="AH409" t="s">
        <v>229</v>
      </c>
      <c r="AI409" t="s">
        <v>229</v>
      </c>
      <c r="AJ409" s="2" t="s">
        <v>229</v>
      </c>
      <c r="AK409" s="2" t="s">
        <v>244</v>
      </c>
      <c r="AL40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9" s="2" t="str">
        <f>SUBSTITUTE(SUBSTITUTE(PROPERTIES[[#This Row],[PURCHASECOST_VALUE]], "PURCHASECOST_", ""), "_VALUE", "")</f>
        <v>ELECTRICENGINE</v>
      </c>
      <c r="AO409" s="44" t="b">
        <v>0</v>
      </c>
      <c r="AP409" s="48" t="b">
        <v>0</v>
      </c>
      <c r="AQ409" s="48" t="b">
        <v>0</v>
      </c>
      <c r="AR409" s="48">
        <v>0</v>
      </c>
      <c r="AS409" s="48" t="b">
        <v>0</v>
      </c>
      <c r="AT409" s="7" t="b">
        <v>0</v>
      </c>
      <c r="AU409" s="40" t="str" cm="1">
        <f t="array" ref="AU409">_xlfn.XLOOKUP(PROPERTIES[[#This Row],[VEHIDCODE]],GRAPHICS_PROPERTIES[VEHIDCODE],GRAPHICS_PROPERTIES[TEMPLATE_ID]&amp;GRAPHICS_PROPERTIES[TEMPLATE_AMENDMENT_CODE])</f>
        <v>TPL_01A</v>
      </c>
    </row>
    <row r="410" spans="1:47" x14ac:dyDescent="0.35">
      <c r="A410" s="2" t="s">
        <v>3044</v>
      </c>
      <c r="B410">
        <v>1914</v>
      </c>
      <c r="C410">
        <v>1923</v>
      </c>
      <c r="D410" cm="1">
        <f t="array" ref="D4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0" s="40" t="str">
        <f>_xlfn.XLOOKUP(PROPERTIES[[#This Row],[VEHIDCODE]],CONTROL[VEHIDCODE],CONTROL[ENGLISH])</f>
        <v>Borsig/SSW ES 6</v>
      </c>
      <c r="F410" t="s">
        <v>584</v>
      </c>
      <c r="G410" s="40" t="str">
        <f>_xlfn.XLOOKUP(PROPERTIES[[#This Row],[COUNTRY]],COUNTRIES[COUNTRY_DESCRIPTION],COUNTRIES[COUNTRY_LABEL],"")</f>
        <v>DE</v>
      </c>
      <c r="H410" t="str" cm="1">
        <f t="array" ref="H4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0" t="s">
        <v>17</v>
      </c>
      <c r="J410">
        <v>0</v>
      </c>
      <c r="K410">
        <v>6</v>
      </c>
      <c r="L410">
        <v>0</v>
      </c>
      <c r="M410" t="str" cm="1">
        <f t="array" ref="M4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0">
        <f>_xlfn.XLOOKUP("LOADINGSPEEDDEF_"&amp;PROPERTIES[[#This Row],[LOADINGSPEED]],LOADINGSPEEDDEF[TYPE],LOADINGSPEEDDEF[SPEED])</f>
        <v>20</v>
      </c>
      <c r="O410" cm="1">
        <f t="array" ref="O4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0">
        <f>IF(ISNUMBER(SEARCH("passenger",PROPERTIES[[#This Row],[CARGODEF]])),1,0)</f>
        <v>0</v>
      </c>
      <c r="Q410" s="23">
        <v>81</v>
      </c>
      <c r="R410">
        <v>1186</v>
      </c>
      <c r="S410">
        <v>0</v>
      </c>
      <c r="T410">
        <v>0</v>
      </c>
      <c r="U410">
        <v>0</v>
      </c>
      <c r="V410">
        <v>100</v>
      </c>
      <c r="W410">
        <v>0</v>
      </c>
      <c r="X410">
        <v>0</v>
      </c>
      <c r="Y410">
        <v>0</v>
      </c>
      <c r="Z410" s="20">
        <v>81</v>
      </c>
      <c r="AA410" s="19">
        <f>IFERROR(PROPERTIES[[#This Row],[TE_STARTING_KN]]/(PROPERTIES[[#This Row],[WEIGHT]]*9.81),0)</f>
        <v>0.1019367991845056</v>
      </c>
      <c r="AB410" s="19">
        <v>0</v>
      </c>
      <c r="AC410" s="16">
        <f>ROUND(IF(IFERROR(PROPERTIES[[#This Row],[TE_COEFFICIENT_CALC]],0)=0,PROPERTIES[[#This Row],[TE_COEFFICIENT_MANUAL]],PROPERTIES[[#This Row],[TE_COEFFICIENT_CALC]]),3)</f>
        <v>0.10199999999999999</v>
      </c>
      <c r="AD410" s="8" cm="1">
        <f t="array" ref="AD4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410" s="26">
        <v>0</v>
      </c>
      <c r="AF410" s="6">
        <v>0</v>
      </c>
      <c r="AG410" t="s">
        <v>230</v>
      </c>
      <c r="AH410" t="s">
        <v>229</v>
      </c>
      <c r="AI410" t="s">
        <v>229</v>
      </c>
      <c r="AJ410" s="2" t="s">
        <v>229</v>
      </c>
      <c r="AK410" s="2" t="s">
        <v>244</v>
      </c>
      <c r="AL41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0" s="2" t="str">
        <f>SUBSTITUTE(SUBSTITUTE(PROPERTIES[[#This Row],[PURCHASECOST_VALUE]], "PURCHASECOST_", ""), "_VALUE", "")</f>
        <v>ELECTRICENGINE</v>
      </c>
      <c r="AO410" s="44" t="b">
        <v>0</v>
      </c>
      <c r="AP410" s="48" t="b">
        <v>0</v>
      </c>
      <c r="AQ410" s="48" t="b">
        <v>0</v>
      </c>
      <c r="AR410" s="48">
        <v>0</v>
      </c>
      <c r="AS410" s="48" t="b">
        <v>0</v>
      </c>
      <c r="AT410" s="7" t="b">
        <v>0</v>
      </c>
      <c r="AU410" s="40" t="str" cm="1">
        <f t="array" ref="AU410">_xlfn.XLOOKUP(PROPERTIES[[#This Row],[VEHIDCODE]],GRAPHICS_PROPERTIES[VEHIDCODE],GRAPHICS_PROPERTIES[TEMPLATE_ID]&amp;GRAPHICS_PROPERTIES[TEMPLATE_AMENDMENT_CODE])</f>
        <v>TPL_03C</v>
      </c>
    </row>
    <row r="411" spans="1:47" x14ac:dyDescent="0.35">
      <c r="A411" s="2" t="s">
        <v>3045</v>
      </c>
      <c r="B411">
        <v>1948</v>
      </c>
      <c r="C411">
        <v>1959</v>
      </c>
      <c r="D411" cm="1">
        <f t="array" ref="D4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1" s="40" t="str">
        <f>_xlfn.XLOOKUP(PROPERTIES[[#This Row],[VEHIDCODE]],CONTROL[VEHIDCODE],CONTROL[ENGLISH])</f>
        <v>GE EL-2B</v>
      </c>
      <c r="F411" t="s">
        <v>757</v>
      </c>
      <c r="G411" s="40" t="str">
        <f>_xlfn.XLOOKUP(PROPERTIES[[#This Row],[COUNTRY]],COUNTRIES[COUNTRY_DESCRIPTION],COUNTRIES[COUNTRY_LABEL],"")</f>
        <v>US</v>
      </c>
      <c r="H411" t="str" cm="1">
        <f t="array" ref="H4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1" t="s">
        <v>17</v>
      </c>
      <c r="J411">
        <v>0</v>
      </c>
      <c r="K411">
        <v>8</v>
      </c>
      <c r="L411">
        <v>0</v>
      </c>
      <c r="M411" t="str" cm="1">
        <f t="array" ref="M4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1">
        <f>_xlfn.XLOOKUP("LOADINGSPEEDDEF_"&amp;PROPERTIES[[#This Row],[LOADINGSPEED]],LOADINGSPEEDDEF[TYPE],LOADINGSPEEDDEF[SPEED])</f>
        <v>20</v>
      </c>
      <c r="O411" cm="1">
        <f t="array" ref="O4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1">
        <f>IF(ISNUMBER(SEARCH("passenger",PROPERTIES[[#This Row],[CARGODEF]])),1,0)</f>
        <v>0</v>
      </c>
      <c r="Q411" s="23">
        <v>450</v>
      </c>
      <c r="R411">
        <v>6800</v>
      </c>
      <c r="S411">
        <v>0</v>
      </c>
      <c r="T411">
        <v>0</v>
      </c>
      <c r="U411">
        <v>0</v>
      </c>
      <c r="V411">
        <v>80</v>
      </c>
      <c r="W411">
        <v>0</v>
      </c>
      <c r="X411">
        <v>0</v>
      </c>
      <c r="Y411">
        <v>0</v>
      </c>
      <c r="Z411" s="20">
        <v>1200</v>
      </c>
      <c r="AA411" s="19">
        <f>IFERROR(PROPERTIES[[#This Row],[TE_STARTING_KN]]/(PROPERTIES[[#This Row],[WEIGHT]]*9.81),0)</f>
        <v>0.27183146449201495</v>
      </c>
      <c r="AB411" s="19">
        <v>0</v>
      </c>
      <c r="AC411" s="16">
        <f>ROUND(IF(IFERROR(PROPERTIES[[#This Row],[TE_COEFFICIENT_CALC]],0)=0,PROPERTIES[[#This Row],[TE_COEFFICIENT_MANUAL]],PROPERTIES[[#This Row],[TE_COEFFICIENT_CALC]]),3)</f>
        <v>0.27200000000000002</v>
      </c>
      <c r="AD411" s="8" cm="1">
        <f t="array" ref="AD4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411" s="26">
        <v>0</v>
      </c>
      <c r="AF411" s="6">
        <v>0</v>
      </c>
      <c r="AG411" t="s">
        <v>235</v>
      </c>
      <c r="AH411" t="s">
        <v>229</v>
      </c>
      <c r="AI411" t="s">
        <v>229</v>
      </c>
      <c r="AJ411" s="2" t="s">
        <v>229</v>
      </c>
      <c r="AK411" s="2" t="s">
        <v>244</v>
      </c>
      <c r="AL41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1" s="2" t="str">
        <f>SUBSTITUTE(SUBSTITUTE(PROPERTIES[[#This Row],[PURCHASECOST_VALUE]], "PURCHASECOST_", ""), "_VALUE", "")</f>
        <v>ELECTRICENGINE</v>
      </c>
      <c r="AO411" s="44" t="b">
        <v>0</v>
      </c>
      <c r="AP411" s="48" t="b">
        <v>0</v>
      </c>
      <c r="AQ411" s="48" t="b">
        <v>0</v>
      </c>
      <c r="AR411" s="48">
        <v>0</v>
      </c>
      <c r="AS411" s="48" t="b">
        <v>0</v>
      </c>
      <c r="AT411" s="7" t="b">
        <v>0</v>
      </c>
      <c r="AU411" s="40" t="str" cm="1">
        <f t="array" ref="AU411">_xlfn.XLOOKUP(PROPERTIES[[#This Row],[VEHIDCODE]],GRAPHICS_PROPERTIES[VEHIDCODE],GRAPHICS_PROPERTIES[TEMPLATE_ID]&amp;GRAPHICS_PROPERTIES[TEMPLATE_AMENDMENT_CODE])</f>
        <v>TPL_03D</v>
      </c>
    </row>
    <row r="412" spans="1:47" x14ac:dyDescent="0.35">
      <c r="A412" s="2" t="s">
        <v>3046</v>
      </c>
      <c r="B412">
        <v>1947</v>
      </c>
      <c r="C412">
        <v>1960</v>
      </c>
      <c r="D412" cm="1">
        <f t="array" ref="D4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2" s="40" t="str">
        <f>_xlfn.XLOOKUP(PROPERTIES[[#This Row],[VEHIDCODE]],CONTROL[VEHIDCODE],CONTROL[ENGLISH])</f>
        <v>GE W-1</v>
      </c>
      <c r="F412" t="s">
        <v>757</v>
      </c>
      <c r="G412" s="40" t="str">
        <f>_xlfn.XLOOKUP(PROPERTIES[[#This Row],[COUNTRY]],COUNTRIES[COUNTRY_DESCRIPTION],COUNTRIES[COUNTRY_LABEL],"")</f>
        <v>US</v>
      </c>
      <c r="H412" t="str" cm="1">
        <f t="array" ref="H4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2" t="s">
        <v>17</v>
      </c>
      <c r="J412">
        <v>0</v>
      </c>
      <c r="K412">
        <v>8</v>
      </c>
      <c r="M412" t="str" cm="1">
        <f t="array" ref="M4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2">
        <f>_xlfn.XLOOKUP("LOADINGSPEEDDEF_"&amp;PROPERTIES[[#This Row],[LOADINGSPEED]],LOADINGSPEEDDEF[TYPE],LOADINGSPEEDDEF[SPEED])</f>
        <v>20</v>
      </c>
      <c r="O412" cm="1">
        <f t="array" ref="O4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2">
        <f>IF(ISNUMBER(SEARCH("passenger",PROPERTIES[[#This Row],[CARGODEF]])),1,0)</f>
        <v>0</v>
      </c>
      <c r="Q412" s="23">
        <v>330</v>
      </c>
      <c r="R412">
        <v>5000</v>
      </c>
      <c r="S412">
        <v>0</v>
      </c>
      <c r="T412">
        <v>0</v>
      </c>
      <c r="U412">
        <v>0</v>
      </c>
      <c r="V412">
        <v>105</v>
      </c>
      <c r="W412">
        <v>0</v>
      </c>
      <c r="X412">
        <v>0</v>
      </c>
      <c r="Y412">
        <v>0</v>
      </c>
      <c r="Z412" s="20">
        <v>530</v>
      </c>
      <c r="AA412" s="19">
        <f>IFERROR(PROPERTIES[[#This Row],[TE_STARTING_KN]]/(PROPERTIES[[#This Row],[WEIGHT]]*9.81),0)</f>
        <v>0.16371667747814536</v>
      </c>
      <c r="AB412" s="19">
        <v>0</v>
      </c>
      <c r="AC412" s="16">
        <f>ROUND(IF(IFERROR(PROPERTIES[[#This Row],[TE_COEFFICIENT_CALC]],0)=0,PROPERTIES[[#This Row],[TE_COEFFICIENT_MANUAL]],PROPERTIES[[#This Row],[TE_COEFFICIENT_CALC]]),3)</f>
        <v>0.16400000000000001</v>
      </c>
      <c r="AD412" s="8" cm="1">
        <f t="array" ref="AD4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412" s="26">
        <v>0</v>
      </c>
      <c r="AF412" s="6">
        <v>4</v>
      </c>
      <c r="AG412" t="s">
        <v>235</v>
      </c>
      <c r="AH412" t="s">
        <v>229</v>
      </c>
      <c r="AI412" t="s">
        <v>229</v>
      </c>
      <c r="AJ412" s="2" t="s">
        <v>229</v>
      </c>
      <c r="AK412" s="2" t="s">
        <v>244</v>
      </c>
      <c r="AL41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2" s="2" t="str">
        <f>SUBSTITUTE(SUBSTITUTE(PROPERTIES[[#This Row],[PURCHASECOST_VALUE]], "PURCHASECOST_", ""), "_VALUE", "")</f>
        <v>ELECTRICENGINE</v>
      </c>
      <c r="AO412" s="44" t="b">
        <v>0</v>
      </c>
      <c r="AP412" s="48" t="b">
        <v>0</v>
      </c>
      <c r="AQ412" s="48" t="b">
        <v>0</v>
      </c>
      <c r="AR412" s="48">
        <v>0</v>
      </c>
      <c r="AS412" s="48" t="b">
        <v>0</v>
      </c>
      <c r="AT412" s="7" t="b">
        <v>0</v>
      </c>
      <c r="AU412" s="40" t="str" cm="1">
        <f t="array" ref="AU412">_xlfn.XLOOKUP(PROPERTIES[[#This Row],[VEHIDCODE]],GRAPHICS_PROPERTIES[VEHIDCODE],GRAPHICS_PROPERTIES[TEMPLATE_ID]&amp;GRAPHICS_PROPERTIES[TEMPLATE_AMENDMENT_CODE])</f>
        <v>TPL_16A</v>
      </c>
    </row>
    <row r="413" spans="1:47" x14ac:dyDescent="0.35">
      <c r="A413" s="2" t="s">
        <v>3047</v>
      </c>
      <c r="B413">
        <v>1926</v>
      </c>
      <c r="D413" cm="1">
        <f t="array" ref="D4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3" s="40" t="str">
        <f>_xlfn.XLOOKUP(PROPERTIES[[#This Row],[VEHIDCODE]],CONTROL[VEHIDCODE],CONTROL[ENGLISH])</f>
        <v>Westinghouse 6wOE B1</v>
      </c>
      <c r="F413" t="s">
        <v>757</v>
      </c>
      <c r="G413" s="40" t="str">
        <f>_xlfn.XLOOKUP(PROPERTIES[[#This Row],[COUNTRY]],COUNTRIES[COUNTRY_DESCRIPTION],COUNTRIES[COUNTRY_LABEL],"")</f>
        <v>US</v>
      </c>
      <c r="H413" t="str" cm="1">
        <f t="array" ref="H4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3" t="s">
        <v>17</v>
      </c>
      <c r="J413">
        <v>0</v>
      </c>
      <c r="K413">
        <v>4</v>
      </c>
      <c r="L413">
        <v>0</v>
      </c>
      <c r="M413" t="str" cm="1">
        <f t="array" ref="M4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3">
        <f>_xlfn.XLOOKUP("LOADINGSPEEDDEF_"&amp;PROPERTIES[[#This Row],[LOADINGSPEED]],LOADINGSPEEDDEF[TYPE],LOADINGSPEEDDEF[SPEED])</f>
        <v>20</v>
      </c>
      <c r="O413" cm="1">
        <f t="array" ref="O4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3">
        <f>IF(ISNUMBER(SEARCH("passenger",PROPERTIES[[#This Row],[CARGODEF]])),1,0)</f>
        <v>0</v>
      </c>
      <c r="Q413" s="23">
        <v>71</v>
      </c>
      <c r="R413">
        <v>700</v>
      </c>
      <c r="S413">
        <v>0</v>
      </c>
      <c r="T413">
        <v>0</v>
      </c>
      <c r="U413">
        <v>0</v>
      </c>
      <c r="V413">
        <v>40</v>
      </c>
      <c r="W413">
        <v>0</v>
      </c>
      <c r="X413">
        <v>0</v>
      </c>
      <c r="Y413">
        <v>0</v>
      </c>
      <c r="Z413" s="20">
        <v>174.6</v>
      </c>
      <c r="AA413" s="19">
        <f>IFERROR(PROPERTIES[[#This Row],[TE_STARTING_KN]]/(PROPERTIES[[#This Row],[WEIGHT]]*9.81),0)</f>
        <v>0.25067838221992506</v>
      </c>
      <c r="AB413" s="19">
        <v>0</v>
      </c>
      <c r="AC413" s="16">
        <f>ROUND(IF(IFERROR(PROPERTIES[[#This Row],[TE_COEFFICIENT_CALC]],0)=0,PROPERTIES[[#This Row],[TE_COEFFICIENT_MANUAL]],PROPERTIES[[#This Row],[TE_COEFFICIENT_CALC]]),3)</f>
        <v>0.251</v>
      </c>
      <c r="AD413" s="8" cm="1">
        <f t="array" ref="AD4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413" s="26">
        <v>0</v>
      </c>
      <c r="AF413" s="6">
        <v>0</v>
      </c>
      <c r="AG413" t="s">
        <v>235</v>
      </c>
      <c r="AH413" t="s">
        <v>229</v>
      </c>
      <c r="AI413" t="s">
        <v>229</v>
      </c>
      <c r="AJ413" s="2" t="s">
        <v>229</v>
      </c>
      <c r="AK413" s="2" t="s">
        <v>244</v>
      </c>
      <c r="AL41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3" s="2" t="str">
        <f>SUBSTITUTE(SUBSTITUTE(PROPERTIES[[#This Row],[PURCHASECOST_VALUE]], "PURCHASECOST_", ""), "_VALUE", "")</f>
        <v>ELECTRICENGINE</v>
      </c>
      <c r="AO413" s="44" t="b">
        <v>0</v>
      </c>
      <c r="AP413" s="48" t="b">
        <v>0</v>
      </c>
      <c r="AQ413" s="48" t="b">
        <v>0</v>
      </c>
      <c r="AR413" s="48">
        <v>0</v>
      </c>
      <c r="AS413" s="48" t="b">
        <v>0</v>
      </c>
      <c r="AT413" s="7" t="b">
        <v>0</v>
      </c>
      <c r="AU413" s="40" t="str" cm="1">
        <f t="array" ref="AU413">_xlfn.XLOOKUP(PROPERTIES[[#This Row],[VEHIDCODE]],GRAPHICS_PROPERTIES[VEHIDCODE],GRAPHICS_PROPERTIES[TEMPLATE_ID]&amp;GRAPHICS_PROPERTIES[TEMPLATE_AMENDMENT_CODE])</f>
        <v>TPL_01A</v>
      </c>
    </row>
    <row r="414" spans="1:47" x14ac:dyDescent="0.35">
      <c r="A414" s="2" t="s">
        <v>3048</v>
      </c>
      <c r="B414">
        <v>2008</v>
      </c>
      <c r="D414" cm="1">
        <f t="array" ref="D4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4" s="40" t="str">
        <f>_xlfn.XLOOKUP(PROPERTIES[[#This Row],[VEHIDCODE]],CONTROL[VEHIDCODE],CONTROL[ENGLISH])</f>
        <v>Siemens E40 AG-V1</v>
      </c>
      <c r="F414" t="s">
        <v>541</v>
      </c>
      <c r="G414" s="40" t="str">
        <f>_xlfn.XLOOKUP(PROPERTIES[[#This Row],[COUNTRY]],COUNTRIES[COUNTRY_DESCRIPTION],COUNTRIES[COUNTRY_LABEL],"")</f>
        <v>AU</v>
      </c>
      <c r="H414" t="str" cm="1">
        <f t="array" ref="H4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4" t="s">
        <v>17</v>
      </c>
      <c r="J414">
        <v>0</v>
      </c>
      <c r="K414">
        <v>8</v>
      </c>
      <c r="L414">
        <v>0</v>
      </c>
      <c r="M414" t="str" cm="1">
        <f t="array" ref="M4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4">
        <f>_xlfn.XLOOKUP("LOADINGSPEEDDEF_"&amp;PROPERTIES[[#This Row],[LOADINGSPEED]],LOADINGSPEEDDEF[TYPE],LOADINGSPEEDDEF[SPEED])</f>
        <v>20</v>
      </c>
      <c r="O414" t="str" cm="1">
        <f t="array" ref="O4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14">
        <f>IF(ISNUMBER(SEARCH("passenger",PROPERTIES[[#This Row],[CARGODEF]])),1,0)</f>
        <v>0</v>
      </c>
      <c r="Q414" s="23">
        <v>109</v>
      </c>
      <c r="R414">
        <v>5360</v>
      </c>
      <c r="S414">
        <v>0</v>
      </c>
      <c r="T414">
        <v>0</v>
      </c>
      <c r="U414">
        <v>0</v>
      </c>
      <c r="V414">
        <v>80</v>
      </c>
      <c r="W414">
        <v>0</v>
      </c>
      <c r="X414">
        <v>0</v>
      </c>
      <c r="Y414">
        <v>0</v>
      </c>
      <c r="Z414" s="20">
        <v>450</v>
      </c>
      <c r="AA414" s="19">
        <f>IFERROR(PROPERTIES[[#This Row],[TE_STARTING_KN]]/(PROPERTIES[[#This Row],[WEIGHT]]*9.81),0)</f>
        <v>0.42083999663328003</v>
      </c>
      <c r="AB414" s="19">
        <v>0</v>
      </c>
      <c r="AC414" s="16">
        <f>ROUND(IF(IFERROR(PROPERTIES[[#This Row],[TE_COEFFICIENT_CALC]],0)=0,PROPERTIES[[#This Row],[TE_COEFFICIENT_MANUAL]],PROPERTIES[[#This Row],[TE_COEFFICIENT_CALC]]),3)</f>
        <v>0.42099999999999999</v>
      </c>
      <c r="AD414" s="8" cm="1">
        <f t="array" ref="AD4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14" s="26">
        <v>0</v>
      </c>
      <c r="AF414" s="6">
        <v>0</v>
      </c>
      <c r="AG414" t="s">
        <v>232</v>
      </c>
      <c r="AH414" t="s">
        <v>229</v>
      </c>
      <c r="AI414" t="s">
        <v>229</v>
      </c>
      <c r="AJ414" s="2" t="s">
        <v>229</v>
      </c>
      <c r="AK414" s="2" t="s">
        <v>244</v>
      </c>
      <c r="AL41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4" s="2" t="str">
        <f>SUBSTITUTE(SUBSTITUTE(PROPERTIES[[#This Row],[PURCHASECOST_VALUE]], "PURCHASECOST_", ""), "_VALUE", "")</f>
        <v>ELECTRICENGINE</v>
      </c>
      <c r="AO414" s="44" t="b">
        <v>0</v>
      </c>
      <c r="AP414" s="48" t="b">
        <v>0</v>
      </c>
      <c r="AQ414" s="48" t="b">
        <v>0</v>
      </c>
      <c r="AR414" s="48">
        <v>0</v>
      </c>
      <c r="AS414" s="48" t="b">
        <v>0</v>
      </c>
      <c r="AT414" s="7" t="b">
        <v>0</v>
      </c>
      <c r="AU414" s="40" t="str" cm="1">
        <f t="array" ref="AU414">_xlfn.XLOOKUP(PROPERTIES[[#This Row],[VEHIDCODE]],GRAPHICS_PROPERTIES[VEHIDCODE],GRAPHICS_PROPERTIES[TEMPLATE_ID]&amp;GRAPHICS_PROPERTIES[TEMPLATE_AMENDMENT_CODE])</f>
        <v>TPL_01A</v>
      </c>
    </row>
    <row r="415" spans="1:47" x14ac:dyDescent="0.35">
      <c r="A415" s="2" t="s">
        <v>3049</v>
      </c>
      <c r="B415">
        <v>1991</v>
      </c>
      <c r="C415">
        <v>2006</v>
      </c>
      <c r="D415" cm="1">
        <f t="array" ref="D4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5" s="40" t="str">
        <f>_xlfn.XLOOKUP(PROPERTIES[[#This Row],[VEHIDCODE]],CONTROL[VEHIDCODE],CONTROL[ENGLISH])</f>
        <v>Zuzhou SS6</v>
      </c>
      <c r="F415" t="s">
        <v>575</v>
      </c>
      <c r="G415" s="40" t="str">
        <f>_xlfn.XLOOKUP(PROPERTIES[[#This Row],[COUNTRY]],COUNTRIES[COUNTRY_DESCRIPTION],COUNTRIES[COUNTRY_LABEL],"")</f>
        <v>CN</v>
      </c>
      <c r="H415" t="str" cm="1">
        <f t="array" ref="H4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5" t="s">
        <v>17</v>
      </c>
      <c r="J415">
        <v>0</v>
      </c>
      <c r="K415">
        <v>8</v>
      </c>
      <c r="L415">
        <v>0</v>
      </c>
      <c r="M415" t="str" cm="1">
        <f t="array" ref="M4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5">
        <f>_xlfn.XLOOKUP("LOADINGSPEEDDEF_"&amp;PROPERTIES[[#This Row],[LOADINGSPEED]],LOADINGSPEEDDEF[TYPE],LOADINGSPEEDDEF[SPEED])</f>
        <v>20</v>
      </c>
      <c r="O415" t="str" cm="1">
        <f t="array" ref="O4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15">
        <f>IF(ISNUMBER(SEARCH("passenger",PROPERTIES[[#This Row],[CARGODEF]])),1,0)</f>
        <v>0</v>
      </c>
      <c r="Q415" s="23">
        <v>138</v>
      </c>
      <c r="R415">
        <v>6400</v>
      </c>
      <c r="S415">
        <v>0</v>
      </c>
      <c r="T415">
        <v>0</v>
      </c>
      <c r="U415">
        <v>0</v>
      </c>
      <c r="V415">
        <v>100</v>
      </c>
      <c r="W415">
        <v>0</v>
      </c>
      <c r="X415">
        <v>0</v>
      </c>
      <c r="Y415">
        <v>0</v>
      </c>
      <c r="Z415" s="20">
        <v>485</v>
      </c>
      <c r="AA415" s="19">
        <f>IFERROR(PROPERTIES[[#This Row],[TE_STARTING_KN]]/(PROPERTIES[[#This Row],[WEIGHT]]*9.81),0)</f>
        <v>0.35825614206148709</v>
      </c>
      <c r="AB415" s="19">
        <v>0</v>
      </c>
      <c r="AC415" s="16">
        <f>ROUND(IF(IFERROR(PROPERTIES[[#This Row],[TE_COEFFICIENT_CALC]],0)=0,PROPERTIES[[#This Row],[TE_COEFFICIENT_MANUAL]],PROPERTIES[[#This Row],[TE_COEFFICIENT_CALC]]),3)</f>
        <v>0.35799999999999998</v>
      </c>
      <c r="AD415" s="8" cm="1">
        <f t="array" ref="AD4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15" s="26">
        <v>0</v>
      </c>
      <c r="AF415" s="6">
        <v>0</v>
      </c>
      <c r="AG415" t="s">
        <v>238</v>
      </c>
      <c r="AH415" t="s">
        <v>229</v>
      </c>
      <c r="AI415" t="s">
        <v>229</v>
      </c>
      <c r="AJ415" s="2" t="s">
        <v>229</v>
      </c>
      <c r="AK415" s="2" t="s">
        <v>244</v>
      </c>
      <c r="AL41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5" s="2" t="str">
        <f>SUBSTITUTE(SUBSTITUTE(PROPERTIES[[#This Row],[PURCHASECOST_VALUE]], "PURCHASECOST_", ""), "_VALUE", "")</f>
        <v>ELECTRICENGINE</v>
      </c>
      <c r="AO415" s="44" t="b">
        <v>0</v>
      </c>
      <c r="AP415" s="48" t="b">
        <v>0</v>
      </c>
      <c r="AQ415" s="48" t="b">
        <v>0</v>
      </c>
      <c r="AR415" s="48">
        <v>0</v>
      </c>
      <c r="AS415" s="48" t="b">
        <v>0</v>
      </c>
      <c r="AT415" s="7" t="b">
        <v>0</v>
      </c>
      <c r="AU415" s="40" t="str" cm="1">
        <f t="array" ref="AU415">_xlfn.XLOOKUP(PROPERTIES[[#This Row],[VEHIDCODE]],GRAPHICS_PROPERTIES[VEHIDCODE],GRAPHICS_PROPERTIES[TEMPLATE_ID]&amp;GRAPHICS_PROPERTIES[TEMPLATE_AMENDMENT_CODE])</f>
        <v>TPL_01A</v>
      </c>
    </row>
    <row r="416" spans="1:47" x14ac:dyDescent="0.35">
      <c r="A416" s="2" t="s">
        <v>3050</v>
      </c>
      <c r="B416">
        <v>1978</v>
      </c>
      <c r="D416" cm="1">
        <f t="array" ref="D4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6" s="40" t="str">
        <f>_xlfn.XLOOKUP(PROPERTIES[[#This Row],[VEHIDCODE]],CONTROL[VEHIDCODE],CONTROL[ENGLISH])</f>
        <v>Zuzhou SS3</v>
      </c>
      <c r="F416" t="s">
        <v>575</v>
      </c>
      <c r="G416" s="40" t="str">
        <f>_xlfn.XLOOKUP(PROPERTIES[[#This Row],[COUNTRY]],COUNTRIES[COUNTRY_DESCRIPTION],COUNTRIES[COUNTRY_LABEL],"")</f>
        <v>CN</v>
      </c>
      <c r="H416" t="str" cm="1">
        <f t="array" ref="H4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6" t="s">
        <v>17</v>
      </c>
      <c r="J416">
        <v>0</v>
      </c>
      <c r="K416">
        <v>8</v>
      </c>
      <c r="L416">
        <v>0</v>
      </c>
      <c r="M416" t="str" cm="1">
        <f t="array" ref="M4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6">
        <f>_xlfn.XLOOKUP("LOADINGSPEEDDEF_"&amp;PROPERTIES[[#This Row],[LOADINGSPEED]],LOADINGSPEEDDEF[TYPE],LOADINGSPEEDDEF[SPEED])</f>
        <v>20</v>
      </c>
      <c r="O416" cm="1">
        <f t="array" ref="O4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6">
        <f>IF(ISNUMBER(SEARCH("passenger",PROPERTIES[[#This Row],[CARGODEF]])),1,0)</f>
        <v>0</v>
      </c>
      <c r="Q416" s="23">
        <v>138</v>
      </c>
      <c r="R416">
        <v>5793</v>
      </c>
      <c r="S416">
        <v>0</v>
      </c>
      <c r="T416">
        <v>0</v>
      </c>
      <c r="U416">
        <v>0</v>
      </c>
      <c r="V416">
        <v>100</v>
      </c>
      <c r="W416">
        <v>0</v>
      </c>
      <c r="X416">
        <v>0</v>
      </c>
      <c r="Y416">
        <v>0</v>
      </c>
      <c r="Z416" s="20">
        <v>470</v>
      </c>
      <c r="AA416" s="19">
        <f>IFERROR(PROPERTIES[[#This Row],[TE_STARTING_KN]]/(PROPERTIES[[#This Row],[WEIGHT]]*9.81),0)</f>
        <v>0.34717605519360606</v>
      </c>
      <c r="AB416" s="19">
        <v>0</v>
      </c>
      <c r="AC416" s="16">
        <f>ROUND(IF(IFERROR(PROPERTIES[[#This Row],[TE_COEFFICIENT_CALC]],0)=0,PROPERTIES[[#This Row],[TE_COEFFICIENT_MANUAL]],PROPERTIES[[#This Row],[TE_COEFFICIENT_CALC]]),3)</f>
        <v>0.34699999999999998</v>
      </c>
      <c r="AD416" s="8" cm="1">
        <f t="array" ref="AD4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16" s="26">
        <v>0</v>
      </c>
      <c r="AF416" s="6">
        <v>0</v>
      </c>
      <c r="AG416" t="s">
        <v>238</v>
      </c>
      <c r="AH416" t="s">
        <v>229</v>
      </c>
      <c r="AI416" t="s">
        <v>229</v>
      </c>
      <c r="AJ416" s="2" t="s">
        <v>229</v>
      </c>
      <c r="AK416" s="2" t="s">
        <v>244</v>
      </c>
      <c r="AL41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6" s="2" t="str">
        <f>SUBSTITUTE(SUBSTITUTE(PROPERTIES[[#This Row],[PURCHASECOST_VALUE]], "PURCHASECOST_", ""), "_VALUE", "")</f>
        <v>ELECTRICENGINE</v>
      </c>
      <c r="AO416" s="44" t="b">
        <v>0</v>
      </c>
      <c r="AP416" s="48" t="b">
        <v>0</v>
      </c>
      <c r="AQ416" s="48" t="b">
        <v>0</v>
      </c>
      <c r="AR416" s="48">
        <v>0</v>
      </c>
      <c r="AS416" s="48" t="b">
        <v>0</v>
      </c>
      <c r="AT416" s="7" t="b">
        <v>0</v>
      </c>
      <c r="AU416" s="40" t="str" cm="1">
        <f t="array" ref="AU416">_xlfn.XLOOKUP(PROPERTIES[[#This Row],[VEHIDCODE]],GRAPHICS_PROPERTIES[VEHIDCODE],GRAPHICS_PROPERTIES[TEMPLATE_ID]&amp;GRAPHICS_PROPERTIES[TEMPLATE_AMENDMENT_CODE])</f>
        <v>TPL_01A</v>
      </c>
    </row>
    <row r="417" spans="1:47" x14ac:dyDescent="0.35">
      <c r="A417" s="2" t="s">
        <v>3051</v>
      </c>
      <c r="B417">
        <v>2006</v>
      </c>
      <c r="D417" cm="1">
        <f t="array" ref="D4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7" s="40" t="str">
        <f>_xlfn.XLOOKUP(PROPERTIES[[#This Row],[VEHIDCODE]],CONTROL[VEHIDCODE],CONTROL[ENGLISH])</f>
        <v>Toshiba/CNR Dalian HXD3</v>
      </c>
      <c r="F417" t="s">
        <v>575</v>
      </c>
      <c r="G417" s="40" t="str">
        <f>_xlfn.XLOOKUP(PROPERTIES[[#This Row],[COUNTRY]],COUNTRIES[COUNTRY_DESCRIPTION],COUNTRIES[COUNTRY_LABEL],"")</f>
        <v>CN</v>
      </c>
      <c r="H417" t="str" cm="1">
        <f t="array" ref="H4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7" t="s">
        <v>17</v>
      </c>
      <c r="J417">
        <v>0</v>
      </c>
      <c r="K417">
        <v>8</v>
      </c>
      <c r="L417">
        <v>0</v>
      </c>
      <c r="M417" t="str" cm="1">
        <f t="array" ref="M4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7">
        <f>_xlfn.XLOOKUP("LOADINGSPEEDDEF_"&amp;PROPERTIES[[#This Row],[LOADINGSPEED]],LOADINGSPEEDDEF[TYPE],LOADINGSPEEDDEF[SPEED])</f>
        <v>20</v>
      </c>
      <c r="O417" t="str" cm="1">
        <f t="array" ref="O4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17">
        <f>IF(ISNUMBER(SEARCH("passenger",PROPERTIES[[#This Row],[CARGODEF]])),1,0)</f>
        <v>0</v>
      </c>
      <c r="Q417" s="23">
        <v>150</v>
      </c>
      <c r="R417">
        <v>9700</v>
      </c>
      <c r="S417">
        <v>0</v>
      </c>
      <c r="T417">
        <v>0</v>
      </c>
      <c r="U417">
        <v>0</v>
      </c>
      <c r="V417">
        <v>120</v>
      </c>
      <c r="W417">
        <v>0</v>
      </c>
      <c r="X417">
        <v>0</v>
      </c>
      <c r="Y417">
        <v>0</v>
      </c>
      <c r="Z417" s="20">
        <v>520</v>
      </c>
      <c r="AA417" s="19">
        <f>IFERROR(PROPERTIES[[#This Row],[TE_STARTING_KN]]/(PROPERTIES[[#This Row],[WEIGHT]]*9.81),0)</f>
        <v>0.35338090383961945</v>
      </c>
      <c r="AB417" s="19">
        <v>0</v>
      </c>
      <c r="AC417" s="16">
        <f>ROUND(IF(IFERROR(PROPERTIES[[#This Row],[TE_COEFFICIENT_CALC]],0)=0,PROPERTIES[[#This Row],[TE_COEFFICIENT_MANUAL]],PROPERTIES[[#This Row],[TE_COEFFICIENT_CALC]]),3)</f>
        <v>0.35299999999999998</v>
      </c>
      <c r="AD417" s="8" cm="1">
        <f t="array" ref="AD4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17" s="26">
        <v>0</v>
      </c>
      <c r="AF417" s="6">
        <v>0</v>
      </c>
      <c r="AG417" t="s">
        <v>238</v>
      </c>
      <c r="AH417" t="s">
        <v>229</v>
      </c>
      <c r="AI417" t="s">
        <v>229</v>
      </c>
      <c r="AJ417" s="2" t="s">
        <v>229</v>
      </c>
      <c r="AK417" s="2" t="s">
        <v>244</v>
      </c>
      <c r="AL41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7" s="2" t="str">
        <f>SUBSTITUTE(SUBSTITUTE(PROPERTIES[[#This Row],[PURCHASECOST_VALUE]], "PURCHASECOST_", ""), "_VALUE", "")</f>
        <v>ELECTRICENGINE</v>
      </c>
      <c r="AO417" s="44" t="b">
        <v>0</v>
      </c>
      <c r="AP417" s="48" t="b">
        <v>0</v>
      </c>
      <c r="AQ417" s="48" t="b">
        <v>0</v>
      </c>
      <c r="AR417" s="48">
        <v>0</v>
      </c>
      <c r="AS417" s="48" t="b">
        <v>0</v>
      </c>
      <c r="AT417" s="7" t="b">
        <v>0</v>
      </c>
      <c r="AU417" s="40" t="str" cm="1">
        <f t="array" ref="AU417">_xlfn.XLOOKUP(PROPERTIES[[#This Row],[VEHIDCODE]],GRAPHICS_PROPERTIES[VEHIDCODE],GRAPHICS_PROPERTIES[TEMPLATE_ID]&amp;GRAPHICS_PROPERTIES[TEMPLATE_AMENDMENT_CODE])</f>
        <v>TPL_01A</v>
      </c>
    </row>
    <row r="418" spans="1:47" x14ac:dyDescent="0.35">
      <c r="A418" s="2" t="s">
        <v>3052</v>
      </c>
      <c r="B418">
        <v>2012</v>
      </c>
      <c r="D418" cm="1">
        <f t="array" ref="D4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8" s="40" t="str">
        <f>_xlfn.XLOOKUP(PROPERTIES[[#This Row],[VEHIDCODE]],CONTROL[VEHIDCODE],CONTROL[ENGLISH])</f>
        <v>Toshiba/CRRC HXD1D</v>
      </c>
      <c r="F418" t="s">
        <v>575</v>
      </c>
      <c r="G418" s="40" t="str">
        <f>_xlfn.XLOOKUP(PROPERTIES[[#This Row],[COUNTRY]],COUNTRIES[COUNTRY_DESCRIPTION],COUNTRIES[COUNTRY_LABEL],"")</f>
        <v>CN</v>
      </c>
      <c r="H418" t="str" cm="1">
        <f t="array" ref="H4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8" t="s">
        <v>17</v>
      </c>
      <c r="J418">
        <v>0</v>
      </c>
      <c r="K418">
        <v>8</v>
      </c>
      <c r="L418">
        <v>0</v>
      </c>
      <c r="M418" t="str" cm="1">
        <f t="array" ref="M4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8">
        <f>_xlfn.XLOOKUP("LOADINGSPEEDDEF_"&amp;PROPERTIES[[#This Row],[LOADINGSPEED]],LOADINGSPEEDDEF[TYPE],LOADINGSPEEDDEF[SPEED])</f>
        <v>20</v>
      </c>
      <c r="O418" t="str" cm="1">
        <f t="array" ref="O4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18">
        <f>IF(ISNUMBER(SEARCH("passenger",PROPERTIES[[#This Row],[CARGODEF]])),1,0)</f>
        <v>0</v>
      </c>
      <c r="Q418" s="23">
        <v>126</v>
      </c>
      <c r="R418">
        <v>9700</v>
      </c>
      <c r="S418">
        <v>0</v>
      </c>
      <c r="T418">
        <v>0</v>
      </c>
      <c r="U418">
        <v>0</v>
      </c>
      <c r="V418">
        <v>160</v>
      </c>
      <c r="W418">
        <v>0</v>
      </c>
      <c r="X418">
        <v>0</v>
      </c>
      <c r="Y418">
        <v>0</v>
      </c>
      <c r="Z418" s="20">
        <v>420</v>
      </c>
      <c r="AA418" s="19">
        <f>IFERROR(PROPERTIES[[#This Row],[TE_STARTING_KN]]/(PROPERTIES[[#This Row],[WEIGHT]]*9.81),0)</f>
        <v>0.33978933061501865</v>
      </c>
      <c r="AB418" s="19">
        <v>0</v>
      </c>
      <c r="AC418" s="16">
        <f>ROUND(IF(IFERROR(PROPERTIES[[#This Row],[TE_COEFFICIENT_CALC]],0)=0,PROPERTIES[[#This Row],[TE_COEFFICIENT_MANUAL]],PROPERTIES[[#This Row],[TE_COEFFICIENT_CALC]]),3)</f>
        <v>0.34</v>
      </c>
      <c r="AD418" s="8" cm="1">
        <f t="array" ref="AD4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18" s="26">
        <v>0</v>
      </c>
      <c r="AF418" s="6">
        <v>0</v>
      </c>
      <c r="AG418" t="s">
        <v>238</v>
      </c>
      <c r="AH418" t="s">
        <v>229</v>
      </c>
      <c r="AI418" t="s">
        <v>229</v>
      </c>
      <c r="AJ418" s="2" t="s">
        <v>229</v>
      </c>
      <c r="AK418" s="2" t="s">
        <v>244</v>
      </c>
      <c r="AL41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8" s="2" t="str">
        <f>SUBSTITUTE(SUBSTITUTE(PROPERTIES[[#This Row],[PURCHASECOST_VALUE]], "PURCHASECOST_", ""), "_VALUE", "")</f>
        <v>ELECTRICENGINE</v>
      </c>
      <c r="AO418" s="44" t="b">
        <v>0</v>
      </c>
      <c r="AP418" s="48" t="b">
        <v>0</v>
      </c>
      <c r="AQ418" s="48" t="b">
        <v>0</v>
      </c>
      <c r="AR418" s="48">
        <v>0</v>
      </c>
      <c r="AS418" s="48" t="b">
        <v>0</v>
      </c>
      <c r="AT418" s="7" t="b">
        <v>0</v>
      </c>
      <c r="AU418" s="40" t="str" cm="1">
        <f t="array" ref="AU418">_xlfn.XLOOKUP(PROPERTIES[[#This Row],[VEHIDCODE]],GRAPHICS_PROPERTIES[VEHIDCODE],GRAPHICS_PROPERTIES[TEMPLATE_ID]&amp;GRAPHICS_PROPERTIES[TEMPLATE_AMENDMENT_CODE])</f>
        <v>TPL_01A</v>
      </c>
    </row>
    <row r="419" spans="1:47" x14ac:dyDescent="0.35">
      <c r="A419" s="2" t="s">
        <v>3053</v>
      </c>
      <c r="B419">
        <v>1986</v>
      </c>
      <c r="C419">
        <v>2014</v>
      </c>
      <c r="D419" cm="1">
        <f t="array" ref="D4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9" s="40" t="str">
        <f>_xlfn.XLOOKUP(PROPERTIES[[#This Row],[VEHIDCODE]],CONTROL[VEHIDCODE],CONTROL[ENGLISH])</f>
        <v>Kawasaki 6K</v>
      </c>
      <c r="F419" t="s">
        <v>575</v>
      </c>
      <c r="G419" s="40" t="str">
        <f>_xlfn.XLOOKUP(PROPERTIES[[#This Row],[COUNTRY]],COUNTRIES[COUNTRY_DESCRIPTION],COUNTRIES[COUNTRY_LABEL],"")</f>
        <v>CN</v>
      </c>
      <c r="H419" t="str" cm="1">
        <f t="array" ref="H4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9" t="s">
        <v>17</v>
      </c>
      <c r="J419">
        <v>0</v>
      </c>
      <c r="K419">
        <v>8</v>
      </c>
      <c r="L419">
        <v>0</v>
      </c>
      <c r="M419" t="str" cm="1">
        <f t="array" ref="M4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9">
        <f>_xlfn.XLOOKUP("LOADINGSPEEDDEF_"&amp;PROPERTIES[[#This Row],[LOADINGSPEED]],LOADINGSPEEDDEF[TYPE],LOADINGSPEEDDEF[SPEED])</f>
        <v>20</v>
      </c>
      <c r="O419" t="str" cm="1">
        <f t="array" ref="O4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19">
        <f>IF(ISNUMBER(SEARCH("passenger",PROPERTIES[[#This Row],[CARGODEF]])),1,0)</f>
        <v>0</v>
      </c>
      <c r="Q419" s="23">
        <v>138</v>
      </c>
      <c r="R419">
        <v>6400</v>
      </c>
      <c r="S419">
        <v>0</v>
      </c>
      <c r="T419">
        <v>0</v>
      </c>
      <c r="U419">
        <v>0</v>
      </c>
      <c r="V419">
        <v>100</v>
      </c>
      <c r="W419">
        <v>0</v>
      </c>
      <c r="X419">
        <v>0</v>
      </c>
      <c r="Y419">
        <v>0</v>
      </c>
      <c r="Z419" s="20">
        <v>485</v>
      </c>
      <c r="AA419" s="19">
        <f>IFERROR(PROPERTIES[[#This Row],[TE_STARTING_KN]]/(PROPERTIES[[#This Row],[WEIGHT]]*9.81),0)</f>
        <v>0.35825614206148709</v>
      </c>
      <c r="AB419" s="19">
        <v>0</v>
      </c>
      <c r="AC419" s="16">
        <f>ROUND(IF(IFERROR(PROPERTIES[[#This Row],[TE_COEFFICIENT_CALC]],0)=0,PROPERTIES[[#This Row],[TE_COEFFICIENT_MANUAL]],PROPERTIES[[#This Row],[TE_COEFFICIENT_CALC]]),3)</f>
        <v>0.35799999999999998</v>
      </c>
      <c r="AD419" s="8" cm="1">
        <f t="array" ref="AD4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19" s="26">
        <v>0</v>
      </c>
      <c r="AF419" s="6">
        <v>0</v>
      </c>
      <c r="AG419" t="s">
        <v>238</v>
      </c>
      <c r="AH419" t="s">
        <v>229</v>
      </c>
      <c r="AI419" t="s">
        <v>229</v>
      </c>
      <c r="AJ419" s="2" t="s">
        <v>229</v>
      </c>
      <c r="AK419" s="2" t="s">
        <v>244</v>
      </c>
      <c r="AL41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9" s="2" t="str">
        <f>SUBSTITUTE(SUBSTITUTE(PROPERTIES[[#This Row],[PURCHASECOST_VALUE]], "PURCHASECOST_", ""), "_VALUE", "")</f>
        <v>ELECTRICENGINE</v>
      </c>
      <c r="AO419" s="44" t="b">
        <v>0</v>
      </c>
      <c r="AP419" s="48" t="b">
        <v>0</v>
      </c>
      <c r="AQ419" s="48" t="b">
        <v>0</v>
      </c>
      <c r="AR419" s="48">
        <v>0</v>
      </c>
      <c r="AS419" s="48" t="b">
        <v>0</v>
      </c>
      <c r="AT419" s="7" t="b">
        <v>0</v>
      </c>
      <c r="AU419" s="40" t="str" cm="1">
        <f t="array" ref="AU419">_xlfn.XLOOKUP(PROPERTIES[[#This Row],[VEHIDCODE]],GRAPHICS_PROPERTIES[VEHIDCODE],GRAPHICS_PROPERTIES[TEMPLATE_ID]&amp;GRAPHICS_PROPERTIES[TEMPLATE_AMENDMENT_CODE])</f>
        <v>TPL_01A</v>
      </c>
    </row>
    <row r="420" spans="1:47" x14ac:dyDescent="0.35">
      <c r="A420" s="2" t="s">
        <v>3054</v>
      </c>
      <c r="B420">
        <v>1960</v>
      </c>
      <c r="C420">
        <v>1984</v>
      </c>
      <c r="D420" cm="1">
        <f t="array" ref="D4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0" s="40" t="str">
        <f>_xlfn.XLOOKUP(PROPERTIES[[#This Row],[VEHIDCODE]],CONTROL[VEHIDCODE],CONTROL[ENGLISH])</f>
        <v>GE E44</v>
      </c>
      <c r="F420" t="s">
        <v>757</v>
      </c>
      <c r="G420" s="40" t="str">
        <f>_xlfn.XLOOKUP(PROPERTIES[[#This Row],[COUNTRY]],COUNTRIES[COUNTRY_DESCRIPTION],COUNTRIES[COUNTRY_LABEL],"")</f>
        <v>US</v>
      </c>
      <c r="H420" t="str" cm="1">
        <f t="array" ref="H4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0" t="s">
        <v>17</v>
      </c>
      <c r="J420">
        <v>0</v>
      </c>
      <c r="K420">
        <v>8</v>
      </c>
      <c r="L420">
        <v>0</v>
      </c>
      <c r="M420" t="str" cm="1">
        <f t="array" ref="M4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0">
        <f>_xlfn.XLOOKUP("LOADINGSPEEDDEF_"&amp;PROPERTIES[[#This Row],[LOADINGSPEED]],LOADINGSPEEDDEF[TYPE],LOADINGSPEEDDEF[SPEED])</f>
        <v>20</v>
      </c>
      <c r="O420" cm="1">
        <f t="array" ref="O4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0">
        <f>IF(ISNUMBER(SEARCH("passenger",PROPERTIES[[#This Row],[CARGODEF]])),1,0)</f>
        <v>0</v>
      </c>
      <c r="Q420" s="23">
        <v>175</v>
      </c>
      <c r="R420">
        <v>4400</v>
      </c>
      <c r="S420">
        <v>0</v>
      </c>
      <c r="T420">
        <v>0</v>
      </c>
      <c r="U420">
        <v>0</v>
      </c>
      <c r="V420">
        <v>113</v>
      </c>
      <c r="W420">
        <v>0</v>
      </c>
      <c r="X420">
        <v>0</v>
      </c>
      <c r="Y420">
        <v>0</v>
      </c>
      <c r="Z420" s="20">
        <v>427.7</v>
      </c>
      <c r="AA420" s="19">
        <f>IFERROR(PROPERTIES[[#This Row],[TE_STARTING_KN]]/(PROPERTIES[[#This Row],[WEIGHT]]*9.81),0)</f>
        <v>0.24913353720693168</v>
      </c>
      <c r="AB420" s="19">
        <v>0</v>
      </c>
      <c r="AC420" s="16">
        <f>ROUND(IF(IFERROR(PROPERTIES[[#This Row],[TE_COEFFICIENT_CALC]],0)=0,PROPERTIES[[#This Row],[TE_COEFFICIENT_MANUAL]],PROPERTIES[[#This Row],[TE_COEFFICIENT_CALC]]),3)</f>
        <v>0.249</v>
      </c>
      <c r="AD420" s="8" cm="1">
        <f t="array" ref="AD4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20" s="26">
        <v>0</v>
      </c>
      <c r="AF420" s="6">
        <v>0</v>
      </c>
      <c r="AG420" t="s">
        <v>235</v>
      </c>
      <c r="AH420" t="s">
        <v>229</v>
      </c>
      <c r="AI420" t="s">
        <v>229</v>
      </c>
      <c r="AJ420" s="2" t="s">
        <v>229</v>
      </c>
      <c r="AK420" s="2" t="s">
        <v>244</v>
      </c>
      <c r="AL42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0" s="2" t="str">
        <f>SUBSTITUTE(SUBSTITUTE(PROPERTIES[[#This Row],[PURCHASECOST_VALUE]], "PURCHASECOST_", ""), "_VALUE", "")</f>
        <v>ELECTRICENGINE</v>
      </c>
      <c r="AO420" s="44" t="b">
        <v>0</v>
      </c>
      <c r="AP420" s="48" t="b">
        <v>0</v>
      </c>
      <c r="AQ420" s="48" t="b">
        <v>0</v>
      </c>
      <c r="AR420" s="48">
        <v>0</v>
      </c>
      <c r="AS420" s="48" t="b">
        <v>0</v>
      </c>
      <c r="AT420" s="7" t="b">
        <v>0</v>
      </c>
      <c r="AU420" s="40" t="str" cm="1">
        <f t="array" ref="AU420">_xlfn.XLOOKUP(PROPERTIES[[#This Row],[VEHIDCODE]],GRAPHICS_PROPERTIES[VEHIDCODE],GRAPHICS_PROPERTIES[TEMPLATE_ID]&amp;GRAPHICS_PROPERTIES[TEMPLATE_AMENDMENT_CODE])</f>
        <v>TPL_01A</v>
      </c>
    </row>
    <row r="421" spans="1:47" x14ac:dyDescent="0.35">
      <c r="A421" s="2" t="s">
        <v>3055</v>
      </c>
      <c r="B421">
        <v>1967</v>
      </c>
      <c r="C421">
        <v>2008</v>
      </c>
      <c r="D421" cm="1">
        <f t="array" ref="D4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1" s="40" t="str">
        <f>_xlfn.XLOOKUP(PROPERTIES[[#This Row],[VEHIDCODE]],CONTROL[VEHIDCODE],CONTROL[ENGLISH])</f>
        <v>ASEA/Koncar Rb</v>
      </c>
      <c r="F421" t="s">
        <v>624</v>
      </c>
      <c r="G421" s="40" t="str">
        <f>_xlfn.XLOOKUP(PROPERTIES[[#This Row],[COUNTRY]],COUNTRIES[COUNTRY_DESCRIPTION],COUNTRIES[COUNTRY_LABEL],"")</f>
        <v>HR</v>
      </c>
      <c r="H421" t="str" cm="1">
        <f t="array" ref="H4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1" t="s">
        <v>17</v>
      </c>
      <c r="J421">
        <v>0</v>
      </c>
      <c r="K421">
        <v>8</v>
      </c>
      <c r="L421">
        <v>0</v>
      </c>
      <c r="M421" t="str" cm="1">
        <f t="array" ref="M4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1">
        <f>_xlfn.XLOOKUP("LOADINGSPEEDDEF_"&amp;PROPERTIES[[#This Row],[LOADINGSPEED]],LOADINGSPEEDDEF[TYPE],LOADINGSPEEDDEF[SPEED])</f>
        <v>20</v>
      </c>
      <c r="O421" cm="1">
        <f t="array" ref="O4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1">
        <f>IF(ISNUMBER(SEARCH("passenger",PROPERTIES[[#This Row],[CARGODEF]])),1,0)</f>
        <v>0</v>
      </c>
      <c r="Q421" s="23">
        <v>80</v>
      </c>
      <c r="R421">
        <v>4624</v>
      </c>
      <c r="S421">
        <v>0</v>
      </c>
      <c r="T421">
        <v>0</v>
      </c>
      <c r="U421">
        <v>0</v>
      </c>
      <c r="V421">
        <v>120</v>
      </c>
      <c r="W421">
        <v>0</v>
      </c>
      <c r="X421">
        <v>0</v>
      </c>
      <c r="Y421">
        <v>0</v>
      </c>
      <c r="Z421" s="20">
        <v>275</v>
      </c>
      <c r="AA421" s="19">
        <f>IFERROR(PROPERTIES[[#This Row],[TE_STARTING_KN]]/(PROPERTIES[[#This Row],[WEIGHT]]*9.81),0)</f>
        <v>0.35040774719673801</v>
      </c>
      <c r="AB421" s="19">
        <v>0</v>
      </c>
      <c r="AC421" s="16">
        <f>ROUND(IF(IFERROR(PROPERTIES[[#This Row],[TE_COEFFICIENT_CALC]],0)=0,PROPERTIES[[#This Row],[TE_COEFFICIENT_MANUAL]],PROPERTIES[[#This Row],[TE_COEFFICIENT_CALC]]),3)</f>
        <v>0.35</v>
      </c>
      <c r="AD421" s="8" cm="1">
        <f t="array" ref="AD4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421" s="26">
        <v>0</v>
      </c>
      <c r="AF421" s="6">
        <v>0</v>
      </c>
      <c r="AG421" t="s">
        <v>236</v>
      </c>
      <c r="AH421" t="s">
        <v>229</v>
      </c>
      <c r="AI421" t="s">
        <v>229</v>
      </c>
      <c r="AJ421" s="2" t="s">
        <v>229</v>
      </c>
      <c r="AK421" s="2" t="s">
        <v>244</v>
      </c>
      <c r="AL42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1" s="2" t="str">
        <f>SUBSTITUTE(SUBSTITUTE(PROPERTIES[[#This Row],[PURCHASECOST_VALUE]], "PURCHASECOST_", ""), "_VALUE", "")</f>
        <v>ELECTRICENGINE</v>
      </c>
      <c r="AO421" s="44" t="b">
        <v>0</v>
      </c>
      <c r="AP421" s="48" t="b">
        <v>0</v>
      </c>
      <c r="AQ421" s="48" t="b">
        <v>0</v>
      </c>
      <c r="AR421" s="48">
        <v>0</v>
      </c>
      <c r="AS421" s="48" t="b">
        <v>0</v>
      </c>
      <c r="AT421" s="7" t="b">
        <v>0</v>
      </c>
      <c r="AU421" s="40" t="str" cm="1">
        <f t="array" ref="AU421">_xlfn.XLOOKUP(PROPERTIES[[#This Row],[VEHIDCODE]],GRAPHICS_PROPERTIES[VEHIDCODE],GRAPHICS_PROPERTIES[TEMPLATE_ID]&amp;GRAPHICS_PROPERTIES[TEMPLATE_AMENDMENT_CODE])</f>
        <v>TPL_01A</v>
      </c>
    </row>
    <row r="422" spans="1:47" x14ac:dyDescent="0.35">
      <c r="A422" s="2" t="s">
        <v>3056</v>
      </c>
      <c r="B422">
        <v>1963</v>
      </c>
      <c r="C422">
        <v>2016</v>
      </c>
      <c r="D422" cm="1">
        <f t="array" ref="D4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2" s="40" t="str">
        <f>_xlfn.XLOOKUP(PROPERTIES[[#This Row],[VEHIDCODE]],CONTROL[VEHIDCODE],CONTROL[ENGLISH])</f>
        <v>Ganz-MAVAG VM14 'V43'</v>
      </c>
      <c r="F422" t="s">
        <v>626</v>
      </c>
      <c r="G422" s="40" t="str">
        <f>_xlfn.XLOOKUP(PROPERTIES[[#This Row],[COUNTRY]],COUNTRIES[COUNTRY_DESCRIPTION],COUNTRIES[COUNTRY_LABEL],"")</f>
        <v>HU</v>
      </c>
      <c r="H422" t="str" cm="1">
        <f t="array" ref="H4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2" t="s">
        <v>17</v>
      </c>
      <c r="J422">
        <v>0</v>
      </c>
      <c r="K422">
        <v>8</v>
      </c>
      <c r="L422">
        <v>0</v>
      </c>
      <c r="M422" t="str" cm="1">
        <f t="array" ref="M4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2">
        <f>_xlfn.XLOOKUP("LOADINGSPEEDDEF_"&amp;PROPERTIES[[#This Row],[LOADINGSPEED]],LOADINGSPEEDDEF[TYPE],LOADINGSPEEDDEF[SPEED])</f>
        <v>20</v>
      </c>
      <c r="O422" cm="1">
        <f t="array" ref="O4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2">
        <f>IF(ISNUMBER(SEARCH("passenger",PROPERTIES[[#This Row],[CARGODEF]])),1,0)</f>
        <v>0</v>
      </c>
      <c r="Q422" s="23">
        <v>80</v>
      </c>
      <c r="R422">
        <v>3000</v>
      </c>
      <c r="S422">
        <v>0</v>
      </c>
      <c r="T422">
        <v>0</v>
      </c>
      <c r="U422">
        <v>0</v>
      </c>
      <c r="V422">
        <v>120</v>
      </c>
      <c r="W422">
        <v>0</v>
      </c>
      <c r="X422">
        <v>0</v>
      </c>
      <c r="Y422">
        <v>0</v>
      </c>
      <c r="Z422" s="20">
        <v>270</v>
      </c>
      <c r="AA422" s="19">
        <f>IFERROR(PROPERTIES[[#This Row],[TE_STARTING_KN]]/(PROPERTIES[[#This Row],[WEIGHT]]*9.81),0)</f>
        <v>0.34403669724770641</v>
      </c>
      <c r="AB422" s="19">
        <v>0</v>
      </c>
      <c r="AC422" s="16">
        <f>ROUND(IF(IFERROR(PROPERTIES[[#This Row],[TE_COEFFICIENT_CALC]],0)=0,PROPERTIES[[#This Row],[TE_COEFFICIENT_MANUAL]],PROPERTIES[[#This Row],[TE_COEFFICIENT_CALC]]),3)</f>
        <v>0.34399999999999997</v>
      </c>
      <c r="AD422" s="8" cm="1">
        <f t="array" ref="AD4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422" s="26">
        <v>0</v>
      </c>
      <c r="AF422" s="6">
        <v>0</v>
      </c>
      <c r="AG422" t="s">
        <v>236</v>
      </c>
      <c r="AH422" t="s">
        <v>229</v>
      </c>
      <c r="AI422" t="s">
        <v>229</v>
      </c>
      <c r="AJ422" s="2" t="s">
        <v>229</v>
      </c>
      <c r="AK422" s="2" t="s">
        <v>244</v>
      </c>
      <c r="AL42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2" s="2" t="str">
        <f>SUBSTITUTE(SUBSTITUTE(PROPERTIES[[#This Row],[PURCHASECOST_VALUE]], "PURCHASECOST_", ""), "_VALUE", "")</f>
        <v>ELECTRICENGINE</v>
      </c>
      <c r="AO422" s="44" t="b">
        <v>0</v>
      </c>
      <c r="AP422" s="48" t="b">
        <v>0</v>
      </c>
      <c r="AQ422" s="48" t="b">
        <v>0</v>
      </c>
      <c r="AR422" s="48">
        <v>0</v>
      </c>
      <c r="AS422" s="48" t="b">
        <v>0</v>
      </c>
      <c r="AT422" s="7" t="b">
        <v>0</v>
      </c>
      <c r="AU422" s="40" t="str" cm="1">
        <f t="array" ref="AU422">_xlfn.XLOOKUP(PROPERTIES[[#This Row],[VEHIDCODE]],GRAPHICS_PROPERTIES[VEHIDCODE],GRAPHICS_PROPERTIES[TEMPLATE_ID]&amp;GRAPHICS_PROPERTIES[TEMPLATE_AMENDMENT_CODE])</f>
        <v>TPL_01A</v>
      </c>
    </row>
    <row r="423" spans="1:47" x14ac:dyDescent="0.35">
      <c r="A423" s="2" t="s">
        <v>3057</v>
      </c>
      <c r="B423">
        <v>1956</v>
      </c>
      <c r="C423">
        <v>2009</v>
      </c>
      <c r="D423" cm="1">
        <f t="array" ref="D4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3" s="40" t="str">
        <f>_xlfn.XLOOKUP(PROPERTIES[[#This Row],[VEHIDCODE]],CONTROL[VEHIDCODE],CONTROL[ENGLISH])</f>
        <v>Alsthom CP 2500</v>
      </c>
      <c r="F423" t="s">
        <v>710</v>
      </c>
      <c r="G423" s="40" t="str">
        <f>_xlfn.XLOOKUP(PROPERTIES[[#This Row],[COUNTRY]],COUNTRIES[COUNTRY_DESCRIPTION],COUNTRIES[COUNTRY_LABEL],"")</f>
        <v>PT</v>
      </c>
      <c r="H423" t="str" cm="1">
        <f t="array" ref="H4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3" t="s">
        <v>17</v>
      </c>
      <c r="J423">
        <v>0</v>
      </c>
      <c r="K423">
        <v>6</v>
      </c>
      <c r="L423">
        <v>0</v>
      </c>
      <c r="M423" t="str" cm="1">
        <f t="array" ref="M4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3">
        <f>_xlfn.XLOOKUP("LOADINGSPEEDDEF_"&amp;PROPERTIES[[#This Row],[LOADINGSPEED]],LOADINGSPEEDDEF[TYPE],LOADINGSPEEDDEF[SPEED])</f>
        <v>20</v>
      </c>
      <c r="O423" cm="1">
        <f t="array" ref="O4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3">
        <f>IF(ISNUMBER(SEARCH("passenger",PROPERTIES[[#This Row],[CARGODEF]])),1,0)</f>
        <v>0</v>
      </c>
      <c r="Q423" s="23">
        <v>72</v>
      </c>
      <c r="R423">
        <v>2790</v>
      </c>
      <c r="S423">
        <v>0</v>
      </c>
      <c r="T423">
        <v>0</v>
      </c>
      <c r="U423">
        <v>0</v>
      </c>
      <c r="V423">
        <v>120</v>
      </c>
      <c r="W423">
        <v>0</v>
      </c>
      <c r="X423">
        <v>0</v>
      </c>
      <c r="Y423">
        <v>0</v>
      </c>
      <c r="Z423" s="20">
        <v>191</v>
      </c>
      <c r="AA423" s="19">
        <f>IFERROR(PROPERTIES[[#This Row],[TE_STARTING_KN]]/(PROPERTIES[[#This Row],[WEIGHT]]*9.81),0)</f>
        <v>0.27041567561445234</v>
      </c>
      <c r="AB423" s="19">
        <v>0</v>
      </c>
      <c r="AC423" s="16">
        <f>ROUND(IF(IFERROR(PROPERTIES[[#This Row],[TE_COEFFICIENT_CALC]],0)=0,PROPERTIES[[#This Row],[TE_COEFFICIENT_MANUAL]],PROPERTIES[[#This Row],[TE_COEFFICIENT_CALC]]),3)</f>
        <v>0.27</v>
      </c>
      <c r="AD423" s="8" cm="1">
        <f t="array" ref="AD4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423" s="26">
        <v>0</v>
      </c>
      <c r="AF423" s="6">
        <v>0</v>
      </c>
      <c r="AG423" t="s">
        <v>231</v>
      </c>
      <c r="AH423" t="s">
        <v>229</v>
      </c>
      <c r="AI423" t="s">
        <v>229</v>
      </c>
      <c r="AJ423" s="2" t="s">
        <v>229</v>
      </c>
      <c r="AK423" s="2" t="s">
        <v>244</v>
      </c>
      <c r="AL42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3" s="2" t="str">
        <f>SUBSTITUTE(SUBSTITUTE(PROPERTIES[[#This Row],[PURCHASECOST_VALUE]], "PURCHASECOST_", ""), "_VALUE", "")</f>
        <v>ELECTRICENGINE</v>
      </c>
      <c r="AO423" s="44" t="b">
        <v>0</v>
      </c>
      <c r="AP423" s="48" t="b">
        <v>0</v>
      </c>
      <c r="AQ423" s="48" t="b">
        <v>0</v>
      </c>
      <c r="AR423" s="48">
        <v>0</v>
      </c>
      <c r="AS423" s="48" t="b">
        <v>0</v>
      </c>
      <c r="AT423" s="7" t="b">
        <v>0</v>
      </c>
      <c r="AU423" s="40" t="str" cm="1">
        <f t="array" ref="AU423">_xlfn.XLOOKUP(PROPERTIES[[#This Row],[VEHIDCODE]],GRAPHICS_PROPERTIES[VEHIDCODE],GRAPHICS_PROPERTIES[TEMPLATE_ID]&amp;GRAPHICS_PROPERTIES[TEMPLATE_AMENDMENT_CODE])</f>
        <v>TPL_01A</v>
      </c>
    </row>
    <row r="424" spans="1:47" x14ac:dyDescent="0.35">
      <c r="A424" s="2" t="s">
        <v>3058</v>
      </c>
      <c r="B424">
        <v>1974</v>
      </c>
      <c r="C424">
        <v>2013</v>
      </c>
      <c r="D424" cm="1">
        <f t="array" ref="D4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4" s="40" t="str">
        <f>_xlfn.XLOOKUP(PROPERTIES[[#This Row],[VEHIDCODE]],CONTROL[VEHIDCODE],CONTROL[ENGLISH])</f>
        <v>Alsthom CP 2600</v>
      </c>
      <c r="F424" t="s">
        <v>710</v>
      </c>
      <c r="G424" s="40" t="str">
        <f>_xlfn.XLOOKUP(PROPERTIES[[#This Row],[COUNTRY]],COUNTRIES[COUNTRY_DESCRIPTION],COUNTRIES[COUNTRY_LABEL],"")</f>
        <v>PT</v>
      </c>
      <c r="H424" t="str" cm="1">
        <f t="array" ref="H4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4" t="s">
        <v>17</v>
      </c>
      <c r="J424">
        <v>0</v>
      </c>
      <c r="K424">
        <v>8</v>
      </c>
      <c r="L424">
        <v>0</v>
      </c>
      <c r="M424" t="str" cm="1">
        <f t="array" ref="M4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4">
        <f>_xlfn.XLOOKUP("LOADINGSPEEDDEF_"&amp;PROPERTIES[[#This Row],[LOADINGSPEED]],LOADINGSPEEDDEF[TYPE],LOADINGSPEEDDEF[SPEED])</f>
        <v>20</v>
      </c>
      <c r="O424" cm="1">
        <f t="array" ref="O4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4">
        <f>IF(ISNUMBER(SEARCH("passenger",PROPERTIES[[#This Row],[CARGODEF]])),1,0)</f>
        <v>0</v>
      </c>
      <c r="Q424" s="23">
        <v>78</v>
      </c>
      <c r="R424">
        <v>4020</v>
      </c>
      <c r="S424">
        <v>0</v>
      </c>
      <c r="T424">
        <v>0</v>
      </c>
      <c r="U424">
        <v>0</v>
      </c>
      <c r="V424">
        <v>100</v>
      </c>
      <c r="W424">
        <v>0</v>
      </c>
      <c r="X424">
        <v>0</v>
      </c>
      <c r="Y424">
        <v>0</v>
      </c>
      <c r="Z424" s="20">
        <v>245</v>
      </c>
      <c r="AA424" s="19">
        <f>IFERROR(PROPERTIES[[#This Row],[TE_STARTING_KN]]/(PROPERTIES[[#This Row],[WEIGHT]]*9.81),0)</f>
        <v>0.32018610000261372</v>
      </c>
      <c r="AB424" s="19">
        <v>0</v>
      </c>
      <c r="AC424" s="16">
        <f>ROUND(IF(IFERROR(PROPERTIES[[#This Row],[TE_COEFFICIENT_CALC]],0)=0,PROPERTIES[[#This Row],[TE_COEFFICIENT_MANUAL]],PROPERTIES[[#This Row],[TE_COEFFICIENT_CALC]]),3)</f>
        <v>0.32</v>
      </c>
      <c r="AD424" s="8" cm="1">
        <f t="array" ref="AD4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24" s="26">
        <v>0</v>
      </c>
      <c r="AF424" s="6">
        <v>0</v>
      </c>
      <c r="AG424" t="s">
        <v>231</v>
      </c>
      <c r="AH424" t="s">
        <v>229</v>
      </c>
      <c r="AI424" t="s">
        <v>229</v>
      </c>
      <c r="AJ424" s="2" t="s">
        <v>229</v>
      </c>
      <c r="AK424" s="2" t="s">
        <v>244</v>
      </c>
      <c r="AL42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4" s="2" t="str">
        <f>SUBSTITUTE(SUBSTITUTE(PROPERTIES[[#This Row],[PURCHASECOST_VALUE]], "PURCHASECOST_", ""), "_VALUE", "")</f>
        <v>ELECTRICENGINE</v>
      </c>
      <c r="AO424" s="44" t="b">
        <v>0</v>
      </c>
      <c r="AP424" s="48" t="b">
        <v>0</v>
      </c>
      <c r="AQ424" s="48" t="b">
        <v>0</v>
      </c>
      <c r="AR424" s="48">
        <v>0</v>
      </c>
      <c r="AS424" s="48" t="b">
        <v>0</v>
      </c>
      <c r="AT424" s="7" t="b">
        <v>0</v>
      </c>
      <c r="AU424" s="40" t="str" cm="1">
        <f t="array" ref="AU424">_xlfn.XLOOKUP(PROPERTIES[[#This Row],[VEHIDCODE]],GRAPHICS_PROPERTIES[VEHIDCODE],GRAPHICS_PROPERTIES[TEMPLATE_ID]&amp;GRAPHICS_PROPERTIES[TEMPLATE_AMENDMENT_CODE])</f>
        <v>TPL_01A</v>
      </c>
    </row>
    <row r="425" spans="1:47" x14ac:dyDescent="0.35">
      <c r="A425" s="2" t="s">
        <v>3059</v>
      </c>
      <c r="B425">
        <v>2013</v>
      </c>
      <c r="D425" cm="1">
        <f t="array" ref="D4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5" s="40" t="str">
        <f>_xlfn.XLOOKUP(PROPERTIES[[#This Row],[VEHIDCODE]],CONTROL[VEHIDCODE],CONTROL[ENGLISH])</f>
        <v>ZELC 20E 'China Doll'</v>
      </c>
      <c r="F425" t="s">
        <v>771</v>
      </c>
      <c r="G425" s="40" t="str">
        <f>_xlfn.XLOOKUP(PROPERTIES[[#This Row],[COUNTRY]],COUNTRIES[COUNTRY_DESCRIPTION],COUNTRIES[COUNTRY_LABEL],"")</f>
        <v>ZA</v>
      </c>
      <c r="H425" t="str" cm="1">
        <f t="array" ref="H4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5" t="s">
        <v>17</v>
      </c>
      <c r="J425">
        <v>0</v>
      </c>
      <c r="K425">
        <v>7</v>
      </c>
      <c r="L425">
        <v>0</v>
      </c>
      <c r="M425" t="str" cm="1">
        <f t="array" ref="M4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5">
        <f>_xlfn.XLOOKUP("LOADINGSPEEDDEF_"&amp;PROPERTIES[[#This Row],[LOADINGSPEED]],LOADINGSPEEDDEF[TYPE],LOADINGSPEEDDEF[SPEED])</f>
        <v>20</v>
      </c>
      <c r="O425" t="str" cm="1">
        <f t="array" ref="O4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25">
        <f>IF(ISNUMBER(SEARCH("passenger",PROPERTIES[[#This Row],[CARGODEF]])),1,0)</f>
        <v>0</v>
      </c>
      <c r="Q425" s="23">
        <v>86</v>
      </c>
      <c r="R425">
        <v>4000</v>
      </c>
      <c r="S425">
        <v>0</v>
      </c>
      <c r="T425">
        <v>0</v>
      </c>
      <c r="U425">
        <v>0</v>
      </c>
      <c r="V425">
        <v>100</v>
      </c>
      <c r="W425">
        <v>0</v>
      </c>
      <c r="X425">
        <v>0</v>
      </c>
      <c r="Y425">
        <v>0</v>
      </c>
      <c r="Z425" s="20">
        <v>320</v>
      </c>
      <c r="AA425" s="19">
        <f>IFERROR(PROPERTIES[[#This Row],[TE_STARTING_KN]]/(PROPERTIES[[#This Row],[WEIGHT]]*9.81),0)</f>
        <v>0.37929971789583478</v>
      </c>
      <c r="AB425" s="19">
        <v>0</v>
      </c>
      <c r="AC425" s="16">
        <f>ROUND(IF(IFERROR(PROPERTIES[[#This Row],[TE_COEFFICIENT_CALC]],0)=0,PROPERTIES[[#This Row],[TE_COEFFICIENT_MANUAL]],PROPERTIES[[#This Row],[TE_COEFFICIENT_CALC]]),3)</f>
        <v>0.379</v>
      </c>
      <c r="AD425" s="8" cm="1">
        <f t="array" ref="AD4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25" s="26">
        <v>0</v>
      </c>
      <c r="AF425" s="6">
        <v>0</v>
      </c>
      <c r="AG425" t="s">
        <v>233</v>
      </c>
      <c r="AH425" t="s">
        <v>229</v>
      </c>
      <c r="AI425" t="s">
        <v>229</v>
      </c>
      <c r="AJ425" s="2" t="s">
        <v>229</v>
      </c>
      <c r="AK425" s="2" t="s">
        <v>244</v>
      </c>
      <c r="AL42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5" s="2" t="str">
        <f>SUBSTITUTE(SUBSTITUTE(PROPERTIES[[#This Row],[PURCHASECOST_VALUE]], "PURCHASECOST_", ""), "_VALUE", "")</f>
        <v>ELECTRICENGINE</v>
      </c>
      <c r="AO425" s="44" t="b">
        <v>0</v>
      </c>
      <c r="AP425" s="48" t="b">
        <v>0</v>
      </c>
      <c r="AQ425" s="48" t="b">
        <v>0</v>
      </c>
      <c r="AR425" s="48">
        <v>0</v>
      </c>
      <c r="AS425" s="48" t="b">
        <v>0</v>
      </c>
      <c r="AT425" s="7" t="b">
        <v>0</v>
      </c>
      <c r="AU425" s="40" t="str" cm="1">
        <f t="array" ref="AU425">_xlfn.XLOOKUP(PROPERTIES[[#This Row],[VEHIDCODE]],GRAPHICS_PROPERTIES[VEHIDCODE],GRAPHICS_PROPERTIES[TEMPLATE_ID]&amp;GRAPHICS_PROPERTIES[TEMPLATE_AMENDMENT_CODE])</f>
        <v>TPL_01A</v>
      </c>
    </row>
    <row r="426" spans="1:47" x14ac:dyDescent="0.35">
      <c r="A426" s="2" t="s">
        <v>3456</v>
      </c>
      <c r="B426">
        <v>2003</v>
      </c>
      <c r="D426" cm="1">
        <f t="array" ref="D4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6" s="40" t="str">
        <f>_xlfn.XLOOKUP(PROPERTIES[[#This Row],[VEHIDCODE]],CONTROL[VEHIDCODE],CONTROL[ENGLISH])</f>
        <v>Siemens EuroSprinter ES64F4</v>
      </c>
      <c r="F426" t="s">
        <v>584</v>
      </c>
      <c r="G426" s="40" t="str">
        <f>_xlfn.XLOOKUP(PROPERTIES[[#This Row],[COUNTRY]],COUNTRIES[COUNTRY_DESCRIPTION],COUNTRIES[COUNTRY_LABEL],"")</f>
        <v>DE</v>
      </c>
      <c r="H426" t="str" cm="1">
        <f t="array" ref="H4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6" t="s">
        <v>17</v>
      </c>
      <c r="J426">
        <v>0</v>
      </c>
      <c r="K426">
        <v>8</v>
      </c>
      <c r="L426">
        <v>0</v>
      </c>
      <c r="M426" t="str" cm="1">
        <f t="array" ref="M4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6">
        <f>_xlfn.XLOOKUP("LOADINGSPEEDDEF_"&amp;PROPERTIES[[#This Row],[LOADINGSPEED]],LOADINGSPEEDDEF[TYPE],LOADINGSPEEDDEF[SPEED])</f>
        <v>20</v>
      </c>
      <c r="O426" t="str" cm="1">
        <f t="array" ref="O4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26">
        <f>IF(ISNUMBER(SEARCH("passenger",PROPERTIES[[#This Row],[CARGODEF]])),1,0)</f>
        <v>0</v>
      </c>
      <c r="Q426" s="23">
        <v>80</v>
      </c>
      <c r="R426">
        <f>INT(6400*1.341)</f>
        <v>8582</v>
      </c>
      <c r="S426">
        <v>0</v>
      </c>
      <c r="T426">
        <f>INT(4200*1.341)</f>
        <v>5632</v>
      </c>
      <c r="U426">
        <v>0</v>
      </c>
      <c r="V426">
        <v>140</v>
      </c>
      <c r="W426">
        <v>0</v>
      </c>
      <c r="X426">
        <v>0</v>
      </c>
      <c r="Y426">
        <v>0</v>
      </c>
      <c r="Z426" s="20">
        <v>330</v>
      </c>
      <c r="AA426" s="19">
        <f>IFERROR(PROPERTIES[[#This Row],[TE_STARTING_KN]]/(PROPERTIES[[#This Row],[WEIGHT]]*9.81),0)</f>
        <v>0.42048929663608559</v>
      </c>
      <c r="AB426" s="19">
        <v>0</v>
      </c>
      <c r="AC426" s="16">
        <f>ROUND(IF(IFERROR(PROPERTIES[[#This Row],[TE_COEFFICIENT_CALC]],0)=0,PROPERTIES[[#This Row],[TE_COEFFICIENT_MANUAL]],PROPERTIES[[#This Row],[TE_COEFFICIENT_CALC]]),3)</f>
        <v>0.42</v>
      </c>
      <c r="AD426" s="8" cm="1">
        <f t="array" ref="AD4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26" s="26">
        <v>0</v>
      </c>
      <c r="AF426" s="6">
        <v>0</v>
      </c>
      <c r="AG426" t="s">
        <v>238</v>
      </c>
      <c r="AH426" t="s">
        <v>239</v>
      </c>
      <c r="AI426" t="s">
        <v>229</v>
      </c>
      <c r="AJ426" s="2" t="s">
        <v>229</v>
      </c>
      <c r="AK426" s="2" t="s">
        <v>244</v>
      </c>
      <c r="AL42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6" s="2" t="str">
        <f>SUBSTITUTE(SUBSTITUTE(PROPERTIES[[#This Row],[PURCHASECOST_VALUE]], "PURCHASECOST_", ""), "_VALUE", "")</f>
        <v>ELECTRICENGINE</v>
      </c>
      <c r="AO426" s="44" t="b">
        <v>0</v>
      </c>
      <c r="AP426" s="48" t="b">
        <v>0</v>
      </c>
      <c r="AQ426" s="48" t="b">
        <v>0</v>
      </c>
      <c r="AR426" s="48">
        <v>0</v>
      </c>
      <c r="AS426" s="48" t="b">
        <v>0</v>
      </c>
      <c r="AT426" s="7" t="b">
        <v>0</v>
      </c>
      <c r="AU426" s="40" t="str" cm="1">
        <f t="array" ref="AU426">_xlfn.XLOOKUP(PROPERTIES[[#This Row],[VEHIDCODE]],GRAPHICS_PROPERTIES[VEHIDCODE],GRAPHICS_PROPERTIES[TEMPLATE_ID]&amp;GRAPHICS_PROPERTIES[TEMPLATE_AMENDMENT_CODE])</f>
        <v>TPL_01A</v>
      </c>
    </row>
    <row r="427" spans="1:47" x14ac:dyDescent="0.35">
      <c r="A427" s="2" t="s">
        <v>3060</v>
      </c>
      <c r="B427">
        <v>2003</v>
      </c>
      <c r="D427" cm="1">
        <f t="array" ref="D4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7" s="40" t="str">
        <f>_xlfn.XLOOKUP(PROPERTIES[[#This Row],[VEHIDCODE]],CONTROL[VEHIDCODE],CONTROL[ENGLISH])</f>
        <v>DEVZ DS3</v>
      </c>
      <c r="F427" t="s">
        <v>754</v>
      </c>
      <c r="G427" s="40" t="str">
        <f>_xlfn.XLOOKUP(PROPERTIES[[#This Row],[COUNTRY]],COUNTRIES[COUNTRY_DESCRIPTION],COUNTRIES[COUNTRY_LABEL],"")</f>
        <v>UA</v>
      </c>
      <c r="H427" t="str" cm="1">
        <f t="array" ref="H4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7" t="s">
        <v>17</v>
      </c>
      <c r="J427">
        <v>0</v>
      </c>
      <c r="K427">
        <v>8</v>
      </c>
      <c r="L427">
        <v>0</v>
      </c>
      <c r="M427" t="str" cm="1">
        <f t="array" ref="M4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7">
        <f>_xlfn.XLOOKUP("LOADINGSPEEDDEF_"&amp;PROPERTIES[[#This Row],[LOADINGSPEED]],LOADINGSPEEDDEF[TYPE],LOADINGSPEEDDEF[SPEED])</f>
        <v>20</v>
      </c>
      <c r="O427" t="str" cm="1">
        <f t="array" ref="O4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27">
        <f>IF(ISNUMBER(SEARCH("passenger",PROPERTIES[[#This Row],[CARGODEF]])),1,0)</f>
        <v>0</v>
      </c>
      <c r="Q427" s="23">
        <v>90</v>
      </c>
      <c r="R427">
        <v>6450</v>
      </c>
      <c r="S427">
        <v>0</v>
      </c>
      <c r="T427">
        <v>0</v>
      </c>
      <c r="U427">
        <v>0</v>
      </c>
      <c r="V427">
        <v>160</v>
      </c>
      <c r="W427">
        <v>0</v>
      </c>
      <c r="X427">
        <v>0</v>
      </c>
      <c r="Y427">
        <v>0</v>
      </c>
      <c r="Z427" s="20">
        <v>310</v>
      </c>
      <c r="AA427" s="19">
        <f>IFERROR(PROPERTIES[[#This Row],[TE_STARTING_KN]]/(PROPERTIES[[#This Row],[WEIGHT]]*9.81),0)</f>
        <v>0.35111564163551928</v>
      </c>
      <c r="AB427" s="19">
        <v>0</v>
      </c>
      <c r="AC427" s="16">
        <f>ROUND(IF(IFERROR(PROPERTIES[[#This Row],[TE_COEFFICIENT_CALC]],0)=0,PROPERTIES[[#This Row],[TE_COEFFICIENT_MANUAL]],PROPERTIES[[#This Row],[TE_COEFFICIENT_CALC]]),3)</f>
        <v>0.35099999999999998</v>
      </c>
      <c r="AD427" s="8" cm="1">
        <f t="array" ref="AD4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27" s="26">
        <v>0</v>
      </c>
      <c r="AF427" s="6">
        <v>0</v>
      </c>
      <c r="AG427" t="s">
        <v>236</v>
      </c>
      <c r="AH427" t="s">
        <v>229</v>
      </c>
      <c r="AI427" t="s">
        <v>229</v>
      </c>
      <c r="AJ427" s="2" t="s">
        <v>229</v>
      </c>
      <c r="AK427" s="2" t="s">
        <v>244</v>
      </c>
      <c r="AL42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7" s="2" t="str">
        <f>SUBSTITUTE(SUBSTITUTE(PROPERTIES[[#This Row],[PURCHASECOST_VALUE]], "PURCHASECOST_", ""), "_VALUE", "")</f>
        <v>ELECTRICENGINE</v>
      </c>
      <c r="AO427" s="44" t="b">
        <v>0</v>
      </c>
      <c r="AP427" s="48" t="b">
        <v>0</v>
      </c>
      <c r="AQ427" s="48" t="b">
        <v>0</v>
      </c>
      <c r="AR427" s="48">
        <v>0</v>
      </c>
      <c r="AS427" s="48" t="b">
        <v>0</v>
      </c>
      <c r="AT427" s="7" t="b">
        <v>0</v>
      </c>
      <c r="AU427" s="40" t="str" cm="1">
        <f t="array" ref="AU427">_xlfn.XLOOKUP(PROPERTIES[[#This Row],[VEHIDCODE]],GRAPHICS_PROPERTIES[VEHIDCODE],GRAPHICS_PROPERTIES[TEMPLATE_ID]&amp;GRAPHICS_PROPERTIES[TEMPLATE_AMENDMENT_CODE])</f>
        <v>TPL_01A</v>
      </c>
    </row>
    <row r="428" spans="1:47" x14ac:dyDescent="0.35">
      <c r="A428" s="2" t="s">
        <v>3061</v>
      </c>
      <c r="B428">
        <v>1966</v>
      </c>
      <c r="C428">
        <v>2001</v>
      </c>
      <c r="D428" cm="1">
        <f t="array" ref="D4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8" s="40" t="str">
        <f>_xlfn.XLOOKUP(PROPERTIES[[#This Row],[VEHIDCODE]],CONTROL[VEHIDCODE],CONTROL[ENGLISH])</f>
        <v>Skoda 47E</v>
      </c>
      <c r="F428" t="s">
        <v>583</v>
      </c>
      <c r="G428" s="40" t="str">
        <f>_xlfn.XLOOKUP(PROPERTIES[[#This Row],[COUNTRY]],COUNTRIES[COUNTRY_DESCRIPTION],COUNTRIES[COUNTRY_LABEL],"")</f>
        <v>CZ</v>
      </c>
      <c r="H428" t="str" cm="1">
        <f t="array" ref="H4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8" t="s">
        <v>17</v>
      </c>
      <c r="J428">
        <v>0</v>
      </c>
      <c r="K428">
        <v>8</v>
      </c>
      <c r="L428">
        <v>0</v>
      </c>
      <c r="M428" t="str" cm="1">
        <f t="array" ref="M4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8">
        <f>_xlfn.XLOOKUP("LOADINGSPEEDDEF_"&amp;PROPERTIES[[#This Row],[LOADINGSPEED]],LOADINGSPEEDDEF[TYPE],LOADINGSPEEDDEF[SPEED])</f>
        <v>20</v>
      </c>
      <c r="O428" cm="1">
        <f t="array" ref="O4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8">
        <f>IF(ISNUMBER(SEARCH("passenger",PROPERTIES[[#This Row],[CARGODEF]])),1,0)</f>
        <v>0</v>
      </c>
      <c r="Q428" s="23">
        <v>85</v>
      </c>
      <c r="R428">
        <v>4600</v>
      </c>
      <c r="S428">
        <v>0</v>
      </c>
      <c r="T428">
        <v>0</v>
      </c>
      <c r="U428">
        <v>0</v>
      </c>
      <c r="V428">
        <v>120</v>
      </c>
      <c r="W428">
        <v>0</v>
      </c>
      <c r="X428">
        <v>0</v>
      </c>
      <c r="Y428">
        <v>0</v>
      </c>
      <c r="Z428" s="20">
        <v>210</v>
      </c>
      <c r="AA428" s="19">
        <f>IFERROR(PROPERTIES[[#This Row],[TE_STARTING_KN]]/(PROPERTIES[[#This Row],[WEIGHT]]*9.81),0)</f>
        <v>0.25184385680877858</v>
      </c>
      <c r="AB428" s="19">
        <v>0</v>
      </c>
      <c r="AC428" s="16">
        <f>ROUND(IF(IFERROR(PROPERTIES[[#This Row],[TE_COEFFICIENT_CALC]],0)=0,PROPERTIES[[#This Row],[TE_COEFFICIENT_MANUAL]],PROPERTIES[[#This Row],[TE_COEFFICIENT_CALC]]),3)</f>
        <v>0.252</v>
      </c>
      <c r="AD428" s="8" cm="1">
        <f t="array" ref="AD4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28" s="26">
        <v>0</v>
      </c>
      <c r="AF428" s="6">
        <v>0</v>
      </c>
      <c r="AG428" t="s">
        <v>236</v>
      </c>
      <c r="AH428" t="s">
        <v>229</v>
      </c>
      <c r="AI428" t="s">
        <v>229</v>
      </c>
      <c r="AJ428" s="2" t="s">
        <v>229</v>
      </c>
      <c r="AK428" s="2" t="s">
        <v>244</v>
      </c>
      <c r="AL42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8" s="2" t="str">
        <f>SUBSTITUTE(SUBSTITUTE(PROPERTIES[[#This Row],[PURCHASECOST_VALUE]], "PURCHASECOST_", ""), "_VALUE", "")</f>
        <v>ELECTRICENGINE</v>
      </c>
      <c r="AO428" s="44" t="b">
        <v>0</v>
      </c>
      <c r="AP428" s="48" t="b">
        <v>0</v>
      </c>
      <c r="AQ428" s="48" t="b">
        <v>0</v>
      </c>
      <c r="AR428" s="48">
        <v>0</v>
      </c>
      <c r="AS428" s="48" t="b">
        <v>0</v>
      </c>
      <c r="AT428" s="7" t="b">
        <v>0</v>
      </c>
      <c r="AU428" s="40" t="str" cm="1">
        <f t="array" ref="AU428">_xlfn.XLOOKUP(PROPERTIES[[#This Row],[VEHIDCODE]],GRAPHICS_PROPERTIES[VEHIDCODE],GRAPHICS_PROPERTIES[TEMPLATE_ID]&amp;GRAPHICS_PROPERTIES[TEMPLATE_AMENDMENT_CODE])</f>
        <v>TPL_01A</v>
      </c>
    </row>
    <row r="429" spans="1:47" x14ac:dyDescent="0.35">
      <c r="A429" s="2" t="s">
        <v>3062</v>
      </c>
      <c r="B429">
        <v>1988</v>
      </c>
      <c r="D429" cm="1">
        <f t="array" ref="D4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9" s="40" t="str">
        <f>_xlfn.XLOOKUP(PROPERTIES[[#This Row],[VEHIDCODE]],CONTROL[VEHIDCODE],CONTROL[ENGLISH])</f>
        <v>Ansaldo - Breda C.F E.491</v>
      </c>
      <c r="F429" t="s">
        <v>636</v>
      </c>
      <c r="G429" s="40" t="str">
        <f>_xlfn.XLOOKUP(PROPERTIES[[#This Row],[COUNTRY]],COUNTRIES[COUNTRY_DESCRIPTION],COUNTRIES[COUNTRY_LABEL],"")</f>
        <v>IT</v>
      </c>
      <c r="H429" t="str" cm="1">
        <f t="array" ref="H4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9" t="s">
        <v>17</v>
      </c>
      <c r="J429">
        <v>0</v>
      </c>
      <c r="K429">
        <v>8</v>
      </c>
      <c r="L429">
        <v>0</v>
      </c>
      <c r="M429" t="str" cm="1">
        <f t="array" ref="M4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9">
        <f>_xlfn.XLOOKUP("LOADINGSPEEDDEF_"&amp;PROPERTIES[[#This Row],[LOADINGSPEED]],LOADINGSPEEDDEF[TYPE],LOADINGSPEEDDEF[SPEED])</f>
        <v>20</v>
      </c>
      <c r="O429" t="str" cm="1">
        <f t="array" ref="O4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29">
        <f>IF(ISNUMBER(SEARCH("passenger",PROPERTIES[[#This Row],[CARGODEF]])),1,0)</f>
        <v>0</v>
      </c>
      <c r="Q429" s="23">
        <v>77</v>
      </c>
      <c r="R429">
        <v>4600</v>
      </c>
      <c r="S429">
        <v>0</v>
      </c>
      <c r="T429">
        <v>0</v>
      </c>
      <c r="U429">
        <v>0</v>
      </c>
      <c r="V429">
        <v>140</v>
      </c>
      <c r="W429">
        <v>0</v>
      </c>
      <c r="X429">
        <v>0</v>
      </c>
      <c r="Y429">
        <v>0</v>
      </c>
      <c r="Z429" s="20">
        <v>228</v>
      </c>
      <c r="AA429" s="19">
        <f>IFERROR(PROPERTIES[[#This Row],[TE_STARTING_KN]]/(PROPERTIES[[#This Row],[WEIGHT]]*9.81),0)</f>
        <v>0.30183883394892569</v>
      </c>
      <c r="AB429" s="19">
        <v>0</v>
      </c>
      <c r="AC429" s="16">
        <f>ROUND(IF(IFERROR(PROPERTIES[[#This Row],[TE_COEFFICIENT_CALC]],0)=0,PROPERTIES[[#This Row],[TE_COEFFICIENT_MANUAL]],PROPERTIES[[#This Row],[TE_COEFFICIENT_CALC]]),3)</f>
        <v>0.30199999999999999</v>
      </c>
      <c r="AD429" s="8" cm="1">
        <f t="array" ref="AD4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29" s="26">
        <v>0</v>
      </c>
      <c r="AF429" s="6">
        <v>0</v>
      </c>
      <c r="AG429" t="s">
        <v>231</v>
      </c>
      <c r="AH429" t="s">
        <v>229</v>
      </c>
      <c r="AI429" t="s">
        <v>229</v>
      </c>
      <c r="AJ429" s="2" t="s">
        <v>229</v>
      </c>
      <c r="AK429" s="2" t="s">
        <v>244</v>
      </c>
      <c r="AL42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9" s="2" t="str">
        <f>SUBSTITUTE(SUBSTITUTE(PROPERTIES[[#This Row],[PURCHASECOST_VALUE]], "PURCHASECOST_", ""), "_VALUE", "")</f>
        <v>ELECTRICENGINE</v>
      </c>
      <c r="AO429" s="44" t="b">
        <v>0</v>
      </c>
      <c r="AP429" s="48" t="b">
        <v>0</v>
      </c>
      <c r="AQ429" s="48" t="b">
        <v>0</v>
      </c>
      <c r="AR429" s="48">
        <v>0</v>
      </c>
      <c r="AS429" s="48" t="b">
        <v>0</v>
      </c>
      <c r="AT429" s="7" t="b">
        <v>0</v>
      </c>
      <c r="AU429" s="40" t="str" cm="1">
        <f t="array" ref="AU429">_xlfn.XLOOKUP(PROPERTIES[[#This Row],[VEHIDCODE]],GRAPHICS_PROPERTIES[VEHIDCODE],GRAPHICS_PROPERTIES[TEMPLATE_ID]&amp;GRAPHICS_PROPERTIES[TEMPLATE_AMENDMENT_CODE])</f>
        <v>TPL_01A</v>
      </c>
    </row>
    <row r="430" spans="1:47" x14ac:dyDescent="0.35">
      <c r="A430" s="2" t="s">
        <v>3063</v>
      </c>
      <c r="B430">
        <v>1978</v>
      </c>
      <c r="D430" cm="1">
        <f t="array" ref="D4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0" s="40" t="str">
        <f>_xlfn.XLOOKUP(PROPERTIES[[#This Row],[VEHIDCODE]],CONTROL[VEHIDCODE],CONTROL[ENGLISH])</f>
        <v>ASEA/Electroputere LE5100</v>
      </c>
      <c r="F430" t="s">
        <v>670</v>
      </c>
      <c r="G430" s="40" t="str">
        <f>_xlfn.XLOOKUP(PROPERTIES[[#This Row],[COUNTRY]],COUNTRIES[COUNTRY_DESCRIPTION],COUNTRIES[COUNTRY_LABEL],"")</f>
        <v>MK</v>
      </c>
      <c r="H430" t="str" cm="1">
        <f t="array" ref="H4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0" t="s">
        <v>17</v>
      </c>
      <c r="J430">
        <v>0</v>
      </c>
      <c r="K430">
        <v>8</v>
      </c>
      <c r="L430">
        <v>0</v>
      </c>
      <c r="M430" t="str" cm="1">
        <f t="array" ref="M4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0">
        <f>_xlfn.XLOOKUP("LOADINGSPEEDDEF_"&amp;PROPERTIES[[#This Row],[LOADINGSPEED]],LOADINGSPEEDDEF[TYPE],LOADINGSPEEDDEF[SPEED])</f>
        <v>20</v>
      </c>
      <c r="O430" cm="1">
        <f t="array" ref="O4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0">
        <f>IF(ISNUMBER(SEARCH("passenger",PROPERTIES[[#This Row],[CARGODEF]])),1,0)</f>
        <v>0</v>
      </c>
      <c r="Q430" s="23">
        <v>120</v>
      </c>
      <c r="R430">
        <v>6834</v>
      </c>
      <c r="S430">
        <v>0</v>
      </c>
      <c r="T430">
        <v>0</v>
      </c>
      <c r="U430">
        <v>0</v>
      </c>
      <c r="V430">
        <v>120</v>
      </c>
      <c r="W430">
        <v>0</v>
      </c>
      <c r="X430">
        <v>0</v>
      </c>
      <c r="Y430">
        <v>0</v>
      </c>
      <c r="Z430" s="20">
        <v>392</v>
      </c>
      <c r="AA430" s="19">
        <f>IFERROR(PROPERTIES[[#This Row],[TE_STARTING_KN]]/(PROPERTIES[[#This Row],[WEIGHT]]*9.81),0)</f>
        <v>0.3329935440027183</v>
      </c>
      <c r="AB430" s="19">
        <v>0</v>
      </c>
      <c r="AC430" s="16">
        <f>ROUND(IF(IFERROR(PROPERTIES[[#This Row],[TE_COEFFICIENT_CALC]],0)=0,PROPERTIES[[#This Row],[TE_COEFFICIENT_MANUAL]],PROPERTIES[[#This Row],[TE_COEFFICIENT_CALC]]),3)</f>
        <v>0.33300000000000002</v>
      </c>
      <c r="AD430" s="8" cm="1">
        <f t="array" ref="AD4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0" s="26">
        <v>0</v>
      </c>
      <c r="AF430" s="6">
        <v>0</v>
      </c>
      <c r="AG430" t="s">
        <v>231</v>
      </c>
      <c r="AH430" t="s">
        <v>229</v>
      </c>
      <c r="AI430" t="s">
        <v>229</v>
      </c>
      <c r="AJ430" s="2" t="s">
        <v>229</v>
      </c>
      <c r="AK430" s="2" t="s">
        <v>244</v>
      </c>
      <c r="AL43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0" s="2" t="str">
        <f>SUBSTITUTE(SUBSTITUTE(PROPERTIES[[#This Row],[PURCHASECOST_VALUE]], "PURCHASECOST_", ""), "_VALUE", "")</f>
        <v>ELECTRICENGINE</v>
      </c>
      <c r="AO430" s="44" t="b">
        <v>0</v>
      </c>
      <c r="AP430" s="48" t="b">
        <v>0</v>
      </c>
      <c r="AQ430" s="48" t="b">
        <v>0</v>
      </c>
      <c r="AR430" s="48">
        <v>0</v>
      </c>
      <c r="AS430" s="48" t="b">
        <v>0</v>
      </c>
      <c r="AT430" s="7" t="b">
        <v>0</v>
      </c>
      <c r="AU430" s="40" t="str" cm="1">
        <f t="array" ref="AU430">_xlfn.XLOOKUP(PROPERTIES[[#This Row],[VEHIDCODE]],GRAPHICS_PROPERTIES[VEHIDCODE],GRAPHICS_PROPERTIES[TEMPLATE_ID]&amp;GRAPHICS_PROPERTIES[TEMPLATE_AMENDMENT_CODE])</f>
        <v>TPL_01A</v>
      </c>
    </row>
    <row r="431" spans="1:47" x14ac:dyDescent="0.35">
      <c r="A431" s="2" t="s">
        <v>3064</v>
      </c>
      <c r="B431">
        <v>1926</v>
      </c>
      <c r="C431">
        <v>1984</v>
      </c>
      <c r="D431" cm="1">
        <f t="array" ref="D4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1" s="40" t="str">
        <f>_xlfn.XLOOKUP(PROPERTIES[[#This Row],[VEHIDCODE]],CONTROL[VEHIDCODE],CONTROL[ENGLISH])</f>
        <v>CEF BB 1600</v>
      </c>
      <c r="F431" t="s">
        <v>663</v>
      </c>
      <c r="G431" s="40" t="str">
        <f>_xlfn.XLOOKUP(PROPERTIES[[#This Row],[COUNTRY]],COUNTRIES[COUNTRY_DESCRIPTION],COUNTRIES[COUNTRY_LABEL],"")</f>
        <v>MA</v>
      </c>
      <c r="H431" t="str" cm="1">
        <f t="array" ref="H4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1" t="s">
        <v>17</v>
      </c>
      <c r="J431">
        <v>0</v>
      </c>
      <c r="K431">
        <v>5</v>
      </c>
      <c r="L431">
        <v>0</v>
      </c>
      <c r="M431" t="str" cm="1">
        <f t="array" ref="M4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1">
        <f>_xlfn.XLOOKUP("LOADINGSPEEDDEF_"&amp;PROPERTIES[[#This Row],[LOADINGSPEED]],LOADINGSPEEDDEF[TYPE],LOADINGSPEEDDEF[SPEED])</f>
        <v>20</v>
      </c>
      <c r="O431" cm="1">
        <f t="array" ref="O4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1">
        <f>IF(ISNUMBER(SEARCH("passenger",PROPERTIES[[#This Row],[CARGODEF]])),1,0)</f>
        <v>0</v>
      </c>
      <c r="Q431" s="23">
        <v>76</v>
      </c>
      <c r="R431">
        <v>986</v>
      </c>
      <c r="S431">
        <v>0</v>
      </c>
      <c r="T431">
        <v>0</v>
      </c>
      <c r="U431">
        <v>0</v>
      </c>
      <c r="V431">
        <v>90</v>
      </c>
      <c r="W431">
        <v>0</v>
      </c>
      <c r="X431">
        <v>0</v>
      </c>
      <c r="Y431">
        <v>0</v>
      </c>
      <c r="Z431" s="20">
        <v>0</v>
      </c>
      <c r="AA431" s="19">
        <f>IFERROR(PROPERTIES[[#This Row],[TE_STARTING_KN]]/(PROPERTIES[[#This Row],[WEIGHT]]*9.81),0)</f>
        <v>0</v>
      </c>
      <c r="AB431" s="19">
        <v>0.21</v>
      </c>
      <c r="AC431" s="16">
        <f>ROUND(IF(IFERROR(PROPERTIES[[#This Row],[TE_COEFFICIENT_CALC]],0)=0,PROPERTIES[[#This Row],[TE_COEFFICIENT_MANUAL]],PROPERTIES[[#This Row],[TE_COEFFICIENT_CALC]]),3)</f>
        <v>0.21</v>
      </c>
      <c r="AD431" s="8" cm="1">
        <f t="array" ref="AD4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431" s="26">
        <v>0</v>
      </c>
      <c r="AF431" s="6">
        <v>0</v>
      </c>
      <c r="AG431" t="s">
        <v>230</v>
      </c>
      <c r="AH431" t="s">
        <v>229</v>
      </c>
      <c r="AI431" t="s">
        <v>229</v>
      </c>
      <c r="AJ431" s="2" t="s">
        <v>229</v>
      </c>
      <c r="AK431" s="2" t="s">
        <v>244</v>
      </c>
      <c r="AL43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1" s="2" t="str">
        <f>SUBSTITUTE(SUBSTITUTE(PROPERTIES[[#This Row],[PURCHASECOST_VALUE]], "PURCHASECOST_", ""), "_VALUE", "")</f>
        <v>ELECTRICENGINE</v>
      </c>
      <c r="AO431" s="44" t="b">
        <v>0</v>
      </c>
      <c r="AP431" s="48" t="b">
        <v>0</v>
      </c>
      <c r="AQ431" s="48" t="b">
        <v>0</v>
      </c>
      <c r="AR431" s="48">
        <v>0</v>
      </c>
      <c r="AS431" s="48" t="b">
        <v>0</v>
      </c>
      <c r="AT431" s="7" t="b">
        <v>0</v>
      </c>
      <c r="AU431" s="40" t="str" cm="1">
        <f t="array" ref="AU431">_xlfn.XLOOKUP(PROPERTIES[[#This Row],[VEHIDCODE]],GRAPHICS_PROPERTIES[VEHIDCODE],GRAPHICS_PROPERTIES[TEMPLATE_ID]&amp;GRAPHICS_PROPERTIES[TEMPLATE_AMENDMENT_CODE])</f>
        <v>TPL_01A</v>
      </c>
    </row>
    <row r="432" spans="1:47" x14ac:dyDescent="0.35">
      <c r="A432" s="2" t="s">
        <v>3065</v>
      </c>
      <c r="B432">
        <v>1961</v>
      </c>
      <c r="C432">
        <v>1981</v>
      </c>
      <c r="D432" cm="1">
        <f t="array" ref="D4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2" s="40" t="str">
        <f>_xlfn.XLOOKUP(PROPERTIES[[#This Row],[VEHIDCODE]],CONTROL[VEHIDCODE],CONTROL[ENGLISH])</f>
        <v>Doncaster AL5</v>
      </c>
      <c r="F432" t="s">
        <v>603</v>
      </c>
      <c r="G432" s="40" t="str">
        <f>_xlfn.XLOOKUP(PROPERTIES[[#This Row],[COUNTRY]],COUNTRIES[COUNTRY_DESCRIPTION],COUNTRIES[COUNTRY_LABEL],"")</f>
        <v>GB</v>
      </c>
      <c r="H432" t="str" cm="1">
        <f t="array" ref="H4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2" t="s">
        <v>17</v>
      </c>
      <c r="J432">
        <v>0</v>
      </c>
      <c r="K432">
        <v>7</v>
      </c>
      <c r="L432">
        <v>0</v>
      </c>
      <c r="M432" t="str" cm="1">
        <f t="array" ref="M4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2">
        <f>_xlfn.XLOOKUP("LOADINGSPEEDDEF_"&amp;PROPERTIES[[#This Row],[LOADINGSPEED]],LOADINGSPEEDDEF[TYPE],LOADINGSPEEDDEF[SPEED])</f>
        <v>20</v>
      </c>
      <c r="O432" cm="1">
        <f t="array" ref="O4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2">
        <f>IF(ISNUMBER(SEARCH("passenger",PROPERTIES[[#This Row],[CARGODEF]])),1,0)</f>
        <v>0</v>
      </c>
      <c r="Q432" s="23">
        <v>81</v>
      </c>
      <c r="R432">
        <v>3200</v>
      </c>
      <c r="S432">
        <v>0</v>
      </c>
      <c r="T432">
        <v>0</v>
      </c>
      <c r="U432">
        <v>0</v>
      </c>
      <c r="V432">
        <v>160</v>
      </c>
      <c r="W432">
        <v>0</v>
      </c>
      <c r="X432">
        <v>0</v>
      </c>
      <c r="Y432">
        <v>0</v>
      </c>
      <c r="Z432" s="20">
        <v>220</v>
      </c>
      <c r="AA432" s="19">
        <f>IFERROR(PROPERTIES[[#This Row],[TE_STARTING_KN]]/(PROPERTIES[[#This Row],[WEIGHT]]*9.81),0)</f>
        <v>0.27686538050112636</v>
      </c>
      <c r="AB432" s="19">
        <v>0</v>
      </c>
      <c r="AC432" s="16">
        <f>ROUND(IF(IFERROR(PROPERTIES[[#This Row],[TE_COEFFICIENT_CALC]],0)=0,PROPERTIES[[#This Row],[TE_COEFFICIENT_MANUAL]],PROPERTIES[[#This Row],[TE_COEFFICIENT_CALC]]),3)</f>
        <v>0.27700000000000002</v>
      </c>
      <c r="AD432" s="8" cm="1">
        <f t="array" ref="AD4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2" s="26">
        <v>0</v>
      </c>
      <c r="AF432" s="6">
        <v>0</v>
      </c>
      <c r="AG432" t="s">
        <v>234</v>
      </c>
      <c r="AH432" t="s">
        <v>229</v>
      </c>
      <c r="AI432" t="s">
        <v>229</v>
      </c>
      <c r="AJ432" s="2" t="s">
        <v>229</v>
      </c>
      <c r="AK432" s="2" t="s">
        <v>244</v>
      </c>
      <c r="AL43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2" s="2" t="str">
        <f>SUBSTITUTE(SUBSTITUTE(PROPERTIES[[#This Row],[PURCHASECOST_VALUE]], "PURCHASECOST_", ""), "_VALUE", "")</f>
        <v>ELECTRICENGINE</v>
      </c>
      <c r="AO432" s="44" t="b">
        <v>0</v>
      </c>
      <c r="AP432" s="48" t="b">
        <v>0</v>
      </c>
      <c r="AQ432" s="48" t="b">
        <v>0</v>
      </c>
      <c r="AR432" s="48">
        <v>0</v>
      </c>
      <c r="AS432" s="48" t="b">
        <v>0</v>
      </c>
      <c r="AT432" s="7" t="b">
        <v>0</v>
      </c>
      <c r="AU432" s="40" t="str" cm="1">
        <f t="array" ref="AU432">_xlfn.XLOOKUP(PROPERTIES[[#This Row],[VEHIDCODE]],GRAPHICS_PROPERTIES[VEHIDCODE],GRAPHICS_PROPERTIES[TEMPLATE_ID]&amp;GRAPHICS_PROPERTIES[TEMPLATE_AMENDMENT_CODE])</f>
        <v>TPL_01A</v>
      </c>
    </row>
    <row r="433" spans="1:47" x14ac:dyDescent="0.35">
      <c r="A433" s="2" t="s">
        <v>3066</v>
      </c>
      <c r="B433">
        <v>1982</v>
      </c>
      <c r="D433" cm="1">
        <f t="array" ref="D4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3" s="40" t="str">
        <f>_xlfn.XLOOKUP(PROPERTIES[[#This Row],[VEHIDCODE]],CONTROL[VEHIDCODE],CONTROL[ENGLISH])</f>
        <v>GE E60C-2</v>
      </c>
      <c r="F433" t="s">
        <v>683</v>
      </c>
      <c r="G433" s="40" t="str">
        <f>_xlfn.XLOOKUP(PROPERTIES[[#This Row],[COUNTRY]],COUNTRIES[COUNTRY_DESCRIPTION],COUNTRIES[COUNTRY_LABEL],"")</f>
        <v>MX</v>
      </c>
      <c r="H433" t="str" cm="1">
        <f t="array" ref="H4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3" t="s">
        <v>17</v>
      </c>
      <c r="J433">
        <v>0</v>
      </c>
      <c r="K433">
        <v>8</v>
      </c>
      <c r="L433">
        <v>0</v>
      </c>
      <c r="M433" t="str" cm="1">
        <f t="array" ref="M4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3">
        <f>_xlfn.XLOOKUP("LOADINGSPEEDDEF_"&amp;PROPERTIES[[#This Row],[LOADINGSPEED]],LOADINGSPEEDDEF[TYPE],LOADINGSPEEDDEF[SPEED])</f>
        <v>20</v>
      </c>
      <c r="O433" cm="1">
        <f t="array" ref="O4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3">
        <f>IF(ISNUMBER(SEARCH("passenger",PROPERTIES[[#This Row],[CARGODEF]])),1,0)</f>
        <v>0</v>
      </c>
      <c r="Q433" s="23">
        <v>167.8</v>
      </c>
      <c r="R433">
        <v>6000</v>
      </c>
      <c r="S433">
        <v>0</v>
      </c>
      <c r="T433">
        <v>0</v>
      </c>
      <c r="U433">
        <v>0</v>
      </c>
      <c r="V433">
        <v>110</v>
      </c>
      <c r="W433">
        <v>0</v>
      </c>
      <c r="X433">
        <v>0</v>
      </c>
      <c r="Y433">
        <v>0</v>
      </c>
      <c r="Z433" s="20">
        <v>520</v>
      </c>
      <c r="AA433" s="19">
        <f>IFERROR(PROPERTIES[[#This Row],[TE_STARTING_KN]]/(PROPERTIES[[#This Row],[WEIGHT]]*9.81),0)</f>
        <v>0.31589472929644163</v>
      </c>
      <c r="AB433" s="19">
        <v>0</v>
      </c>
      <c r="AC433" s="16">
        <f>ROUND(IF(IFERROR(PROPERTIES[[#This Row],[TE_COEFFICIENT_CALC]],0)=0,PROPERTIES[[#This Row],[TE_COEFFICIENT_MANUAL]],PROPERTIES[[#This Row],[TE_COEFFICIENT_CALC]]),3)</f>
        <v>0.316</v>
      </c>
      <c r="AD433" s="8" cm="1">
        <f t="array" ref="AD4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3" s="26">
        <v>0</v>
      </c>
      <c r="AF433" s="6">
        <v>0</v>
      </c>
      <c r="AG433" t="s">
        <v>235</v>
      </c>
      <c r="AH433" t="s">
        <v>229</v>
      </c>
      <c r="AI433" t="s">
        <v>229</v>
      </c>
      <c r="AJ433" s="2" t="s">
        <v>229</v>
      </c>
      <c r="AK433" s="2" t="s">
        <v>244</v>
      </c>
      <c r="AL43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3" s="2" t="str">
        <f>SUBSTITUTE(SUBSTITUTE(PROPERTIES[[#This Row],[PURCHASECOST_VALUE]], "PURCHASECOST_", ""), "_VALUE", "")</f>
        <v>ELECTRICENGINE</v>
      </c>
      <c r="AO433" s="44" t="b">
        <v>0</v>
      </c>
      <c r="AP433" s="48" t="b">
        <v>0</v>
      </c>
      <c r="AQ433" s="48" t="b">
        <v>0</v>
      </c>
      <c r="AR433" s="48">
        <v>0</v>
      </c>
      <c r="AS433" s="48" t="b">
        <v>0</v>
      </c>
      <c r="AT433" s="7" t="b">
        <v>0</v>
      </c>
      <c r="AU433" s="40" t="str" cm="1">
        <f t="array" ref="AU433">_xlfn.XLOOKUP(PROPERTIES[[#This Row],[VEHIDCODE]],GRAPHICS_PROPERTIES[VEHIDCODE],GRAPHICS_PROPERTIES[TEMPLATE_ID]&amp;GRAPHICS_PROPERTIES[TEMPLATE_AMENDMENT_CODE])</f>
        <v>TPL_01A</v>
      </c>
    </row>
    <row r="434" spans="1:47" x14ac:dyDescent="0.35">
      <c r="A434" s="2" t="s">
        <v>3067</v>
      </c>
      <c r="B434">
        <v>2010</v>
      </c>
      <c r="D434" cm="1">
        <f t="array" ref="D4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4" s="40" t="str">
        <f>_xlfn.XLOOKUP(PROPERTIES[[#This Row],[VEHIDCODE]],CONTROL[VEHIDCODE],CONTROL[ENGLISH])</f>
        <v>Alstom E 1400</v>
      </c>
      <c r="F434" t="s">
        <v>663</v>
      </c>
      <c r="G434" s="40" t="str">
        <f>_xlfn.XLOOKUP(PROPERTIES[[#This Row],[COUNTRY]],COUNTRIES[COUNTRY_DESCRIPTION],COUNTRIES[COUNTRY_LABEL],"")</f>
        <v>MA</v>
      </c>
      <c r="H434" t="str" cm="1">
        <f t="array" ref="H4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4" t="s">
        <v>17</v>
      </c>
      <c r="J434">
        <v>0</v>
      </c>
      <c r="K434">
        <v>8</v>
      </c>
      <c r="L434">
        <v>0</v>
      </c>
      <c r="M434" t="str" cm="1">
        <f t="array" ref="M4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4">
        <f>_xlfn.XLOOKUP("LOADINGSPEEDDEF_"&amp;PROPERTIES[[#This Row],[LOADINGSPEED]],LOADINGSPEEDDEF[TYPE],LOADINGSPEEDDEF[SPEED])</f>
        <v>20</v>
      </c>
      <c r="O434" t="str" cm="1">
        <f t="array" ref="O4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34">
        <f>IF(ISNUMBER(SEARCH("passenger",PROPERTIES[[#This Row],[CARGODEF]])),1,0)</f>
        <v>0</v>
      </c>
      <c r="Q434" s="23">
        <v>91</v>
      </c>
      <c r="R434">
        <v>8600</v>
      </c>
      <c r="S434">
        <v>0</v>
      </c>
      <c r="T434">
        <v>0</v>
      </c>
      <c r="U434">
        <v>0</v>
      </c>
      <c r="V434">
        <v>160</v>
      </c>
      <c r="W434">
        <v>0</v>
      </c>
      <c r="X434">
        <v>0</v>
      </c>
      <c r="Y434">
        <v>0</v>
      </c>
      <c r="Z434" s="20">
        <v>0</v>
      </c>
      <c r="AA434" s="19">
        <f>IFERROR(PROPERTIES[[#This Row],[TE_STARTING_KN]]/(PROPERTIES[[#This Row],[WEIGHT]]*9.81),0)</f>
        <v>0</v>
      </c>
      <c r="AB434" s="19">
        <v>0.35</v>
      </c>
      <c r="AC434" s="16">
        <f>ROUND(IF(IFERROR(PROPERTIES[[#This Row],[TE_COEFFICIENT_CALC]],0)=0,PROPERTIES[[#This Row],[TE_COEFFICIENT_MANUAL]],PROPERTIES[[#This Row],[TE_COEFFICIENT_CALC]]),3)</f>
        <v>0.35</v>
      </c>
      <c r="AD434" s="8" cm="1">
        <f t="array" ref="AD4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34" s="26">
        <v>0</v>
      </c>
      <c r="AF434" s="6">
        <v>0</v>
      </c>
      <c r="AG434" t="s">
        <v>233</v>
      </c>
      <c r="AH434" t="s">
        <v>229</v>
      </c>
      <c r="AI434" t="s">
        <v>229</v>
      </c>
      <c r="AJ434" s="2" t="s">
        <v>229</v>
      </c>
      <c r="AK434" s="2" t="s">
        <v>244</v>
      </c>
      <c r="AL43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4" s="2" t="str">
        <f>SUBSTITUTE(SUBSTITUTE(PROPERTIES[[#This Row],[PURCHASECOST_VALUE]], "PURCHASECOST_", ""), "_VALUE", "")</f>
        <v>ELECTRICENGINE</v>
      </c>
      <c r="AO434" s="44" t="b">
        <v>0</v>
      </c>
      <c r="AP434" s="48" t="b">
        <v>0</v>
      </c>
      <c r="AQ434" s="48" t="b">
        <v>0</v>
      </c>
      <c r="AR434" s="48">
        <v>0</v>
      </c>
      <c r="AS434" s="48" t="b">
        <v>0</v>
      </c>
      <c r="AT434" s="7" t="b">
        <v>0</v>
      </c>
      <c r="AU434" s="40" t="str" cm="1">
        <f t="array" ref="AU434">_xlfn.XLOOKUP(PROPERTIES[[#This Row],[VEHIDCODE]],GRAPHICS_PROPERTIES[VEHIDCODE],GRAPHICS_PROPERTIES[TEMPLATE_ID]&amp;GRAPHICS_PROPERTIES[TEMPLATE_AMENDMENT_CODE])</f>
        <v>TPL_01A</v>
      </c>
    </row>
    <row r="435" spans="1:47" x14ac:dyDescent="0.35">
      <c r="A435" s="2" t="s">
        <v>3068</v>
      </c>
      <c r="B435">
        <v>1968</v>
      </c>
      <c r="C435">
        <v>1997</v>
      </c>
      <c r="D435" cm="1">
        <f t="array" ref="D4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5" s="40" t="str">
        <f>_xlfn.XLOOKUP(PROPERTIES[[#This Row],[VEHIDCODE]],CONTROL[VEHIDCODE],CONTROL[ENGLISH])</f>
        <v>Toshiba EA</v>
      </c>
      <c r="F435" t="s">
        <v>697</v>
      </c>
      <c r="G435" s="40" t="str">
        <f>_xlfn.XLOOKUP(PROPERTIES[[#This Row],[COUNTRY]],COUNTRIES[COUNTRY_DESCRIPTION],COUNTRIES[COUNTRY_LABEL],"")</f>
        <v>NZ</v>
      </c>
      <c r="H435" t="str" cm="1">
        <f t="array" ref="H4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5" t="s">
        <v>17</v>
      </c>
      <c r="J435">
        <v>0</v>
      </c>
      <c r="K435">
        <v>6</v>
      </c>
      <c r="L435">
        <v>0</v>
      </c>
      <c r="M435" t="str" cm="1">
        <f t="array" ref="M4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5">
        <f>_xlfn.XLOOKUP("LOADINGSPEEDDEF_"&amp;PROPERTIES[[#This Row],[LOADINGSPEED]],LOADINGSPEEDDEF[TYPE],LOADINGSPEEDDEF[SPEED])</f>
        <v>20</v>
      </c>
      <c r="O435" cm="1">
        <f t="array" ref="O4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5">
        <f>IF(ISNUMBER(SEARCH("passenger",PROPERTIES[[#This Row],[CARGODEF]])),1,0)</f>
        <v>0</v>
      </c>
      <c r="Q435" s="23">
        <v>55</v>
      </c>
      <c r="R435">
        <v>1290</v>
      </c>
      <c r="S435">
        <v>0</v>
      </c>
      <c r="T435">
        <v>0</v>
      </c>
      <c r="U435">
        <v>0</v>
      </c>
      <c r="V435">
        <v>72</v>
      </c>
      <c r="W435">
        <v>0</v>
      </c>
      <c r="X435">
        <v>0</v>
      </c>
      <c r="Y435">
        <v>0</v>
      </c>
      <c r="Z435" s="20">
        <v>0</v>
      </c>
      <c r="AA435" s="19">
        <f>IFERROR(PROPERTIES[[#This Row],[TE_STARTING_KN]]/(PROPERTIES[[#This Row],[WEIGHT]]*9.81),0)</f>
        <v>0</v>
      </c>
      <c r="AB435" s="19">
        <v>0.32</v>
      </c>
      <c r="AC435" s="16">
        <f>ROUND(IF(IFERROR(PROPERTIES[[#This Row],[TE_COEFFICIENT_CALC]],0)=0,PROPERTIES[[#This Row],[TE_COEFFICIENT_MANUAL]],PROPERTIES[[#This Row],[TE_COEFFICIENT_CALC]]),3)</f>
        <v>0.32</v>
      </c>
      <c r="AD435" s="8" cm="1">
        <f t="array" ref="AD4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5" s="26">
        <v>0</v>
      </c>
      <c r="AF435" s="6">
        <v>0</v>
      </c>
      <c r="AG435" t="s">
        <v>232</v>
      </c>
      <c r="AH435" t="s">
        <v>229</v>
      </c>
      <c r="AI435" t="s">
        <v>229</v>
      </c>
      <c r="AJ435" s="2" t="s">
        <v>229</v>
      </c>
      <c r="AK435" s="2" t="s">
        <v>244</v>
      </c>
      <c r="AL43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5" s="2" t="str">
        <f>SUBSTITUTE(SUBSTITUTE(PROPERTIES[[#This Row],[PURCHASECOST_VALUE]], "PURCHASECOST_", ""), "_VALUE", "")</f>
        <v>ELECTRICENGINE</v>
      </c>
      <c r="AO435" s="44" t="b">
        <v>0</v>
      </c>
      <c r="AP435" s="48" t="b">
        <v>0</v>
      </c>
      <c r="AQ435" s="48" t="b">
        <v>0</v>
      </c>
      <c r="AR435" s="48">
        <v>0</v>
      </c>
      <c r="AS435" s="48" t="b">
        <v>0</v>
      </c>
      <c r="AT435" s="7" t="b">
        <v>0</v>
      </c>
      <c r="AU435" s="40" t="str" cm="1">
        <f t="array" ref="AU435">_xlfn.XLOOKUP(PROPERTIES[[#This Row],[VEHIDCODE]],GRAPHICS_PROPERTIES[VEHIDCODE],GRAPHICS_PROPERTIES[TEMPLATE_ID]&amp;GRAPHICS_PROPERTIES[TEMPLATE_AMENDMENT_CODE])</f>
        <v>TPL_01A</v>
      </c>
    </row>
    <row r="436" spans="1:47" x14ac:dyDescent="0.35">
      <c r="A436" s="2" t="s">
        <v>3069</v>
      </c>
      <c r="B436">
        <v>1983</v>
      </c>
      <c r="C436">
        <v>2004</v>
      </c>
      <c r="D436" cm="1">
        <f t="array" ref="D4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6" s="40" t="str">
        <f>_xlfn.XLOOKUP(PROPERTIES[[#This Row],[VEHIDCODE]],CONTROL[VEHIDCODE],CONTROL[ENGLISH])</f>
        <v>ASEA-GMD GF6C</v>
      </c>
      <c r="F436" t="s">
        <v>565</v>
      </c>
      <c r="G436" s="40" t="str">
        <f>_xlfn.XLOOKUP(PROPERTIES[[#This Row],[COUNTRY]],COUNTRIES[COUNTRY_DESCRIPTION],COUNTRIES[COUNTRY_LABEL],"")</f>
        <v>CA</v>
      </c>
      <c r="H436" t="str" cm="1">
        <f t="array" ref="H4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6" t="s">
        <v>17</v>
      </c>
      <c r="J436">
        <v>0</v>
      </c>
      <c r="K436">
        <v>8</v>
      </c>
      <c r="L436">
        <v>0</v>
      </c>
      <c r="M436" t="str" cm="1">
        <f t="array" ref="M4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6">
        <f>_xlfn.XLOOKUP("LOADINGSPEEDDEF_"&amp;PROPERTIES[[#This Row],[LOADINGSPEED]],LOADINGSPEEDDEF[TYPE],LOADINGSPEEDDEF[SPEED])</f>
        <v>20</v>
      </c>
      <c r="O436" cm="1">
        <f t="array" ref="O4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6">
        <f>IF(ISNUMBER(SEARCH("passenger",PROPERTIES[[#This Row],[CARGODEF]])),1,0)</f>
        <v>0</v>
      </c>
      <c r="Q436" s="23">
        <v>180</v>
      </c>
      <c r="R436">
        <v>6000</v>
      </c>
      <c r="S436">
        <v>0</v>
      </c>
      <c r="T436">
        <v>0</v>
      </c>
      <c r="U436">
        <v>0</v>
      </c>
      <c r="V436">
        <v>90</v>
      </c>
      <c r="W436">
        <v>0</v>
      </c>
      <c r="X436">
        <v>0</v>
      </c>
      <c r="Y436">
        <v>0</v>
      </c>
      <c r="Z436" s="20">
        <v>605</v>
      </c>
      <c r="AA436" s="19">
        <f>IFERROR(PROPERTIES[[#This Row],[TE_STARTING_KN]]/(PROPERTIES[[#This Row],[WEIGHT]]*9.81),0)</f>
        <v>0.34262090837014381</v>
      </c>
      <c r="AB436" s="19">
        <v>0</v>
      </c>
      <c r="AC436" s="16">
        <f>ROUND(IF(IFERROR(PROPERTIES[[#This Row],[TE_COEFFICIENT_CALC]],0)=0,PROPERTIES[[#This Row],[TE_COEFFICIENT_MANUAL]],PROPERTIES[[#This Row],[TE_COEFFICIENT_CALC]]),3)</f>
        <v>0.34300000000000003</v>
      </c>
      <c r="AD436" s="8" cm="1">
        <f t="array" ref="AD4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6" s="26">
        <v>0</v>
      </c>
      <c r="AF436" s="6">
        <v>0</v>
      </c>
      <c r="AG436" t="s">
        <v>235</v>
      </c>
      <c r="AH436" t="s">
        <v>229</v>
      </c>
      <c r="AI436" t="s">
        <v>229</v>
      </c>
      <c r="AJ436" s="2" t="s">
        <v>229</v>
      </c>
      <c r="AK436" s="2" t="s">
        <v>244</v>
      </c>
      <c r="AL43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6" s="2" t="str">
        <f>SUBSTITUTE(SUBSTITUTE(PROPERTIES[[#This Row],[PURCHASECOST_VALUE]], "PURCHASECOST_", ""), "_VALUE", "")</f>
        <v>ELECTRICENGINE</v>
      </c>
      <c r="AO436" s="44" t="b">
        <v>0</v>
      </c>
      <c r="AP436" s="48" t="b">
        <v>0</v>
      </c>
      <c r="AQ436" s="48" t="b">
        <v>0</v>
      </c>
      <c r="AR436" s="48">
        <v>0</v>
      </c>
      <c r="AS436" s="48" t="b">
        <v>0</v>
      </c>
      <c r="AT436" s="7" t="b">
        <v>0</v>
      </c>
      <c r="AU436" s="40" t="str" cm="1">
        <f t="array" ref="AU436">_xlfn.XLOOKUP(PROPERTIES[[#This Row],[VEHIDCODE]],GRAPHICS_PROPERTIES[VEHIDCODE],GRAPHICS_PROPERTIES[TEMPLATE_ID]&amp;GRAPHICS_PROPERTIES[TEMPLATE_AMENDMENT_CODE])</f>
        <v>TPL_01A</v>
      </c>
    </row>
    <row r="437" spans="1:47" x14ac:dyDescent="0.35">
      <c r="A437" s="2" t="s">
        <v>3070</v>
      </c>
      <c r="B437">
        <v>1976</v>
      </c>
      <c r="C437">
        <v>1995</v>
      </c>
      <c r="D437" cm="1">
        <f t="array" ref="D4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7" s="40" t="str">
        <f>_xlfn.XLOOKUP(PROPERTIES[[#This Row],[VEHIDCODE]],CONTROL[VEHIDCODE],CONTROL[ENGLISH])</f>
        <v>Alsthom BB 22200</v>
      </c>
      <c r="F437" t="s">
        <v>602</v>
      </c>
      <c r="G437" s="40" t="str">
        <f>_xlfn.XLOOKUP(PROPERTIES[[#This Row],[COUNTRY]],COUNTRIES[COUNTRY_DESCRIPTION],COUNTRIES[COUNTRY_LABEL],"")</f>
        <v>FR</v>
      </c>
      <c r="H437" t="str" cm="1">
        <f t="array" ref="H4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7" t="s">
        <v>17</v>
      </c>
      <c r="J437">
        <v>0</v>
      </c>
      <c r="K437">
        <v>8</v>
      </c>
      <c r="L437">
        <v>0</v>
      </c>
      <c r="M437" t="str" cm="1">
        <f t="array" ref="M4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7">
        <f>_xlfn.XLOOKUP("LOADINGSPEEDDEF_"&amp;PROPERTIES[[#This Row],[LOADINGSPEED]],LOADINGSPEEDDEF[TYPE],LOADINGSPEEDDEF[SPEED])</f>
        <v>20</v>
      </c>
      <c r="O437" cm="1">
        <f t="array" ref="O4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7">
        <f>IF(ISNUMBER(SEARCH("passenger",PROPERTIES[[#This Row],[CARGODEF]])),1,0)</f>
        <v>0</v>
      </c>
      <c r="Q437" s="23">
        <v>90</v>
      </c>
      <c r="R437">
        <v>5850</v>
      </c>
      <c r="S437">
        <v>0</v>
      </c>
      <c r="T437">
        <v>0</v>
      </c>
      <c r="U437">
        <v>0</v>
      </c>
      <c r="V437">
        <v>160</v>
      </c>
      <c r="W437">
        <v>0</v>
      </c>
      <c r="X437">
        <v>0</v>
      </c>
      <c r="Y437">
        <v>0</v>
      </c>
      <c r="Z437" s="20">
        <v>294</v>
      </c>
      <c r="AA437" s="19">
        <f>IFERROR(PROPERTIES[[#This Row],[TE_STARTING_KN]]/(PROPERTIES[[#This Row],[WEIGHT]]*9.81),0)</f>
        <v>0.3329935440027183</v>
      </c>
      <c r="AB437" s="19">
        <v>0</v>
      </c>
      <c r="AC437" s="16">
        <f>ROUND(IF(IFERROR(PROPERTIES[[#This Row],[TE_COEFFICIENT_CALC]],0)=0,PROPERTIES[[#This Row],[TE_COEFFICIENT_MANUAL]],PROPERTIES[[#This Row],[TE_COEFFICIENT_CALC]]),3)</f>
        <v>0.33300000000000002</v>
      </c>
      <c r="AD437" s="8" cm="1">
        <f t="array" ref="AD4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7" s="26">
        <v>0</v>
      </c>
      <c r="AF437" s="6">
        <v>0</v>
      </c>
      <c r="AG437" t="s">
        <v>230</v>
      </c>
      <c r="AH437" t="s">
        <v>229</v>
      </c>
      <c r="AI437" t="s">
        <v>229</v>
      </c>
      <c r="AJ437" s="2" t="s">
        <v>229</v>
      </c>
      <c r="AK437" s="2" t="s">
        <v>244</v>
      </c>
      <c r="AL43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7" s="2" t="str">
        <f>SUBSTITUTE(SUBSTITUTE(PROPERTIES[[#This Row],[PURCHASECOST_VALUE]], "PURCHASECOST_", ""), "_VALUE", "")</f>
        <v>ELECTRICENGINE</v>
      </c>
      <c r="AO437" s="44" t="b">
        <v>0</v>
      </c>
      <c r="AP437" s="48" t="b">
        <v>0</v>
      </c>
      <c r="AQ437" s="48" t="b">
        <v>0</v>
      </c>
      <c r="AR437" s="48">
        <v>0</v>
      </c>
      <c r="AS437" s="48" t="b">
        <v>0</v>
      </c>
      <c r="AT437" s="7" t="b">
        <v>0</v>
      </c>
      <c r="AU437" s="40" t="str" cm="1">
        <f t="array" ref="AU437">_xlfn.XLOOKUP(PROPERTIES[[#This Row],[VEHIDCODE]],GRAPHICS_PROPERTIES[VEHIDCODE],GRAPHICS_PROPERTIES[TEMPLATE_ID]&amp;GRAPHICS_PROPERTIES[TEMPLATE_AMENDMENT_CODE])</f>
        <v>TPL_01A</v>
      </c>
    </row>
    <row r="438" spans="1:47" x14ac:dyDescent="0.35">
      <c r="A438" s="2" t="s">
        <v>3071</v>
      </c>
      <c r="B438">
        <v>1989</v>
      </c>
      <c r="C438">
        <v>2015</v>
      </c>
      <c r="D438" cm="1">
        <f t="array" ref="D4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8" s="40" t="str">
        <f>_xlfn.XLOOKUP(PROPERTIES[[#This Row],[VEHIDCODE]],CONTROL[VEHIDCODE],CONTROL[ENGLISH])</f>
        <v>GEC-Alsthom BB 26000</v>
      </c>
      <c r="F438" t="s">
        <v>602</v>
      </c>
      <c r="G438" s="40" t="str">
        <f>_xlfn.XLOOKUP(PROPERTIES[[#This Row],[COUNTRY]],COUNTRIES[COUNTRY_DESCRIPTION],COUNTRIES[COUNTRY_LABEL],"")</f>
        <v>FR</v>
      </c>
      <c r="H438" t="str" cm="1">
        <f t="array" ref="H4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8" t="s">
        <v>17</v>
      </c>
      <c r="J438">
        <v>0</v>
      </c>
      <c r="K438">
        <v>8</v>
      </c>
      <c r="L438">
        <v>0</v>
      </c>
      <c r="M438" t="str" cm="1">
        <f t="array" ref="M4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8">
        <f>_xlfn.XLOOKUP("LOADINGSPEEDDEF_"&amp;PROPERTIES[[#This Row],[LOADINGSPEED]],LOADINGSPEEDDEF[TYPE],LOADINGSPEEDDEF[SPEED])</f>
        <v>20</v>
      </c>
      <c r="O438" t="str" cm="1">
        <f t="array" ref="O4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38">
        <f>IF(ISNUMBER(SEARCH("passenger",PROPERTIES[[#This Row],[CARGODEF]])),1,0)</f>
        <v>0</v>
      </c>
      <c r="Q438" s="23">
        <v>90</v>
      </c>
      <c r="R438">
        <v>7504</v>
      </c>
      <c r="S438">
        <v>0</v>
      </c>
      <c r="T438">
        <v>0</v>
      </c>
      <c r="U438">
        <v>0</v>
      </c>
      <c r="V438">
        <v>200</v>
      </c>
      <c r="W438">
        <v>0</v>
      </c>
      <c r="X438">
        <v>0</v>
      </c>
      <c r="Y438">
        <v>0</v>
      </c>
      <c r="Z438" s="20">
        <v>320</v>
      </c>
      <c r="AA438" s="19">
        <f>IFERROR(PROPERTIES[[#This Row],[TE_STARTING_KN]]/(PROPERTIES[[#This Row],[WEIGHT]]*9.81),0)</f>
        <v>0.36244195265601992</v>
      </c>
      <c r="AB438" s="19">
        <v>0</v>
      </c>
      <c r="AC438" s="16">
        <f>ROUND(IF(IFERROR(PROPERTIES[[#This Row],[TE_COEFFICIENT_CALC]],0)=0,PROPERTIES[[#This Row],[TE_COEFFICIENT_MANUAL]],PROPERTIES[[#This Row],[TE_COEFFICIENT_CALC]]),3)</f>
        <v>0.36199999999999999</v>
      </c>
      <c r="AD438" s="8" cm="1">
        <f t="array" ref="AD4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8" s="26">
        <v>0</v>
      </c>
      <c r="AF438" s="6">
        <v>0</v>
      </c>
      <c r="AG438" t="s">
        <v>230</v>
      </c>
      <c r="AH438" t="s">
        <v>229</v>
      </c>
      <c r="AI438" t="s">
        <v>229</v>
      </c>
      <c r="AJ438" s="2" t="s">
        <v>229</v>
      </c>
      <c r="AK438" s="2" t="s">
        <v>244</v>
      </c>
      <c r="AL43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8" s="2" t="str">
        <f>SUBSTITUTE(SUBSTITUTE(PROPERTIES[[#This Row],[PURCHASECOST_VALUE]], "PURCHASECOST_", ""), "_VALUE", "")</f>
        <v>ELECTRICENGINE</v>
      </c>
      <c r="AO438" s="44" t="b">
        <v>0</v>
      </c>
      <c r="AP438" s="48" t="b">
        <v>0</v>
      </c>
      <c r="AQ438" s="48" t="b">
        <v>0</v>
      </c>
      <c r="AR438" s="48">
        <v>0</v>
      </c>
      <c r="AS438" s="48" t="b">
        <v>0</v>
      </c>
      <c r="AT438" s="7" t="b">
        <v>0</v>
      </c>
      <c r="AU438" s="40" t="str" cm="1">
        <f t="array" ref="AU438">_xlfn.XLOOKUP(PROPERTIES[[#This Row],[VEHIDCODE]],GRAPHICS_PROPERTIES[VEHIDCODE],GRAPHICS_PROPERTIES[TEMPLATE_ID]&amp;GRAPHICS_PROPERTIES[TEMPLATE_AMENDMENT_CODE])</f>
        <v>TPL_01A</v>
      </c>
    </row>
    <row r="439" spans="1:47" x14ac:dyDescent="0.35">
      <c r="A439" s="2" t="s">
        <v>3072</v>
      </c>
      <c r="B439">
        <v>1964</v>
      </c>
      <c r="C439">
        <v>2021</v>
      </c>
      <c r="D439" cm="1">
        <f t="array" ref="D4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9" s="40" t="str">
        <f>_xlfn.XLOOKUP(PROPERTIES[[#This Row],[VEHIDCODE]],CONTROL[VEHIDCODE],CONTROL[ENGLISH])</f>
        <v>Alsthom BB 25500</v>
      </c>
      <c r="F439" t="s">
        <v>602</v>
      </c>
      <c r="G439" s="40" t="str">
        <f>_xlfn.XLOOKUP(PROPERTIES[[#This Row],[COUNTRY]],COUNTRIES[COUNTRY_DESCRIPTION],COUNTRIES[COUNTRY_LABEL],"")</f>
        <v>FR</v>
      </c>
      <c r="H439" t="str" cm="1">
        <f t="array" ref="H4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9" t="s">
        <v>17</v>
      </c>
      <c r="J439">
        <v>0</v>
      </c>
      <c r="K439">
        <v>8</v>
      </c>
      <c r="L439">
        <v>0</v>
      </c>
      <c r="M439" t="str" cm="1">
        <f t="array" ref="M4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9">
        <f>_xlfn.XLOOKUP("LOADINGSPEEDDEF_"&amp;PROPERTIES[[#This Row],[LOADINGSPEED]],LOADINGSPEEDDEF[TYPE],LOADINGSPEEDDEF[SPEED])</f>
        <v>20</v>
      </c>
      <c r="O439" cm="1">
        <f t="array" ref="O4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9">
        <f>IF(ISNUMBER(SEARCH("passenger",PROPERTIES[[#This Row],[CARGODEF]])),1,0)</f>
        <v>0</v>
      </c>
      <c r="Q439" s="23">
        <v>79</v>
      </c>
      <c r="R439">
        <v>3940</v>
      </c>
      <c r="S439">
        <v>0</v>
      </c>
      <c r="T439">
        <v>0</v>
      </c>
      <c r="U439">
        <v>0</v>
      </c>
      <c r="V439">
        <v>100</v>
      </c>
      <c r="W439">
        <v>0</v>
      </c>
      <c r="X439">
        <v>0</v>
      </c>
      <c r="Y439">
        <v>0</v>
      </c>
      <c r="Z439" s="20">
        <v>330</v>
      </c>
      <c r="AA439" s="19">
        <f>IFERROR(PROPERTIES[[#This Row],[TE_STARTING_KN]]/(PROPERTIES[[#This Row],[WEIGHT]]*9.81),0)</f>
        <v>0.42581194596059302</v>
      </c>
      <c r="AB439" s="19">
        <v>0</v>
      </c>
      <c r="AC439" s="16">
        <f>ROUND(IF(IFERROR(PROPERTIES[[#This Row],[TE_COEFFICIENT_CALC]],0)=0,PROPERTIES[[#This Row],[TE_COEFFICIENT_MANUAL]],PROPERTIES[[#This Row],[TE_COEFFICIENT_CALC]]),3)</f>
        <v>0.42599999999999999</v>
      </c>
      <c r="AD439" s="8" cm="1">
        <f t="array" ref="AD4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57</v>
      </c>
      <c r="AE439" s="26">
        <v>0</v>
      </c>
      <c r="AF439" s="6">
        <v>0</v>
      </c>
      <c r="AG439" t="s">
        <v>230</v>
      </c>
      <c r="AH439" t="s">
        <v>229</v>
      </c>
      <c r="AI439" t="s">
        <v>229</v>
      </c>
      <c r="AJ439" s="2" t="s">
        <v>229</v>
      </c>
      <c r="AK439" s="2" t="s">
        <v>244</v>
      </c>
      <c r="AL43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9" s="2" t="str">
        <f>SUBSTITUTE(SUBSTITUTE(PROPERTIES[[#This Row],[PURCHASECOST_VALUE]], "PURCHASECOST_", ""), "_VALUE", "")</f>
        <v>ELECTRICENGINE</v>
      </c>
      <c r="AO439" s="44" t="b">
        <v>0</v>
      </c>
      <c r="AP439" s="48" t="b">
        <v>0</v>
      </c>
      <c r="AQ439" s="48" t="b">
        <v>0</v>
      </c>
      <c r="AR439" s="48">
        <v>0</v>
      </c>
      <c r="AS439" s="48" t="b">
        <v>0</v>
      </c>
      <c r="AT439" s="7" t="b">
        <v>0</v>
      </c>
      <c r="AU439" s="40" t="str" cm="1">
        <f t="array" ref="AU439">_xlfn.XLOOKUP(PROPERTIES[[#This Row],[VEHIDCODE]],GRAPHICS_PROPERTIES[VEHIDCODE],GRAPHICS_PROPERTIES[TEMPLATE_ID]&amp;GRAPHICS_PROPERTIES[TEMPLATE_AMENDMENT_CODE])</f>
        <v>TPL_01A</v>
      </c>
    </row>
    <row r="440" spans="1:47" x14ac:dyDescent="0.35">
      <c r="A440" s="2" t="s">
        <v>3073</v>
      </c>
      <c r="B440">
        <v>2000</v>
      </c>
      <c r="D440" cm="1">
        <f t="array" ref="D4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0" s="40" t="str">
        <f>_xlfn.XLOOKUP(PROPERTIES[[#This Row],[VEHIDCODE]],CONTROL[VEHIDCODE],CONTROL[ENGLISH])</f>
        <v>Siemens EuroSprinter ES64U4</v>
      </c>
      <c r="F440" t="s">
        <v>584</v>
      </c>
      <c r="G440" s="40" t="str">
        <f>_xlfn.XLOOKUP(PROPERTIES[[#This Row],[COUNTRY]],COUNTRIES[COUNTRY_DESCRIPTION],COUNTRIES[COUNTRY_LABEL],"")</f>
        <v>DE</v>
      </c>
      <c r="H440" t="str" cm="1">
        <f t="array" ref="H4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0" t="s">
        <v>17</v>
      </c>
      <c r="J440">
        <v>0</v>
      </c>
      <c r="K440">
        <v>8</v>
      </c>
      <c r="L440">
        <v>0</v>
      </c>
      <c r="M440" t="str" cm="1">
        <f t="array" ref="M4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0">
        <f>_xlfn.XLOOKUP("LOADINGSPEEDDEF_"&amp;PROPERTIES[[#This Row],[LOADINGSPEED]],LOADINGSPEEDDEF[TYPE],LOADINGSPEEDDEF[SPEED])</f>
        <v>20</v>
      </c>
      <c r="O440" t="str" cm="1">
        <f t="array" ref="O4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0">
        <f>IF(ISNUMBER(SEARCH("passenger",PROPERTIES[[#This Row],[CARGODEF]])),1,0)</f>
        <v>0</v>
      </c>
      <c r="Q440" s="23">
        <v>86</v>
      </c>
      <c r="R440">
        <f>INT(6400*1.341)</f>
        <v>8582</v>
      </c>
      <c r="S440">
        <v>0</v>
      </c>
      <c r="T440">
        <f>INT(6000*1.341)</f>
        <v>8046</v>
      </c>
      <c r="U440">
        <v>0</v>
      </c>
      <c r="V440">
        <v>230</v>
      </c>
      <c r="W440">
        <v>0</v>
      </c>
      <c r="X440">
        <v>0</v>
      </c>
      <c r="Y440">
        <v>0</v>
      </c>
      <c r="Z440" s="20">
        <v>300</v>
      </c>
      <c r="AA440" s="19">
        <f>IFERROR(PROPERTIES[[#This Row],[TE_STARTING_KN]]/(PROPERTIES[[#This Row],[WEIGHT]]*9.81),0)</f>
        <v>0.3555934855273451</v>
      </c>
      <c r="AB440" s="19">
        <v>0</v>
      </c>
      <c r="AC440" s="16">
        <f>ROUND(IF(IFERROR(PROPERTIES[[#This Row],[TE_COEFFICIENT_CALC]],0)=0,PROPERTIES[[#This Row],[TE_COEFFICIENT_MANUAL]],PROPERTIES[[#This Row],[TE_COEFFICIENT_CALC]]),3)</f>
        <v>0.35599999999999998</v>
      </c>
      <c r="AD440" s="8" cm="1">
        <f t="array" ref="AD4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40" s="26">
        <v>0</v>
      </c>
      <c r="AF440" s="6">
        <v>0</v>
      </c>
      <c r="AG440" t="s">
        <v>239</v>
      </c>
      <c r="AH440" t="s">
        <v>229</v>
      </c>
      <c r="AI440" t="s">
        <v>229</v>
      </c>
      <c r="AJ440" s="2" t="s">
        <v>229</v>
      </c>
      <c r="AK440" s="2" t="s">
        <v>244</v>
      </c>
      <c r="AL44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0" s="2" t="str">
        <f>SUBSTITUTE(SUBSTITUTE(PROPERTIES[[#This Row],[PURCHASECOST_VALUE]], "PURCHASECOST_", ""), "_VALUE", "")</f>
        <v>ELECTRICENGINE</v>
      </c>
      <c r="AO440" s="44" t="b">
        <v>0</v>
      </c>
      <c r="AP440" s="48" t="b">
        <v>0</v>
      </c>
      <c r="AQ440" s="48" t="b">
        <v>0</v>
      </c>
      <c r="AR440" s="48">
        <v>0</v>
      </c>
      <c r="AS440" s="48" t="b">
        <v>0</v>
      </c>
      <c r="AT440" s="7" t="b">
        <v>0</v>
      </c>
      <c r="AU440" s="40" t="str" cm="1">
        <f t="array" ref="AU440">_xlfn.XLOOKUP(PROPERTIES[[#This Row],[VEHIDCODE]],GRAPHICS_PROPERTIES[VEHIDCODE],GRAPHICS_PROPERTIES[TEMPLATE_ID]&amp;GRAPHICS_PROPERTIES[TEMPLATE_AMENDMENT_CODE])</f>
        <v>TPL_01A</v>
      </c>
    </row>
    <row r="441" spans="1:47" x14ac:dyDescent="0.35">
      <c r="A441" s="2" t="s">
        <v>3074</v>
      </c>
      <c r="B441">
        <v>1997</v>
      </c>
      <c r="D441" cm="1">
        <f t="array" ref="D4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1" s="40" t="str">
        <f>_xlfn.XLOOKUP(PROPERTIES[[#This Row],[VEHIDCODE]],CONTROL[VEHIDCODE],CONTROL[ENGLISH])</f>
        <v>Toshiba EH500</v>
      </c>
      <c r="F441" t="s">
        <v>640</v>
      </c>
      <c r="G441" s="40" t="str">
        <f>_xlfn.XLOOKUP(PROPERTIES[[#This Row],[COUNTRY]],COUNTRIES[COUNTRY_DESCRIPTION],COUNTRIES[COUNTRY_LABEL],"")</f>
        <v>JP</v>
      </c>
      <c r="H441" t="str" cm="1">
        <f t="array" ref="H4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1" t="s">
        <v>17</v>
      </c>
      <c r="J441">
        <v>0</v>
      </c>
      <c r="K441">
        <v>6</v>
      </c>
      <c r="L441">
        <v>0</v>
      </c>
      <c r="M441" t="str" cm="1">
        <f t="array" ref="M4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1">
        <f>_xlfn.XLOOKUP("LOADINGSPEEDDEF_"&amp;PROPERTIES[[#This Row],[LOADINGSPEED]],LOADINGSPEEDDEF[TYPE],LOADINGSPEEDDEF[SPEED])</f>
        <v>20</v>
      </c>
      <c r="O441" t="str" cm="1">
        <f t="array" ref="O4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1">
        <f>IF(ISNUMBER(SEARCH("passenger",PROPERTIES[[#This Row],[CARGODEF]])),1,0)</f>
        <v>0</v>
      </c>
      <c r="Q441" s="23">
        <v>134.19999999999999</v>
      </c>
      <c r="R441">
        <v>5400</v>
      </c>
      <c r="S441">
        <v>0</v>
      </c>
      <c r="T441">
        <v>0</v>
      </c>
      <c r="U441">
        <v>0</v>
      </c>
      <c r="V441">
        <v>110</v>
      </c>
      <c r="W441">
        <v>0</v>
      </c>
      <c r="X441">
        <v>0</v>
      </c>
      <c r="Y441">
        <v>0</v>
      </c>
      <c r="Z441" s="20">
        <v>240.76</v>
      </c>
      <c r="AA441" s="19">
        <f>IFERROR(PROPERTIES[[#This Row],[TE_STARTING_KN]]/(PROPERTIES[[#This Row],[WEIGHT]]*9.81),0)</f>
        <v>0.1828785675980743</v>
      </c>
      <c r="AB441" s="19">
        <v>0</v>
      </c>
      <c r="AC441" s="16">
        <f>ROUND(IF(IFERROR(PROPERTIES[[#This Row],[TE_COEFFICIENT_CALC]],0)=0,PROPERTIES[[#This Row],[TE_COEFFICIENT_MANUAL]],PROPERTIES[[#This Row],[TE_COEFFICIENT_CALC]]),3)</f>
        <v>0.183</v>
      </c>
      <c r="AD441" s="8" cm="1">
        <f t="array" ref="AD4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1" s="26">
        <v>0</v>
      </c>
      <c r="AF441" s="6">
        <v>6</v>
      </c>
      <c r="AG441" t="s">
        <v>238</v>
      </c>
      <c r="AH441" t="s">
        <v>229</v>
      </c>
      <c r="AI441" t="s">
        <v>229</v>
      </c>
      <c r="AJ441" s="2" t="s">
        <v>229</v>
      </c>
      <c r="AK441" s="2" t="s">
        <v>244</v>
      </c>
      <c r="AL44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1" s="2" t="str">
        <f>SUBSTITUTE(SUBSTITUTE(PROPERTIES[[#This Row],[PURCHASECOST_VALUE]], "PURCHASECOST_", ""), "_VALUE", "")</f>
        <v>ELECTRICENGINE</v>
      </c>
      <c r="AO441" s="44" t="b">
        <v>0</v>
      </c>
      <c r="AP441" s="48" t="b">
        <v>0</v>
      </c>
      <c r="AQ441" s="48" t="b">
        <v>0</v>
      </c>
      <c r="AR441" s="48">
        <v>0</v>
      </c>
      <c r="AS441" s="48" t="b">
        <v>0</v>
      </c>
      <c r="AT441" s="7" t="b">
        <v>0</v>
      </c>
      <c r="AU441" s="40" t="str" cm="1">
        <f t="array" ref="AU441">_xlfn.XLOOKUP(PROPERTIES[[#This Row],[VEHIDCODE]],GRAPHICS_PROPERTIES[VEHIDCODE],GRAPHICS_PROPERTIES[TEMPLATE_ID]&amp;GRAPHICS_PROPERTIES[TEMPLATE_AMENDMENT_CODE])</f>
        <v>TPL_03D</v>
      </c>
    </row>
    <row r="442" spans="1:47" x14ac:dyDescent="0.35">
      <c r="A442" s="2" t="s">
        <v>3075</v>
      </c>
      <c r="B442">
        <v>1978</v>
      </c>
      <c r="C442">
        <v>1999</v>
      </c>
      <c r="D442" cm="1">
        <f t="array" ref="D4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2" s="40" t="str">
        <f>_xlfn.XLOOKUP(PROPERTIES[[#This Row],[VEHIDCODE]],CONTROL[VEHIDCODE],CONTROL[ENGLISH])</f>
        <v>ASEA-EMD AEM-7</v>
      </c>
      <c r="F442" t="s">
        <v>757</v>
      </c>
      <c r="G442" s="40" t="str">
        <f>_xlfn.XLOOKUP(PROPERTIES[[#This Row],[COUNTRY]],COUNTRIES[COUNTRY_DESCRIPTION],COUNTRIES[COUNTRY_LABEL],"")</f>
        <v>US</v>
      </c>
      <c r="H442" t="str" cm="1">
        <f t="array" ref="H4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2" t="s">
        <v>17</v>
      </c>
      <c r="J442">
        <v>0</v>
      </c>
      <c r="K442">
        <v>7</v>
      </c>
      <c r="L442">
        <v>0</v>
      </c>
      <c r="M442" t="str" cm="1">
        <f t="array" ref="M4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2">
        <f>_xlfn.XLOOKUP("LOADINGSPEEDDEF_"&amp;PROPERTIES[[#This Row],[LOADINGSPEED]],LOADINGSPEEDDEF[TYPE],LOADINGSPEEDDEF[SPEED])</f>
        <v>20</v>
      </c>
      <c r="O442" cm="1">
        <f t="array" ref="O4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42">
        <f>IF(ISNUMBER(SEARCH("passenger",PROPERTIES[[#This Row],[CARGODEF]])),1,0)</f>
        <v>0</v>
      </c>
      <c r="Q442" s="23">
        <v>92</v>
      </c>
      <c r="R442">
        <v>7000</v>
      </c>
      <c r="S442">
        <v>0</v>
      </c>
      <c r="T442">
        <v>0</v>
      </c>
      <c r="U442">
        <v>0</v>
      </c>
      <c r="V442">
        <v>201</v>
      </c>
      <c r="W442">
        <v>0</v>
      </c>
      <c r="X442">
        <v>0</v>
      </c>
      <c r="Y442">
        <v>0</v>
      </c>
      <c r="Z442" s="20">
        <v>230</v>
      </c>
      <c r="AA442" s="19">
        <f>IFERROR(PROPERTIES[[#This Row],[TE_STARTING_KN]]/(PROPERTIES[[#This Row],[WEIGHT]]*9.81),0)</f>
        <v>0.254841997961264</v>
      </c>
      <c r="AB442" s="19">
        <v>0</v>
      </c>
      <c r="AC442" s="16">
        <f>ROUND(IF(IFERROR(PROPERTIES[[#This Row],[TE_COEFFICIENT_CALC]],0)=0,PROPERTIES[[#This Row],[TE_COEFFICIENT_MANUAL]],PROPERTIES[[#This Row],[TE_COEFFICIENT_CALC]]),3)</f>
        <v>0.255</v>
      </c>
      <c r="AD442" s="8" cm="1">
        <f t="array" ref="AD4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2" s="26">
        <v>0</v>
      </c>
      <c r="AF442" s="6">
        <v>0</v>
      </c>
      <c r="AG442" t="s">
        <v>235</v>
      </c>
      <c r="AH442" t="s">
        <v>229</v>
      </c>
      <c r="AI442" t="s">
        <v>229</v>
      </c>
      <c r="AJ442" s="2" t="s">
        <v>229</v>
      </c>
      <c r="AK442" s="2" t="s">
        <v>244</v>
      </c>
      <c r="AL44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2" s="2" t="str">
        <f>SUBSTITUTE(SUBSTITUTE(PROPERTIES[[#This Row],[PURCHASECOST_VALUE]], "PURCHASECOST_", ""), "_VALUE", "")</f>
        <v>ELECTRICENGINE</v>
      </c>
      <c r="AO442" s="44" t="b">
        <v>0</v>
      </c>
      <c r="AP442" s="48" t="b">
        <v>0</v>
      </c>
      <c r="AQ442" s="48" t="b">
        <v>0</v>
      </c>
      <c r="AR442" s="48">
        <v>0</v>
      </c>
      <c r="AS442" s="48" t="b">
        <v>0</v>
      </c>
      <c r="AT442" s="7" t="b">
        <v>0</v>
      </c>
      <c r="AU442" s="40" t="str" cm="1">
        <f t="array" ref="AU442">_xlfn.XLOOKUP(PROPERTIES[[#This Row],[VEHIDCODE]],GRAPHICS_PROPERTIES[VEHIDCODE],GRAPHICS_PROPERTIES[TEMPLATE_ID]&amp;GRAPHICS_PROPERTIES[TEMPLATE_AMENDMENT_CODE])</f>
        <v>TPL_01A</v>
      </c>
    </row>
    <row r="443" spans="1:47" x14ac:dyDescent="0.35">
      <c r="A443" s="2" t="s">
        <v>3076</v>
      </c>
      <c r="B443">
        <v>1999</v>
      </c>
      <c r="D443" cm="1">
        <f t="array" ref="D4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3" s="40" t="str">
        <f>_xlfn.XLOOKUP(PROPERTIES[[#This Row],[VEHIDCODE]],CONTROL[VEHIDCODE],CONTROL[ENGLISH])</f>
        <v>Bombardier-Alstom HHP-8</v>
      </c>
      <c r="F443" t="s">
        <v>757</v>
      </c>
      <c r="G443" s="40" t="str">
        <f>_xlfn.XLOOKUP(PROPERTIES[[#This Row],[COUNTRY]],COUNTRIES[COUNTRY_DESCRIPTION],COUNTRIES[COUNTRY_LABEL],"")</f>
        <v>US</v>
      </c>
      <c r="H443" t="str" cm="1">
        <f t="array" ref="H4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3" t="s">
        <v>17</v>
      </c>
      <c r="J443">
        <v>0</v>
      </c>
      <c r="K443">
        <v>8</v>
      </c>
      <c r="L443">
        <v>0</v>
      </c>
      <c r="M443" t="str" cm="1">
        <f t="array" ref="M4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3">
        <f>_xlfn.XLOOKUP("LOADINGSPEEDDEF_"&amp;PROPERTIES[[#This Row],[LOADINGSPEED]],LOADINGSPEEDDEF[TYPE],LOADINGSPEEDDEF[SPEED])</f>
        <v>20</v>
      </c>
      <c r="O443" t="str" cm="1">
        <f t="array" ref="O4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3">
        <f>IF(ISNUMBER(SEARCH("passenger",PROPERTIES[[#This Row],[CARGODEF]])),1,0)</f>
        <v>0</v>
      </c>
      <c r="Q443" s="23">
        <v>101</v>
      </c>
      <c r="R443">
        <v>8000</v>
      </c>
      <c r="S443">
        <v>0</v>
      </c>
      <c r="T443">
        <v>0</v>
      </c>
      <c r="U443">
        <v>0</v>
      </c>
      <c r="V443">
        <v>201</v>
      </c>
      <c r="W443">
        <v>0</v>
      </c>
      <c r="X443">
        <v>0</v>
      </c>
      <c r="Y443">
        <v>0</v>
      </c>
      <c r="Z443" s="20">
        <v>316.89999999999998</v>
      </c>
      <c r="AA443" s="19">
        <f>IFERROR(PROPERTIES[[#This Row],[TE_STARTING_KN]]/(PROPERTIES[[#This Row],[WEIGHT]]*9.81),0)</f>
        <v>0.31983932338187943</v>
      </c>
      <c r="AB443" s="19">
        <v>0</v>
      </c>
      <c r="AC443" s="16">
        <f>ROUND(IF(IFERROR(PROPERTIES[[#This Row],[TE_COEFFICIENT_CALC]],0)=0,PROPERTIES[[#This Row],[TE_COEFFICIENT_MANUAL]],PROPERTIES[[#This Row],[TE_COEFFICIENT_CALC]]),3)</f>
        <v>0.32</v>
      </c>
      <c r="AD443" s="8" cm="1">
        <f t="array" ref="AD4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3" s="26">
        <v>0</v>
      </c>
      <c r="AF443" s="6">
        <v>0</v>
      </c>
      <c r="AG443" t="s">
        <v>235</v>
      </c>
      <c r="AH443" t="s">
        <v>229</v>
      </c>
      <c r="AI443" t="s">
        <v>229</v>
      </c>
      <c r="AJ443" s="2" t="s">
        <v>229</v>
      </c>
      <c r="AK443" s="2" t="s">
        <v>244</v>
      </c>
      <c r="AL44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3" s="2" t="str">
        <f>SUBSTITUTE(SUBSTITUTE(PROPERTIES[[#This Row],[PURCHASECOST_VALUE]], "PURCHASECOST_", ""), "_VALUE", "")</f>
        <v>ELECTRICENGINE</v>
      </c>
      <c r="AO443" s="44" t="b">
        <v>0</v>
      </c>
      <c r="AP443" s="48" t="b">
        <v>0</v>
      </c>
      <c r="AQ443" s="48" t="b">
        <v>0</v>
      </c>
      <c r="AR443" s="48">
        <v>0</v>
      </c>
      <c r="AS443" s="48" t="b">
        <v>0</v>
      </c>
      <c r="AT443" s="7" t="b">
        <v>0</v>
      </c>
      <c r="AU443" s="40" t="str" cm="1">
        <f t="array" ref="AU443">_xlfn.XLOOKUP(PROPERTIES[[#This Row],[VEHIDCODE]],GRAPHICS_PROPERTIES[VEHIDCODE],GRAPHICS_PROPERTIES[TEMPLATE_ID]&amp;GRAPHICS_PROPERTIES[TEMPLATE_AMENDMENT_CODE])</f>
        <v>TPL_01A</v>
      </c>
    </row>
    <row r="444" spans="1:47" x14ac:dyDescent="0.35">
      <c r="A444" s="2" t="s">
        <v>3077</v>
      </c>
      <c r="B444">
        <v>2008</v>
      </c>
      <c r="D444" cm="1">
        <f t="array" ref="D4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4" s="40" t="str">
        <f>_xlfn.XLOOKUP(PROPERTIES[[#This Row],[VEHIDCODE]],CONTROL[VEHIDCODE],CONTROL[ENGLISH])</f>
        <v>Skoda 109E</v>
      </c>
      <c r="F444" t="s">
        <v>583</v>
      </c>
      <c r="G444" s="40" t="str">
        <f>_xlfn.XLOOKUP(PROPERTIES[[#This Row],[COUNTRY]],COUNTRIES[COUNTRY_DESCRIPTION],COUNTRIES[COUNTRY_LABEL],"")</f>
        <v>CZ</v>
      </c>
      <c r="H444" t="str" cm="1">
        <f t="array" ref="H4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4" t="s">
        <v>17</v>
      </c>
      <c r="J444">
        <v>0</v>
      </c>
      <c r="K444">
        <v>8</v>
      </c>
      <c r="L444">
        <v>0</v>
      </c>
      <c r="M444" t="str" cm="1">
        <f t="array" ref="M4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4">
        <f>_xlfn.XLOOKUP("LOADINGSPEEDDEF_"&amp;PROPERTIES[[#This Row],[LOADINGSPEED]],LOADINGSPEEDDEF[TYPE],LOADINGSPEEDDEF[SPEED])</f>
        <v>20</v>
      </c>
      <c r="O444" t="str" cm="1">
        <f t="array" ref="O4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4">
        <f>IF(ISNUMBER(SEARCH("passenger",PROPERTIES[[#This Row],[CARGODEF]])),1,0)</f>
        <v>0</v>
      </c>
      <c r="Q444" s="23">
        <v>88</v>
      </c>
      <c r="R444">
        <v>8583</v>
      </c>
      <c r="S444">
        <v>0</v>
      </c>
      <c r="T444">
        <v>0</v>
      </c>
      <c r="U444">
        <v>0</v>
      </c>
      <c r="V444">
        <v>200</v>
      </c>
      <c r="W444">
        <v>0</v>
      </c>
      <c r="X444">
        <v>0</v>
      </c>
      <c r="Y444">
        <v>0</v>
      </c>
      <c r="Z444" s="20">
        <v>300</v>
      </c>
      <c r="AA444" s="19">
        <f>IFERROR(PROPERTIES[[#This Row],[TE_STARTING_KN]]/(PROPERTIES[[#This Row],[WEIGHT]]*9.81),0)</f>
        <v>0.3475118154017236</v>
      </c>
      <c r="AB444" s="19">
        <v>0</v>
      </c>
      <c r="AC444" s="16">
        <f>ROUND(IF(IFERROR(PROPERTIES[[#This Row],[TE_COEFFICIENT_CALC]],0)=0,PROPERTIES[[#This Row],[TE_COEFFICIENT_MANUAL]],PROPERTIES[[#This Row],[TE_COEFFICIENT_CALC]]),3)</f>
        <v>0.34799999999999998</v>
      </c>
      <c r="AD444" s="8" cm="1">
        <f t="array" ref="AD4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44" s="26">
        <v>0</v>
      </c>
      <c r="AF444" s="6">
        <v>0</v>
      </c>
      <c r="AG444" t="s">
        <v>236</v>
      </c>
      <c r="AH444" t="s">
        <v>229</v>
      </c>
      <c r="AI444" t="s">
        <v>229</v>
      </c>
      <c r="AJ444" s="2" t="s">
        <v>229</v>
      </c>
      <c r="AK444" s="2" t="s">
        <v>244</v>
      </c>
      <c r="AL44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4" s="2" t="str">
        <f>SUBSTITUTE(SUBSTITUTE(PROPERTIES[[#This Row],[PURCHASECOST_VALUE]], "PURCHASECOST_", ""), "_VALUE", "")</f>
        <v>ELECTRICENGINE</v>
      </c>
      <c r="AO444" s="44" t="b">
        <v>0</v>
      </c>
      <c r="AP444" s="48" t="b">
        <v>0</v>
      </c>
      <c r="AQ444" s="48" t="b">
        <v>0</v>
      </c>
      <c r="AR444" s="48">
        <v>0</v>
      </c>
      <c r="AS444" s="48" t="b">
        <v>0</v>
      </c>
      <c r="AT444" s="7" t="b">
        <v>0</v>
      </c>
      <c r="AU444" s="40" t="str" cm="1">
        <f t="array" ref="AU444">_xlfn.XLOOKUP(PROPERTIES[[#This Row],[VEHIDCODE]],GRAPHICS_PROPERTIES[VEHIDCODE],GRAPHICS_PROPERTIES[TEMPLATE_ID]&amp;GRAPHICS_PROPERTIES[TEMPLATE_AMENDMENT_CODE])</f>
        <v>TPL_01A</v>
      </c>
    </row>
    <row r="445" spans="1:47" x14ac:dyDescent="0.35">
      <c r="A445" s="2" t="s">
        <v>3078</v>
      </c>
      <c r="B445">
        <v>1992</v>
      </c>
      <c r="D445" cm="1">
        <f t="array" ref="D4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5" s="40" t="str">
        <f>_xlfn.XLOOKUP(PROPERTIES[[#This Row],[VEHIDCODE]],CONTROL[VEHIDCODE],CONTROL[ENGLISH])</f>
        <v>CAF/Macosa 252</v>
      </c>
      <c r="F445" t="s">
        <v>595</v>
      </c>
      <c r="G445" s="40" t="str">
        <f>_xlfn.XLOOKUP(PROPERTIES[[#This Row],[COUNTRY]],COUNTRIES[COUNTRY_DESCRIPTION],COUNTRIES[COUNTRY_LABEL],"")</f>
        <v>ES</v>
      </c>
      <c r="H445" t="str" cm="1">
        <f t="array" ref="H4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5" t="s">
        <v>17</v>
      </c>
      <c r="J445">
        <v>0</v>
      </c>
      <c r="K445">
        <v>8</v>
      </c>
      <c r="L445">
        <v>0</v>
      </c>
      <c r="M445" t="str" cm="1">
        <f t="array" ref="M4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5">
        <f>_xlfn.XLOOKUP("LOADINGSPEEDDEF_"&amp;PROPERTIES[[#This Row],[LOADINGSPEED]],LOADINGSPEEDDEF[TYPE],LOADINGSPEEDDEF[SPEED])</f>
        <v>20</v>
      </c>
      <c r="O445" t="str" cm="1">
        <f t="array" ref="O4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5">
        <f>IF(ISNUMBER(SEARCH("passenger",PROPERTIES[[#This Row],[CARGODEF]])),1,0)</f>
        <v>0</v>
      </c>
      <c r="Q445" s="23">
        <v>90</v>
      </c>
      <c r="R445">
        <v>7500</v>
      </c>
      <c r="S445">
        <v>0</v>
      </c>
      <c r="T445">
        <v>0</v>
      </c>
      <c r="U445">
        <v>0</v>
      </c>
      <c r="V445">
        <v>200</v>
      </c>
      <c r="W445">
        <v>0</v>
      </c>
      <c r="X445">
        <v>0</v>
      </c>
      <c r="Y445">
        <v>0</v>
      </c>
      <c r="Z445" s="20">
        <v>300</v>
      </c>
      <c r="AA445" s="19">
        <f>IFERROR(PROPERTIES[[#This Row],[TE_STARTING_KN]]/(PROPERTIES[[#This Row],[WEIGHT]]*9.81),0)</f>
        <v>0.33978933061501865</v>
      </c>
      <c r="AB445" s="19">
        <v>0</v>
      </c>
      <c r="AC445" s="16">
        <f>ROUND(IF(IFERROR(PROPERTIES[[#This Row],[TE_COEFFICIENT_CALC]],0)=0,PROPERTIES[[#This Row],[TE_COEFFICIENT_MANUAL]],PROPERTIES[[#This Row],[TE_COEFFICIENT_CALC]]),3)</f>
        <v>0.34</v>
      </c>
      <c r="AD445" s="8" cm="1">
        <f t="array" ref="AD4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5" s="26">
        <v>0</v>
      </c>
      <c r="AF445" s="6">
        <v>0</v>
      </c>
      <c r="AG445" t="s">
        <v>231</v>
      </c>
      <c r="AH445" t="s">
        <v>229</v>
      </c>
      <c r="AI445" t="s">
        <v>229</v>
      </c>
      <c r="AJ445" s="2" t="s">
        <v>229</v>
      </c>
      <c r="AK445" s="2" t="s">
        <v>244</v>
      </c>
      <c r="AL44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5" s="2" t="str">
        <f>SUBSTITUTE(SUBSTITUTE(PROPERTIES[[#This Row],[PURCHASECOST_VALUE]], "PURCHASECOST_", ""), "_VALUE", "")</f>
        <v>ELECTRICENGINE</v>
      </c>
      <c r="AO445" s="44" t="b">
        <v>0</v>
      </c>
      <c r="AP445" s="48" t="b">
        <v>0</v>
      </c>
      <c r="AQ445" s="48" t="b">
        <v>0</v>
      </c>
      <c r="AR445" s="48">
        <v>0</v>
      </c>
      <c r="AS445" s="48" t="b">
        <v>0</v>
      </c>
      <c r="AT445" s="7" t="b">
        <v>0</v>
      </c>
      <c r="AU445" s="40" t="str" cm="1">
        <f t="array" ref="AU445">_xlfn.XLOOKUP(PROPERTIES[[#This Row],[VEHIDCODE]],GRAPHICS_PROPERTIES[VEHIDCODE],GRAPHICS_PROPERTIES[TEMPLATE_ID]&amp;GRAPHICS_PROPERTIES[TEMPLATE_AMENDMENT_CODE])</f>
        <v>TPL_01A</v>
      </c>
    </row>
    <row r="446" spans="1:47" x14ac:dyDescent="0.35">
      <c r="A446" s="2" t="s">
        <v>3079</v>
      </c>
      <c r="B446">
        <v>2000</v>
      </c>
      <c r="D446" cm="1">
        <f t="array" ref="D4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6" s="40" t="str">
        <f>_xlfn.XLOOKUP(PROPERTIES[[#This Row],[VEHIDCODE]],CONTROL[VEHIDCODE],CONTROL[ENGLISH])</f>
        <v>Bombardier Traxx F140 MS</v>
      </c>
      <c r="F446" t="s">
        <v>584</v>
      </c>
      <c r="G446" s="40" t="str">
        <f>_xlfn.XLOOKUP(PROPERTIES[[#This Row],[COUNTRY]],COUNTRIES[COUNTRY_DESCRIPTION],COUNTRIES[COUNTRY_LABEL],"")</f>
        <v>DE</v>
      </c>
      <c r="H446" t="str" cm="1">
        <f t="array" ref="H4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6" t="s">
        <v>17</v>
      </c>
      <c r="J446">
        <v>0</v>
      </c>
      <c r="K446">
        <v>8</v>
      </c>
      <c r="L446">
        <v>0</v>
      </c>
      <c r="M446" t="str" cm="1">
        <f t="array" ref="M4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6">
        <f>_xlfn.XLOOKUP("LOADINGSPEEDDEF_"&amp;PROPERTIES[[#This Row],[LOADINGSPEED]],LOADINGSPEEDDEF[TYPE],LOADINGSPEEDDEF[SPEED])</f>
        <v>20</v>
      </c>
      <c r="O446" t="str" cm="1">
        <f t="array" ref="O4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6">
        <f>IF(ISNUMBER(SEARCH("passenger",PROPERTIES[[#This Row],[CARGODEF]])),1,0)</f>
        <v>0</v>
      </c>
      <c r="Q446" s="23">
        <v>84</v>
      </c>
      <c r="R446">
        <v>5600</v>
      </c>
      <c r="S446">
        <v>0</v>
      </c>
      <c r="T446">
        <v>0</v>
      </c>
      <c r="U446">
        <v>0</v>
      </c>
      <c r="V446">
        <v>140</v>
      </c>
      <c r="W446">
        <v>0</v>
      </c>
      <c r="X446">
        <v>0</v>
      </c>
      <c r="Y446">
        <v>0</v>
      </c>
      <c r="Z446" s="20">
        <v>0</v>
      </c>
      <c r="AA446" s="19">
        <f>IFERROR(PROPERTIES[[#This Row],[TE_STARTING_KN]]/(PROPERTIES[[#This Row],[WEIGHT]]*9.81),0)</f>
        <v>0</v>
      </c>
      <c r="AB446" s="19">
        <v>0.35</v>
      </c>
      <c r="AC446" s="16">
        <f>ROUND(IF(IFERROR(PROPERTIES[[#This Row],[TE_COEFFICIENT_CALC]],0)=0,PROPERTIES[[#This Row],[TE_COEFFICIENT_MANUAL]],PROPERTIES[[#This Row],[TE_COEFFICIENT_CALC]]),3)</f>
        <v>0.35</v>
      </c>
      <c r="AD446" s="8" cm="1">
        <f t="array" ref="AD4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46" s="26">
        <v>0</v>
      </c>
      <c r="AF446" s="6">
        <v>0</v>
      </c>
      <c r="AG446" t="s">
        <v>239</v>
      </c>
      <c r="AH446" t="s">
        <v>229</v>
      </c>
      <c r="AI446" t="s">
        <v>229</v>
      </c>
      <c r="AJ446" s="2" t="s">
        <v>229</v>
      </c>
      <c r="AK446" s="2" t="s">
        <v>244</v>
      </c>
      <c r="AL44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6" s="2" t="str">
        <f>SUBSTITUTE(SUBSTITUTE(PROPERTIES[[#This Row],[PURCHASECOST_VALUE]], "PURCHASECOST_", ""), "_VALUE", "")</f>
        <v>ELECTRICENGINE</v>
      </c>
      <c r="AO446" s="44" t="b">
        <v>0</v>
      </c>
      <c r="AP446" s="48" t="b">
        <v>0</v>
      </c>
      <c r="AQ446" s="48" t="b">
        <v>0</v>
      </c>
      <c r="AR446" s="48">
        <v>0</v>
      </c>
      <c r="AS446" s="48" t="b">
        <v>0</v>
      </c>
      <c r="AT446" s="7" t="b">
        <v>0</v>
      </c>
      <c r="AU446" s="40" t="str" cm="1">
        <f t="array" ref="AU446">_xlfn.XLOOKUP(PROPERTIES[[#This Row],[VEHIDCODE]],GRAPHICS_PROPERTIES[VEHIDCODE],GRAPHICS_PROPERTIES[TEMPLATE_ID]&amp;GRAPHICS_PROPERTIES[TEMPLATE_AMENDMENT_CODE])</f>
        <v>TPL_01A</v>
      </c>
    </row>
    <row r="447" spans="1:47" x14ac:dyDescent="0.35">
      <c r="A447" s="2" t="s">
        <v>3080</v>
      </c>
      <c r="B447">
        <v>1908</v>
      </c>
      <c r="C447">
        <v>1965</v>
      </c>
      <c r="D447" cm="1">
        <f t="array" ref="D4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7" s="40" t="str">
        <f>_xlfn.XLOOKUP(PROPERTIES[[#This Row],[VEHIDCODE]],CONTROL[VEHIDCODE],CONTROL[ENGLISH])</f>
        <v>TIBB E.550</v>
      </c>
      <c r="F447" t="s">
        <v>636</v>
      </c>
      <c r="G447" s="40" t="str">
        <f>_xlfn.XLOOKUP(PROPERTIES[[#This Row],[COUNTRY]],COUNTRIES[COUNTRY_DESCRIPTION],COUNTRIES[COUNTRY_LABEL],"")</f>
        <v>IT</v>
      </c>
      <c r="H447" t="str" cm="1">
        <f t="array" ref="H4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7" t="s">
        <v>17</v>
      </c>
      <c r="J447">
        <v>0</v>
      </c>
      <c r="K447">
        <v>6</v>
      </c>
      <c r="L447">
        <v>0</v>
      </c>
      <c r="M447" t="str" cm="1">
        <f t="array" ref="M4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7">
        <f>_xlfn.XLOOKUP("LOADINGSPEEDDEF_"&amp;PROPERTIES[[#This Row],[LOADINGSPEED]],LOADINGSPEEDDEF[TYPE],LOADINGSPEEDDEF[SPEED])</f>
        <v>20</v>
      </c>
      <c r="O447" cm="1">
        <f t="array" ref="O4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47">
        <f>IF(ISNUMBER(SEARCH("passenger",PROPERTIES[[#This Row],[CARGODEF]])),1,0)</f>
        <v>0</v>
      </c>
      <c r="Q447" s="23">
        <v>64</v>
      </c>
      <c r="R447">
        <v>2000</v>
      </c>
      <c r="S447">
        <v>0</v>
      </c>
      <c r="T447">
        <v>0</v>
      </c>
      <c r="U447">
        <v>0</v>
      </c>
      <c r="V447">
        <v>50</v>
      </c>
      <c r="W447">
        <v>0</v>
      </c>
      <c r="X447">
        <v>0</v>
      </c>
      <c r="Y447">
        <v>0</v>
      </c>
      <c r="Z447" s="20">
        <v>100</v>
      </c>
      <c r="AA447" s="19">
        <f>IFERROR(PROPERTIES[[#This Row],[TE_STARTING_KN]]/(PROPERTIES[[#This Row],[WEIGHT]]*9.81),0)</f>
        <v>0.15927624872578999</v>
      </c>
      <c r="AB447" s="19">
        <v>0</v>
      </c>
      <c r="AC447" s="16">
        <f>ROUND(IF(IFERROR(PROPERTIES[[#This Row],[TE_COEFFICIENT_CALC]],0)=0,PROPERTIES[[#This Row],[TE_COEFFICIENT_MANUAL]],PROPERTIES[[#This Row],[TE_COEFFICIENT_CALC]]),3)</f>
        <v>0.159</v>
      </c>
      <c r="AD447" s="8" cm="1">
        <f t="array" ref="AD4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57</v>
      </c>
      <c r="AE447" s="26">
        <v>0</v>
      </c>
      <c r="AF447" s="6">
        <v>0</v>
      </c>
      <c r="AG447" t="s">
        <v>231</v>
      </c>
      <c r="AH447" t="s">
        <v>229</v>
      </c>
      <c r="AI447" t="s">
        <v>229</v>
      </c>
      <c r="AJ447" s="2" t="s">
        <v>229</v>
      </c>
      <c r="AK447" s="2" t="s">
        <v>244</v>
      </c>
      <c r="AL44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7" s="2" t="str">
        <f>SUBSTITUTE(SUBSTITUTE(PROPERTIES[[#This Row],[PURCHASECOST_VALUE]], "PURCHASECOST_", ""), "_VALUE", "")</f>
        <v>ELECTRICENGINE</v>
      </c>
      <c r="AO447" s="44" t="b">
        <v>0</v>
      </c>
      <c r="AP447" s="48" t="b">
        <v>0</v>
      </c>
      <c r="AQ447" s="48" t="b">
        <v>0</v>
      </c>
      <c r="AR447" s="48">
        <v>0</v>
      </c>
      <c r="AS447" s="48" t="b">
        <v>0</v>
      </c>
      <c r="AT447" s="7" t="b">
        <v>0</v>
      </c>
      <c r="AU447" s="40" t="str" cm="1">
        <f t="array" ref="AU447">_xlfn.XLOOKUP(PROPERTIES[[#This Row],[VEHIDCODE]],GRAPHICS_PROPERTIES[VEHIDCODE],GRAPHICS_PROPERTIES[TEMPLATE_ID]&amp;GRAPHICS_PROPERTIES[TEMPLATE_AMENDMENT_CODE])</f>
        <v>TPL_03C</v>
      </c>
    </row>
    <row r="448" spans="1:47" x14ac:dyDescent="0.35">
      <c r="A448" s="2" t="s">
        <v>3081</v>
      </c>
      <c r="B448">
        <v>1967</v>
      </c>
      <c r="C448">
        <v>2004</v>
      </c>
      <c r="D448" cm="1">
        <f t="array" ref="D4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8" s="40" t="str">
        <f>_xlfn.XLOOKUP(PROPERTIES[[#This Row],[VEHIDCODE]],CONTROL[VEHIDCODE],CONTROL[ENGLISH])</f>
        <v>Hitachi EF81</v>
      </c>
      <c r="F448" t="s">
        <v>640</v>
      </c>
      <c r="G448" s="40" t="str">
        <f>_xlfn.XLOOKUP(PROPERTIES[[#This Row],[COUNTRY]],COUNTRIES[COUNTRY_DESCRIPTION],COUNTRIES[COUNTRY_LABEL],"")</f>
        <v>JP</v>
      </c>
      <c r="H448" t="str" cm="1">
        <f t="array" ref="H4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8" t="s">
        <v>17</v>
      </c>
      <c r="J448">
        <v>0</v>
      </c>
      <c r="K448">
        <v>8</v>
      </c>
      <c r="L448">
        <v>0</v>
      </c>
      <c r="M448" t="str" cm="1">
        <f t="array" ref="M4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8">
        <f>_xlfn.XLOOKUP("LOADINGSPEEDDEF_"&amp;PROPERTIES[[#This Row],[LOADINGSPEED]],LOADINGSPEEDDEF[TYPE],LOADINGSPEEDDEF[SPEED])</f>
        <v>20</v>
      </c>
      <c r="O448" cm="1">
        <f t="array" ref="O4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48">
        <f>IF(ISNUMBER(SEARCH("passenger",PROPERTIES[[#This Row],[CARGODEF]])),1,0)</f>
        <v>0</v>
      </c>
      <c r="Q448" s="23">
        <v>101</v>
      </c>
      <c r="R448">
        <v>3420</v>
      </c>
      <c r="S448">
        <v>0</v>
      </c>
      <c r="T448">
        <v>3180</v>
      </c>
      <c r="U448">
        <v>0</v>
      </c>
      <c r="V448">
        <v>110</v>
      </c>
      <c r="W448">
        <v>0</v>
      </c>
      <c r="X448">
        <v>0</v>
      </c>
      <c r="Y448">
        <v>0</v>
      </c>
      <c r="Z448" s="20">
        <v>0</v>
      </c>
      <c r="AA448" s="19">
        <f>IFERROR(PROPERTIES[[#This Row],[TE_STARTING_KN]]/(PROPERTIES[[#This Row],[WEIGHT]]*9.81),0)</f>
        <v>0</v>
      </c>
      <c r="AB448" s="19">
        <v>0.28999999999999998</v>
      </c>
      <c r="AC448" s="16">
        <f>ROUND(IF(IFERROR(PROPERTIES[[#This Row],[TE_COEFFICIENT_CALC]],0)=0,PROPERTIES[[#This Row],[TE_COEFFICIENT_MANUAL]],PROPERTIES[[#This Row],[TE_COEFFICIENT_CALC]]),3)</f>
        <v>0.28999999999999998</v>
      </c>
      <c r="AD448" s="8" cm="1">
        <f t="array" ref="AD4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8" s="26">
        <v>0</v>
      </c>
      <c r="AF448" s="6">
        <v>0</v>
      </c>
      <c r="AG448" t="s">
        <v>238</v>
      </c>
      <c r="AH448" t="s">
        <v>229</v>
      </c>
      <c r="AI448" t="s">
        <v>229</v>
      </c>
      <c r="AJ448" s="2" t="s">
        <v>229</v>
      </c>
      <c r="AK448" s="2" t="s">
        <v>244</v>
      </c>
      <c r="AL44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8" s="2" t="str">
        <f>SUBSTITUTE(SUBSTITUTE(PROPERTIES[[#This Row],[PURCHASECOST_VALUE]], "PURCHASECOST_", ""), "_VALUE", "")</f>
        <v>ELECTRICENGINE</v>
      </c>
      <c r="AO448" s="44" t="b">
        <v>0</v>
      </c>
      <c r="AP448" s="48" t="b">
        <v>0</v>
      </c>
      <c r="AQ448" s="48" t="b">
        <v>0</v>
      </c>
      <c r="AR448" s="48">
        <v>0</v>
      </c>
      <c r="AS448" s="48" t="b">
        <v>0</v>
      </c>
      <c r="AT448" s="7" t="b">
        <v>0</v>
      </c>
      <c r="AU448" s="40" t="str" cm="1">
        <f t="array" ref="AU448">_xlfn.XLOOKUP(PROPERTIES[[#This Row],[VEHIDCODE]],GRAPHICS_PROPERTIES[VEHIDCODE],GRAPHICS_PROPERTIES[TEMPLATE_ID]&amp;GRAPHICS_PROPERTIES[TEMPLATE_AMENDMENT_CODE])</f>
        <v>TPL_01A</v>
      </c>
    </row>
    <row r="449" spans="1:47" x14ac:dyDescent="0.35">
      <c r="A449" s="2" t="s">
        <v>3082</v>
      </c>
      <c r="B449">
        <v>1993</v>
      </c>
      <c r="D449" cm="1">
        <f t="array" ref="D4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9" s="40" t="str">
        <f>_xlfn.XLOOKUP(PROPERTIES[[#This Row],[VEHIDCODE]],CONTROL[VEHIDCODE],CONTROL[ENGLISH])</f>
        <v>ABB/Brush Class 92</v>
      </c>
      <c r="F449" t="s">
        <v>603</v>
      </c>
      <c r="G449" s="40" t="str">
        <f>_xlfn.XLOOKUP(PROPERTIES[[#This Row],[COUNTRY]],COUNTRIES[COUNTRY_DESCRIPTION],COUNTRIES[COUNTRY_LABEL],"")</f>
        <v>GB</v>
      </c>
      <c r="H449" t="str" cm="1">
        <f t="array" ref="H4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9" t="s">
        <v>17</v>
      </c>
      <c r="J449">
        <v>0</v>
      </c>
      <c r="K449">
        <v>8</v>
      </c>
      <c r="L449">
        <v>0</v>
      </c>
      <c r="M449" t="str" cm="1">
        <f t="array" ref="M4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9">
        <f>_xlfn.XLOOKUP("LOADINGSPEEDDEF_"&amp;PROPERTIES[[#This Row],[LOADINGSPEED]],LOADINGSPEEDDEF[TYPE],LOADINGSPEEDDEF[SPEED])</f>
        <v>20</v>
      </c>
      <c r="O449" t="str" cm="1">
        <f t="array" ref="O4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9">
        <f>IF(ISNUMBER(SEARCH("passenger",PROPERTIES[[#This Row],[CARGODEF]])),1,0)</f>
        <v>0</v>
      </c>
      <c r="Q449" s="23">
        <v>126</v>
      </c>
      <c r="R449">
        <v>6760</v>
      </c>
      <c r="S449">
        <v>0</v>
      </c>
      <c r="T449">
        <v>5360</v>
      </c>
      <c r="U449">
        <v>0</v>
      </c>
      <c r="V449">
        <v>140</v>
      </c>
      <c r="W449">
        <v>0</v>
      </c>
      <c r="X449">
        <v>0</v>
      </c>
      <c r="Y449">
        <v>0</v>
      </c>
      <c r="Z449" s="20">
        <v>360</v>
      </c>
      <c r="AA449" s="19">
        <f>IFERROR(PROPERTIES[[#This Row],[TE_STARTING_KN]]/(PROPERTIES[[#This Row],[WEIGHT]]*9.81),0)</f>
        <v>0.29124799767001597</v>
      </c>
      <c r="AB449" s="19">
        <v>0</v>
      </c>
      <c r="AC449" s="16">
        <f>ROUND(IF(IFERROR(PROPERTIES[[#This Row],[TE_COEFFICIENT_CALC]],0)=0,PROPERTIES[[#This Row],[TE_COEFFICIENT_MANUAL]],PROPERTIES[[#This Row],[TE_COEFFICIENT_CALC]]),3)</f>
        <v>0.29099999999999998</v>
      </c>
      <c r="AD449" s="8" cm="1">
        <f t="array" ref="AD4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9" s="26">
        <v>0</v>
      </c>
      <c r="AF449" s="6">
        <v>0</v>
      </c>
      <c r="AG449" t="s">
        <v>234</v>
      </c>
      <c r="AH449" t="s">
        <v>230</v>
      </c>
      <c r="AI449" t="s">
        <v>236</v>
      </c>
      <c r="AJ449" s="2" t="s">
        <v>229</v>
      </c>
      <c r="AK449" s="2" t="s">
        <v>244</v>
      </c>
      <c r="AL44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9" s="2" t="str">
        <f>SUBSTITUTE(SUBSTITUTE(PROPERTIES[[#This Row],[PURCHASECOST_VALUE]], "PURCHASECOST_", ""), "_VALUE", "")</f>
        <v>ELECTRICENGINE</v>
      </c>
      <c r="AO449" s="44" t="b">
        <v>0</v>
      </c>
      <c r="AP449" s="48" t="b">
        <v>0</v>
      </c>
      <c r="AQ449" s="48" t="b">
        <v>0</v>
      </c>
      <c r="AR449" s="48">
        <v>0</v>
      </c>
      <c r="AS449" s="48" t="b">
        <v>0</v>
      </c>
      <c r="AT449" s="7" t="b">
        <v>0</v>
      </c>
      <c r="AU449" s="40" t="str" cm="1">
        <f t="array" ref="AU449">_xlfn.XLOOKUP(PROPERTIES[[#This Row],[VEHIDCODE]],GRAPHICS_PROPERTIES[VEHIDCODE],GRAPHICS_PROPERTIES[TEMPLATE_ID]&amp;GRAPHICS_PROPERTIES[TEMPLATE_AMENDMENT_CODE])</f>
        <v>TPL_01A</v>
      </c>
    </row>
    <row r="450" spans="1:47" x14ac:dyDescent="0.35">
      <c r="A450" s="2" t="s">
        <v>3083</v>
      </c>
      <c r="B450">
        <v>2012</v>
      </c>
      <c r="D450" cm="1">
        <f t="array" ref="D4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50" s="40" t="str">
        <f>_xlfn.XLOOKUP(PROPERTIES[[#This Row],[VEHIDCODE]],CONTROL[VEHIDCODE],CONTROL[ENGLISH])</f>
        <v>Siemens ACS-64</v>
      </c>
      <c r="F450" t="s">
        <v>757</v>
      </c>
      <c r="G450" s="40" t="str">
        <f>_xlfn.XLOOKUP(PROPERTIES[[#This Row],[COUNTRY]],COUNTRIES[COUNTRY_DESCRIPTION],COUNTRIES[COUNTRY_LABEL],"")</f>
        <v>US</v>
      </c>
      <c r="H450" t="str" cm="1">
        <f t="array" ref="H4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50" t="s">
        <v>17</v>
      </c>
      <c r="J450">
        <v>0</v>
      </c>
      <c r="K450">
        <v>8</v>
      </c>
      <c r="L450">
        <v>0</v>
      </c>
      <c r="M450" t="str" cm="1">
        <f t="array" ref="M4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50">
        <f>_xlfn.XLOOKUP("LOADINGSPEEDDEF_"&amp;PROPERTIES[[#This Row],[LOADINGSPEED]],LOADINGSPEEDDEF[TYPE],LOADINGSPEEDDEF[SPEED])</f>
        <v>20</v>
      </c>
      <c r="O450" t="str" cm="1">
        <f t="array" ref="O4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50">
        <f>IF(ISNUMBER(SEARCH("passenger",PROPERTIES[[#This Row],[CARGODEF]])),1,0)</f>
        <v>0</v>
      </c>
      <c r="Q450" s="23">
        <v>98</v>
      </c>
      <c r="R450">
        <v>6700</v>
      </c>
      <c r="S450">
        <v>0</v>
      </c>
      <c r="T450">
        <v>0</v>
      </c>
      <c r="U450">
        <v>0</v>
      </c>
      <c r="V450">
        <v>201</v>
      </c>
      <c r="W450">
        <v>0</v>
      </c>
      <c r="X450">
        <v>0</v>
      </c>
      <c r="Y450">
        <v>0</v>
      </c>
      <c r="Z450" s="20">
        <v>320</v>
      </c>
      <c r="AA450" s="19">
        <f>IFERROR(PROPERTIES[[#This Row],[TE_STARTING_KN]]/(PROPERTIES[[#This Row],[WEIGHT]]*9.81),0)</f>
        <v>0.33285485448001834</v>
      </c>
      <c r="AB450" s="19">
        <v>0</v>
      </c>
      <c r="AC450" s="16">
        <f>ROUND(IF(IFERROR(PROPERTIES[[#This Row],[TE_COEFFICIENT_CALC]],0)=0,PROPERTIES[[#This Row],[TE_COEFFICIENT_MANUAL]],PROPERTIES[[#This Row],[TE_COEFFICIENT_CALC]]),3)</f>
        <v>0.33300000000000002</v>
      </c>
      <c r="AD450" s="8" cm="1">
        <f t="array" ref="AD4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50" s="26">
        <v>0</v>
      </c>
      <c r="AF450" s="6">
        <v>0</v>
      </c>
      <c r="AG450" t="s">
        <v>235</v>
      </c>
      <c r="AH450" t="s">
        <v>229</v>
      </c>
      <c r="AI450" t="s">
        <v>229</v>
      </c>
      <c r="AJ450" s="2" t="s">
        <v>229</v>
      </c>
      <c r="AK450" s="2" t="s">
        <v>244</v>
      </c>
      <c r="AL45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5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50" s="2" t="str">
        <f>SUBSTITUTE(SUBSTITUTE(PROPERTIES[[#This Row],[PURCHASECOST_VALUE]], "PURCHASECOST_", ""), "_VALUE", "")</f>
        <v>ELECTRICENGINE</v>
      </c>
      <c r="AO450" s="44" t="b">
        <v>0</v>
      </c>
      <c r="AP450" s="48" t="b">
        <v>0</v>
      </c>
      <c r="AQ450" s="48" t="b">
        <v>0</v>
      </c>
      <c r="AR450" s="48">
        <v>0</v>
      </c>
      <c r="AS450" s="48" t="b">
        <v>0</v>
      </c>
      <c r="AT450" s="7" t="b">
        <v>0</v>
      </c>
      <c r="AU450" s="40" t="str" cm="1">
        <f t="array" ref="AU450">_xlfn.XLOOKUP(PROPERTIES[[#This Row],[VEHIDCODE]],GRAPHICS_PROPERTIES[VEHIDCODE],GRAPHICS_PROPERTIES[TEMPLATE_ID]&amp;GRAPHICS_PROPERTIES[TEMPLATE_AMENDMENT_CODE])</f>
        <v>TPL_01A</v>
      </c>
    </row>
    <row r="451" spans="1:47" x14ac:dyDescent="0.35">
      <c r="A451" s="2" t="s">
        <v>3084</v>
      </c>
      <c r="B451">
        <v>1964</v>
      </c>
      <c r="C451">
        <v>1996</v>
      </c>
      <c r="D451" cm="1">
        <f t="array" ref="D4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51" s="40" t="str">
        <f>_xlfn.XLOOKUP(PROPERTIES[[#This Row],[VEHIDCODE]],CONTROL[VEHIDCODE],CONTROL[ENGLISH])</f>
        <v>Alsthom CC 40100</v>
      </c>
      <c r="F451" t="s">
        <v>602</v>
      </c>
      <c r="G451" s="40" t="str">
        <f>_xlfn.XLOOKUP(PROPERTIES[[#This Row],[COUNTRY]],COUNTRIES[COUNTRY_DESCRIPTION],COUNTRIES[COUNTRY_LABEL],"")</f>
        <v>FR</v>
      </c>
      <c r="H451" t="str" cm="1">
        <f t="array" ref="H4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51" t="s">
        <v>17</v>
      </c>
      <c r="J451">
        <v>0</v>
      </c>
      <c r="K451">
        <v>8</v>
      </c>
      <c r="L451">
        <v>0</v>
      </c>
      <c r="M451" t="str" cm="1">
        <f t="array" ref="M4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51">
        <f>_xlfn.XLOOKUP("LOADINGSPEEDDEF_"&amp;PROPERTIES[[#This Row],[LOADINGSPEED]],LOADINGSPEEDDEF[TYPE],LOADINGSPEEDDEF[SPEED])</f>
        <v>20</v>
      </c>
      <c r="O451" cm="1">
        <f t="array" ref="O4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1">
        <f>IF(ISNUMBER(SEARCH("passenger",PROPERTIES[[#This Row],[CARGODEF]])),1,0)</f>
        <v>0</v>
      </c>
      <c r="Q451" s="23">
        <v>97</v>
      </c>
      <c r="R451">
        <v>4920</v>
      </c>
      <c r="S451">
        <v>0</v>
      </c>
      <c r="T451">
        <v>0</v>
      </c>
      <c r="U451">
        <v>0</v>
      </c>
      <c r="V451">
        <v>240</v>
      </c>
      <c r="W451">
        <v>0</v>
      </c>
      <c r="X451">
        <v>0</v>
      </c>
      <c r="Y451">
        <v>0</v>
      </c>
      <c r="Z451" s="20">
        <v>210</v>
      </c>
      <c r="AA451" s="19">
        <f>IFERROR(PROPERTIES[[#This Row],[TE_STARTING_KN]]/(PROPERTIES[[#This Row],[WEIGHT]]*9.81),0)</f>
        <v>0.22068791576026986</v>
      </c>
      <c r="AB451" s="19">
        <v>0</v>
      </c>
      <c r="AC451" s="16">
        <f>ROUND(IF(IFERROR(PROPERTIES[[#This Row],[TE_COEFFICIENT_CALC]],0)=0,PROPERTIES[[#This Row],[TE_COEFFICIENT_MANUAL]],PROPERTIES[[#This Row],[TE_COEFFICIENT_CALC]]),3)</f>
        <v>0.221</v>
      </c>
      <c r="AD451" s="8" cm="1">
        <f t="array" ref="AD4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1" s="26">
        <v>0</v>
      </c>
      <c r="AF451" s="6">
        <v>0</v>
      </c>
      <c r="AG451" t="s">
        <v>230</v>
      </c>
      <c r="AH451" t="s">
        <v>229</v>
      </c>
      <c r="AI451" t="s">
        <v>229</v>
      </c>
      <c r="AJ451" s="2" t="s">
        <v>229</v>
      </c>
      <c r="AK451" s="2" t="s">
        <v>244</v>
      </c>
      <c r="AL45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5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51" s="2" t="str">
        <f>SUBSTITUTE(SUBSTITUTE(PROPERTIES[[#This Row],[PURCHASECOST_VALUE]], "PURCHASECOST_", ""), "_VALUE", "")</f>
        <v>ELECTRICENGINE</v>
      </c>
      <c r="AO451" s="44" t="b">
        <v>0</v>
      </c>
      <c r="AP451" s="48" t="b">
        <v>0</v>
      </c>
      <c r="AQ451" s="48" t="b">
        <v>0</v>
      </c>
      <c r="AR451" s="48">
        <v>0</v>
      </c>
      <c r="AS451" s="48" t="b">
        <v>0</v>
      </c>
      <c r="AT451" s="7" t="b">
        <v>0</v>
      </c>
      <c r="AU451" s="40" t="str" cm="1">
        <f t="array" ref="AU451">_xlfn.XLOOKUP(PROPERTIES[[#This Row],[VEHIDCODE]],GRAPHICS_PROPERTIES[VEHIDCODE],GRAPHICS_PROPERTIES[TEMPLATE_ID]&amp;GRAPHICS_PROPERTIES[TEMPLATE_AMENDMENT_CODE])</f>
        <v>TPL_01A</v>
      </c>
    </row>
    <row r="452" spans="1:47" x14ac:dyDescent="0.35">
      <c r="A452" s="2" t="s">
        <v>3085</v>
      </c>
      <c r="B452">
        <v>1997</v>
      </c>
      <c r="D452" cm="1">
        <f t="array" ref="D4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52" s="40" t="str">
        <f>_xlfn.XLOOKUP(PROPERTIES[[#This Row],[VEHIDCODE]],CONTROL[VEHIDCODE],CONTROL[ENGLISH])</f>
        <v>Alsthom Class 13 HLE</v>
      </c>
      <c r="F452" t="s">
        <v>548</v>
      </c>
      <c r="G452" s="40" t="str">
        <f>_xlfn.XLOOKUP(PROPERTIES[[#This Row],[COUNTRY]],COUNTRIES[COUNTRY_DESCRIPTION],COUNTRIES[COUNTRY_LABEL],"")</f>
        <v>BE</v>
      </c>
      <c r="H452" t="str" cm="1">
        <f t="array" ref="H4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52" t="s">
        <v>17</v>
      </c>
      <c r="J452">
        <v>0</v>
      </c>
      <c r="K452">
        <v>8</v>
      </c>
      <c r="L452">
        <v>0</v>
      </c>
      <c r="M452" t="str" cm="1">
        <f t="array" ref="M4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52">
        <f>_xlfn.XLOOKUP("LOADINGSPEEDDEF_"&amp;PROPERTIES[[#This Row],[LOADINGSPEED]],LOADINGSPEEDDEF[TYPE],LOADINGSPEEDDEF[SPEED])</f>
        <v>20</v>
      </c>
      <c r="O452" t="str" cm="1">
        <f t="array" ref="O4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52">
        <f>IF(ISNUMBER(SEARCH("passenger",PROPERTIES[[#This Row],[CARGODEF]])),1,0)</f>
        <v>0</v>
      </c>
      <c r="Q452" s="23">
        <v>90</v>
      </c>
      <c r="R452">
        <v>7000</v>
      </c>
      <c r="S452">
        <v>0</v>
      </c>
      <c r="T452">
        <v>2800</v>
      </c>
      <c r="U452">
        <v>0</v>
      </c>
      <c r="V452">
        <v>200</v>
      </c>
      <c r="W452">
        <v>0</v>
      </c>
      <c r="X452">
        <v>0</v>
      </c>
      <c r="Y452">
        <v>0</v>
      </c>
      <c r="Z452" s="20">
        <v>288</v>
      </c>
      <c r="AA452" s="19">
        <f>IFERROR(PROPERTIES[[#This Row],[TE_STARTING_KN]]/(PROPERTIES[[#This Row],[WEIGHT]]*9.81),0)</f>
        <v>0.3261977573904179</v>
      </c>
      <c r="AB452" s="19">
        <v>0</v>
      </c>
      <c r="AC452" s="16">
        <f>ROUND(IF(IFERROR(PROPERTIES[[#This Row],[TE_COEFFICIENT_CALC]],0)=0,PROPERTIES[[#This Row],[TE_COEFFICIENT_MANUAL]],PROPERTIES[[#This Row],[TE_COEFFICIENT_CALC]]),3)</f>
        <v>0.32600000000000001</v>
      </c>
      <c r="AD452" s="8" cm="1">
        <f t="array" ref="AD4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2" s="26">
        <v>0</v>
      </c>
      <c r="AF452" s="6">
        <v>0</v>
      </c>
      <c r="AG452" t="s">
        <v>230</v>
      </c>
      <c r="AH452" t="s">
        <v>229</v>
      </c>
      <c r="AI452" t="s">
        <v>229</v>
      </c>
      <c r="AJ452" s="2" t="s">
        <v>229</v>
      </c>
      <c r="AK452" s="2" t="s">
        <v>244</v>
      </c>
      <c r="AL45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5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52" s="2" t="str">
        <f>SUBSTITUTE(SUBSTITUTE(PROPERTIES[[#This Row],[PURCHASECOST_VALUE]], "PURCHASECOST_", ""), "_VALUE", "")</f>
        <v>ELECTRICENGINE</v>
      </c>
      <c r="AO452" s="44" t="b">
        <v>0</v>
      </c>
      <c r="AP452" s="48" t="b">
        <v>0</v>
      </c>
      <c r="AQ452" s="48" t="b">
        <v>0</v>
      </c>
      <c r="AR452" s="48">
        <v>0</v>
      </c>
      <c r="AS452" s="48" t="b">
        <v>0</v>
      </c>
      <c r="AT452" s="7" t="b">
        <v>0</v>
      </c>
      <c r="AU452" s="40" t="str" cm="1">
        <f t="array" ref="AU452">_xlfn.XLOOKUP(PROPERTIES[[#This Row],[VEHIDCODE]],GRAPHICS_PROPERTIES[VEHIDCODE],GRAPHICS_PROPERTIES[TEMPLATE_ID]&amp;GRAPHICS_PROPERTIES[TEMPLATE_AMENDMENT_CODE])</f>
        <v>TPL_01A</v>
      </c>
    </row>
    <row r="453" spans="1:47" x14ac:dyDescent="0.35">
      <c r="A453" s="2" t="s">
        <v>3086</v>
      </c>
      <c r="B453">
        <v>1932</v>
      </c>
      <c r="C453">
        <v>1983</v>
      </c>
      <c r="D453" cm="1">
        <f t="array" ref="D4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3" s="40" t="str">
        <f>_xlfn.XLOOKUP(PROPERTIES[[#This Row],[VEHIDCODE]],CONTROL[VEHIDCODE],CONTROL[ENGLISH])</f>
        <v>LHB VT 04.0 'Flying Hamburger'</v>
      </c>
      <c r="F453" t="s">
        <v>584</v>
      </c>
      <c r="G453" s="40" t="str">
        <f>_xlfn.XLOOKUP(PROPERTIES[[#This Row],[COUNTRY]],COUNTRIES[COUNTRY_DESCRIPTION],COUNTRIES[COUNTRY_LABEL],"")</f>
        <v>DE</v>
      </c>
      <c r="H453" t="str" cm="1">
        <f t="array" ref="H4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3" t="s">
        <v>15</v>
      </c>
      <c r="J453">
        <f>110/2</f>
        <v>55</v>
      </c>
      <c r="K453">
        <v>8</v>
      </c>
      <c r="M453" t="str" cm="1">
        <f t="array" ref="M4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3">
        <f>_xlfn.XLOOKUP("LOADINGSPEEDDEF_"&amp;PROPERTIES[[#This Row],[LOADINGSPEED]],LOADINGSPEEDDEF[TYPE],LOADINGSPEEDDEF[SPEED])</f>
        <v>60</v>
      </c>
      <c r="O453" cm="1">
        <f t="array" ref="O4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3">
        <f>IF(ISNUMBER(SEARCH("passenger",PROPERTIES[[#This Row],[CARGODEF]])),1,0)</f>
        <v>1</v>
      </c>
      <c r="Q453" s="23">
        <f>85/2</f>
        <v>42.5</v>
      </c>
      <c r="R453">
        <v>810</v>
      </c>
      <c r="S453">
        <v>0</v>
      </c>
      <c r="T453">
        <v>0</v>
      </c>
      <c r="U453">
        <v>0</v>
      </c>
      <c r="V453">
        <v>160</v>
      </c>
      <c r="W453">
        <v>0</v>
      </c>
      <c r="X453">
        <v>0</v>
      </c>
      <c r="Y453">
        <v>0</v>
      </c>
      <c r="Z453" s="20">
        <f>53/2</f>
        <v>26.5</v>
      </c>
      <c r="AA453" s="19">
        <f>IFERROR(PROPERTIES[[#This Row],[TE_STARTING_KN]]/(PROPERTIES[[#This Row],[WEIGHT]]*9.81),0)</f>
        <v>6.3560592432691729E-2</v>
      </c>
      <c r="AB453" s="19">
        <v>0</v>
      </c>
      <c r="AC453" s="16">
        <f>ROUND(IF(IFERROR(PROPERTIES[[#This Row],[TE_COEFFICIENT_CALC]],0)=0,PROPERTIES[[#This Row],[TE_COEFFICIENT_MANUAL]],PROPERTIES[[#This Row],[TE_COEFFICIENT_CALC]]),3)</f>
        <v>6.4000000000000001E-2</v>
      </c>
      <c r="AD453" s="8" cm="1">
        <f t="array" ref="AD4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453" s="26">
        <f>INT(139/2)</f>
        <v>69</v>
      </c>
      <c r="AF453" s="6">
        <v>8</v>
      </c>
      <c r="AG453" t="s">
        <v>230</v>
      </c>
      <c r="AH453" t="s">
        <v>229</v>
      </c>
      <c r="AI453" t="s">
        <v>229</v>
      </c>
      <c r="AJ453" s="2" t="s">
        <v>229</v>
      </c>
      <c r="AK453" s="2" t="s">
        <v>244</v>
      </c>
      <c r="AL45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3" s="2" t="str">
        <f>SUBSTITUTE(SUBSTITUTE(PROPERTIES[[#This Row],[PURCHASECOST_VALUE]], "PURCHASECOST_", ""), "_VALUE", "")</f>
        <v>DMU</v>
      </c>
      <c r="AO453" s="44" t="b">
        <v>0</v>
      </c>
      <c r="AP453" s="48" t="b">
        <v>0</v>
      </c>
      <c r="AQ453" s="48" t="b">
        <v>0</v>
      </c>
      <c r="AR453" s="48">
        <v>0</v>
      </c>
      <c r="AS453" s="48" t="b">
        <v>0</v>
      </c>
      <c r="AT453" s="7" t="b">
        <v>0</v>
      </c>
      <c r="AU453" s="40" t="str" cm="1">
        <f t="array" ref="AU453">_xlfn.XLOOKUP(PROPERTIES[[#This Row],[VEHIDCODE]],GRAPHICS_PROPERTIES[VEHIDCODE],GRAPHICS_PROPERTIES[TEMPLATE_ID]&amp;GRAPHICS_PROPERTIES[TEMPLATE_AMENDMENT_CODE])</f>
        <v>TPL_02A</v>
      </c>
    </row>
    <row r="454" spans="1:47" x14ac:dyDescent="0.35">
      <c r="A454" s="2" t="s">
        <v>3087</v>
      </c>
      <c r="B454">
        <v>1937</v>
      </c>
      <c r="C454">
        <v>1989</v>
      </c>
      <c r="D454" cm="1">
        <f t="array" ref="D4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4" s="40" t="str">
        <f>_xlfn.XLOOKUP(PROPERTIES[[#This Row],[VEHIDCODE]],CONTROL[VEHIDCODE],CONTROL[ENGLISH])</f>
        <v>Harland &amp; Wolf 'Silver City Comet'</v>
      </c>
      <c r="F454" t="s">
        <v>541</v>
      </c>
      <c r="G454" s="40" t="str">
        <f>_xlfn.XLOOKUP(PROPERTIES[[#This Row],[COUNTRY]],COUNTRIES[COUNTRY_DESCRIPTION],COUNTRIES[COUNTRY_LABEL],"")</f>
        <v>AU</v>
      </c>
      <c r="H454" t="str" cm="1">
        <f t="array" ref="H4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4" t="s">
        <v>17</v>
      </c>
      <c r="J454">
        <v>0</v>
      </c>
      <c r="K454">
        <v>7</v>
      </c>
      <c r="L454">
        <v>0</v>
      </c>
      <c r="M454" t="str" cm="1">
        <f t="array" ref="M4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54">
        <f>_xlfn.XLOOKUP("LOADINGSPEEDDEF_"&amp;PROPERTIES[[#This Row],[LOADINGSPEED]],LOADINGSPEEDDEF[TYPE],LOADINGSPEEDDEF[SPEED])</f>
        <v>20</v>
      </c>
      <c r="O454" cm="1">
        <f t="array" ref="O4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4">
        <f>IF(ISNUMBER(SEARCH("passenger",PROPERTIES[[#This Row],[CARGODEF]])),1,0)</f>
        <v>0</v>
      </c>
      <c r="Q454" s="23">
        <f>64/2</f>
        <v>32</v>
      </c>
      <c r="R454">
        <v>660</v>
      </c>
      <c r="S454">
        <v>0</v>
      </c>
      <c r="T454">
        <v>0</v>
      </c>
      <c r="U454">
        <v>0</v>
      </c>
      <c r="V454">
        <v>160</v>
      </c>
      <c r="W454">
        <v>0</v>
      </c>
      <c r="X454">
        <v>0</v>
      </c>
      <c r="Y454">
        <v>0</v>
      </c>
      <c r="Z454" s="20">
        <f>85/2</f>
        <v>42.5</v>
      </c>
      <c r="AA454" s="19">
        <f>IFERROR(PROPERTIES[[#This Row],[TE_STARTING_KN]]/(PROPERTIES[[#This Row],[WEIGHT]]*9.81),0)</f>
        <v>0.13538481141692149</v>
      </c>
      <c r="AB454" s="19">
        <v>0</v>
      </c>
      <c r="AC454" s="16">
        <f>ROUND(IF(IFERROR(PROPERTIES[[#This Row],[TE_COEFFICIENT_CALC]],0)=0,PROPERTIES[[#This Row],[TE_COEFFICIENT_MANUAL]],PROPERTIES[[#This Row],[TE_COEFFICIENT_CALC]]),3)</f>
        <v>0.13500000000000001</v>
      </c>
      <c r="AD454" s="8" cm="1">
        <f t="array" ref="AD4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454" s="26">
        <v>60</v>
      </c>
      <c r="AF454" s="6">
        <v>7</v>
      </c>
      <c r="AG454" t="s">
        <v>232</v>
      </c>
      <c r="AH454" t="s">
        <v>229</v>
      </c>
      <c r="AI454" t="s">
        <v>229</v>
      </c>
      <c r="AJ454" s="2" t="s">
        <v>229</v>
      </c>
      <c r="AK454" s="2" t="s">
        <v>244</v>
      </c>
      <c r="AL45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4" s="2" t="str">
        <f>SUBSTITUTE(SUBSTITUTE(PROPERTIES[[#This Row],[PURCHASECOST_VALUE]], "PURCHASECOST_", ""), "_VALUE", "")</f>
        <v>DMU</v>
      </c>
      <c r="AO454" s="44" t="b">
        <v>0</v>
      </c>
      <c r="AP454" s="48" t="b">
        <v>0</v>
      </c>
      <c r="AQ454" s="48" t="b">
        <v>0</v>
      </c>
      <c r="AR454" s="48">
        <v>0</v>
      </c>
      <c r="AS454" s="48" t="b">
        <v>0</v>
      </c>
      <c r="AT454" s="7" t="b">
        <v>0</v>
      </c>
      <c r="AU454" s="40" t="str" cm="1">
        <f t="array" ref="AU454">_xlfn.XLOOKUP(PROPERTIES[[#This Row],[VEHIDCODE]],GRAPHICS_PROPERTIES[VEHIDCODE],GRAPHICS_PROPERTIES[TEMPLATE_ID]&amp;GRAPHICS_PROPERTIES[TEMPLATE_AMENDMENT_CODE])</f>
        <v>TPL_02A</v>
      </c>
    </row>
    <row r="455" spans="1:47" x14ac:dyDescent="0.35">
      <c r="A455" s="2" t="s">
        <v>3088</v>
      </c>
      <c r="B455">
        <v>1948</v>
      </c>
      <c r="C455">
        <v>1984</v>
      </c>
      <c r="D455" cm="1">
        <f t="array" ref="D4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5" s="40" t="str">
        <f>_xlfn.XLOOKUP(PROPERTIES[[#This Row],[VEHIDCODE]],CONTROL[VEHIDCODE],CONTROL[ENGLISH])</f>
        <v>Tatra M131</v>
      </c>
      <c r="F455" t="s">
        <v>583</v>
      </c>
      <c r="G455" s="40" t="str">
        <f>_xlfn.XLOOKUP(PROPERTIES[[#This Row],[COUNTRY]],COUNTRIES[COUNTRY_DESCRIPTION],COUNTRIES[COUNTRY_LABEL],"")</f>
        <v>CZ</v>
      </c>
      <c r="H455" t="str" cm="1">
        <f t="array" ref="H4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5" t="s">
        <v>15</v>
      </c>
      <c r="J455">
        <v>60</v>
      </c>
      <c r="K455">
        <v>6</v>
      </c>
      <c r="L455">
        <v>0</v>
      </c>
      <c r="M455" t="str" cm="1">
        <f t="array" ref="M4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5">
        <f>_xlfn.XLOOKUP("LOADINGSPEEDDEF_"&amp;PROPERTIES[[#This Row],[LOADINGSPEED]],LOADINGSPEEDDEF[TYPE],LOADINGSPEEDDEF[SPEED])</f>
        <v>60</v>
      </c>
      <c r="O455" cm="1">
        <f t="array" ref="O4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5">
        <f>IF(ISNUMBER(SEARCH("passenger",PROPERTIES[[#This Row],[CARGODEF]])),1,0)</f>
        <v>1</v>
      </c>
      <c r="Q455" s="23">
        <f>16.6/2</f>
        <v>8.3000000000000007</v>
      </c>
      <c r="R455">
        <v>152</v>
      </c>
      <c r="S455">
        <v>0</v>
      </c>
      <c r="T455">
        <v>0</v>
      </c>
      <c r="U455">
        <v>0</v>
      </c>
      <c r="V455">
        <v>60</v>
      </c>
      <c r="W455">
        <v>0</v>
      </c>
      <c r="X455">
        <v>0</v>
      </c>
      <c r="Y455">
        <v>0</v>
      </c>
      <c r="Z455" s="20">
        <f>29/2</f>
        <v>14.5</v>
      </c>
      <c r="AA455" s="19">
        <f>IFERROR(PROPERTIES[[#This Row],[TE_STARTING_KN]]/(PROPERTIES[[#This Row],[WEIGHT]]*9.81),0)</f>
        <v>0.17808236002112421</v>
      </c>
      <c r="AB455" s="19">
        <v>0</v>
      </c>
      <c r="AC455" s="16">
        <f>ROUND(IF(IFERROR(PROPERTIES[[#This Row],[TE_COEFFICIENT_CALC]],0)=0,PROPERTIES[[#This Row],[TE_COEFFICIENT_MANUAL]],PROPERTIES[[#This Row],[TE_COEFFICIENT_CALC]]),3)</f>
        <v>0.17799999999999999</v>
      </c>
      <c r="AD455" s="8" cm="1">
        <f t="array" ref="AD4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455" s="26">
        <v>69</v>
      </c>
      <c r="AF455" s="6">
        <v>6</v>
      </c>
      <c r="AG455" t="s">
        <v>236</v>
      </c>
      <c r="AH455" t="s">
        <v>229</v>
      </c>
      <c r="AI455" t="s">
        <v>229</v>
      </c>
      <c r="AJ455" s="2" t="s">
        <v>229</v>
      </c>
      <c r="AK455" s="2" t="s">
        <v>244</v>
      </c>
      <c r="AL45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5" s="2" t="str">
        <f>SUBSTITUTE(SUBSTITUTE(PROPERTIES[[#This Row],[PURCHASECOST_VALUE]], "PURCHASECOST_", ""), "_VALUE", "")</f>
        <v>DMU</v>
      </c>
      <c r="AO455" s="44" t="b">
        <v>0</v>
      </c>
      <c r="AP455" s="48" t="b">
        <v>0</v>
      </c>
      <c r="AQ455" s="48" t="b">
        <v>0</v>
      </c>
      <c r="AR455" s="48">
        <v>0</v>
      </c>
      <c r="AS455" s="48" t="b">
        <v>0</v>
      </c>
      <c r="AT455" s="7" t="b">
        <v>0</v>
      </c>
      <c r="AU455" s="40" t="str" cm="1">
        <f t="array" ref="AU455">_xlfn.XLOOKUP(PROPERTIES[[#This Row],[VEHIDCODE]],GRAPHICS_PROPERTIES[VEHIDCODE],GRAPHICS_PROPERTIES[TEMPLATE_ID]&amp;GRAPHICS_PROPERTIES[TEMPLATE_AMENDMENT_CODE])</f>
        <v>TPL_02A</v>
      </c>
    </row>
    <row r="456" spans="1:47" x14ac:dyDescent="0.35">
      <c r="A456" s="2" t="s">
        <v>3089</v>
      </c>
      <c r="B456">
        <v>1952</v>
      </c>
      <c r="C456">
        <v>1985</v>
      </c>
      <c r="D456" cm="1">
        <f t="array" ref="D4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6" s="40" t="str">
        <f>_xlfn.XLOOKUP(PROPERTIES[[#This Row],[VEHIDCODE]],CONTROL[VEHIDCODE],CONTROL[ENGLISH])</f>
        <v>MAN VT 08.5</v>
      </c>
      <c r="F456" t="s">
        <v>584</v>
      </c>
      <c r="G456" s="40" t="str">
        <f>_xlfn.XLOOKUP(PROPERTIES[[#This Row],[COUNTRY]],COUNTRIES[COUNTRY_DESCRIPTION],COUNTRIES[COUNTRY_LABEL],"")</f>
        <v>DE</v>
      </c>
      <c r="H456" t="str" cm="1">
        <f t="array" ref="H4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6" t="s">
        <v>15</v>
      </c>
      <c r="J456">
        <f>108/2</f>
        <v>54</v>
      </c>
      <c r="K456">
        <v>8</v>
      </c>
      <c r="M456" t="str" cm="1">
        <f t="array" ref="M4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6">
        <f>_xlfn.XLOOKUP("LOADINGSPEEDDEF_"&amp;PROPERTIES[[#This Row],[LOADINGSPEED]],LOADINGSPEEDDEF[TYPE],LOADINGSPEEDDEF[SPEED])</f>
        <v>60</v>
      </c>
      <c r="O456" cm="1">
        <f t="array" ref="O4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6">
        <f>IF(ISNUMBER(SEARCH("passenger",PROPERTIES[[#This Row],[CARGODEF]])),1,0)</f>
        <v>1</v>
      </c>
      <c r="Q456" s="23">
        <f>121/3</f>
        <v>40.333333333333336</v>
      </c>
      <c r="R456">
        <v>986</v>
      </c>
      <c r="S456">
        <v>0</v>
      </c>
      <c r="T456">
        <v>0</v>
      </c>
      <c r="U456">
        <v>0</v>
      </c>
      <c r="V456">
        <v>140</v>
      </c>
      <c r="W456">
        <v>0</v>
      </c>
      <c r="X456">
        <v>0</v>
      </c>
      <c r="Y456">
        <v>0</v>
      </c>
      <c r="Z456" s="20">
        <f>105/2</f>
        <v>52.5</v>
      </c>
      <c r="AA456" s="19">
        <f>IFERROR(PROPERTIES[[#This Row],[TE_STARTING_KN]]/(PROPERTIES[[#This Row],[WEIGHT]]*9.81),0)</f>
        <v>0.13268632951702175</v>
      </c>
      <c r="AB456" s="19">
        <v>0</v>
      </c>
      <c r="AC456" s="16">
        <f>ROUND(IF(IFERROR(PROPERTIES[[#This Row],[TE_COEFFICIENT_CALC]],0)=0,PROPERTIES[[#This Row],[TE_COEFFICIENT_MANUAL]],PROPERTIES[[#This Row],[TE_COEFFICIENT_CALC]]),3)</f>
        <v>0.13300000000000001</v>
      </c>
      <c r="AD456" s="8" cm="1">
        <f t="array" ref="AD4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6" s="26">
        <f>INT(108/3)</f>
        <v>36</v>
      </c>
      <c r="AF456" s="6">
        <v>8</v>
      </c>
      <c r="AG456" t="s">
        <v>230</v>
      </c>
      <c r="AH456" t="s">
        <v>229</v>
      </c>
      <c r="AI456" t="s">
        <v>229</v>
      </c>
      <c r="AJ456" s="2" t="s">
        <v>229</v>
      </c>
      <c r="AK456" s="2" t="s">
        <v>244</v>
      </c>
      <c r="AL45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6" s="2" t="str">
        <f>SUBSTITUTE(SUBSTITUTE(PROPERTIES[[#This Row],[PURCHASECOST_VALUE]], "PURCHASECOST_", ""), "_VALUE", "")</f>
        <v>DMU</v>
      </c>
      <c r="AO456" s="44" t="b">
        <v>0</v>
      </c>
      <c r="AP456" s="48" t="b">
        <v>0</v>
      </c>
      <c r="AQ456" s="48" t="b">
        <v>0</v>
      </c>
      <c r="AR456" s="48">
        <v>0</v>
      </c>
      <c r="AS456" s="48" t="b">
        <v>0</v>
      </c>
      <c r="AT456" s="7" t="b">
        <v>0</v>
      </c>
      <c r="AU456" s="40" t="str" cm="1">
        <f t="array" ref="AU456">_xlfn.XLOOKUP(PROPERTIES[[#This Row],[VEHIDCODE]],GRAPHICS_PROPERTIES[VEHIDCODE],GRAPHICS_PROPERTIES[TEMPLATE_ID]&amp;GRAPHICS_PROPERTIES[TEMPLATE_AMENDMENT_CODE])</f>
        <v>TPL_02A</v>
      </c>
    </row>
    <row r="457" spans="1:47" x14ac:dyDescent="0.35">
      <c r="A457" s="2" t="s">
        <v>3090</v>
      </c>
      <c r="B457">
        <v>1955</v>
      </c>
      <c r="C457">
        <v>1976</v>
      </c>
      <c r="D457" cm="1">
        <f t="array" ref="D4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7" s="40" t="str">
        <f>_xlfn.XLOOKUP(PROPERTIES[[#This Row],[VEHIDCODE]],CONTROL[VEHIDCODE],CONTROL[ENGLISH])</f>
        <v>South Australian Railways 400 'Redhen'</v>
      </c>
      <c r="F457" t="s">
        <v>541</v>
      </c>
      <c r="G457" s="40" t="str">
        <f>_xlfn.XLOOKUP(PROPERTIES[[#This Row],[COUNTRY]],COUNTRIES[COUNTRY_DESCRIPTION],COUNTRIES[COUNTRY_LABEL],"")</f>
        <v>AU</v>
      </c>
      <c r="H457" t="str" cm="1">
        <f t="array" ref="H4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7" t="s">
        <v>15</v>
      </c>
      <c r="J457">
        <v>80</v>
      </c>
      <c r="K457">
        <v>8</v>
      </c>
      <c r="M457" t="str" cm="1">
        <f t="array" ref="M4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7">
        <f>_xlfn.XLOOKUP("LOADINGSPEEDDEF_"&amp;PROPERTIES[[#This Row],[LOADINGSPEED]],LOADINGSPEEDDEF[TYPE],LOADINGSPEEDDEF[SPEED])</f>
        <v>60</v>
      </c>
      <c r="O457" cm="1">
        <f t="array" ref="O4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7">
        <f>IF(ISNUMBER(SEARCH("passenger",PROPERTIES[[#This Row],[CARGODEF]])),1,0)</f>
        <v>1</v>
      </c>
      <c r="Q457" s="23">
        <f>40.7/2</f>
        <v>20.350000000000001</v>
      </c>
      <c r="R457">
        <v>220</v>
      </c>
      <c r="S457">
        <v>0</v>
      </c>
      <c r="T457">
        <v>0</v>
      </c>
      <c r="U457">
        <v>0</v>
      </c>
      <c r="V457">
        <v>88</v>
      </c>
      <c r="W457">
        <v>0</v>
      </c>
      <c r="X457">
        <v>0</v>
      </c>
      <c r="Y457">
        <v>0</v>
      </c>
      <c r="Z457" s="20">
        <f>58/2</f>
        <v>29</v>
      </c>
      <c r="AA457" s="19">
        <f>IFERROR(PROPERTIES[[#This Row],[TE_STARTING_KN]]/(PROPERTIES[[#This Row],[WEIGHT]]*9.81),0)</f>
        <v>0.14526620031207185</v>
      </c>
      <c r="AB457" s="19">
        <v>0</v>
      </c>
      <c r="AC457" s="16">
        <f>ROUND(IF(IFERROR(PROPERTIES[[#This Row],[TE_COEFFICIENT_CALC]],0)=0,PROPERTIES[[#This Row],[TE_COEFFICIENT_MANUAL]],PROPERTIES[[#This Row],[TE_COEFFICIENT_CALC]]),3)</f>
        <v>0.14499999999999999</v>
      </c>
      <c r="AD457" s="8" cm="1">
        <f t="array" ref="AD4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7" s="26">
        <v>80</v>
      </c>
      <c r="AF457" s="6">
        <v>8</v>
      </c>
      <c r="AG457" t="s">
        <v>232</v>
      </c>
      <c r="AH457" t="s">
        <v>229</v>
      </c>
      <c r="AI457" t="s">
        <v>229</v>
      </c>
      <c r="AJ457" s="2" t="s">
        <v>229</v>
      </c>
      <c r="AK457" s="2" t="s">
        <v>244</v>
      </c>
      <c r="AL45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7" s="2" t="str">
        <f>SUBSTITUTE(SUBSTITUTE(PROPERTIES[[#This Row],[PURCHASECOST_VALUE]], "PURCHASECOST_", ""), "_VALUE", "")</f>
        <v>DMU</v>
      </c>
      <c r="AO457" s="44" t="b">
        <v>0</v>
      </c>
      <c r="AP457" s="48" t="b">
        <v>0</v>
      </c>
      <c r="AQ457" s="48" t="b">
        <v>0</v>
      </c>
      <c r="AR457" s="48">
        <v>0</v>
      </c>
      <c r="AS457" s="48" t="b">
        <v>0</v>
      </c>
      <c r="AT457" s="7" t="b">
        <v>0</v>
      </c>
      <c r="AU457" s="40" t="str" cm="1">
        <f t="array" ref="AU457">_xlfn.XLOOKUP(PROPERTIES[[#This Row],[VEHIDCODE]],GRAPHICS_PROPERTIES[VEHIDCODE],GRAPHICS_PROPERTIES[TEMPLATE_ID]&amp;GRAPHICS_PROPERTIES[TEMPLATE_AMENDMENT_CODE])</f>
        <v>TPL_02A</v>
      </c>
    </row>
    <row r="458" spans="1:47" x14ac:dyDescent="0.35">
      <c r="A458" s="2" t="s">
        <v>3091</v>
      </c>
      <c r="B458">
        <v>1957</v>
      </c>
      <c r="C458">
        <v>1988</v>
      </c>
      <c r="D458" cm="1">
        <f t="array" ref="D4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8" s="40" t="str">
        <f>_xlfn.XLOOKUP(PROPERTIES[[#This Row],[VEHIDCODE]],CONTROL[VEHIDCODE],CONTROL[ENGLISH])</f>
        <v>MAN/LHB VT11.5/DB 601 'TEE'</v>
      </c>
      <c r="F458" t="s">
        <v>584</v>
      </c>
      <c r="G458" s="40" t="str">
        <f>_xlfn.XLOOKUP(PROPERTIES[[#This Row],[COUNTRY]],COUNTRIES[COUNTRY_DESCRIPTION],COUNTRIES[COUNTRY_LABEL],"")</f>
        <v>DE</v>
      </c>
      <c r="H458" t="str" cm="1">
        <f t="array" ref="H4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8" t="s">
        <v>15</v>
      </c>
      <c r="J458">
        <v>24</v>
      </c>
      <c r="K458">
        <v>8</v>
      </c>
      <c r="M458" t="str" cm="1">
        <f t="array" ref="M4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8">
        <f>_xlfn.XLOOKUP("LOADINGSPEEDDEF_"&amp;PROPERTIES[[#This Row],[LOADINGSPEED]],LOADINGSPEEDDEF[TYPE],LOADINGSPEEDDEF[SPEED])</f>
        <v>60</v>
      </c>
      <c r="O458" cm="1">
        <f t="array" ref="O4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8">
        <f>IF(ISNUMBER(SEARCH("passenger",PROPERTIES[[#This Row],[CARGODEF]])),1,0)</f>
        <v>1</v>
      </c>
      <c r="Q458" s="23">
        <f>44.2/2</f>
        <v>22.1</v>
      </c>
      <c r="R458">
        <v>2200</v>
      </c>
      <c r="S458">
        <v>0</v>
      </c>
      <c r="T458">
        <v>0</v>
      </c>
      <c r="U458">
        <v>0</v>
      </c>
      <c r="V458">
        <v>160</v>
      </c>
      <c r="W458">
        <v>0</v>
      </c>
      <c r="X458">
        <v>0</v>
      </c>
      <c r="Y458">
        <v>0</v>
      </c>
      <c r="Z458" s="20">
        <f>110/2</f>
        <v>55</v>
      </c>
      <c r="AA458" s="19">
        <f>IFERROR(PROPERTIES[[#This Row],[TE_STARTING_KN]]/(PROPERTIES[[#This Row],[WEIGHT]]*9.81),0)</f>
        <v>0.25368886674876961</v>
      </c>
      <c r="AB458" s="19">
        <v>0</v>
      </c>
      <c r="AC458" s="16">
        <f>ROUND(IF(IFERROR(PROPERTIES[[#This Row],[TE_COEFFICIENT_CALC]],0)=0,PROPERTIES[[#This Row],[TE_COEFFICIENT_MANUAL]],PROPERTIES[[#This Row],[TE_COEFFICIENT_CALC]]),3)</f>
        <v>0.254</v>
      </c>
      <c r="AD458" s="8" cm="1">
        <f t="array" ref="AD4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8" s="26">
        <v>34</v>
      </c>
      <c r="AF458" s="6">
        <v>8</v>
      </c>
      <c r="AG458" t="s">
        <v>230</v>
      </c>
      <c r="AH458" t="s">
        <v>229</v>
      </c>
      <c r="AI458" t="s">
        <v>229</v>
      </c>
      <c r="AJ458" s="2" t="s">
        <v>229</v>
      </c>
      <c r="AK458" s="2" t="s">
        <v>244</v>
      </c>
      <c r="AL458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8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8" s="2" t="str">
        <f>SUBSTITUTE(SUBSTITUTE(PROPERTIES[[#This Row],[PURCHASECOST_VALUE]], "PURCHASECOST_", ""), "_VALUE", "")</f>
        <v>DMU</v>
      </c>
      <c r="AO458" s="44" t="b">
        <v>0</v>
      </c>
      <c r="AP458" s="48" t="b">
        <v>0</v>
      </c>
      <c r="AQ458" s="48" t="b">
        <v>0</v>
      </c>
      <c r="AR458" s="48">
        <v>0</v>
      </c>
      <c r="AS458" s="48" t="b">
        <v>0</v>
      </c>
      <c r="AT458" s="7" t="b">
        <v>0</v>
      </c>
      <c r="AU458" s="40" t="str" cm="1">
        <f t="array" ref="AU458">_xlfn.XLOOKUP(PROPERTIES[[#This Row],[VEHIDCODE]],GRAPHICS_PROPERTIES[VEHIDCODE],GRAPHICS_PROPERTIES[TEMPLATE_ID]&amp;GRAPHICS_PROPERTIES[TEMPLATE_AMENDMENT_CODE])</f>
        <v>TPL_02A</v>
      </c>
    </row>
    <row r="459" spans="1:47" x14ac:dyDescent="0.35">
      <c r="A459" s="2" t="s">
        <v>3092</v>
      </c>
      <c r="B459">
        <v>1960</v>
      </c>
      <c r="C459">
        <v>2000</v>
      </c>
      <c r="D459" cm="1">
        <f t="array" ref="D4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9" s="40" t="str">
        <f>_xlfn.XLOOKUP(PROPERTIES[[#This Row],[VEHIDCODE]],CONTROL[VEHIDCODE],CONTROL[ENGLISH])</f>
        <v>Werkspoor Plan U DE-III</v>
      </c>
      <c r="F459" t="s">
        <v>692</v>
      </c>
      <c r="G459" s="40" t="str">
        <f>_xlfn.XLOOKUP(PROPERTIES[[#This Row],[COUNTRY]],COUNTRIES[COUNTRY_DESCRIPTION],COUNTRIES[COUNTRY_LABEL],"")</f>
        <v>NL</v>
      </c>
      <c r="H459" t="str" cm="1">
        <f t="array" ref="H4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9" t="s">
        <v>15</v>
      </c>
      <c r="J459">
        <v>64</v>
      </c>
      <c r="K459">
        <v>8</v>
      </c>
      <c r="M459" t="str" cm="1">
        <f t="array" ref="M4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9">
        <f>_xlfn.XLOOKUP("LOADINGSPEEDDEF_"&amp;PROPERTIES[[#This Row],[LOADINGSPEED]],LOADINGSPEEDDEF[TYPE],LOADINGSPEEDDEF[SPEED])</f>
        <v>60</v>
      </c>
      <c r="O459" cm="1">
        <f t="array" ref="O4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9">
        <f>IF(ISNUMBER(SEARCH("passenger",PROPERTIES[[#This Row],[CARGODEF]])),1,0)</f>
        <v>1</v>
      </c>
      <c r="Q459" s="23">
        <f>136/3</f>
        <v>45.333333333333336</v>
      </c>
      <c r="R459">
        <v>987</v>
      </c>
      <c r="S459">
        <v>0</v>
      </c>
      <c r="T459">
        <v>0</v>
      </c>
      <c r="U459">
        <v>0</v>
      </c>
      <c r="V459">
        <v>125</v>
      </c>
      <c r="W459">
        <v>0</v>
      </c>
      <c r="X459">
        <v>0</v>
      </c>
      <c r="Y459">
        <v>0</v>
      </c>
      <c r="Z459" s="20">
        <f>125/2</f>
        <v>62.5</v>
      </c>
      <c r="AA459" s="19">
        <f>IFERROR(PROPERTIES[[#This Row],[TE_STARTING_KN]]/(PROPERTIES[[#This Row],[WEIGHT]]*9.81),0)</f>
        <v>0.14053786652275588</v>
      </c>
      <c r="AB459" s="19">
        <v>0</v>
      </c>
      <c r="AC459" s="16">
        <f>ROUND(IF(IFERROR(PROPERTIES[[#This Row],[TE_COEFFICIENT_CALC]],0)=0,PROPERTIES[[#This Row],[TE_COEFFICIENT_MANUAL]],PROPERTIES[[#This Row],[TE_COEFFICIENT_CALC]]),3)</f>
        <v>0.14099999999999999</v>
      </c>
      <c r="AD459" s="8" cm="1">
        <f t="array" ref="AD4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9" s="26">
        <f>INT((168+24)/2)</f>
        <v>96</v>
      </c>
      <c r="AF459" s="6">
        <v>8</v>
      </c>
      <c r="AG459" t="s">
        <v>230</v>
      </c>
      <c r="AH459" t="s">
        <v>229</v>
      </c>
      <c r="AI459" t="s">
        <v>229</v>
      </c>
      <c r="AJ459" s="2" t="s">
        <v>229</v>
      </c>
      <c r="AK459" s="2" t="s">
        <v>244</v>
      </c>
      <c r="AL459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9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9" s="2" t="str">
        <f>SUBSTITUTE(SUBSTITUTE(PROPERTIES[[#This Row],[PURCHASECOST_VALUE]], "PURCHASECOST_", ""), "_VALUE", "")</f>
        <v>DMU</v>
      </c>
      <c r="AO459" s="44" t="b">
        <v>0</v>
      </c>
      <c r="AP459" s="48" t="b">
        <v>0</v>
      </c>
      <c r="AQ459" s="48" t="b">
        <v>0</v>
      </c>
      <c r="AR459" s="48">
        <v>0</v>
      </c>
      <c r="AS459" s="48" t="b">
        <v>0</v>
      </c>
      <c r="AT459" s="7" t="b">
        <v>0</v>
      </c>
      <c r="AU459" s="40" t="str" cm="1">
        <f t="array" ref="AU459">_xlfn.XLOOKUP(PROPERTIES[[#This Row],[VEHIDCODE]],GRAPHICS_PROPERTIES[VEHIDCODE],GRAPHICS_PROPERTIES[TEMPLATE_ID]&amp;GRAPHICS_PROPERTIES[TEMPLATE_AMENDMENT_CODE])</f>
        <v>TPL_02A</v>
      </c>
    </row>
    <row r="460" spans="1:47" x14ac:dyDescent="0.35">
      <c r="A460" s="2" t="s">
        <v>3093</v>
      </c>
      <c r="B460">
        <v>1967</v>
      </c>
      <c r="C460">
        <v>1978</v>
      </c>
      <c r="D460" cm="1">
        <f t="array" ref="D4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0" s="40" t="str">
        <f>_xlfn.XLOOKUP(PROPERTIES[[#This Row],[VEHIDCODE]],CONTROL[VEHIDCODE],CONTROL[ENGLISH])</f>
        <v>UAC 'Turbo Train'</v>
      </c>
      <c r="F460" t="s">
        <v>565</v>
      </c>
      <c r="G460" s="40" t="str">
        <f>_xlfn.XLOOKUP(PROPERTIES[[#This Row],[COUNTRY]],COUNTRIES[COUNTRY_DESCRIPTION],COUNTRIES[COUNTRY_LABEL],"")</f>
        <v>CA</v>
      </c>
      <c r="H460" t="str" cm="1">
        <f t="array" ref="H4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0" t="s">
        <v>15</v>
      </c>
      <c r="J460">
        <v>46</v>
      </c>
      <c r="K460">
        <v>8</v>
      </c>
      <c r="M460" t="str" cm="1">
        <f t="array" ref="M4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460">
        <f>_xlfn.XLOOKUP("LOADINGSPEEDDEF_"&amp;PROPERTIES[[#This Row],[LOADINGSPEED]],LOADINGSPEEDDEF[TYPE],LOADINGSPEEDDEF[SPEED])</f>
        <v>20</v>
      </c>
      <c r="O460" cm="1">
        <f t="array" ref="O4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60">
        <f>IF(ISNUMBER(SEARCH("passenger",PROPERTIES[[#This Row],[CARGODEF]])),1,0)</f>
        <v>1</v>
      </c>
      <c r="Q460" s="23">
        <f>INT(165/7)</f>
        <v>23</v>
      </c>
      <c r="R460">
        <v>2000</v>
      </c>
      <c r="S460">
        <v>0</v>
      </c>
      <c r="T460">
        <v>0</v>
      </c>
      <c r="U460">
        <v>0</v>
      </c>
      <c r="V460">
        <v>193</v>
      </c>
      <c r="W460">
        <v>0</v>
      </c>
      <c r="X460">
        <v>0</v>
      </c>
      <c r="Y460">
        <v>0</v>
      </c>
      <c r="Z460" s="20">
        <f>80/2</f>
        <v>40</v>
      </c>
      <c r="AA460" s="19">
        <f>IFERROR(PROPERTIES[[#This Row],[TE_STARTING_KN]]/(PROPERTIES[[#This Row],[WEIGHT]]*9.81),0)</f>
        <v>0.17728138988609668</v>
      </c>
      <c r="AB460" s="19">
        <v>0</v>
      </c>
      <c r="AC460" s="16">
        <f>ROUND(IF(IFERROR(PROPERTIES[[#This Row],[TE_COEFFICIENT_CALC]],0)=0,PROPERTIES[[#This Row],[TE_COEFFICIENT_MANUAL]],PROPERTIES[[#This Row],[TE_COEFFICIENT_CALC]]),3)</f>
        <v>0.17699999999999999</v>
      </c>
      <c r="AD460" s="8" cm="1">
        <f t="array" ref="AD4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0" s="26">
        <f>INT((322-(PROPERTIES[[#This Row],[HEAD_CAPACITY]]*2))/5)</f>
        <v>46</v>
      </c>
      <c r="AF460" s="6">
        <v>8</v>
      </c>
      <c r="AG460" t="s">
        <v>235</v>
      </c>
      <c r="AH460" t="s">
        <v>229</v>
      </c>
      <c r="AI460" t="s">
        <v>229</v>
      </c>
      <c r="AJ460" s="2" t="s">
        <v>229</v>
      </c>
      <c r="AK460" s="2" t="s">
        <v>244</v>
      </c>
      <c r="AL46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0" s="2" t="str">
        <f>SUBSTITUTE(SUBSTITUTE(PROPERTIES[[#This Row],[PURCHASECOST_VALUE]], "PURCHASECOST_", ""), "_VALUE", "")</f>
        <v>DMU</v>
      </c>
      <c r="AO460" s="45" t="s">
        <v>3644</v>
      </c>
      <c r="AP460" s="48" t="b">
        <v>0</v>
      </c>
      <c r="AQ460" s="48" t="b">
        <v>0</v>
      </c>
      <c r="AR460" s="48">
        <v>0</v>
      </c>
      <c r="AS460" s="48" t="b">
        <v>0</v>
      </c>
      <c r="AT460" s="7" t="b">
        <v>0</v>
      </c>
      <c r="AU460" s="40" t="str" cm="1">
        <f t="array" ref="AU460">_xlfn.XLOOKUP(PROPERTIES[[#This Row],[VEHIDCODE]],GRAPHICS_PROPERTIES[VEHIDCODE],GRAPHICS_PROPERTIES[TEMPLATE_ID]&amp;GRAPHICS_PROPERTIES[TEMPLATE_AMENDMENT_CODE])</f>
        <v>TPL_02A</v>
      </c>
    </row>
    <row r="461" spans="1:47" x14ac:dyDescent="0.35">
      <c r="A461" s="2" t="s">
        <v>3094</v>
      </c>
      <c r="B461">
        <v>1974</v>
      </c>
      <c r="D461" cm="1">
        <f t="array" ref="D4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1" s="40" t="str">
        <f>_xlfn.XLOOKUP(PROPERTIES[[#This Row],[VEHIDCODE]],CONTROL[VEHIDCODE],CONTROL[ENGLISH])</f>
        <v>Ganz-MAVAG 811</v>
      </c>
      <c r="F461" t="s">
        <v>715</v>
      </c>
      <c r="G461" s="40" t="str">
        <f>_xlfn.XLOOKUP(PROPERTIES[[#This Row],[COUNTRY]],COUNTRIES[COUNTRY_DESCRIPTION],COUNTRIES[COUNTRY_LABEL],"")</f>
        <v>RS</v>
      </c>
      <c r="H461" t="str" cm="1">
        <f t="array" ref="H4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1" t="s">
        <v>15</v>
      </c>
      <c r="J461">
        <v>38</v>
      </c>
      <c r="K461">
        <v>8</v>
      </c>
      <c r="M461" t="str" cm="1">
        <f t="array" ref="M4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1">
        <f>_xlfn.XLOOKUP("LOADINGSPEEDDEF_"&amp;PROPERTIES[[#This Row],[LOADINGSPEED]],LOADINGSPEEDDEF[TYPE],LOADINGSPEEDDEF[SPEED])</f>
        <v>60</v>
      </c>
      <c r="O461" cm="1">
        <f t="array" ref="O4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61">
        <f>IF(ISNUMBER(SEARCH("passenger",PROPERTIES[[#This Row],[CARGODEF]])),1,0)</f>
        <v>1</v>
      </c>
      <c r="Q461" s="23">
        <f>42/2</f>
        <v>21</v>
      </c>
      <c r="R461">
        <v>1000</v>
      </c>
      <c r="S461">
        <v>0</v>
      </c>
      <c r="T461">
        <v>0</v>
      </c>
      <c r="U461">
        <v>0</v>
      </c>
      <c r="V461">
        <v>118</v>
      </c>
      <c r="W461">
        <v>0</v>
      </c>
      <c r="X461">
        <v>0</v>
      </c>
      <c r="Y461">
        <v>0</v>
      </c>
      <c r="Z461" s="20">
        <f>95/2</f>
        <v>47.5</v>
      </c>
      <c r="AA461" s="19">
        <f>IFERROR(PROPERTIES[[#This Row],[TE_STARTING_KN]]/(PROPERTIES[[#This Row],[WEIGHT]]*9.81),0)</f>
        <v>0.23057133148876266</v>
      </c>
      <c r="AB461" s="19">
        <v>0</v>
      </c>
      <c r="AC461" s="16">
        <f>ROUND(IF(IFERROR(PROPERTIES[[#This Row],[TE_COEFFICIENT_CALC]],0)=0,PROPERTIES[[#This Row],[TE_COEFFICIENT_MANUAL]],PROPERTIES[[#This Row],[TE_COEFFICIENT_CALC]]),3)</f>
        <v>0.23100000000000001</v>
      </c>
      <c r="AD461" s="8" cm="1">
        <f t="array" ref="AD4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1" s="26">
        <v>38</v>
      </c>
      <c r="AF461" s="6">
        <v>8</v>
      </c>
      <c r="AG461" t="s">
        <v>236</v>
      </c>
      <c r="AH461" t="s">
        <v>229</v>
      </c>
      <c r="AI461" t="s">
        <v>229</v>
      </c>
      <c r="AJ461" s="2" t="s">
        <v>229</v>
      </c>
      <c r="AK461" s="2" t="s">
        <v>244</v>
      </c>
      <c r="AL46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1" s="2" t="str">
        <f>SUBSTITUTE(SUBSTITUTE(PROPERTIES[[#This Row],[PURCHASECOST_VALUE]], "PURCHASECOST_", ""), "_VALUE", "")</f>
        <v>DMU</v>
      </c>
      <c r="AO461" s="44" t="b">
        <v>0</v>
      </c>
      <c r="AP461" s="48" t="b">
        <v>0</v>
      </c>
      <c r="AQ461" s="48" t="b">
        <v>0</v>
      </c>
      <c r="AR461" s="48">
        <v>0</v>
      </c>
      <c r="AS461" s="48" t="b">
        <v>0</v>
      </c>
      <c r="AT461" s="7" t="b">
        <v>0</v>
      </c>
      <c r="AU461" s="40" t="str" cm="1">
        <f t="array" ref="AU461">_xlfn.XLOOKUP(PROPERTIES[[#This Row],[VEHIDCODE]],GRAPHICS_PROPERTIES[VEHIDCODE],GRAPHICS_PROPERTIES[TEMPLATE_ID]&amp;GRAPHICS_PROPERTIES[TEMPLATE_AMENDMENT_CODE])</f>
        <v>TPL_02A</v>
      </c>
    </row>
    <row r="462" spans="1:47" x14ac:dyDescent="0.35">
      <c r="A462" s="2" t="s">
        <v>3095</v>
      </c>
      <c r="B462">
        <v>1976</v>
      </c>
      <c r="C462">
        <v>2005</v>
      </c>
      <c r="D462" cm="1">
        <f t="array" ref="D4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2" s="40" t="str">
        <f>_xlfn.XLOOKUP(PROPERTIES[[#This Row],[VEHIDCODE]],CONTROL[VEHIDCODE],CONTROL[ENGLISH])</f>
        <v>BREL 43 IC125</v>
      </c>
      <c r="F462" t="s">
        <v>603</v>
      </c>
      <c r="G462" s="40" t="str">
        <f>_xlfn.XLOOKUP(PROPERTIES[[#This Row],[COUNTRY]],COUNTRIES[COUNTRY_DESCRIPTION],COUNTRIES[COUNTRY_LABEL],"")</f>
        <v>GB</v>
      </c>
      <c r="H462" t="str" cm="1">
        <f t="array" ref="H4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2" t="s">
        <v>17</v>
      </c>
      <c r="J462">
        <v>0</v>
      </c>
      <c r="K462">
        <v>8</v>
      </c>
      <c r="M462" t="str" cm="1">
        <f t="array" ref="M4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62">
        <f>_xlfn.XLOOKUP("LOADINGSPEEDDEF_"&amp;PROPERTIES[[#This Row],[LOADINGSPEED]],LOADINGSPEEDDEF[TYPE],LOADINGSPEEDDEF[SPEED])</f>
        <v>20</v>
      </c>
      <c r="O462" cm="1">
        <f t="array" ref="O4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62">
        <f>IF(ISNUMBER(SEARCH("passenger",PROPERTIES[[#This Row],[CARGODEF]])),1,0)</f>
        <v>0</v>
      </c>
      <c r="Q462" s="23">
        <v>35</v>
      </c>
      <c r="R462">
        <f>2250*2</f>
        <v>4500</v>
      </c>
      <c r="S462">
        <v>0</v>
      </c>
      <c r="T462">
        <v>0</v>
      </c>
      <c r="U462">
        <v>0</v>
      </c>
      <c r="V462">
        <v>201</v>
      </c>
      <c r="W462">
        <v>0</v>
      </c>
      <c r="X462">
        <v>0</v>
      </c>
      <c r="Y462">
        <v>0</v>
      </c>
      <c r="Z462" s="20">
        <f>178/2</f>
        <v>89</v>
      </c>
      <c r="AA462" s="19">
        <f>IFERROR(PROPERTIES[[#This Row],[TE_STARTING_KN]]/(PROPERTIES[[#This Row],[WEIGHT]]*9.81),0)</f>
        <v>0.25921071792631423</v>
      </c>
      <c r="AB462" s="19">
        <v>0</v>
      </c>
      <c r="AC462" s="16">
        <f>ROUND(IF(IFERROR(PROPERTIES[[#This Row],[TE_COEFFICIENT_CALC]],0)=0,PROPERTIES[[#This Row],[TE_COEFFICIENT_MANUAL]],PROPERTIES[[#This Row],[TE_COEFFICIENT_CALC]]),3)</f>
        <v>0.25900000000000001</v>
      </c>
      <c r="AD462" s="8" cm="1">
        <f t="array" ref="AD4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2" s="26">
        <v>74</v>
      </c>
      <c r="AF462" s="6">
        <v>8</v>
      </c>
      <c r="AG462" t="s">
        <v>234</v>
      </c>
      <c r="AH462" t="s">
        <v>229</v>
      </c>
      <c r="AI462" t="s">
        <v>229</v>
      </c>
      <c r="AJ462" s="2" t="s">
        <v>229</v>
      </c>
      <c r="AK462" s="2" t="s">
        <v>244</v>
      </c>
      <c r="AL46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2" s="2" t="str">
        <f>SUBSTITUTE(SUBSTITUTE(PROPERTIES[[#This Row],[PURCHASECOST_VALUE]], "PURCHASECOST_", ""), "_VALUE", "")</f>
        <v>DMU</v>
      </c>
      <c r="AO462" s="44" t="b">
        <v>0</v>
      </c>
      <c r="AP462" s="48" t="b">
        <v>0</v>
      </c>
      <c r="AQ462" s="48" t="b">
        <v>0</v>
      </c>
      <c r="AR462" s="48">
        <v>0</v>
      </c>
      <c r="AS462" s="48" t="b">
        <v>0</v>
      </c>
      <c r="AT462" s="7" t="b">
        <v>0</v>
      </c>
      <c r="AU462" s="40" t="str" cm="1">
        <f t="array" ref="AU462">_xlfn.XLOOKUP(PROPERTIES[[#This Row],[VEHIDCODE]],GRAPHICS_PROPERTIES[VEHIDCODE],GRAPHICS_PROPERTIES[TEMPLATE_ID]&amp;GRAPHICS_PROPERTIES[TEMPLATE_AMENDMENT_CODE])</f>
        <v>TPL_02A</v>
      </c>
    </row>
    <row r="463" spans="1:47" x14ac:dyDescent="0.35">
      <c r="A463" s="2" t="s">
        <v>3096</v>
      </c>
      <c r="B463">
        <v>1980</v>
      </c>
      <c r="C463">
        <v>1990</v>
      </c>
      <c r="D463" cm="1">
        <f t="array" ref="D4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3" s="40" t="str">
        <f>_xlfn.XLOOKUP(PROPERTIES[[#This Row],[VEHIDCODE]],CONTROL[VEHIDCODE],CONTROL[ENGLISH])</f>
        <v>Bombardier M6109</v>
      </c>
      <c r="F463" t="s">
        <v>565</v>
      </c>
      <c r="G463" s="40" t="str">
        <f>_xlfn.XLOOKUP(PROPERTIES[[#This Row],[COUNTRY]],COUNTRIES[COUNTRY_DESCRIPTION],COUNTRIES[COUNTRY_LABEL],"")</f>
        <v>CA</v>
      </c>
      <c r="H463" t="str" cm="1">
        <f t="array" ref="H4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3" t="s">
        <v>17</v>
      </c>
      <c r="J463">
        <v>0</v>
      </c>
      <c r="K463">
        <v>8</v>
      </c>
      <c r="M463" t="str" cm="1">
        <f t="array" ref="M4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63">
        <f>_xlfn.XLOOKUP("LOADINGSPEEDDEF_"&amp;PROPERTIES[[#This Row],[LOADINGSPEED]],LOADINGSPEEDDEF[TYPE],LOADINGSPEEDDEF[SPEED])</f>
        <v>20</v>
      </c>
      <c r="O463" cm="1">
        <f t="array" ref="O4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63">
        <f>IF(ISNUMBER(SEARCH("passenger",PROPERTIES[[#This Row],[CARGODEF]])),1,0)</f>
        <v>0</v>
      </c>
      <c r="Q463" s="23">
        <f>113/2</f>
        <v>56.5</v>
      </c>
      <c r="R463">
        <f>2700*2</f>
        <v>5400</v>
      </c>
      <c r="S463">
        <v>0</v>
      </c>
      <c r="T463">
        <v>0</v>
      </c>
      <c r="U463">
        <v>0</v>
      </c>
      <c r="V463">
        <v>153</v>
      </c>
      <c r="W463">
        <v>0</v>
      </c>
      <c r="X463">
        <v>0</v>
      </c>
      <c r="Y463">
        <v>0</v>
      </c>
      <c r="Z463" s="20">
        <f>245/2</f>
        <v>122.5</v>
      </c>
      <c r="AA463" s="19">
        <f>IFERROR(PROPERTIES[[#This Row],[TE_STARTING_KN]]/(PROPERTIES[[#This Row],[WEIGHT]]*9.81),0)</f>
        <v>0.22101341416109624</v>
      </c>
      <c r="AB463" s="19">
        <v>0</v>
      </c>
      <c r="AC463" s="16">
        <f>ROUND(IF(IFERROR(PROPERTIES[[#This Row],[TE_COEFFICIENT_CALC]],0)=0,PROPERTIES[[#This Row],[TE_COEFFICIENT_MANUAL]],PROPERTIES[[#This Row],[TE_COEFFICIENT_CALC]]),3)</f>
        <v>0.221</v>
      </c>
      <c r="AD463" s="8" cm="1">
        <f t="array" ref="AD4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3" s="26">
        <v>68</v>
      </c>
      <c r="AF463" s="6">
        <v>8</v>
      </c>
      <c r="AG463" t="s">
        <v>235</v>
      </c>
      <c r="AH463" t="s">
        <v>229</v>
      </c>
      <c r="AI463" t="s">
        <v>229</v>
      </c>
      <c r="AJ463" s="2" t="s">
        <v>229</v>
      </c>
      <c r="AK463" s="2" t="s">
        <v>244</v>
      </c>
      <c r="AL46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3" s="2" t="str">
        <f>SUBSTITUTE(SUBSTITUTE(PROPERTIES[[#This Row],[PURCHASECOST_VALUE]], "PURCHASECOST_", ""), "_VALUE", "")</f>
        <v>DMU</v>
      </c>
      <c r="AO463" s="44" t="b">
        <v>0</v>
      </c>
      <c r="AP463" s="48" t="b">
        <v>0</v>
      </c>
      <c r="AQ463" s="48" t="b">
        <v>0</v>
      </c>
      <c r="AR463" s="48">
        <v>0</v>
      </c>
      <c r="AS463" s="48" t="b">
        <v>0</v>
      </c>
      <c r="AT463" s="7" t="b">
        <v>0</v>
      </c>
      <c r="AU463" s="40" t="str" cm="1">
        <f t="array" ref="AU463">_xlfn.XLOOKUP(PROPERTIES[[#This Row],[VEHIDCODE]],GRAPHICS_PROPERTIES[VEHIDCODE],GRAPHICS_PROPERTIES[TEMPLATE_ID]&amp;GRAPHICS_PROPERTIES[TEMPLATE_AMENDMENT_CODE])</f>
        <v>TPL_02A</v>
      </c>
    </row>
    <row r="464" spans="1:47" x14ac:dyDescent="0.35">
      <c r="A464" s="2" t="s">
        <v>3097</v>
      </c>
      <c r="B464">
        <v>1990</v>
      </c>
      <c r="D464" cm="1">
        <f t="array" ref="D4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4" s="40" t="str">
        <f>_xlfn.XLOOKUP(PROPERTIES[[#This Row],[VEHIDCODE]],CONTROL[VEHIDCODE],CONTROL[ENGLISH])</f>
        <v>ABB IC3 Y2</v>
      </c>
      <c r="F464" t="s">
        <v>722</v>
      </c>
      <c r="G464" s="40" t="str">
        <f>_xlfn.XLOOKUP(PROPERTIES[[#This Row],[COUNTRY]],COUNTRIES[COUNTRY_DESCRIPTION],COUNTRIES[COUNTRY_LABEL],"")</f>
        <v>SE</v>
      </c>
      <c r="H464" t="str" cm="1">
        <f t="array" ref="H4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4" t="s">
        <v>15</v>
      </c>
      <c r="J464">
        <v>48</v>
      </c>
      <c r="K464">
        <v>8</v>
      </c>
      <c r="M464" t="str" cm="1">
        <f t="array" ref="M4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464">
        <f>_xlfn.XLOOKUP("LOADINGSPEEDDEF_"&amp;PROPERTIES[[#This Row],[LOADINGSPEED]],LOADINGSPEEDDEF[TYPE],LOADINGSPEEDDEF[SPEED])</f>
        <v>20</v>
      </c>
      <c r="O464" t="str" cm="1">
        <f t="array" ref="O4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4">
        <f>IF(ISNUMBER(SEARCH("passenger",PROPERTIES[[#This Row],[CARGODEF]])),1,0)</f>
        <v>1</v>
      </c>
      <c r="Q464" s="23">
        <f>INT(97/2)</f>
        <v>48</v>
      </c>
      <c r="R464">
        <f>1600*2</f>
        <v>3200</v>
      </c>
      <c r="S464">
        <v>0</v>
      </c>
      <c r="T464">
        <v>0</v>
      </c>
      <c r="U464">
        <v>0</v>
      </c>
      <c r="V464">
        <v>180</v>
      </c>
      <c r="W464">
        <v>0</v>
      </c>
      <c r="X464">
        <v>0</v>
      </c>
      <c r="Y464">
        <v>0</v>
      </c>
      <c r="Z464" s="20">
        <f>115/2</f>
        <v>57.5</v>
      </c>
      <c r="AA464" s="19">
        <f>IFERROR(PROPERTIES[[#This Row],[TE_STARTING_KN]]/(PROPERTIES[[#This Row],[WEIGHT]]*9.81),0)</f>
        <v>0.12211179068977235</v>
      </c>
      <c r="AB464" s="19">
        <v>0</v>
      </c>
      <c r="AC464" s="16">
        <f>ROUND(IF(IFERROR(PROPERTIES[[#This Row],[TE_COEFFICIENT_CALC]],0)=0,PROPERTIES[[#This Row],[TE_COEFFICIENT_MANUAL]],PROPERTIES[[#This Row],[TE_COEFFICIENT_CALC]]),3)</f>
        <v>0.122</v>
      </c>
      <c r="AD464" s="8" cm="1">
        <f t="array" ref="AD4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4" s="26">
        <v>48</v>
      </c>
      <c r="AF464" s="6">
        <v>8</v>
      </c>
      <c r="AG464" t="s">
        <v>239</v>
      </c>
      <c r="AH464" t="s">
        <v>233</v>
      </c>
      <c r="AI464" t="s">
        <v>229</v>
      </c>
      <c r="AJ464" s="2" t="s">
        <v>229</v>
      </c>
      <c r="AK464" s="2" t="s">
        <v>244</v>
      </c>
      <c r="AL46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4" s="2" t="str">
        <f>SUBSTITUTE(SUBSTITUTE(PROPERTIES[[#This Row],[PURCHASECOST_VALUE]], "PURCHASECOST_", ""), "_VALUE", "")</f>
        <v>DMU</v>
      </c>
      <c r="AO464" s="44" t="b">
        <v>0</v>
      </c>
      <c r="AP464" s="48" t="b">
        <v>0</v>
      </c>
      <c r="AQ464" s="48" t="b">
        <v>0</v>
      </c>
      <c r="AR464" s="48">
        <v>0</v>
      </c>
      <c r="AS464" s="48" t="b">
        <v>0</v>
      </c>
      <c r="AT464" s="7" t="b">
        <v>0</v>
      </c>
      <c r="AU464" s="40" t="str" cm="1">
        <f t="array" ref="AU464">_xlfn.XLOOKUP(PROPERTIES[[#This Row],[VEHIDCODE]],GRAPHICS_PROPERTIES[VEHIDCODE],GRAPHICS_PROPERTIES[TEMPLATE_ID]&amp;GRAPHICS_PROPERTIES[TEMPLATE_AMENDMENT_CODE])</f>
        <v>TPL_02A</v>
      </c>
    </row>
    <row r="465" spans="1:47" x14ac:dyDescent="0.35">
      <c r="A465" s="2" t="s">
        <v>3098</v>
      </c>
      <c r="B465">
        <v>1997</v>
      </c>
      <c r="D465" cm="1">
        <f t="array" ref="D4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5" s="40" t="str">
        <f>_xlfn.XLOOKUP(PROPERTIES[[#This Row],[VEHIDCODE]],CONTROL[VEHIDCODE],CONTROL[ENGLISH])</f>
        <v>CAF 594 TRD</v>
      </c>
      <c r="F465" t="s">
        <v>595</v>
      </c>
      <c r="G465" s="40" t="str">
        <f>_xlfn.XLOOKUP(PROPERTIES[[#This Row],[COUNTRY]],COUNTRIES[COUNTRY_DESCRIPTION],COUNTRIES[COUNTRY_LABEL],"")</f>
        <v>ES</v>
      </c>
      <c r="H465" t="str" cm="1">
        <f t="array" ref="H4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5" t="s">
        <v>15</v>
      </c>
      <c r="J465">
        <v>42</v>
      </c>
      <c r="K465">
        <v>8</v>
      </c>
      <c r="M465" t="str" cm="1">
        <f t="array" ref="M4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5">
        <f>_xlfn.XLOOKUP("LOADINGSPEEDDEF_"&amp;PROPERTIES[[#This Row],[LOADINGSPEED]],LOADINGSPEEDDEF[TYPE],LOADINGSPEEDDEF[SPEED])</f>
        <v>60</v>
      </c>
      <c r="O465" t="str" cm="1">
        <f t="array" ref="O4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5">
        <f>IF(ISNUMBER(SEARCH("passenger",PROPERTIES[[#This Row],[CARGODEF]])),1,0)</f>
        <v>1</v>
      </c>
      <c r="Q465" s="23">
        <v>49</v>
      </c>
      <c r="R465">
        <v>3200</v>
      </c>
      <c r="S465">
        <v>0</v>
      </c>
      <c r="T465">
        <v>0</v>
      </c>
      <c r="U465">
        <v>0</v>
      </c>
      <c r="V465">
        <v>160</v>
      </c>
      <c r="W465">
        <v>0</v>
      </c>
      <c r="X465">
        <v>0</v>
      </c>
      <c r="Y465">
        <v>0</v>
      </c>
      <c r="Z465" s="20">
        <f>120/2</f>
        <v>60</v>
      </c>
      <c r="AA465" s="19">
        <f>IFERROR(PROPERTIES[[#This Row],[TE_STARTING_KN]]/(PROPERTIES[[#This Row],[WEIGHT]]*9.81),0)</f>
        <v>0.12482057043000687</v>
      </c>
      <c r="AB465" s="19">
        <v>0</v>
      </c>
      <c r="AC465" s="16">
        <f>ROUND(IF(IFERROR(PROPERTIES[[#This Row],[TE_COEFFICIENT_CALC]],0)=0,PROPERTIES[[#This Row],[TE_COEFFICIENT_MANUAL]],PROPERTIES[[#This Row],[TE_COEFFICIENT_CALC]]),3)</f>
        <v>0.125</v>
      </c>
      <c r="AD465" s="8" cm="1">
        <f t="array" ref="AD4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5" s="26">
        <f>126/3</f>
        <v>42</v>
      </c>
      <c r="AF465" s="6">
        <v>8</v>
      </c>
      <c r="AG465" t="s">
        <v>239</v>
      </c>
      <c r="AH465" t="s">
        <v>233</v>
      </c>
      <c r="AI465" t="s">
        <v>229</v>
      </c>
      <c r="AJ465" s="2" t="s">
        <v>229</v>
      </c>
      <c r="AK465" s="2" t="s">
        <v>244</v>
      </c>
      <c r="AL46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5" s="2" t="str">
        <f>SUBSTITUTE(SUBSTITUTE(PROPERTIES[[#This Row],[PURCHASECOST_VALUE]], "PURCHASECOST_", ""), "_VALUE", "")</f>
        <v>DMU</v>
      </c>
      <c r="AO465" s="44" t="b">
        <v>0</v>
      </c>
      <c r="AP465" s="48" t="b">
        <v>0</v>
      </c>
      <c r="AQ465" s="48" t="b">
        <v>0</v>
      </c>
      <c r="AR465" s="48">
        <v>0</v>
      </c>
      <c r="AS465" s="48" t="b">
        <v>0</v>
      </c>
      <c r="AT465" s="7" t="b">
        <v>0</v>
      </c>
      <c r="AU465" s="40" t="str" cm="1">
        <f t="array" ref="AU465">_xlfn.XLOOKUP(PROPERTIES[[#This Row],[VEHIDCODE]],GRAPHICS_PROPERTIES[VEHIDCODE],GRAPHICS_PROPERTIES[TEMPLATE_ID]&amp;GRAPHICS_PROPERTIES[TEMPLATE_AMENDMENT_CODE])</f>
        <v>TPL_02A</v>
      </c>
    </row>
    <row r="466" spans="1:47" x14ac:dyDescent="0.35">
      <c r="A466" s="2" t="s">
        <v>3099</v>
      </c>
      <c r="B466">
        <v>1997</v>
      </c>
      <c r="D466" cm="1">
        <f t="array" ref="D4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6" s="40" t="str">
        <f>_xlfn.XLOOKUP(PROPERTIES[[#This Row],[VEHIDCODE]],CONTROL[VEHIDCODE],CONTROL[ENGLISH])</f>
        <v>Adtranz Class 168 'Clubman'</v>
      </c>
      <c r="F466" t="s">
        <v>603</v>
      </c>
      <c r="G466" s="40" t="str">
        <f>_xlfn.XLOOKUP(PROPERTIES[[#This Row],[COUNTRY]],COUNTRIES[COUNTRY_DESCRIPTION],COUNTRIES[COUNTRY_LABEL],"")</f>
        <v>GB</v>
      </c>
      <c r="H466" t="str" cm="1">
        <f t="array" ref="H4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6" t="s">
        <v>15</v>
      </c>
      <c r="J466">
        <f>INT(204/3)</f>
        <v>68</v>
      </c>
      <c r="K466">
        <v>8</v>
      </c>
      <c r="M466" t="str" cm="1">
        <f t="array" ref="M4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6">
        <f>_xlfn.XLOOKUP("LOADINGSPEEDDEF_"&amp;PROPERTIES[[#This Row],[LOADINGSPEED]],LOADINGSPEEDDEF[TYPE],LOADINGSPEEDDEF[SPEED])</f>
        <v>60</v>
      </c>
      <c r="O466" t="str" cm="1">
        <f t="array" ref="O4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6">
        <f>IF(ISNUMBER(SEARCH("passenger",PROPERTIES[[#This Row],[CARGODEF]])),1,0)</f>
        <v>1</v>
      </c>
      <c r="Q466" s="23">
        <v>50</v>
      </c>
      <c r="R466">
        <f>422*2</f>
        <v>844</v>
      </c>
      <c r="S466">
        <v>0</v>
      </c>
      <c r="T466">
        <v>0</v>
      </c>
      <c r="U466">
        <v>0</v>
      </c>
      <c r="V466">
        <v>160</v>
      </c>
      <c r="W466">
        <v>0</v>
      </c>
      <c r="X466">
        <v>0</v>
      </c>
      <c r="Y466">
        <v>0</v>
      </c>
      <c r="Z466" s="20">
        <f>112/2</f>
        <v>56</v>
      </c>
      <c r="AA466" s="19">
        <f>IFERROR(PROPERTIES[[#This Row],[TE_STARTING_KN]]/(PROPERTIES[[#This Row],[WEIGHT]]*9.81),0)</f>
        <v>0.11416921508664628</v>
      </c>
      <c r="AB466" s="19">
        <v>0</v>
      </c>
      <c r="AC466" s="16">
        <f>ROUND(IF(IFERROR(PROPERTIES[[#This Row],[TE_COEFFICIENT_CALC]],0)=0,PROPERTIES[[#This Row],[TE_COEFFICIENT_MANUAL]],PROPERTIES[[#This Row],[TE_COEFFICIENT_CALC]]),3)</f>
        <v>0.114</v>
      </c>
      <c r="AD466" s="8" cm="1">
        <f t="array" ref="AD4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6" s="26">
        <f>INT(204/3)</f>
        <v>68</v>
      </c>
      <c r="AF466" s="6">
        <v>8</v>
      </c>
      <c r="AG466" t="s">
        <v>234</v>
      </c>
      <c r="AH466" t="s">
        <v>229</v>
      </c>
      <c r="AI466" t="s">
        <v>229</v>
      </c>
      <c r="AJ466" s="2" t="s">
        <v>229</v>
      </c>
      <c r="AK466" s="2" t="s">
        <v>244</v>
      </c>
      <c r="AL46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6" s="2" t="str">
        <f>SUBSTITUTE(SUBSTITUTE(PROPERTIES[[#This Row],[PURCHASECOST_VALUE]], "PURCHASECOST_", ""), "_VALUE", "")</f>
        <v>DMU</v>
      </c>
      <c r="AO466" s="44" t="b">
        <v>0</v>
      </c>
      <c r="AP466" s="48" t="b">
        <v>0</v>
      </c>
      <c r="AQ466" s="48" t="b">
        <v>0</v>
      </c>
      <c r="AR466" s="48">
        <v>0</v>
      </c>
      <c r="AS466" s="48" t="b">
        <v>0</v>
      </c>
      <c r="AT466" s="7" t="b">
        <v>0</v>
      </c>
      <c r="AU466" s="40" t="str" cm="1">
        <f t="array" ref="AU466">_xlfn.XLOOKUP(PROPERTIES[[#This Row],[VEHIDCODE]],GRAPHICS_PROPERTIES[VEHIDCODE],GRAPHICS_PROPERTIES[TEMPLATE_ID]&amp;GRAPHICS_PROPERTIES[TEMPLATE_AMENDMENT_CODE])</f>
        <v>TPL_02A</v>
      </c>
    </row>
    <row r="467" spans="1:47" x14ac:dyDescent="0.35">
      <c r="A467" s="2" t="s">
        <v>3100</v>
      </c>
      <c r="B467">
        <v>1998</v>
      </c>
      <c r="D467" cm="1">
        <f t="array" ref="D4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7" s="40" t="str">
        <f>_xlfn.XLOOKUP(PROPERTIES[[#This Row],[VEHIDCODE]],CONTROL[VEHIDCODE],CONTROL[ENGLISH])</f>
        <v>Adtranz Class 612 'Regio Swinger'</v>
      </c>
      <c r="F467" t="s">
        <v>584</v>
      </c>
      <c r="G467" s="40" t="str">
        <f>_xlfn.XLOOKUP(PROPERTIES[[#This Row],[COUNTRY]],COUNTRIES[COUNTRY_DESCRIPTION],COUNTRIES[COUNTRY_LABEL],"")</f>
        <v>DE</v>
      </c>
      <c r="H467" t="str" cm="1">
        <f t="array" ref="H4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7" t="s">
        <v>15</v>
      </c>
      <c r="J467">
        <v>73</v>
      </c>
      <c r="K467">
        <v>8</v>
      </c>
      <c r="M467" t="str" cm="1">
        <f t="array" ref="M4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7">
        <f>_xlfn.XLOOKUP("LOADINGSPEEDDEF_"&amp;PROPERTIES[[#This Row],[LOADINGSPEED]],LOADINGSPEEDDEF[TYPE],LOADINGSPEEDDEF[SPEED])</f>
        <v>60</v>
      </c>
      <c r="O467" t="str" cm="1">
        <f t="array" ref="O4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7">
        <f>IF(ISNUMBER(SEARCH("passenger",PROPERTIES[[#This Row],[CARGODEF]])),1,0)</f>
        <v>1</v>
      </c>
      <c r="Q467" s="23">
        <v>58</v>
      </c>
      <c r="R467">
        <v>1520</v>
      </c>
      <c r="S467">
        <v>0</v>
      </c>
      <c r="T467">
        <v>0</v>
      </c>
      <c r="U467">
        <v>0</v>
      </c>
      <c r="V467">
        <v>160</v>
      </c>
      <c r="W467">
        <v>0</v>
      </c>
      <c r="X467">
        <v>0</v>
      </c>
      <c r="Y467">
        <v>0</v>
      </c>
      <c r="Z467" s="20">
        <f>145/2</f>
        <v>72.5</v>
      </c>
      <c r="AA467" s="19">
        <f>IFERROR(PROPERTIES[[#This Row],[TE_STARTING_KN]]/(PROPERTIES[[#This Row],[WEIGHT]]*9.81),0)</f>
        <v>0.127420998980632</v>
      </c>
      <c r="AB467" s="19">
        <v>0</v>
      </c>
      <c r="AC467" s="16">
        <f>ROUND(IF(IFERROR(PROPERTIES[[#This Row],[TE_COEFFICIENT_CALC]],0)=0,PROPERTIES[[#This Row],[TE_COEFFICIENT_MANUAL]],PROPERTIES[[#This Row],[TE_COEFFICIENT_CALC]]),3)</f>
        <v>0.127</v>
      </c>
      <c r="AD467" s="8" cm="1">
        <f t="array" ref="AD4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7" s="26">
        <v>73</v>
      </c>
      <c r="AF467" s="6">
        <v>8</v>
      </c>
      <c r="AG467" t="s">
        <v>230</v>
      </c>
      <c r="AH467" t="s">
        <v>236</v>
      </c>
      <c r="AI467" t="s">
        <v>229</v>
      </c>
      <c r="AJ467" s="2" t="s">
        <v>229</v>
      </c>
      <c r="AK467" s="2" t="s">
        <v>244</v>
      </c>
      <c r="AL46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7" s="2" t="str">
        <f>SUBSTITUTE(SUBSTITUTE(PROPERTIES[[#This Row],[PURCHASECOST_VALUE]], "PURCHASECOST_", ""), "_VALUE", "")</f>
        <v>DMU</v>
      </c>
      <c r="AO467" s="44" t="b">
        <v>0</v>
      </c>
      <c r="AP467" s="48" t="b">
        <v>0</v>
      </c>
      <c r="AQ467" s="48" t="b">
        <v>0</v>
      </c>
      <c r="AR467" s="48">
        <v>0</v>
      </c>
      <c r="AS467" s="48" t="b">
        <v>0</v>
      </c>
      <c r="AT467" s="7" t="b">
        <v>0</v>
      </c>
      <c r="AU467" s="40" t="str" cm="1">
        <f t="array" ref="AU467">_xlfn.XLOOKUP(PROPERTIES[[#This Row],[VEHIDCODE]],GRAPHICS_PROPERTIES[VEHIDCODE],GRAPHICS_PROPERTIES[TEMPLATE_ID]&amp;GRAPHICS_PROPERTIES[TEMPLATE_AMENDMENT_CODE])</f>
        <v>TPL_02A</v>
      </c>
    </row>
    <row r="468" spans="1:47" x14ac:dyDescent="0.35">
      <c r="A468" s="2" t="s">
        <v>3101</v>
      </c>
      <c r="B468">
        <v>2000</v>
      </c>
      <c r="D468" cm="1">
        <f t="array" ref="D4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8" s="40" t="str">
        <f>_xlfn.XLOOKUP(PROPERTIES[[#This Row],[VEHIDCODE]],CONTROL[VEHIDCODE],CONTROL[ENGLISH])</f>
        <v>Siemens Desiro</v>
      </c>
      <c r="F468" t="s">
        <v>584</v>
      </c>
      <c r="G468" s="40" t="str">
        <f>_xlfn.XLOOKUP(PROPERTIES[[#This Row],[COUNTRY]],COUNTRIES[COUNTRY_DESCRIPTION],COUNTRIES[COUNTRY_LABEL],"")</f>
        <v>DE</v>
      </c>
      <c r="H468" t="str" cm="1">
        <f t="array" ref="H4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8" t="s">
        <v>15</v>
      </c>
      <c r="J468">
        <f>(98+110)/2</f>
        <v>104</v>
      </c>
      <c r="K468">
        <v>8</v>
      </c>
      <c r="M468" t="str" cm="1">
        <f t="array" ref="M4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8">
        <f>_xlfn.XLOOKUP("LOADINGSPEEDDEF_"&amp;PROPERTIES[[#This Row],[LOADINGSPEED]],LOADINGSPEEDDEF[TYPE],LOADINGSPEEDDEF[SPEED])</f>
        <v>60</v>
      </c>
      <c r="O468" t="str" cm="1">
        <f t="array" ref="O4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8">
        <f>IF(ISNUMBER(SEARCH("passenger",PROPERTIES[[#This Row],[CARGODEF]])),1,0)</f>
        <v>1</v>
      </c>
      <c r="Q468" s="23">
        <f>88/2</f>
        <v>44</v>
      </c>
      <c r="R468">
        <f>490*2</f>
        <v>980</v>
      </c>
      <c r="S468">
        <v>0</v>
      </c>
      <c r="T468">
        <v>0</v>
      </c>
      <c r="U468">
        <v>0</v>
      </c>
      <c r="V468">
        <v>120</v>
      </c>
      <c r="W468">
        <v>0</v>
      </c>
      <c r="X468">
        <v>0</v>
      </c>
      <c r="Y468">
        <v>0</v>
      </c>
      <c r="Z468" s="20">
        <f>85/2</f>
        <v>42.5</v>
      </c>
      <c r="AA468" s="19">
        <f>IFERROR(PROPERTIES[[#This Row],[TE_STARTING_KN]]/(PROPERTIES[[#This Row],[WEIGHT]]*9.81),0)</f>
        <v>9.8461681030488357E-2</v>
      </c>
      <c r="AB468" s="19">
        <v>0</v>
      </c>
      <c r="AC468" s="16">
        <f>ROUND(IF(IFERROR(PROPERTIES[[#This Row],[TE_COEFFICIENT_CALC]],0)=0,PROPERTIES[[#This Row],[TE_COEFFICIENT_MANUAL]],PROPERTIES[[#This Row],[TE_COEFFICIENT_CALC]]),3)</f>
        <v>9.8000000000000004E-2</v>
      </c>
      <c r="AD468" s="8" cm="1">
        <f t="array" ref="AD4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68" s="26">
        <f>PROPERTIES[[#This Row],[HEAD_CAPACITY]]</f>
        <v>104</v>
      </c>
      <c r="AF468" s="6">
        <v>8</v>
      </c>
      <c r="AG468" t="s">
        <v>239</v>
      </c>
      <c r="AH468" t="s">
        <v>235</v>
      </c>
      <c r="AI468" t="s">
        <v>229</v>
      </c>
      <c r="AJ468" s="2" t="s">
        <v>229</v>
      </c>
      <c r="AK468" s="2" t="s">
        <v>244</v>
      </c>
      <c r="AL468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8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8" s="2" t="str">
        <f>SUBSTITUTE(SUBSTITUTE(PROPERTIES[[#This Row],[PURCHASECOST_VALUE]], "PURCHASECOST_", ""), "_VALUE", "")</f>
        <v>DMU</v>
      </c>
      <c r="AO468" s="44" t="b">
        <v>0</v>
      </c>
      <c r="AP468" s="48" t="b">
        <v>0</v>
      </c>
      <c r="AQ468" s="48" t="b">
        <v>0</v>
      </c>
      <c r="AR468" s="48">
        <v>0</v>
      </c>
      <c r="AS468" s="48" t="b">
        <v>0</v>
      </c>
      <c r="AT468" s="7" t="b">
        <v>0</v>
      </c>
      <c r="AU468" s="40" t="str" cm="1">
        <f t="array" ref="AU468">_xlfn.XLOOKUP(PROPERTIES[[#This Row],[VEHIDCODE]],GRAPHICS_PROPERTIES[VEHIDCODE],GRAPHICS_PROPERTIES[TEMPLATE_ID]&amp;GRAPHICS_PROPERTIES[TEMPLATE_AMENDMENT_CODE])</f>
        <v>TPL_02A</v>
      </c>
    </row>
    <row r="469" spans="1:47" x14ac:dyDescent="0.35">
      <c r="A469" s="2" t="s">
        <v>3102</v>
      </c>
      <c r="B469">
        <v>2001</v>
      </c>
      <c r="D469" cm="1">
        <f t="array" ref="D4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9" s="40" t="str">
        <f>_xlfn.XLOOKUP(PROPERTIES[[#This Row],[VEHIDCODE]],CONTROL[VEHIDCODE],CONTROL[ENGLISH])</f>
        <v>Alstom Coradia LINT</v>
      </c>
      <c r="F469" t="s">
        <v>586</v>
      </c>
      <c r="G469" s="40" t="str">
        <f>_xlfn.XLOOKUP(PROPERTIES[[#This Row],[COUNTRY]],COUNTRIES[COUNTRY_DESCRIPTION],COUNTRIES[COUNTRY_LABEL],"")</f>
        <v>DK</v>
      </c>
      <c r="H469" t="str" cm="1">
        <f t="array" ref="H4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9" t="s">
        <v>15</v>
      </c>
      <c r="J469">
        <f>52+85</f>
        <v>137</v>
      </c>
      <c r="K469">
        <v>8</v>
      </c>
      <c r="M469" t="str" cm="1">
        <f t="array" ref="M4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9">
        <f>_xlfn.XLOOKUP("LOADINGSPEEDDEF_"&amp;PROPERTIES[[#This Row],[LOADINGSPEED]],LOADINGSPEEDDEF[TYPE],LOADINGSPEEDDEF[SPEED])</f>
        <v>60</v>
      </c>
      <c r="O469" t="str" cm="1">
        <f t="array" ref="O4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9">
        <f>IF(ISNUMBER(SEARCH("passenger",PROPERTIES[[#This Row],[CARGODEF]])),1,0)</f>
        <v>1</v>
      </c>
      <c r="Q469" s="23">
        <v>31</v>
      </c>
      <c r="R469">
        <v>422</v>
      </c>
      <c r="S469">
        <v>0</v>
      </c>
      <c r="T469">
        <v>0</v>
      </c>
      <c r="U469">
        <v>0</v>
      </c>
      <c r="V469">
        <v>120</v>
      </c>
      <c r="W469">
        <v>0</v>
      </c>
      <c r="X469">
        <v>0</v>
      </c>
      <c r="Y469">
        <v>0</v>
      </c>
      <c r="Z469" s="20">
        <f>75/2</f>
        <v>37.5</v>
      </c>
      <c r="AA469" s="19">
        <f>IFERROR(PROPERTIES[[#This Row],[TE_STARTING_KN]]/(PROPERTIES[[#This Row],[WEIGHT]]*9.81),0)</f>
        <v>0.12331064417480517</v>
      </c>
      <c r="AB469" s="19">
        <v>0</v>
      </c>
      <c r="AC469" s="16">
        <f>ROUND(IF(IFERROR(PROPERTIES[[#This Row],[TE_COEFFICIENT_CALC]],0)=0,PROPERTIES[[#This Row],[TE_COEFFICIENT_MANUAL]],PROPERTIES[[#This Row],[TE_COEFFICIENT_CALC]]),3)</f>
        <v>0.123</v>
      </c>
      <c r="AD469" s="8" cm="1">
        <f t="array" ref="AD4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69" s="26">
        <f>PROPERTIES[[#This Row],[HEAD_CAPACITY]]</f>
        <v>137</v>
      </c>
      <c r="AF469" s="6">
        <v>8</v>
      </c>
      <c r="AG469" t="s">
        <v>234</v>
      </c>
      <c r="AH469" t="s">
        <v>229</v>
      </c>
      <c r="AI469" t="s">
        <v>229</v>
      </c>
      <c r="AJ469" s="2" t="s">
        <v>229</v>
      </c>
      <c r="AK469" s="2" t="s">
        <v>244</v>
      </c>
      <c r="AL469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9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9" s="2" t="str">
        <f>SUBSTITUTE(SUBSTITUTE(PROPERTIES[[#This Row],[PURCHASECOST_VALUE]], "PURCHASECOST_", ""), "_VALUE", "")</f>
        <v>DMU</v>
      </c>
      <c r="AO469" s="44" t="b">
        <v>0</v>
      </c>
      <c r="AP469" s="48" t="b">
        <v>0</v>
      </c>
      <c r="AQ469" s="48" t="b">
        <v>0</v>
      </c>
      <c r="AR469" s="48">
        <v>0</v>
      </c>
      <c r="AS469" s="48" t="b">
        <v>0</v>
      </c>
      <c r="AT469" s="7" t="b">
        <v>0</v>
      </c>
      <c r="AU469" s="40" t="str" cm="1">
        <f t="array" ref="AU469">_xlfn.XLOOKUP(PROPERTIES[[#This Row],[VEHIDCODE]],GRAPHICS_PROPERTIES[VEHIDCODE],GRAPHICS_PROPERTIES[TEMPLATE_ID]&amp;GRAPHICS_PROPERTIES[TEMPLATE_AMENDMENT_CODE])</f>
        <v>TPL_02A</v>
      </c>
    </row>
    <row r="470" spans="1:47" x14ac:dyDescent="0.35">
      <c r="A470" s="2" t="s">
        <v>3103</v>
      </c>
      <c r="B470">
        <v>2001</v>
      </c>
      <c r="D470" cm="1">
        <f t="array" ref="D4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0" s="40" t="str">
        <f>_xlfn.XLOOKUP(PROPERTIES[[#This Row],[VEHIDCODE]],CONTROL[VEHIDCODE],CONTROL[ENGLISH])</f>
        <v>Bombardier Talent NSB BM 93</v>
      </c>
      <c r="F470" t="s">
        <v>693</v>
      </c>
      <c r="G470" s="40" t="str">
        <f>_xlfn.XLOOKUP(PROPERTIES[[#This Row],[COUNTRY]],COUNTRIES[COUNTRY_DESCRIPTION],COUNTRIES[COUNTRY_LABEL],"")</f>
        <v>NO</v>
      </c>
      <c r="H470" t="str" cm="1">
        <f t="array" ref="H4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0" t="s">
        <v>15</v>
      </c>
      <c r="J470">
        <f>76/2</f>
        <v>38</v>
      </c>
      <c r="K470">
        <v>8</v>
      </c>
      <c r="M470" t="str" cm="1">
        <f t="array" ref="M4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0">
        <f>_xlfn.XLOOKUP("LOADINGSPEEDDEF_"&amp;PROPERTIES[[#This Row],[LOADINGSPEED]],LOADINGSPEEDDEF[TYPE],LOADINGSPEEDDEF[SPEED])</f>
        <v>60</v>
      </c>
      <c r="O470" t="str" cm="1">
        <f t="array" ref="O4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0">
        <f>IF(ISNUMBER(SEARCH("passenger",PROPERTIES[[#This Row],[CARGODEF]])),1,0)</f>
        <v>1</v>
      </c>
      <c r="Q470" s="23">
        <f>77/2</f>
        <v>38.5</v>
      </c>
      <c r="R470">
        <v>810</v>
      </c>
      <c r="S470">
        <v>0</v>
      </c>
      <c r="T470">
        <v>0</v>
      </c>
      <c r="U470">
        <v>0</v>
      </c>
      <c r="V470">
        <v>140</v>
      </c>
      <c r="W470">
        <v>0</v>
      </c>
      <c r="X470">
        <v>0</v>
      </c>
      <c r="Y470">
        <v>0</v>
      </c>
      <c r="Z470" s="20">
        <f>100/2</f>
        <v>50</v>
      </c>
      <c r="AA470" s="19">
        <f>IFERROR(PROPERTIES[[#This Row],[TE_STARTING_KN]]/(PROPERTIES[[#This Row],[WEIGHT]]*9.81),0)</f>
        <v>0.13238545348637093</v>
      </c>
      <c r="AB470" s="19">
        <v>0</v>
      </c>
      <c r="AC470" s="16">
        <f>ROUND(IF(IFERROR(PROPERTIES[[#This Row],[TE_COEFFICIENT_CALC]],0)=0,PROPERTIES[[#This Row],[TE_COEFFICIENT_MANUAL]],PROPERTIES[[#This Row],[TE_COEFFICIENT_CALC]]),3)</f>
        <v>0.13200000000000001</v>
      </c>
      <c r="AD470" s="8" cm="1">
        <f t="array" ref="AD4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0" s="26">
        <f>76/2</f>
        <v>38</v>
      </c>
      <c r="AF470" s="6">
        <v>8</v>
      </c>
      <c r="AG470" t="s">
        <v>234</v>
      </c>
      <c r="AH470" t="s">
        <v>229</v>
      </c>
      <c r="AI470" t="s">
        <v>229</v>
      </c>
      <c r="AJ470" s="2" t="s">
        <v>229</v>
      </c>
      <c r="AK470" s="2" t="s">
        <v>244</v>
      </c>
      <c r="AL47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0" s="2" t="str">
        <f>SUBSTITUTE(SUBSTITUTE(PROPERTIES[[#This Row],[PURCHASECOST_VALUE]], "PURCHASECOST_", ""), "_VALUE", "")</f>
        <v>DMU</v>
      </c>
      <c r="AO470" s="44" t="b">
        <v>0</v>
      </c>
      <c r="AP470" s="48" t="b">
        <v>0</v>
      </c>
      <c r="AQ470" s="48" t="b">
        <v>0</v>
      </c>
      <c r="AR470" s="48">
        <v>0</v>
      </c>
      <c r="AS470" s="48" t="b">
        <v>0</v>
      </c>
      <c r="AT470" s="7" t="b">
        <v>0</v>
      </c>
      <c r="AU470" s="40" t="str" cm="1">
        <f t="array" ref="AU470">_xlfn.XLOOKUP(PROPERTIES[[#This Row],[VEHIDCODE]],GRAPHICS_PROPERTIES[VEHIDCODE],GRAPHICS_PROPERTIES[TEMPLATE_ID]&amp;GRAPHICS_PROPERTIES[TEMPLATE_AMENDMENT_CODE])</f>
        <v>TPL_02A</v>
      </c>
    </row>
    <row r="471" spans="1:47" x14ac:dyDescent="0.35">
      <c r="A471" s="2" t="s">
        <v>3104</v>
      </c>
      <c r="B471">
        <v>2004</v>
      </c>
      <c r="D471" cm="1">
        <f t="array" ref="D4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1" s="40" t="str">
        <f>_xlfn.XLOOKUP(PROPERTIES[[#This Row],[VEHIDCODE]],CONTROL[VEHIDCODE],CONTROL[ENGLISH])</f>
        <v>UGL WD 'Prospector'</v>
      </c>
      <c r="F471" t="s">
        <v>541</v>
      </c>
      <c r="G471" s="40" t="str">
        <f>_xlfn.XLOOKUP(PROPERTIES[[#This Row],[COUNTRY]],COUNTRIES[COUNTRY_DESCRIPTION],COUNTRIES[COUNTRY_LABEL],"")</f>
        <v>AU</v>
      </c>
      <c r="H471" t="str" cm="1">
        <f t="array" ref="H4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1" t="s">
        <v>15</v>
      </c>
      <c r="J471">
        <v>68</v>
      </c>
      <c r="K471">
        <v>8</v>
      </c>
      <c r="M471" t="str" cm="1">
        <f t="array" ref="M4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471">
        <f>_xlfn.XLOOKUP("LOADINGSPEEDDEF_"&amp;PROPERTIES[[#This Row],[LOADINGSPEED]],LOADINGSPEEDDEF[TYPE],LOADINGSPEEDDEF[SPEED])</f>
        <v>20</v>
      </c>
      <c r="O471" t="str" cm="1">
        <f t="array" ref="O4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1">
        <f>IF(ISNUMBER(SEARCH("passenger",PROPERTIES[[#This Row],[CARGODEF]])),1,0)</f>
        <v>1</v>
      </c>
      <c r="Q471" s="23">
        <v>33</v>
      </c>
      <c r="R471">
        <f>520*2</f>
        <v>1040</v>
      </c>
      <c r="S471">
        <v>0</v>
      </c>
      <c r="T471">
        <v>0</v>
      </c>
      <c r="U471">
        <v>0</v>
      </c>
      <c r="V471">
        <v>200</v>
      </c>
      <c r="W471">
        <v>0</v>
      </c>
      <c r="X471">
        <v>0</v>
      </c>
      <c r="Y471">
        <v>0</v>
      </c>
      <c r="Z471" s="20">
        <f>160/2</f>
        <v>80</v>
      </c>
      <c r="AA471" s="19">
        <f>IFERROR(PROPERTIES[[#This Row],[TE_STARTING_KN]]/(PROPERTIES[[#This Row],[WEIGHT]]*9.81),0)</f>
        <v>0.24711951317455902</v>
      </c>
      <c r="AB471" s="19">
        <v>0</v>
      </c>
      <c r="AC471" s="16">
        <f>ROUND(IF(IFERROR(PROPERTIES[[#This Row],[TE_COEFFICIENT_CALC]],0)=0,PROPERTIES[[#This Row],[TE_COEFFICIENT_MANUAL]],PROPERTIES[[#This Row],[TE_COEFFICIENT_CALC]]),3)</f>
        <v>0.247</v>
      </c>
      <c r="AD471" s="8" cm="1">
        <f t="array" ref="AD4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1" s="26">
        <v>68</v>
      </c>
      <c r="AF471" s="6">
        <v>8</v>
      </c>
      <c r="AG471" t="s">
        <v>232</v>
      </c>
      <c r="AH471" t="s">
        <v>229</v>
      </c>
      <c r="AI471" t="s">
        <v>229</v>
      </c>
      <c r="AJ471" s="2" t="s">
        <v>229</v>
      </c>
      <c r="AK471" s="2" t="s">
        <v>244</v>
      </c>
      <c r="AL47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1" s="2" t="str">
        <f>SUBSTITUTE(SUBSTITUTE(PROPERTIES[[#This Row],[PURCHASECOST_VALUE]], "PURCHASECOST_", ""), "_VALUE", "")</f>
        <v>DMU</v>
      </c>
      <c r="AO471" s="44" t="b">
        <v>0</v>
      </c>
      <c r="AP471" s="48" t="b">
        <v>0</v>
      </c>
      <c r="AQ471" s="48" t="b">
        <v>1</v>
      </c>
      <c r="AR471" s="48">
        <v>0</v>
      </c>
      <c r="AS471" s="48" t="b">
        <v>0</v>
      </c>
      <c r="AT471" s="7" t="b">
        <v>0</v>
      </c>
      <c r="AU471" s="40" t="str" cm="1">
        <f t="array" ref="AU471">_xlfn.XLOOKUP(PROPERTIES[[#This Row],[VEHIDCODE]],GRAPHICS_PROPERTIES[VEHIDCODE],GRAPHICS_PROPERTIES[TEMPLATE_ID]&amp;GRAPHICS_PROPERTIES[TEMPLATE_AMENDMENT_CODE])</f>
        <v>TPL_02A</v>
      </c>
    </row>
    <row r="472" spans="1:47" x14ac:dyDescent="0.35">
      <c r="A472" s="2" t="s">
        <v>3105</v>
      </c>
      <c r="B472">
        <v>2006</v>
      </c>
      <c r="D472" cm="1">
        <f t="array" ref="D4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2" s="40" t="str">
        <f>_xlfn.XLOOKUP(PROPERTIES[[#This Row],[VEHIDCODE]],CONTROL[VEHIDCODE],CONTROL[ENGLISH])</f>
        <v>UGL 'Hunter' Railcar</v>
      </c>
      <c r="F472" t="s">
        <v>541</v>
      </c>
      <c r="G472" s="40" t="str">
        <f>_xlfn.XLOOKUP(PROPERTIES[[#This Row],[COUNTRY]],COUNTRIES[COUNTRY_DESCRIPTION],COUNTRIES[COUNTRY_LABEL],"")</f>
        <v>AU</v>
      </c>
      <c r="H472" t="str" cm="1">
        <f t="array" ref="H4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2" t="s">
        <v>15</v>
      </c>
      <c r="J472">
        <v>70</v>
      </c>
      <c r="K472">
        <v>8</v>
      </c>
      <c r="M472" t="str" cm="1">
        <f t="array" ref="M4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2">
        <f>_xlfn.XLOOKUP("LOADINGSPEEDDEF_"&amp;PROPERTIES[[#This Row],[LOADINGSPEED]],LOADINGSPEEDDEF[TYPE],LOADINGSPEEDDEF[SPEED])</f>
        <v>60</v>
      </c>
      <c r="O472" t="str" cm="1">
        <f t="array" ref="O4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2">
        <f>IF(ISNUMBER(SEARCH("passenger",PROPERTIES[[#This Row],[CARGODEF]])),1,0)</f>
        <v>1</v>
      </c>
      <c r="Q472" s="23">
        <v>30</v>
      </c>
      <c r="R472">
        <v>750</v>
      </c>
      <c r="S472">
        <v>0</v>
      </c>
      <c r="T472">
        <v>0</v>
      </c>
      <c r="U472">
        <v>0</v>
      </c>
      <c r="V472">
        <v>160</v>
      </c>
      <c r="W472">
        <v>0</v>
      </c>
      <c r="X472">
        <v>0</v>
      </c>
      <c r="Y472">
        <v>0</v>
      </c>
      <c r="Z472" s="20">
        <f>140/2</f>
        <v>70</v>
      </c>
      <c r="AA472" s="19">
        <f>IFERROR(PROPERTIES[[#This Row],[TE_STARTING_KN]]/(PROPERTIES[[#This Row],[WEIGHT]]*9.81),0)</f>
        <v>0.23785253143051308</v>
      </c>
      <c r="AB472" s="19">
        <v>0</v>
      </c>
      <c r="AC472" s="16">
        <f>ROUND(IF(IFERROR(PROPERTIES[[#This Row],[TE_COEFFICIENT_CALC]],0)=0,PROPERTIES[[#This Row],[TE_COEFFICIENT_MANUAL]],PROPERTIES[[#This Row],[TE_COEFFICIENT_CALC]]),3)</f>
        <v>0.23799999999999999</v>
      </c>
      <c r="AD472" s="8" cm="1">
        <f t="array" ref="AD4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2" s="26">
        <v>70</v>
      </c>
      <c r="AF472" s="6">
        <v>8</v>
      </c>
      <c r="AG472" t="s">
        <v>232</v>
      </c>
      <c r="AH472" t="s">
        <v>229</v>
      </c>
      <c r="AI472" t="s">
        <v>229</v>
      </c>
      <c r="AJ472" s="2" t="s">
        <v>229</v>
      </c>
      <c r="AK472" s="2" t="s">
        <v>244</v>
      </c>
      <c r="AL47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2" s="2" t="str">
        <f>SUBSTITUTE(SUBSTITUTE(PROPERTIES[[#This Row],[PURCHASECOST_VALUE]], "PURCHASECOST_", ""), "_VALUE", "")</f>
        <v>DMU</v>
      </c>
      <c r="AO472" s="44" t="b">
        <v>0</v>
      </c>
      <c r="AP472" s="48" t="b">
        <v>0</v>
      </c>
      <c r="AQ472" s="48" t="b">
        <v>0</v>
      </c>
      <c r="AR472" s="48">
        <v>0</v>
      </c>
      <c r="AS472" s="48" t="b">
        <v>0</v>
      </c>
      <c r="AT472" s="7" t="b">
        <v>0</v>
      </c>
      <c r="AU472" s="40" t="str" cm="1">
        <f t="array" ref="AU472">_xlfn.XLOOKUP(PROPERTIES[[#This Row],[VEHIDCODE]],GRAPHICS_PROPERTIES[VEHIDCODE],GRAPHICS_PROPERTIES[TEMPLATE_ID]&amp;GRAPHICS_PROPERTIES[TEMPLATE_AMENDMENT_CODE])</f>
        <v>TPL_02A</v>
      </c>
    </row>
    <row r="473" spans="1:47" x14ac:dyDescent="0.35">
      <c r="A473" s="2" t="s">
        <v>3106</v>
      </c>
      <c r="B473">
        <v>2006</v>
      </c>
      <c r="D473" cm="1">
        <f t="array" ref="D4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3" s="40" t="str">
        <f>_xlfn.XLOOKUP(PROPERTIES[[#This Row],[VEHIDCODE]],CONTROL[VEHIDCODE],CONTROL[ENGLISH])</f>
        <v>MVM RA2</v>
      </c>
      <c r="F473" t="s">
        <v>716</v>
      </c>
      <c r="G473" s="40" t="str">
        <f>_xlfn.XLOOKUP(PROPERTIES[[#This Row],[COUNTRY]],COUNTRIES[COUNTRY_DESCRIPTION],COUNTRIES[COUNTRY_LABEL],"")</f>
        <v>RU</v>
      </c>
      <c r="H473" t="str" cm="1">
        <f t="array" ref="H4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3" t="s">
        <v>15</v>
      </c>
      <c r="J473">
        <v>68</v>
      </c>
      <c r="K473">
        <v>8</v>
      </c>
      <c r="M473" t="str" cm="1">
        <f t="array" ref="M4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3">
        <f>_xlfn.XLOOKUP("LOADINGSPEEDDEF_"&amp;PROPERTIES[[#This Row],[LOADINGSPEED]],LOADINGSPEEDDEF[TYPE],LOADINGSPEEDDEF[SPEED])</f>
        <v>60</v>
      </c>
      <c r="O473" t="str" cm="1">
        <f t="array" ref="O4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3">
        <f>IF(ISNUMBER(SEARCH("passenger",PROPERTIES[[#This Row],[CARGODEF]])),1,0)</f>
        <v>1</v>
      </c>
      <c r="Q473" s="23">
        <v>44</v>
      </c>
      <c r="R473">
        <v>840</v>
      </c>
      <c r="S473">
        <v>0</v>
      </c>
      <c r="T473">
        <v>0</v>
      </c>
      <c r="U473">
        <v>0</v>
      </c>
      <c r="V473">
        <v>100</v>
      </c>
      <c r="W473">
        <v>0</v>
      </c>
      <c r="X473">
        <v>0</v>
      </c>
      <c r="Y473">
        <v>0</v>
      </c>
      <c r="Z473" s="20">
        <f>105/2</f>
        <v>52.5</v>
      </c>
      <c r="AA473" s="19">
        <f>IFERROR(PROPERTIES[[#This Row],[TE_STARTING_KN]]/(PROPERTIES[[#This Row],[WEIGHT]]*9.81),0)</f>
        <v>0.12162913539060327</v>
      </c>
      <c r="AB473" s="19">
        <v>0</v>
      </c>
      <c r="AC473" s="16">
        <f>ROUND(IF(IFERROR(PROPERTIES[[#This Row],[TE_COEFFICIENT_CALC]],0)=0,PROPERTIES[[#This Row],[TE_COEFFICIENT_MANUAL]],PROPERTIES[[#This Row],[TE_COEFFICIENT_CALC]]),3)</f>
        <v>0.122</v>
      </c>
      <c r="AD473" s="8" cm="1">
        <f t="array" ref="AD4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3" s="26">
        <v>86</v>
      </c>
      <c r="AF473" s="6">
        <v>8</v>
      </c>
      <c r="AG473" t="s">
        <v>1948</v>
      </c>
      <c r="AH473" t="s">
        <v>229</v>
      </c>
      <c r="AI473" t="s">
        <v>229</v>
      </c>
      <c r="AJ473" s="2" t="s">
        <v>229</v>
      </c>
      <c r="AK473" s="2" t="s">
        <v>244</v>
      </c>
      <c r="AL47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3" s="2" t="str">
        <f>SUBSTITUTE(SUBSTITUTE(PROPERTIES[[#This Row],[PURCHASECOST_VALUE]], "PURCHASECOST_", ""), "_VALUE", "")</f>
        <v>DMU</v>
      </c>
      <c r="AO473" s="44" t="b">
        <v>0</v>
      </c>
      <c r="AP473" s="48" t="b">
        <v>0</v>
      </c>
      <c r="AQ473" s="48" t="b">
        <v>0</v>
      </c>
      <c r="AR473" s="48">
        <v>0</v>
      </c>
      <c r="AS473" s="48" t="b">
        <v>0</v>
      </c>
      <c r="AT473" s="7" t="b">
        <v>0</v>
      </c>
      <c r="AU473" s="40" t="str" cm="1">
        <f t="array" ref="AU473">_xlfn.XLOOKUP(PROPERTIES[[#This Row],[VEHIDCODE]],GRAPHICS_PROPERTIES[VEHIDCODE],GRAPHICS_PROPERTIES[TEMPLATE_ID]&amp;GRAPHICS_PROPERTIES[TEMPLATE_AMENDMENT_CODE])</f>
        <v>TPL_02A</v>
      </c>
    </row>
    <row r="474" spans="1:47" x14ac:dyDescent="0.35">
      <c r="A474" s="2" t="s">
        <v>3107</v>
      </c>
      <c r="B474">
        <v>2007</v>
      </c>
      <c r="D474" cm="1">
        <f t="array" ref="D4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4" s="40" t="str">
        <f>_xlfn.XLOOKUP(PROPERTIES[[#This Row],[VEHIDCODE]],CONTROL[VEHIDCODE],CONTROL[ENGLISH])</f>
        <v>AnsaldoBreda IC4</v>
      </c>
      <c r="F474" t="s">
        <v>586</v>
      </c>
      <c r="G474" s="40" t="str">
        <f>_xlfn.XLOOKUP(PROPERTIES[[#This Row],[COUNTRY]],COUNTRIES[COUNTRY_DESCRIPTION],COUNTRIES[COUNTRY_LABEL],"")</f>
        <v>DK</v>
      </c>
      <c r="H474" t="str" cm="1">
        <f t="array" ref="H4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4" t="s">
        <v>15</v>
      </c>
      <c r="J474">
        <v>52</v>
      </c>
      <c r="K474">
        <v>8</v>
      </c>
      <c r="M474" t="str" cm="1">
        <f t="array" ref="M4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474">
        <f>_xlfn.XLOOKUP("LOADINGSPEEDDEF_"&amp;PROPERTIES[[#This Row],[LOADINGSPEED]],LOADINGSPEEDDEF[TYPE],LOADINGSPEEDDEF[SPEED])</f>
        <v>20</v>
      </c>
      <c r="O474" t="str" cm="1">
        <f t="array" ref="O4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4">
        <f>IF(ISNUMBER(SEARCH("passenger",PROPERTIES[[#This Row],[CARGODEF]])),1,0)</f>
        <v>1</v>
      </c>
      <c r="Q474" s="23">
        <v>36</v>
      </c>
      <c r="R474">
        <v>750</v>
      </c>
      <c r="S474">
        <v>0</v>
      </c>
      <c r="T474">
        <v>0</v>
      </c>
      <c r="U474">
        <v>0</v>
      </c>
      <c r="V474">
        <v>180</v>
      </c>
      <c r="W474">
        <v>0</v>
      </c>
      <c r="X474">
        <v>0</v>
      </c>
      <c r="Y474">
        <v>0</v>
      </c>
      <c r="Z474" s="20">
        <f>100/2</f>
        <v>50</v>
      </c>
      <c r="AA474" s="19">
        <f>IFERROR(PROPERTIES[[#This Row],[TE_STARTING_KN]]/(PROPERTIES[[#This Row],[WEIGHT]]*9.81),0)</f>
        <v>0.14157888775625777</v>
      </c>
      <c r="AB474" s="19">
        <v>0</v>
      </c>
      <c r="AC474" s="16">
        <f>ROUND(IF(IFERROR(PROPERTIES[[#This Row],[TE_COEFFICIENT_CALC]],0)=0,PROPERTIES[[#This Row],[TE_COEFFICIENT_MANUAL]],PROPERTIES[[#This Row],[TE_COEFFICIENT_CALC]]),3)</f>
        <v>0.14199999999999999</v>
      </c>
      <c r="AD474" s="8" cm="1">
        <f t="array" ref="AD4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4" s="26">
        <v>52</v>
      </c>
      <c r="AF474" s="6">
        <v>8</v>
      </c>
      <c r="AG474" t="s">
        <v>234</v>
      </c>
      <c r="AH474" t="s">
        <v>233</v>
      </c>
      <c r="AI474" t="s">
        <v>229</v>
      </c>
      <c r="AJ474" s="2" t="s">
        <v>229</v>
      </c>
      <c r="AK474" s="2" t="s">
        <v>244</v>
      </c>
      <c r="AL47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4" s="2" t="str">
        <f>SUBSTITUTE(SUBSTITUTE(PROPERTIES[[#This Row],[PURCHASECOST_VALUE]], "PURCHASECOST_", ""), "_VALUE", "")</f>
        <v>DMU</v>
      </c>
      <c r="AO474" s="44" t="b">
        <v>0</v>
      </c>
      <c r="AP474" s="48" t="b">
        <v>0</v>
      </c>
      <c r="AQ474" s="48" t="b">
        <v>0</v>
      </c>
      <c r="AR474" s="48">
        <v>0</v>
      </c>
      <c r="AS474" s="48" t="b">
        <v>0</v>
      </c>
      <c r="AT474" s="7" t="b">
        <v>0</v>
      </c>
      <c r="AU474" s="40" t="str" cm="1">
        <f t="array" ref="AU474">_xlfn.XLOOKUP(PROPERTIES[[#This Row],[VEHIDCODE]],GRAPHICS_PROPERTIES[VEHIDCODE],GRAPHICS_PROPERTIES[TEMPLATE_ID]&amp;GRAPHICS_PROPERTIES[TEMPLATE_AMENDMENT_CODE])</f>
        <v>TPL_02A</v>
      </c>
    </row>
    <row r="475" spans="1:47" x14ac:dyDescent="0.35">
      <c r="A475" s="2" t="s">
        <v>3108</v>
      </c>
      <c r="B475">
        <v>2011</v>
      </c>
      <c r="D475" cm="1">
        <f t="array" ref="D4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5" s="40" t="str">
        <f>_xlfn.XLOOKUP(PROPERTIES[[#This Row],[VEHIDCODE]],CONTROL[VEHIDCODE],CONTROL[ENGLISH])</f>
        <v>TZV Gredelj 7022</v>
      </c>
      <c r="F475" t="s">
        <v>624</v>
      </c>
      <c r="G475" s="40" t="str">
        <f>_xlfn.XLOOKUP(PROPERTIES[[#This Row],[COUNTRY]],COUNTRIES[COUNTRY_DESCRIPTION],COUNTRIES[COUNTRY_LABEL],"")</f>
        <v>HR</v>
      </c>
      <c r="H475" t="str" cm="1">
        <f t="array" ref="H4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5" t="s">
        <v>15</v>
      </c>
      <c r="J475">
        <f>INT(410/3)</f>
        <v>136</v>
      </c>
      <c r="K475">
        <v>8</v>
      </c>
      <c r="M475" t="str" cm="1">
        <f t="array" ref="M4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5">
        <f>_xlfn.XLOOKUP("LOADINGSPEEDDEF_"&amp;PROPERTIES[[#This Row],[LOADINGSPEED]],LOADINGSPEEDDEF[TYPE],LOADINGSPEEDDEF[SPEED])</f>
        <v>60</v>
      </c>
      <c r="O475" t="str" cm="1">
        <f t="array" ref="O4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5">
        <f>IF(ISNUMBER(SEARCH("passenger",PROPERTIES[[#This Row],[CARGODEF]])),1,0)</f>
        <v>1</v>
      </c>
      <c r="Q475" s="23">
        <v>45</v>
      </c>
      <c r="R475">
        <v>520</v>
      </c>
      <c r="S475">
        <v>0</v>
      </c>
      <c r="T475">
        <v>0</v>
      </c>
      <c r="U475">
        <v>0</v>
      </c>
      <c r="V475">
        <v>160</v>
      </c>
      <c r="W475">
        <v>0</v>
      </c>
      <c r="X475">
        <v>0</v>
      </c>
      <c r="Y475">
        <v>0</v>
      </c>
      <c r="Z475" s="20">
        <f>125/2</f>
        <v>62.5</v>
      </c>
      <c r="AA475" s="19">
        <f>IFERROR(PROPERTIES[[#This Row],[TE_STARTING_KN]]/(PROPERTIES[[#This Row],[WEIGHT]]*9.81),0)</f>
        <v>0.14157888775625777</v>
      </c>
      <c r="AB475" s="19">
        <v>0</v>
      </c>
      <c r="AC475" s="16">
        <f>ROUND(IF(IFERROR(PROPERTIES[[#This Row],[TE_COEFFICIENT_CALC]],0)=0,PROPERTIES[[#This Row],[TE_COEFFICIENT_MANUAL]],PROPERTIES[[#This Row],[TE_COEFFICIENT_CALC]]),3)</f>
        <v>0.14199999999999999</v>
      </c>
      <c r="AD475" s="8" cm="1">
        <f t="array" ref="AD4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5" s="26">
        <v>66</v>
      </c>
      <c r="AF475" s="6">
        <v>8</v>
      </c>
      <c r="AG475" t="s">
        <v>236</v>
      </c>
      <c r="AH475" t="s">
        <v>229</v>
      </c>
      <c r="AI475" t="s">
        <v>229</v>
      </c>
      <c r="AJ475" s="2" t="s">
        <v>229</v>
      </c>
      <c r="AK475" s="2" t="s">
        <v>244</v>
      </c>
      <c r="AL47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5" s="2" t="str">
        <f>SUBSTITUTE(SUBSTITUTE(PROPERTIES[[#This Row],[PURCHASECOST_VALUE]], "PURCHASECOST_", ""), "_VALUE", "")</f>
        <v>DMU</v>
      </c>
      <c r="AO475" s="44" t="b">
        <v>0</v>
      </c>
      <c r="AP475" s="48" t="b">
        <v>0</v>
      </c>
      <c r="AQ475" s="48" t="b">
        <v>0</v>
      </c>
      <c r="AR475" s="48">
        <v>0</v>
      </c>
      <c r="AS475" s="48" t="b">
        <v>0</v>
      </c>
      <c r="AT475" s="7" t="b">
        <v>0</v>
      </c>
      <c r="AU475" s="40" t="str" cm="1">
        <f t="array" ref="AU475">_xlfn.XLOOKUP(PROPERTIES[[#This Row],[VEHIDCODE]],GRAPHICS_PROPERTIES[VEHIDCODE],GRAPHICS_PROPERTIES[TEMPLATE_ID]&amp;GRAPHICS_PROPERTIES[TEMPLATE_AMENDMENT_CODE])</f>
        <v>TPL_02A</v>
      </c>
    </row>
    <row r="476" spans="1:47" x14ac:dyDescent="0.35">
      <c r="A476" s="2" t="s">
        <v>3109</v>
      </c>
      <c r="B476">
        <v>1961</v>
      </c>
      <c r="C476">
        <v>2018</v>
      </c>
      <c r="D476" cm="1">
        <f t="array" ref="D4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6" s="40" t="str">
        <f>_xlfn.XLOOKUP(PROPERTIES[[#This Row],[VEHIDCODE]],CONTROL[VEHIDCODE],CONTROL[ENGLISH])</f>
        <v>Fiat TCDD MT 5500</v>
      </c>
      <c r="F476" t="s">
        <v>1027</v>
      </c>
      <c r="G476" s="40" t="str">
        <f>_xlfn.XLOOKUP(PROPERTIES[[#This Row],[COUNTRY]],COUNTRIES[COUNTRY_DESCRIPTION],COUNTRIES[COUNTRY_LABEL],"")</f>
        <v>TR</v>
      </c>
      <c r="H476" t="str" cm="1">
        <f t="array" ref="H4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6" t="s">
        <v>15</v>
      </c>
      <c r="J476">
        <f>INT(199/3)</f>
        <v>66</v>
      </c>
      <c r="K476">
        <v>8</v>
      </c>
      <c r="M476" t="str" cm="1">
        <f t="array" ref="M4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6">
        <f>_xlfn.XLOOKUP("LOADINGSPEEDDEF_"&amp;PROPERTIES[[#This Row],[LOADINGSPEED]],LOADINGSPEEDDEF[TYPE],LOADINGSPEEDDEF[SPEED])</f>
        <v>60</v>
      </c>
      <c r="O476" cm="1">
        <f t="array" ref="O4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76">
        <f>IF(ISNUMBER(SEARCH("passenger",PROPERTIES[[#This Row],[CARGODEF]])),1,0)</f>
        <v>1</v>
      </c>
      <c r="Q476" s="23">
        <v>35</v>
      </c>
      <c r="R476">
        <v>800</v>
      </c>
      <c r="S476">
        <v>0</v>
      </c>
      <c r="T476">
        <v>0</v>
      </c>
      <c r="U476">
        <v>0</v>
      </c>
      <c r="V476">
        <v>90</v>
      </c>
      <c r="W476">
        <v>0</v>
      </c>
      <c r="X476">
        <v>0</v>
      </c>
      <c r="Y476">
        <v>0</v>
      </c>
      <c r="Z476" s="20">
        <f>115/2</f>
        <v>57.5</v>
      </c>
      <c r="AA476" s="19">
        <f>IFERROR(PROPERTIES[[#This Row],[TE_STARTING_KN]]/(PROPERTIES[[#This Row],[WEIGHT]]*9.81),0)</f>
        <v>0.1674675986602592</v>
      </c>
      <c r="AB476" s="19">
        <v>0</v>
      </c>
      <c r="AC476" s="16">
        <f>ROUND(IF(IFERROR(PROPERTIES[[#This Row],[TE_COEFFICIENT_CALC]],0)=0,PROPERTIES[[#This Row],[TE_COEFFICIENT_MANUAL]],PROPERTIES[[#This Row],[TE_COEFFICIENT_CALC]]),3)</f>
        <v>0.16700000000000001</v>
      </c>
      <c r="AD476" s="8" cm="1">
        <f t="array" ref="AD4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57</v>
      </c>
      <c r="AE476" s="26">
        <v>66</v>
      </c>
      <c r="AF476" s="6">
        <v>8</v>
      </c>
      <c r="AG476" t="s">
        <v>1948</v>
      </c>
      <c r="AH476" t="s">
        <v>229</v>
      </c>
      <c r="AI476" t="s">
        <v>229</v>
      </c>
      <c r="AJ476" s="2" t="s">
        <v>229</v>
      </c>
      <c r="AK476" s="2" t="s">
        <v>244</v>
      </c>
      <c r="AL47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6" s="2" t="str">
        <f>SUBSTITUTE(SUBSTITUTE(PROPERTIES[[#This Row],[PURCHASECOST_VALUE]], "PURCHASECOST_", ""), "_VALUE", "")</f>
        <v>DMU</v>
      </c>
      <c r="AO476" s="44" t="b">
        <v>0</v>
      </c>
      <c r="AP476" s="48" t="b">
        <v>0</v>
      </c>
      <c r="AQ476" s="48" t="b">
        <v>0</v>
      </c>
      <c r="AR476" s="48">
        <v>0</v>
      </c>
      <c r="AS476" s="48" t="b">
        <v>0</v>
      </c>
      <c r="AT476" s="7" t="b">
        <v>0</v>
      </c>
      <c r="AU476" s="40" t="str" cm="1">
        <f t="array" ref="AU476">_xlfn.XLOOKUP(PROPERTIES[[#This Row],[VEHIDCODE]],GRAPHICS_PROPERTIES[VEHIDCODE],GRAPHICS_PROPERTIES[TEMPLATE_ID]&amp;GRAPHICS_PROPERTIES[TEMPLATE_AMENDMENT_CODE])</f>
        <v>TPL_02A</v>
      </c>
    </row>
    <row r="477" spans="1:47" x14ac:dyDescent="0.35">
      <c r="A477" s="2" t="s">
        <v>3110</v>
      </c>
      <c r="B477">
        <v>1968</v>
      </c>
      <c r="C477">
        <v>2011</v>
      </c>
      <c r="D477" cm="1">
        <f t="array" ref="D4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7" s="40" t="str">
        <f>_xlfn.XLOOKUP(PROPERTIES[[#This Row],[VEHIDCODE]],CONTROL[VEHIDCODE],CONTROL[ENGLISH])</f>
        <v>Fuji KiHa 181</v>
      </c>
      <c r="F477" t="s">
        <v>640</v>
      </c>
      <c r="G477" s="40" t="str">
        <f>_xlfn.XLOOKUP(PROPERTIES[[#This Row],[COUNTRY]],COUNTRIES[COUNTRY_DESCRIPTION],COUNTRIES[COUNTRY_LABEL],"")</f>
        <v>JP</v>
      </c>
      <c r="H477" t="str" cm="1">
        <f t="array" ref="H4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7" t="s">
        <v>15</v>
      </c>
      <c r="J477">
        <v>52</v>
      </c>
      <c r="K477">
        <v>8</v>
      </c>
      <c r="M477" t="str" cm="1">
        <f t="array" ref="M4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7">
        <f>_xlfn.XLOOKUP("LOADINGSPEEDDEF_"&amp;PROPERTIES[[#This Row],[LOADINGSPEED]],LOADINGSPEEDDEF[TYPE],LOADINGSPEEDDEF[SPEED])</f>
        <v>60</v>
      </c>
      <c r="O477" cm="1">
        <f t="array" ref="O4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77">
        <f>IF(ISNUMBER(SEARCH("passenger",PROPERTIES[[#This Row],[CARGODEF]])),1,0)</f>
        <v>1</v>
      </c>
      <c r="Q477" s="23">
        <v>44</v>
      </c>
      <c r="R477">
        <v>500</v>
      </c>
      <c r="S477">
        <v>0</v>
      </c>
      <c r="T477">
        <v>0</v>
      </c>
      <c r="U477">
        <v>0</v>
      </c>
      <c r="V477">
        <v>120</v>
      </c>
      <c r="W477">
        <v>0</v>
      </c>
      <c r="X477">
        <v>0</v>
      </c>
      <c r="Y477">
        <v>0</v>
      </c>
      <c r="Z477" s="20">
        <f>108/2</f>
        <v>54</v>
      </c>
      <c r="AA477" s="19">
        <f>IFERROR(PROPERTIES[[#This Row],[TE_STARTING_KN]]/(PROPERTIES[[#This Row],[WEIGHT]]*9.81),0)</f>
        <v>0.12510425354462051</v>
      </c>
      <c r="AB477" s="19">
        <v>0</v>
      </c>
      <c r="AC477" s="16">
        <f>ROUND(IF(IFERROR(PROPERTIES[[#This Row],[TE_COEFFICIENT_CALC]],0)=0,PROPERTIES[[#This Row],[TE_COEFFICIENT_MANUAL]],PROPERTIES[[#This Row],[TE_COEFFICIENT_CALC]]),3)</f>
        <v>0.125</v>
      </c>
      <c r="AD477" s="8" cm="1">
        <f t="array" ref="AD4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477" s="26">
        <v>76</v>
      </c>
      <c r="AF477" s="6">
        <v>8</v>
      </c>
      <c r="AG477" t="s">
        <v>238</v>
      </c>
      <c r="AH477" t="s">
        <v>229</v>
      </c>
      <c r="AI477" t="s">
        <v>229</v>
      </c>
      <c r="AJ477" s="2" t="s">
        <v>229</v>
      </c>
      <c r="AK477" s="2" t="s">
        <v>244</v>
      </c>
      <c r="AL47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7" s="2" t="str">
        <f>SUBSTITUTE(SUBSTITUTE(PROPERTIES[[#This Row],[PURCHASECOST_VALUE]], "PURCHASECOST_", ""), "_VALUE", "")</f>
        <v>DMU</v>
      </c>
      <c r="AO477" s="44" t="b">
        <v>0</v>
      </c>
      <c r="AP477" s="48" t="b">
        <v>0</v>
      </c>
      <c r="AQ477" s="48" t="b">
        <v>0</v>
      </c>
      <c r="AR477" s="48">
        <v>0</v>
      </c>
      <c r="AS477" s="48" t="b">
        <v>0</v>
      </c>
      <c r="AT477" s="7" t="b">
        <v>0</v>
      </c>
      <c r="AU477" s="40" t="str" cm="1">
        <f t="array" ref="AU477">_xlfn.XLOOKUP(PROPERTIES[[#This Row],[VEHIDCODE]],GRAPHICS_PROPERTIES[VEHIDCODE],GRAPHICS_PROPERTIES[TEMPLATE_ID]&amp;GRAPHICS_PROPERTIES[TEMPLATE_AMENDMENT_CODE])</f>
        <v>TPL_02A</v>
      </c>
    </row>
    <row r="478" spans="1:47" x14ac:dyDescent="0.35">
      <c r="A478" s="2" t="s">
        <v>3111</v>
      </c>
      <c r="B478">
        <v>2005</v>
      </c>
      <c r="D478" cm="1">
        <f t="array" ref="D4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8" s="40" t="str">
        <f>_xlfn.XLOOKUP(PROPERTIES[[#This Row],[VEHIDCODE]],CONTROL[VEHIDCODE],CONTROL[ENGLISH])</f>
        <v>Vagonka Studenka 814</v>
      </c>
      <c r="F478" t="s">
        <v>583</v>
      </c>
      <c r="G478" s="40" t="str">
        <f>_xlfn.XLOOKUP(PROPERTIES[[#This Row],[COUNTRY]],COUNTRIES[COUNTRY_DESCRIPTION],COUNTRIES[COUNTRY_LABEL],"")</f>
        <v>CZ</v>
      </c>
      <c r="H478" t="str" cm="1">
        <f t="array" ref="H4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8" t="s">
        <v>15</v>
      </c>
      <c r="J478" s="6">
        <f>INT((135+151)/3)</f>
        <v>95</v>
      </c>
      <c r="K478">
        <v>6</v>
      </c>
      <c r="L478">
        <v>0</v>
      </c>
      <c r="M478" t="str" cm="1">
        <f t="array" ref="M4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8">
        <f>_xlfn.XLOOKUP("LOADINGSPEEDDEF_"&amp;PROPERTIES[[#This Row],[LOADINGSPEED]],LOADINGSPEEDDEF[TYPE],LOADINGSPEEDDEF[SPEED])</f>
        <v>60</v>
      </c>
      <c r="O478" t="str" cm="1">
        <f t="array" ref="O4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8">
        <f>IF(ISNUMBER(SEARCH("passenger",PROPERTIES[[#This Row],[CARGODEF]])),1,0)</f>
        <v>1</v>
      </c>
      <c r="Q478" s="23">
        <v>22</v>
      </c>
      <c r="R478">
        <v>325</v>
      </c>
      <c r="S478">
        <v>0</v>
      </c>
      <c r="T478">
        <v>0</v>
      </c>
      <c r="U478">
        <v>0</v>
      </c>
      <c r="V478">
        <v>80</v>
      </c>
      <c r="W478">
        <v>0</v>
      </c>
      <c r="X478">
        <v>0</v>
      </c>
      <c r="Y478">
        <v>0</v>
      </c>
      <c r="Z478" s="20">
        <f>54/2</f>
        <v>27</v>
      </c>
      <c r="AA478" s="19">
        <f>IFERROR(PROPERTIES[[#This Row],[TE_STARTING_KN]]/(PROPERTIES[[#This Row],[WEIGHT]]*9.81),0)</f>
        <v>0.12510425354462051</v>
      </c>
      <c r="AB478" s="19">
        <v>0</v>
      </c>
      <c r="AC478" s="16">
        <f>ROUND(IF(IFERROR(PROPERTIES[[#This Row],[TE_COEFFICIENT_CALC]],0)=0,PROPERTIES[[#This Row],[TE_COEFFICIENT_MANUAL]],PROPERTIES[[#This Row],[TE_COEFFICIENT_CALC]]),3)</f>
        <v>0.125</v>
      </c>
      <c r="AD478" s="8" cm="1">
        <f t="array" ref="AD4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8" s="26">
        <f>INT((135+151)/3)</f>
        <v>95</v>
      </c>
      <c r="AF478" s="6">
        <v>6</v>
      </c>
      <c r="AG478" t="s">
        <v>236</v>
      </c>
      <c r="AH478" t="s">
        <v>229</v>
      </c>
      <c r="AI478" t="s">
        <v>229</v>
      </c>
      <c r="AJ478" s="2" t="s">
        <v>229</v>
      </c>
      <c r="AK478" s="2" t="s">
        <v>244</v>
      </c>
      <c r="AL478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8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8" s="2" t="str">
        <f>SUBSTITUTE(SUBSTITUTE(PROPERTIES[[#This Row],[PURCHASECOST_VALUE]], "PURCHASECOST_", ""), "_VALUE", "")</f>
        <v>DMU</v>
      </c>
      <c r="AO478" s="44" t="b">
        <v>0</v>
      </c>
      <c r="AP478" s="48" t="b">
        <v>0</v>
      </c>
      <c r="AQ478" s="48" t="b">
        <v>0</v>
      </c>
      <c r="AR478" s="48">
        <v>0</v>
      </c>
      <c r="AS478" s="48" t="b">
        <v>0</v>
      </c>
      <c r="AT478" s="7" t="b">
        <v>0</v>
      </c>
      <c r="AU478" s="40" t="str" cm="1">
        <f t="array" ref="AU478">_xlfn.XLOOKUP(PROPERTIES[[#This Row],[VEHIDCODE]],GRAPHICS_PROPERTIES[VEHIDCODE],GRAPHICS_PROPERTIES[TEMPLATE_ID]&amp;GRAPHICS_PROPERTIES[TEMPLATE_AMENDMENT_CODE])</f>
        <v>TPL_02A</v>
      </c>
    </row>
    <row r="479" spans="1:47" x14ac:dyDescent="0.35">
      <c r="A479" s="2" t="s">
        <v>3112</v>
      </c>
      <c r="B479">
        <v>1984</v>
      </c>
      <c r="C479">
        <v>2005</v>
      </c>
      <c r="D479" cm="1">
        <f t="array" ref="D4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9" s="40" t="str">
        <f>_xlfn.XLOOKUP(PROPERTIES[[#This Row],[VEHIDCODE]],CONTROL[VEHIDCODE],CONTROL[ENGLISH])</f>
        <v>BR 150/0 'Sprinter'</v>
      </c>
      <c r="F479" t="s">
        <v>603</v>
      </c>
      <c r="G479" s="40" t="str">
        <f>_xlfn.XLOOKUP(PROPERTIES[[#This Row],[COUNTRY]],COUNTRIES[COUNTRY_DESCRIPTION],COUNTRIES[COUNTRY_LABEL],"")</f>
        <v>GB</v>
      </c>
      <c r="H479" t="str" cm="1">
        <f t="array" ref="H4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9" t="s">
        <v>15</v>
      </c>
      <c r="J479">
        <v>80</v>
      </c>
      <c r="K479">
        <v>7</v>
      </c>
      <c r="L479">
        <v>0</v>
      </c>
      <c r="M479" t="str" cm="1">
        <f t="array" ref="M4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9">
        <f>_xlfn.XLOOKUP("LOADINGSPEEDDEF_"&amp;PROPERTIES[[#This Row],[LOADINGSPEED]],LOADINGSPEEDDEF[TYPE],LOADINGSPEEDDEF[SPEED])</f>
        <v>60</v>
      </c>
      <c r="O479" cm="1">
        <f t="array" ref="O4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79">
        <f>IF(ISNUMBER(SEARCH("passenger",PROPERTIES[[#This Row],[CARGODEF]])),1,0)</f>
        <v>1</v>
      </c>
      <c r="Q479" s="23">
        <v>36</v>
      </c>
      <c r="R479">
        <v>389</v>
      </c>
      <c r="S479">
        <v>0</v>
      </c>
      <c r="T479">
        <v>0</v>
      </c>
      <c r="U479">
        <v>0</v>
      </c>
      <c r="V479">
        <v>121</v>
      </c>
      <c r="W479">
        <v>0</v>
      </c>
      <c r="X479">
        <v>0</v>
      </c>
      <c r="Y479">
        <v>0</v>
      </c>
      <c r="Z479" s="20">
        <f>65/2</f>
        <v>32.5</v>
      </c>
      <c r="AA479" s="19">
        <f>IFERROR(PROPERTIES[[#This Row],[TE_STARTING_KN]]/(PROPERTIES[[#This Row],[WEIGHT]]*9.81),0)</f>
        <v>9.2026277041567559E-2</v>
      </c>
      <c r="AB479" s="19">
        <v>0</v>
      </c>
      <c r="AC479" s="16">
        <f>ROUND(IF(IFERROR(PROPERTIES[[#This Row],[TE_COEFFICIENT_CALC]],0)=0,PROPERTIES[[#This Row],[TE_COEFFICIENT_MANUAL]],PROPERTIES[[#This Row],[TE_COEFFICIENT_CALC]]),3)</f>
        <v>9.1999999999999998E-2</v>
      </c>
      <c r="AD479" s="8" cm="1">
        <f t="array" ref="AD4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79" s="26">
        <v>80</v>
      </c>
      <c r="AF479" s="6">
        <v>7</v>
      </c>
      <c r="AG479" t="s">
        <v>234</v>
      </c>
      <c r="AH479" t="s">
        <v>229</v>
      </c>
      <c r="AI479" t="s">
        <v>229</v>
      </c>
      <c r="AJ479" s="2" t="s">
        <v>229</v>
      </c>
      <c r="AK479" s="2" t="s">
        <v>244</v>
      </c>
      <c r="AL479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9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9" s="2" t="str">
        <f>SUBSTITUTE(SUBSTITUTE(PROPERTIES[[#This Row],[PURCHASECOST_VALUE]], "PURCHASECOST_", ""), "_VALUE", "")</f>
        <v>DMU</v>
      </c>
      <c r="AO479" s="44" t="b">
        <v>0</v>
      </c>
      <c r="AP479" s="48" t="b">
        <v>0</v>
      </c>
      <c r="AQ479" s="48" t="b">
        <v>0</v>
      </c>
      <c r="AR479" s="48">
        <v>0</v>
      </c>
      <c r="AS479" s="48" t="b">
        <v>0</v>
      </c>
      <c r="AT479" s="7" t="b">
        <v>0</v>
      </c>
      <c r="AU479" s="40" t="str" cm="1">
        <f t="array" ref="AU479">_xlfn.XLOOKUP(PROPERTIES[[#This Row],[VEHIDCODE]],GRAPHICS_PROPERTIES[VEHIDCODE],GRAPHICS_PROPERTIES[TEMPLATE_ID]&amp;GRAPHICS_PROPERTIES[TEMPLATE_AMENDMENT_CODE])</f>
        <v>TPL_02A</v>
      </c>
    </row>
    <row r="480" spans="1:47" x14ac:dyDescent="0.35">
      <c r="A480" s="2" t="s">
        <v>3113</v>
      </c>
      <c r="B480">
        <v>1984</v>
      </c>
      <c r="D480" cm="1">
        <f t="array" ref="D4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0" s="40" t="str">
        <f>_xlfn.XLOOKUP(PROPERTIES[[#This Row],[VEHIDCODE]],CONTROL[VEHIDCODE],CONTROL[ENGLISH])</f>
        <v>BREL 141 'Pacer'</v>
      </c>
      <c r="F480" t="s">
        <v>634</v>
      </c>
      <c r="G480" s="40" t="str">
        <f>_xlfn.XLOOKUP(PROPERTIES[[#This Row],[COUNTRY]],COUNTRIES[COUNTRY_DESCRIPTION],COUNTRIES[COUNTRY_LABEL],"")</f>
        <v>IR</v>
      </c>
      <c r="H480" t="str" cm="1">
        <f t="array" ref="H4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0" t="s">
        <v>15</v>
      </c>
      <c r="J480">
        <v>47</v>
      </c>
      <c r="K480">
        <v>6</v>
      </c>
      <c r="L480">
        <v>0</v>
      </c>
      <c r="M480" t="str" cm="1">
        <f t="array" ref="M4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0">
        <f>_xlfn.XLOOKUP("LOADINGSPEEDDEF_"&amp;PROPERTIES[[#This Row],[LOADINGSPEED]],LOADINGSPEEDDEF[TYPE],LOADINGSPEEDDEF[SPEED])</f>
        <v>60</v>
      </c>
      <c r="O480" cm="1">
        <f t="array" ref="O4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80">
        <f>IF(ISNUMBER(SEARCH("passenger",PROPERTIES[[#This Row],[CARGODEF]])),1,0)</f>
        <v>1</v>
      </c>
      <c r="Q480" s="23">
        <v>26</v>
      </c>
      <c r="R480">
        <v>200</v>
      </c>
      <c r="S480">
        <v>0</v>
      </c>
      <c r="T480">
        <v>0</v>
      </c>
      <c r="U480">
        <v>0</v>
      </c>
      <c r="V480">
        <v>121</v>
      </c>
      <c r="W480">
        <v>0</v>
      </c>
      <c r="X480">
        <v>0</v>
      </c>
      <c r="Y480">
        <v>0</v>
      </c>
      <c r="Z480" s="20">
        <f>42/2</f>
        <v>21</v>
      </c>
      <c r="AA480" s="19">
        <f>IFERROR(PROPERTIES[[#This Row],[TE_STARTING_KN]]/(PROPERTIES[[#This Row],[WEIGHT]]*9.81),0)</f>
        <v>8.2333568572100682E-2</v>
      </c>
      <c r="AB480" s="19">
        <v>0</v>
      </c>
      <c r="AC480" s="16">
        <f>ROUND(IF(IFERROR(PROPERTIES[[#This Row],[TE_COEFFICIENT_CALC]],0)=0,PROPERTIES[[#This Row],[TE_COEFFICIENT_MANUAL]],PROPERTIES[[#This Row],[TE_COEFFICIENT_CALC]]),3)</f>
        <v>8.2000000000000003E-2</v>
      </c>
      <c r="AD480" s="8" cm="1">
        <f t="array" ref="AD4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0" s="26">
        <v>47</v>
      </c>
      <c r="AF480" s="6">
        <v>6</v>
      </c>
      <c r="AG480" t="s">
        <v>238</v>
      </c>
      <c r="AH480" t="s">
        <v>229</v>
      </c>
      <c r="AI480" t="s">
        <v>229</v>
      </c>
      <c r="AJ480" s="2" t="s">
        <v>229</v>
      </c>
      <c r="AK480" s="2" t="s">
        <v>244</v>
      </c>
      <c r="AL48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0" s="2" t="str">
        <f>SUBSTITUTE(SUBSTITUTE(PROPERTIES[[#This Row],[PURCHASECOST_VALUE]], "PURCHASECOST_", ""), "_VALUE", "")</f>
        <v>DMU</v>
      </c>
      <c r="AO480" s="44" t="b">
        <v>0</v>
      </c>
      <c r="AP480" s="48" t="b">
        <v>0</v>
      </c>
      <c r="AQ480" s="48" t="b">
        <v>0</v>
      </c>
      <c r="AR480" s="48">
        <v>0</v>
      </c>
      <c r="AS480" s="48" t="b">
        <v>0</v>
      </c>
      <c r="AT480" s="7" t="b">
        <v>0</v>
      </c>
      <c r="AU480" s="40" t="str" cm="1">
        <f t="array" ref="AU480">_xlfn.XLOOKUP(PROPERTIES[[#This Row],[VEHIDCODE]],GRAPHICS_PROPERTIES[VEHIDCODE],GRAPHICS_PROPERTIES[TEMPLATE_ID]&amp;GRAPHICS_PROPERTIES[TEMPLATE_AMENDMENT_CODE])</f>
        <v>TPL_02A</v>
      </c>
    </row>
    <row r="481" spans="1:47" x14ac:dyDescent="0.35">
      <c r="A481" s="2" t="s">
        <v>3114</v>
      </c>
      <c r="B481">
        <v>1986</v>
      </c>
      <c r="D481" cm="1">
        <f t="array" ref="D4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1" s="40" t="str">
        <f>_xlfn.XLOOKUP(PROPERTIES[[#This Row],[VEHIDCODE]],CONTROL[VEHIDCODE],CONTROL[ENGLISH])</f>
        <v>ABB IC3 [Israel]</v>
      </c>
      <c r="F481" t="s">
        <v>629</v>
      </c>
      <c r="G481" s="40" t="str">
        <f>_xlfn.XLOOKUP(PROPERTIES[[#This Row],[COUNTRY]],COUNTRIES[COUNTRY_DESCRIPTION],COUNTRIES[COUNTRY_LABEL],"")</f>
        <v>IL</v>
      </c>
      <c r="H481" t="str" cm="1">
        <f t="array" ref="H4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1" t="s">
        <v>15</v>
      </c>
      <c r="J481">
        <v>48</v>
      </c>
      <c r="K481">
        <v>8</v>
      </c>
      <c r="M481" t="str" cm="1">
        <f t="array" ref="M4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481">
        <f>_xlfn.XLOOKUP("LOADINGSPEEDDEF_"&amp;PROPERTIES[[#This Row],[LOADINGSPEED]],LOADINGSPEEDDEF[TYPE],LOADINGSPEEDDEF[SPEED])</f>
        <v>20</v>
      </c>
      <c r="O481" t="str" cm="1">
        <f t="array" ref="O4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1">
        <f>IF(ISNUMBER(SEARCH("passenger",PROPERTIES[[#This Row],[CARGODEF]])),1,0)</f>
        <v>1</v>
      </c>
      <c r="Q481" s="23">
        <f>INT(97/2)</f>
        <v>48</v>
      </c>
      <c r="R481">
        <f>1600*2</f>
        <v>3200</v>
      </c>
      <c r="S481">
        <v>0</v>
      </c>
      <c r="T481">
        <v>0</v>
      </c>
      <c r="U481">
        <v>0</v>
      </c>
      <c r="V481">
        <v>180</v>
      </c>
      <c r="W481">
        <v>0</v>
      </c>
      <c r="X481">
        <v>0</v>
      </c>
      <c r="Y481">
        <v>0</v>
      </c>
      <c r="Z481" s="20">
        <f>115/2</f>
        <v>57.5</v>
      </c>
      <c r="AA481" s="19">
        <f>IFERROR(PROPERTIES[[#This Row],[TE_STARTING_KN]]/(PROPERTIES[[#This Row],[WEIGHT]]*9.81),0)</f>
        <v>0.12211179068977235</v>
      </c>
      <c r="AB481" s="19">
        <v>0</v>
      </c>
      <c r="AC481" s="16">
        <f>ROUND(IF(IFERROR(PROPERTIES[[#This Row],[TE_COEFFICIENT_CALC]],0)=0,PROPERTIES[[#This Row],[TE_COEFFICIENT_MANUAL]],PROPERTIES[[#This Row],[TE_COEFFICIENT_CALC]]),3)</f>
        <v>0.122</v>
      </c>
      <c r="AD481" s="8" cm="1">
        <f t="array" ref="AD4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1" s="26">
        <v>48</v>
      </c>
      <c r="AF481" s="6">
        <v>8</v>
      </c>
      <c r="AG481" t="s">
        <v>233</v>
      </c>
      <c r="AH481" t="s">
        <v>239</v>
      </c>
      <c r="AI481" t="s">
        <v>229</v>
      </c>
      <c r="AJ481" s="2" t="s">
        <v>229</v>
      </c>
      <c r="AK481" s="2" t="s">
        <v>244</v>
      </c>
      <c r="AL48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1" s="2" t="str">
        <f>SUBSTITUTE(SUBSTITUTE(PROPERTIES[[#This Row],[PURCHASECOST_VALUE]], "PURCHASECOST_", ""), "_VALUE", "")</f>
        <v>DMU</v>
      </c>
      <c r="AO481" s="44" t="b">
        <v>0</v>
      </c>
      <c r="AP481" s="48" t="b">
        <v>0</v>
      </c>
      <c r="AQ481" s="48" t="b">
        <v>0</v>
      </c>
      <c r="AR481" s="48">
        <v>0</v>
      </c>
      <c r="AS481" s="48" t="b">
        <v>0</v>
      </c>
      <c r="AT481" s="7" t="b">
        <v>1</v>
      </c>
      <c r="AU481" s="40" t="str" cm="1">
        <f t="array" ref="AU481">_xlfn.XLOOKUP(PROPERTIES[[#This Row],[VEHIDCODE]],GRAPHICS_PROPERTIES[VEHIDCODE],GRAPHICS_PROPERTIES[TEMPLATE_ID]&amp;GRAPHICS_PROPERTIES[TEMPLATE_AMENDMENT_CODE])</f>
        <v>TPL_02A</v>
      </c>
    </row>
    <row r="482" spans="1:47" x14ac:dyDescent="0.35">
      <c r="A482" s="2" t="s">
        <v>3115</v>
      </c>
      <c r="B482">
        <v>1987</v>
      </c>
      <c r="C482">
        <v>2018</v>
      </c>
      <c r="D482" cm="1">
        <f t="array" ref="D4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2" s="40" t="str">
        <f>_xlfn.XLOOKUP(PROPERTIES[[#This Row],[VEHIDCODE]],CONTROL[VEHIDCODE],CONTROL[ENGLISH])</f>
        <v>Comeng 3100</v>
      </c>
      <c r="F482" t="s">
        <v>541</v>
      </c>
      <c r="G482" s="40" t="str">
        <f>_xlfn.XLOOKUP(PROPERTIES[[#This Row],[COUNTRY]],COUNTRIES[COUNTRY_DESCRIPTION],COUNTRIES[COUNTRY_LABEL],"")</f>
        <v>AU</v>
      </c>
      <c r="H482" t="str" cm="1">
        <f t="array" ref="H4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2" t="s">
        <v>15</v>
      </c>
      <c r="J482">
        <v>46</v>
      </c>
      <c r="K482">
        <v>7</v>
      </c>
      <c r="L482">
        <v>0</v>
      </c>
      <c r="M482" t="str" cm="1">
        <f t="array" ref="M4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2">
        <f>_xlfn.XLOOKUP("LOADINGSPEEDDEF_"&amp;PROPERTIES[[#This Row],[LOADINGSPEED]],LOADINGSPEEDDEF[TYPE],LOADINGSPEEDDEF[SPEED])</f>
        <v>60</v>
      </c>
      <c r="O482" t="str" cm="1">
        <f t="array" ref="O4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2">
        <f>IF(ISNUMBER(SEARCH("passenger",PROPERTIES[[#This Row],[CARGODEF]])),1,0)</f>
        <v>1</v>
      </c>
      <c r="Q482" s="23">
        <v>48</v>
      </c>
      <c r="R482">
        <v>2092</v>
      </c>
      <c r="S482">
        <v>0</v>
      </c>
      <c r="T482">
        <v>0</v>
      </c>
      <c r="U482">
        <v>0</v>
      </c>
      <c r="V482">
        <v>90</v>
      </c>
      <c r="W482">
        <v>0</v>
      </c>
      <c r="X482">
        <v>0</v>
      </c>
      <c r="Y482">
        <v>0</v>
      </c>
      <c r="Z482" s="20">
        <f>110/2</f>
        <v>55</v>
      </c>
      <c r="AA482" s="19">
        <f>IFERROR(PROPERTIES[[#This Row],[TE_STARTING_KN]]/(PROPERTIES[[#This Row],[WEIGHT]]*9.81),0)</f>
        <v>0.11680258239891267</v>
      </c>
      <c r="AB482" s="19">
        <v>0</v>
      </c>
      <c r="AC482" s="16">
        <f>ROUND(IF(IFERROR(PROPERTIES[[#This Row],[TE_COEFFICIENT_CALC]],0)=0,PROPERTIES[[#This Row],[TE_COEFFICIENT_MANUAL]],PROPERTIES[[#This Row],[TE_COEFFICIENT_CALC]]),3)</f>
        <v>0.11700000000000001</v>
      </c>
      <c r="AD482" s="8" cm="1">
        <f t="array" ref="AD4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2" s="26">
        <v>53</v>
      </c>
      <c r="AF482" s="6">
        <v>7</v>
      </c>
      <c r="AG482" t="s">
        <v>232</v>
      </c>
      <c r="AH482" t="s">
        <v>229</v>
      </c>
      <c r="AI482" t="s">
        <v>229</v>
      </c>
      <c r="AJ482" s="2" t="s">
        <v>229</v>
      </c>
      <c r="AK482" s="2" t="s">
        <v>244</v>
      </c>
      <c r="AL48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2" s="2" t="str">
        <f>SUBSTITUTE(SUBSTITUTE(PROPERTIES[[#This Row],[PURCHASECOST_VALUE]], "PURCHASECOST_", ""), "_VALUE", "")</f>
        <v>DMU</v>
      </c>
      <c r="AO482" s="44" t="b">
        <v>0</v>
      </c>
      <c r="AP482" s="48" t="b">
        <v>0</v>
      </c>
      <c r="AQ482" s="48" t="b">
        <v>0</v>
      </c>
      <c r="AR482" s="48">
        <v>0</v>
      </c>
      <c r="AS482" s="48" t="b">
        <v>0</v>
      </c>
      <c r="AT482" s="7" t="b">
        <v>0</v>
      </c>
      <c r="AU482" s="40" t="str" cm="1">
        <f t="array" ref="AU482">_xlfn.XLOOKUP(PROPERTIES[[#This Row],[VEHIDCODE]],GRAPHICS_PROPERTIES[VEHIDCODE],GRAPHICS_PROPERTIES[TEMPLATE_ID]&amp;GRAPHICS_PROPERTIES[TEMPLATE_AMENDMENT_CODE])</f>
        <v>TPL_02A</v>
      </c>
    </row>
    <row r="483" spans="1:47" x14ac:dyDescent="0.35">
      <c r="A483" s="2" t="s">
        <v>3116</v>
      </c>
      <c r="B483">
        <v>1993</v>
      </c>
      <c r="D483" cm="1">
        <f t="array" ref="D4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3" s="40" t="str">
        <f>_xlfn.XLOOKUP(PROPERTIES[[#This Row],[VEHIDCODE]],CONTROL[VEHIDCODE],CONTROL[ENGLISH])</f>
        <v>ABB Xplorer</v>
      </c>
      <c r="F483" t="s">
        <v>541</v>
      </c>
      <c r="G483" s="40" t="str">
        <f>_xlfn.XLOOKUP(PROPERTIES[[#This Row],[COUNTRY]],COUNTRIES[COUNTRY_DESCRIPTION],COUNTRIES[COUNTRY_LABEL],"")</f>
        <v>AU</v>
      </c>
      <c r="H483" t="str" cm="1">
        <f t="array" ref="H4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3" t="s">
        <v>15</v>
      </c>
      <c r="J483">
        <v>38</v>
      </c>
      <c r="K483">
        <v>8</v>
      </c>
      <c r="M483" t="str" cm="1">
        <f t="array" ref="M4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3">
        <f>_xlfn.XLOOKUP("LOADINGSPEEDDEF_"&amp;PROPERTIES[[#This Row],[LOADINGSPEED]],LOADINGSPEEDDEF[TYPE],LOADINGSPEEDDEF[SPEED])</f>
        <v>60</v>
      </c>
      <c r="O483" t="str" cm="1">
        <f t="array" ref="O4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3">
        <f>IF(ISNUMBER(SEARCH("passenger",PROPERTIES[[#This Row],[CARGODEF]])),1,0)</f>
        <v>1</v>
      </c>
      <c r="Q483" s="23">
        <v>57</v>
      </c>
      <c r="R483">
        <f>514*2</f>
        <v>1028</v>
      </c>
      <c r="S483">
        <v>0</v>
      </c>
      <c r="T483">
        <v>0</v>
      </c>
      <c r="U483">
        <v>0</v>
      </c>
      <c r="V483">
        <v>145</v>
      </c>
      <c r="W483">
        <v>0</v>
      </c>
      <c r="X483">
        <v>0</v>
      </c>
      <c r="Y483">
        <v>0</v>
      </c>
      <c r="Z483" s="20">
        <f>125/2</f>
        <v>62.5</v>
      </c>
      <c r="AA483" s="19">
        <f>IFERROR(PROPERTIES[[#This Row],[TE_STARTING_KN]]/(PROPERTIES[[#This Row],[WEIGHT]]*9.81),0)</f>
        <v>0.11177280612336139</v>
      </c>
      <c r="AB483" s="19">
        <v>0</v>
      </c>
      <c r="AC483" s="16">
        <f>ROUND(IF(IFERROR(PROPERTIES[[#This Row],[TE_COEFFICIENT_CALC]],0)=0,PROPERTIES[[#This Row],[TE_COEFFICIENT_MANUAL]],PROPERTIES[[#This Row],[TE_COEFFICIENT_CALC]]),3)</f>
        <v>0.112</v>
      </c>
      <c r="AD483" s="8" cm="1">
        <f t="array" ref="AD4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3" s="26">
        <v>66</v>
      </c>
      <c r="AF483" s="6">
        <v>8</v>
      </c>
      <c r="AG483" t="s">
        <v>232</v>
      </c>
      <c r="AH483" t="s">
        <v>229</v>
      </c>
      <c r="AI483" t="s">
        <v>229</v>
      </c>
      <c r="AJ483" s="2" t="s">
        <v>229</v>
      </c>
      <c r="AK483" s="2" t="s">
        <v>244</v>
      </c>
      <c r="AL48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3" s="2" t="str">
        <f>SUBSTITUTE(SUBSTITUTE(PROPERTIES[[#This Row],[PURCHASECOST_VALUE]], "PURCHASECOST_", ""), "_VALUE", "")</f>
        <v>DMU</v>
      </c>
      <c r="AO483" s="44" t="b">
        <v>0</v>
      </c>
      <c r="AP483" s="48" t="b">
        <v>0</v>
      </c>
      <c r="AQ483" s="48" t="b">
        <v>0</v>
      </c>
      <c r="AR483" s="48">
        <v>0</v>
      </c>
      <c r="AS483" s="48" t="b">
        <v>0</v>
      </c>
      <c r="AT483" s="7" t="b">
        <v>0</v>
      </c>
      <c r="AU483" s="40" t="str" cm="1">
        <f t="array" ref="AU483">_xlfn.XLOOKUP(PROPERTIES[[#This Row],[VEHIDCODE]],GRAPHICS_PROPERTIES[VEHIDCODE],GRAPHICS_PROPERTIES[TEMPLATE_ID]&amp;GRAPHICS_PROPERTIES[TEMPLATE_AMENDMENT_CODE])</f>
        <v>TPL_02A</v>
      </c>
    </row>
    <row r="484" spans="1:47" x14ac:dyDescent="0.35">
      <c r="A484" s="2" t="s">
        <v>3117</v>
      </c>
      <c r="B484">
        <v>2010</v>
      </c>
      <c r="D484" cm="1">
        <f t="array" ref="D4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4" s="40" t="str">
        <f>_xlfn.XLOOKUP(PROPERTIES[[#This Row],[VEHIDCODE]],CONTROL[VEHIDCODE],CONTROL[ENGLISH])</f>
        <v>Niigata Transys KiHa 189</v>
      </c>
      <c r="F484" t="s">
        <v>640</v>
      </c>
      <c r="G484" s="40" t="str">
        <f>_xlfn.XLOOKUP(PROPERTIES[[#This Row],[COUNTRY]],COUNTRIES[COUNTRY_DESCRIPTION],COUNTRIES[COUNTRY_LABEL],"")</f>
        <v>JP</v>
      </c>
      <c r="H484" t="str" cm="1">
        <f t="array" ref="H4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4" t="s">
        <v>15</v>
      </c>
      <c r="J484">
        <v>56</v>
      </c>
      <c r="K484">
        <v>7</v>
      </c>
      <c r="L484">
        <v>0</v>
      </c>
      <c r="M484" t="str" cm="1">
        <f t="array" ref="M4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4">
        <f>_xlfn.XLOOKUP("LOADINGSPEEDDEF_"&amp;PROPERTIES[[#This Row],[LOADINGSPEED]],LOADINGSPEEDDEF[TYPE],LOADINGSPEEDDEF[SPEED])</f>
        <v>60</v>
      </c>
      <c r="O484" t="str" cm="1">
        <f t="array" ref="O4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4">
        <f>IF(ISNUMBER(SEARCH("passenger",PROPERTIES[[#This Row],[CARGODEF]])),1,0)</f>
        <v>1</v>
      </c>
      <c r="Q484" s="23">
        <v>49</v>
      </c>
      <c r="R484">
        <v>900</v>
      </c>
      <c r="S484">
        <v>0</v>
      </c>
      <c r="T484">
        <v>0</v>
      </c>
      <c r="U484">
        <v>0</v>
      </c>
      <c r="V484">
        <v>130</v>
      </c>
      <c r="W484">
        <v>0</v>
      </c>
      <c r="X484">
        <v>0</v>
      </c>
      <c r="Y484">
        <v>0</v>
      </c>
      <c r="Z484" s="20">
        <f>110/2</f>
        <v>55</v>
      </c>
      <c r="AA484" s="19">
        <f>IFERROR(PROPERTIES[[#This Row],[TE_STARTING_KN]]/(PROPERTIES[[#This Row],[WEIGHT]]*9.81),0)</f>
        <v>0.11441885622750629</v>
      </c>
      <c r="AB484" s="19">
        <v>0</v>
      </c>
      <c r="AC484" s="16">
        <f>ROUND(IF(IFERROR(PROPERTIES[[#This Row],[TE_COEFFICIENT_CALC]],0)=0,PROPERTIES[[#This Row],[TE_COEFFICIENT_MANUAL]],PROPERTIES[[#This Row],[TE_COEFFICIENT_CALC]]),3)</f>
        <v>0.114</v>
      </c>
      <c r="AD484" s="8" cm="1">
        <f t="array" ref="AD4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84" s="26">
        <v>56</v>
      </c>
      <c r="AF484" s="6">
        <v>7</v>
      </c>
      <c r="AG484" t="s">
        <v>238</v>
      </c>
      <c r="AH484" t="s">
        <v>229</v>
      </c>
      <c r="AI484" t="s">
        <v>229</v>
      </c>
      <c r="AJ484" s="2" t="s">
        <v>229</v>
      </c>
      <c r="AK484" s="2" t="s">
        <v>244</v>
      </c>
      <c r="AL48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4" s="2" t="str">
        <f>SUBSTITUTE(SUBSTITUTE(PROPERTIES[[#This Row],[PURCHASECOST_VALUE]], "PURCHASECOST_", ""), "_VALUE", "")</f>
        <v>DMU</v>
      </c>
      <c r="AO484" s="44" t="b">
        <v>0</v>
      </c>
      <c r="AP484" s="48" t="b">
        <v>0</v>
      </c>
      <c r="AQ484" s="48" t="b">
        <v>0</v>
      </c>
      <c r="AR484" s="48">
        <v>0</v>
      </c>
      <c r="AS484" s="48" t="b">
        <v>0</v>
      </c>
      <c r="AT484" s="7" t="b">
        <v>0</v>
      </c>
      <c r="AU484" s="40" t="str" cm="1">
        <f t="array" ref="AU484">_xlfn.XLOOKUP(PROPERTIES[[#This Row],[VEHIDCODE]],GRAPHICS_PROPERTIES[VEHIDCODE],GRAPHICS_PROPERTIES[TEMPLATE_ID]&amp;GRAPHICS_PROPERTIES[TEMPLATE_AMENDMENT_CODE])</f>
        <v>TPL_02A</v>
      </c>
    </row>
    <row r="485" spans="1:47" x14ac:dyDescent="0.35">
      <c r="A485" s="2" t="s">
        <v>3118</v>
      </c>
      <c r="B485">
        <v>2011</v>
      </c>
      <c r="D485" cm="1">
        <f t="array" ref="D4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5" s="40" t="str">
        <f>_xlfn.XLOOKUP(PROPERTIES[[#This Row],[VEHIDCODE]],CONTROL[VEHIDCODE],CONTROL[ENGLISH])</f>
        <v>Integral Coach Factory S11</v>
      </c>
      <c r="F485" t="s">
        <v>656</v>
      </c>
      <c r="G485" s="40" t="str">
        <f>_xlfn.XLOOKUP(PROPERTIES[[#This Row],[COUNTRY]],COUNTRIES[COUNTRY_DESCRIPTION],COUNTRIES[COUNTRY_LABEL],"")</f>
        <v>LK</v>
      </c>
      <c r="H485" t="str" cm="1">
        <f t="array" ref="H4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5" t="s">
        <v>15</v>
      </c>
      <c r="J485">
        <v>20</v>
      </c>
      <c r="K485">
        <v>8</v>
      </c>
      <c r="M485" t="str" cm="1">
        <f t="array" ref="M4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5">
        <f>_xlfn.XLOOKUP("LOADINGSPEEDDEF_"&amp;PROPERTIES[[#This Row],[LOADINGSPEED]],LOADINGSPEEDDEF[TYPE],LOADINGSPEEDDEF[SPEED])</f>
        <v>60</v>
      </c>
      <c r="O485" t="str" cm="1">
        <f t="array" ref="O4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5">
        <f>IF(ISNUMBER(SEARCH("passenger",PROPERTIES[[#This Row],[CARGODEF]])),1,0)</f>
        <v>1</v>
      </c>
      <c r="Q485" s="23">
        <v>20</v>
      </c>
      <c r="R485">
        <v>1360</v>
      </c>
      <c r="S485">
        <v>0</v>
      </c>
      <c r="T485">
        <v>0</v>
      </c>
      <c r="U485">
        <v>0</v>
      </c>
      <c r="V485">
        <v>110</v>
      </c>
      <c r="W485">
        <v>0</v>
      </c>
      <c r="X485">
        <v>0</v>
      </c>
      <c r="Y485">
        <v>0</v>
      </c>
      <c r="Z485" s="20">
        <f>140/2</f>
        <v>70</v>
      </c>
      <c r="AA485" s="19">
        <f>IFERROR(PROPERTIES[[#This Row],[TE_STARTING_KN]]/(PROPERTIES[[#This Row],[WEIGHT]]*9.81),0)</f>
        <v>0.3567787971457696</v>
      </c>
      <c r="AB485" s="19">
        <v>0</v>
      </c>
      <c r="AC485" s="16">
        <f>ROUND(IF(IFERROR(PROPERTIES[[#This Row],[TE_COEFFICIENT_CALC]],0)=0,PROPERTIES[[#This Row],[TE_COEFFICIENT_MANUAL]],PROPERTIES[[#This Row],[TE_COEFFICIENT_CALC]]),3)</f>
        <v>0.35699999999999998</v>
      </c>
      <c r="AD485" s="8" cm="1">
        <f t="array" ref="AD4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485" s="26">
        <f>INT(429/6)</f>
        <v>71</v>
      </c>
      <c r="AF485" s="6">
        <v>8</v>
      </c>
      <c r="AG485" t="s">
        <v>238</v>
      </c>
      <c r="AH485" t="s">
        <v>229</v>
      </c>
      <c r="AI485" t="s">
        <v>229</v>
      </c>
      <c r="AJ485" s="2" t="s">
        <v>229</v>
      </c>
      <c r="AK485" s="2" t="s">
        <v>244</v>
      </c>
      <c r="AL48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5" s="2" t="str">
        <f>SUBSTITUTE(SUBSTITUTE(PROPERTIES[[#This Row],[PURCHASECOST_VALUE]], "PURCHASECOST_", ""), "_VALUE", "")</f>
        <v>DMU</v>
      </c>
      <c r="AO485" s="44" t="b">
        <v>0</v>
      </c>
      <c r="AP485" s="48" t="b">
        <v>0</v>
      </c>
      <c r="AQ485" s="48" t="b">
        <v>0</v>
      </c>
      <c r="AR485" s="48">
        <v>0</v>
      </c>
      <c r="AS485" s="48" t="b">
        <v>0</v>
      </c>
      <c r="AT485" s="7" t="b">
        <v>0</v>
      </c>
      <c r="AU485" s="40" t="str" cm="1">
        <f t="array" ref="AU485">_xlfn.XLOOKUP(PROPERTIES[[#This Row],[VEHIDCODE]],GRAPHICS_PROPERTIES[VEHIDCODE],GRAPHICS_PROPERTIES[TEMPLATE_ID]&amp;GRAPHICS_PROPERTIES[TEMPLATE_AMENDMENT_CODE])</f>
        <v>TPL_02A</v>
      </c>
    </row>
    <row r="486" spans="1:47" x14ac:dyDescent="0.35">
      <c r="A486" s="2" t="s">
        <v>3119</v>
      </c>
      <c r="B486">
        <v>2011</v>
      </c>
      <c r="D486" cm="1">
        <f t="array" ref="D4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6" s="40" t="str">
        <f>_xlfn.XLOOKUP(PROPERTIES[[#This Row],[VEHIDCODE]],CONTROL[VEHIDCODE],CONTROL[ENGLISH])</f>
        <v>ZOS Vrutky 861</v>
      </c>
      <c r="F486" t="s">
        <v>727</v>
      </c>
      <c r="G486" s="40" t="str">
        <f>_xlfn.XLOOKUP(PROPERTIES[[#This Row],[COUNTRY]],COUNTRIES[COUNTRY_DESCRIPTION],COUNTRIES[COUNTRY_LABEL],"")</f>
        <v>SK</v>
      </c>
      <c r="H486" t="str" cm="1">
        <f t="array" ref="H4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6" t="s">
        <v>15</v>
      </c>
      <c r="J486" s="6">
        <f>INT(195/2)</f>
        <v>97</v>
      </c>
      <c r="K486">
        <v>8</v>
      </c>
      <c r="M486" t="str" cm="1">
        <f t="array" ref="M4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6">
        <f>_xlfn.XLOOKUP("LOADINGSPEEDDEF_"&amp;PROPERTIES[[#This Row],[LOADINGSPEED]],LOADINGSPEEDDEF[TYPE],LOADINGSPEEDDEF[SPEED])</f>
        <v>60</v>
      </c>
      <c r="O486" t="str" cm="1">
        <f t="array" ref="O4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6">
        <f>IF(ISNUMBER(SEARCH("passenger",PROPERTIES[[#This Row],[CARGODEF]])),1,0)</f>
        <v>1</v>
      </c>
      <c r="Q486" s="23">
        <v>60</v>
      </c>
      <c r="R486">
        <v>1580</v>
      </c>
      <c r="S486">
        <v>0</v>
      </c>
      <c r="T486">
        <v>0</v>
      </c>
      <c r="U486">
        <v>0</v>
      </c>
      <c r="V486">
        <v>140</v>
      </c>
      <c r="W486">
        <v>0</v>
      </c>
      <c r="X486">
        <v>0</v>
      </c>
      <c r="Y486">
        <v>0</v>
      </c>
      <c r="Z486" s="20">
        <f>125/2</f>
        <v>62.5</v>
      </c>
      <c r="AA486" s="19">
        <f>IFERROR(PROPERTIES[[#This Row],[TE_STARTING_KN]]/(PROPERTIES[[#This Row],[WEIGHT]]*9.81),0)</f>
        <v>0.10618416581719334</v>
      </c>
      <c r="AB486" s="19">
        <v>0</v>
      </c>
      <c r="AC486" s="16">
        <f>ROUND(IF(IFERROR(PROPERTIES[[#This Row],[TE_COEFFICIENT_CALC]],0)=0,PROPERTIES[[#This Row],[TE_COEFFICIENT_MANUAL]],PROPERTIES[[#This Row],[TE_COEFFICIENT_CALC]]),3)</f>
        <v>0.106</v>
      </c>
      <c r="AD486" s="8" cm="1">
        <f t="array" ref="AD4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86" s="26">
        <f>INT(195/2)</f>
        <v>97</v>
      </c>
      <c r="AF486" s="6">
        <v>7</v>
      </c>
      <c r="AG486" t="s">
        <v>236</v>
      </c>
      <c r="AH486" t="s">
        <v>229</v>
      </c>
      <c r="AI486" t="s">
        <v>229</v>
      </c>
      <c r="AJ486" s="2" t="s">
        <v>229</v>
      </c>
      <c r="AK486" s="2" t="s">
        <v>244</v>
      </c>
      <c r="AL48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6" s="2" t="str">
        <f>SUBSTITUTE(SUBSTITUTE(PROPERTIES[[#This Row],[PURCHASECOST_VALUE]], "PURCHASECOST_", ""), "_VALUE", "")</f>
        <v>DMU</v>
      </c>
      <c r="AO486" s="44" t="b">
        <v>0</v>
      </c>
      <c r="AP486" s="48" t="b">
        <v>0</v>
      </c>
      <c r="AQ486" s="48" t="b">
        <v>0</v>
      </c>
      <c r="AR486" s="48">
        <v>0</v>
      </c>
      <c r="AS486" s="48" t="b">
        <v>0</v>
      </c>
      <c r="AT486" s="7" t="b">
        <v>0</v>
      </c>
      <c r="AU486" s="40" t="str" cm="1">
        <f t="array" ref="AU486">_xlfn.XLOOKUP(PROPERTIES[[#This Row],[VEHIDCODE]],GRAPHICS_PROPERTIES[VEHIDCODE],GRAPHICS_PROPERTIES[TEMPLATE_ID]&amp;GRAPHICS_PROPERTIES[TEMPLATE_AMENDMENT_CODE])</f>
        <v>TPL_02A</v>
      </c>
    </row>
    <row r="487" spans="1:47" x14ac:dyDescent="0.35">
      <c r="A487" s="2" t="s">
        <v>3120</v>
      </c>
      <c r="B487">
        <v>1982</v>
      </c>
      <c r="D487" cm="1">
        <f t="array" ref="D4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7" s="40" t="str">
        <f>_xlfn.XLOOKUP(PROPERTIES[[#This Row],[VEHIDCODE]],CONTROL[VEHIDCODE],CONTROL[ENGLISH])</f>
        <v>CAF TLD-500</v>
      </c>
      <c r="F487" t="s">
        <v>573</v>
      </c>
      <c r="G487" s="40" t="str">
        <f>_xlfn.XLOOKUP(PROPERTIES[[#This Row],[COUNTRY]],COUNTRIES[COUNTRY_DESCRIPTION],COUNTRIES[COUNTRY_LABEL],"")</f>
        <v>CL</v>
      </c>
      <c r="H487" t="str" cm="1">
        <f t="array" ref="H4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7" t="s">
        <v>15</v>
      </c>
      <c r="J487">
        <f>144/2</f>
        <v>72</v>
      </c>
      <c r="K487">
        <v>8</v>
      </c>
      <c r="M487" t="str" cm="1">
        <f t="array" ref="M4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7">
        <f>_xlfn.XLOOKUP("LOADINGSPEEDDEF_"&amp;PROPERTIES[[#This Row],[LOADINGSPEED]],LOADINGSPEEDDEF[TYPE],LOADINGSPEEDDEF[SPEED])</f>
        <v>60</v>
      </c>
      <c r="O487" cm="1">
        <f t="array" ref="O4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87">
        <f>IF(ISNUMBER(SEARCH("passenger",PROPERTIES[[#This Row],[CARGODEF]])),1,0)</f>
        <v>1</v>
      </c>
      <c r="Q487" s="23">
        <v>68</v>
      </c>
      <c r="R487">
        <f>460*2</f>
        <v>920</v>
      </c>
      <c r="S487">
        <v>0</v>
      </c>
      <c r="T487">
        <v>0</v>
      </c>
      <c r="U487">
        <v>0</v>
      </c>
      <c r="V487">
        <v>120</v>
      </c>
      <c r="W487">
        <v>0</v>
      </c>
      <c r="X487">
        <v>0</v>
      </c>
      <c r="Y487">
        <v>0</v>
      </c>
      <c r="Z487" s="20">
        <f>90/2</f>
        <v>45</v>
      </c>
      <c r="AA487" s="19">
        <f>IFERROR(PROPERTIES[[#This Row],[TE_STARTING_KN]]/(PROPERTIES[[#This Row],[WEIGHT]]*9.81),0)</f>
        <v>6.745817593092282E-2</v>
      </c>
      <c r="AB487" s="19">
        <v>0</v>
      </c>
      <c r="AC487" s="16">
        <f>ROUND(IF(IFERROR(PROPERTIES[[#This Row],[TE_COEFFICIENT_CALC]],0)=0,PROPERTIES[[#This Row],[TE_COEFFICIENT_MANUAL]],PROPERTIES[[#This Row],[TE_COEFFICIENT_CALC]]),3)</f>
        <v>6.7000000000000004E-2</v>
      </c>
      <c r="AD487" s="8" cm="1">
        <f t="array" ref="AD4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7" s="26">
        <f>144/2</f>
        <v>72</v>
      </c>
      <c r="AF487" s="6">
        <v>8</v>
      </c>
      <c r="AG487" t="s">
        <v>237</v>
      </c>
      <c r="AH487" t="s">
        <v>229</v>
      </c>
      <c r="AI487" t="s">
        <v>229</v>
      </c>
      <c r="AJ487" s="2" t="s">
        <v>229</v>
      </c>
      <c r="AK487" s="2" t="s">
        <v>244</v>
      </c>
      <c r="AL48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7" s="2" t="str">
        <f>SUBSTITUTE(SUBSTITUTE(PROPERTIES[[#This Row],[PURCHASECOST_VALUE]], "PURCHASECOST_", ""), "_VALUE", "")</f>
        <v>DMU</v>
      </c>
      <c r="AO487" s="44" t="b">
        <v>0</v>
      </c>
      <c r="AP487" s="48" t="b">
        <v>0</v>
      </c>
      <c r="AQ487" s="48" t="b">
        <v>0</v>
      </c>
      <c r="AR487" s="48">
        <v>0</v>
      </c>
      <c r="AS487" s="48" t="b">
        <v>0</v>
      </c>
      <c r="AT487" s="7" t="b">
        <v>0</v>
      </c>
      <c r="AU487" s="40" t="str" cm="1">
        <f t="array" ref="AU487">_xlfn.XLOOKUP(PROPERTIES[[#This Row],[VEHIDCODE]],GRAPHICS_PROPERTIES[VEHIDCODE],GRAPHICS_PROPERTIES[TEMPLATE_ID]&amp;GRAPHICS_PROPERTIES[TEMPLATE_AMENDMENT_CODE])</f>
        <v>TPL_02A</v>
      </c>
    </row>
    <row r="488" spans="1:47" x14ac:dyDescent="0.35">
      <c r="A488" s="2" t="s">
        <v>3121</v>
      </c>
      <c r="B488">
        <v>1976</v>
      </c>
      <c r="D488" cm="1">
        <f t="array" ref="D4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8" s="40" t="str">
        <f>_xlfn.XLOOKUP(PROPERTIES[[#This Row],[VEHIDCODE]],CONTROL[VEHIDCODE],CONTROL[ENGLISH])</f>
        <v>Camrail ZE 500</v>
      </c>
      <c r="F488" t="s">
        <v>574</v>
      </c>
      <c r="G488" s="40" t="str">
        <f>_xlfn.XLOOKUP(PROPERTIES[[#This Row],[COUNTRY]],COUNTRIES[COUNTRY_DESCRIPTION],COUNTRIES[COUNTRY_LABEL],"")</f>
        <v>CM</v>
      </c>
      <c r="H488" t="str" cm="1">
        <f t="array" ref="H4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8" t="s">
        <v>15</v>
      </c>
      <c r="J488">
        <v>62</v>
      </c>
      <c r="K488">
        <v>8</v>
      </c>
      <c r="M488" t="str" cm="1">
        <f t="array" ref="M4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8">
        <f>_xlfn.XLOOKUP("LOADINGSPEEDDEF_"&amp;PROPERTIES[[#This Row],[LOADINGSPEED]],LOADINGSPEEDDEF[TYPE],LOADINGSPEEDDEF[SPEED])</f>
        <v>60</v>
      </c>
      <c r="O488" cm="1">
        <f t="array" ref="O4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88">
        <f>IF(ISNUMBER(SEARCH("passenger",PROPERTIES[[#This Row],[CARGODEF]])),1,0)</f>
        <v>1</v>
      </c>
      <c r="Q488" s="23">
        <v>38</v>
      </c>
      <c r="R488">
        <v>376</v>
      </c>
      <c r="S488">
        <v>0</v>
      </c>
      <c r="T488">
        <v>0</v>
      </c>
      <c r="U488">
        <v>0</v>
      </c>
      <c r="V488">
        <v>90</v>
      </c>
      <c r="W488">
        <v>0</v>
      </c>
      <c r="X488">
        <v>0</v>
      </c>
      <c r="Y488">
        <v>0</v>
      </c>
      <c r="Z488" s="20">
        <f>95/2</f>
        <v>47.5</v>
      </c>
      <c r="AA488" s="19">
        <f>IFERROR(PROPERTIES[[#This Row],[TE_STARTING_KN]]/(PROPERTIES[[#This Row],[WEIGHT]]*9.81),0)</f>
        <v>0.127420998980632</v>
      </c>
      <c r="AB488" s="19">
        <v>0</v>
      </c>
      <c r="AC488" s="16">
        <f>ROUND(IF(IFERROR(PROPERTIES[[#This Row],[TE_COEFFICIENT_CALC]],0)=0,PROPERTIES[[#This Row],[TE_COEFFICIENT_MANUAL]],PROPERTIES[[#This Row],[TE_COEFFICIENT_CALC]]),3)</f>
        <v>0.127</v>
      </c>
      <c r="AD488" s="8" cm="1">
        <f t="array" ref="AD4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8" s="26">
        <v>62</v>
      </c>
      <c r="AF488" s="6">
        <v>8</v>
      </c>
      <c r="AG488" t="s">
        <v>233</v>
      </c>
      <c r="AH488" t="s">
        <v>229</v>
      </c>
      <c r="AI488" t="s">
        <v>229</v>
      </c>
      <c r="AJ488" s="2" t="s">
        <v>229</v>
      </c>
      <c r="AK488" s="2" t="s">
        <v>244</v>
      </c>
      <c r="AL488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8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8" s="2" t="str">
        <f>SUBSTITUTE(SUBSTITUTE(PROPERTIES[[#This Row],[PURCHASECOST_VALUE]], "PURCHASECOST_", ""), "_VALUE", "")</f>
        <v>DMU</v>
      </c>
      <c r="AO488" s="44" t="b">
        <v>0</v>
      </c>
      <c r="AP488" s="48" t="b">
        <v>0</v>
      </c>
      <c r="AQ488" s="48" t="b">
        <v>0</v>
      </c>
      <c r="AR488" s="48">
        <v>0</v>
      </c>
      <c r="AS488" s="48" t="b">
        <v>0</v>
      </c>
      <c r="AT488" s="7" t="b">
        <v>0</v>
      </c>
      <c r="AU488" s="40" t="str" cm="1">
        <f t="array" ref="AU488">_xlfn.XLOOKUP(PROPERTIES[[#This Row],[VEHIDCODE]],GRAPHICS_PROPERTIES[VEHIDCODE],GRAPHICS_PROPERTIES[TEMPLATE_ID]&amp;GRAPHICS_PROPERTIES[TEMPLATE_AMENDMENT_CODE])</f>
        <v>TPL_02A</v>
      </c>
    </row>
    <row r="489" spans="1:47" x14ac:dyDescent="0.35">
      <c r="A489" s="2" t="s">
        <v>3122</v>
      </c>
      <c r="B489">
        <v>1960</v>
      </c>
      <c r="C489">
        <v>1974</v>
      </c>
      <c r="D489" cm="1">
        <f t="array" ref="D4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9" s="40" t="str">
        <f>_xlfn.XLOOKUP(PROPERTIES[[#This Row],[VEHIDCODE]],CONTROL[VEHIDCODE],CONTROL[ENGLISH])</f>
        <v>Metro-Cammell 251 'Blue Pullman'</v>
      </c>
      <c r="F489" t="s">
        <v>603</v>
      </c>
      <c r="G489" s="40" t="str">
        <f>_xlfn.XLOOKUP(PROPERTIES[[#This Row],[COUNTRY]],COUNTRIES[COUNTRY_DESCRIPTION],COUNTRIES[COUNTRY_LABEL],"")</f>
        <v>GB</v>
      </c>
      <c r="H489" t="str" cm="1">
        <f t="array" ref="H4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9" t="s">
        <v>15</v>
      </c>
      <c r="J489">
        <v>27</v>
      </c>
      <c r="K489">
        <v>7</v>
      </c>
      <c r="L489">
        <v>0</v>
      </c>
      <c r="M489" t="str" cm="1">
        <f t="array" ref="M4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9">
        <f>_xlfn.XLOOKUP("LOADINGSPEEDDEF_"&amp;PROPERTIES[[#This Row],[LOADINGSPEED]],LOADINGSPEEDDEF[TYPE],LOADINGSPEEDDEF[SPEED])</f>
        <v>60</v>
      </c>
      <c r="O489" cm="1">
        <f t="array" ref="O4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89">
        <f>IF(ISNUMBER(SEARCH("passenger",PROPERTIES[[#This Row],[CARGODEF]])),1,0)</f>
        <v>1</v>
      </c>
      <c r="Q489" s="23">
        <v>67</v>
      </c>
      <c r="R489">
        <v>2000</v>
      </c>
      <c r="S489">
        <v>0</v>
      </c>
      <c r="T489">
        <v>0</v>
      </c>
      <c r="U489">
        <v>0</v>
      </c>
      <c r="V489">
        <v>145</v>
      </c>
      <c r="W489">
        <v>0</v>
      </c>
      <c r="X489">
        <v>0</v>
      </c>
      <c r="Y489">
        <v>0</v>
      </c>
      <c r="Z489" s="20">
        <f>125/2</f>
        <v>62.5</v>
      </c>
      <c r="AA489" s="19">
        <f>IFERROR(PROPERTIES[[#This Row],[TE_STARTING_KN]]/(PROPERTIES[[#This Row],[WEIGHT]]*9.81),0)</f>
        <v>9.5090297746740313E-2</v>
      </c>
      <c r="AB489" s="19">
        <v>0</v>
      </c>
      <c r="AC489" s="16">
        <f>ROUND(IF(IFERROR(PROPERTIES[[#This Row],[TE_COEFFICIENT_CALC]],0)=0,PROPERTIES[[#This Row],[TE_COEFFICIENT_MANUAL]],PROPERTIES[[#This Row],[TE_COEFFICIENT_CALC]]),3)</f>
        <v>9.5000000000000001E-2</v>
      </c>
      <c r="AD489" s="8" cm="1">
        <f t="array" ref="AD4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9" s="26">
        <v>42</v>
      </c>
      <c r="AF489" s="6">
        <v>7</v>
      </c>
      <c r="AG489" t="s">
        <v>234</v>
      </c>
      <c r="AH489" t="s">
        <v>229</v>
      </c>
      <c r="AI489" t="s">
        <v>229</v>
      </c>
      <c r="AJ489" s="2" t="s">
        <v>229</v>
      </c>
      <c r="AK489" s="2" t="s">
        <v>244</v>
      </c>
      <c r="AL489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9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9" s="2" t="str">
        <f>SUBSTITUTE(SUBSTITUTE(PROPERTIES[[#This Row],[PURCHASECOST_VALUE]], "PURCHASECOST_", ""), "_VALUE", "")</f>
        <v>DMU</v>
      </c>
      <c r="AO489" s="44" t="b">
        <v>0</v>
      </c>
      <c r="AP489" s="48" t="b">
        <v>0</v>
      </c>
      <c r="AQ489" s="48" t="b">
        <v>0</v>
      </c>
      <c r="AR489" s="48">
        <v>0</v>
      </c>
      <c r="AS489" s="48" t="b">
        <v>0</v>
      </c>
      <c r="AT489" s="7" t="b">
        <v>0</v>
      </c>
      <c r="AU489" s="40" t="str" cm="1">
        <f t="array" ref="AU489">_xlfn.XLOOKUP(PROPERTIES[[#This Row],[VEHIDCODE]],GRAPHICS_PROPERTIES[VEHIDCODE],GRAPHICS_PROPERTIES[TEMPLATE_ID]&amp;GRAPHICS_PROPERTIES[TEMPLATE_AMENDMENT_CODE])</f>
        <v>TPL_02A</v>
      </c>
    </row>
    <row r="490" spans="1:47" x14ac:dyDescent="0.35">
      <c r="A490" s="2" t="s">
        <v>3123</v>
      </c>
      <c r="B490">
        <v>1967</v>
      </c>
      <c r="C490">
        <v>1993</v>
      </c>
      <c r="D490" cm="1">
        <f t="array" ref="D4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0" s="40" t="str">
        <f>_xlfn.XLOOKUP(PROPERTIES[[#This Row],[VEHIDCODE]],CONTROL[VEHIDCODE],CONTROL[ENGLISH])</f>
        <v>Comeng ADK</v>
      </c>
      <c r="F490" t="s">
        <v>541</v>
      </c>
      <c r="G490" s="40" t="str">
        <f>_xlfn.XLOOKUP(PROPERTIES[[#This Row],[COUNTRY]],COUNTRIES[COUNTRY_DESCRIPTION],COUNTRIES[COUNTRY_LABEL],"")</f>
        <v>AU</v>
      </c>
      <c r="H490" t="str" cm="1">
        <f t="array" ref="H4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0" t="s">
        <v>15</v>
      </c>
      <c r="J490">
        <v>74</v>
      </c>
      <c r="K490">
        <v>8</v>
      </c>
      <c r="M490" t="str" cm="1">
        <f t="array" ref="M4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0">
        <f>_xlfn.XLOOKUP("LOADINGSPEEDDEF_"&amp;PROPERTIES[[#This Row],[LOADINGSPEED]],LOADINGSPEEDDEF[TYPE],LOADINGSPEEDDEF[SPEED])</f>
        <v>60</v>
      </c>
      <c r="O490" cm="1">
        <f t="array" ref="O4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90">
        <f>IF(ISNUMBER(SEARCH("passenger",PROPERTIES[[#This Row],[CARGODEF]])),1,0)</f>
        <v>1</v>
      </c>
      <c r="Q490" s="23">
        <v>33</v>
      </c>
      <c r="R490">
        <v>416</v>
      </c>
      <c r="S490">
        <v>0</v>
      </c>
      <c r="T490">
        <v>0</v>
      </c>
      <c r="U490">
        <v>0</v>
      </c>
      <c r="V490">
        <v>90</v>
      </c>
      <c r="W490">
        <v>0</v>
      </c>
      <c r="X490">
        <v>0</v>
      </c>
      <c r="Y490">
        <v>0</v>
      </c>
      <c r="Z490" s="20">
        <f>58/2</f>
        <v>29</v>
      </c>
      <c r="AA490" s="19">
        <f>IFERROR(PROPERTIES[[#This Row],[TE_STARTING_KN]]/(PROPERTIES[[#This Row],[WEIGHT]]*9.81),0)</f>
        <v>8.9580823525777648E-2</v>
      </c>
      <c r="AB490" s="19">
        <v>0</v>
      </c>
      <c r="AC490" s="16">
        <f>ROUND(IF(IFERROR(PROPERTIES[[#This Row],[TE_COEFFICIENT_CALC]],0)=0,PROPERTIES[[#This Row],[TE_COEFFICIENT_MANUAL]],PROPERTIES[[#This Row],[TE_COEFFICIENT_CALC]]),3)</f>
        <v>0.09</v>
      </c>
      <c r="AD490" s="8" cm="1">
        <f t="array" ref="AD4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90" s="26">
        <v>74</v>
      </c>
      <c r="AF490" s="6">
        <v>7</v>
      </c>
      <c r="AG490" t="s">
        <v>232</v>
      </c>
      <c r="AH490" t="s">
        <v>229</v>
      </c>
      <c r="AI490" t="s">
        <v>229</v>
      </c>
      <c r="AJ490" s="2" t="s">
        <v>229</v>
      </c>
      <c r="AK490" s="2" t="s">
        <v>244</v>
      </c>
      <c r="AL49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0" s="2" t="str">
        <f>SUBSTITUTE(SUBSTITUTE(PROPERTIES[[#This Row],[PURCHASECOST_VALUE]], "PURCHASECOST_", ""), "_VALUE", "")</f>
        <v>DMU</v>
      </c>
      <c r="AO490" s="44" t="b">
        <v>0</v>
      </c>
      <c r="AP490" s="48" t="b">
        <v>0</v>
      </c>
      <c r="AQ490" s="48" t="b">
        <v>0</v>
      </c>
      <c r="AR490" s="48">
        <v>0</v>
      </c>
      <c r="AS490" s="48" t="b">
        <v>0</v>
      </c>
      <c r="AT490" s="7" t="b">
        <v>0</v>
      </c>
      <c r="AU490" s="40" t="str" cm="1">
        <f t="array" ref="AU490">_xlfn.XLOOKUP(PROPERTIES[[#This Row],[VEHIDCODE]],GRAPHICS_PROPERTIES[VEHIDCODE],GRAPHICS_PROPERTIES[TEMPLATE_ID]&amp;GRAPHICS_PROPERTIES[TEMPLATE_AMENDMENT_CODE])</f>
        <v>TPL_02A</v>
      </c>
    </row>
    <row r="491" spans="1:47" x14ac:dyDescent="0.35">
      <c r="A491" s="2" t="s">
        <v>3124</v>
      </c>
      <c r="B491">
        <v>1971</v>
      </c>
      <c r="C491">
        <v>2019</v>
      </c>
      <c r="D491" cm="1">
        <f t="array" ref="D4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1" s="40" t="str">
        <f>_xlfn.XLOOKUP(PROPERTIES[[#This Row],[VEHIDCODE]],CONTROL[VEHIDCODE],CONTROL[ENGLISH])</f>
        <v>ANF X 4630</v>
      </c>
      <c r="F491" t="s">
        <v>602</v>
      </c>
      <c r="G491" s="40" t="str">
        <f>_xlfn.XLOOKUP(PROPERTIES[[#This Row],[COUNTRY]],COUNTRIES[COUNTRY_DESCRIPTION],COUNTRIES[COUNTRY_LABEL],"")</f>
        <v>FR</v>
      </c>
      <c r="H491" t="str" cm="1">
        <f t="array" ref="H4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1" t="s">
        <v>15</v>
      </c>
      <c r="J491">
        <v>133</v>
      </c>
      <c r="K491">
        <v>8</v>
      </c>
      <c r="M491" t="str" cm="1">
        <f t="array" ref="M4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1">
        <f>_xlfn.XLOOKUP("LOADINGSPEEDDEF_"&amp;PROPERTIES[[#This Row],[LOADINGSPEED]],LOADINGSPEEDDEF[TYPE],LOADINGSPEEDDEF[SPEED])</f>
        <v>60</v>
      </c>
      <c r="O491" cm="1">
        <f t="array" ref="O4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91">
        <f>IF(ISNUMBER(SEARCH("passenger",PROPERTIES[[#This Row],[CARGODEF]])),1,0)</f>
        <v>1</v>
      </c>
      <c r="Q491" s="23">
        <v>31</v>
      </c>
      <c r="R491">
        <v>396</v>
      </c>
      <c r="S491">
        <v>0</v>
      </c>
      <c r="T491">
        <v>0</v>
      </c>
      <c r="U491">
        <v>0</v>
      </c>
      <c r="V491">
        <v>120</v>
      </c>
      <c r="W491">
        <v>0</v>
      </c>
      <c r="X491">
        <v>0</v>
      </c>
      <c r="Y491">
        <v>0</v>
      </c>
      <c r="Z491" s="20">
        <f>85/2</f>
        <v>42.5</v>
      </c>
      <c r="AA491" s="19">
        <f>IFERROR(PROPERTIES[[#This Row],[TE_STARTING_KN]]/(PROPERTIES[[#This Row],[WEIGHT]]*9.81),0)</f>
        <v>0.13975206339811252</v>
      </c>
      <c r="AB491" s="19">
        <v>0</v>
      </c>
      <c r="AC491" s="16">
        <f>ROUND(IF(IFERROR(PROPERTIES[[#This Row],[TE_COEFFICIENT_CALC]],0)=0,PROPERTIES[[#This Row],[TE_COEFFICIENT_MANUAL]],PROPERTIES[[#This Row],[TE_COEFFICIENT_CALC]]),3)</f>
        <v>0.14000000000000001</v>
      </c>
      <c r="AD491" s="8" cm="1">
        <f t="array" ref="AD4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491" s="26">
        <v>133</v>
      </c>
      <c r="AF491" s="6">
        <v>8</v>
      </c>
      <c r="AG491" t="s">
        <v>230</v>
      </c>
      <c r="AH491" t="s">
        <v>229</v>
      </c>
      <c r="AI491" t="s">
        <v>229</v>
      </c>
      <c r="AJ491" s="2" t="s">
        <v>229</v>
      </c>
      <c r="AK491" s="2" t="s">
        <v>244</v>
      </c>
      <c r="AL49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1" s="2" t="str">
        <f>SUBSTITUTE(SUBSTITUTE(PROPERTIES[[#This Row],[PURCHASECOST_VALUE]], "PURCHASECOST_", ""), "_VALUE", "")</f>
        <v>DMU</v>
      </c>
      <c r="AO491" s="44" t="b">
        <v>0</v>
      </c>
      <c r="AP491" s="48" t="b">
        <v>0</v>
      </c>
      <c r="AQ491" s="48" t="b">
        <v>0</v>
      </c>
      <c r="AR491" s="48">
        <v>0</v>
      </c>
      <c r="AS491" s="48" t="b">
        <v>0</v>
      </c>
      <c r="AT491" s="7" t="b">
        <v>0</v>
      </c>
      <c r="AU491" s="40" t="str" cm="1">
        <f t="array" ref="AU491">_xlfn.XLOOKUP(PROPERTIES[[#This Row],[VEHIDCODE]],GRAPHICS_PROPERTIES[VEHIDCODE],GRAPHICS_PROPERTIES[TEMPLATE_ID]&amp;GRAPHICS_PROPERTIES[TEMPLATE_AMENDMENT_CODE])</f>
        <v>TPL_02A</v>
      </c>
    </row>
    <row r="492" spans="1:47" x14ac:dyDescent="0.35">
      <c r="A492" s="2" t="s">
        <v>3125</v>
      </c>
      <c r="B492">
        <v>1972</v>
      </c>
      <c r="C492">
        <v>2004</v>
      </c>
      <c r="D492" cm="1">
        <f t="array" ref="D4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2" s="40" t="str">
        <f>_xlfn.XLOOKUP(PROPERTIES[[#This Row],[VEHIDCODE]],CONTROL[VEHIDCODE],CONTROL[ENGLISH])</f>
        <v>ANF T 2000</v>
      </c>
      <c r="F492" t="s">
        <v>602</v>
      </c>
      <c r="G492" s="40" t="str">
        <f>_xlfn.XLOOKUP(PROPERTIES[[#This Row],[COUNTRY]],COUNTRIES[COUNTRY_DESCRIPTION],COUNTRIES[COUNTRY_LABEL],"")</f>
        <v>FR</v>
      </c>
      <c r="H492" t="str" cm="1">
        <f t="array" ref="H4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2" t="s">
        <v>15</v>
      </c>
      <c r="J492">
        <v>60</v>
      </c>
      <c r="K492">
        <v>8</v>
      </c>
      <c r="M492" t="str" cm="1">
        <f t="array" ref="M4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2">
        <f>_xlfn.XLOOKUP("LOADINGSPEEDDEF_"&amp;PROPERTIES[[#This Row],[LOADINGSPEED]],LOADINGSPEEDDEF[TYPE],LOADINGSPEEDDEF[SPEED])</f>
        <v>60</v>
      </c>
      <c r="O492" cm="1">
        <f t="array" ref="O4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92">
        <f>IF(ISNUMBER(SEARCH("passenger",PROPERTIES[[#This Row],[CARGODEF]])),1,0)</f>
        <v>1</v>
      </c>
      <c r="Q492" s="23">
        <f>225/2</f>
        <v>112.5</v>
      </c>
      <c r="R492">
        <v>1036</v>
      </c>
      <c r="S492">
        <v>0</v>
      </c>
      <c r="T492">
        <v>0</v>
      </c>
      <c r="U492">
        <v>0</v>
      </c>
      <c r="V492">
        <v>160</v>
      </c>
      <c r="W492">
        <v>0</v>
      </c>
      <c r="X492">
        <v>0</v>
      </c>
      <c r="Y492">
        <v>0</v>
      </c>
      <c r="Z492" s="20">
        <f>90/2</f>
        <v>45</v>
      </c>
      <c r="AA492" s="19">
        <f>IFERROR(PROPERTIES[[#This Row],[TE_STARTING_KN]]/(PROPERTIES[[#This Row],[WEIGHT]]*9.81),0)</f>
        <v>4.0774719673802244E-2</v>
      </c>
      <c r="AB492" s="19">
        <v>0</v>
      </c>
      <c r="AC492" s="16">
        <f>ROUND(IF(IFERROR(PROPERTIES[[#This Row],[TE_COEFFICIENT_CALC]],0)=0,PROPERTIES[[#This Row],[TE_COEFFICIENT_MANUAL]],PROPERTIES[[#This Row],[TE_COEFFICIENT_CALC]]),3)</f>
        <v>4.1000000000000002E-2</v>
      </c>
      <c r="AD492" s="8" cm="1">
        <f t="array" ref="AD4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92" s="26">
        <f>400/5</f>
        <v>80</v>
      </c>
      <c r="AF492" s="6">
        <v>8</v>
      </c>
      <c r="AG492" t="s">
        <v>230</v>
      </c>
      <c r="AH492" t="s">
        <v>229</v>
      </c>
      <c r="AI492" t="s">
        <v>229</v>
      </c>
      <c r="AJ492" s="2" t="s">
        <v>229</v>
      </c>
      <c r="AK492" s="2" t="s">
        <v>244</v>
      </c>
      <c r="AL49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2" s="2" t="str">
        <f>SUBSTITUTE(SUBSTITUTE(PROPERTIES[[#This Row],[PURCHASECOST_VALUE]], "PURCHASECOST_", ""), "_VALUE", "")</f>
        <v>DMU</v>
      </c>
      <c r="AO492" s="45" t="s">
        <v>3644</v>
      </c>
      <c r="AP492" s="48" t="b">
        <v>0</v>
      </c>
      <c r="AQ492" s="48" t="b">
        <v>0</v>
      </c>
      <c r="AR492" s="48">
        <v>0</v>
      </c>
      <c r="AS492" s="48" t="b">
        <v>0</v>
      </c>
      <c r="AT492" s="7" t="b">
        <v>0</v>
      </c>
      <c r="AU492" s="40" t="str" cm="1">
        <f t="array" ref="AU492">_xlfn.XLOOKUP(PROPERTIES[[#This Row],[VEHIDCODE]],GRAPHICS_PROPERTIES[VEHIDCODE],GRAPHICS_PROPERTIES[TEMPLATE_ID]&amp;GRAPHICS_PROPERTIES[TEMPLATE_AMENDMENT_CODE])</f>
        <v>TPL_02A</v>
      </c>
    </row>
    <row r="493" spans="1:47" x14ac:dyDescent="0.35">
      <c r="A493" s="2" t="s">
        <v>3126</v>
      </c>
      <c r="B493">
        <v>1981</v>
      </c>
      <c r="C493">
        <v>2006</v>
      </c>
      <c r="D493" cm="1">
        <f t="array" ref="D4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3" s="40" t="str">
        <f>_xlfn.XLOOKUP(PROPERTIES[[#This Row],[VEHIDCODE]],CONTROL[VEHIDCODE],CONTROL[ENGLISH])</f>
        <v>Duwag Wadloper</v>
      </c>
      <c r="F493" t="s">
        <v>692</v>
      </c>
      <c r="G493" s="40" t="str">
        <f>_xlfn.XLOOKUP(PROPERTIES[[#This Row],[COUNTRY]],COUNTRIES[COUNTRY_DESCRIPTION],COUNTRIES[COUNTRY_LABEL],"")</f>
        <v>NL</v>
      </c>
      <c r="H493" t="str" cm="1">
        <f t="array" ref="H4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3" t="s">
        <v>15</v>
      </c>
      <c r="J493">
        <v>80</v>
      </c>
      <c r="K493">
        <v>8</v>
      </c>
      <c r="M493" t="str" cm="1">
        <f t="array" ref="M4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3">
        <f>_xlfn.XLOOKUP("LOADINGSPEEDDEF_"&amp;PROPERTIES[[#This Row],[LOADINGSPEED]],LOADINGSPEEDDEF[TYPE],LOADINGSPEEDDEF[SPEED])</f>
        <v>60</v>
      </c>
      <c r="O493" cm="1">
        <f t="array" ref="O4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93">
        <f>IF(ISNUMBER(SEARCH("passenger",PROPERTIES[[#This Row],[CARGODEF]])),1,0)</f>
        <v>1</v>
      </c>
      <c r="Q493" s="23">
        <v>34</v>
      </c>
      <c r="R493">
        <v>562</v>
      </c>
      <c r="S493">
        <v>0</v>
      </c>
      <c r="T493">
        <v>0</v>
      </c>
      <c r="U493">
        <v>0</v>
      </c>
      <c r="V493">
        <v>101</v>
      </c>
      <c r="W493">
        <v>0</v>
      </c>
      <c r="X493">
        <v>0</v>
      </c>
      <c r="Y493">
        <v>0</v>
      </c>
      <c r="Z493" s="20">
        <f>68/2</f>
        <v>34</v>
      </c>
      <c r="AA493" s="19">
        <f>IFERROR(PROPERTIES[[#This Row],[TE_STARTING_KN]]/(PROPERTIES[[#This Row],[WEIGHT]]*9.81),0)</f>
        <v>0.1019367991845056</v>
      </c>
      <c r="AB493" s="19">
        <v>0</v>
      </c>
      <c r="AC493" s="16">
        <f>ROUND(IF(IFERROR(PROPERTIES[[#This Row],[TE_COEFFICIENT_CALC]],0)=0,PROPERTIES[[#This Row],[TE_COEFFICIENT_MANUAL]],PROPERTIES[[#This Row],[TE_COEFFICIENT_CALC]]),3)</f>
        <v>0.10199999999999999</v>
      </c>
      <c r="AD493" s="8" cm="1">
        <f t="array" ref="AD4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93" s="26">
        <v>80</v>
      </c>
      <c r="AF493" s="6">
        <v>8</v>
      </c>
      <c r="AG493" t="s">
        <v>239</v>
      </c>
      <c r="AH493" t="s">
        <v>237</v>
      </c>
      <c r="AI493" t="s">
        <v>229</v>
      </c>
      <c r="AJ493" s="2" t="s">
        <v>229</v>
      </c>
      <c r="AK493" s="2" t="s">
        <v>244</v>
      </c>
      <c r="AL49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3" s="2" t="str">
        <f>SUBSTITUTE(SUBSTITUTE(PROPERTIES[[#This Row],[PURCHASECOST_VALUE]], "PURCHASECOST_", ""), "_VALUE", "")</f>
        <v>DMU</v>
      </c>
      <c r="AO493" s="44" t="b">
        <v>0</v>
      </c>
      <c r="AP493" s="48" t="b">
        <v>0</v>
      </c>
      <c r="AQ493" s="48" t="b">
        <v>0</v>
      </c>
      <c r="AR493" s="48">
        <v>0</v>
      </c>
      <c r="AS493" s="48" t="b">
        <v>0</v>
      </c>
      <c r="AT493" s="7" t="b">
        <v>0</v>
      </c>
      <c r="AU493" s="40" t="str" cm="1">
        <f t="array" ref="AU493">_xlfn.XLOOKUP(PROPERTIES[[#This Row],[VEHIDCODE]],GRAPHICS_PROPERTIES[VEHIDCODE],GRAPHICS_PROPERTIES[TEMPLATE_ID]&amp;GRAPHICS_PROPERTIES[TEMPLATE_AMENDMENT_CODE])</f>
        <v>TPL_02A</v>
      </c>
    </row>
    <row r="494" spans="1:47" x14ac:dyDescent="0.35">
      <c r="A494" s="2" t="s">
        <v>3127</v>
      </c>
      <c r="B494">
        <v>1986</v>
      </c>
      <c r="C494">
        <v>2020</v>
      </c>
      <c r="D494" cm="1">
        <f t="array" ref="D4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4" s="40" t="str">
        <f>_xlfn.XLOOKUP(PROPERTIES[[#This Row],[VEHIDCODE]],CONTROL[VEHIDCODE],CONTROL[ENGLISH])</f>
        <v>Duwag 628.2</v>
      </c>
      <c r="F494" t="s">
        <v>584</v>
      </c>
      <c r="G494" s="40" t="str">
        <f>_xlfn.XLOOKUP(PROPERTIES[[#This Row],[COUNTRY]],COUNTRIES[COUNTRY_DESCRIPTION],COUNTRIES[COUNTRY_LABEL],"")</f>
        <v>DE</v>
      </c>
      <c r="H494" t="str" cm="1">
        <f t="array" ref="H4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4" t="s">
        <v>15</v>
      </c>
      <c r="J494">
        <f>INT(136/2)</f>
        <v>68</v>
      </c>
      <c r="K494">
        <v>8</v>
      </c>
      <c r="M494" t="str" cm="1">
        <f t="array" ref="M4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4">
        <f>_xlfn.XLOOKUP("LOADINGSPEEDDEF_"&amp;PROPERTIES[[#This Row],[LOADINGSPEED]],LOADINGSPEEDDEF[TYPE],LOADINGSPEEDDEF[SPEED])</f>
        <v>60</v>
      </c>
      <c r="O494" t="str" cm="1">
        <f t="array" ref="O4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4">
        <f>IF(ISNUMBER(SEARCH("passenger",PROPERTIES[[#This Row],[CARGODEF]])),1,0)</f>
        <v>1</v>
      </c>
      <c r="Q494" s="23">
        <v>42</v>
      </c>
      <c r="R494">
        <v>650</v>
      </c>
      <c r="S494">
        <v>0</v>
      </c>
      <c r="T494">
        <v>0</v>
      </c>
      <c r="U494">
        <v>0</v>
      </c>
      <c r="V494">
        <v>120</v>
      </c>
      <c r="W494">
        <v>0</v>
      </c>
      <c r="X494">
        <v>0</v>
      </c>
      <c r="Y494">
        <v>0</v>
      </c>
      <c r="Z494" s="20">
        <f>95/2</f>
        <v>47.5</v>
      </c>
      <c r="AA494" s="19">
        <f>IFERROR(PROPERTIES[[#This Row],[TE_STARTING_KN]]/(PROPERTIES[[#This Row],[WEIGHT]]*9.81),0)</f>
        <v>0.11528566574438133</v>
      </c>
      <c r="AB494" s="19">
        <v>0</v>
      </c>
      <c r="AC494" s="16">
        <f>ROUND(IF(IFERROR(PROPERTIES[[#This Row],[TE_COEFFICIENT_CALC]],0)=0,PROPERTIES[[#This Row],[TE_COEFFICIENT_MANUAL]],PROPERTIES[[#This Row],[TE_COEFFICIENT_CALC]]),3)</f>
        <v>0.115</v>
      </c>
      <c r="AD494" s="8" cm="1">
        <f t="array" ref="AD4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94" s="26">
        <f>INT(136/2)</f>
        <v>68</v>
      </c>
      <c r="AF494" s="6">
        <v>8</v>
      </c>
      <c r="AG494" t="s">
        <v>230</v>
      </c>
      <c r="AH494" t="s">
        <v>236</v>
      </c>
      <c r="AI494" t="s">
        <v>229</v>
      </c>
      <c r="AJ494" s="2" t="s">
        <v>229</v>
      </c>
      <c r="AK494" s="2" t="s">
        <v>244</v>
      </c>
      <c r="AL49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4" s="2" t="str">
        <f>SUBSTITUTE(SUBSTITUTE(PROPERTIES[[#This Row],[PURCHASECOST_VALUE]], "PURCHASECOST_", ""), "_VALUE", "")</f>
        <v>DMU</v>
      </c>
      <c r="AO494" s="44" t="b">
        <v>0</v>
      </c>
      <c r="AP494" s="48" t="b">
        <v>0</v>
      </c>
      <c r="AQ494" s="48" t="b">
        <v>0</v>
      </c>
      <c r="AR494" s="48">
        <v>0</v>
      </c>
      <c r="AS494" s="48" t="b">
        <v>0</v>
      </c>
      <c r="AT494" s="7" t="b">
        <v>0</v>
      </c>
      <c r="AU494" s="40" t="str" cm="1">
        <f t="array" ref="AU494">_xlfn.XLOOKUP(PROPERTIES[[#This Row],[VEHIDCODE]],GRAPHICS_PROPERTIES[VEHIDCODE],GRAPHICS_PROPERTIES[TEMPLATE_ID]&amp;GRAPHICS_PROPERTIES[TEMPLATE_AMENDMENT_CODE])</f>
        <v>TPL_02A</v>
      </c>
    </row>
    <row r="495" spans="1:47" x14ac:dyDescent="0.35">
      <c r="A495" s="2" t="s">
        <v>3128</v>
      </c>
      <c r="B495">
        <v>2007</v>
      </c>
      <c r="D495" cm="1">
        <f t="array" ref="D4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5" s="40" t="str">
        <f>_xlfn.XLOOKUP(PROPERTIES[[#This Row],[VEHIDCODE]],CONTROL[VEHIDCODE],CONTROL[ENGLISH])</f>
        <v>CAF ZZ 2200 Autorail</v>
      </c>
      <c r="F495" t="s">
        <v>589</v>
      </c>
      <c r="G495" s="40" t="str">
        <f>_xlfn.XLOOKUP(PROPERTIES[[#This Row],[COUNTRY]],COUNTRIES[COUNTRY_DESCRIPTION],COUNTRIES[COUNTRY_LABEL],"")</f>
        <v>DZ</v>
      </c>
      <c r="H495" t="str" cm="1">
        <f t="array" ref="H4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5" t="s">
        <v>15</v>
      </c>
      <c r="J495">
        <f>INT(199/2)</f>
        <v>99</v>
      </c>
      <c r="K495">
        <v>8</v>
      </c>
      <c r="M495" t="str" cm="1">
        <f t="array" ref="M4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5">
        <f>_xlfn.XLOOKUP("LOADINGSPEEDDEF_"&amp;PROPERTIES[[#This Row],[LOADINGSPEED]],LOADINGSPEEDDEF[TYPE],LOADINGSPEEDDEF[SPEED])</f>
        <v>60</v>
      </c>
      <c r="O495" t="str" cm="1">
        <f t="array" ref="O4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5">
        <f>IF(ISNUMBER(SEARCH("passenger",PROPERTIES[[#This Row],[CARGODEF]])),1,0)</f>
        <v>1</v>
      </c>
      <c r="Q495" s="23">
        <v>55</v>
      </c>
      <c r="R495">
        <v>1352</v>
      </c>
      <c r="S495">
        <v>0</v>
      </c>
      <c r="T495">
        <v>0</v>
      </c>
      <c r="U495">
        <v>0</v>
      </c>
      <c r="V495">
        <v>160</v>
      </c>
      <c r="W495">
        <v>0</v>
      </c>
      <c r="X495">
        <v>0</v>
      </c>
      <c r="Y495">
        <v>0</v>
      </c>
      <c r="Z495" s="20">
        <f>140/2</f>
        <v>70</v>
      </c>
      <c r="AA495" s="19">
        <f>IFERROR(PROPERTIES[[#This Row],[TE_STARTING_KN]]/(PROPERTIES[[#This Row],[WEIGHT]]*9.81),0)</f>
        <v>0.12973774441664349</v>
      </c>
      <c r="AB495" s="19">
        <v>0</v>
      </c>
      <c r="AC495" s="16">
        <f>ROUND(IF(IFERROR(PROPERTIES[[#This Row],[TE_COEFFICIENT_CALC]],0)=0,PROPERTIES[[#This Row],[TE_COEFFICIENT_MANUAL]],PROPERTIES[[#This Row],[TE_COEFFICIENT_CALC]]),3)</f>
        <v>0.13</v>
      </c>
      <c r="AD495" s="8" cm="1">
        <f t="array" ref="AD4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95" s="26">
        <f>INT(199/2)</f>
        <v>99</v>
      </c>
      <c r="AF495" s="6">
        <v>8</v>
      </c>
      <c r="AG495" t="s">
        <v>233</v>
      </c>
      <c r="AH495" t="s">
        <v>229</v>
      </c>
      <c r="AI495" t="s">
        <v>229</v>
      </c>
      <c r="AJ495" s="2" t="s">
        <v>229</v>
      </c>
      <c r="AK495" s="2" t="s">
        <v>244</v>
      </c>
      <c r="AL49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5" s="2" t="str">
        <f>SUBSTITUTE(SUBSTITUTE(PROPERTIES[[#This Row],[PURCHASECOST_VALUE]], "PURCHASECOST_", ""), "_VALUE", "")</f>
        <v>DMU</v>
      </c>
      <c r="AO495" s="44" t="b">
        <v>0</v>
      </c>
      <c r="AP495" s="48" t="b">
        <v>0</v>
      </c>
      <c r="AQ495" s="48" t="b">
        <v>0</v>
      </c>
      <c r="AR495" s="48">
        <v>0</v>
      </c>
      <c r="AS495" s="48" t="b">
        <v>0</v>
      </c>
      <c r="AT495" s="7" t="b">
        <v>0</v>
      </c>
      <c r="AU495" s="40" t="str" cm="1">
        <f t="array" ref="AU495">_xlfn.XLOOKUP(PROPERTIES[[#This Row],[VEHIDCODE]],GRAPHICS_PROPERTIES[VEHIDCODE],GRAPHICS_PROPERTIES[TEMPLATE_ID]&amp;GRAPHICS_PROPERTIES[TEMPLATE_AMENDMENT_CODE])</f>
        <v>TPL_02A</v>
      </c>
    </row>
    <row r="496" spans="1:47" x14ac:dyDescent="0.35">
      <c r="A496" s="2" t="s">
        <v>3129</v>
      </c>
      <c r="B496">
        <v>2008</v>
      </c>
      <c r="D496" cm="1">
        <f t="array" ref="D4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6" s="40" t="str">
        <f>_xlfn.XLOOKUP(PROPERTIES[[#This Row],[VEHIDCODE]],CONTROL[VEHIDCODE],CONTROL[ENGLISH])</f>
        <v>CFD AMT 800</v>
      </c>
      <c r="F496" t="s">
        <v>748</v>
      </c>
      <c r="G496" s="40" t="str">
        <f>_xlfn.XLOOKUP(PROPERTIES[[#This Row],[COUNTRY]],COUNTRIES[COUNTRY_DESCRIPTION],COUNTRIES[COUNTRY_LABEL],"")</f>
        <v>TN</v>
      </c>
      <c r="H496" t="str" cm="1">
        <f t="array" ref="H4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6" t="s">
        <v>15</v>
      </c>
      <c r="J496">
        <v>55</v>
      </c>
      <c r="K496">
        <v>8</v>
      </c>
      <c r="M496" t="str" cm="1">
        <f t="array" ref="M4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6">
        <f>_xlfn.XLOOKUP("LOADINGSPEEDDEF_"&amp;PROPERTIES[[#This Row],[LOADINGSPEED]],LOADINGSPEEDDEF[TYPE],LOADINGSPEEDDEF[SPEED])</f>
        <v>60</v>
      </c>
      <c r="O496" t="str" cm="1">
        <f t="array" ref="O4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6">
        <f>IF(ISNUMBER(SEARCH("passenger",PROPERTIES[[#This Row],[CARGODEF]])),1,0)</f>
        <v>1</v>
      </c>
      <c r="Q496" s="23">
        <v>35</v>
      </c>
      <c r="R496">
        <v>1232</v>
      </c>
      <c r="S496">
        <v>0</v>
      </c>
      <c r="T496">
        <v>0</v>
      </c>
      <c r="U496">
        <v>0</v>
      </c>
      <c r="V496">
        <v>100</v>
      </c>
      <c r="W496">
        <v>0</v>
      </c>
      <c r="X496">
        <v>0</v>
      </c>
      <c r="Y496">
        <v>0</v>
      </c>
      <c r="Z496" s="20">
        <f>135/2</f>
        <v>67.5</v>
      </c>
      <c r="AA496" s="19">
        <f>IFERROR(PROPERTIES[[#This Row],[TE_STARTING_KN]]/(PROPERTIES[[#This Row],[WEIGHT]]*9.81),0)</f>
        <v>0.19659239842726081</v>
      </c>
      <c r="AB496" s="19">
        <v>0</v>
      </c>
      <c r="AC496" s="16">
        <f>ROUND(IF(IFERROR(PROPERTIES[[#This Row],[TE_COEFFICIENT_CALC]],0)=0,PROPERTIES[[#This Row],[TE_COEFFICIENT_MANUAL]],PROPERTIES[[#This Row],[TE_COEFFICIENT_CALC]]),3)</f>
        <v>0.19700000000000001</v>
      </c>
      <c r="AD496" s="8" cm="1">
        <f t="array" ref="AD4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96" s="26">
        <v>55</v>
      </c>
      <c r="AF496" s="6">
        <v>8</v>
      </c>
      <c r="AG496" t="s">
        <v>233</v>
      </c>
      <c r="AH496" t="s">
        <v>229</v>
      </c>
      <c r="AI496" t="s">
        <v>229</v>
      </c>
      <c r="AJ496" s="2" t="s">
        <v>229</v>
      </c>
      <c r="AK496" s="2" t="s">
        <v>244</v>
      </c>
      <c r="AL49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6" s="2" t="str">
        <f>SUBSTITUTE(SUBSTITUTE(PROPERTIES[[#This Row],[PURCHASECOST_VALUE]], "PURCHASECOST_", ""), "_VALUE", "")</f>
        <v>DMU</v>
      </c>
      <c r="AO496" s="44" t="b">
        <v>0</v>
      </c>
      <c r="AP496" s="48" t="b">
        <v>0</v>
      </c>
      <c r="AQ496" s="48" t="b">
        <v>0</v>
      </c>
      <c r="AR496" s="48">
        <v>0</v>
      </c>
      <c r="AS496" s="48" t="b">
        <v>0</v>
      </c>
      <c r="AT496" s="7" t="b">
        <v>0</v>
      </c>
      <c r="AU496" s="40" t="str" cm="1">
        <f t="array" ref="AU496">_xlfn.XLOOKUP(PROPERTIES[[#This Row],[VEHIDCODE]],GRAPHICS_PROPERTIES[VEHIDCODE],GRAPHICS_PROPERTIES[TEMPLATE_ID]&amp;GRAPHICS_PROPERTIES[TEMPLATE_AMENDMENT_CODE])</f>
        <v>TPL_02A</v>
      </c>
    </row>
    <row r="497" spans="1:47" x14ac:dyDescent="0.35">
      <c r="A497" s="2" t="s">
        <v>3130</v>
      </c>
      <c r="B497">
        <v>2009</v>
      </c>
      <c r="D497" cm="1">
        <f t="array" ref="D4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7" s="40" t="str">
        <f>_xlfn.XLOOKUP(PROPERTIES[[#This Row],[VEHIDCODE]],CONTROL[VEHIDCODE],CONTROL[ENGLISH])</f>
        <v>CNR Tangshan Ghana DEMU</v>
      </c>
      <c r="F497" t="s">
        <v>608</v>
      </c>
      <c r="G497" s="40" t="str">
        <f>_xlfn.XLOOKUP(PROPERTIES[[#This Row],[COUNTRY]],COUNTRIES[COUNTRY_DESCRIPTION],COUNTRIES[COUNTRY_LABEL],"")</f>
        <v>GH</v>
      </c>
      <c r="H497" t="str" cm="1">
        <f t="array" ref="H4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7" t="s">
        <v>15</v>
      </c>
      <c r="J497">
        <v>102</v>
      </c>
      <c r="K497">
        <v>7</v>
      </c>
      <c r="L497">
        <v>0</v>
      </c>
      <c r="M497" t="str" cm="1">
        <f t="array" ref="M4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7">
        <f>_xlfn.XLOOKUP("LOADINGSPEEDDEF_"&amp;PROPERTIES[[#This Row],[LOADINGSPEED]],LOADINGSPEEDDEF[TYPE],LOADINGSPEEDDEF[SPEED])</f>
        <v>60</v>
      </c>
      <c r="O497" t="str" cm="1">
        <f t="array" ref="O4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7">
        <f>IF(ISNUMBER(SEARCH("passenger",PROPERTIES[[#This Row],[CARGODEF]])),1,0)</f>
        <v>1</v>
      </c>
      <c r="Q497" s="23">
        <v>48</v>
      </c>
      <c r="R497">
        <v>1656</v>
      </c>
      <c r="S497">
        <v>0</v>
      </c>
      <c r="T497">
        <v>0</v>
      </c>
      <c r="U497">
        <v>0</v>
      </c>
      <c r="V497">
        <v>90</v>
      </c>
      <c r="W497">
        <v>0</v>
      </c>
      <c r="X497">
        <v>0</v>
      </c>
      <c r="Y497">
        <v>0</v>
      </c>
      <c r="Z497" s="20">
        <f>145/2</f>
        <v>72.5</v>
      </c>
      <c r="AA497" s="19">
        <f>IFERROR(PROPERTIES[[#This Row],[TE_STARTING_KN]]/(PROPERTIES[[#This Row],[WEIGHT]]*9.81),0)</f>
        <v>0.15396704043493034</v>
      </c>
      <c r="AB497" s="19">
        <v>0</v>
      </c>
      <c r="AC497" s="16">
        <f>ROUND(IF(IFERROR(PROPERTIES[[#This Row],[TE_COEFFICIENT_CALC]],0)=0,PROPERTIES[[#This Row],[TE_COEFFICIENT_MANUAL]],PROPERTIES[[#This Row],[TE_COEFFICIENT_CALC]]),3)</f>
        <v>0.154</v>
      </c>
      <c r="AD497" s="8" cm="1">
        <f t="array" ref="AD4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97" s="26">
        <v>102</v>
      </c>
      <c r="AF497" s="6">
        <v>7</v>
      </c>
      <c r="AG497" t="s">
        <v>233</v>
      </c>
      <c r="AH497" t="s">
        <v>229</v>
      </c>
      <c r="AI497" t="s">
        <v>229</v>
      </c>
      <c r="AJ497" s="2" t="s">
        <v>229</v>
      </c>
      <c r="AK497" s="2" t="s">
        <v>244</v>
      </c>
      <c r="AL49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7" s="2" t="str">
        <f>SUBSTITUTE(SUBSTITUTE(PROPERTIES[[#This Row],[PURCHASECOST_VALUE]], "PURCHASECOST_", ""), "_VALUE", "")</f>
        <v>DMU</v>
      </c>
      <c r="AO497" s="44" t="b">
        <v>0</v>
      </c>
      <c r="AP497" s="48" t="b">
        <v>0</v>
      </c>
      <c r="AQ497" s="48" t="b">
        <v>0</v>
      </c>
      <c r="AR497" s="48">
        <v>0</v>
      </c>
      <c r="AS497" s="48" t="b">
        <v>0</v>
      </c>
      <c r="AT497" s="7" t="b">
        <v>0</v>
      </c>
      <c r="AU497" s="40" t="str" cm="1">
        <f t="array" ref="AU497">_xlfn.XLOOKUP(PROPERTIES[[#This Row],[VEHIDCODE]],GRAPHICS_PROPERTIES[VEHIDCODE],GRAPHICS_PROPERTIES[TEMPLATE_ID]&amp;GRAPHICS_PROPERTIES[TEMPLATE_AMENDMENT_CODE])</f>
        <v>TPL_02A</v>
      </c>
    </row>
    <row r="498" spans="1:47" x14ac:dyDescent="0.35">
      <c r="A498" s="2" t="s">
        <v>3131</v>
      </c>
      <c r="B498">
        <v>2003</v>
      </c>
      <c r="D498" cm="1">
        <f t="array" ref="D4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8" s="40" t="str">
        <f>_xlfn.XLOOKUP(PROPERTIES[[#This Row],[VEHIDCODE]],CONTROL[VEHIDCODE],CONTROL[ENGLISH])</f>
        <v>Downer EDI/Hitachi Tilt Train</v>
      </c>
      <c r="F498" t="s">
        <v>541</v>
      </c>
      <c r="G498" s="40" t="str">
        <f>_xlfn.XLOOKUP(PROPERTIES[[#This Row],[COUNTRY]],COUNTRIES[COUNTRY_DESCRIPTION],COUNTRIES[COUNTRY_LABEL],"")</f>
        <v>AU</v>
      </c>
      <c r="H498" t="str" cm="1">
        <f t="array" ref="H4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8" t="s">
        <v>17</v>
      </c>
      <c r="J498">
        <v>0</v>
      </c>
      <c r="K498">
        <v>8</v>
      </c>
      <c r="M498" t="str" cm="1">
        <f t="array" ref="M4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98">
        <f>_xlfn.XLOOKUP("LOADINGSPEEDDEF_"&amp;PROPERTIES[[#This Row],[LOADINGSPEED]],LOADINGSPEEDDEF[TYPE],LOADINGSPEEDDEF[SPEED])</f>
        <v>20</v>
      </c>
      <c r="O498" t="str" cm="1">
        <f t="array" ref="O4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8">
        <f>IF(ISNUMBER(SEARCH("passenger",PROPERTIES[[#This Row],[CARGODEF]])),1,0)</f>
        <v>0</v>
      </c>
      <c r="Q498" s="23">
        <v>60</v>
      </c>
      <c r="R498">
        <v>7240</v>
      </c>
      <c r="S498">
        <v>0</v>
      </c>
      <c r="T498">
        <v>0</v>
      </c>
      <c r="U498">
        <v>0</v>
      </c>
      <c r="V498">
        <v>160</v>
      </c>
      <c r="W498">
        <v>0</v>
      </c>
      <c r="X498">
        <v>0</v>
      </c>
      <c r="Y498">
        <v>0</v>
      </c>
      <c r="Z498" s="20">
        <f>185/2</f>
        <v>92.5</v>
      </c>
      <c r="AA498" s="19">
        <f>IFERROR(PROPERTIES[[#This Row],[TE_STARTING_KN]]/(PROPERTIES[[#This Row],[WEIGHT]]*9.81),0)</f>
        <v>0.15715256540944614</v>
      </c>
      <c r="AB498" s="19">
        <v>0</v>
      </c>
      <c r="AC498" s="16">
        <f>ROUND(IF(IFERROR(PROPERTIES[[#This Row],[TE_COEFFICIENT_CALC]],0)=0,PROPERTIES[[#This Row],[TE_COEFFICIENT_MANUAL]],PROPERTIES[[#This Row],[TE_COEFFICIENT_CALC]]),3)</f>
        <v>0.157</v>
      </c>
      <c r="AD498" s="8" cm="1">
        <f t="array" ref="AD4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98" s="26">
        <v>39</v>
      </c>
      <c r="AF498" s="6">
        <v>8</v>
      </c>
      <c r="AG498" t="s">
        <v>232</v>
      </c>
      <c r="AH498" t="s">
        <v>229</v>
      </c>
      <c r="AI498" t="s">
        <v>229</v>
      </c>
      <c r="AJ498" s="2" t="s">
        <v>229</v>
      </c>
      <c r="AK498" s="2" t="s">
        <v>244</v>
      </c>
      <c r="AL498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8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8" s="2" t="str">
        <f>SUBSTITUTE(SUBSTITUTE(PROPERTIES[[#This Row],[PURCHASECOST_VALUE]], "PURCHASECOST_", ""), "_VALUE", "")</f>
        <v>DMU</v>
      </c>
      <c r="AO498" s="44" t="b">
        <v>0</v>
      </c>
      <c r="AP498" s="48" t="b">
        <v>0</v>
      </c>
      <c r="AQ498" s="48" t="b">
        <v>1</v>
      </c>
      <c r="AR498" s="48">
        <v>0</v>
      </c>
      <c r="AS498" s="48" t="b">
        <v>0</v>
      </c>
      <c r="AT498" s="7" t="b">
        <v>0</v>
      </c>
      <c r="AU498" s="40" t="str" cm="1">
        <f t="array" ref="AU498">_xlfn.XLOOKUP(PROPERTIES[[#This Row],[VEHIDCODE]],GRAPHICS_PROPERTIES[VEHIDCODE],GRAPHICS_PROPERTIES[TEMPLATE_ID]&amp;GRAPHICS_PROPERTIES[TEMPLATE_AMENDMENT_CODE])</f>
        <v>TPL_02A</v>
      </c>
    </row>
    <row r="499" spans="1:47" x14ac:dyDescent="0.35">
      <c r="A499" s="2" t="s">
        <v>3132</v>
      </c>
      <c r="B499">
        <v>2013</v>
      </c>
      <c r="D499" cm="1">
        <f t="array" ref="D4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9" s="40" t="str">
        <f>_xlfn.XLOOKUP(PROPERTIES[[#This Row],[VEHIDCODE]],CONTROL[VEHIDCODE],CONTROL[ENGLISH])</f>
        <v>Nippon Sharyo 1000 Series</v>
      </c>
      <c r="F499" t="s">
        <v>565</v>
      </c>
      <c r="G499" s="40" t="str">
        <f>_xlfn.XLOOKUP(PROPERTIES[[#This Row],[COUNTRY]],COUNTRIES[COUNTRY_DESCRIPTION],COUNTRIES[COUNTRY_LABEL],"")</f>
        <v>CA</v>
      </c>
      <c r="H499" t="str" cm="1">
        <f t="array" ref="H4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9" t="s">
        <v>15</v>
      </c>
      <c r="J499">
        <v>80</v>
      </c>
      <c r="K499">
        <v>8</v>
      </c>
      <c r="M499" t="str" cm="1">
        <f t="array" ref="M4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9">
        <f>_xlfn.XLOOKUP("LOADINGSPEEDDEF_"&amp;PROPERTIES[[#This Row],[LOADINGSPEED]],LOADINGSPEEDDEF[TYPE],LOADINGSPEEDDEF[SPEED])</f>
        <v>60</v>
      </c>
      <c r="O499" t="str" cm="1">
        <f t="array" ref="O4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9">
        <f>IF(ISNUMBER(SEARCH("passenger",PROPERTIES[[#This Row],[CARGODEF]])),1,0)</f>
        <v>1</v>
      </c>
      <c r="Q499" s="23">
        <v>67.5</v>
      </c>
      <c r="R499">
        <v>1520</v>
      </c>
      <c r="S499">
        <v>0</v>
      </c>
      <c r="T499">
        <v>0</v>
      </c>
      <c r="U499">
        <v>0</v>
      </c>
      <c r="V499">
        <v>128</v>
      </c>
      <c r="W499">
        <v>0</v>
      </c>
      <c r="X499">
        <v>0</v>
      </c>
      <c r="Y499">
        <v>0</v>
      </c>
      <c r="Z499" s="20">
        <f>130/2</f>
        <v>65</v>
      </c>
      <c r="AA499" s="19">
        <f>IFERROR(PROPERTIES[[#This Row],[TE_STARTING_KN]]/(PROPERTIES[[#This Row],[WEIGHT]]*9.81),0)</f>
        <v>9.816136217767206E-2</v>
      </c>
      <c r="AB499" s="19">
        <v>0</v>
      </c>
      <c r="AC499" s="16">
        <f>ROUND(IF(IFERROR(PROPERTIES[[#This Row],[TE_COEFFICIENT_CALC]],0)=0,PROPERTIES[[#This Row],[TE_COEFFICIENT_MANUAL]],PROPERTIES[[#This Row],[TE_COEFFICIENT_CALC]]),3)</f>
        <v>9.8000000000000004E-2</v>
      </c>
      <c r="AD499" s="8" cm="1">
        <f t="array" ref="AD4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99" s="26">
        <v>80</v>
      </c>
      <c r="AF499" s="6">
        <v>8</v>
      </c>
      <c r="AG499" t="s">
        <v>235</v>
      </c>
      <c r="AH499" t="s">
        <v>229</v>
      </c>
      <c r="AI499" t="s">
        <v>229</v>
      </c>
      <c r="AJ499" s="2" t="s">
        <v>229</v>
      </c>
      <c r="AK499" s="2" t="s">
        <v>244</v>
      </c>
      <c r="AL499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9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9" s="2" t="str">
        <f>SUBSTITUTE(SUBSTITUTE(PROPERTIES[[#This Row],[PURCHASECOST_VALUE]], "PURCHASECOST_", ""), "_VALUE", "")</f>
        <v>DMU</v>
      </c>
      <c r="AO499" s="44" t="b">
        <v>0</v>
      </c>
      <c r="AP499" s="48" t="b">
        <v>0</v>
      </c>
      <c r="AQ499" s="48" t="b">
        <v>0</v>
      </c>
      <c r="AR499" s="48">
        <v>0</v>
      </c>
      <c r="AS499" s="48" t="b">
        <v>0</v>
      </c>
      <c r="AT499" s="7" t="b">
        <v>0</v>
      </c>
      <c r="AU499" s="40" t="str" cm="1">
        <f t="array" ref="AU499">_xlfn.XLOOKUP(PROPERTIES[[#This Row],[VEHIDCODE]],GRAPHICS_PROPERTIES[VEHIDCODE],GRAPHICS_PROPERTIES[TEMPLATE_ID]&amp;GRAPHICS_PROPERTIES[TEMPLATE_AMENDMENT_CODE])</f>
        <v>TPL_02A</v>
      </c>
    </row>
    <row r="500" spans="1:47" x14ac:dyDescent="0.35">
      <c r="A500" s="2" t="s">
        <v>3133</v>
      </c>
      <c r="B500">
        <v>2015</v>
      </c>
      <c r="D500" cm="1">
        <f t="array" ref="D5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0" s="40" t="str">
        <f>_xlfn.XLOOKUP(PROPERTIES[[#This Row],[VEHIDCODE]],CONTROL[VEHIDCODE],CONTROL[ENGLISH])</f>
        <v>Materfer CMM 400-2</v>
      </c>
      <c r="F500" t="s">
        <v>538</v>
      </c>
      <c r="G500" s="40" t="str">
        <f>_xlfn.XLOOKUP(PROPERTIES[[#This Row],[COUNTRY]],COUNTRIES[COUNTRY_DESCRIPTION],COUNTRIES[COUNTRY_LABEL],"")</f>
        <v>AR</v>
      </c>
      <c r="H500" t="str" cm="1">
        <f t="array" ref="H5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0" t="s">
        <v>15</v>
      </c>
      <c r="J500">
        <v>70</v>
      </c>
      <c r="K500">
        <v>8</v>
      </c>
      <c r="M500" t="str" cm="1">
        <f t="array" ref="M5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0">
        <f>_xlfn.XLOOKUP("LOADINGSPEEDDEF_"&amp;PROPERTIES[[#This Row],[LOADINGSPEED]],LOADINGSPEEDDEF[TYPE],LOADINGSPEEDDEF[SPEED])</f>
        <v>60</v>
      </c>
      <c r="O500" t="str" cm="1">
        <f t="array" ref="O5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00">
        <f>IF(ISNUMBER(SEARCH("passenger",PROPERTIES[[#This Row],[CARGODEF]])),1,0)</f>
        <v>1</v>
      </c>
      <c r="Q500" s="23">
        <v>48</v>
      </c>
      <c r="R500">
        <v>800</v>
      </c>
      <c r="S500">
        <v>0</v>
      </c>
      <c r="T500">
        <v>0</v>
      </c>
      <c r="U500">
        <v>0</v>
      </c>
      <c r="V500">
        <v>120</v>
      </c>
      <c r="W500">
        <v>0</v>
      </c>
      <c r="X500">
        <v>0</v>
      </c>
      <c r="Y500">
        <v>0</v>
      </c>
      <c r="Z500" s="20">
        <f>85/2</f>
        <v>42.5</v>
      </c>
      <c r="AA500" s="19">
        <f>IFERROR(PROPERTIES[[#This Row],[TE_STARTING_KN]]/(PROPERTIES[[#This Row],[WEIGHT]]*9.81),0)</f>
        <v>9.0256540944614341E-2</v>
      </c>
      <c r="AB500" s="19">
        <v>0</v>
      </c>
      <c r="AC500" s="16">
        <f>ROUND(IF(IFERROR(PROPERTIES[[#This Row],[TE_COEFFICIENT_CALC]],0)=0,PROPERTIES[[#This Row],[TE_COEFFICIENT_MANUAL]],PROPERTIES[[#This Row],[TE_COEFFICIENT_CALC]]),3)</f>
        <v>0.09</v>
      </c>
      <c r="AD500" s="8" cm="1">
        <f t="array" ref="AD5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00" s="26">
        <v>70</v>
      </c>
      <c r="AF500" s="6">
        <v>8</v>
      </c>
      <c r="AG500" t="s">
        <v>237</v>
      </c>
      <c r="AH500" t="s">
        <v>229</v>
      </c>
      <c r="AI500" t="s">
        <v>229</v>
      </c>
      <c r="AJ500" s="2" t="s">
        <v>229</v>
      </c>
      <c r="AK500" s="2" t="s">
        <v>244</v>
      </c>
      <c r="AL50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0" s="2" t="str">
        <f>SUBSTITUTE(SUBSTITUTE(PROPERTIES[[#This Row],[PURCHASECOST_VALUE]], "PURCHASECOST_", ""), "_VALUE", "")</f>
        <v>DMU</v>
      </c>
      <c r="AO500" s="44" t="b">
        <v>0</v>
      </c>
      <c r="AP500" s="48" t="b">
        <v>0</v>
      </c>
      <c r="AQ500" s="48" t="b">
        <v>0</v>
      </c>
      <c r="AR500" s="48">
        <v>0</v>
      </c>
      <c r="AS500" s="48" t="b">
        <v>0</v>
      </c>
      <c r="AT500" s="7" t="b">
        <v>0</v>
      </c>
      <c r="AU500" s="40" t="str" cm="1">
        <f t="array" ref="AU500">_xlfn.XLOOKUP(PROPERTIES[[#This Row],[VEHIDCODE]],GRAPHICS_PROPERTIES[VEHIDCODE],GRAPHICS_PROPERTIES[TEMPLATE_ID]&amp;GRAPHICS_PROPERTIES[TEMPLATE_AMENDMENT_CODE])</f>
        <v>TPL_02A</v>
      </c>
    </row>
    <row r="501" spans="1:47" x14ac:dyDescent="0.35">
      <c r="A501" s="2" t="s">
        <v>3134</v>
      </c>
      <c r="B501">
        <v>1955</v>
      </c>
      <c r="C501">
        <v>1995</v>
      </c>
      <c r="D501" cm="1">
        <f t="array" ref="D5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1" s="40" t="str">
        <f>_xlfn.XLOOKUP(PROPERTIES[[#This Row],[VEHIDCODE]],CONTROL[VEHIDCODE],CONTROL[ENGLISH])</f>
        <v>Fiat ALn 442-448</v>
      </c>
      <c r="F501" t="s">
        <v>636</v>
      </c>
      <c r="G501" s="40" t="str">
        <f>_xlfn.XLOOKUP(PROPERTIES[[#This Row],[COUNTRY]],COUNTRIES[COUNTRY_DESCRIPTION],COUNTRIES[COUNTRY_LABEL],"")</f>
        <v>IT</v>
      </c>
      <c r="H501" t="str" cm="1">
        <f t="array" ref="H5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1" t="s">
        <v>15</v>
      </c>
      <c r="J501">
        <v>60</v>
      </c>
      <c r="K501">
        <v>8</v>
      </c>
      <c r="M501" t="str" cm="1">
        <f t="array" ref="M5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1">
        <f>_xlfn.XLOOKUP("LOADINGSPEEDDEF_"&amp;PROPERTIES[[#This Row],[LOADINGSPEED]],LOADINGSPEEDDEF[TYPE],LOADINGSPEEDDEF[SPEED])</f>
        <v>60</v>
      </c>
      <c r="O501" cm="1">
        <f t="array" ref="O5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1">
        <f>IF(ISNUMBER(SEARCH("passenger",PROPERTIES[[#This Row],[CARGODEF]])),1,0)</f>
        <v>1</v>
      </c>
      <c r="Q501" s="23">
        <v>52</v>
      </c>
      <c r="R501">
        <v>1250</v>
      </c>
      <c r="S501">
        <v>0</v>
      </c>
      <c r="T501">
        <v>0</v>
      </c>
      <c r="U501">
        <v>0</v>
      </c>
      <c r="V501">
        <v>140</v>
      </c>
      <c r="W501">
        <v>0</v>
      </c>
      <c r="X501">
        <v>0</v>
      </c>
      <c r="Y501">
        <v>0</v>
      </c>
      <c r="Z501" s="20">
        <f>98/2</f>
        <v>49</v>
      </c>
      <c r="AA501" s="19">
        <f>IFERROR(PROPERTIES[[#This Row],[TE_STARTING_KN]]/(PROPERTIES[[#This Row],[WEIGHT]]*9.81),0)</f>
        <v>9.6055830000784131E-2</v>
      </c>
      <c r="AB501" s="19">
        <v>0</v>
      </c>
      <c r="AC501" s="16">
        <f>ROUND(IF(IFERROR(PROPERTIES[[#This Row],[TE_COEFFICIENT_CALC]],0)=0,PROPERTIES[[#This Row],[TE_COEFFICIENT_MANUAL]],PROPERTIES[[#This Row],[TE_COEFFICIENT_CALC]]),3)</f>
        <v>9.6000000000000002E-2</v>
      </c>
      <c r="AD501" s="8" cm="1">
        <f t="array" ref="AD5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1" s="26">
        <v>60</v>
      </c>
      <c r="AF501" s="6">
        <v>8</v>
      </c>
      <c r="AG501" t="s">
        <v>231</v>
      </c>
      <c r="AH501" t="s">
        <v>229</v>
      </c>
      <c r="AI501" t="s">
        <v>229</v>
      </c>
      <c r="AJ501" s="2" t="s">
        <v>229</v>
      </c>
      <c r="AK501" s="2" t="s">
        <v>244</v>
      </c>
      <c r="AL50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1" s="2" t="str">
        <f>SUBSTITUTE(SUBSTITUTE(PROPERTIES[[#This Row],[PURCHASECOST_VALUE]], "PURCHASECOST_", ""), "_VALUE", "")</f>
        <v>DMU</v>
      </c>
      <c r="AO501" s="44" t="b">
        <v>0</v>
      </c>
      <c r="AP501" s="48" t="b">
        <v>0</v>
      </c>
      <c r="AQ501" s="48" t="b">
        <v>0</v>
      </c>
      <c r="AR501" s="48">
        <v>0</v>
      </c>
      <c r="AS501" s="48" t="b">
        <v>0</v>
      </c>
      <c r="AT501" s="7" t="b">
        <v>0</v>
      </c>
      <c r="AU501" s="40" t="str" cm="1">
        <f t="array" ref="AU501">_xlfn.XLOOKUP(PROPERTIES[[#This Row],[VEHIDCODE]],GRAPHICS_PROPERTIES[VEHIDCODE],GRAPHICS_PROPERTIES[TEMPLATE_ID]&amp;GRAPHICS_PROPERTIES[TEMPLATE_AMENDMENT_CODE])</f>
        <v>TPL_02A</v>
      </c>
    </row>
    <row r="502" spans="1:47" x14ac:dyDescent="0.35">
      <c r="A502" s="2" t="s">
        <v>3135</v>
      </c>
      <c r="B502">
        <v>1965</v>
      </c>
      <c r="C502">
        <v>1999</v>
      </c>
      <c r="D502" cm="1">
        <f t="array" ref="D5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2" s="40" t="str">
        <f>_xlfn.XLOOKUP(PROPERTIES[[#This Row],[VEHIDCODE]],CONTROL[VEHIDCODE],CONTROL[ENGLISH])</f>
        <v>Sorefame CP 0400</v>
      </c>
      <c r="F502" t="s">
        <v>710</v>
      </c>
      <c r="G502" s="40" t="str">
        <f>_xlfn.XLOOKUP(PROPERTIES[[#This Row],[COUNTRY]],COUNTRIES[COUNTRY_DESCRIPTION],COUNTRIES[COUNTRY_LABEL],"")</f>
        <v>PT</v>
      </c>
      <c r="H502" t="str" cm="1">
        <f t="array" ref="H5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2" t="s">
        <v>15</v>
      </c>
      <c r="J502">
        <f>INT(185/2)</f>
        <v>92</v>
      </c>
      <c r="K502">
        <v>8</v>
      </c>
      <c r="M502" t="str" cm="1">
        <f t="array" ref="M5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2">
        <f>_xlfn.XLOOKUP("LOADINGSPEEDDEF_"&amp;PROPERTIES[[#This Row],[LOADINGSPEED]],LOADINGSPEEDDEF[TYPE],LOADINGSPEEDDEF[SPEED])</f>
        <v>60</v>
      </c>
      <c r="O502" cm="1">
        <f t="array" ref="O5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2">
        <f>IF(ISNUMBER(SEARCH("passenger",PROPERTIES[[#This Row],[CARGODEF]])),1,0)</f>
        <v>1</v>
      </c>
      <c r="Q502" s="23">
        <v>49</v>
      </c>
      <c r="R502">
        <f>520*2</f>
        <v>1040</v>
      </c>
      <c r="S502">
        <v>0</v>
      </c>
      <c r="T502">
        <v>0</v>
      </c>
      <c r="U502">
        <v>0</v>
      </c>
      <c r="V502">
        <v>110</v>
      </c>
      <c r="W502">
        <v>0</v>
      </c>
      <c r="X502">
        <v>0</v>
      </c>
      <c r="Y502">
        <v>0</v>
      </c>
      <c r="Z502" s="20">
        <f>66/2</f>
        <v>33</v>
      </c>
      <c r="AA502" s="19">
        <f>IFERROR(PROPERTIES[[#This Row],[TE_STARTING_KN]]/(PROPERTIES[[#This Row],[WEIGHT]]*9.81),0)</f>
        <v>6.865131373650378E-2</v>
      </c>
      <c r="AB502" s="19">
        <v>0</v>
      </c>
      <c r="AC502" s="16">
        <f>ROUND(IF(IFERROR(PROPERTIES[[#This Row],[TE_COEFFICIENT_CALC]],0)=0,PROPERTIES[[#This Row],[TE_COEFFICIENT_MANUAL]],PROPERTIES[[#This Row],[TE_COEFFICIENT_CALC]]),3)</f>
        <v>6.9000000000000006E-2</v>
      </c>
      <c r="AD502" s="8" cm="1">
        <f t="array" ref="AD5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2" s="35">
        <f>INT(185/2)</f>
        <v>92</v>
      </c>
      <c r="AF502" s="6">
        <v>8</v>
      </c>
      <c r="AG502" t="s">
        <v>231</v>
      </c>
      <c r="AH502" t="s">
        <v>229</v>
      </c>
      <c r="AI502" t="s">
        <v>229</v>
      </c>
      <c r="AJ502" s="2" t="s">
        <v>229</v>
      </c>
      <c r="AK502" s="2" t="s">
        <v>244</v>
      </c>
      <c r="AL50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2" s="2" t="str">
        <f>SUBSTITUTE(SUBSTITUTE(PROPERTIES[[#This Row],[PURCHASECOST_VALUE]], "PURCHASECOST_", ""), "_VALUE", "")</f>
        <v>DMU</v>
      </c>
      <c r="AO502" s="44" t="b">
        <v>0</v>
      </c>
      <c r="AP502" s="48" t="b">
        <v>0</v>
      </c>
      <c r="AQ502" s="48" t="b">
        <v>0</v>
      </c>
      <c r="AR502" s="48">
        <v>0</v>
      </c>
      <c r="AS502" s="48" t="b">
        <v>0</v>
      </c>
      <c r="AT502" s="7" t="b">
        <v>0</v>
      </c>
      <c r="AU502" s="40" t="str" cm="1">
        <f t="array" ref="AU502">_xlfn.XLOOKUP(PROPERTIES[[#This Row],[VEHIDCODE]],GRAPHICS_PROPERTIES[VEHIDCODE],GRAPHICS_PROPERTIES[TEMPLATE_ID]&amp;GRAPHICS_PROPERTIES[TEMPLATE_AMENDMENT_CODE])</f>
        <v>TPL_02A</v>
      </c>
    </row>
    <row r="503" spans="1:47" x14ac:dyDescent="0.35">
      <c r="A503" s="2" t="s">
        <v>3136</v>
      </c>
      <c r="B503">
        <v>1979</v>
      </c>
      <c r="C503">
        <v>2011</v>
      </c>
      <c r="D503" cm="1">
        <f t="array" ref="D5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3" s="40" t="str">
        <f>_xlfn.XLOOKUP(PROPERTIES[[#This Row],[VEHIDCODE]],CONTROL[VEHIDCODE],CONTROL[ENGLISH])</f>
        <v>Sorefame CP 0600</v>
      </c>
      <c r="F503" t="s">
        <v>710</v>
      </c>
      <c r="G503" s="40" t="str">
        <f>_xlfn.XLOOKUP(PROPERTIES[[#This Row],[COUNTRY]],COUNTRIES[COUNTRY_DESCRIPTION],COUNTRIES[COUNTRY_LABEL],"")</f>
        <v>PT</v>
      </c>
      <c r="H503" t="str" cm="1">
        <f t="array" ref="H5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3" t="s">
        <v>15</v>
      </c>
      <c r="J503">
        <f>INT(194/2)</f>
        <v>97</v>
      </c>
      <c r="K503">
        <v>8</v>
      </c>
      <c r="M503" t="str" cm="1">
        <f t="array" ref="M5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3">
        <f>_xlfn.XLOOKUP("LOADINGSPEEDDEF_"&amp;PROPERTIES[[#This Row],[LOADINGSPEED]],LOADINGSPEEDDEF[TYPE],LOADINGSPEEDDEF[SPEED])</f>
        <v>60</v>
      </c>
      <c r="O503" cm="1">
        <f t="array" ref="O5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3">
        <f>IF(ISNUMBER(SEARCH("passenger",PROPERTIES[[#This Row],[CARGODEF]])),1,0)</f>
        <v>1</v>
      </c>
      <c r="Q503" s="23">
        <v>53</v>
      </c>
      <c r="R503">
        <f>776*2</f>
        <v>1552</v>
      </c>
      <c r="S503">
        <v>0</v>
      </c>
      <c r="T503">
        <v>0</v>
      </c>
      <c r="U503">
        <v>0</v>
      </c>
      <c r="V503">
        <v>120</v>
      </c>
      <c r="W503">
        <v>0</v>
      </c>
      <c r="X503">
        <v>0</v>
      </c>
      <c r="Y503">
        <v>0</v>
      </c>
      <c r="Z503" s="20">
        <f>114/2</f>
        <v>57</v>
      </c>
      <c r="AA503" s="19">
        <f>IFERROR(PROPERTIES[[#This Row],[TE_STARTING_KN]]/(PROPERTIES[[#This Row],[WEIGHT]]*9.81),0)</f>
        <v>0.10963014251918526</v>
      </c>
      <c r="AB503" s="19">
        <v>0</v>
      </c>
      <c r="AC503" s="16">
        <f>ROUND(IF(IFERROR(PROPERTIES[[#This Row],[TE_COEFFICIENT_CALC]],0)=0,PROPERTIES[[#This Row],[TE_COEFFICIENT_MANUAL]],PROPERTIES[[#This Row],[TE_COEFFICIENT_CALC]]),3)</f>
        <v>0.11</v>
      </c>
      <c r="AD503" s="8" cm="1">
        <f t="array" ref="AD5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3" s="26">
        <f>INT(194/2)</f>
        <v>97</v>
      </c>
      <c r="AF503" s="6">
        <v>8</v>
      </c>
      <c r="AG503" t="s">
        <v>231</v>
      </c>
      <c r="AH503" t="s">
        <v>229</v>
      </c>
      <c r="AI503" t="s">
        <v>229</v>
      </c>
      <c r="AJ503" s="2" t="s">
        <v>229</v>
      </c>
      <c r="AK503" s="2" t="s">
        <v>244</v>
      </c>
      <c r="AL50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3" s="2" t="str">
        <f>SUBSTITUTE(SUBSTITUTE(PROPERTIES[[#This Row],[PURCHASECOST_VALUE]], "PURCHASECOST_", ""), "_VALUE", "")</f>
        <v>DMU</v>
      </c>
      <c r="AO503" s="44" t="b">
        <v>0</v>
      </c>
      <c r="AP503" s="48" t="b">
        <v>0</v>
      </c>
      <c r="AQ503" s="48" t="b">
        <v>0</v>
      </c>
      <c r="AR503" s="48">
        <v>0</v>
      </c>
      <c r="AS503" s="48" t="b">
        <v>0</v>
      </c>
      <c r="AT503" s="7" t="b">
        <v>0</v>
      </c>
      <c r="AU503" s="40" t="str" cm="1">
        <f t="array" ref="AU503">_xlfn.XLOOKUP(PROPERTIES[[#This Row],[VEHIDCODE]],GRAPHICS_PROPERTIES[VEHIDCODE],GRAPHICS_PROPERTIES[TEMPLATE_ID]&amp;GRAPHICS_PROPERTIES[TEMPLATE_AMENDMENT_CODE])</f>
        <v>TPL_02A</v>
      </c>
    </row>
    <row r="504" spans="1:47" x14ac:dyDescent="0.35">
      <c r="A504" s="2" t="s">
        <v>3137</v>
      </c>
      <c r="B504">
        <v>1983</v>
      </c>
      <c r="D504" cm="1">
        <f t="array" ref="D5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4" s="40" t="str">
        <f>_xlfn.XLOOKUP(PROPERTIES[[#This Row],[VEHIDCODE]],CONTROL[VEHIDCODE],CONTROL[ENGLISH])</f>
        <v>MTM 2400 'Apollos'</v>
      </c>
      <c r="F504" t="s">
        <v>595</v>
      </c>
      <c r="G504" s="40" t="str">
        <f>_xlfn.XLOOKUP(PROPERTIES[[#This Row],[COUNTRY]],COUNTRIES[COUNTRY_DESCRIPTION],COUNTRIES[COUNTRY_LABEL],"")</f>
        <v>ES</v>
      </c>
      <c r="H504" t="str" cm="1">
        <f t="array" ref="H5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4" t="s">
        <v>15</v>
      </c>
      <c r="J504">
        <f>INT(350/3)</f>
        <v>116</v>
      </c>
      <c r="K504">
        <v>7</v>
      </c>
      <c r="L504">
        <v>0</v>
      </c>
      <c r="M504" t="str" cm="1">
        <f t="array" ref="M5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4">
        <f>_xlfn.XLOOKUP("LOADINGSPEEDDEF_"&amp;PROPERTIES[[#This Row],[LOADINGSPEED]],LOADINGSPEEDDEF[TYPE],LOADINGSPEEDDEF[SPEED])</f>
        <v>60</v>
      </c>
      <c r="O504" cm="1">
        <f t="array" ref="O5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4">
        <f>IF(ISNUMBER(SEARCH("passenger",PROPERTIES[[#This Row],[CARGODEF]])),1,0)</f>
        <v>1</v>
      </c>
      <c r="Q504" s="23">
        <v>44</v>
      </c>
      <c r="R504">
        <v>720</v>
      </c>
      <c r="S504">
        <v>0</v>
      </c>
      <c r="T504">
        <v>0</v>
      </c>
      <c r="U504">
        <v>0</v>
      </c>
      <c r="V504">
        <v>100</v>
      </c>
      <c r="W504">
        <v>0</v>
      </c>
      <c r="X504">
        <v>0</v>
      </c>
      <c r="Y504">
        <v>0</v>
      </c>
      <c r="Z504" s="20">
        <v>0</v>
      </c>
      <c r="AA504" s="19">
        <f>IFERROR(PROPERTIES[[#This Row],[TE_STARTING_KN]]/(PROPERTIES[[#This Row],[WEIGHT]]*9.81),0)</f>
        <v>0</v>
      </c>
      <c r="AB504" s="19">
        <v>0.2</v>
      </c>
      <c r="AC504" s="16">
        <f>ROUND(IF(IFERROR(PROPERTIES[[#This Row],[TE_COEFFICIENT_CALC]],0)=0,PROPERTIES[[#This Row],[TE_COEFFICIENT_MANUAL]],PROPERTIES[[#This Row],[TE_COEFFICIENT_CALC]]),3)</f>
        <v>0.2</v>
      </c>
      <c r="AD504" s="8" cm="1">
        <f t="array" ref="AD5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4" s="26">
        <f>INT(350/3)</f>
        <v>116</v>
      </c>
      <c r="AF504" s="6">
        <v>7</v>
      </c>
      <c r="AG504" t="s">
        <v>231</v>
      </c>
      <c r="AH504" t="s">
        <v>229</v>
      </c>
      <c r="AI504" t="s">
        <v>229</v>
      </c>
      <c r="AJ504" s="2" t="s">
        <v>229</v>
      </c>
      <c r="AK504" s="2" t="s">
        <v>244</v>
      </c>
      <c r="AL50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4" s="2" t="str">
        <f>SUBSTITUTE(SUBSTITUTE(PROPERTIES[[#This Row],[PURCHASECOST_VALUE]], "PURCHASECOST_", ""), "_VALUE", "")</f>
        <v>DMU</v>
      </c>
      <c r="AO504" s="44" t="b">
        <v>0</v>
      </c>
      <c r="AP504" s="48" t="b">
        <v>0</v>
      </c>
      <c r="AQ504" s="48" t="b">
        <v>0</v>
      </c>
      <c r="AR504" s="48">
        <v>0</v>
      </c>
      <c r="AS504" s="48" t="b">
        <v>0</v>
      </c>
      <c r="AT504" s="7" t="b">
        <v>0</v>
      </c>
      <c r="AU504" s="40" t="str" cm="1">
        <f t="array" ref="AU504">_xlfn.XLOOKUP(PROPERTIES[[#This Row],[VEHIDCODE]],GRAPHICS_PROPERTIES[VEHIDCODE],GRAPHICS_PROPERTIES[TEMPLATE_ID]&amp;GRAPHICS_PROPERTIES[TEMPLATE_AMENDMENT_CODE])</f>
        <v>TPL_02A</v>
      </c>
    </row>
    <row r="505" spans="1:47" x14ac:dyDescent="0.35">
      <c r="A505" s="2" t="s">
        <v>3138</v>
      </c>
      <c r="B505">
        <v>1996</v>
      </c>
      <c r="D505" cm="1">
        <f t="array" ref="D5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5" s="40" t="str">
        <f>_xlfn.XLOOKUP(PROPERTIES[[#This Row],[VEHIDCODE]],CONTROL[VEHIDCODE],CONTROL[ENGLISH])</f>
        <v>Windhoff CargoSprinter</v>
      </c>
      <c r="F505" t="s">
        <v>584</v>
      </c>
      <c r="G505" s="40" t="str">
        <f>_xlfn.XLOOKUP(PROPERTIES[[#This Row],[COUNTRY]],COUNTRIES[COUNTRY_DESCRIPTION],COUNTRIES[COUNTRY_LABEL],"")</f>
        <v>DE</v>
      </c>
      <c r="H505" t="str" cm="1">
        <f t="array" ref="H5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5" t="s">
        <v>24</v>
      </c>
      <c r="J505">
        <v>40</v>
      </c>
      <c r="K505">
        <v>8</v>
      </c>
      <c r="M505" t="str" cm="1">
        <f t="array" ref="M5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05">
        <f>_xlfn.XLOOKUP("LOADINGSPEEDDEF_"&amp;PROPERTIES[[#This Row],[LOADINGSPEED]],LOADINGSPEEDDEF[TYPE],LOADINGSPEEDDEF[SPEED])</f>
        <v>20</v>
      </c>
      <c r="O505" t="str" cm="1">
        <f t="array" ref="O5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05">
        <f>IF(ISNUMBER(SEARCH("passenger",PROPERTIES[[#This Row],[CARGODEF]])),1,0)</f>
        <v>0</v>
      </c>
      <c r="Q505" s="23">
        <f>111/2</f>
        <v>55.5</v>
      </c>
      <c r="R505">
        <f>355*2</f>
        <v>710</v>
      </c>
      <c r="S505">
        <v>0</v>
      </c>
      <c r="T505">
        <v>0</v>
      </c>
      <c r="U505">
        <v>0</v>
      </c>
      <c r="V505">
        <v>120</v>
      </c>
      <c r="W505">
        <v>0</v>
      </c>
      <c r="X505">
        <v>0</v>
      </c>
      <c r="Y505">
        <v>0</v>
      </c>
      <c r="Z505" s="20">
        <v>0</v>
      </c>
      <c r="AA505" s="19">
        <f>IFERROR(PROPERTIES[[#This Row],[TE_STARTING_KN]]/(PROPERTIES[[#This Row],[WEIGHT]]*9.81),0)</f>
        <v>0</v>
      </c>
      <c r="AB505" s="19">
        <v>0.17</v>
      </c>
      <c r="AC505" s="16">
        <f>ROUND(IF(IFERROR(PROPERTIES[[#This Row],[TE_COEFFICIENT_CALC]],0)=0,PROPERTIES[[#This Row],[TE_COEFFICIENT_MANUAL]],PROPERTIES[[#This Row],[TE_COEFFICIENT_CALC]]),3)</f>
        <v>0.17</v>
      </c>
      <c r="AD505" s="8" cm="1">
        <f t="array" ref="AD5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5" s="26">
        <v>40</v>
      </c>
      <c r="AF505" s="6">
        <v>7</v>
      </c>
      <c r="AG505" t="s">
        <v>230</v>
      </c>
      <c r="AH505" t="s">
        <v>229</v>
      </c>
      <c r="AI505" t="s">
        <v>229</v>
      </c>
      <c r="AJ505" s="2" t="s">
        <v>229</v>
      </c>
      <c r="AK505" s="2" t="s">
        <v>244</v>
      </c>
      <c r="AL50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5" s="2" t="str">
        <f>SUBSTITUTE(SUBSTITUTE(PROPERTIES[[#This Row],[PURCHASECOST_VALUE]], "PURCHASECOST_", ""), "_VALUE", "")</f>
        <v>DMU</v>
      </c>
      <c r="AO505" s="44" t="b">
        <v>0</v>
      </c>
      <c r="AP505" s="48" t="b">
        <v>0</v>
      </c>
      <c r="AQ505" s="48" t="b">
        <v>0</v>
      </c>
      <c r="AR505" s="48">
        <v>0</v>
      </c>
      <c r="AS505" s="48" t="b">
        <v>0</v>
      </c>
      <c r="AT505" s="7" t="b">
        <v>0</v>
      </c>
      <c r="AU505" s="40" t="str" cm="1">
        <f t="array" ref="AU505">_xlfn.XLOOKUP(PROPERTIES[[#This Row],[VEHIDCODE]],GRAPHICS_PROPERTIES[VEHIDCODE],GRAPHICS_PROPERTIES[TEMPLATE_ID]&amp;GRAPHICS_PROPERTIES[TEMPLATE_AMENDMENT_CODE])</f>
        <v>TPL_42A</v>
      </c>
    </row>
    <row r="506" spans="1:47" x14ac:dyDescent="0.35">
      <c r="A506" s="2" t="s">
        <v>3139</v>
      </c>
      <c r="B506">
        <v>2011</v>
      </c>
      <c r="D506" cm="1">
        <f t="array" ref="D5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6" s="40" t="str">
        <f>_xlfn.XLOOKUP(PROPERTIES[[#This Row],[VEHIDCODE]],CONTROL[VEHIDCODE],CONTROL[ENGLISH])</f>
        <v>Downer/CRRC/Hitachi 'Waratah'</v>
      </c>
      <c r="F506" t="s">
        <v>541</v>
      </c>
      <c r="G506" s="40" t="str">
        <f>_xlfn.XLOOKUP(PROPERTIES[[#This Row],[COUNTRY]],COUNTRIES[COUNTRY_DESCRIPTION],COUNTRIES[COUNTRY_LABEL],"")</f>
        <v>AU</v>
      </c>
      <c r="H506" t="str" cm="1">
        <f t="array" ref="H5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06" t="s">
        <v>15</v>
      </c>
      <c r="J506">
        <v>110</v>
      </c>
      <c r="K506">
        <v>8</v>
      </c>
      <c r="M506" t="str" cm="1">
        <f t="array" ref="M5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6">
        <f>_xlfn.XLOOKUP("LOADINGSPEEDDEF_"&amp;PROPERTIES[[#This Row],[LOADINGSPEED]],LOADINGSPEEDDEF[TYPE],LOADINGSPEEDDEF[SPEED])</f>
        <v>60</v>
      </c>
      <c r="O506" t="str" cm="1">
        <f t="array" ref="O5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06">
        <f>IF(ISNUMBER(SEARCH("passenger",PROPERTIES[[#This Row],[CARGODEF]])),1,0)</f>
        <v>1</v>
      </c>
      <c r="Q506" s="23">
        <v>51</v>
      </c>
      <c r="R506">
        <f>INT(16*245)</f>
        <v>3920</v>
      </c>
      <c r="S506">
        <v>0</v>
      </c>
      <c r="T506">
        <v>0</v>
      </c>
      <c r="U506">
        <v>0</v>
      </c>
      <c r="V506">
        <v>130</v>
      </c>
      <c r="W506">
        <v>0</v>
      </c>
      <c r="X506">
        <v>0</v>
      </c>
      <c r="Y506">
        <v>0</v>
      </c>
      <c r="Z506" s="20">
        <f>110/2</f>
        <v>55</v>
      </c>
      <c r="AA506" s="19">
        <f>IFERROR(PROPERTIES[[#This Row],[TE_STARTING_KN]]/(PROPERTIES[[#This Row],[WEIGHT]]*9.81),0)</f>
        <v>0.10993184225780016</v>
      </c>
      <c r="AB506" s="19">
        <v>0</v>
      </c>
      <c r="AC506" s="16">
        <f>ROUND(IF(IFERROR(PROPERTIES[[#This Row],[TE_COEFFICIENT_CALC]],0)=0,PROPERTIES[[#This Row],[TE_COEFFICIENT_MANUAL]],PROPERTIES[[#This Row],[TE_COEFFICIENT_CALC]]),3)</f>
        <v>0.11</v>
      </c>
      <c r="AD506" s="8" cm="1">
        <f t="array" ref="AD5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06" s="26">
        <v>110</v>
      </c>
      <c r="AF506" s="6">
        <v>8</v>
      </c>
      <c r="AG506" t="s">
        <v>232</v>
      </c>
      <c r="AH506" t="s">
        <v>229</v>
      </c>
      <c r="AI506" t="s">
        <v>229</v>
      </c>
      <c r="AJ506" s="2" t="s">
        <v>229</v>
      </c>
      <c r="AK506" s="2" t="s">
        <v>244</v>
      </c>
      <c r="AL50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0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06" s="2" t="str">
        <f>SUBSTITUTE(SUBSTITUTE(PROPERTIES[[#This Row],[PURCHASECOST_VALUE]], "PURCHASECOST_", ""), "_VALUE", "")</f>
        <v>EMU</v>
      </c>
      <c r="AO506" s="44" t="b">
        <v>0</v>
      </c>
      <c r="AP506" s="48" t="b">
        <v>0</v>
      </c>
      <c r="AQ506" s="48" t="b">
        <v>0</v>
      </c>
      <c r="AR506" s="48">
        <v>0</v>
      </c>
      <c r="AS506" s="48" t="b">
        <v>0</v>
      </c>
      <c r="AT506" s="7" t="b">
        <v>0</v>
      </c>
      <c r="AU506" s="40" t="str" cm="1">
        <f t="array" ref="AU506">_xlfn.XLOOKUP(PROPERTIES[[#This Row],[VEHIDCODE]],GRAPHICS_PROPERTIES[VEHIDCODE],GRAPHICS_PROPERTIES[TEMPLATE_ID]&amp;GRAPHICS_PROPERTIES[TEMPLATE_AMENDMENT_CODE])</f>
        <v>TPL_02A</v>
      </c>
    </row>
    <row r="507" spans="1:47" x14ac:dyDescent="0.35">
      <c r="A507" s="2" t="s">
        <v>3140</v>
      </c>
      <c r="B507">
        <v>1966</v>
      </c>
      <c r="C507">
        <v>1973</v>
      </c>
      <c r="D507" cm="1">
        <f t="array" ref="D5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7" s="40" t="str">
        <f>_xlfn.XLOOKUP(PROPERTIES[[#This Row],[VEHIDCODE]],CONTROL[VEHIDCODE],CONTROL[ENGLISH])</f>
        <v>Frichs &amp; Scandia S-Tog II</v>
      </c>
      <c r="F507" t="s">
        <v>586</v>
      </c>
      <c r="G507" s="40" t="str">
        <f>_xlfn.XLOOKUP(PROPERTIES[[#This Row],[COUNTRY]],COUNTRIES[COUNTRY_DESCRIPTION],COUNTRIES[COUNTRY_LABEL],"")</f>
        <v>DK</v>
      </c>
      <c r="H507" t="str" cm="1">
        <f t="array" ref="H5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07" t="s">
        <v>15</v>
      </c>
      <c r="J507">
        <v>56</v>
      </c>
      <c r="K507">
        <v>8</v>
      </c>
      <c r="M507" t="str" cm="1">
        <f t="array" ref="M5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7">
        <f>_xlfn.XLOOKUP("LOADINGSPEEDDEF_"&amp;PROPERTIES[[#This Row],[LOADINGSPEED]],LOADINGSPEEDDEF[TYPE],LOADINGSPEEDDEF[SPEED])</f>
        <v>60</v>
      </c>
      <c r="O507" cm="1">
        <f t="array" ref="O5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7">
        <f>IF(ISNUMBER(SEARCH("passenger",PROPERTIES[[#This Row],[CARGODEF]])),1,0)</f>
        <v>1</v>
      </c>
      <c r="Q507" s="23">
        <v>43</v>
      </c>
      <c r="R507">
        <v>400</v>
      </c>
      <c r="S507">
        <v>0</v>
      </c>
      <c r="T507">
        <v>0</v>
      </c>
      <c r="U507">
        <v>0</v>
      </c>
      <c r="V507">
        <v>100</v>
      </c>
      <c r="W507">
        <v>0</v>
      </c>
      <c r="X507">
        <v>0</v>
      </c>
      <c r="Y507">
        <v>0</v>
      </c>
      <c r="Z507" s="20">
        <f>60/2</f>
        <v>30</v>
      </c>
      <c r="AA507" s="19">
        <f>IFERROR(PROPERTIES[[#This Row],[TE_STARTING_KN]]/(PROPERTIES[[#This Row],[WEIGHT]]*9.81),0)</f>
        <v>7.1118697105469017E-2</v>
      </c>
      <c r="AB507" s="19">
        <v>0</v>
      </c>
      <c r="AC507" s="16">
        <f>ROUND(IF(IFERROR(PROPERTIES[[#This Row],[TE_COEFFICIENT_CALC]],0)=0,PROPERTIES[[#This Row],[TE_COEFFICIENT_MANUAL]],PROPERTIES[[#This Row],[TE_COEFFICIENT_CALC]]),3)</f>
        <v>7.0999999999999994E-2</v>
      </c>
      <c r="AD507" s="8" cm="1">
        <f t="array" ref="AD5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7" s="26">
        <v>56</v>
      </c>
      <c r="AF507" s="6">
        <v>8</v>
      </c>
      <c r="AG507" t="s">
        <v>234</v>
      </c>
      <c r="AH507" t="s">
        <v>229</v>
      </c>
      <c r="AI507" t="s">
        <v>229</v>
      </c>
      <c r="AJ507" s="2" t="s">
        <v>229</v>
      </c>
      <c r="AK507" s="2" t="s">
        <v>244</v>
      </c>
      <c r="AL50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0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07" s="2" t="str">
        <f>SUBSTITUTE(SUBSTITUTE(PROPERTIES[[#This Row],[PURCHASECOST_VALUE]], "PURCHASECOST_", ""), "_VALUE", "")</f>
        <v>EMU</v>
      </c>
      <c r="AO507" s="44" t="b">
        <v>0</v>
      </c>
      <c r="AP507" s="48" t="b">
        <v>0</v>
      </c>
      <c r="AQ507" s="48" t="b">
        <v>0</v>
      </c>
      <c r="AR507" s="48">
        <v>0</v>
      </c>
      <c r="AS507" s="48" t="b">
        <v>0</v>
      </c>
      <c r="AT507" s="7" t="b">
        <v>0</v>
      </c>
      <c r="AU507" s="40" t="str" cm="1">
        <f t="array" ref="AU507">_xlfn.XLOOKUP(PROPERTIES[[#This Row],[VEHIDCODE]],GRAPHICS_PROPERTIES[VEHIDCODE],GRAPHICS_PROPERTIES[TEMPLATE_ID]&amp;GRAPHICS_PROPERTIES[TEMPLATE_AMENDMENT_CODE])</f>
        <v>TPL_02D</v>
      </c>
    </row>
    <row r="508" spans="1:47" x14ac:dyDescent="0.35">
      <c r="A508" s="2" t="s">
        <v>3141</v>
      </c>
      <c r="B508">
        <v>1996</v>
      </c>
      <c r="C508">
        <v>1962</v>
      </c>
      <c r="D508" cm="1">
        <f t="array" ref="D5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8" s="40" t="str">
        <f>_xlfn.XLOOKUP(PROPERTIES[[#This Row],[VEHIDCODE]],CONTROL[VEHIDCODE],CONTROL[ENGLISH])</f>
        <v>Alsthom S-Tog IV</v>
      </c>
      <c r="F508" t="s">
        <v>586</v>
      </c>
      <c r="G508" s="40" t="str">
        <f>_xlfn.XLOOKUP(PROPERTIES[[#This Row],[COUNTRY]],COUNTRIES[COUNTRY_DESCRIPTION],COUNTRIES[COUNTRY_LABEL],"")</f>
        <v>DK</v>
      </c>
      <c r="H508" t="str" cm="1">
        <f t="array" ref="H5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08" t="s">
        <v>15</v>
      </c>
      <c r="J508">
        <v>90</v>
      </c>
      <c r="K508">
        <v>5</v>
      </c>
      <c r="L508">
        <v>0</v>
      </c>
      <c r="M508" t="str" cm="1">
        <f t="array" ref="M5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8">
        <f>_xlfn.XLOOKUP("LOADINGSPEEDDEF_"&amp;PROPERTIES[[#This Row],[LOADINGSPEED]],LOADINGSPEEDDEF[TYPE],LOADINGSPEEDDEF[SPEED])</f>
        <v>60</v>
      </c>
      <c r="O508" t="str" cm="1">
        <f t="array" ref="O5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08">
        <f>IF(ISNUMBER(SEARCH("passenger",PROPERTIES[[#This Row],[CARGODEF]])),1,0)</f>
        <v>1</v>
      </c>
      <c r="Q508" s="23">
        <f>63/2</f>
        <v>31.5</v>
      </c>
      <c r="R508">
        <v>1150</v>
      </c>
      <c r="S508">
        <v>0</v>
      </c>
      <c r="T508">
        <v>0</v>
      </c>
      <c r="U508">
        <v>0</v>
      </c>
      <c r="V508">
        <v>120</v>
      </c>
      <c r="W508">
        <v>0</v>
      </c>
      <c r="X508">
        <v>0</v>
      </c>
      <c r="Y508">
        <v>0</v>
      </c>
      <c r="Z508" s="20">
        <f>75/2</f>
        <v>37.5</v>
      </c>
      <c r="AA508" s="19">
        <f>IFERROR(PROPERTIES[[#This Row],[TE_STARTING_KN]]/(PROPERTIES[[#This Row],[WEIGHT]]*9.81),0)</f>
        <v>0.12135333236250666</v>
      </c>
      <c r="AB508" s="19">
        <v>0</v>
      </c>
      <c r="AC508" s="16">
        <f>ROUND(IF(IFERROR(PROPERTIES[[#This Row],[TE_COEFFICIENT_CALC]],0)=0,PROPERTIES[[#This Row],[TE_COEFFICIENT_MANUAL]],PROPERTIES[[#This Row],[TE_COEFFICIENT_CALC]]),3)</f>
        <v>0.121</v>
      </c>
      <c r="AD508" s="8" cm="1">
        <f t="array" ref="AD5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8" s="26">
        <v>90</v>
      </c>
      <c r="AF508" s="6">
        <v>5</v>
      </c>
      <c r="AG508" t="s">
        <v>234</v>
      </c>
      <c r="AH508" t="s">
        <v>229</v>
      </c>
      <c r="AI508" t="s">
        <v>229</v>
      </c>
      <c r="AJ508" s="2" t="s">
        <v>229</v>
      </c>
      <c r="AK508" s="2" t="s">
        <v>244</v>
      </c>
      <c r="AL50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0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08" s="2" t="str">
        <f>SUBSTITUTE(SUBSTITUTE(PROPERTIES[[#This Row],[PURCHASECOST_VALUE]], "PURCHASECOST_", ""), "_VALUE", "")</f>
        <v>EMU</v>
      </c>
      <c r="AO508" s="44" t="b">
        <v>0</v>
      </c>
      <c r="AP508" s="48" t="b">
        <v>0</v>
      </c>
      <c r="AQ508" s="48" t="b">
        <v>0</v>
      </c>
      <c r="AR508" s="48">
        <v>0</v>
      </c>
      <c r="AS508" s="48" t="b">
        <v>0</v>
      </c>
      <c r="AT508" s="7" t="b">
        <v>0</v>
      </c>
      <c r="AU508" s="40" t="str" cm="1">
        <f t="array" ref="AU508">_xlfn.XLOOKUP(PROPERTIES[[#This Row],[VEHIDCODE]],GRAPHICS_PROPERTIES[VEHIDCODE],GRAPHICS_PROPERTIES[TEMPLATE_ID]&amp;GRAPHICS_PROPERTIES[TEMPLATE_AMENDMENT_CODE])</f>
        <v>TPL_02D</v>
      </c>
    </row>
    <row r="509" spans="1:47" x14ac:dyDescent="0.35">
      <c r="A509" s="2" t="s">
        <v>3142</v>
      </c>
      <c r="B509">
        <v>1932</v>
      </c>
      <c r="D509" cm="1">
        <f t="array" ref="D5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9" s="40" t="str">
        <f>_xlfn.XLOOKUP(PROPERTIES[[#This Row],[VEHIDCODE]],CONTROL[VEHIDCODE],CONTROL[ENGLISH])</f>
        <v>TIBB ECD 21-30</v>
      </c>
      <c r="F509" t="s">
        <v>636</v>
      </c>
      <c r="G509" s="40" t="str">
        <f>_xlfn.XLOOKUP(PROPERTIES[[#This Row],[COUNTRY]],COUNTRIES[COUNTRY_DESCRIPTION],COUNTRIES[COUNTRY_LABEL],"")</f>
        <v>IT</v>
      </c>
      <c r="H509" t="str" cm="1">
        <f t="array" ref="H5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09" t="s">
        <v>15</v>
      </c>
      <c r="J509">
        <v>34</v>
      </c>
      <c r="K509">
        <v>8</v>
      </c>
      <c r="M509" t="str" cm="1">
        <f t="array" ref="M5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9">
        <f>_xlfn.XLOOKUP("LOADINGSPEEDDEF_"&amp;PROPERTIES[[#This Row],[LOADINGSPEED]],LOADINGSPEEDDEF[TYPE],LOADINGSPEEDDEF[SPEED])</f>
        <v>60</v>
      </c>
      <c r="O509" cm="1">
        <f t="array" ref="O5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9">
        <f>IF(ISNUMBER(SEARCH("passenger",PROPERTIES[[#This Row],[CARGODEF]])),1,0)</f>
        <v>1</v>
      </c>
      <c r="Q509" s="23">
        <f>74/2</f>
        <v>37</v>
      </c>
      <c r="R509">
        <v>650</v>
      </c>
      <c r="S509">
        <v>0</v>
      </c>
      <c r="T509">
        <v>0</v>
      </c>
      <c r="U509">
        <v>0</v>
      </c>
      <c r="V509">
        <v>72</v>
      </c>
      <c r="W509">
        <v>0</v>
      </c>
      <c r="X509">
        <v>0</v>
      </c>
      <c r="Y509">
        <v>0</v>
      </c>
      <c r="Z509" s="20">
        <f>60/2</f>
        <v>30</v>
      </c>
      <c r="AA509" s="19">
        <f>IFERROR(PROPERTIES[[#This Row],[TE_STARTING_KN]]/(PROPERTIES[[#This Row],[WEIGHT]]*9.81),0)</f>
        <v>8.2651458798247784E-2</v>
      </c>
      <c r="AB509" s="19">
        <v>0</v>
      </c>
      <c r="AC509" s="16">
        <f>ROUND(IF(IFERROR(PROPERTIES[[#This Row],[TE_COEFFICIENT_CALC]],0)=0,PROPERTIES[[#This Row],[TE_COEFFICIENT_MANUAL]],PROPERTIES[[#This Row],[TE_COEFFICIENT_CALC]]),3)</f>
        <v>8.3000000000000004E-2</v>
      </c>
      <c r="AD509" s="8" cm="1">
        <f t="array" ref="AD5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09" s="26">
        <v>50</v>
      </c>
      <c r="AF509" s="6">
        <v>8</v>
      </c>
      <c r="AG509" t="s">
        <v>231</v>
      </c>
      <c r="AH509" t="s">
        <v>229</v>
      </c>
      <c r="AI509" t="s">
        <v>229</v>
      </c>
      <c r="AJ509" s="2" t="s">
        <v>229</v>
      </c>
      <c r="AK509" s="2" t="s">
        <v>244</v>
      </c>
      <c r="AL50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0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09" s="2" t="str">
        <f>SUBSTITUTE(SUBSTITUTE(PROPERTIES[[#This Row],[PURCHASECOST_VALUE]], "PURCHASECOST_", ""), "_VALUE", "")</f>
        <v>EMU</v>
      </c>
      <c r="AO509" s="44" t="b">
        <v>0</v>
      </c>
      <c r="AP509" s="48" t="b">
        <v>0</v>
      </c>
      <c r="AQ509" s="48" t="b">
        <v>0</v>
      </c>
      <c r="AR509" s="48">
        <v>0</v>
      </c>
      <c r="AS509" s="48" t="b">
        <v>0</v>
      </c>
      <c r="AT509" s="7" t="b">
        <v>0</v>
      </c>
      <c r="AU509" s="40" t="str" cm="1">
        <f t="array" ref="AU509">_xlfn.XLOOKUP(PROPERTIES[[#This Row],[VEHIDCODE]],GRAPHICS_PROPERTIES[VEHIDCODE],GRAPHICS_PROPERTIES[TEMPLATE_ID]&amp;GRAPHICS_PROPERTIES[TEMPLATE_AMENDMENT_CODE])</f>
        <v>TPL_02A</v>
      </c>
    </row>
    <row r="510" spans="1:47" x14ac:dyDescent="0.35">
      <c r="A510" s="2" t="s">
        <v>3143</v>
      </c>
      <c r="B510">
        <v>1924</v>
      </c>
      <c r="C510">
        <v>1959</v>
      </c>
      <c r="D510" cm="1">
        <f t="array" ref="D5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0" s="40" t="str">
        <f>_xlfn.XLOOKUP(PROPERTIES[[#This Row],[VEHIDCODE]],CONTROL[VEHIDCODE],CONTROL[ENGLISH])</f>
        <v>Werkspoor Mat'24</v>
      </c>
      <c r="F510" t="s">
        <v>692</v>
      </c>
      <c r="G510" s="40" t="str">
        <f>_xlfn.XLOOKUP(PROPERTIES[[#This Row],[COUNTRY]],COUNTRIES[COUNTRY_DESCRIPTION],COUNTRIES[COUNTRY_LABEL],"")</f>
        <v>NL</v>
      </c>
      <c r="H510" t="str" cm="1">
        <f t="array" ref="H5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0" t="s">
        <v>15</v>
      </c>
      <c r="J510">
        <v>44</v>
      </c>
      <c r="K510">
        <v>8</v>
      </c>
      <c r="M510" t="str" cm="1">
        <f t="array" ref="M5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0">
        <f>_xlfn.XLOOKUP("LOADINGSPEEDDEF_"&amp;PROPERTIES[[#This Row],[LOADINGSPEED]],LOADINGSPEEDDEF[TYPE],LOADINGSPEEDDEF[SPEED])</f>
        <v>60</v>
      </c>
      <c r="O510" cm="1">
        <f t="array" ref="O5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0">
        <f>IF(ISNUMBER(SEARCH("passenger",PROPERTIES[[#This Row],[CARGODEF]])),1,0)</f>
        <v>1</v>
      </c>
      <c r="Q510" s="23">
        <v>55</v>
      </c>
      <c r="R510">
        <v>888</v>
      </c>
      <c r="S510">
        <v>0</v>
      </c>
      <c r="T510">
        <v>0</v>
      </c>
      <c r="U510">
        <v>0</v>
      </c>
      <c r="V510">
        <v>100</v>
      </c>
      <c r="W510">
        <v>0</v>
      </c>
      <c r="X510">
        <v>0</v>
      </c>
      <c r="Y510">
        <v>0</v>
      </c>
      <c r="Z510" s="20">
        <f>120/2</f>
        <v>60</v>
      </c>
      <c r="AA510" s="19">
        <f>IFERROR(PROPERTIES[[#This Row],[TE_STARTING_KN]]/(PROPERTIES[[#This Row],[WEIGHT]]*9.81),0)</f>
        <v>0.11120378092855156</v>
      </c>
      <c r="AB510" s="19">
        <v>0</v>
      </c>
      <c r="AC510" s="16">
        <f>ROUND(IF(IFERROR(PROPERTIES[[#This Row],[TE_COEFFICIENT_CALC]],0)=0,PROPERTIES[[#This Row],[TE_COEFFICIENT_MANUAL]],PROPERTIES[[#This Row],[TE_COEFFICIENT_CALC]]),3)</f>
        <v>0.111</v>
      </c>
      <c r="AD510" s="8" cm="1">
        <f t="array" ref="AD5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510" s="26">
        <v>88</v>
      </c>
      <c r="AF510" s="6">
        <v>8</v>
      </c>
      <c r="AG510" t="s">
        <v>230</v>
      </c>
      <c r="AH510" t="s">
        <v>229</v>
      </c>
      <c r="AI510" t="s">
        <v>229</v>
      </c>
      <c r="AJ510" s="2" t="s">
        <v>229</v>
      </c>
      <c r="AK510" s="2" t="s">
        <v>244</v>
      </c>
      <c r="AL51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0" s="2" t="str">
        <f>SUBSTITUTE(SUBSTITUTE(PROPERTIES[[#This Row],[PURCHASECOST_VALUE]], "PURCHASECOST_", ""), "_VALUE", "")</f>
        <v>EMU</v>
      </c>
      <c r="AO510" s="44" t="b">
        <v>0</v>
      </c>
      <c r="AP510" s="48" t="b">
        <v>0</v>
      </c>
      <c r="AQ510" s="48" t="b">
        <v>0</v>
      </c>
      <c r="AR510" s="48">
        <v>0</v>
      </c>
      <c r="AS510" s="48" t="b">
        <v>0</v>
      </c>
      <c r="AT510" s="7" t="b">
        <v>0</v>
      </c>
      <c r="AU510" s="40" t="str" cm="1">
        <f t="array" ref="AU510">_xlfn.XLOOKUP(PROPERTIES[[#This Row],[VEHIDCODE]],GRAPHICS_PROPERTIES[VEHIDCODE],GRAPHICS_PROPERTIES[TEMPLATE_ID]&amp;GRAPHICS_PROPERTIES[TEMPLATE_AMENDMENT_CODE])</f>
        <v>TPL_02A</v>
      </c>
    </row>
    <row r="511" spans="1:47" x14ac:dyDescent="0.35">
      <c r="A511" s="2" t="s">
        <v>3144</v>
      </c>
      <c r="B511">
        <v>1936</v>
      </c>
      <c r="C511">
        <v>1970</v>
      </c>
      <c r="D511" cm="1">
        <f t="array" ref="D5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1" s="40" t="str">
        <f>_xlfn.XLOOKUP(PROPERTIES[[#This Row],[VEHIDCODE]],CONTROL[VEHIDCODE],CONTROL[ENGLISH])</f>
        <v>Werkspoor Mat'36</v>
      </c>
      <c r="F511" t="s">
        <v>692</v>
      </c>
      <c r="G511" s="40" t="str">
        <f>_xlfn.XLOOKUP(PROPERTIES[[#This Row],[COUNTRY]],COUNTRIES[COUNTRY_DESCRIPTION],COUNTRIES[COUNTRY_LABEL],"")</f>
        <v>NL</v>
      </c>
      <c r="H511" t="str" cm="1">
        <f t="array" ref="H5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1" t="s">
        <v>15</v>
      </c>
      <c r="J511">
        <f>144/2</f>
        <v>72</v>
      </c>
      <c r="K511">
        <v>8</v>
      </c>
      <c r="M511" t="str" cm="1">
        <f t="array" ref="M5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1">
        <f>_xlfn.XLOOKUP("LOADINGSPEEDDEF_"&amp;PROPERTIES[[#This Row],[LOADINGSPEED]],LOADINGSPEEDDEF[TYPE],LOADINGSPEEDDEF[SPEED])</f>
        <v>60</v>
      </c>
      <c r="O511" cm="1">
        <f t="array" ref="O5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1">
        <f>IF(ISNUMBER(SEARCH("passenger",PROPERTIES[[#This Row],[CARGODEF]])),1,0)</f>
        <v>1</v>
      </c>
      <c r="Q511" s="23">
        <f>85/2</f>
        <v>42.5</v>
      </c>
      <c r="R511">
        <v>1032</v>
      </c>
      <c r="S511">
        <v>0</v>
      </c>
      <c r="T511">
        <v>0</v>
      </c>
      <c r="U511">
        <v>0</v>
      </c>
      <c r="V511">
        <v>125</v>
      </c>
      <c r="W511">
        <v>0</v>
      </c>
      <c r="X511">
        <v>0</v>
      </c>
      <c r="Y511">
        <v>0</v>
      </c>
      <c r="Z511" s="20">
        <f>85/2</f>
        <v>42.5</v>
      </c>
      <c r="AA511" s="19">
        <f>IFERROR(PROPERTIES[[#This Row],[TE_STARTING_KN]]/(PROPERTIES[[#This Row],[WEIGHT]]*9.81),0)</f>
        <v>0.1019367991845056</v>
      </c>
      <c r="AB511" s="19">
        <v>0</v>
      </c>
      <c r="AC511" s="16">
        <f>ROUND(IF(IFERROR(PROPERTIES[[#This Row],[TE_COEFFICIENT_CALC]],0)=0,PROPERTIES[[#This Row],[TE_COEFFICIENT_MANUAL]],PROPERTIES[[#This Row],[TE_COEFFICIENT_CALC]]),3)</f>
        <v>0.10199999999999999</v>
      </c>
      <c r="AD511" s="8" cm="1">
        <f t="array" ref="AD5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511" s="26">
        <v>72</v>
      </c>
      <c r="AF511" s="6">
        <v>8</v>
      </c>
      <c r="AG511" t="s">
        <v>230</v>
      </c>
      <c r="AH511" t="s">
        <v>229</v>
      </c>
      <c r="AI511" t="s">
        <v>229</v>
      </c>
      <c r="AJ511" s="2" t="s">
        <v>229</v>
      </c>
      <c r="AK511" s="2" t="s">
        <v>244</v>
      </c>
      <c r="AL51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1" s="2" t="str">
        <f>SUBSTITUTE(SUBSTITUTE(PROPERTIES[[#This Row],[PURCHASECOST_VALUE]], "PURCHASECOST_", ""), "_VALUE", "")</f>
        <v>EMU</v>
      </c>
      <c r="AO511" s="44" t="b">
        <v>0</v>
      </c>
      <c r="AP511" s="48" t="b">
        <v>0</v>
      </c>
      <c r="AQ511" s="48" t="b">
        <v>0</v>
      </c>
      <c r="AR511" s="48">
        <v>0</v>
      </c>
      <c r="AS511" s="48" t="b">
        <v>0</v>
      </c>
      <c r="AT511" s="7" t="b">
        <v>0</v>
      </c>
      <c r="AU511" s="40" t="str" cm="1">
        <f t="array" ref="AU511">_xlfn.XLOOKUP(PROPERTIES[[#This Row],[VEHIDCODE]],GRAPHICS_PROPERTIES[VEHIDCODE],GRAPHICS_PROPERTIES[TEMPLATE_ID]&amp;GRAPHICS_PROPERTIES[TEMPLATE_AMENDMENT_CODE])</f>
        <v>TPL_02A</v>
      </c>
    </row>
    <row r="512" spans="1:47" x14ac:dyDescent="0.35">
      <c r="A512" s="2" t="s">
        <v>3145</v>
      </c>
      <c r="B512">
        <v>1954</v>
      </c>
      <c r="C512">
        <v>1993</v>
      </c>
      <c r="D512" cm="1">
        <f t="array" ref="D5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2" s="40" t="str">
        <f>_xlfn.XLOOKUP(PROPERTIES[[#This Row],[VEHIDCODE]],CONTROL[VEHIDCODE],CONTROL[ENGLISH])</f>
        <v>Werkspoor Mat'54</v>
      </c>
      <c r="F512" t="s">
        <v>692</v>
      </c>
      <c r="G512" s="40" t="str">
        <f>_xlfn.XLOOKUP(PROPERTIES[[#This Row],[COUNTRY]],COUNTRIES[COUNTRY_DESCRIPTION],COUNTRIES[COUNTRY_LABEL],"")</f>
        <v>NL</v>
      </c>
      <c r="H512" t="str" cm="1">
        <f t="array" ref="H5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2" t="s">
        <v>15</v>
      </c>
      <c r="J512">
        <f>INT(113/2)</f>
        <v>56</v>
      </c>
      <c r="K512">
        <v>8</v>
      </c>
      <c r="M512" t="str" cm="1">
        <f t="array" ref="M5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2">
        <f>_xlfn.XLOOKUP("LOADINGSPEEDDEF_"&amp;PROPERTIES[[#This Row],[LOADINGSPEED]],LOADINGSPEEDDEF[TYPE],LOADINGSPEEDDEF[SPEED])</f>
        <v>60</v>
      </c>
      <c r="O512" cm="1">
        <f t="array" ref="O5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2">
        <f>IF(ISNUMBER(SEARCH("passenger",PROPERTIES[[#This Row],[CARGODEF]])),1,0)</f>
        <v>1</v>
      </c>
      <c r="Q512" s="23">
        <f>109/2</f>
        <v>54.5</v>
      </c>
      <c r="R512">
        <v>910</v>
      </c>
      <c r="S512">
        <v>0</v>
      </c>
      <c r="T512">
        <v>0</v>
      </c>
      <c r="U512">
        <v>0</v>
      </c>
      <c r="V512">
        <v>140</v>
      </c>
      <c r="W512">
        <v>0</v>
      </c>
      <c r="X512">
        <v>0</v>
      </c>
      <c r="Y512">
        <v>0</v>
      </c>
      <c r="Z512" s="20">
        <f>110/2</f>
        <v>55</v>
      </c>
      <c r="AA512" s="19">
        <f>IFERROR(PROPERTIES[[#This Row],[TE_STARTING_KN]]/(PROPERTIES[[#This Row],[WEIGHT]]*9.81),0)</f>
        <v>0.10287199917702401</v>
      </c>
      <c r="AB512" s="19">
        <v>0</v>
      </c>
      <c r="AC512" s="16">
        <f>ROUND(IF(IFERROR(PROPERTIES[[#This Row],[TE_COEFFICIENT_CALC]],0)=0,PROPERTIES[[#This Row],[TE_COEFFICIENT_MANUAL]],PROPERTIES[[#This Row],[TE_COEFFICIENT_CALC]]),3)</f>
        <v>0.10299999999999999</v>
      </c>
      <c r="AD512" s="8" cm="1">
        <f t="array" ref="AD5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12" s="26">
        <v>56</v>
      </c>
      <c r="AF512" s="6">
        <v>8</v>
      </c>
      <c r="AG512" t="s">
        <v>230</v>
      </c>
      <c r="AH512" t="s">
        <v>229</v>
      </c>
      <c r="AI512" t="s">
        <v>229</v>
      </c>
      <c r="AJ512" s="2" t="s">
        <v>229</v>
      </c>
      <c r="AK512" s="2" t="s">
        <v>244</v>
      </c>
      <c r="AL51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2" s="2" t="str">
        <f>SUBSTITUTE(SUBSTITUTE(PROPERTIES[[#This Row],[PURCHASECOST_VALUE]], "PURCHASECOST_", ""), "_VALUE", "")</f>
        <v>EMU</v>
      </c>
      <c r="AO512" s="44" t="b">
        <v>0</v>
      </c>
      <c r="AP512" s="48" t="b">
        <v>0</v>
      </c>
      <c r="AQ512" s="48" t="b">
        <v>0</v>
      </c>
      <c r="AR512" s="48">
        <v>0</v>
      </c>
      <c r="AS512" s="48" t="b">
        <v>0</v>
      </c>
      <c r="AT512" s="7" t="b">
        <v>0</v>
      </c>
      <c r="AU512" s="40" t="str" cm="1">
        <f t="array" ref="AU512">_xlfn.XLOOKUP(PROPERTIES[[#This Row],[VEHIDCODE]],GRAPHICS_PROPERTIES[VEHIDCODE],GRAPHICS_PROPERTIES[TEMPLATE_ID]&amp;GRAPHICS_PROPERTIES[TEMPLATE_AMENDMENT_CODE])</f>
        <v>TPL_02A</v>
      </c>
    </row>
    <row r="513" spans="1:47" x14ac:dyDescent="0.35">
      <c r="A513" s="2" t="s">
        <v>3146</v>
      </c>
      <c r="B513">
        <v>1975</v>
      </c>
      <c r="C513">
        <v>2018</v>
      </c>
      <c r="D513" cm="1">
        <f t="array" ref="D5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3" s="40" t="str">
        <f>_xlfn.XLOOKUP(PROPERTIES[[#This Row],[VEHIDCODE]],CONTROL[VEHIDCODE],CONTROL[ENGLISH])</f>
        <v>Talbot Plan Y</v>
      </c>
      <c r="F513" t="s">
        <v>692</v>
      </c>
      <c r="G513" s="40" t="str">
        <f>_xlfn.XLOOKUP(PROPERTIES[[#This Row],[COUNTRY]],COUNTRIES[COUNTRY_DESCRIPTION],COUNTRIES[COUNTRY_LABEL],"")</f>
        <v>NL</v>
      </c>
      <c r="H513" t="str" cm="1">
        <f t="array" ref="H5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3" t="s">
        <v>15</v>
      </c>
      <c r="J513">
        <v>77</v>
      </c>
      <c r="K513">
        <v>8</v>
      </c>
      <c r="M513" t="str" cm="1">
        <f t="array" ref="M5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3">
        <f>_xlfn.XLOOKUP("LOADINGSPEEDDEF_"&amp;PROPERTIES[[#This Row],[LOADINGSPEED]],LOADINGSPEEDDEF[TYPE],LOADINGSPEEDDEF[SPEED])</f>
        <v>60</v>
      </c>
      <c r="O513" cm="1">
        <f t="array" ref="O5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3">
        <f>IF(ISNUMBER(SEARCH("passenger",PROPERTIES[[#This Row],[CARGODEF]])),1,0)</f>
        <v>1</v>
      </c>
      <c r="Q513" s="23">
        <v>53</v>
      </c>
      <c r="R513">
        <v>1720</v>
      </c>
      <c r="S513">
        <v>0</v>
      </c>
      <c r="T513">
        <v>0</v>
      </c>
      <c r="U513">
        <v>0</v>
      </c>
      <c r="V513">
        <v>125</v>
      </c>
      <c r="W513">
        <v>0</v>
      </c>
      <c r="X513">
        <v>0</v>
      </c>
      <c r="Y513">
        <v>0</v>
      </c>
      <c r="Z513" s="20">
        <f>160/2</f>
        <v>80</v>
      </c>
      <c r="AA513" s="19">
        <f>IFERROR(PROPERTIES[[#This Row],[TE_STARTING_KN]]/(PROPERTIES[[#This Row],[WEIGHT]]*9.81),0)</f>
        <v>0.15386686669359334</v>
      </c>
      <c r="AB513" s="19">
        <v>0</v>
      </c>
      <c r="AC513" s="16">
        <f>ROUND(IF(IFERROR(PROPERTIES[[#This Row],[TE_COEFFICIENT_CALC]],0)=0,PROPERTIES[[#This Row],[TE_COEFFICIENT_MANUAL]],PROPERTIES[[#This Row],[TE_COEFFICIENT_CALC]]),3)</f>
        <v>0.154</v>
      </c>
      <c r="AD513" s="8" cm="1">
        <f t="array" ref="AD5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513" s="26">
        <v>77</v>
      </c>
      <c r="AF513" s="6">
        <v>8</v>
      </c>
      <c r="AG513" t="s">
        <v>230</v>
      </c>
      <c r="AH513" t="s">
        <v>229</v>
      </c>
      <c r="AI513" t="s">
        <v>229</v>
      </c>
      <c r="AJ513" s="2" t="s">
        <v>229</v>
      </c>
      <c r="AK513" s="2" t="s">
        <v>244</v>
      </c>
      <c r="AL51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3" s="2" t="str">
        <f>SUBSTITUTE(SUBSTITUTE(PROPERTIES[[#This Row],[PURCHASECOST_VALUE]], "PURCHASECOST_", ""), "_VALUE", "")</f>
        <v>EMU</v>
      </c>
      <c r="AO513" s="44" t="b">
        <v>0</v>
      </c>
      <c r="AP513" s="48" t="b">
        <v>0</v>
      </c>
      <c r="AQ513" s="48" t="b">
        <v>0</v>
      </c>
      <c r="AR513" s="48">
        <v>0</v>
      </c>
      <c r="AS513" s="48" t="b">
        <v>0</v>
      </c>
      <c r="AT513" s="7" t="b">
        <v>0</v>
      </c>
      <c r="AU513" s="40" t="str" cm="1">
        <f t="array" ref="AU513">_xlfn.XLOOKUP(PROPERTIES[[#This Row],[VEHIDCODE]],GRAPHICS_PROPERTIES[VEHIDCODE],GRAPHICS_PROPERTIES[TEMPLATE_ID]&amp;GRAPHICS_PROPERTIES[TEMPLATE_AMENDMENT_CODE])</f>
        <v>TPL_02A</v>
      </c>
    </row>
    <row r="514" spans="1:47" x14ac:dyDescent="0.35">
      <c r="A514" s="2" t="s">
        <v>3147</v>
      </c>
      <c r="B514">
        <v>1979</v>
      </c>
      <c r="C514">
        <v>2003</v>
      </c>
      <c r="D514" cm="1">
        <f t="array" ref="D5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4" s="40" t="str">
        <f>_xlfn.XLOOKUP(PROPERTIES[[#This Row],[VEHIDCODE]],CONTROL[VEHIDCODE],CONTROL[ENGLISH])</f>
        <v>Talbot ICM 4000</v>
      </c>
      <c r="F514" t="s">
        <v>692</v>
      </c>
      <c r="G514" s="40" t="str">
        <f>_xlfn.XLOOKUP(PROPERTIES[[#This Row],[COUNTRY]],COUNTRIES[COUNTRY_DESCRIPTION],COUNTRIES[COUNTRY_LABEL],"")</f>
        <v>NL</v>
      </c>
      <c r="H514" t="str" cm="1">
        <f t="array" ref="H5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4" t="s">
        <v>15</v>
      </c>
      <c r="J514">
        <f>INT(205/2)</f>
        <v>102</v>
      </c>
      <c r="K514">
        <v>8</v>
      </c>
      <c r="M514" t="str" cm="1">
        <f t="array" ref="M5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4">
        <f>_xlfn.XLOOKUP("LOADINGSPEEDDEF_"&amp;PROPERTIES[[#This Row],[LOADINGSPEED]],LOADINGSPEEDDEF[TYPE],LOADINGSPEEDDEF[SPEED])</f>
        <v>60</v>
      </c>
      <c r="O514" cm="1">
        <f t="array" ref="O5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4">
        <f>IF(ISNUMBER(SEARCH("passenger",PROPERTIES[[#This Row],[CARGODEF]])),1,0)</f>
        <v>1</v>
      </c>
      <c r="Q514" s="23">
        <f>144/2</f>
        <v>72</v>
      </c>
      <c r="R514">
        <v>1720</v>
      </c>
      <c r="S514">
        <v>0</v>
      </c>
      <c r="T514">
        <v>0</v>
      </c>
      <c r="U514">
        <v>0</v>
      </c>
      <c r="V514">
        <v>140</v>
      </c>
      <c r="W514">
        <v>0</v>
      </c>
      <c r="X514">
        <v>0</v>
      </c>
      <c r="Y514">
        <v>0</v>
      </c>
      <c r="Z514" s="20">
        <f>100/2</f>
        <v>50</v>
      </c>
      <c r="AA514" s="19">
        <f>IFERROR(PROPERTIES[[#This Row],[TE_STARTING_KN]]/(PROPERTIES[[#This Row],[WEIGHT]]*9.81),0)</f>
        <v>7.0789443878128883E-2</v>
      </c>
      <c r="AB514" s="19">
        <v>0</v>
      </c>
      <c r="AC514" s="16">
        <f>ROUND(IF(IFERROR(PROPERTIES[[#This Row],[TE_COEFFICIENT_CALC]],0)=0,PROPERTIES[[#This Row],[TE_COEFFICIENT_MANUAL]],PROPERTIES[[#This Row],[TE_COEFFICIENT_CALC]]),3)</f>
        <v>7.0999999999999994E-2</v>
      </c>
      <c r="AD514" s="8" cm="1">
        <f t="array" ref="AD5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14" s="26">
        <f>INT(205/2)</f>
        <v>102</v>
      </c>
      <c r="AF514" s="6">
        <v>8</v>
      </c>
      <c r="AG514" t="s">
        <v>230</v>
      </c>
      <c r="AH514" t="s">
        <v>229</v>
      </c>
      <c r="AI514" t="s">
        <v>229</v>
      </c>
      <c r="AJ514" s="2" t="s">
        <v>229</v>
      </c>
      <c r="AK514" s="2" t="s">
        <v>244</v>
      </c>
      <c r="AL51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4" s="2" t="str">
        <f>SUBSTITUTE(SUBSTITUTE(PROPERTIES[[#This Row],[PURCHASECOST_VALUE]], "PURCHASECOST_", ""), "_VALUE", "")</f>
        <v>EMU</v>
      </c>
      <c r="AO514" s="44" t="b">
        <v>0</v>
      </c>
      <c r="AP514" s="48" t="b">
        <v>0</v>
      </c>
      <c r="AQ514" s="48" t="b">
        <v>0</v>
      </c>
      <c r="AR514" s="48">
        <v>0</v>
      </c>
      <c r="AS514" s="48" t="b">
        <v>0</v>
      </c>
      <c r="AT514" s="7" t="b">
        <v>0</v>
      </c>
      <c r="AU514" s="40" t="str" cm="1">
        <f t="array" ref="AU514">_xlfn.XLOOKUP(PROPERTIES[[#This Row],[VEHIDCODE]],GRAPHICS_PROPERTIES[VEHIDCODE],GRAPHICS_PROPERTIES[TEMPLATE_ID]&amp;GRAPHICS_PROPERTIES[TEMPLATE_AMENDMENT_CODE])</f>
        <v>TPL_02A</v>
      </c>
    </row>
    <row r="515" spans="1:47" x14ac:dyDescent="0.35">
      <c r="A515" s="2" t="s">
        <v>3148</v>
      </c>
      <c r="B515">
        <v>1994</v>
      </c>
      <c r="D515" cm="1">
        <f t="array" ref="D5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5" s="40" t="str">
        <f>_xlfn.XLOOKUP(PROPERTIES[[#This Row],[VEHIDCODE]],CONTROL[VEHIDCODE],CONTROL[ENGLISH])</f>
        <v>Talbot DD-IRM 'VIRM' 8000</v>
      </c>
      <c r="F515" t="s">
        <v>692</v>
      </c>
      <c r="G515" s="40" t="str">
        <f>_xlfn.XLOOKUP(PROPERTIES[[#This Row],[COUNTRY]],COUNTRIES[COUNTRY_DESCRIPTION],COUNTRIES[COUNTRY_LABEL],"")</f>
        <v>NL</v>
      </c>
      <c r="H515" t="str" cm="1">
        <f t="array" ref="H5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5" t="s">
        <v>15</v>
      </c>
      <c r="J515">
        <f>INT((129+442)/6)</f>
        <v>95</v>
      </c>
      <c r="K515">
        <v>8</v>
      </c>
      <c r="M515" t="str" cm="1">
        <f t="array" ref="M5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5">
        <f>_xlfn.XLOOKUP("LOADINGSPEEDDEF_"&amp;PROPERTIES[[#This Row],[LOADINGSPEED]],LOADINGSPEEDDEF[TYPE],LOADINGSPEEDDEF[SPEED])</f>
        <v>60</v>
      </c>
      <c r="O515" t="str" cm="1">
        <f t="array" ref="O5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15">
        <f>IF(ISNUMBER(SEARCH("passenger",PROPERTIES[[#This Row],[CARGODEF]])),1,0)</f>
        <v>1</v>
      </c>
      <c r="Q515" s="23">
        <f>104/2</f>
        <v>52</v>
      </c>
      <c r="R515">
        <v>1720</v>
      </c>
      <c r="S515">
        <v>0</v>
      </c>
      <c r="T515">
        <v>0</v>
      </c>
      <c r="U515">
        <v>0</v>
      </c>
      <c r="V515">
        <v>140</v>
      </c>
      <c r="W515">
        <v>0</v>
      </c>
      <c r="X515">
        <v>0</v>
      </c>
      <c r="Y515">
        <v>0</v>
      </c>
      <c r="Z515" s="20">
        <f>105/2</f>
        <v>52.5</v>
      </c>
      <c r="AA515" s="19">
        <f>IFERROR(PROPERTIES[[#This Row],[TE_STARTING_KN]]/(PROPERTIES[[#This Row],[WEIGHT]]*9.81),0)</f>
        <v>0.10291696071512585</v>
      </c>
      <c r="AB515" s="19">
        <v>0</v>
      </c>
      <c r="AC515" s="16">
        <f>ROUND(IF(IFERROR(PROPERTIES[[#This Row],[TE_COEFFICIENT_CALC]],0)=0,PROPERTIES[[#This Row],[TE_COEFFICIENT_MANUAL]],PROPERTIES[[#This Row],[TE_COEFFICIENT_CALC]]),3)</f>
        <v>0.10299999999999999</v>
      </c>
      <c r="AD515" s="8" cm="1">
        <f t="array" ref="AD5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15" s="35">
        <f>INT((129+442)/6)</f>
        <v>95</v>
      </c>
      <c r="AF515" s="6">
        <v>8</v>
      </c>
      <c r="AG515" t="s">
        <v>230</v>
      </c>
      <c r="AH515" t="s">
        <v>229</v>
      </c>
      <c r="AI515" t="s">
        <v>229</v>
      </c>
      <c r="AJ515" s="2" t="s">
        <v>229</v>
      </c>
      <c r="AK515" s="2" t="s">
        <v>244</v>
      </c>
      <c r="AL51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5" s="2" t="str">
        <f>SUBSTITUTE(SUBSTITUTE(PROPERTIES[[#This Row],[PURCHASECOST_VALUE]], "PURCHASECOST_", ""), "_VALUE", "")</f>
        <v>EMU</v>
      </c>
      <c r="AO515" s="44" t="b">
        <v>0</v>
      </c>
      <c r="AP515" s="48" t="b">
        <v>0</v>
      </c>
      <c r="AQ515" s="48" t="b">
        <v>0</v>
      </c>
      <c r="AR515" s="48">
        <v>0</v>
      </c>
      <c r="AS515" s="48" t="b">
        <v>0</v>
      </c>
      <c r="AT515" s="7" t="b">
        <v>0</v>
      </c>
      <c r="AU515" s="40" t="str" cm="1">
        <f t="array" ref="AU515">_xlfn.XLOOKUP(PROPERTIES[[#This Row],[VEHIDCODE]],GRAPHICS_PROPERTIES[VEHIDCODE],GRAPHICS_PROPERTIES[TEMPLATE_ID]&amp;GRAPHICS_PROPERTIES[TEMPLATE_AMENDMENT_CODE])</f>
        <v>TPL_02A</v>
      </c>
    </row>
    <row r="516" spans="1:47" x14ac:dyDescent="0.35">
      <c r="A516" s="2" t="s">
        <v>3149</v>
      </c>
      <c r="B516">
        <v>1997</v>
      </c>
      <c r="C516">
        <v>2013</v>
      </c>
      <c r="D516" cm="1">
        <f t="array" ref="D5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6" s="40" t="str">
        <f>_xlfn.XLOOKUP(PROPERTIES[[#This Row],[VEHIDCODE]],CONTROL[VEHIDCODE],CONTROL[ENGLISH])</f>
        <v>De Dietrich/Adtranz mDDm 390</v>
      </c>
      <c r="F516" t="s">
        <v>692</v>
      </c>
      <c r="G516" s="40" t="str">
        <f>_xlfn.XLOOKUP(PROPERTIES[[#This Row],[COUNTRY]],COUNTRIES[COUNTRY_DESCRIPTION],COUNTRIES[COUNTRY_LABEL],"")</f>
        <v>NL</v>
      </c>
      <c r="H516" t="str" cm="1">
        <f t="array" ref="H5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6" t="s">
        <v>15</v>
      </c>
      <c r="J516">
        <v>64</v>
      </c>
      <c r="K516">
        <v>8</v>
      </c>
      <c r="M516" t="str" cm="1">
        <f t="array" ref="M5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6">
        <f>_xlfn.XLOOKUP("LOADINGSPEEDDEF_"&amp;PROPERTIES[[#This Row],[LOADINGSPEED]],LOADINGSPEEDDEF[TYPE],LOADINGSPEEDDEF[SPEED])</f>
        <v>60</v>
      </c>
      <c r="O516" t="str" cm="1">
        <f t="array" ref="O5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16">
        <f>IF(ISNUMBER(SEARCH("passenger",PROPERTIES[[#This Row],[CARGODEF]])),1,0)</f>
        <v>1</v>
      </c>
      <c r="Q516" s="23">
        <f>84/2</f>
        <v>42</v>
      </c>
      <c r="R516">
        <v>3219</v>
      </c>
      <c r="S516">
        <v>0</v>
      </c>
      <c r="T516">
        <v>0</v>
      </c>
      <c r="U516">
        <v>0</v>
      </c>
      <c r="V516">
        <v>140</v>
      </c>
      <c r="W516">
        <v>0</v>
      </c>
      <c r="X516">
        <v>0</v>
      </c>
      <c r="Y516">
        <v>0</v>
      </c>
      <c r="Z516" s="20">
        <f>200/2</f>
        <v>100</v>
      </c>
      <c r="AA516" s="19">
        <f>IFERROR(PROPERTIES[[#This Row],[TE_STARTING_KN]]/(PROPERTIES[[#This Row],[WEIGHT]]*9.81),0)</f>
        <v>0.24270666472501332</v>
      </c>
      <c r="AB516" s="19">
        <v>0</v>
      </c>
      <c r="AC516" s="16">
        <f>ROUND(IF(IFERROR(PROPERTIES[[#This Row],[TE_COEFFICIENT_CALC]],0)=0,PROPERTIES[[#This Row],[TE_COEFFICIENT_MANUAL]],PROPERTIES[[#This Row],[TE_COEFFICIENT_CALC]]),3)</f>
        <v>0.24299999999999999</v>
      </c>
      <c r="AD516" s="8" cm="1">
        <f t="array" ref="AD5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16" s="26">
        <v>140</v>
      </c>
      <c r="AF516" s="6">
        <v>8</v>
      </c>
      <c r="AG516" t="s">
        <v>230</v>
      </c>
      <c r="AH516" t="s">
        <v>229</v>
      </c>
      <c r="AI516" t="s">
        <v>229</v>
      </c>
      <c r="AJ516" s="2" t="s">
        <v>229</v>
      </c>
      <c r="AK516" s="2" t="s">
        <v>244</v>
      </c>
      <c r="AL51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6" s="2" t="str">
        <f>SUBSTITUTE(SUBSTITUTE(PROPERTIES[[#This Row],[PURCHASECOST_VALUE]], "PURCHASECOST_", ""), "_VALUE", "")</f>
        <v>EMU</v>
      </c>
      <c r="AO516" s="44" t="b">
        <v>0</v>
      </c>
      <c r="AP516" s="48" t="b">
        <v>0</v>
      </c>
      <c r="AQ516" s="48" t="b">
        <v>0</v>
      </c>
      <c r="AR516" s="48">
        <v>0</v>
      </c>
      <c r="AS516" s="48" t="b">
        <v>0</v>
      </c>
      <c r="AT516" s="7" t="b">
        <v>0</v>
      </c>
      <c r="AU516" s="40" t="str" cm="1">
        <f t="array" ref="AU516">_xlfn.XLOOKUP(PROPERTIES[[#This Row],[VEHIDCODE]],GRAPHICS_PROPERTIES[VEHIDCODE],GRAPHICS_PROPERTIES[TEMPLATE_ID]&amp;GRAPHICS_PROPERTIES[TEMPLATE_AMENDMENT_CODE])</f>
        <v>TPL_02A</v>
      </c>
    </row>
    <row r="517" spans="1:47" x14ac:dyDescent="0.35">
      <c r="A517" s="2" t="s">
        <v>3150</v>
      </c>
      <c r="B517">
        <v>1924</v>
      </c>
      <c r="C517">
        <v>1997</v>
      </c>
      <c r="D517" cm="1">
        <f t="array" ref="D5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7" s="40" t="str">
        <f>_xlfn.XLOOKUP(PROPERTIES[[#This Row],[VEHIDCODE]],CONTROL[VEHIDCODE],CONTROL[ENGLISH])</f>
        <v>ET 165</v>
      </c>
      <c r="F517" t="s">
        <v>705</v>
      </c>
      <c r="G517" s="40" t="str">
        <f>_xlfn.XLOOKUP(PROPERTIES[[#This Row],[COUNTRY]],COUNTRIES[COUNTRY_DESCRIPTION],COUNTRIES[COUNTRY_LABEL],"")</f>
        <v>PL</v>
      </c>
      <c r="H517" t="str" cm="1">
        <f t="array" ref="H5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7" t="s">
        <v>15</v>
      </c>
      <c r="J517">
        <f>INT(119/2)</f>
        <v>59</v>
      </c>
      <c r="K517">
        <v>8</v>
      </c>
      <c r="M517" t="str" cm="1">
        <f t="array" ref="M5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7">
        <f>_xlfn.XLOOKUP("LOADINGSPEEDDEF_"&amp;PROPERTIES[[#This Row],[LOADINGSPEED]],LOADINGSPEEDDEF[TYPE],LOADINGSPEEDDEF[SPEED])</f>
        <v>60</v>
      </c>
      <c r="O517" cm="1">
        <f t="array" ref="O5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7">
        <f>IF(ISNUMBER(SEARCH("passenger",PROPERTIES[[#This Row],[CARGODEF]])),1,0)</f>
        <v>1</v>
      </c>
      <c r="Q517" s="23">
        <v>38</v>
      </c>
      <c r="R517">
        <v>413</v>
      </c>
      <c r="S517">
        <v>0</v>
      </c>
      <c r="T517">
        <v>0</v>
      </c>
      <c r="U517">
        <v>0</v>
      </c>
      <c r="V517">
        <v>80</v>
      </c>
      <c r="W517">
        <v>0</v>
      </c>
      <c r="X517">
        <v>0</v>
      </c>
      <c r="Y517">
        <v>0</v>
      </c>
      <c r="Z517" s="20">
        <f>80/2</f>
        <v>40</v>
      </c>
      <c r="AA517" s="19">
        <f>IFERROR(PROPERTIES[[#This Row],[TE_STARTING_KN]]/(PROPERTIES[[#This Row],[WEIGHT]]*9.81),0)</f>
        <v>0.10730189387842695</v>
      </c>
      <c r="AB517" s="19">
        <v>0</v>
      </c>
      <c r="AC517" s="16">
        <f>ROUND(IF(IFERROR(PROPERTIES[[#This Row],[TE_COEFFICIENT_CALC]],0)=0,PROPERTIES[[#This Row],[TE_COEFFICIENT_MANUAL]],PROPERTIES[[#This Row],[TE_COEFFICIENT_CALC]]),3)</f>
        <v>0.107</v>
      </c>
      <c r="AD517" s="8" cm="1">
        <f t="array" ref="AD5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73</v>
      </c>
      <c r="AE517" s="26">
        <f>INT(119/2)</f>
        <v>59</v>
      </c>
      <c r="AF517" s="6">
        <v>8</v>
      </c>
      <c r="AG517" t="s">
        <v>1948</v>
      </c>
      <c r="AH517" t="s">
        <v>230</v>
      </c>
      <c r="AI517" t="s">
        <v>229</v>
      </c>
      <c r="AJ517" s="2" t="s">
        <v>229</v>
      </c>
      <c r="AK517" s="2" t="s">
        <v>244</v>
      </c>
      <c r="AL51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7" s="2" t="str">
        <f>SUBSTITUTE(SUBSTITUTE(PROPERTIES[[#This Row],[PURCHASECOST_VALUE]], "PURCHASECOST_", ""), "_VALUE", "")</f>
        <v>EMU</v>
      </c>
      <c r="AO517" s="44" t="b">
        <v>0</v>
      </c>
      <c r="AP517" s="48" t="b">
        <v>0</v>
      </c>
      <c r="AQ517" s="48" t="b">
        <v>0</v>
      </c>
      <c r="AR517" s="48">
        <v>0</v>
      </c>
      <c r="AS517" s="48" t="b">
        <v>0</v>
      </c>
      <c r="AT517" s="7" t="b">
        <v>0</v>
      </c>
      <c r="AU517" s="40" t="str" cm="1">
        <f t="array" ref="AU517">_xlfn.XLOOKUP(PROPERTIES[[#This Row],[VEHIDCODE]],GRAPHICS_PROPERTIES[VEHIDCODE],GRAPHICS_PROPERTIES[TEMPLATE_ID]&amp;GRAPHICS_PROPERTIES[TEMPLATE_AMENDMENT_CODE])</f>
        <v>TPL_02A</v>
      </c>
    </row>
    <row r="518" spans="1:47" x14ac:dyDescent="0.35">
      <c r="A518" s="2" t="s">
        <v>3151</v>
      </c>
      <c r="B518">
        <v>1937</v>
      </c>
      <c r="C518">
        <v>1960</v>
      </c>
      <c r="D518" cm="1">
        <f t="array" ref="D5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8" s="40" t="str">
        <f>_xlfn.XLOOKUP(PROPERTIES[[#This Row],[VEHIDCODE]],CONTROL[VEHIDCODE],CONTROL[ENGLISH])</f>
        <v>Breda ETR.200</v>
      </c>
      <c r="F518" t="s">
        <v>636</v>
      </c>
      <c r="G518" s="40" t="str">
        <f>_xlfn.XLOOKUP(PROPERTIES[[#This Row],[COUNTRY]],COUNTRIES[COUNTRY_DESCRIPTION],COUNTRIES[COUNTRY_LABEL],"")</f>
        <v>IT</v>
      </c>
      <c r="H518" t="str" cm="1">
        <f t="array" ref="H5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8" t="s">
        <v>15</v>
      </c>
      <c r="J518">
        <f>INT(104/2)</f>
        <v>52</v>
      </c>
      <c r="K518">
        <v>8</v>
      </c>
      <c r="M518" t="str" cm="1">
        <f t="array" ref="M5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8">
        <f>_xlfn.XLOOKUP("LOADINGSPEEDDEF_"&amp;PROPERTIES[[#This Row],[LOADINGSPEED]],LOADINGSPEEDDEF[TYPE],LOADINGSPEEDDEF[SPEED])</f>
        <v>60</v>
      </c>
      <c r="O518" cm="1">
        <f t="array" ref="O5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8">
        <f>IF(ISNUMBER(SEARCH("passenger",PROPERTIES[[#This Row],[CARGODEF]])),1,0)</f>
        <v>1</v>
      </c>
      <c r="Q518" s="23">
        <f>116.8/3</f>
        <v>38.93333333333333</v>
      </c>
      <c r="R518">
        <f>INT(1408*2/3)</f>
        <v>938</v>
      </c>
      <c r="S518">
        <v>0</v>
      </c>
      <c r="T518">
        <v>0</v>
      </c>
      <c r="U518">
        <v>0</v>
      </c>
      <c r="V518">
        <v>160</v>
      </c>
      <c r="W518">
        <v>0</v>
      </c>
      <c r="X518">
        <v>0</v>
      </c>
      <c r="Y518">
        <v>0</v>
      </c>
      <c r="Z518" s="20">
        <f>50/2</f>
        <v>25</v>
      </c>
      <c r="AA518" s="19">
        <f>IFERROR(PROPERTIES[[#This Row],[TE_STARTING_KN]]/(PROPERTIES[[#This Row],[WEIGHT]]*9.81),0)</f>
        <v>6.5455992627036996E-2</v>
      </c>
      <c r="AB518" s="19">
        <v>0</v>
      </c>
      <c r="AC518" s="16">
        <f>ROUND(IF(IFERROR(PROPERTIES[[#This Row],[TE_COEFFICIENT_CALC]],0)=0,PROPERTIES[[#This Row],[TE_COEFFICIENT_MANUAL]],PROPERTIES[[#This Row],[TE_COEFFICIENT_CALC]]),3)</f>
        <v>6.5000000000000002E-2</v>
      </c>
      <c r="AD518" s="8" cm="1">
        <f t="array" ref="AD5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18" s="26">
        <f>INT(104/2)</f>
        <v>52</v>
      </c>
      <c r="AF518" s="6">
        <v>8</v>
      </c>
      <c r="AG518" t="s">
        <v>231</v>
      </c>
      <c r="AH518" t="s">
        <v>229</v>
      </c>
      <c r="AI518" t="s">
        <v>229</v>
      </c>
      <c r="AJ518" s="2" t="s">
        <v>229</v>
      </c>
      <c r="AK518" s="2" t="s">
        <v>244</v>
      </c>
      <c r="AL51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8" s="2" t="str">
        <f>SUBSTITUTE(SUBSTITUTE(PROPERTIES[[#This Row],[PURCHASECOST_VALUE]], "PURCHASECOST_", ""), "_VALUE", "")</f>
        <v>EMU</v>
      </c>
      <c r="AO518" s="44" t="b">
        <v>0</v>
      </c>
      <c r="AP518" s="48" t="b">
        <v>0</v>
      </c>
      <c r="AQ518" s="48" t="b">
        <v>1</v>
      </c>
      <c r="AR518" s="48">
        <v>0</v>
      </c>
      <c r="AS518" s="48" t="b">
        <v>0</v>
      </c>
      <c r="AT518" s="7" t="b">
        <v>0</v>
      </c>
      <c r="AU518" s="40" t="str" cm="1">
        <f t="array" ref="AU518">_xlfn.XLOOKUP(PROPERTIES[[#This Row],[VEHIDCODE]],GRAPHICS_PROPERTIES[VEHIDCODE],GRAPHICS_PROPERTIES[TEMPLATE_ID]&amp;GRAPHICS_PROPERTIES[TEMPLATE_AMENDMENT_CODE])</f>
        <v>TPL_02A</v>
      </c>
    </row>
    <row r="519" spans="1:47" x14ac:dyDescent="0.35">
      <c r="A519" s="2" t="s">
        <v>3152</v>
      </c>
      <c r="B519">
        <v>1952</v>
      </c>
      <c r="C519">
        <v>1991</v>
      </c>
      <c r="D519" cm="1">
        <f t="array" ref="D5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9" s="40" t="str">
        <f>_xlfn.XLOOKUP(PROPERTIES[[#This Row],[VEHIDCODE]],CONTROL[VEHIDCODE],CONTROL[ENGLISH])</f>
        <v>Breda ETR.300 'Settebello'</v>
      </c>
      <c r="F519" t="s">
        <v>636</v>
      </c>
      <c r="G519" s="40" t="str">
        <f>_xlfn.XLOOKUP(PROPERTIES[[#This Row],[COUNTRY]],COUNTRIES[COUNTRY_DESCRIPTION],COUNTRIES[COUNTRY_LABEL],"")</f>
        <v>IT</v>
      </c>
      <c r="H519" t="str" cm="1">
        <f t="array" ref="H5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9" t="s">
        <v>15</v>
      </c>
      <c r="J519">
        <f>INT(190/7)</f>
        <v>27</v>
      </c>
      <c r="K519">
        <v>8</v>
      </c>
      <c r="M519" t="str" cm="1">
        <f t="array" ref="M5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19">
        <f>_xlfn.XLOOKUP("LOADINGSPEEDDEF_"&amp;PROPERTIES[[#This Row],[LOADINGSPEED]],LOADINGSPEEDDEF[TYPE],LOADINGSPEEDDEF[SPEED])</f>
        <v>20</v>
      </c>
      <c r="O519" cm="1">
        <f t="array" ref="O5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9">
        <f>IF(ISNUMBER(SEARCH("passenger",PROPERTIES[[#This Row],[CARGODEF]])),1,0)</f>
        <v>1</v>
      </c>
      <c r="Q519" s="23">
        <f>311/7</f>
        <v>44.428571428571431</v>
      </c>
      <c r="R519">
        <v>1020</v>
      </c>
      <c r="S519">
        <v>0</v>
      </c>
      <c r="T519">
        <v>0</v>
      </c>
      <c r="U519">
        <v>0</v>
      </c>
      <c r="V519">
        <v>200</v>
      </c>
      <c r="W519">
        <v>0</v>
      </c>
      <c r="X519">
        <v>0</v>
      </c>
      <c r="Y519">
        <v>0</v>
      </c>
      <c r="Z519" s="20">
        <f>70/2</f>
        <v>35</v>
      </c>
      <c r="AA519" s="19">
        <f>IFERROR(PROPERTIES[[#This Row],[TE_STARTING_KN]]/(PROPERTIES[[#This Row],[WEIGHT]]*9.81),0)</f>
        <v>8.0303909325414369E-2</v>
      </c>
      <c r="AB519" s="19">
        <v>0</v>
      </c>
      <c r="AC519" s="16">
        <f>ROUND(IF(IFERROR(PROPERTIES[[#This Row],[TE_COEFFICIENT_CALC]],0)=0,PROPERTIES[[#This Row],[TE_COEFFICIENT_MANUAL]],PROPERTIES[[#This Row],[TE_COEFFICIENT_CALC]]),3)</f>
        <v>0.08</v>
      </c>
      <c r="AD519" s="8" cm="1">
        <f t="array" ref="AD5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19" s="26">
        <f>INT(190/7)</f>
        <v>27</v>
      </c>
      <c r="AF519" s="6">
        <v>8</v>
      </c>
      <c r="AG519" t="s">
        <v>231</v>
      </c>
      <c r="AH519" t="s">
        <v>229</v>
      </c>
      <c r="AI519" t="s">
        <v>229</v>
      </c>
      <c r="AJ519" s="2" t="s">
        <v>229</v>
      </c>
      <c r="AK519" s="2" t="s">
        <v>244</v>
      </c>
      <c r="AL51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9" s="2" t="str">
        <f>SUBSTITUTE(SUBSTITUTE(PROPERTIES[[#This Row],[PURCHASECOST_VALUE]], "PURCHASECOST_", ""), "_VALUE", "")</f>
        <v>EMU</v>
      </c>
      <c r="AO519" s="44" t="b">
        <v>0</v>
      </c>
      <c r="AP519" s="48" t="b">
        <v>0</v>
      </c>
      <c r="AQ519" s="48" t="b">
        <v>0</v>
      </c>
      <c r="AR519" s="48">
        <v>0</v>
      </c>
      <c r="AS519" s="48" t="b">
        <v>0</v>
      </c>
      <c r="AT519" s="7" t="b">
        <v>0</v>
      </c>
      <c r="AU519" s="40" t="str" cm="1">
        <f t="array" ref="AU519">_xlfn.XLOOKUP(PROPERTIES[[#This Row],[VEHIDCODE]],GRAPHICS_PROPERTIES[VEHIDCODE],GRAPHICS_PROPERTIES[TEMPLATE_ID]&amp;GRAPHICS_PROPERTIES[TEMPLATE_AMENDMENT_CODE])</f>
        <v>TPL_02D</v>
      </c>
    </row>
    <row r="520" spans="1:47" x14ac:dyDescent="0.35">
      <c r="A520" s="2" t="s">
        <v>3153</v>
      </c>
      <c r="B520">
        <v>1993</v>
      </c>
      <c r="D520" cm="1">
        <f t="array" ref="D5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0" s="40" t="str">
        <f>_xlfn.XLOOKUP(PROPERTIES[[#This Row],[VEHIDCODE]],CONTROL[VEHIDCODE],CONTROL[ENGLISH])</f>
        <v>TREVI ETR.500 'Frecciarossa'</v>
      </c>
      <c r="F520" t="s">
        <v>636</v>
      </c>
      <c r="G520" s="40" t="str">
        <f>_xlfn.XLOOKUP(PROPERTIES[[#This Row],[COUNTRY]],COUNTRIES[COUNTRY_DESCRIPTION],COUNTRIES[COUNTRY_LABEL],"")</f>
        <v>IT</v>
      </c>
      <c r="H520" t="str" cm="1">
        <f t="array" ref="H5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0" t="s">
        <v>17</v>
      </c>
      <c r="J520">
        <v>0</v>
      </c>
      <c r="K520">
        <v>8</v>
      </c>
      <c r="M520" t="str" cm="1">
        <f t="array" ref="M5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20">
        <f>_xlfn.XLOOKUP("LOADINGSPEEDDEF_"&amp;PROPERTIES[[#This Row],[LOADINGSPEED]],LOADINGSPEEDDEF[TYPE],LOADINGSPEEDDEF[SPEED])</f>
        <v>20</v>
      </c>
      <c r="O520" t="str" cm="1">
        <f t="array" ref="O5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20">
        <f>IF(ISNUMBER(SEARCH("passenger",PROPERTIES[[#This Row],[CARGODEF]])),1,0)</f>
        <v>0</v>
      </c>
      <c r="Q520" s="23">
        <v>54</v>
      </c>
      <c r="R520">
        <v>11800</v>
      </c>
      <c r="S520">
        <v>0</v>
      </c>
      <c r="T520">
        <v>0</v>
      </c>
      <c r="U520">
        <v>0</v>
      </c>
      <c r="V520">
        <v>250</v>
      </c>
      <c r="W520">
        <v>0</v>
      </c>
      <c r="X520">
        <v>0</v>
      </c>
      <c r="Y520">
        <v>0</v>
      </c>
      <c r="Z520" s="20">
        <f>400/2</f>
        <v>200</v>
      </c>
      <c r="AA520" s="19">
        <f>IFERROR(PROPERTIES[[#This Row],[TE_STARTING_KN]]/(PROPERTIES[[#This Row],[WEIGHT]]*9.81),0)</f>
        <v>0.37754370068335408</v>
      </c>
      <c r="AB520" s="19">
        <v>0</v>
      </c>
      <c r="AC520" s="16">
        <f>ROUND(IF(IFERROR(PROPERTIES[[#This Row],[TE_COEFFICIENT_CALC]],0)=0,PROPERTIES[[#This Row],[TE_COEFFICIENT_MANUAL]],PROPERTIES[[#This Row],[TE_COEFFICIENT_CALC]]),3)</f>
        <v>0.378</v>
      </c>
      <c r="AD520" s="8" cm="1">
        <f t="array" ref="AD5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20" s="26">
        <v>68</v>
      </c>
      <c r="AF520" s="6">
        <v>8</v>
      </c>
      <c r="AG520" t="s">
        <v>231</v>
      </c>
      <c r="AH520" t="s">
        <v>229</v>
      </c>
      <c r="AI520" t="s">
        <v>229</v>
      </c>
      <c r="AJ520" s="2" t="s">
        <v>229</v>
      </c>
      <c r="AK520" s="2" t="s">
        <v>244</v>
      </c>
      <c r="AL52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0" s="2" t="str">
        <f>SUBSTITUTE(SUBSTITUTE(PROPERTIES[[#This Row],[PURCHASECOST_VALUE]], "PURCHASECOST_", ""), "_VALUE", "")</f>
        <v>EMU</v>
      </c>
      <c r="AO520" s="44" t="b">
        <v>0</v>
      </c>
      <c r="AP520" s="48" t="b">
        <v>0</v>
      </c>
      <c r="AQ520" s="48" t="b">
        <v>0</v>
      </c>
      <c r="AR520" s="48">
        <v>0</v>
      </c>
      <c r="AS520" s="48" t="b">
        <v>0</v>
      </c>
      <c r="AT520" s="7" t="b">
        <v>0</v>
      </c>
      <c r="AU520" s="40" t="str" cm="1">
        <f t="array" ref="AU520">_xlfn.XLOOKUP(PROPERTIES[[#This Row],[VEHIDCODE]],GRAPHICS_PROPERTIES[VEHIDCODE],GRAPHICS_PROPERTIES[TEMPLATE_ID]&amp;GRAPHICS_PROPERTIES[TEMPLATE_AMENDMENT_CODE])</f>
        <v>TPL_02A</v>
      </c>
    </row>
    <row r="521" spans="1:47" x14ac:dyDescent="0.35">
      <c r="A521" s="2" t="s">
        <v>3154</v>
      </c>
      <c r="B521">
        <v>1996</v>
      </c>
      <c r="D521" cm="1">
        <f t="array" ref="D5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1" s="40" t="str">
        <f>_xlfn.XLOOKUP(PROPERTIES[[#This Row],[VEHIDCODE]],CONTROL[VEHIDCODE],CONTROL[ENGLISH])</f>
        <v>AnsaldoBreda ALe 426</v>
      </c>
      <c r="F521" t="s">
        <v>636</v>
      </c>
      <c r="G521" s="40" t="str">
        <f>_xlfn.XLOOKUP(PROPERTIES[[#This Row],[COUNTRY]],COUNTRIES[COUNTRY_DESCRIPTION],COUNTRIES[COUNTRY_LABEL],"")</f>
        <v>IT</v>
      </c>
      <c r="H521" t="str" cm="1">
        <f t="array" ref="H5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1" t="s">
        <v>15</v>
      </c>
      <c r="J521">
        <v>102</v>
      </c>
      <c r="K521">
        <v>8</v>
      </c>
      <c r="M521" t="str" cm="1">
        <f t="array" ref="M5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1">
        <f>_xlfn.XLOOKUP("LOADINGSPEEDDEF_"&amp;PROPERTIES[[#This Row],[LOADINGSPEED]],LOADINGSPEEDDEF[TYPE],LOADINGSPEEDDEF[SPEED])</f>
        <v>60</v>
      </c>
      <c r="O521" t="str" cm="1">
        <f t="array" ref="O5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21">
        <f>IF(ISNUMBER(SEARCH("passenger",PROPERTIES[[#This Row],[CARGODEF]])),1,0)</f>
        <v>1</v>
      </c>
      <c r="Q521" s="23">
        <v>68</v>
      </c>
      <c r="R521">
        <v>2508</v>
      </c>
      <c r="S521">
        <v>0</v>
      </c>
      <c r="T521">
        <v>0</v>
      </c>
      <c r="U521">
        <v>0</v>
      </c>
      <c r="V521">
        <v>140</v>
      </c>
      <c r="W521">
        <v>0</v>
      </c>
      <c r="X521">
        <v>0</v>
      </c>
      <c r="Y521">
        <v>0</v>
      </c>
      <c r="Z521" s="20">
        <f>214/2</f>
        <v>107</v>
      </c>
      <c r="AA521" s="19">
        <f>IFERROR(PROPERTIES[[#This Row],[TE_STARTING_KN]]/(PROPERTIES[[#This Row],[WEIGHT]]*9.81),0)</f>
        <v>0.16040055165797204</v>
      </c>
      <c r="AB521" s="19">
        <v>0</v>
      </c>
      <c r="AC521" s="16">
        <f>ROUND(IF(IFERROR(PROPERTIES[[#This Row],[TE_COEFFICIENT_CALC]],0)=0,PROPERTIES[[#This Row],[TE_COEFFICIENT_MANUAL]],PROPERTIES[[#This Row],[TE_COEFFICIENT_CALC]]),3)</f>
        <v>0.16</v>
      </c>
      <c r="AD521" s="8" cm="1">
        <f t="array" ref="AD5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21" s="26">
        <v>130</v>
      </c>
      <c r="AF521" s="6">
        <v>8</v>
      </c>
      <c r="AG521" t="s">
        <v>231</v>
      </c>
      <c r="AH521" t="s">
        <v>229</v>
      </c>
      <c r="AI521" t="s">
        <v>229</v>
      </c>
      <c r="AJ521" s="2" t="s">
        <v>229</v>
      </c>
      <c r="AK521" s="2" t="s">
        <v>244</v>
      </c>
      <c r="AL52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1" s="2" t="str">
        <f>SUBSTITUTE(SUBSTITUTE(PROPERTIES[[#This Row],[PURCHASECOST_VALUE]], "PURCHASECOST_", ""), "_VALUE", "")</f>
        <v>EMU</v>
      </c>
      <c r="AO521" s="44" t="b">
        <v>0</v>
      </c>
      <c r="AP521" s="48" t="b">
        <v>0</v>
      </c>
      <c r="AQ521" s="48" t="b">
        <v>0</v>
      </c>
      <c r="AR521" s="48">
        <v>0</v>
      </c>
      <c r="AS521" s="48" t="b">
        <v>0</v>
      </c>
      <c r="AT521" s="7" t="b">
        <v>0</v>
      </c>
      <c r="AU521" s="40" t="str" cm="1">
        <f t="array" ref="AU521">_xlfn.XLOOKUP(PROPERTIES[[#This Row],[VEHIDCODE]],GRAPHICS_PROPERTIES[VEHIDCODE],GRAPHICS_PROPERTIES[TEMPLATE_ID]&amp;GRAPHICS_PROPERTIES[TEMPLATE_AMENDMENT_CODE])</f>
        <v>TPL_02A</v>
      </c>
    </row>
    <row r="522" spans="1:47" x14ac:dyDescent="0.35">
      <c r="A522" s="2" t="s">
        <v>3155</v>
      </c>
      <c r="B522">
        <v>1984</v>
      </c>
      <c r="C522">
        <v>2030</v>
      </c>
      <c r="D522" cm="1">
        <f t="array" ref="D5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2" s="40" t="str">
        <f>_xlfn.XLOOKUP(PROPERTIES[[#This Row],[VEHIDCODE]],CONTROL[VEHIDCODE],CONTROL[ENGLISH])</f>
        <v>BN/ACEC ZMC</v>
      </c>
      <c r="F522" t="s">
        <v>663</v>
      </c>
      <c r="G522" s="40" t="str">
        <f>_xlfn.XLOOKUP(PROPERTIES[[#This Row],[COUNTRY]],COUNTRIES[COUNTRY_DESCRIPTION],COUNTRIES[COUNTRY_LABEL],"")</f>
        <v>MA</v>
      </c>
      <c r="H522" t="str" cm="1">
        <f t="array" ref="H5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2" t="s">
        <v>15</v>
      </c>
      <c r="J522">
        <v>90</v>
      </c>
      <c r="K522">
        <v>8</v>
      </c>
      <c r="M522" t="str" cm="1">
        <f t="array" ref="M5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2">
        <f>_xlfn.XLOOKUP("LOADINGSPEEDDEF_"&amp;PROPERTIES[[#This Row],[LOADINGSPEED]],LOADINGSPEEDDEF[TYPE],LOADINGSPEEDDEF[SPEED])</f>
        <v>60</v>
      </c>
      <c r="O522" t="str" cm="1">
        <f t="array" ref="O5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22">
        <f>IF(ISNUMBER(SEARCH("passenger",PROPERTIES[[#This Row],[CARGODEF]])),1,0)</f>
        <v>1</v>
      </c>
      <c r="Q522" s="23">
        <v>48</v>
      </c>
      <c r="R522">
        <v>1900</v>
      </c>
      <c r="S522">
        <v>0</v>
      </c>
      <c r="T522">
        <v>0</v>
      </c>
      <c r="U522">
        <v>0</v>
      </c>
      <c r="V522">
        <v>160</v>
      </c>
      <c r="W522">
        <v>0</v>
      </c>
      <c r="X522">
        <v>0</v>
      </c>
      <c r="Y522">
        <v>0</v>
      </c>
      <c r="Z522" s="20">
        <f>102/2</f>
        <v>51</v>
      </c>
      <c r="AA522" s="19">
        <f>IFERROR(PROPERTIES[[#This Row],[TE_STARTING_KN]]/(PROPERTIES[[#This Row],[WEIGHT]]*9.81),0)</f>
        <v>0.10830784913353721</v>
      </c>
      <c r="AB522" s="19">
        <v>0</v>
      </c>
      <c r="AC522" s="16">
        <f>ROUND(IF(IFERROR(PROPERTIES[[#This Row],[TE_COEFFICIENT_CALC]],0)=0,PROPERTIES[[#This Row],[TE_COEFFICIENT_MANUAL]],PROPERTIES[[#This Row],[TE_COEFFICIENT_CALC]]),3)</f>
        <v>0.108</v>
      </c>
      <c r="AD522" s="8" cm="1">
        <f t="array" ref="AD5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522" s="26">
        <v>90</v>
      </c>
      <c r="AF522" s="6">
        <v>8</v>
      </c>
      <c r="AG522" t="s">
        <v>233</v>
      </c>
      <c r="AH522" t="s">
        <v>230</v>
      </c>
      <c r="AI522" t="s">
        <v>229</v>
      </c>
      <c r="AJ522" s="2" t="s">
        <v>229</v>
      </c>
      <c r="AK522" s="2" t="s">
        <v>244</v>
      </c>
      <c r="AL52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2" s="2" t="str">
        <f>SUBSTITUTE(SUBSTITUTE(PROPERTIES[[#This Row],[PURCHASECOST_VALUE]], "PURCHASECOST_", ""), "_VALUE", "")</f>
        <v>EMU</v>
      </c>
      <c r="AO522" s="44" t="b">
        <v>0</v>
      </c>
      <c r="AP522" s="48" t="b">
        <v>0</v>
      </c>
      <c r="AQ522" s="48" t="b">
        <v>0</v>
      </c>
      <c r="AR522" s="48">
        <v>0</v>
      </c>
      <c r="AS522" s="48" t="b">
        <v>0</v>
      </c>
      <c r="AT522" s="7" t="b">
        <v>0</v>
      </c>
      <c r="AU522" s="40" t="str" cm="1">
        <f t="array" ref="AU522">_xlfn.XLOOKUP(PROPERTIES[[#This Row],[VEHIDCODE]],GRAPHICS_PROPERTIES[VEHIDCODE],GRAPHICS_PROPERTIES[TEMPLATE_ID]&amp;GRAPHICS_PROPERTIES[TEMPLATE_AMENDMENT_CODE])</f>
        <v>TPL_02A</v>
      </c>
    </row>
    <row r="523" spans="1:47" x14ac:dyDescent="0.35">
      <c r="A523" s="2" t="s">
        <v>3156</v>
      </c>
      <c r="B523">
        <v>1950</v>
      </c>
      <c r="C523">
        <v>1980</v>
      </c>
      <c r="D523" cm="1">
        <f t="array" ref="D5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3" s="40" t="str">
        <f>_xlfn.XLOOKUP(PROPERTIES[[#This Row],[VEHIDCODE]],CONTROL[VEHIDCODE],CONTROL[ENGLISH])</f>
        <v>ASEA EW54</v>
      </c>
      <c r="F523" t="s">
        <v>705</v>
      </c>
      <c r="G523" s="40" t="str">
        <f>_xlfn.XLOOKUP(PROPERTIES[[#This Row],[COUNTRY]],COUNTRIES[COUNTRY_DESCRIPTION],COUNTRIES[COUNTRY_LABEL],"")</f>
        <v>PL</v>
      </c>
      <c r="H523" t="str" cm="1">
        <f t="array" ref="H5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3" t="s">
        <v>15</v>
      </c>
      <c r="J523">
        <f>INT(530/3)</f>
        <v>176</v>
      </c>
      <c r="K523">
        <v>8</v>
      </c>
      <c r="M523" t="str" cm="1">
        <f t="array" ref="M5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3">
        <f>_xlfn.XLOOKUP("LOADINGSPEEDDEF_"&amp;PROPERTIES[[#This Row],[LOADINGSPEED]],LOADINGSPEEDDEF[TYPE],LOADINGSPEEDDEF[SPEED])</f>
        <v>60</v>
      </c>
      <c r="O523" cm="1">
        <f t="array" ref="O5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3">
        <f>IF(ISNUMBER(SEARCH("passenger",PROPERTIES[[#This Row],[CARGODEF]])),1,0)</f>
        <v>1</v>
      </c>
      <c r="Q523" s="23">
        <v>40</v>
      </c>
      <c r="R523">
        <v>642</v>
      </c>
      <c r="S523">
        <v>0</v>
      </c>
      <c r="T523">
        <v>0</v>
      </c>
      <c r="U523">
        <v>0</v>
      </c>
      <c r="V523">
        <v>100</v>
      </c>
      <c r="W523">
        <v>0</v>
      </c>
      <c r="X523">
        <v>0</v>
      </c>
      <c r="Y523">
        <v>0</v>
      </c>
      <c r="Z523" s="20">
        <f>92/2</f>
        <v>46</v>
      </c>
      <c r="AA523" s="19">
        <f>IFERROR(PROPERTIES[[#This Row],[TE_STARTING_KN]]/(PROPERTIES[[#This Row],[WEIGHT]]*9.81),0)</f>
        <v>0.11722731906218144</v>
      </c>
      <c r="AB523" s="19">
        <v>0</v>
      </c>
      <c r="AC523" s="16">
        <f>ROUND(IF(IFERROR(PROPERTIES[[#This Row],[TE_COEFFICIENT_CALC]],0)=0,PROPERTIES[[#This Row],[TE_COEFFICIENT_MANUAL]],PROPERTIES[[#This Row],[TE_COEFFICIENT_CALC]]),3)</f>
        <v>0.11700000000000001</v>
      </c>
      <c r="AD523" s="8" cm="1">
        <f t="array" ref="AD5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23" s="26">
        <f>INT(530/3)</f>
        <v>176</v>
      </c>
      <c r="AF523" s="6">
        <v>8</v>
      </c>
      <c r="AG523" t="s">
        <v>236</v>
      </c>
      <c r="AH523" t="s">
        <v>229</v>
      </c>
      <c r="AI523" t="s">
        <v>229</v>
      </c>
      <c r="AJ523" s="2" t="s">
        <v>229</v>
      </c>
      <c r="AK523" s="2" t="s">
        <v>244</v>
      </c>
      <c r="AL52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3" s="2" t="str">
        <f>SUBSTITUTE(SUBSTITUTE(PROPERTIES[[#This Row],[PURCHASECOST_VALUE]], "PURCHASECOST_", ""), "_VALUE", "")</f>
        <v>EMU</v>
      </c>
      <c r="AO523" s="44" t="b">
        <v>0</v>
      </c>
      <c r="AP523" s="48" t="b">
        <v>0</v>
      </c>
      <c r="AQ523" s="48" t="b">
        <v>0</v>
      </c>
      <c r="AR523" s="48">
        <v>0</v>
      </c>
      <c r="AS523" s="48" t="b">
        <v>0</v>
      </c>
      <c r="AT523" s="7" t="b">
        <v>0</v>
      </c>
      <c r="AU523" s="40" t="str" cm="1">
        <f t="array" ref="AU523">_xlfn.XLOOKUP(PROPERTIES[[#This Row],[VEHIDCODE]],GRAPHICS_PROPERTIES[VEHIDCODE],GRAPHICS_PROPERTIES[TEMPLATE_ID]&amp;GRAPHICS_PROPERTIES[TEMPLATE_AMENDMENT_CODE])</f>
        <v>TPL_02D</v>
      </c>
    </row>
    <row r="524" spans="1:47" x14ac:dyDescent="0.35">
      <c r="A524" s="2" t="s">
        <v>3157</v>
      </c>
      <c r="B524">
        <v>1975</v>
      </c>
      <c r="C524">
        <v>2018</v>
      </c>
      <c r="D524" cm="1">
        <f t="array" ref="D5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4" s="40" t="str">
        <f>_xlfn.XLOOKUP(PROPERTIES[[#This Row],[VEHIDCODE]],CONTROL[VEHIDCODE],CONTROL[ENGLISH])</f>
        <v>Breda ALe 801</v>
      </c>
      <c r="F524" t="s">
        <v>636</v>
      </c>
      <c r="G524" s="40" t="str">
        <f>_xlfn.XLOOKUP(PROPERTIES[[#This Row],[COUNTRY]],COUNTRIES[COUNTRY_DESCRIPTION],COUNTRIES[COUNTRY_LABEL],"")</f>
        <v>IT</v>
      </c>
      <c r="H524" t="str" cm="1">
        <f t="array" ref="H5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4" t="s">
        <v>15</v>
      </c>
      <c r="J524">
        <v>80</v>
      </c>
      <c r="K524">
        <v>7</v>
      </c>
      <c r="L524">
        <v>0</v>
      </c>
      <c r="M524" t="str" cm="1">
        <f t="array" ref="M5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4">
        <f>_xlfn.XLOOKUP("LOADINGSPEEDDEF_"&amp;PROPERTIES[[#This Row],[LOADINGSPEED]],LOADINGSPEEDDEF[TYPE],LOADINGSPEEDDEF[SPEED])</f>
        <v>60</v>
      </c>
      <c r="O524" cm="1">
        <f t="array" ref="O5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4">
        <f>IF(ISNUMBER(SEARCH("passenger",PROPERTIES[[#This Row],[CARGODEF]])),1,0)</f>
        <v>1</v>
      </c>
      <c r="Q524" s="23">
        <v>70</v>
      </c>
      <c r="R524">
        <v>702</v>
      </c>
      <c r="S524">
        <v>0</v>
      </c>
      <c r="T524">
        <v>0</v>
      </c>
      <c r="U524">
        <v>0</v>
      </c>
      <c r="V524">
        <v>150</v>
      </c>
      <c r="W524">
        <v>0</v>
      </c>
      <c r="X524">
        <v>0</v>
      </c>
      <c r="Y524">
        <v>0</v>
      </c>
      <c r="Z524" s="20">
        <f>110/2</f>
        <v>55</v>
      </c>
      <c r="AA524" s="19">
        <f>IFERROR(PROPERTIES[[#This Row],[TE_STARTING_KN]]/(PROPERTIES[[#This Row],[WEIGHT]]*9.81),0)</f>
        <v>8.0093199359254394E-2</v>
      </c>
      <c r="AB524" s="19">
        <v>0</v>
      </c>
      <c r="AC524" s="16">
        <f>ROUND(IF(IFERROR(PROPERTIES[[#This Row],[TE_COEFFICIENT_CALC]],0)=0,PROPERTIES[[#This Row],[TE_COEFFICIENT_MANUAL]],PROPERTIES[[#This Row],[TE_COEFFICIENT_CALC]]),3)</f>
        <v>0.08</v>
      </c>
      <c r="AD524" s="8" cm="1">
        <f t="array" ref="AD5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524" s="26">
        <v>108</v>
      </c>
      <c r="AF524" s="6">
        <v>7</v>
      </c>
      <c r="AG524" t="s">
        <v>231</v>
      </c>
      <c r="AH524" t="s">
        <v>229</v>
      </c>
      <c r="AI524" t="s">
        <v>229</v>
      </c>
      <c r="AJ524" s="2" t="s">
        <v>229</v>
      </c>
      <c r="AK524" s="2" t="s">
        <v>244</v>
      </c>
      <c r="AL52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4" s="2" t="str">
        <f>SUBSTITUTE(SUBSTITUTE(PROPERTIES[[#This Row],[PURCHASECOST_VALUE]], "PURCHASECOST_", ""), "_VALUE", "")</f>
        <v>EMU</v>
      </c>
      <c r="AO524" s="44" t="b">
        <v>0</v>
      </c>
      <c r="AP524" s="48" t="b">
        <v>0</v>
      </c>
      <c r="AQ524" s="48" t="b">
        <v>0</v>
      </c>
      <c r="AR524" s="48">
        <v>0</v>
      </c>
      <c r="AS524" s="48" t="b">
        <v>0</v>
      </c>
      <c r="AT524" s="7" t="b">
        <v>0</v>
      </c>
      <c r="AU524" s="40" t="str" cm="1">
        <f t="array" ref="AU524">_xlfn.XLOOKUP(PROPERTIES[[#This Row],[VEHIDCODE]],GRAPHICS_PROPERTIES[VEHIDCODE],GRAPHICS_PROPERTIES[TEMPLATE_ID]&amp;GRAPHICS_PROPERTIES[TEMPLATE_AMENDMENT_CODE])</f>
        <v>TPL_02A</v>
      </c>
    </row>
    <row r="525" spans="1:47" x14ac:dyDescent="0.35">
      <c r="A525" s="2" t="s">
        <v>3158</v>
      </c>
      <c r="B525">
        <v>1956</v>
      </c>
      <c r="C525">
        <v>2004</v>
      </c>
      <c r="D525" cm="1">
        <f t="array" ref="D5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5" s="40" t="str">
        <f>_xlfn.XLOOKUP(PROPERTIES[[#This Row],[VEHIDCODE]],CONTROL[VEHIDCODE],CONTROL[ENGLISH])</f>
        <v>SGP/AEG/BBC 4030</v>
      </c>
      <c r="F525" t="s">
        <v>540</v>
      </c>
      <c r="G525" s="40" t="str">
        <f>_xlfn.XLOOKUP(PROPERTIES[[#This Row],[COUNTRY]],COUNTRIES[COUNTRY_DESCRIPTION],COUNTRIES[COUNTRY_LABEL],"")</f>
        <v>AT</v>
      </c>
      <c r="H525" t="str" cm="1">
        <f t="array" ref="H5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5" t="s">
        <v>15</v>
      </c>
      <c r="J525">
        <v>72</v>
      </c>
      <c r="K525">
        <v>7</v>
      </c>
      <c r="L525">
        <v>0</v>
      </c>
      <c r="M525" t="str" cm="1">
        <f t="array" ref="M5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5">
        <f>_xlfn.XLOOKUP("LOADINGSPEEDDEF_"&amp;PROPERTIES[[#This Row],[LOADINGSPEED]],LOADINGSPEEDDEF[TYPE],LOADINGSPEEDDEF[SPEED])</f>
        <v>60</v>
      </c>
      <c r="O525" cm="1">
        <f t="array" ref="O5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5">
        <f>IF(ISNUMBER(SEARCH("passenger",PROPERTIES[[#This Row],[CARGODEF]])),1,0)</f>
        <v>1</v>
      </c>
      <c r="Q525" s="23">
        <f>(56+32)/2</f>
        <v>44</v>
      </c>
      <c r="R525">
        <v>1341</v>
      </c>
      <c r="S525">
        <v>0</v>
      </c>
      <c r="T525">
        <v>0</v>
      </c>
      <c r="U525">
        <v>0</v>
      </c>
      <c r="V525">
        <v>100</v>
      </c>
      <c r="W525">
        <v>0</v>
      </c>
      <c r="X525">
        <v>0</v>
      </c>
      <c r="Y525">
        <v>0</v>
      </c>
      <c r="Z525" s="20">
        <f>99/2</f>
        <v>49.5</v>
      </c>
      <c r="AA525" s="19">
        <f>IFERROR(PROPERTIES[[#This Row],[TE_STARTING_KN]]/(PROPERTIES[[#This Row],[WEIGHT]]*9.81),0)</f>
        <v>0.1146788990825688</v>
      </c>
      <c r="AB525" s="19">
        <v>0</v>
      </c>
      <c r="AC525" s="16">
        <f>ROUND(IF(IFERROR(PROPERTIES[[#This Row],[TE_COEFFICIENT_CALC]],0)=0,PROPERTIES[[#This Row],[TE_COEFFICIENT_MANUAL]],PROPERTIES[[#This Row],[TE_COEFFICIENT_CALC]]),3)</f>
        <v>0.115</v>
      </c>
      <c r="AD525" s="8" cm="1">
        <f t="array" ref="AD5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525" s="26">
        <v>72</v>
      </c>
      <c r="AF525" s="6">
        <v>7</v>
      </c>
      <c r="AG525" t="s">
        <v>230</v>
      </c>
      <c r="AH525" t="s">
        <v>229</v>
      </c>
      <c r="AI525" t="s">
        <v>229</v>
      </c>
      <c r="AJ525" s="2" t="s">
        <v>229</v>
      </c>
      <c r="AK525" s="2" t="s">
        <v>244</v>
      </c>
      <c r="AL52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5" s="2" t="str">
        <f>SUBSTITUTE(SUBSTITUTE(PROPERTIES[[#This Row],[PURCHASECOST_VALUE]], "PURCHASECOST_", ""), "_VALUE", "")</f>
        <v>EMU</v>
      </c>
      <c r="AO525" s="44" t="b">
        <v>0</v>
      </c>
      <c r="AP525" s="48" t="b">
        <v>0</v>
      </c>
      <c r="AQ525" s="48" t="b">
        <v>0</v>
      </c>
      <c r="AR525" s="48">
        <v>0</v>
      </c>
      <c r="AS525" s="48" t="b">
        <v>0</v>
      </c>
      <c r="AT525" s="7" t="b">
        <v>0</v>
      </c>
      <c r="AU525" s="40" t="str" cm="1">
        <f t="array" ref="AU525">_xlfn.XLOOKUP(PROPERTIES[[#This Row],[VEHIDCODE]],GRAPHICS_PROPERTIES[VEHIDCODE],GRAPHICS_PROPERTIES[TEMPLATE_ID]&amp;GRAPHICS_PROPERTIES[TEMPLATE_AMENDMENT_CODE])</f>
        <v>TPL_02A</v>
      </c>
    </row>
    <row r="526" spans="1:47" x14ac:dyDescent="0.35">
      <c r="A526" s="2" t="s">
        <v>3159</v>
      </c>
      <c r="B526">
        <v>1929</v>
      </c>
      <c r="C526">
        <v>1973</v>
      </c>
      <c r="D526" cm="1">
        <f t="array" ref="D5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6" s="40" t="str">
        <f>_xlfn.XLOOKUP(PROPERTIES[[#This Row],[VEHIDCODE]],CONTROL[VEHIDCODE],CONTROL[ENGLISH])</f>
        <v>ELIN ET 10</v>
      </c>
      <c r="F526" t="s">
        <v>540</v>
      </c>
      <c r="G526" s="40" t="str">
        <f>_xlfn.XLOOKUP(PROPERTIES[[#This Row],[COUNTRY]],COUNTRIES[COUNTRY_DESCRIPTION],COUNTRIES[COUNTRY_LABEL],"")</f>
        <v>AT</v>
      </c>
      <c r="H526" t="str" cm="1">
        <f t="array" ref="H5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6" t="s">
        <v>15</v>
      </c>
      <c r="J526">
        <v>62</v>
      </c>
      <c r="K526">
        <v>8</v>
      </c>
      <c r="M526" t="str" cm="1">
        <f t="array" ref="M5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6">
        <f>_xlfn.XLOOKUP("LOADINGSPEEDDEF_"&amp;PROPERTIES[[#This Row],[LOADINGSPEED]],LOADINGSPEEDDEF[TYPE],LOADINGSPEEDDEF[SPEED])</f>
        <v>60</v>
      </c>
      <c r="O526" cm="1">
        <f t="array" ref="O5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6">
        <f>IF(ISNUMBER(SEARCH("passenger",PROPERTIES[[#This Row],[CARGODEF]])),1,0)</f>
        <v>1</v>
      </c>
      <c r="Q526" s="23">
        <v>72.7</v>
      </c>
      <c r="R526">
        <f>555*2</f>
        <v>1110</v>
      </c>
      <c r="S526">
        <v>0</v>
      </c>
      <c r="T526">
        <v>0</v>
      </c>
      <c r="U526">
        <v>0</v>
      </c>
      <c r="V526">
        <v>62</v>
      </c>
      <c r="W526">
        <v>0</v>
      </c>
      <c r="X526">
        <v>0</v>
      </c>
      <c r="Y526">
        <v>0</v>
      </c>
      <c r="Z526" s="20">
        <f>200/2</f>
        <v>100</v>
      </c>
      <c r="AA526" s="19">
        <f>IFERROR(PROPERTIES[[#This Row],[TE_STARTING_KN]]/(PROPERTIES[[#This Row],[WEIGHT]]*9.81),0)</f>
        <v>0.14021567975860469</v>
      </c>
      <c r="AB526" s="19">
        <v>0</v>
      </c>
      <c r="AC526" s="16">
        <f>ROUND(IF(IFERROR(PROPERTIES[[#This Row],[TE_COEFFICIENT_CALC]],0)=0,PROPERTIES[[#This Row],[TE_COEFFICIENT_MANUAL]],PROPERTIES[[#This Row],[TE_COEFFICIENT_CALC]]),3)</f>
        <v>0.14000000000000001</v>
      </c>
      <c r="AD526" s="8" cm="1">
        <f t="array" ref="AD5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44</v>
      </c>
      <c r="AE526" s="26">
        <v>62</v>
      </c>
      <c r="AF526" s="6">
        <v>8</v>
      </c>
      <c r="AG526" t="s">
        <v>230</v>
      </c>
      <c r="AH526" t="s">
        <v>229</v>
      </c>
      <c r="AI526" t="s">
        <v>229</v>
      </c>
      <c r="AJ526" s="2" t="s">
        <v>229</v>
      </c>
      <c r="AK526" s="2" t="s">
        <v>244</v>
      </c>
      <c r="AL52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6" s="2" t="str">
        <f>SUBSTITUTE(SUBSTITUTE(PROPERTIES[[#This Row],[PURCHASECOST_VALUE]], "PURCHASECOST_", ""), "_VALUE", "")</f>
        <v>EMU</v>
      </c>
      <c r="AO526" s="44" t="b">
        <v>0</v>
      </c>
      <c r="AP526" s="48" t="b">
        <v>0</v>
      </c>
      <c r="AQ526" s="48" t="b">
        <v>0</v>
      </c>
      <c r="AR526" s="48">
        <v>0</v>
      </c>
      <c r="AS526" s="48" t="b">
        <v>0</v>
      </c>
      <c r="AT526" s="7" t="b">
        <v>0</v>
      </c>
      <c r="AU526" s="40" t="str" cm="1">
        <f t="array" ref="AU526">_xlfn.XLOOKUP(PROPERTIES[[#This Row],[VEHIDCODE]],GRAPHICS_PROPERTIES[VEHIDCODE],GRAPHICS_PROPERTIES[TEMPLATE_ID]&amp;GRAPHICS_PROPERTIES[TEMPLATE_AMENDMENT_CODE])</f>
        <v>TPL_02A</v>
      </c>
    </row>
    <row r="527" spans="1:47" x14ac:dyDescent="0.35">
      <c r="A527" s="2" t="s">
        <v>3160</v>
      </c>
      <c r="B527">
        <v>2011</v>
      </c>
      <c r="D527" cm="1">
        <f t="array" ref="D5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7" s="40" t="str">
        <f>_xlfn.XLOOKUP(PROPERTIES[[#This Row],[VEHIDCODE]],CONTROL[VEHIDCODE],CONTROL[ENGLISH])</f>
        <v>Stadler 'KISS'</v>
      </c>
      <c r="F527" t="s">
        <v>540</v>
      </c>
      <c r="G527" s="40" t="str">
        <f>_xlfn.XLOOKUP(PROPERTIES[[#This Row],[COUNTRY]],COUNTRIES[COUNTRY_DESCRIPTION],COUNTRIES[COUNTRY_LABEL],"")</f>
        <v>AT</v>
      </c>
      <c r="H527" t="str" cm="1">
        <f t="array" ref="H5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7" t="s">
        <v>15</v>
      </c>
      <c r="J527">
        <v>60</v>
      </c>
      <c r="K527">
        <v>8</v>
      </c>
      <c r="M527" t="str" cm="1">
        <f t="array" ref="M5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27">
        <f>_xlfn.XLOOKUP("LOADINGSPEEDDEF_"&amp;PROPERTIES[[#This Row],[LOADINGSPEED]],LOADINGSPEEDDEF[TYPE],LOADINGSPEEDDEF[SPEED])</f>
        <v>20</v>
      </c>
      <c r="O527" t="str" cm="1">
        <f t="array" ref="O5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27">
        <f>IF(ISNUMBER(SEARCH("passenger",PROPERTIES[[#This Row],[CARGODEF]])),1,0)</f>
        <v>1</v>
      </c>
      <c r="Q527" s="23">
        <v>78</v>
      </c>
      <c r="R527">
        <v>5340</v>
      </c>
      <c r="S527">
        <v>0</v>
      </c>
      <c r="T527">
        <v>0</v>
      </c>
      <c r="U527">
        <v>0</v>
      </c>
      <c r="V527">
        <v>200</v>
      </c>
      <c r="W527">
        <v>0</v>
      </c>
      <c r="X527">
        <v>0</v>
      </c>
      <c r="Y527">
        <v>0</v>
      </c>
      <c r="Z527" s="20">
        <f>200/2</f>
        <v>100</v>
      </c>
      <c r="AA527" s="19">
        <f>IFERROR(PROPERTIES[[#This Row],[TE_STARTING_KN]]/(PROPERTIES[[#This Row],[WEIGHT]]*9.81),0)</f>
        <v>0.13068820408269949</v>
      </c>
      <c r="AB527" s="19">
        <v>0</v>
      </c>
      <c r="AC527" s="16">
        <f>ROUND(IF(IFERROR(PROPERTIES[[#This Row],[TE_COEFFICIENT_CALC]],0)=0,PROPERTIES[[#This Row],[TE_COEFFICIENT_MANUAL]],PROPERTIES[[#This Row],[TE_COEFFICIENT_CALC]]),3)</f>
        <v>0.13100000000000001</v>
      </c>
      <c r="AD527" s="8" cm="1">
        <f t="array" ref="AD5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27" s="26">
        <v>140</v>
      </c>
      <c r="AF527" s="6">
        <v>8</v>
      </c>
      <c r="AG527" t="s">
        <v>230</v>
      </c>
      <c r="AH527" t="s">
        <v>229</v>
      </c>
      <c r="AI527" t="s">
        <v>229</v>
      </c>
      <c r="AJ527" s="2" t="s">
        <v>229</v>
      </c>
      <c r="AK527" s="2" t="s">
        <v>244</v>
      </c>
      <c r="AL52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7" s="2" t="str">
        <f>SUBSTITUTE(SUBSTITUTE(PROPERTIES[[#This Row],[PURCHASECOST_VALUE]], "PURCHASECOST_", ""), "_VALUE", "")</f>
        <v>EMU</v>
      </c>
      <c r="AO527" s="44" t="b">
        <v>0</v>
      </c>
      <c r="AP527" s="48" t="b">
        <v>0</v>
      </c>
      <c r="AQ527" s="48" t="b">
        <v>0</v>
      </c>
      <c r="AR527" s="48">
        <v>0</v>
      </c>
      <c r="AS527" s="48" t="b">
        <v>0</v>
      </c>
      <c r="AT527" s="7" t="b">
        <v>0</v>
      </c>
      <c r="AU527" s="40" t="str" cm="1">
        <f t="array" ref="AU527">_xlfn.XLOOKUP(PROPERTIES[[#This Row],[VEHIDCODE]],GRAPHICS_PROPERTIES[VEHIDCODE],GRAPHICS_PROPERTIES[TEMPLATE_ID]&amp;GRAPHICS_PROPERTIES[TEMPLATE_AMENDMENT_CODE])</f>
        <v>TPL_02A</v>
      </c>
    </row>
    <row r="528" spans="1:47" x14ac:dyDescent="0.35">
      <c r="A528" s="2" t="s">
        <v>3161</v>
      </c>
      <c r="B528">
        <v>1969</v>
      </c>
      <c r="C528">
        <v>2004</v>
      </c>
      <c r="D528" cm="1">
        <f t="array" ref="D5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8" s="40" t="str">
        <f>_xlfn.XLOOKUP(PROPERTIES[[#This Row],[VEHIDCODE]],CONTROL[VEHIDCODE],CONTROL[ENGLISH])</f>
        <v>LHB 420</v>
      </c>
      <c r="F528" t="s">
        <v>584</v>
      </c>
      <c r="G528" s="40" t="str">
        <f>_xlfn.XLOOKUP(PROPERTIES[[#This Row],[COUNTRY]],COUNTRIES[COUNTRY_DESCRIPTION],COUNTRIES[COUNTRY_LABEL],"")</f>
        <v>DE</v>
      </c>
      <c r="H528" t="str" cm="1">
        <f t="array" ref="H5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8" t="s">
        <v>15</v>
      </c>
      <c r="J528">
        <f>INT((192+266)/3)</f>
        <v>152</v>
      </c>
      <c r="K528">
        <v>8</v>
      </c>
      <c r="M528" t="str" cm="1">
        <f t="array" ref="M5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8">
        <f>_xlfn.XLOOKUP("LOADINGSPEEDDEF_"&amp;PROPERTIES[[#This Row],[LOADINGSPEED]],LOADINGSPEEDDEF[TYPE],LOADINGSPEEDDEF[SPEED])</f>
        <v>60</v>
      </c>
      <c r="O528" cm="1">
        <f t="array" ref="O5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8">
        <f>IF(ISNUMBER(SEARCH("passenger",PROPERTIES[[#This Row],[CARGODEF]])),1,0)</f>
        <v>1</v>
      </c>
      <c r="Q528" s="23">
        <v>46</v>
      </c>
      <c r="R528">
        <f>1072*2</f>
        <v>2144</v>
      </c>
      <c r="S528">
        <v>0</v>
      </c>
      <c r="T528">
        <v>0</v>
      </c>
      <c r="U528">
        <v>0</v>
      </c>
      <c r="V528">
        <v>125</v>
      </c>
      <c r="W528">
        <v>0</v>
      </c>
      <c r="X528">
        <v>0</v>
      </c>
      <c r="Y528">
        <v>0</v>
      </c>
      <c r="Z528" s="20">
        <v>63</v>
      </c>
      <c r="AA528" s="19">
        <f>IFERROR(PROPERTIES[[#This Row],[TE_STARTING_KN]]/(PROPERTIES[[#This Row],[WEIGHT]]*9.81),0)</f>
        <v>0.13960909453530115</v>
      </c>
      <c r="AB528" s="19">
        <v>0</v>
      </c>
      <c r="AC528" s="16">
        <f>ROUND(IF(IFERROR(PROPERTIES[[#This Row],[TE_COEFFICIENT_CALC]],0)=0,PROPERTIES[[#This Row],[TE_COEFFICIENT_MANUAL]],PROPERTIES[[#This Row],[TE_COEFFICIENT_CALC]]),3)</f>
        <v>0.14000000000000001</v>
      </c>
      <c r="AD528" s="8" cm="1">
        <f t="array" ref="AD5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28" s="35">
        <f>INT((192+266)/3)</f>
        <v>152</v>
      </c>
      <c r="AF528" s="6">
        <v>8</v>
      </c>
      <c r="AG528" t="s">
        <v>230</v>
      </c>
      <c r="AH528" t="s">
        <v>229</v>
      </c>
      <c r="AI528" t="s">
        <v>229</v>
      </c>
      <c r="AJ528" s="2" t="s">
        <v>229</v>
      </c>
      <c r="AK528" s="2" t="s">
        <v>244</v>
      </c>
      <c r="AL52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8" s="2" t="str">
        <f>SUBSTITUTE(SUBSTITUTE(PROPERTIES[[#This Row],[PURCHASECOST_VALUE]], "PURCHASECOST_", ""), "_VALUE", "")</f>
        <v>EMU</v>
      </c>
      <c r="AO528" s="44" t="b">
        <v>0</v>
      </c>
      <c r="AP528" s="48" t="b">
        <v>0</v>
      </c>
      <c r="AQ528" s="48" t="b">
        <v>0</v>
      </c>
      <c r="AR528" s="48">
        <v>0</v>
      </c>
      <c r="AS528" s="48" t="b">
        <v>0</v>
      </c>
      <c r="AT528" s="7" t="b">
        <v>0</v>
      </c>
      <c r="AU528" s="40" t="str" cm="1">
        <f t="array" ref="AU528">_xlfn.XLOOKUP(PROPERTIES[[#This Row],[VEHIDCODE]],GRAPHICS_PROPERTIES[VEHIDCODE],GRAPHICS_PROPERTIES[TEMPLATE_ID]&amp;GRAPHICS_PROPERTIES[TEMPLATE_AMENDMENT_CODE])</f>
        <v>TPL_02D</v>
      </c>
    </row>
    <row r="529" spans="1:47" x14ac:dyDescent="0.35">
      <c r="A529" s="2" t="s">
        <v>3162</v>
      </c>
      <c r="B529">
        <v>1998</v>
      </c>
      <c r="C529">
        <v>1994</v>
      </c>
      <c r="D529" cm="1">
        <f t="array" ref="D5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9" s="40" t="str">
        <f>_xlfn.XLOOKUP(PROPERTIES[[#This Row],[VEHIDCODE]],CONTROL[VEHIDCODE],CONTROL[ENGLISH])</f>
        <v>Adtranz BM73</v>
      </c>
      <c r="F529" t="s">
        <v>693</v>
      </c>
      <c r="G529" s="40" t="str">
        <f>_xlfn.XLOOKUP(PROPERTIES[[#This Row],[COUNTRY]],COUNTRIES[COUNTRY_DESCRIPTION],COUNTRIES[COUNTRY_LABEL],"")</f>
        <v>NO</v>
      </c>
      <c r="H529" t="str" cm="1">
        <f t="array" ref="H5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9" t="s">
        <v>15</v>
      </c>
      <c r="J529">
        <v>54</v>
      </c>
      <c r="K529">
        <v>8</v>
      </c>
      <c r="M529" t="str" cm="1">
        <f t="array" ref="M5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29">
        <f>_xlfn.XLOOKUP("LOADINGSPEEDDEF_"&amp;PROPERTIES[[#This Row],[LOADINGSPEED]],LOADINGSPEEDDEF[TYPE],LOADINGSPEEDDEF[SPEED])</f>
        <v>20</v>
      </c>
      <c r="O529" t="str" cm="1">
        <f t="array" ref="O5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29">
        <f>IF(ISNUMBER(SEARCH("passenger",PROPERTIES[[#This Row],[CARGODEF]])),1,0)</f>
        <v>1</v>
      </c>
      <c r="Q529" s="23">
        <v>54</v>
      </c>
      <c r="R529">
        <f>1166*2</f>
        <v>2332</v>
      </c>
      <c r="S529">
        <v>0</v>
      </c>
      <c r="T529">
        <v>0</v>
      </c>
      <c r="U529">
        <v>0</v>
      </c>
      <c r="V529">
        <v>210</v>
      </c>
      <c r="W529">
        <v>0</v>
      </c>
      <c r="X529">
        <v>0</v>
      </c>
      <c r="Y529">
        <v>0</v>
      </c>
      <c r="Z529" s="20">
        <f>117/2</f>
        <v>58.5</v>
      </c>
      <c r="AA529" s="19">
        <f>IFERROR(PROPERTIES[[#This Row],[TE_STARTING_KN]]/(PROPERTIES[[#This Row],[WEIGHT]]*9.81),0)</f>
        <v>0.11043153244988108</v>
      </c>
      <c r="AB529" s="19">
        <v>0</v>
      </c>
      <c r="AC529" s="16">
        <f>ROUND(IF(IFERROR(PROPERTIES[[#This Row],[TE_COEFFICIENT_CALC]],0)=0,PROPERTIES[[#This Row],[TE_COEFFICIENT_MANUAL]],PROPERTIES[[#This Row],[TE_COEFFICIENT_CALC]]),3)</f>
        <v>0.11</v>
      </c>
      <c r="AD529" s="8" cm="1">
        <f t="array" ref="AD5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29" s="26">
        <v>54</v>
      </c>
      <c r="AF529" s="6">
        <v>8</v>
      </c>
      <c r="AG529" t="s">
        <v>234</v>
      </c>
      <c r="AH529" t="s">
        <v>229</v>
      </c>
      <c r="AI529" t="s">
        <v>229</v>
      </c>
      <c r="AJ529" s="2" t="s">
        <v>229</v>
      </c>
      <c r="AK529" s="2" t="s">
        <v>244</v>
      </c>
      <c r="AL52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9" s="2" t="str">
        <f>SUBSTITUTE(SUBSTITUTE(PROPERTIES[[#This Row],[PURCHASECOST_VALUE]], "PURCHASECOST_", ""), "_VALUE", "")</f>
        <v>EMU</v>
      </c>
      <c r="AO529" s="44" t="b">
        <v>0</v>
      </c>
      <c r="AP529" s="48" t="b">
        <v>0</v>
      </c>
      <c r="AQ529" s="48" t="b">
        <v>1</v>
      </c>
      <c r="AR529" s="48">
        <v>0</v>
      </c>
      <c r="AS529" s="48" t="b">
        <v>0</v>
      </c>
      <c r="AT529" s="7" t="b">
        <v>0</v>
      </c>
      <c r="AU529" s="40" t="str" cm="1">
        <f t="array" ref="AU529">_xlfn.XLOOKUP(PROPERTIES[[#This Row],[VEHIDCODE]],GRAPHICS_PROPERTIES[VEHIDCODE],GRAPHICS_PROPERTIES[TEMPLATE_ID]&amp;GRAPHICS_PROPERTIES[TEMPLATE_AMENDMENT_CODE])</f>
        <v>TPL_02D</v>
      </c>
    </row>
    <row r="530" spans="1:47" x14ac:dyDescent="0.35">
      <c r="A530" s="2" t="s">
        <v>3163</v>
      </c>
      <c r="B530">
        <v>1942</v>
      </c>
      <c r="D530" cm="1">
        <f t="array" ref="D5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0" s="40" t="str">
        <f>_xlfn.XLOOKUP(PROPERTIES[[#This Row],[VEHIDCODE]],CONTROL[VEHIDCODE],CONTROL[ENGLISH])</f>
        <v>NEBB M65</v>
      </c>
      <c r="F530" t="s">
        <v>693</v>
      </c>
      <c r="G530" s="40" t="str">
        <f>_xlfn.XLOOKUP(PROPERTIES[[#This Row],[COUNTRY]],COUNTRIES[COUNTRY_DESCRIPTION],COUNTRIES[COUNTRY_LABEL],"")</f>
        <v>NO</v>
      </c>
      <c r="H530" t="str" cm="1">
        <f t="array" ref="H5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0" t="s">
        <v>15</v>
      </c>
      <c r="J530">
        <v>50</v>
      </c>
      <c r="K530">
        <v>8</v>
      </c>
      <c r="M530" t="str" cm="1">
        <f t="array" ref="M5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0">
        <f>_xlfn.XLOOKUP("LOADINGSPEEDDEF_"&amp;PROPERTIES[[#This Row],[LOADINGSPEED]],LOADINGSPEEDDEF[TYPE],LOADINGSPEEDDEF[SPEED])</f>
        <v>60</v>
      </c>
      <c r="O530" cm="1">
        <f t="array" ref="O5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30">
        <f>IF(ISNUMBER(SEARCH("passenger",PROPERTIES[[#This Row],[CARGODEF]])),1,0)</f>
        <v>1</v>
      </c>
      <c r="Q530" s="23">
        <f>(47+30)/2</f>
        <v>38.5</v>
      </c>
      <c r="R530">
        <v>622</v>
      </c>
      <c r="S530">
        <v>0</v>
      </c>
      <c r="T530">
        <v>0</v>
      </c>
      <c r="U530">
        <v>0</v>
      </c>
      <c r="V530">
        <v>70</v>
      </c>
      <c r="W530">
        <v>0</v>
      </c>
      <c r="X530">
        <v>0</v>
      </c>
      <c r="Y530">
        <v>0</v>
      </c>
      <c r="Z530" s="20">
        <f>85/2</f>
        <v>42.5</v>
      </c>
      <c r="AA530" s="19">
        <f>IFERROR(PROPERTIES[[#This Row],[TE_STARTING_KN]]/(PROPERTIES[[#This Row],[WEIGHT]]*9.81),0)</f>
        <v>0.11252763546341528</v>
      </c>
      <c r="AB530" s="19">
        <v>0</v>
      </c>
      <c r="AC530" s="16">
        <f>ROUND(IF(IFERROR(PROPERTIES[[#This Row],[TE_COEFFICIENT_CALC]],0)=0,PROPERTIES[[#This Row],[TE_COEFFICIENT_MANUAL]],PROPERTIES[[#This Row],[TE_COEFFICIENT_CALC]]),3)</f>
        <v>0.113</v>
      </c>
      <c r="AD530" s="8" cm="1">
        <f t="array" ref="AD5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30" s="26">
        <v>50</v>
      </c>
      <c r="AF530" s="6">
        <v>7</v>
      </c>
      <c r="AG530" t="s">
        <v>234</v>
      </c>
      <c r="AH530" t="s">
        <v>229</v>
      </c>
      <c r="AI530" t="s">
        <v>229</v>
      </c>
      <c r="AJ530" s="2" t="s">
        <v>229</v>
      </c>
      <c r="AK530" s="2" t="s">
        <v>244</v>
      </c>
      <c r="AL53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0" s="2" t="str">
        <f>SUBSTITUTE(SUBSTITUTE(PROPERTIES[[#This Row],[PURCHASECOST_VALUE]], "PURCHASECOST_", ""), "_VALUE", "")</f>
        <v>EMU</v>
      </c>
      <c r="AO530" s="44" t="b">
        <v>0</v>
      </c>
      <c r="AP530" s="48" t="b">
        <v>0</v>
      </c>
      <c r="AQ530" s="48" t="b">
        <v>0</v>
      </c>
      <c r="AR530" s="48">
        <v>0</v>
      </c>
      <c r="AS530" s="48" t="b">
        <v>0</v>
      </c>
      <c r="AT530" s="7" t="b">
        <v>0</v>
      </c>
      <c r="AU530" s="40" t="str" cm="1">
        <f t="array" ref="AU530">_xlfn.XLOOKUP(PROPERTIES[[#This Row],[VEHIDCODE]],GRAPHICS_PROPERTIES[VEHIDCODE],GRAPHICS_PROPERTIES[TEMPLATE_ID]&amp;GRAPHICS_PROPERTIES[TEMPLATE_AMENDMENT_CODE])</f>
        <v>TPL_02A</v>
      </c>
    </row>
    <row r="531" spans="1:47" x14ac:dyDescent="0.35">
      <c r="A531" s="2" t="s">
        <v>3164</v>
      </c>
      <c r="B531">
        <v>1990</v>
      </c>
      <c r="D531" cm="1">
        <f t="array" ref="D5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1" s="40" t="str">
        <f>_xlfn.XLOOKUP(PROPERTIES[[#This Row],[VEHIDCODE]],CONTROL[VEHIDCODE],CONTROL[ENGLISH])</f>
        <v>ASEA X2000</v>
      </c>
      <c r="F531" t="s">
        <v>722</v>
      </c>
      <c r="G531" s="40" t="str">
        <f>_xlfn.XLOOKUP(PROPERTIES[[#This Row],[COUNTRY]],COUNTRIES[COUNTRY_DESCRIPTION],COUNTRIES[COUNTRY_LABEL],"")</f>
        <v>SE</v>
      </c>
      <c r="H531" t="str" cm="1">
        <f t="array" ref="H5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1" t="s">
        <v>17</v>
      </c>
      <c r="J531">
        <v>0</v>
      </c>
      <c r="K531">
        <v>8</v>
      </c>
      <c r="M531" t="str" cm="1">
        <f t="array" ref="M5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31">
        <f>_xlfn.XLOOKUP("LOADINGSPEEDDEF_"&amp;PROPERTIES[[#This Row],[LOADINGSPEED]],LOADINGSPEEDDEF[TYPE],LOADINGSPEEDDEF[SPEED])</f>
        <v>20</v>
      </c>
      <c r="O531" t="str" cm="1">
        <f t="array" ref="O5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1">
        <f>IF(ISNUMBER(SEARCH("passenger",PROPERTIES[[#This Row],[CARGODEF]])),1,0)</f>
        <v>0</v>
      </c>
      <c r="Q531" s="23">
        <v>73</v>
      </c>
      <c r="R531">
        <v>4400</v>
      </c>
      <c r="S531">
        <v>0</v>
      </c>
      <c r="T531">
        <v>0</v>
      </c>
      <c r="U531">
        <v>0</v>
      </c>
      <c r="V531">
        <v>200</v>
      </c>
      <c r="W531">
        <v>0</v>
      </c>
      <c r="X531">
        <v>0</v>
      </c>
      <c r="Y531">
        <v>0</v>
      </c>
      <c r="Z531" s="20">
        <f>160/2</f>
        <v>80</v>
      </c>
      <c r="AA531" s="19">
        <f>IFERROR(PROPERTIES[[#This Row],[TE_STARTING_KN]]/(PROPERTIES[[#This Row],[WEIGHT]]*9.81),0)</f>
        <v>0.11171156075014313</v>
      </c>
      <c r="AB531" s="19">
        <v>0</v>
      </c>
      <c r="AC531" s="16">
        <f>ROUND(IF(IFERROR(PROPERTIES[[#This Row],[TE_COEFFICIENT_CALC]],0)=0,PROPERTIES[[#This Row],[TE_COEFFICIENT_MANUAL]],PROPERTIES[[#This Row],[TE_COEFFICIENT_CALC]]),3)</f>
        <v>0.112</v>
      </c>
      <c r="AD531" s="8" cm="1">
        <f t="array" ref="AD5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1" s="26">
        <v>72</v>
      </c>
      <c r="AF531" s="6">
        <v>8</v>
      </c>
      <c r="AG531" t="s">
        <v>234</v>
      </c>
      <c r="AH531" t="s">
        <v>1947</v>
      </c>
      <c r="AI531" t="s">
        <v>229</v>
      </c>
      <c r="AJ531" s="2" t="s">
        <v>229</v>
      </c>
      <c r="AK531" s="2" t="s">
        <v>244</v>
      </c>
      <c r="AL53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1" s="2" t="str">
        <f>SUBSTITUTE(SUBSTITUTE(PROPERTIES[[#This Row],[PURCHASECOST_VALUE]], "PURCHASECOST_", ""), "_VALUE", "")</f>
        <v>EMU</v>
      </c>
      <c r="AO531" s="44" t="b">
        <v>0</v>
      </c>
      <c r="AP531" s="48" t="b">
        <v>0</v>
      </c>
      <c r="AQ531" s="48" t="b">
        <v>1</v>
      </c>
      <c r="AR531" s="48">
        <v>0</v>
      </c>
      <c r="AS531" s="48" t="b">
        <v>0</v>
      </c>
      <c r="AT531" s="7" t="b">
        <v>0</v>
      </c>
      <c r="AU531" s="40" t="str" cm="1">
        <f t="array" ref="AU531">_xlfn.XLOOKUP(PROPERTIES[[#This Row],[VEHIDCODE]],GRAPHICS_PROPERTIES[VEHIDCODE],GRAPHICS_PROPERTIES[TEMPLATE_ID]&amp;GRAPHICS_PROPERTIES[TEMPLATE_AMENDMENT_CODE])</f>
        <v>TPL_02A</v>
      </c>
    </row>
    <row r="532" spans="1:47" x14ac:dyDescent="0.35">
      <c r="A532" s="2" t="s">
        <v>3165</v>
      </c>
      <c r="B532">
        <v>1965</v>
      </c>
      <c r="C532">
        <v>2010</v>
      </c>
      <c r="D532" cm="1">
        <f t="array" ref="D5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2" s="40" t="str">
        <f>_xlfn.XLOOKUP(PROPERTIES[[#This Row],[VEHIDCODE]],CONTROL[VEHIDCODE],CONTROL[ENGLISH])</f>
        <v>SWP RABDe 510</v>
      </c>
      <c r="F532" t="s">
        <v>570</v>
      </c>
      <c r="G532" s="40" t="str">
        <f>_xlfn.XLOOKUP(PROPERTIES[[#This Row],[COUNTRY]],COUNTRIES[COUNTRY_DESCRIPTION],COUNTRIES[COUNTRY_LABEL],"")</f>
        <v>CH</v>
      </c>
      <c r="H532" t="str" cm="1">
        <f t="array" ref="H5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2" t="s">
        <v>15</v>
      </c>
      <c r="J532">
        <v>56</v>
      </c>
      <c r="K532">
        <v>8</v>
      </c>
      <c r="M532" t="str" cm="1">
        <f t="array" ref="M5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2">
        <f>_xlfn.XLOOKUP("LOADINGSPEEDDEF_"&amp;PROPERTIES[[#This Row],[LOADINGSPEED]],LOADINGSPEEDDEF[TYPE],LOADINGSPEEDDEF[SPEED])</f>
        <v>60</v>
      </c>
      <c r="O532" cm="1">
        <f t="array" ref="O5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32">
        <f>IF(ISNUMBER(SEARCH("passenger",PROPERTIES[[#This Row],[CARGODEF]])),1,0)</f>
        <v>1</v>
      </c>
      <c r="Q532" s="23">
        <f>INT(200/3)</f>
        <v>66</v>
      </c>
      <c r="R532">
        <f>INT(3277*2/3)</f>
        <v>2184</v>
      </c>
      <c r="S532">
        <v>0</v>
      </c>
      <c r="T532">
        <v>0</v>
      </c>
      <c r="U532">
        <v>0</v>
      </c>
      <c r="V532">
        <v>125</v>
      </c>
      <c r="W532">
        <v>0</v>
      </c>
      <c r="X532">
        <v>0</v>
      </c>
      <c r="Y532">
        <v>0</v>
      </c>
      <c r="Z532" s="20">
        <f>239/2</f>
        <v>119.5</v>
      </c>
      <c r="AA532" s="19">
        <f>IFERROR(PROPERTIES[[#This Row],[TE_STARTING_KN]]/(PROPERTIES[[#This Row],[WEIGHT]]*9.81),0)</f>
        <v>0.18456738640224879</v>
      </c>
      <c r="AB532" s="19">
        <v>0</v>
      </c>
      <c r="AC532" s="16">
        <f>ROUND(IF(IFERROR(PROPERTIES[[#This Row],[TE_COEFFICIENT_CALC]],0)=0,PROPERTIES[[#This Row],[TE_COEFFICIENT_MANUAL]],PROPERTIES[[#This Row],[TE_COEFFICIENT_CALC]]),3)</f>
        <v>0.185</v>
      </c>
      <c r="AD532" s="8" cm="1">
        <f t="array" ref="AD5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32" s="26">
        <f>INT(200/3)</f>
        <v>66</v>
      </c>
      <c r="AF532" s="6">
        <v>8</v>
      </c>
      <c r="AG532" t="s">
        <v>230</v>
      </c>
      <c r="AH532" t="s">
        <v>229</v>
      </c>
      <c r="AI532" t="s">
        <v>229</v>
      </c>
      <c r="AJ532" s="2" t="s">
        <v>229</v>
      </c>
      <c r="AK532" s="2" t="s">
        <v>244</v>
      </c>
      <c r="AL53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2" s="2" t="str">
        <f>SUBSTITUTE(SUBSTITUTE(PROPERTIES[[#This Row],[PURCHASECOST_VALUE]], "PURCHASECOST_", ""), "_VALUE", "")</f>
        <v>EMU</v>
      </c>
      <c r="AO532" s="44" t="b">
        <v>0</v>
      </c>
      <c r="AP532" s="48" t="b">
        <v>0</v>
      </c>
      <c r="AQ532" s="48" t="b">
        <v>0</v>
      </c>
      <c r="AR532" s="48">
        <v>0</v>
      </c>
      <c r="AS532" s="48" t="b">
        <v>0</v>
      </c>
      <c r="AT532" s="7" t="b">
        <v>0</v>
      </c>
      <c r="AU532" s="40" t="str" cm="1">
        <f t="array" ref="AU532">_xlfn.XLOOKUP(PROPERTIES[[#This Row],[VEHIDCODE]],GRAPHICS_PROPERTIES[VEHIDCODE],GRAPHICS_PROPERTIES[TEMPLATE_ID]&amp;GRAPHICS_PROPERTIES[TEMPLATE_AMENDMENT_CODE])</f>
        <v>TPL_02D</v>
      </c>
    </row>
    <row r="533" spans="1:47" x14ac:dyDescent="0.35">
      <c r="A533" s="2" t="s">
        <v>3166</v>
      </c>
      <c r="B533">
        <v>1987</v>
      </c>
      <c r="C533">
        <v>2006</v>
      </c>
      <c r="D533" cm="1">
        <f t="array" ref="D5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3" s="40" t="str">
        <f>_xlfn.XLOOKUP(PROPERTIES[[#This Row],[VEHIDCODE]],CONTROL[VEHIDCODE],CONTROL[ENGLISH])</f>
        <v>Schindler RBDe 560</v>
      </c>
      <c r="F533" t="s">
        <v>570</v>
      </c>
      <c r="G533" s="40" t="str">
        <f>_xlfn.XLOOKUP(PROPERTIES[[#This Row],[COUNTRY]],COUNTRIES[COUNTRY_DESCRIPTION],COUNTRIES[COUNTRY_LABEL],"")</f>
        <v>CH</v>
      </c>
      <c r="H533" t="str" cm="1">
        <f t="array" ref="H5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3" t="s">
        <v>15</v>
      </c>
      <c r="J533">
        <v>56</v>
      </c>
      <c r="K533">
        <v>8</v>
      </c>
      <c r="M533" t="str" cm="1">
        <f t="array" ref="M5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3">
        <f>_xlfn.XLOOKUP("LOADINGSPEEDDEF_"&amp;PROPERTIES[[#This Row],[LOADINGSPEED]],LOADINGSPEEDDEF[TYPE],LOADINGSPEEDDEF[SPEED])</f>
        <v>60</v>
      </c>
      <c r="O533" t="str" cm="1">
        <f t="array" ref="O5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3">
        <f>IF(ISNUMBER(SEARCH("passenger",PROPERTIES[[#This Row],[CARGODEF]])),1,0)</f>
        <v>1</v>
      </c>
      <c r="Q533" s="23">
        <v>35</v>
      </c>
      <c r="R533">
        <v>2210</v>
      </c>
      <c r="S533">
        <v>0</v>
      </c>
      <c r="T533">
        <v>0</v>
      </c>
      <c r="U533">
        <v>0</v>
      </c>
      <c r="V533">
        <v>140</v>
      </c>
      <c r="W533">
        <v>0</v>
      </c>
      <c r="X533">
        <v>0</v>
      </c>
      <c r="Y533">
        <v>0</v>
      </c>
      <c r="Z533" s="20">
        <f>182/2</f>
        <v>91</v>
      </c>
      <c r="AA533" s="19">
        <f>IFERROR(PROPERTIES[[#This Row],[TE_STARTING_KN]]/(PROPERTIES[[#This Row],[WEIGHT]]*9.81),0)</f>
        <v>0.26503567787971455</v>
      </c>
      <c r="AB533" s="19">
        <v>0</v>
      </c>
      <c r="AC533" s="16">
        <f>ROUND(IF(IFERROR(PROPERTIES[[#This Row],[TE_COEFFICIENT_CALC]],0)=0,PROPERTIES[[#This Row],[TE_COEFFICIENT_MANUAL]],PROPERTIES[[#This Row],[TE_COEFFICIENT_CALC]]),3)</f>
        <v>0.26500000000000001</v>
      </c>
      <c r="AD533" s="8" cm="1">
        <f t="array" ref="AD5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3" s="26">
        <v>56</v>
      </c>
      <c r="AF533" s="6">
        <v>8</v>
      </c>
      <c r="AG533" t="s">
        <v>230</v>
      </c>
      <c r="AH533" t="s">
        <v>229</v>
      </c>
      <c r="AI533" t="s">
        <v>229</v>
      </c>
      <c r="AJ533" s="2" t="s">
        <v>229</v>
      </c>
      <c r="AK533" s="2" t="s">
        <v>244</v>
      </c>
      <c r="AL53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3" s="2" t="str">
        <f>SUBSTITUTE(SUBSTITUTE(PROPERTIES[[#This Row],[PURCHASECOST_VALUE]], "PURCHASECOST_", ""), "_VALUE", "")</f>
        <v>EMU</v>
      </c>
      <c r="AO533" s="44" t="b">
        <v>0</v>
      </c>
      <c r="AP533" s="48" t="b">
        <v>0</v>
      </c>
      <c r="AQ533" s="48" t="b">
        <v>0</v>
      </c>
      <c r="AR533" s="48">
        <v>0</v>
      </c>
      <c r="AS533" s="48" t="b">
        <v>0</v>
      </c>
      <c r="AT533" s="7" t="b">
        <v>0</v>
      </c>
      <c r="AU533" s="40" t="str" cm="1">
        <f t="array" ref="AU533">_xlfn.XLOOKUP(PROPERTIES[[#This Row],[VEHIDCODE]],GRAPHICS_PROPERTIES[VEHIDCODE],GRAPHICS_PROPERTIES[TEMPLATE_ID]&amp;GRAPHICS_PROPERTIES[TEMPLATE_AMENDMENT_CODE])</f>
        <v>TPL_02A</v>
      </c>
    </row>
    <row r="534" spans="1:47" x14ac:dyDescent="0.35">
      <c r="A534" s="2" t="s">
        <v>3167</v>
      </c>
      <c r="B534">
        <v>2004</v>
      </c>
      <c r="D534" cm="1">
        <f t="array" ref="D5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4" s="40" t="str">
        <f>_xlfn.XLOOKUP(PROPERTIES[[#This Row],[VEHIDCODE]],CONTROL[VEHIDCODE],CONTROL[ENGLISH])</f>
        <v>Stadler RABe 523 'Flirt'</v>
      </c>
      <c r="F534" t="s">
        <v>570</v>
      </c>
      <c r="G534" s="40" t="str">
        <f>_xlfn.XLOOKUP(PROPERTIES[[#This Row],[COUNTRY]],COUNTRIES[COUNTRY_DESCRIPTION],COUNTRIES[COUNTRY_LABEL],"")</f>
        <v>CH</v>
      </c>
      <c r="H534" t="str" cm="1">
        <f t="array" ref="H5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4" t="s">
        <v>15</v>
      </c>
      <c r="J534">
        <v>50</v>
      </c>
      <c r="K534">
        <v>8</v>
      </c>
      <c r="M534" t="str" cm="1">
        <f t="array" ref="M5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4">
        <f>_xlfn.XLOOKUP("LOADINGSPEEDDEF_"&amp;PROPERTIES[[#This Row],[LOADINGSPEED]],LOADINGSPEEDDEF[TYPE],LOADINGSPEEDDEF[SPEED])</f>
        <v>60</v>
      </c>
      <c r="O534" t="str" cm="1">
        <f t="array" ref="O5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4">
        <f>IF(ISNUMBER(SEARCH("passenger",PROPERTIES[[#This Row],[CARGODEF]])),1,0)</f>
        <v>1</v>
      </c>
      <c r="Q534" s="23">
        <v>31</v>
      </c>
      <c r="R534">
        <v>2682</v>
      </c>
      <c r="S534">
        <v>0</v>
      </c>
      <c r="T534">
        <v>0</v>
      </c>
      <c r="U534">
        <v>0</v>
      </c>
      <c r="V534">
        <v>160</v>
      </c>
      <c r="W534">
        <v>0</v>
      </c>
      <c r="X534">
        <v>0</v>
      </c>
      <c r="Y534">
        <v>0</v>
      </c>
      <c r="Z534" s="20">
        <f>200/2</f>
        <v>100</v>
      </c>
      <c r="AA534" s="19">
        <f>IFERROR(PROPERTIES[[#This Row],[TE_STARTING_KN]]/(PROPERTIES[[#This Row],[WEIGHT]]*9.81),0)</f>
        <v>0.32882838446614709</v>
      </c>
      <c r="AB534" s="19">
        <v>0</v>
      </c>
      <c r="AC534" s="16">
        <f>ROUND(IF(IFERROR(PROPERTIES[[#This Row],[TE_COEFFICIENT_CALC]],0)=0,PROPERTIES[[#This Row],[TE_COEFFICIENT_MANUAL]],PROPERTIES[[#This Row],[TE_COEFFICIENT_CALC]]),3)</f>
        <v>0.32900000000000001</v>
      </c>
      <c r="AD534" s="8" cm="1">
        <f t="array" ref="AD5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34" s="26">
        <v>50</v>
      </c>
      <c r="AF534" s="6">
        <v>7</v>
      </c>
      <c r="AG534" t="s">
        <v>239</v>
      </c>
      <c r="AH534" t="s">
        <v>229</v>
      </c>
      <c r="AI534" t="s">
        <v>229</v>
      </c>
      <c r="AJ534" s="2" t="s">
        <v>229</v>
      </c>
      <c r="AK534" s="2" t="s">
        <v>244</v>
      </c>
      <c r="AL53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4" s="2" t="str">
        <f>SUBSTITUTE(SUBSTITUTE(PROPERTIES[[#This Row],[PURCHASECOST_VALUE]], "PURCHASECOST_", ""), "_VALUE", "")</f>
        <v>EMU</v>
      </c>
      <c r="AO534" s="44" t="b">
        <v>0</v>
      </c>
      <c r="AP534" s="48" t="b">
        <v>0</v>
      </c>
      <c r="AQ534" s="48" t="b">
        <v>0</v>
      </c>
      <c r="AR534" s="48">
        <v>0</v>
      </c>
      <c r="AS534" s="48" t="b">
        <v>0</v>
      </c>
      <c r="AT534" s="7" t="b">
        <v>0</v>
      </c>
      <c r="AU534" s="40" t="str" cm="1">
        <f t="array" ref="AU534">_xlfn.XLOOKUP(PROPERTIES[[#This Row],[VEHIDCODE]],GRAPHICS_PROPERTIES[VEHIDCODE],GRAPHICS_PROPERTIES[TEMPLATE_ID]&amp;GRAPHICS_PROPERTIES[TEMPLATE_AMENDMENT_CODE])</f>
        <v>TPL_02A</v>
      </c>
    </row>
    <row r="535" spans="1:47" x14ac:dyDescent="0.35">
      <c r="A535" s="2" t="s">
        <v>3168</v>
      </c>
      <c r="B535">
        <v>1969</v>
      </c>
      <c r="C535">
        <v>1988</v>
      </c>
      <c r="D535" cm="1">
        <f t="array" ref="D5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5" s="40" t="str">
        <f>_xlfn.XLOOKUP(PROPERTIES[[#This Row],[VEHIDCODE]],CONTROL[VEHIDCODE],CONTROL[ENGLISH])</f>
        <v>Budd Metroliner</v>
      </c>
      <c r="F535" t="s">
        <v>757</v>
      </c>
      <c r="G535" s="40" t="str">
        <f>_xlfn.XLOOKUP(PROPERTIES[[#This Row],[COUNTRY]],COUNTRIES[COUNTRY_DESCRIPTION],COUNTRIES[COUNTRY_LABEL],"")</f>
        <v>US</v>
      </c>
      <c r="H535" t="str" cm="1">
        <f t="array" ref="H5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5" t="s">
        <v>15</v>
      </c>
      <c r="J535">
        <v>76</v>
      </c>
      <c r="K535">
        <v>8</v>
      </c>
      <c r="M535" t="str" cm="1">
        <f t="array" ref="M5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35">
        <f>_xlfn.XLOOKUP("LOADINGSPEEDDEF_"&amp;PROPERTIES[[#This Row],[LOADINGSPEED]],LOADINGSPEEDDEF[TYPE],LOADINGSPEEDDEF[SPEED])</f>
        <v>20</v>
      </c>
      <c r="O535" cm="1">
        <f t="array" ref="O5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35">
        <f>IF(ISNUMBER(SEARCH("passenger",PROPERTIES[[#This Row],[CARGODEF]])),1,0)</f>
        <v>1</v>
      </c>
      <c r="Q535" s="23">
        <v>75</v>
      </c>
      <c r="R535">
        <v>2400</v>
      </c>
      <c r="S535">
        <v>0</v>
      </c>
      <c r="T535">
        <v>0</v>
      </c>
      <c r="U535">
        <v>0</v>
      </c>
      <c r="V535">
        <v>190</v>
      </c>
      <c r="W535">
        <v>0</v>
      </c>
      <c r="X535">
        <v>0</v>
      </c>
      <c r="Y535">
        <v>0</v>
      </c>
      <c r="Z535" s="20">
        <f>200/2</f>
        <v>100</v>
      </c>
      <c r="AA535" s="19">
        <f>IFERROR(PROPERTIES[[#This Row],[TE_STARTING_KN]]/(PROPERTIES[[#This Row],[WEIGHT]]*9.81),0)</f>
        <v>0.13591573224600748</v>
      </c>
      <c r="AB535" s="19">
        <v>0</v>
      </c>
      <c r="AC535" s="16">
        <f>ROUND(IF(IFERROR(PROPERTIES[[#This Row],[TE_COEFFICIENT_CALC]],0)=0,PROPERTIES[[#This Row],[TE_COEFFICIENT_MANUAL]],PROPERTIES[[#This Row],[TE_COEFFICIENT_CALC]]),3)</f>
        <v>0.13600000000000001</v>
      </c>
      <c r="AD535" s="8" cm="1">
        <f t="array" ref="AD5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5" s="35">
        <v>76</v>
      </c>
      <c r="AF535" s="6">
        <v>8</v>
      </c>
      <c r="AG535" t="s">
        <v>235</v>
      </c>
      <c r="AH535" t="s">
        <v>229</v>
      </c>
      <c r="AI535" t="s">
        <v>229</v>
      </c>
      <c r="AJ535" s="2" t="s">
        <v>229</v>
      </c>
      <c r="AK535" s="2" t="s">
        <v>244</v>
      </c>
      <c r="AL53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5" s="2" t="str">
        <f>SUBSTITUTE(SUBSTITUTE(PROPERTIES[[#This Row],[PURCHASECOST_VALUE]], "PURCHASECOST_", ""), "_VALUE", "")</f>
        <v>EMU</v>
      </c>
      <c r="AO535" s="44" t="b">
        <v>0</v>
      </c>
      <c r="AP535" s="48" t="b">
        <v>0</v>
      </c>
      <c r="AQ535" s="48" t="b">
        <v>0</v>
      </c>
      <c r="AR535" s="48">
        <v>0</v>
      </c>
      <c r="AS535" s="48" t="b">
        <v>0</v>
      </c>
      <c r="AT535" s="7" t="b">
        <v>0</v>
      </c>
      <c r="AU535" s="40" t="str" cm="1">
        <f t="array" ref="AU535">_xlfn.XLOOKUP(PROPERTIES[[#This Row],[VEHIDCODE]],GRAPHICS_PROPERTIES[VEHIDCODE],GRAPHICS_PROPERTIES[TEMPLATE_ID]&amp;GRAPHICS_PROPERTIES[TEMPLATE_AMENDMENT_CODE])</f>
        <v>TPL_02A</v>
      </c>
    </row>
    <row r="536" spans="1:47" x14ac:dyDescent="0.35">
      <c r="A536" s="2" t="s">
        <v>3169</v>
      </c>
      <c r="B536">
        <v>2000</v>
      </c>
      <c r="D536" cm="1">
        <f t="array" ref="D5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6" s="40" t="str">
        <f>_xlfn.XLOOKUP(PROPERTIES[[#This Row],[VEHIDCODE]],CONTROL[VEHIDCODE],CONTROL[ENGLISH])</f>
        <v>Siemens Velero</v>
      </c>
      <c r="F536" t="s">
        <v>584</v>
      </c>
      <c r="G536" s="40" t="str">
        <f>_xlfn.XLOOKUP(PROPERTIES[[#This Row],[COUNTRY]],COUNTRIES[COUNTRY_DESCRIPTION],COUNTRIES[COUNTRY_LABEL],"")</f>
        <v>DE</v>
      </c>
      <c r="H536" t="str" cm="1">
        <f t="array" ref="H5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6" t="s">
        <v>15</v>
      </c>
      <c r="J536">
        <f>INT(441/8)</f>
        <v>55</v>
      </c>
      <c r="K536">
        <v>7</v>
      </c>
      <c r="L536">
        <v>0</v>
      </c>
      <c r="M536" t="str" cm="1">
        <f t="array" ref="M5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36">
        <f>_xlfn.XLOOKUP("LOADINGSPEEDDEF_"&amp;PROPERTIES[[#This Row],[LOADINGSPEED]],LOADINGSPEEDDEF[TYPE],LOADINGSPEEDDEF[SPEED])</f>
        <v>20</v>
      </c>
      <c r="O536" t="str" cm="1">
        <f t="array" ref="O5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6">
        <f>IF(ISNUMBER(SEARCH("passenger",PROPERTIES[[#This Row],[CARGODEF]])),1,0)</f>
        <v>1</v>
      </c>
      <c r="Q536" s="23">
        <f>409/8</f>
        <v>51.125</v>
      </c>
      <c r="R536">
        <v>10728</v>
      </c>
      <c r="S536">
        <v>0</v>
      </c>
      <c r="T536">
        <v>0</v>
      </c>
      <c r="U536">
        <v>0</v>
      </c>
      <c r="V536">
        <v>328</v>
      </c>
      <c r="W536">
        <v>0</v>
      </c>
      <c r="X536">
        <v>0</v>
      </c>
      <c r="Y536">
        <v>0</v>
      </c>
      <c r="Z536" s="20">
        <f>300/2</f>
        <v>150</v>
      </c>
      <c r="AA536" s="19">
        <f>IFERROR(PROPERTIES[[#This Row],[TE_STARTING_KN]]/(PROPERTIES[[#This Row],[WEIGHT]]*9.81),0)</f>
        <v>0.29908107340197243</v>
      </c>
      <c r="AB536" s="19">
        <v>0</v>
      </c>
      <c r="AC536" s="16">
        <f>ROUND(IF(IFERROR(PROPERTIES[[#This Row],[TE_COEFFICIENT_CALC]],0)=0,PROPERTIES[[#This Row],[TE_COEFFICIENT_MANUAL]],PROPERTIES[[#This Row],[TE_COEFFICIENT_CALC]]),3)</f>
        <v>0.29899999999999999</v>
      </c>
      <c r="AD536" s="8" cm="1">
        <f t="array" ref="AD5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36" s="26">
        <f>INT(441/8)</f>
        <v>55</v>
      </c>
      <c r="AF536" s="6">
        <v>8</v>
      </c>
      <c r="AG536" t="s">
        <v>1950</v>
      </c>
      <c r="AH536" t="s">
        <v>1948</v>
      </c>
      <c r="AI536" t="s">
        <v>229</v>
      </c>
      <c r="AJ536" s="2" t="s">
        <v>229</v>
      </c>
      <c r="AK536" s="2" t="s">
        <v>244</v>
      </c>
      <c r="AL53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6" s="2" t="str">
        <f>SUBSTITUTE(SUBSTITUTE(PROPERTIES[[#This Row],[PURCHASECOST_VALUE]], "PURCHASECOST_", ""), "_VALUE", "")</f>
        <v>EMU</v>
      </c>
      <c r="AO536" s="44" t="b">
        <v>0</v>
      </c>
      <c r="AP536" s="48" t="b">
        <v>0</v>
      </c>
      <c r="AQ536" s="48" t="b">
        <v>0</v>
      </c>
      <c r="AR536" s="48">
        <v>0</v>
      </c>
      <c r="AS536" s="48" t="b">
        <v>0</v>
      </c>
      <c r="AT536" s="7" t="b">
        <v>0</v>
      </c>
      <c r="AU536" s="40" t="str" cm="1">
        <f t="array" ref="AU536">_xlfn.XLOOKUP(PROPERTIES[[#This Row],[VEHIDCODE]],GRAPHICS_PROPERTIES[VEHIDCODE],GRAPHICS_PROPERTIES[TEMPLATE_ID]&amp;GRAPHICS_PROPERTIES[TEMPLATE_AMENDMENT_CODE])</f>
        <v>TPL_02D</v>
      </c>
    </row>
    <row r="537" spans="1:47" x14ac:dyDescent="0.35">
      <c r="A537" s="2" t="s">
        <v>3170</v>
      </c>
      <c r="B537">
        <v>2005</v>
      </c>
      <c r="D537" cm="1">
        <f t="array" ref="D5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7" s="40" t="str">
        <f>_xlfn.XLOOKUP(PROPERTIES[[#This Row],[VEHIDCODE]],CONTROL[VEHIDCODE],CONTROL[ENGLISH])</f>
        <v>Siemens Desiro BDZ</v>
      </c>
      <c r="F537" t="s">
        <v>550</v>
      </c>
      <c r="G537" s="40" t="str">
        <f>_xlfn.XLOOKUP(PROPERTIES[[#This Row],[COUNTRY]],COUNTRIES[COUNTRY_DESCRIPTION],COUNTRIES[COUNTRY_LABEL],"")</f>
        <v>BG</v>
      </c>
      <c r="H537" t="str" cm="1">
        <f t="array" ref="H5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7" t="s">
        <v>15</v>
      </c>
      <c r="J537" s="6">
        <f>INT(190/2)</f>
        <v>95</v>
      </c>
      <c r="K537">
        <v>8</v>
      </c>
      <c r="M537" t="str" cm="1">
        <f t="array" ref="M5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7">
        <f>_xlfn.XLOOKUP("LOADINGSPEEDDEF_"&amp;PROPERTIES[[#This Row],[LOADINGSPEED]],LOADINGSPEEDDEF[TYPE],LOADINGSPEEDDEF[SPEED])</f>
        <v>60</v>
      </c>
      <c r="O537" t="str" cm="1">
        <f t="array" ref="O5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7">
        <f>IF(ISNUMBER(SEARCH("passenger",PROPERTIES[[#This Row],[CARGODEF]])),1,0)</f>
        <v>1</v>
      </c>
      <c r="Q537" s="23">
        <f>88/2</f>
        <v>44</v>
      </c>
      <c r="R537">
        <v>1740</v>
      </c>
      <c r="S537">
        <v>0</v>
      </c>
      <c r="T537">
        <v>0</v>
      </c>
      <c r="U537">
        <v>0</v>
      </c>
      <c r="V537">
        <v>120</v>
      </c>
      <c r="W537">
        <v>0</v>
      </c>
      <c r="X537">
        <v>0</v>
      </c>
      <c r="Y537">
        <v>0</v>
      </c>
      <c r="Z537" s="20">
        <v>0</v>
      </c>
      <c r="AA537" s="19">
        <f>IFERROR(PROPERTIES[[#This Row],[TE_STARTING_KN]]/(PROPERTIES[[#This Row],[WEIGHT]]*9.81),0)</f>
        <v>0</v>
      </c>
      <c r="AB537" s="19">
        <v>0.21</v>
      </c>
      <c r="AC537" s="16">
        <f>ROUND(IF(IFERROR(PROPERTIES[[#This Row],[TE_COEFFICIENT_CALC]],0)=0,PROPERTIES[[#This Row],[TE_COEFFICIENT_MANUAL]],PROPERTIES[[#This Row],[TE_COEFFICIENT_CALC]]),3)</f>
        <v>0.21</v>
      </c>
      <c r="AD537" s="8" cm="1">
        <f t="array" ref="AD5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37" s="26">
        <f>INT(190/2)</f>
        <v>95</v>
      </c>
      <c r="AF537" s="6">
        <v>8</v>
      </c>
      <c r="AG537" t="s">
        <v>236</v>
      </c>
      <c r="AH537" t="s">
        <v>229</v>
      </c>
      <c r="AI537" t="s">
        <v>229</v>
      </c>
      <c r="AJ537" s="2" t="s">
        <v>229</v>
      </c>
      <c r="AK537" s="2" t="s">
        <v>244</v>
      </c>
      <c r="AL53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7" s="2" t="str">
        <f>SUBSTITUTE(SUBSTITUTE(PROPERTIES[[#This Row],[PURCHASECOST_VALUE]], "PURCHASECOST_", ""), "_VALUE", "")</f>
        <v>EMU</v>
      </c>
      <c r="AO537" s="44" t="b">
        <v>0</v>
      </c>
      <c r="AP537" s="48" t="b">
        <v>0</v>
      </c>
      <c r="AQ537" s="48" t="b">
        <v>0</v>
      </c>
      <c r="AR537" s="48">
        <v>0</v>
      </c>
      <c r="AS537" s="48" t="b">
        <v>0</v>
      </c>
      <c r="AT537" s="7" t="b">
        <v>0</v>
      </c>
      <c r="AU537" s="40" t="str" cm="1">
        <f t="array" ref="AU537">_xlfn.XLOOKUP(PROPERTIES[[#This Row],[VEHIDCODE]],GRAPHICS_PROPERTIES[VEHIDCODE],GRAPHICS_PROPERTIES[TEMPLATE_ID]&amp;GRAPHICS_PROPERTIES[TEMPLATE_AMENDMENT_CODE])</f>
        <v>TPL_02A</v>
      </c>
    </row>
    <row r="538" spans="1:47" x14ac:dyDescent="0.35">
      <c r="A538" s="2" t="s">
        <v>3171</v>
      </c>
      <c r="B538">
        <v>1975</v>
      </c>
      <c r="C538">
        <v>2002</v>
      </c>
      <c r="D538" cm="1">
        <f t="array" ref="D5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8" s="40" t="str">
        <f>_xlfn.XLOOKUP(PROPERTIES[[#This Row],[VEHIDCODE]],CONTROL[VEHIDCODE],CONTROL[ENGLISH])</f>
        <v>Valmet Sm2</v>
      </c>
      <c r="F538" t="s">
        <v>597</v>
      </c>
      <c r="G538" s="40" t="str">
        <f>_xlfn.XLOOKUP(PROPERTIES[[#This Row],[COUNTRY]],COUNTRIES[COUNTRY_DESCRIPTION],COUNTRIES[COUNTRY_LABEL],"")</f>
        <v>FI</v>
      </c>
      <c r="H538" t="str" cm="1">
        <f t="array" ref="H5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8" t="s">
        <v>15</v>
      </c>
      <c r="J538">
        <v>100</v>
      </c>
      <c r="K538">
        <v>8</v>
      </c>
      <c r="M538" t="str" cm="1">
        <f t="array" ref="M5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8">
        <f>_xlfn.XLOOKUP("LOADINGSPEEDDEF_"&amp;PROPERTIES[[#This Row],[LOADINGSPEED]],LOADINGSPEEDDEF[TYPE],LOADINGSPEEDDEF[SPEED])</f>
        <v>60</v>
      </c>
      <c r="O538" cm="1">
        <f t="array" ref="O5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38">
        <f>IF(ISNUMBER(SEARCH("passenger",PROPERTIES[[#This Row],[CARGODEF]])),1,0)</f>
        <v>1</v>
      </c>
      <c r="Q538" s="23">
        <f>(46.5+76)/2</f>
        <v>61.25</v>
      </c>
      <c r="R538">
        <v>818</v>
      </c>
      <c r="S538">
        <v>0</v>
      </c>
      <c r="T538">
        <v>0</v>
      </c>
      <c r="U538">
        <v>0</v>
      </c>
      <c r="V538">
        <v>120</v>
      </c>
      <c r="W538">
        <v>0</v>
      </c>
      <c r="X538">
        <v>0</v>
      </c>
      <c r="Y538">
        <v>0</v>
      </c>
      <c r="Z538" s="20">
        <f>85/2</f>
        <v>42.5</v>
      </c>
      <c r="AA538" s="19">
        <f>IFERROR(PROPERTIES[[#This Row],[TE_STARTING_KN]]/(PROPERTIES[[#This Row],[WEIGHT]]*9.81),0)</f>
        <v>7.0731656577003879E-2</v>
      </c>
      <c r="AB538" s="19">
        <v>0</v>
      </c>
      <c r="AC538" s="16">
        <f>ROUND(IF(IFERROR(PROPERTIES[[#This Row],[TE_COEFFICIENT_CALC]],0)=0,PROPERTIES[[#This Row],[TE_COEFFICIENT_MANUAL]],PROPERTIES[[#This Row],[TE_COEFFICIENT_CALC]]),3)</f>
        <v>7.0999999999999994E-2</v>
      </c>
      <c r="AD538" s="8" cm="1">
        <f t="array" ref="AD5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8" s="26">
        <v>100</v>
      </c>
      <c r="AF538" s="6">
        <v>8</v>
      </c>
      <c r="AG538" t="s">
        <v>234</v>
      </c>
      <c r="AH538" t="s">
        <v>229</v>
      </c>
      <c r="AI538" t="s">
        <v>229</v>
      </c>
      <c r="AJ538" s="2" t="s">
        <v>229</v>
      </c>
      <c r="AK538" s="2" t="s">
        <v>244</v>
      </c>
      <c r="AL53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8" s="2" t="str">
        <f>SUBSTITUTE(SUBSTITUTE(PROPERTIES[[#This Row],[PURCHASECOST_VALUE]], "PURCHASECOST_", ""), "_VALUE", "")</f>
        <v>EMU</v>
      </c>
      <c r="AO538" s="44" t="b">
        <v>0</v>
      </c>
      <c r="AP538" s="48" t="b">
        <v>0</v>
      </c>
      <c r="AQ538" s="48" t="b">
        <v>0</v>
      </c>
      <c r="AR538" s="48">
        <v>0</v>
      </c>
      <c r="AS538" s="48" t="b">
        <v>0</v>
      </c>
      <c r="AT538" s="7" t="b">
        <v>0</v>
      </c>
      <c r="AU538" s="40" t="str" cm="1">
        <f t="array" ref="AU538">_xlfn.XLOOKUP(PROPERTIES[[#This Row],[VEHIDCODE]],GRAPHICS_PROPERTIES[VEHIDCODE],GRAPHICS_PROPERTIES[TEMPLATE_ID]&amp;GRAPHICS_PROPERTIES[TEMPLATE_AMENDMENT_CODE])</f>
        <v>TPL_02A</v>
      </c>
    </row>
    <row r="539" spans="1:47" x14ac:dyDescent="0.35">
      <c r="A539" s="2" t="s">
        <v>3172</v>
      </c>
      <c r="B539">
        <v>1999</v>
      </c>
      <c r="C539">
        <v>2013</v>
      </c>
      <c r="D539" cm="1">
        <f t="array" ref="D5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9" s="40" t="str">
        <f>_xlfn.XLOOKUP(PROPERTIES[[#This Row],[VEHIDCODE]],CONTROL[VEHIDCODE],CONTROL[ENGLISH])</f>
        <v>Fiat/CAF Sm4</v>
      </c>
      <c r="F539" t="s">
        <v>597</v>
      </c>
      <c r="G539" s="40" t="str">
        <f>_xlfn.XLOOKUP(PROPERTIES[[#This Row],[COUNTRY]],COUNTRIES[COUNTRY_DESCRIPTION],COUNTRIES[COUNTRY_LABEL],"")</f>
        <v>FI</v>
      </c>
      <c r="H539" t="str" cm="1">
        <f t="array" ref="H5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9" t="s">
        <v>15</v>
      </c>
      <c r="J539">
        <f>184/2</f>
        <v>92</v>
      </c>
      <c r="K539">
        <v>8</v>
      </c>
      <c r="M539" t="str" cm="1">
        <f t="array" ref="M5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9">
        <f>_xlfn.XLOOKUP("LOADINGSPEEDDEF_"&amp;PROPERTIES[[#This Row],[LOADINGSPEED]],LOADINGSPEEDDEF[TYPE],LOADINGSPEEDDEF[SPEED])</f>
        <v>60</v>
      </c>
      <c r="O539" t="str" cm="1">
        <f t="array" ref="O5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9">
        <f>IF(ISNUMBER(SEARCH("passenger",PROPERTIES[[#This Row],[CARGODEF]])),1,0)</f>
        <v>1</v>
      </c>
      <c r="Q539" s="23">
        <v>57</v>
      </c>
      <c r="R539">
        <v>1636</v>
      </c>
      <c r="S539">
        <v>0</v>
      </c>
      <c r="T539">
        <v>0</v>
      </c>
      <c r="U539">
        <v>0</v>
      </c>
      <c r="V539">
        <v>160</v>
      </c>
      <c r="W539">
        <v>0</v>
      </c>
      <c r="X539">
        <v>0</v>
      </c>
      <c r="Y539">
        <v>0</v>
      </c>
      <c r="Z539" s="20">
        <v>0</v>
      </c>
      <c r="AA539" s="19">
        <f>IFERROR(PROPERTIES[[#This Row],[TE_STARTING_KN]]/(PROPERTIES[[#This Row],[WEIGHT]]*9.81),0)</f>
        <v>0</v>
      </c>
      <c r="AB539" s="19">
        <v>0.18</v>
      </c>
      <c r="AC539" s="16">
        <f>ROUND(IF(IFERROR(PROPERTIES[[#This Row],[TE_COEFFICIENT_CALC]],0)=0,PROPERTIES[[#This Row],[TE_COEFFICIENT_MANUAL]],PROPERTIES[[#This Row],[TE_COEFFICIENT_CALC]]),3)</f>
        <v>0.18</v>
      </c>
      <c r="AD539" s="8" cm="1">
        <f t="array" ref="AD5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9" s="26">
        <f>184/2</f>
        <v>92</v>
      </c>
      <c r="AF539" s="6">
        <v>8</v>
      </c>
      <c r="AG539" t="s">
        <v>234</v>
      </c>
      <c r="AH539" t="s">
        <v>229</v>
      </c>
      <c r="AI539" t="s">
        <v>229</v>
      </c>
      <c r="AJ539" s="2" t="s">
        <v>229</v>
      </c>
      <c r="AK539" s="2" t="s">
        <v>244</v>
      </c>
      <c r="AL53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9" s="2" t="str">
        <f>SUBSTITUTE(SUBSTITUTE(PROPERTIES[[#This Row],[PURCHASECOST_VALUE]], "PURCHASECOST_", ""), "_VALUE", "")</f>
        <v>EMU</v>
      </c>
      <c r="AO539" s="44" t="b">
        <v>0</v>
      </c>
      <c r="AP539" s="48" t="b">
        <v>0</v>
      </c>
      <c r="AQ539" s="48" t="b">
        <v>0</v>
      </c>
      <c r="AR539" s="48">
        <v>0</v>
      </c>
      <c r="AS539" s="48" t="b">
        <v>0</v>
      </c>
      <c r="AT539" s="7" t="b">
        <v>0</v>
      </c>
      <c r="AU539" s="40" t="str" cm="1">
        <f t="array" ref="AU539">_xlfn.XLOOKUP(PROPERTIES[[#This Row],[VEHIDCODE]],GRAPHICS_PROPERTIES[VEHIDCODE],GRAPHICS_PROPERTIES[TEMPLATE_ID]&amp;GRAPHICS_PROPERTIES[TEMPLATE_AMENDMENT_CODE])</f>
        <v>TPL_02A</v>
      </c>
    </row>
    <row r="540" spans="1:47" x14ac:dyDescent="0.35">
      <c r="A540" s="2" t="s">
        <v>3173</v>
      </c>
      <c r="B540">
        <v>1988</v>
      </c>
      <c r="C540">
        <v>2030</v>
      </c>
      <c r="D540" cm="1">
        <f t="array" ref="D5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0" s="40" t="str">
        <f>_xlfn.XLOOKUP(PROPERTIES[[#This Row],[VEHIDCODE]],CONTROL[VEHIDCODE],CONTROL[ENGLISH])</f>
        <v>Ganz-MAVAG VM17 'BDVmot'</v>
      </c>
      <c r="F540" t="s">
        <v>626</v>
      </c>
      <c r="G540" s="40" t="str">
        <f>_xlfn.XLOOKUP(PROPERTIES[[#This Row],[COUNTRY]],COUNTRIES[COUNTRY_DESCRIPTION],COUNTRIES[COUNTRY_LABEL],"")</f>
        <v>HU</v>
      </c>
      <c r="H540" t="str" cm="1">
        <f t="array" ref="H5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0" t="s">
        <v>15</v>
      </c>
      <c r="J540">
        <f>INT(344/4)</f>
        <v>86</v>
      </c>
      <c r="K540">
        <v>8</v>
      </c>
      <c r="M540" t="str" cm="1">
        <f t="array" ref="M5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0">
        <f>_xlfn.XLOOKUP("LOADINGSPEEDDEF_"&amp;PROPERTIES[[#This Row],[LOADINGSPEED]],LOADINGSPEEDDEF[TYPE],LOADINGSPEEDDEF[SPEED])</f>
        <v>60</v>
      </c>
      <c r="O540" t="str" cm="1">
        <f t="array" ref="O5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0">
        <f>IF(ISNUMBER(SEARCH("passenger",PROPERTIES[[#This Row],[CARGODEF]])),1,0)</f>
        <v>1</v>
      </c>
      <c r="Q540" s="23">
        <v>66</v>
      </c>
      <c r="R540">
        <v>2040</v>
      </c>
      <c r="S540">
        <v>0</v>
      </c>
      <c r="T540">
        <v>0</v>
      </c>
      <c r="U540">
        <v>0</v>
      </c>
      <c r="V540">
        <v>120</v>
      </c>
      <c r="W540">
        <v>0</v>
      </c>
      <c r="X540">
        <v>0</v>
      </c>
      <c r="Y540">
        <v>0</v>
      </c>
      <c r="Z540" s="20">
        <v>0</v>
      </c>
      <c r="AA540" s="19">
        <f>IFERROR(PROPERTIES[[#This Row],[TE_STARTING_KN]]/(PROPERTIES[[#This Row],[WEIGHT]]*9.81),0)</f>
        <v>0</v>
      </c>
      <c r="AB540" s="19">
        <v>0.11</v>
      </c>
      <c r="AC540" s="16">
        <f>ROUND(IF(IFERROR(PROPERTIES[[#This Row],[TE_COEFFICIENT_CALC]],0)=0,PROPERTIES[[#This Row],[TE_COEFFICIENT_MANUAL]],PROPERTIES[[#This Row],[TE_COEFFICIENT_CALC]]),3)</f>
        <v>0.11</v>
      </c>
      <c r="AD540" s="8" cm="1">
        <f t="array" ref="AD5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540" s="26">
        <f>INT(344/4)</f>
        <v>86</v>
      </c>
      <c r="AF540" s="6">
        <v>8</v>
      </c>
      <c r="AG540" t="s">
        <v>236</v>
      </c>
      <c r="AH540" t="s">
        <v>229</v>
      </c>
      <c r="AI540" t="s">
        <v>229</v>
      </c>
      <c r="AJ540" s="2" t="s">
        <v>229</v>
      </c>
      <c r="AK540" s="2" t="s">
        <v>244</v>
      </c>
      <c r="AL54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0" s="2" t="str">
        <f>SUBSTITUTE(SUBSTITUTE(PROPERTIES[[#This Row],[PURCHASECOST_VALUE]], "PURCHASECOST_", ""), "_VALUE", "")</f>
        <v>EMU</v>
      </c>
      <c r="AO540" s="44" t="b">
        <v>0</v>
      </c>
      <c r="AP540" s="48" t="b">
        <v>0</v>
      </c>
      <c r="AQ540" s="48" t="b">
        <v>0</v>
      </c>
      <c r="AR540" s="48">
        <v>0</v>
      </c>
      <c r="AS540" s="48" t="b">
        <v>0</v>
      </c>
      <c r="AT540" s="7" t="b">
        <v>0</v>
      </c>
      <c r="AU540" s="40" t="str" cm="1">
        <f t="array" ref="AU540">_xlfn.XLOOKUP(PROPERTIES[[#This Row],[VEHIDCODE]],GRAPHICS_PROPERTIES[VEHIDCODE],GRAPHICS_PROPERTIES[TEMPLATE_ID]&amp;GRAPHICS_PROPERTIES[TEMPLATE_AMENDMENT_CODE])</f>
        <v>TPL_02A</v>
      </c>
    </row>
    <row r="541" spans="1:47" x14ac:dyDescent="0.35">
      <c r="A541" s="2" t="s">
        <v>3174</v>
      </c>
      <c r="B541">
        <v>2030</v>
      </c>
      <c r="D541" cm="1">
        <f t="array" ref="D5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1" s="40" t="str">
        <f>_xlfn.XLOOKUP(PROPERTIES[[#This Row],[VEHIDCODE]],CONTROL[VEHIDCODE],CONTROL[ENGLISH])</f>
        <v>ACME Corp. Sureot</v>
      </c>
      <c r="F541" t="s">
        <v>775</v>
      </c>
      <c r="G541" s="40" t="str">
        <f>_xlfn.XLOOKUP(PROPERTIES[[#This Row],[COUNTRY]],COUNTRIES[COUNTRY_DESCRIPTION],COUNTRIES[COUNTRY_LABEL],"")</f>
        <v>EU</v>
      </c>
      <c r="H541" t="str" cm="1">
        <f t="array" ref="H5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1" t="s">
        <v>15</v>
      </c>
      <c r="J541">
        <v>85</v>
      </c>
      <c r="K541">
        <v>8</v>
      </c>
      <c r="M541" t="str" cm="1">
        <f t="array" ref="M5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41">
        <f>_xlfn.XLOOKUP("LOADINGSPEEDDEF_"&amp;PROPERTIES[[#This Row],[LOADINGSPEED]],LOADINGSPEEDDEF[TYPE],LOADINGSPEEDDEF[SPEED])</f>
        <v>20</v>
      </c>
      <c r="O541" t="str" cm="1">
        <f t="array" ref="O5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1">
        <f>IF(ISNUMBER(SEARCH("passenger",PROPERTIES[[#This Row],[CARGODEF]])),1,0)</f>
        <v>1</v>
      </c>
      <c r="Q541" s="23">
        <v>50</v>
      </c>
      <c r="R541">
        <v>16000</v>
      </c>
      <c r="S541">
        <v>0</v>
      </c>
      <c r="T541">
        <v>0</v>
      </c>
      <c r="U541">
        <v>0</v>
      </c>
      <c r="V541">
        <v>300</v>
      </c>
      <c r="W541">
        <v>0</v>
      </c>
      <c r="X541">
        <v>0</v>
      </c>
      <c r="Y541">
        <v>0</v>
      </c>
      <c r="Z541" s="20">
        <v>0</v>
      </c>
      <c r="AA541" s="19">
        <f>IFERROR(PROPERTIES[[#This Row],[TE_STARTING_KN]]/(PROPERTIES[[#This Row],[WEIGHT]]*9.81),0)</f>
        <v>0</v>
      </c>
      <c r="AB541" s="19">
        <v>0.22</v>
      </c>
      <c r="AC541" s="16">
        <f>ROUND(IF(IFERROR(PROPERTIES[[#This Row],[TE_COEFFICIENT_CALC]],0)=0,PROPERTIES[[#This Row],[TE_COEFFICIENT_MANUAL]],PROPERTIES[[#This Row],[TE_COEFFICIENT_CALC]]),3)</f>
        <v>0.22</v>
      </c>
      <c r="AD541" s="8" cm="1">
        <f t="array" ref="AD5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41" s="26">
        <v>85</v>
      </c>
      <c r="AF541" s="6">
        <v>8</v>
      </c>
      <c r="AG541" t="s">
        <v>239</v>
      </c>
      <c r="AH541" t="s">
        <v>229</v>
      </c>
      <c r="AI541" t="s">
        <v>229</v>
      </c>
      <c r="AJ541" s="2" t="s">
        <v>229</v>
      </c>
      <c r="AK541" s="2" t="s">
        <v>245</v>
      </c>
      <c r="AL54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1" s="2" t="str">
        <f>SUBSTITUTE(SUBSTITUTE(PROPERTIES[[#This Row],[PURCHASECOST_VALUE]], "PURCHASECOST_", ""), "_VALUE", "")</f>
        <v>EMU</v>
      </c>
      <c r="AO541" s="44" t="b">
        <v>0</v>
      </c>
      <c r="AP541" s="48" t="b">
        <v>0</v>
      </c>
      <c r="AQ541" s="48" t="b">
        <v>0</v>
      </c>
      <c r="AR541" s="48">
        <v>0</v>
      </c>
      <c r="AS541" s="48" t="b">
        <v>0</v>
      </c>
      <c r="AT541" s="7" t="b">
        <v>0</v>
      </c>
      <c r="AU541" s="40" t="str" cm="1">
        <f t="array" ref="AU541">_xlfn.XLOOKUP(PROPERTIES[[#This Row],[VEHIDCODE]],GRAPHICS_PROPERTIES[VEHIDCODE],GRAPHICS_PROPERTIES[TEMPLATE_ID]&amp;GRAPHICS_PROPERTIES[TEMPLATE_AMENDMENT_CODE])</f>
        <v>TPL_02A</v>
      </c>
    </row>
    <row r="542" spans="1:47" x14ac:dyDescent="0.35">
      <c r="A542" s="2" t="s">
        <v>3175</v>
      </c>
      <c r="B542">
        <v>1964</v>
      </c>
      <c r="C542">
        <v>2008</v>
      </c>
      <c r="D542" cm="1">
        <f t="array" ref="D5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2" s="40" t="str">
        <f>_xlfn.XLOOKUP(PROPERTIES[[#This Row],[VEHIDCODE]],CONTROL[VEHIDCODE],CONTROL[ENGLISH])</f>
        <v>Hitachi Shinkansen Series 0</v>
      </c>
      <c r="F542" t="s">
        <v>640</v>
      </c>
      <c r="G542" s="40" t="str">
        <f>_xlfn.XLOOKUP(PROPERTIES[[#This Row],[COUNTRY]],COUNTRIES[COUNTRY_DESCRIPTION],COUNTRIES[COUNTRY_LABEL],"")</f>
        <v>JP</v>
      </c>
      <c r="H542" t="str" cm="1">
        <f t="array" ref="H5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2" t="s">
        <v>15</v>
      </c>
      <c r="J542">
        <v>75</v>
      </c>
      <c r="K542">
        <v>8</v>
      </c>
      <c r="M542" t="str" cm="1">
        <f t="array" ref="M5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42">
        <f>_xlfn.XLOOKUP("LOADINGSPEEDDEF_"&amp;PROPERTIES[[#This Row],[LOADINGSPEED]],LOADINGSPEEDDEF[TYPE],LOADINGSPEEDDEF[SPEED])</f>
        <v>20</v>
      </c>
      <c r="O542" cm="1">
        <f t="array" ref="O5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42">
        <f>IF(ISNUMBER(SEARCH("passenger",PROPERTIES[[#This Row],[CARGODEF]])),1,0)</f>
        <v>1</v>
      </c>
      <c r="Q542" s="23">
        <v>59</v>
      </c>
      <c r="R542">
        <f>992*2</f>
        <v>1984</v>
      </c>
      <c r="S542">
        <v>0</v>
      </c>
      <c r="T542">
        <v>0</v>
      </c>
      <c r="U542">
        <v>0</v>
      </c>
      <c r="V542">
        <v>210</v>
      </c>
      <c r="W542">
        <v>0</v>
      </c>
      <c r="X542">
        <v>0</v>
      </c>
      <c r="Y542">
        <v>0</v>
      </c>
      <c r="Z542" s="20">
        <v>65</v>
      </c>
      <c r="AA542" s="19">
        <f>IFERROR(PROPERTIES[[#This Row],[TE_STARTING_KN]]/(PROPERTIES[[#This Row],[WEIGHT]]*9.81),0)</f>
        <v>0.1123032533388621</v>
      </c>
      <c r="AB542" s="19">
        <v>0</v>
      </c>
      <c r="AC542" s="16">
        <f>ROUND(IF(IFERROR(PROPERTIES[[#This Row],[TE_COEFFICIENT_CALC]],0)=0,PROPERTIES[[#This Row],[TE_COEFFICIENT_MANUAL]],PROPERTIES[[#This Row],[TE_COEFFICIENT_CALC]]),3)</f>
        <v>0.112</v>
      </c>
      <c r="AD542" s="8" cm="1">
        <f t="array" ref="AD5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44</v>
      </c>
      <c r="AE542" s="26">
        <v>100</v>
      </c>
      <c r="AF542" s="6">
        <v>8</v>
      </c>
      <c r="AG542" t="s">
        <v>238</v>
      </c>
      <c r="AH542" t="s">
        <v>229</v>
      </c>
      <c r="AI542" t="s">
        <v>229</v>
      </c>
      <c r="AJ542" s="2" t="s">
        <v>229</v>
      </c>
      <c r="AK542" s="2" t="s">
        <v>244</v>
      </c>
      <c r="AL54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2" s="2" t="str">
        <f>SUBSTITUTE(SUBSTITUTE(PROPERTIES[[#This Row],[PURCHASECOST_VALUE]], "PURCHASECOST_", ""), "_VALUE", "")</f>
        <v>EMU</v>
      </c>
      <c r="AO542" s="44" t="b">
        <v>0</v>
      </c>
      <c r="AP542" s="48" t="b">
        <v>0</v>
      </c>
      <c r="AQ542" s="48" t="b">
        <v>0</v>
      </c>
      <c r="AR542" s="48">
        <v>0</v>
      </c>
      <c r="AS542" s="48" t="b">
        <v>0</v>
      </c>
      <c r="AT542" s="7" t="b">
        <v>0</v>
      </c>
      <c r="AU542" s="40" t="str" cm="1">
        <f t="array" ref="AU542">_xlfn.XLOOKUP(PROPERTIES[[#This Row],[VEHIDCODE]],GRAPHICS_PROPERTIES[VEHIDCODE],GRAPHICS_PROPERTIES[TEMPLATE_ID]&amp;GRAPHICS_PROPERTIES[TEMPLATE_AMENDMENT_CODE])</f>
        <v>TPL_02D</v>
      </c>
    </row>
    <row r="543" spans="1:47" x14ac:dyDescent="0.35">
      <c r="A543" s="2" t="s">
        <v>3176</v>
      </c>
      <c r="B543">
        <v>1997</v>
      </c>
      <c r="C543">
        <v>2011</v>
      </c>
      <c r="D543" cm="1">
        <f t="array" ref="D5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3" s="40" t="str">
        <f>_xlfn.XLOOKUP(PROPERTIES[[#This Row],[VEHIDCODE]],CONTROL[VEHIDCODE],CONTROL[ENGLISH])</f>
        <v>Hitachi Shinkansen Series 700</v>
      </c>
      <c r="F543" t="s">
        <v>640</v>
      </c>
      <c r="G543" s="40" t="str">
        <f>_xlfn.XLOOKUP(PROPERTIES[[#This Row],[COUNTRY]],COUNTRIES[COUNTRY_DESCRIPTION],COUNTRIES[COUNTRY_LABEL],"")</f>
        <v>JP</v>
      </c>
      <c r="H543" t="str" cm="1">
        <f t="array" ref="H5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3" t="s">
        <v>15</v>
      </c>
      <c r="J543">
        <v>65</v>
      </c>
      <c r="K543">
        <v>8</v>
      </c>
      <c r="M543" t="str" cm="1">
        <f t="array" ref="M5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43">
        <f>_xlfn.XLOOKUP("LOADINGSPEEDDEF_"&amp;PROPERTIES[[#This Row],[LOADINGSPEED]],LOADINGSPEEDDEF[TYPE],LOADINGSPEEDDEF[SPEED])</f>
        <v>20</v>
      </c>
      <c r="O543" t="str" cm="1">
        <f t="array" ref="O5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3">
        <f>IF(ISNUMBER(SEARCH("passenger",PROPERTIES[[#This Row],[CARGODEF]])),1,0)</f>
        <v>1</v>
      </c>
      <c r="Q543" s="23">
        <v>45</v>
      </c>
      <c r="R543">
        <f>905*2</f>
        <v>1810</v>
      </c>
      <c r="S543">
        <v>0</v>
      </c>
      <c r="T543">
        <v>0</v>
      </c>
      <c r="U543">
        <v>0</v>
      </c>
      <c r="V543">
        <v>285</v>
      </c>
      <c r="W543">
        <v>0</v>
      </c>
      <c r="X543">
        <v>0</v>
      </c>
      <c r="Y543">
        <v>0</v>
      </c>
      <c r="Z543" s="20">
        <v>60</v>
      </c>
      <c r="AA543" s="19">
        <f>IFERROR(PROPERTIES[[#This Row],[TE_STARTING_KN]]/(PROPERTIES[[#This Row],[WEIGHT]]*9.81),0)</f>
        <v>0.13591573224600745</v>
      </c>
      <c r="AB543" s="19">
        <v>0</v>
      </c>
      <c r="AC543" s="16">
        <f>ROUND(IF(IFERROR(PROPERTIES[[#This Row],[TE_COEFFICIENT_CALC]],0)=0,PROPERTIES[[#This Row],[TE_COEFFICIENT_MANUAL]],PROPERTIES[[#This Row],[TE_COEFFICIENT_CALC]]),3)</f>
        <v>0.13600000000000001</v>
      </c>
      <c r="AD543" s="8" cm="1">
        <f t="array" ref="AD5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3" s="26">
        <v>100</v>
      </c>
      <c r="AF543" s="6">
        <v>8</v>
      </c>
      <c r="AG543" t="s">
        <v>238</v>
      </c>
      <c r="AH543" t="s">
        <v>229</v>
      </c>
      <c r="AI543" t="s">
        <v>229</v>
      </c>
      <c r="AJ543" s="2" t="s">
        <v>229</v>
      </c>
      <c r="AK543" s="2" t="s">
        <v>244</v>
      </c>
      <c r="AL54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3" s="2" t="str">
        <f>SUBSTITUTE(SUBSTITUTE(PROPERTIES[[#This Row],[PURCHASECOST_VALUE]], "PURCHASECOST_", ""), "_VALUE", "")</f>
        <v>EMU</v>
      </c>
      <c r="AO543" s="44" t="b">
        <v>0</v>
      </c>
      <c r="AP543" s="48" t="b">
        <v>0</v>
      </c>
      <c r="AQ543" s="48" t="b">
        <v>0</v>
      </c>
      <c r="AR543" s="48">
        <v>0</v>
      </c>
      <c r="AS543" s="48" t="b">
        <v>0</v>
      </c>
      <c r="AT543" s="7" t="b">
        <v>0</v>
      </c>
      <c r="AU543" s="40" t="str" cm="1">
        <f t="array" ref="AU543">_xlfn.XLOOKUP(PROPERTIES[[#This Row],[VEHIDCODE]],GRAPHICS_PROPERTIES[VEHIDCODE],GRAPHICS_PROPERTIES[TEMPLATE_ID]&amp;GRAPHICS_PROPERTIES[TEMPLATE_AMENDMENT_CODE])</f>
        <v>TPL_02D</v>
      </c>
    </row>
    <row r="544" spans="1:47" x14ac:dyDescent="0.35">
      <c r="A544" s="2" t="s">
        <v>3177</v>
      </c>
      <c r="B544">
        <v>1994</v>
      </c>
      <c r="C544">
        <v>2012</v>
      </c>
      <c r="D544" cm="1">
        <f t="array" ref="D5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4" s="40" t="str">
        <f>_xlfn.XLOOKUP(PROPERTIES[[#This Row],[VEHIDCODE]],CONTROL[VEHIDCODE],CONTROL[ENGLISH])</f>
        <v>Hitachi/Kawasaki Shinkansen Series E1 Max</v>
      </c>
      <c r="F544" t="s">
        <v>640</v>
      </c>
      <c r="G544" s="40" t="str">
        <f>_xlfn.XLOOKUP(PROPERTIES[[#This Row],[COUNTRY]],COUNTRIES[COUNTRY_DESCRIPTION],COUNTRIES[COUNTRY_LABEL],"")</f>
        <v>JP</v>
      </c>
      <c r="H544" t="str" cm="1">
        <f t="array" ref="H5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4" t="s">
        <v>15</v>
      </c>
      <c r="J544">
        <v>80</v>
      </c>
      <c r="K544">
        <v>8</v>
      </c>
      <c r="M544" t="str" cm="1">
        <f t="array" ref="M5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44">
        <f>_xlfn.XLOOKUP("LOADINGSPEEDDEF_"&amp;PROPERTIES[[#This Row],[LOADINGSPEED]],LOADINGSPEEDDEF[TYPE],LOADINGSPEEDDEF[SPEED])</f>
        <v>20</v>
      </c>
      <c r="O544" t="str" cm="1">
        <f t="array" ref="O5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4">
        <f>IF(ISNUMBER(SEARCH("passenger",PROPERTIES[[#This Row],[CARGODEF]])),1,0)</f>
        <v>1</v>
      </c>
      <c r="Q544" s="23">
        <v>59.2</v>
      </c>
      <c r="R544">
        <f>1395*2</f>
        <v>2790</v>
      </c>
      <c r="S544">
        <v>0</v>
      </c>
      <c r="T544">
        <v>0</v>
      </c>
      <c r="U544">
        <v>0</v>
      </c>
      <c r="V544">
        <v>240</v>
      </c>
      <c r="W544">
        <v>0</v>
      </c>
      <c r="X544">
        <v>0</v>
      </c>
      <c r="Y544">
        <v>0</v>
      </c>
      <c r="Z544" s="20">
        <v>80</v>
      </c>
      <c r="AA544" s="19">
        <f>IFERROR(PROPERTIES[[#This Row],[TE_STARTING_KN]]/(PROPERTIES[[#This Row],[WEIGHT]]*9.81),0)</f>
        <v>0.13775243133041296</v>
      </c>
      <c r="AB544" s="19">
        <v>0</v>
      </c>
      <c r="AC544" s="16">
        <f>ROUND(IF(IFERROR(PROPERTIES[[#This Row],[TE_COEFFICIENT_CALC]],0)=0,PROPERTIES[[#This Row],[TE_COEFFICIENT_MANUAL]],PROPERTIES[[#This Row],[TE_COEFFICIENT_CALC]]),3)</f>
        <v>0.13800000000000001</v>
      </c>
      <c r="AD544" s="8" cm="1">
        <f t="array" ref="AD5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4" s="26">
        <v>103</v>
      </c>
      <c r="AF544" s="6">
        <v>8</v>
      </c>
      <c r="AG544" t="s">
        <v>238</v>
      </c>
      <c r="AH544" t="s">
        <v>229</v>
      </c>
      <c r="AI544" t="s">
        <v>229</v>
      </c>
      <c r="AJ544" s="2" t="s">
        <v>229</v>
      </c>
      <c r="AK544" s="2" t="s">
        <v>244</v>
      </c>
      <c r="AL54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4" s="2" t="str">
        <f>SUBSTITUTE(SUBSTITUTE(PROPERTIES[[#This Row],[PURCHASECOST_VALUE]], "PURCHASECOST_", ""), "_VALUE", "")</f>
        <v>EMU</v>
      </c>
      <c r="AO544" s="44" t="b">
        <v>0</v>
      </c>
      <c r="AP544" s="48" t="b">
        <v>0</v>
      </c>
      <c r="AQ544" s="48" t="b">
        <v>0</v>
      </c>
      <c r="AR544" s="48">
        <v>0</v>
      </c>
      <c r="AS544" s="48" t="b">
        <v>0</v>
      </c>
      <c r="AT544" s="7" t="b">
        <v>0</v>
      </c>
      <c r="AU544" s="40" t="str" cm="1">
        <f t="array" ref="AU544">_xlfn.XLOOKUP(PROPERTIES[[#This Row],[VEHIDCODE]],GRAPHICS_PROPERTIES[VEHIDCODE],GRAPHICS_PROPERTIES[TEMPLATE_ID]&amp;GRAPHICS_PROPERTIES[TEMPLATE_AMENDMENT_CODE])</f>
        <v>TPL_02D</v>
      </c>
    </row>
    <row r="545" spans="1:47" x14ac:dyDescent="0.35">
      <c r="A545" s="2" t="s">
        <v>3178</v>
      </c>
      <c r="B545">
        <v>1999</v>
      </c>
      <c r="D545" cm="1">
        <f t="array" ref="D5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5" s="40" t="str">
        <f>_xlfn.XLOOKUP(PROPERTIES[[#This Row],[VEHIDCODE]],CONTROL[VEHIDCODE],CONTROL[ENGLISH])</f>
        <v>Alstom Coradia Duplex</v>
      </c>
      <c r="F545" t="s">
        <v>660</v>
      </c>
      <c r="G545" s="40" t="str">
        <f>_xlfn.XLOOKUP(PROPERTIES[[#This Row],[COUNTRY]],COUNTRIES[COUNTRY_DESCRIPTION],COUNTRIES[COUNTRY_LABEL],"")</f>
        <v>LU</v>
      </c>
      <c r="H545" t="str" cm="1">
        <f t="array" ref="H5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5" t="s">
        <v>15</v>
      </c>
      <c r="J545">
        <v>111</v>
      </c>
      <c r="K545">
        <v>8</v>
      </c>
      <c r="M545" t="str" cm="1">
        <f t="array" ref="M5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5">
        <f>_xlfn.XLOOKUP("LOADINGSPEEDDEF_"&amp;PROPERTIES[[#This Row],[LOADINGSPEED]],LOADINGSPEEDDEF[TYPE],LOADINGSPEEDDEF[SPEED])</f>
        <v>60</v>
      </c>
      <c r="O545" t="str" cm="1">
        <f t="array" ref="O5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5">
        <f>IF(ISNUMBER(SEARCH("passenger",PROPERTIES[[#This Row],[CARGODEF]])),1,0)</f>
        <v>1</v>
      </c>
      <c r="Q545" s="23">
        <v>64</v>
      </c>
      <c r="R545">
        <v>3410</v>
      </c>
      <c r="S545">
        <v>0</v>
      </c>
      <c r="T545">
        <v>0</v>
      </c>
      <c r="U545">
        <v>0</v>
      </c>
      <c r="V545">
        <v>160</v>
      </c>
      <c r="W545">
        <v>0</v>
      </c>
      <c r="X545">
        <v>0</v>
      </c>
      <c r="Y545">
        <v>0</v>
      </c>
      <c r="Z545" s="20">
        <f>240/2</f>
        <v>120</v>
      </c>
      <c r="AA545" s="19">
        <f>IFERROR(PROPERTIES[[#This Row],[TE_STARTING_KN]]/(PROPERTIES[[#This Row],[WEIGHT]]*9.81),0)</f>
        <v>0.19113149847094801</v>
      </c>
      <c r="AB545" s="19">
        <v>0</v>
      </c>
      <c r="AC545" s="16">
        <f>ROUND(IF(IFERROR(PROPERTIES[[#This Row],[TE_COEFFICIENT_CALC]],0)=0,PROPERTIES[[#This Row],[TE_COEFFICIENT_MANUAL]],PROPERTIES[[#This Row],[TE_COEFFICIENT_CALC]]),3)</f>
        <v>0.191</v>
      </c>
      <c r="AD545" s="8" cm="1">
        <f t="array" ref="AD5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5" s="26">
        <v>111</v>
      </c>
      <c r="AF545" s="6">
        <v>8</v>
      </c>
      <c r="AG545" t="s">
        <v>1950</v>
      </c>
      <c r="AH545" t="s">
        <v>229</v>
      </c>
      <c r="AI545" t="s">
        <v>229</v>
      </c>
      <c r="AJ545" s="2" t="s">
        <v>229</v>
      </c>
      <c r="AK545" s="2" t="s">
        <v>244</v>
      </c>
      <c r="AL54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5" s="2" t="str">
        <f>SUBSTITUTE(SUBSTITUTE(PROPERTIES[[#This Row],[PURCHASECOST_VALUE]], "PURCHASECOST_", ""), "_VALUE", "")</f>
        <v>EMU</v>
      </c>
      <c r="AO545" s="44" t="b">
        <v>0</v>
      </c>
      <c r="AP545" s="48" t="b">
        <v>0</v>
      </c>
      <c r="AQ545" s="48" t="b">
        <v>0</v>
      </c>
      <c r="AR545" s="48">
        <v>0</v>
      </c>
      <c r="AS545" s="48" t="b">
        <v>0</v>
      </c>
      <c r="AT545" s="7" t="b">
        <v>0</v>
      </c>
      <c r="AU545" s="40" t="str" cm="1">
        <f t="array" ref="AU545">_xlfn.XLOOKUP(PROPERTIES[[#This Row],[VEHIDCODE]],GRAPHICS_PROPERTIES[VEHIDCODE],GRAPHICS_PROPERTIES[TEMPLATE_ID]&amp;GRAPHICS_PROPERTIES[TEMPLATE_AMENDMENT_CODE])</f>
        <v>TPL_02A</v>
      </c>
    </row>
    <row r="546" spans="1:47" x14ac:dyDescent="0.35">
      <c r="A546" s="2" t="s">
        <v>3179</v>
      </c>
      <c r="B546">
        <v>1980</v>
      </c>
      <c r="D546" cm="1">
        <f t="array" ref="D5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6" s="40" t="str">
        <f>_xlfn.XLOOKUP(PROPERTIES[[#This Row],[VEHIDCODE]],CONTROL[VEHIDCODE],CONTROL[ENGLISH])</f>
        <v>RVR ER31</v>
      </c>
      <c r="F546" t="s">
        <v>670</v>
      </c>
      <c r="G546" s="40" t="str">
        <f>_xlfn.XLOOKUP(PROPERTIES[[#This Row],[COUNTRY]],COUNTRIES[COUNTRY_DESCRIPTION],COUNTRIES[COUNTRY_LABEL],"")</f>
        <v>MK</v>
      </c>
      <c r="H546" t="str" cm="1">
        <f t="array" ref="H5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6" t="s">
        <v>15</v>
      </c>
      <c r="J546">
        <v>68</v>
      </c>
      <c r="K546">
        <v>8</v>
      </c>
      <c r="M546" t="str" cm="1">
        <f t="array" ref="M5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6">
        <f>_xlfn.XLOOKUP("LOADINGSPEEDDEF_"&amp;PROPERTIES[[#This Row],[LOADINGSPEED]],LOADINGSPEEDDEF[TYPE],LOADINGSPEEDDEF[SPEED])</f>
        <v>60</v>
      </c>
      <c r="O546" cm="1">
        <f t="array" ref="O5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46">
        <f>IF(ISNUMBER(SEARCH("passenger",PROPERTIES[[#This Row],[CARGODEF]])),1,0)</f>
        <v>1</v>
      </c>
      <c r="Q546" s="23">
        <v>55</v>
      </c>
      <c r="R546">
        <v>340</v>
      </c>
      <c r="S546">
        <v>0</v>
      </c>
      <c r="T546">
        <v>0</v>
      </c>
      <c r="U546">
        <v>0</v>
      </c>
      <c r="V546">
        <v>120</v>
      </c>
      <c r="W546">
        <v>0</v>
      </c>
      <c r="X546">
        <v>0</v>
      </c>
      <c r="Y546">
        <v>0</v>
      </c>
      <c r="Z546" s="20">
        <v>0</v>
      </c>
      <c r="AA546" s="19">
        <f>IFERROR(PROPERTIES[[#This Row],[TE_STARTING_KN]]/(PROPERTIES[[#This Row],[WEIGHT]]*9.81),0)</f>
        <v>0</v>
      </c>
      <c r="AB546" s="19">
        <v>0.15</v>
      </c>
      <c r="AC546" s="16">
        <f>ROUND(IF(IFERROR(PROPERTIES[[#This Row],[TE_COEFFICIENT_CALC]],0)=0,PROPERTIES[[#This Row],[TE_COEFFICIENT_MANUAL]],PROPERTIES[[#This Row],[TE_COEFFICIENT_CALC]]),3)</f>
        <v>0.15</v>
      </c>
      <c r="AD546" s="8" cm="1">
        <f t="array" ref="AD5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6" s="26">
        <v>68</v>
      </c>
      <c r="AF546" s="6">
        <v>8</v>
      </c>
      <c r="AG546" t="s">
        <v>231</v>
      </c>
      <c r="AH546" t="s">
        <v>229</v>
      </c>
      <c r="AI546" t="s">
        <v>229</v>
      </c>
      <c r="AJ546" s="2" t="s">
        <v>229</v>
      </c>
      <c r="AK546" s="2" t="s">
        <v>244</v>
      </c>
      <c r="AL54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6" s="2" t="str">
        <f>SUBSTITUTE(SUBSTITUTE(PROPERTIES[[#This Row],[PURCHASECOST_VALUE]], "PURCHASECOST_", ""), "_VALUE", "")</f>
        <v>EMU</v>
      </c>
      <c r="AO546" s="44" t="b">
        <v>0</v>
      </c>
      <c r="AP546" s="48" t="b">
        <v>0</v>
      </c>
      <c r="AQ546" s="48" t="b">
        <v>0</v>
      </c>
      <c r="AR546" s="48">
        <v>0</v>
      </c>
      <c r="AS546" s="48" t="b">
        <v>0</v>
      </c>
      <c r="AT546" s="7" t="b">
        <v>0</v>
      </c>
      <c r="AU546" s="40" t="str" cm="1">
        <f t="array" ref="AU546">_xlfn.XLOOKUP(PROPERTIES[[#This Row],[VEHIDCODE]],GRAPHICS_PROPERTIES[VEHIDCODE],GRAPHICS_PROPERTIES[TEMPLATE_ID]&amp;GRAPHICS_PROPERTIES[TEMPLATE_AMENDMENT_CODE])</f>
        <v>TPL_02A</v>
      </c>
    </row>
    <row r="547" spans="1:47" x14ac:dyDescent="0.35">
      <c r="A547" s="2" t="s">
        <v>3444</v>
      </c>
      <c r="B547">
        <v>1965</v>
      </c>
      <c r="C547">
        <v>1996</v>
      </c>
      <c r="D547" cm="1">
        <f t="array" ref="D5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7" s="40" t="str">
        <f>_xlfn.XLOOKUP(PROPERTIES[[#This Row],[VEHIDCODE]],CONTROL[VEHIDCODE],CONTROL[ENGLISH])</f>
        <v>Carel et Fouche/Alsthom Z 6100</v>
      </c>
      <c r="F547" t="s">
        <v>714</v>
      </c>
      <c r="G547" s="40" t="str">
        <f>_xlfn.XLOOKUP(PROPERTIES[[#This Row],[COUNTRY]],COUNTRIES[COUNTRY_DESCRIPTION],COUNTRIES[COUNTRY_LABEL],"")</f>
        <v>RO</v>
      </c>
      <c r="H547" t="str" cm="1">
        <f t="array" ref="H5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7" t="s">
        <v>15</v>
      </c>
      <c r="J547">
        <f>INT(273/4)</f>
        <v>68</v>
      </c>
      <c r="K547">
        <v>8</v>
      </c>
      <c r="M547" t="str" cm="1">
        <f t="array" ref="M5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7">
        <f>_xlfn.XLOOKUP("LOADINGSPEEDDEF_"&amp;PROPERTIES[[#This Row],[LOADINGSPEED]],LOADINGSPEEDDEF[TYPE],LOADINGSPEEDDEF[SPEED])</f>
        <v>60</v>
      </c>
      <c r="O547" cm="1">
        <f t="array" ref="O5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47">
        <f>IF(ISNUMBER(SEARCH("passenger",PROPERTIES[[#This Row],[CARGODEF]])),1,0)</f>
        <v>1</v>
      </c>
      <c r="Q547" s="23">
        <v>35</v>
      </c>
      <c r="R547">
        <v>824</v>
      </c>
      <c r="S547">
        <v>0</v>
      </c>
      <c r="T547">
        <v>0</v>
      </c>
      <c r="U547">
        <v>0</v>
      </c>
      <c r="V547">
        <v>120</v>
      </c>
      <c r="W547">
        <v>0</v>
      </c>
      <c r="X547">
        <v>0</v>
      </c>
      <c r="Y547">
        <v>0</v>
      </c>
      <c r="Z547" s="20">
        <v>73.5</v>
      </c>
      <c r="AA547" s="19">
        <f>IFERROR(PROPERTIES[[#This Row],[TE_STARTING_KN]]/(PROPERTIES[[#This Row],[WEIGHT]]*9.81),0)</f>
        <v>0.21406727828746175</v>
      </c>
      <c r="AB547" s="19">
        <v>0</v>
      </c>
      <c r="AC547" s="16">
        <f>ROUND(IF(IFERROR(PROPERTIES[[#This Row],[TE_COEFFICIENT_CALC]],0)=0,PROPERTIES[[#This Row],[TE_COEFFICIENT_MANUAL]],PROPERTIES[[#This Row],[TE_COEFFICIENT_CALC]]),3)</f>
        <v>0.214</v>
      </c>
      <c r="AD547" s="8" cm="1">
        <f t="array" ref="AD5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7" s="26">
        <f>INT(273/4)</f>
        <v>68</v>
      </c>
      <c r="AF547" s="6">
        <v>8</v>
      </c>
      <c r="AG547" t="s">
        <v>236</v>
      </c>
      <c r="AH547" t="s">
        <v>230</v>
      </c>
      <c r="AI547" t="s">
        <v>229</v>
      </c>
      <c r="AJ547" s="2" t="s">
        <v>229</v>
      </c>
      <c r="AK547" s="2" t="s">
        <v>244</v>
      </c>
      <c r="AL54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7" s="2" t="str">
        <f>SUBSTITUTE(SUBSTITUTE(PROPERTIES[[#This Row],[PURCHASECOST_VALUE]], "PURCHASECOST_", ""), "_VALUE", "")</f>
        <v>EMU</v>
      </c>
      <c r="AO547" s="44" t="b">
        <v>0</v>
      </c>
      <c r="AP547" s="48" t="b">
        <v>0</v>
      </c>
      <c r="AQ547" s="48" t="b">
        <v>0</v>
      </c>
      <c r="AR547" s="48">
        <v>0</v>
      </c>
      <c r="AS547" s="48" t="b">
        <v>0</v>
      </c>
      <c r="AT547" s="7" t="b">
        <v>0</v>
      </c>
      <c r="AU547" s="40" t="str" cm="1">
        <f t="array" ref="AU547">_xlfn.XLOOKUP(PROPERTIES[[#This Row],[VEHIDCODE]],GRAPHICS_PROPERTIES[VEHIDCODE],GRAPHICS_PROPERTIES[TEMPLATE_ID]&amp;GRAPHICS_PROPERTIES[TEMPLATE_AMENDMENT_CODE])</f>
        <v>TPL_02A</v>
      </c>
    </row>
    <row r="548" spans="1:47" x14ac:dyDescent="0.35">
      <c r="A548" s="2" t="s">
        <v>3180</v>
      </c>
      <c r="B548">
        <v>2010</v>
      </c>
      <c r="D548" cm="1">
        <f t="array" ref="D5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8" s="40" t="str">
        <f>_xlfn.XLOOKUP(PROPERTIES[[#This Row],[VEHIDCODE]],CONTROL[VEHIDCODE],CONTROL[ENGLISH])</f>
        <v>Bombardier/UCW Electrostar 'Gautrain'</v>
      </c>
      <c r="F548" t="s">
        <v>771</v>
      </c>
      <c r="G548" s="40" t="str">
        <f>_xlfn.XLOOKUP(PROPERTIES[[#This Row],[COUNTRY]],COUNTRIES[COUNTRY_DESCRIPTION],COUNTRIES[COUNTRY_LABEL],"")</f>
        <v>ZA</v>
      </c>
      <c r="H548" t="str" cm="1">
        <f t="array" ref="H5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8" t="s">
        <v>15</v>
      </c>
      <c r="J548">
        <v>64</v>
      </c>
      <c r="K548">
        <v>8</v>
      </c>
      <c r="M548" t="str" cm="1">
        <f t="array" ref="M5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8">
        <f>_xlfn.XLOOKUP("LOADINGSPEEDDEF_"&amp;PROPERTIES[[#This Row],[LOADINGSPEED]],LOADINGSPEEDDEF[TYPE],LOADINGSPEEDDEF[SPEED])</f>
        <v>60</v>
      </c>
      <c r="O548" t="str" cm="1">
        <f t="array" ref="O5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8">
        <f>IF(ISNUMBER(SEARCH("passenger",PROPERTIES[[#This Row],[CARGODEF]])),1,0)</f>
        <v>1</v>
      </c>
      <c r="Q548" s="23">
        <v>42</v>
      </c>
      <c r="R548">
        <v>2253</v>
      </c>
      <c r="S548">
        <v>0</v>
      </c>
      <c r="T548">
        <v>0</v>
      </c>
      <c r="U548">
        <v>0</v>
      </c>
      <c r="V548">
        <v>160</v>
      </c>
      <c r="W548">
        <v>0</v>
      </c>
      <c r="X548">
        <v>0</v>
      </c>
      <c r="Y548">
        <v>0</v>
      </c>
      <c r="Z548" s="20">
        <f>150/2</f>
        <v>75</v>
      </c>
      <c r="AA548" s="19">
        <f>IFERROR(PROPERTIES[[#This Row],[TE_STARTING_KN]]/(PROPERTIES[[#This Row],[WEIGHT]]*9.81),0)</f>
        <v>0.18202999854376001</v>
      </c>
      <c r="AB548" s="19">
        <v>0</v>
      </c>
      <c r="AC548" s="16">
        <f>ROUND(IF(IFERROR(PROPERTIES[[#This Row],[TE_COEFFICIENT_CALC]],0)=0,PROPERTIES[[#This Row],[TE_COEFFICIENT_MANUAL]],PROPERTIES[[#This Row],[TE_COEFFICIENT_CALC]]),3)</f>
        <v>0.182</v>
      </c>
      <c r="AD548" s="8" cm="1">
        <f t="array" ref="AD5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48" s="26">
        <v>64</v>
      </c>
      <c r="AF548" s="6">
        <v>8</v>
      </c>
      <c r="AG548" t="s">
        <v>233</v>
      </c>
      <c r="AH548" t="s">
        <v>229</v>
      </c>
      <c r="AI548" t="s">
        <v>229</v>
      </c>
      <c r="AJ548" s="2" t="s">
        <v>229</v>
      </c>
      <c r="AK548" s="2" t="s">
        <v>244</v>
      </c>
      <c r="AL54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8" s="2" t="str">
        <f>SUBSTITUTE(SUBSTITUTE(PROPERTIES[[#This Row],[PURCHASECOST_VALUE]], "PURCHASECOST_", ""), "_VALUE", "")</f>
        <v>EMU</v>
      </c>
      <c r="AO548" s="44" t="b">
        <v>0</v>
      </c>
      <c r="AP548" s="48" t="b">
        <v>0</v>
      </c>
      <c r="AQ548" s="48" t="b">
        <v>0</v>
      </c>
      <c r="AR548" s="48">
        <v>0</v>
      </c>
      <c r="AS548" s="48" t="b">
        <v>0</v>
      </c>
      <c r="AT548" s="7" t="b">
        <v>0</v>
      </c>
      <c r="AU548" s="40" t="str" cm="1">
        <f t="array" ref="AU548">_xlfn.XLOOKUP(PROPERTIES[[#This Row],[VEHIDCODE]],GRAPHICS_PROPERTIES[VEHIDCODE],GRAPHICS_PROPERTIES[TEMPLATE_ID]&amp;GRAPHICS_PROPERTIES[TEMPLATE_AMENDMENT_CODE])</f>
        <v>TPL_02A</v>
      </c>
    </row>
    <row r="549" spans="1:47" x14ac:dyDescent="0.35">
      <c r="A549" s="2" t="s">
        <v>3181</v>
      </c>
      <c r="B549">
        <v>1955</v>
      </c>
      <c r="C549">
        <v>2011</v>
      </c>
      <c r="D549" cm="1">
        <f t="array" ref="D5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9" s="40" t="str">
        <f>_xlfn.XLOOKUP(PROPERTIES[[#This Row],[VEHIDCODE]],CONTROL[VEHIDCODE],CONTROL[ENGLISH])</f>
        <v>Alsthom/Jeumont TCDD E8000</v>
      </c>
      <c r="F549" t="s">
        <v>1027</v>
      </c>
      <c r="G549" s="40" t="str">
        <f>_xlfn.XLOOKUP(PROPERTIES[[#This Row],[COUNTRY]],COUNTRIES[COUNTRY_DESCRIPTION],COUNTRIES[COUNTRY_LABEL],"")</f>
        <v>TR</v>
      </c>
      <c r="H549" t="str" cm="1">
        <f t="array" ref="H5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9" t="s">
        <v>15</v>
      </c>
      <c r="J549">
        <v>81</v>
      </c>
      <c r="K549">
        <v>8</v>
      </c>
      <c r="M549" t="str" cm="1">
        <f t="array" ref="M5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9">
        <f>_xlfn.XLOOKUP("LOADINGSPEEDDEF_"&amp;PROPERTIES[[#This Row],[LOADINGSPEED]],LOADINGSPEEDDEF[TYPE],LOADINGSPEEDDEF[SPEED])</f>
        <v>60</v>
      </c>
      <c r="O549" cm="1">
        <f t="array" ref="O5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49">
        <f>IF(ISNUMBER(SEARCH("passenger",PROPERTIES[[#This Row],[CARGODEF]])),1,0)</f>
        <v>1</v>
      </c>
      <c r="Q549" s="23">
        <v>40</v>
      </c>
      <c r="R549">
        <v>1100</v>
      </c>
      <c r="S549">
        <v>0</v>
      </c>
      <c r="T549">
        <v>0</v>
      </c>
      <c r="U549">
        <v>0</v>
      </c>
      <c r="V549">
        <v>90</v>
      </c>
      <c r="W549">
        <v>0</v>
      </c>
      <c r="X549">
        <v>0</v>
      </c>
      <c r="Y549">
        <v>0</v>
      </c>
      <c r="Z549" s="20">
        <f>140/2</f>
        <v>70</v>
      </c>
      <c r="AA549" s="19">
        <f>IFERROR(PROPERTIES[[#This Row],[TE_STARTING_KN]]/(PROPERTIES[[#This Row],[WEIGHT]]*9.81),0)</f>
        <v>0.1783893985728848</v>
      </c>
      <c r="AB549" s="19">
        <v>0</v>
      </c>
      <c r="AC549" s="16">
        <f>ROUND(IF(IFERROR(PROPERTIES[[#This Row],[TE_COEFFICIENT_CALC]],0)=0,PROPERTIES[[#This Row],[TE_COEFFICIENT_MANUAL]],PROPERTIES[[#This Row],[TE_COEFFICIENT_CALC]]),3)</f>
        <v>0.17799999999999999</v>
      </c>
      <c r="AD549" s="8" cm="1">
        <f t="array" ref="AD5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549" s="26">
        <v>81</v>
      </c>
      <c r="AF549" s="6">
        <v>8</v>
      </c>
      <c r="AG549" t="s">
        <v>1948</v>
      </c>
      <c r="AH549" t="s">
        <v>229</v>
      </c>
      <c r="AI549" t="s">
        <v>229</v>
      </c>
      <c r="AJ549" s="2" t="s">
        <v>229</v>
      </c>
      <c r="AK549" s="2" t="s">
        <v>244</v>
      </c>
      <c r="AL54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9" s="2" t="str">
        <f>SUBSTITUTE(SUBSTITUTE(PROPERTIES[[#This Row],[PURCHASECOST_VALUE]], "PURCHASECOST_", ""), "_VALUE", "")</f>
        <v>EMU</v>
      </c>
      <c r="AO549" s="44" t="b">
        <v>0</v>
      </c>
      <c r="AP549" s="48" t="b">
        <v>0</v>
      </c>
      <c r="AQ549" s="48" t="b">
        <v>0</v>
      </c>
      <c r="AR549" s="48">
        <v>0</v>
      </c>
      <c r="AS549" s="48" t="b">
        <v>0</v>
      </c>
      <c r="AT549" s="7" t="b">
        <v>0</v>
      </c>
      <c r="AU549" s="40" t="str" cm="1">
        <f t="array" ref="AU549">_xlfn.XLOOKUP(PROPERTIES[[#This Row],[VEHIDCODE]],GRAPHICS_PROPERTIES[VEHIDCODE],GRAPHICS_PROPERTIES[TEMPLATE_ID]&amp;GRAPHICS_PROPERTIES[TEMPLATE_AMENDMENT_CODE])</f>
        <v>TPL_02A</v>
      </c>
    </row>
    <row r="550" spans="1:47" x14ac:dyDescent="0.35">
      <c r="A550" s="2" t="s">
        <v>3182</v>
      </c>
      <c r="B550">
        <v>2010</v>
      </c>
      <c r="D550" cm="1">
        <f t="array" ref="D5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0" s="40" t="str">
        <f>_xlfn.XLOOKUP(PROPERTIES[[#This Row],[VEHIDCODE]],CONTROL[VEHIDCODE],CONTROL[ENGLISH])</f>
        <v>CSR Qingdao CHR380A</v>
      </c>
      <c r="F550" t="s">
        <v>575</v>
      </c>
      <c r="G550" s="40" t="str">
        <f>_xlfn.XLOOKUP(PROPERTIES[[#This Row],[COUNTRY]],COUNTRIES[COUNTRY_DESCRIPTION],COUNTRIES[COUNTRY_LABEL],"")</f>
        <v>CN</v>
      </c>
      <c r="H550" t="str" cm="1">
        <f t="array" ref="H5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0" t="s">
        <v>15</v>
      </c>
      <c r="J550">
        <v>70</v>
      </c>
      <c r="K550">
        <v>8</v>
      </c>
      <c r="M550" t="str" cm="1">
        <f t="array" ref="M5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50">
        <f>_xlfn.XLOOKUP("LOADINGSPEEDDEF_"&amp;PROPERTIES[[#This Row],[LOADINGSPEED]],LOADINGSPEEDDEF[TYPE],LOADINGSPEEDDEF[SPEED])</f>
        <v>20</v>
      </c>
      <c r="O550" t="str" cm="1">
        <f t="array" ref="O5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0">
        <f>IF(ISNUMBER(SEARCH("passenger",PROPERTIES[[#This Row],[CARGODEF]])),1,0)</f>
        <v>1</v>
      </c>
      <c r="Q550" s="23">
        <v>48</v>
      </c>
      <c r="R550">
        <f>12840/8*2</f>
        <v>3210</v>
      </c>
      <c r="S550">
        <v>0</v>
      </c>
      <c r="T550">
        <v>0</v>
      </c>
      <c r="U550">
        <v>0</v>
      </c>
      <c r="V550">
        <v>350</v>
      </c>
      <c r="W550">
        <v>0</v>
      </c>
      <c r="X550">
        <v>0</v>
      </c>
      <c r="Y550">
        <v>0</v>
      </c>
      <c r="Z550" s="20">
        <v>60</v>
      </c>
      <c r="AA550" s="19">
        <f>IFERROR(PROPERTIES[[#This Row],[TE_STARTING_KN]]/(PROPERTIES[[#This Row],[WEIGHT]]*9.81),0)</f>
        <v>0.127420998980632</v>
      </c>
      <c r="AB550" s="19">
        <v>0</v>
      </c>
      <c r="AC550" s="16">
        <f>ROUND(IF(IFERROR(PROPERTIES[[#This Row],[TE_COEFFICIENT_CALC]],0)=0,PROPERTIES[[#This Row],[TE_COEFFICIENT_MANUAL]],PROPERTIES[[#This Row],[TE_COEFFICIENT_CALC]]),3)</f>
        <v>0.127</v>
      </c>
      <c r="AD550" s="8" cm="1">
        <f t="array" ref="AD5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50" s="26">
        <v>70</v>
      </c>
      <c r="AF550" s="6">
        <v>8</v>
      </c>
      <c r="AG550" t="s">
        <v>238</v>
      </c>
      <c r="AH550" t="s">
        <v>229</v>
      </c>
      <c r="AI550" t="s">
        <v>229</v>
      </c>
      <c r="AJ550" s="2" t="s">
        <v>229</v>
      </c>
      <c r="AK550" s="2" t="s">
        <v>244</v>
      </c>
      <c r="AL55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0" s="2" t="str">
        <f>SUBSTITUTE(SUBSTITUTE(PROPERTIES[[#This Row],[PURCHASECOST_VALUE]], "PURCHASECOST_", ""), "_VALUE", "")</f>
        <v>EMU</v>
      </c>
      <c r="AO550" s="44" t="b">
        <v>0</v>
      </c>
      <c r="AP550" s="48" t="b">
        <v>0</v>
      </c>
      <c r="AQ550" s="48" t="b">
        <v>0</v>
      </c>
      <c r="AR550" s="48">
        <v>0</v>
      </c>
      <c r="AS550" s="48" t="b">
        <v>0</v>
      </c>
      <c r="AT550" s="7" t="b">
        <v>0</v>
      </c>
      <c r="AU550" s="40" t="str" cm="1">
        <f t="array" ref="AU550">_xlfn.XLOOKUP(PROPERTIES[[#This Row],[VEHIDCODE]],GRAPHICS_PROPERTIES[VEHIDCODE],GRAPHICS_PROPERTIES[TEMPLATE_ID]&amp;GRAPHICS_PROPERTIES[TEMPLATE_AMENDMENT_CODE])</f>
        <v>TPL_02D</v>
      </c>
    </row>
    <row r="551" spans="1:47" x14ac:dyDescent="0.35">
      <c r="A551" s="2" t="s">
        <v>3183</v>
      </c>
      <c r="B551">
        <v>1908</v>
      </c>
      <c r="C551">
        <v>1958</v>
      </c>
      <c r="D551" cm="1">
        <f t="array" ref="D5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1" s="40" t="str">
        <f>_xlfn.XLOOKUP(PROPERTIES[[#This Row],[VEHIDCODE]],CONTROL[VEHIDCODE],CONTROL[ENGLISH])</f>
        <v>PRR MP54</v>
      </c>
      <c r="F551" t="s">
        <v>757</v>
      </c>
      <c r="G551" s="40" t="str">
        <f>_xlfn.XLOOKUP(PROPERTIES[[#This Row],[COUNTRY]],COUNTRIES[COUNTRY_DESCRIPTION],COUNTRIES[COUNTRY_LABEL],"")</f>
        <v>US</v>
      </c>
      <c r="H551" t="str" cm="1">
        <f t="array" ref="H5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1" t="s">
        <v>15</v>
      </c>
      <c r="J551">
        <v>72</v>
      </c>
      <c r="K551">
        <v>8</v>
      </c>
      <c r="M551" t="str" cm="1">
        <f t="array" ref="M5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51">
        <f>_xlfn.XLOOKUP("LOADINGSPEEDDEF_"&amp;PROPERTIES[[#This Row],[LOADINGSPEED]],LOADINGSPEEDDEF[TYPE],LOADINGSPEEDDEF[SPEED])</f>
        <v>60</v>
      </c>
      <c r="O551" cm="1">
        <f t="array" ref="O5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51">
        <f>IF(ISNUMBER(SEARCH("passenger",PROPERTIES[[#This Row],[CARGODEF]])),1,0)</f>
        <v>1</v>
      </c>
      <c r="Q551" s="23">
        <v>54</v>
      </c>
      <c r="R551">
        <v>450</v>
      </c>
      <c r="S551">
        <v>0</v>
      </c>
      <c r="T551">
        <v>0</v>
      </c>
      <c r="U551">
        <v>0</v>
      </c>
      <c r="V551">
        <v>105</v>
      </c>
      <c r="W551">
        <v>0</v>
      </c>
      <c r="X551">
        <v>0</v>
      </c>
      <c r="Y551">
        <v>0</v>
      </c>
      <c r="Z551" s="20">
        <v>80</v>
      </c>
      <c r="AA551" s="19">
        <f>IFERROR(PROPERTIES[[#This Row],[TE_STARTING_KN]]/(PROPERTIES[[#This Row],[WEIGHT]]*9.81),0)</f>
        <v>0.15101748027334164</v>
      </c>
      <c r="AB551" s="19">
        <v>0</v>
      </c>
      <c r="AC551" s="16">
        <f>ROUND(IF(IFERROR(PROPERTIES[[#This Row],[TE_COEFFICIENT_CALC]],0)=0,PROPERTIES[[#This Row],[TE_COEFFICIENT_MANUAL]],PROPERTIES[[#This Row],[TE_COEFFICIENT_CALC]]),3)</f>
        <v>0.151</v>
      </c>
      <c r="AD551" s="8" cm="1">
        <f t="array" ref="AD5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551" s="26">
        <v>72</v>
      </c>
      <c r="AF551" s="6">
        <v>8</v>
      </c>
      <c r="AG551" t="s">
        <v>235</v>
      </c>
      <c r="AH551" t="s">
        <v>229</v>
      </c>
      <c r="AI551" t="s">
        <v>229</v>
      </c>
      <c r="AJ551" s="2" t="s">
        <v>229</v>
      </c>
      <c r="AK551" s="2" t="s">
        <v>244</v>
      </c>
      <c r="AL55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1" s="2" t="str">
        <f>SUBSTITUTE(SUBSTITUTE(PROPERTIES[[#This Row],[PURCHASECOST_VALUE]], "PURCHASECOST_", ""), "_VALUE", "")</f>
        <v>EMU</v>
      </c>
      <c r="AO551" s="44" t="b">
        <v>0</v>
      </c>
      <c r="AP551" s="48" t="b">
        <v>0</v>
      </c>
      <c r="AQ551" s="48" t="b">
        <v>1</v>
      </c>
      <c r="AR551" s="48">
        <v>0</v>
      </c>
      <c r="AS551" s="48" t="b">
        <v>0</v>
      </c>
      <c r="AT551" s="7" t="b">
        <v>1</v>
      </c>
      <c r="AU551" s="40" t="str" cm="1">
        <f t="array" ref="AU551">_xlfn.XLOOKUP(PROPERTIES[[#This Row],[VEHIDCODE]],GRAPHICS_PROPERTIES[VEHIDCODE],GRAPHICS_PROPERTIES[TEMPLATE_ID]&amp;GRAPHICS_PROPERTIES[TEMPLATE_AMENDMENT_CODE])</f>
        <v>TPL_02A</v>
      </c>
    </row>
    <row r="552" spans="1:47" x14ac:dyDescent="0.35">
      <c r="A552" s="2" t="s">
        <v>3184</v>
      </c>
      <c r="B552">
        <v>2011</v>
      </c>
      <c r="D552" cm="1">
        <f t="array" ref="D5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2" s="40" t="str">
        <f>_xlfn.XLOOKUP(PROPERTIES[[#This Row],[VEHIDCODE]],CONTROL[VEHIDCODE],CONTROL[ENGLISH])</f>
        <v>Alstom AGV</v>
      </c>
      <c r="F552" t="s">
        <v>636</v>
      </c>
      <c r="G552" s="40" t="str">
        <f>_xlfn.XLOOKUP(PROPERTIES[[#This Row],[COUNTRY]],COUNTRIES[COUNTRY_DESCRIPTION],COUNTRIES[COUNTRY_LABEL],"")</f>
        <v>IT</v>
      </c>
      <c r="H552" t="str" cm="1">
        <f t="array" ref="H5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2" t="s">
        <v>15</v>
      </c>
      <c r="J552">
        <v>42</v>
      </c>
      <c r="K552">
        <v>8</v>
      </c>
      <c r="M552" t="str" cm="1">
        <f t="array" ref="M5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52">
        <f>_xlfn.XLOOKUP("LOADINGSPEEDDEF_"&amp;PROPERTIES[[#This Row],[LOADINGSPEED]],LOADINGSPEEDDEF[TYPE],LOADINGSPEEDDEF[SPEED])</f>
        <v>20</v>
      </c>
      <c r="O552" t="str" cm="1">
        <f t="array" ref="O5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2">
        <f>IF(ISNUMBER(SEARCH("passenger",PROPERTIES[[#This Row],[CARGODEF]])),1,0)</f>
        <v>1</v>
      </c>
      <c r="Q552" s="23">
        <f>272/7</f>
        <v>38.857142857142854</v>
      </c>
      <c r="R552">
        <f>1020*2</f>
        <v>2040</v>
      </c>
      <c r="S552">
        <v>0</v>
      </c>
      <c r="T552">
        <v>0</v>
      </c>
      <c r="U552">
        <v>0</v>
      </c>
      <c r="V552">
        <v>360</v>
      </c>
      <c r="W552">
        <v>320</v>
      </c>
      <c r="X552">
        <v>200</v>
      </c>
      <c r="Y552">
        <v>0</v>
      </c>
      <c r="Z552" s="20">
        <v>30</v>
      </c>
      <c r="AA552" s="19">
        <f>IFERROR(PROPERTIES[[#This Row],[TE_STARTING_KN]]/(PROPERTIES[[#This Row],[WEIGHT]]*9.81),0)</f>
        <v>7.8701205252743295E-2</v>
      </c>
      <c r="AB552" s="19">
        <v>0</v>
      </c>
      <c r="AC552" s="16">
        <f>ROUND(IF(IFERROR(PROPERTIES[[#This Row],[TE_COEFFICIENT_CALC]],0)=0,PROPERTIES[[#This Row],[TE_COEFFICIENT_MANUAL]],PROPERTIES[[#This Row],[TE_COEFFICIENT_CALC]]),3)</f>
        <v>7.9000000000000001E-2</v>
      </c>
      <c r="AD552" s="8" cm="1">
        <f t="array" ref="AD5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52" s="26">
        <v>42</v>
      </c>
      <c r="AF552" s="6">
        <v>7</v>
      </c>
      <c r="AG552" t="s">
        <v>231</v>
      </c>
      <c r="AH552" t="s">
        <v>229</v>
      </c>
      <c r="AI552" t="s">
        <v>229</v>
      </c>
      <c r="AJ552" s="2" t="s">
        <v>229</v>
      </c>
      <c r="AK552" s="2" t="s">
        <v>244</v>
      </c>
      <c r="AL55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2" s="2" t="str">
        <f>SUBSTITUTE(SUBSTITUTE(PROPERTIES[[#This Row],[PURCHASECOST_VALUE]], "PURCHASECOST_", ""), "_VALUE", "")</f>
        <v>EMU</v>
      </c>
      <c r="AO552" s="44" t="b">
        <v>0</v>
      </c>
      <c r="AP552" s="48" t="b">
        <v>0</v>
      </c>
      <c r="AQ552" s="48" t="b">
        <v>0</v>
      </c>
      <c r="AR552" s="48">
        <v>0</v>
      </c>
      <c r="AS552" s="48" t="b">
        <v>0</v>
      </c>
      <c r="AT552" s="7" t="b">
        <v>0</v>
      </c>
      <c r="AU552" s="40" t="str" cm="1">
        <f t="array" ref="AU552">_xlfn.XLOOKUP(PROPERTIES[[#This Row],[VEHIDCODE]],GRAPHICS_PROPERTIES[VEHIDCODE],GRAPHICS_PROPERTIES[TEMPLATE_ID]&amp;GRAPHICS_PROPERTIES[TEMPLATE_AMENDMENT_CODE])</f>
        <v>TPL_02E</v>
      </c>
    </row>
    <row r="553" spans="1:47" x14ac:dyDescent="0.35">
      <c r="A553" s="2" t="s">
        <v>3185</v>
      </c>
      <c r="B553">
        <v>2015</v>
      </c>
      <c r="D553" cm="1">
        <f t="array" ref="D5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3" s="40" t="str">
        <f>_xlfn.XLOOKUP(PROPERTIES[[#This Row],[VEHIDCODE]],CONTROL[VEHIDCODE],CONTROL[ENGLISH])</f>
        <v>Alstom Avelia Horizon</v>
      </c>
      <c r="F553" t="s">
        <v>636</v>
      </c>
      <c r="G553" s="40" t="str">
        <f>_xlfn.XLOOKUP(PROPERTIES[[#This Row],[COUNTRY]],COUNTRIES[COUNTRY_DESCRIPTION],COUNTRIES[COUNTRY_LABEL],"")</f>
        <v>IT</v>
      </c>
      <c r="H553" t="str" cm="1">
        <f t="array" ref="H5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3" t="s">
        <v>15</v>
      </c>
      <c r="J553">
        <v>80</v>
      </c>
      <c r="K553">
        <v>8</v>
      </c>
      <c r="M553" t="str" cm="1">
        <f t="array" ref="M5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53">
        <f>_xlfn.XLOOKUP("LOADINGSPEEDDEF_"&amp;PROPERTIES[[#This Row],[LOADINGSPEED]],LOADINGSPEEDDEF[TYPE],LOADINGSPEEDDEF[SPEED])</f>
        <v>20</v>
      </c>
      <c r="O553" t="str" cm="1">
        <f t="array" ref="O5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3">
        <f>IF(ISNUMBER(SEARCH("passenger",PROPERTIES[[#This Row],[CARGODEF]])),1,0)</f>
        <v>1</v>
      </c>
      <c r="Q553" s="23">
        <v>44</v>
      </c>
      <c r="R553">
        <f>INT(9000*1.38/8)*2</f>
        <v>3104</v>
      </c>
      <c r="S553">
        <v>0</v>
      </c>
      <c r="T553">
        <v>0</v>
      </c>
      <c r="U553">
        <v>0</v>
      </c>
      <c r="V553">
        <v>360</v>
      </c>
      <c r="W553">
        <v>0</v>
      </c>
      <c r="X553">
        <v>0</v>
      </c>
      <c r="Y553">
        <v>0</v>
      </c>
      <c r="Z553" s="20">
        <v>200</v>
      </c>
      <c r="AA553" s="19">
        <f>IFERROR(PROPERTIES[[#This Row],[TE_STARTING_KN]]/(PROPERTIES[[#This Row],[WEIGHT]]*9.81),0)</f>
        <v>0.46334908720229817</v>
      </c>
      <c r="AB553" s="19">
        <v>0</v>
      </c>
      <c r="AC553" s="16">
        <f>ROUND(IF(IFERROR(PROPERTIES[[#This Row],[TE_COEFFICIENT_CALC]],0)=0,PROPERTIES[[#This Row],[TE_COEFFICIENT_MANUAL]],PROPERTIES[[#This Row],[TE_COEFFICIENT_CALC]]),3)</f>
        <v>0.46300000000000002</v>
      </c>
      <c r="AD553" s="8" cm="1">
        <f t="array" ref="AD5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53" s="26">
        <v>100</v>
      </c>
      <c r="AF553" s="6">
        <v>7</v>
      </c>
      <c r="AG553" t="s">
        <v>231</v>
      </c>
      <c r="AH553" t="s">
        <v>233</v>
      </c>
      <c r="AI553" t="s">
        <v>229</v>
      </c>
      <c r="AJ553" s="2" t="s">
        <v>229</v>
      </c>
      <c r="AK553" s="2" t="s">
        <v>245</v>
      </c>
      <c r="AL55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3" s="2" t="str">
        <f>SUBSTITUTE(SUBSTITUTE(PROPERTIES[[#This Row],[PURCHASECOST_VALUE]], "PURCHASECOST_", ""), "_VALUE", "")</f>
        <v>EMU</v>
      </c>
      <c r="AO553" s="44" t="b">
        <v>0</v>
      </c>
      <c r="AP553" s="48" t="b">
        <v>0</v>
      </c>
      <c r="AQ553" s="48" t="b">
        <v>0</v>
      </c>
      <c r="AR553" s="48">
        <v>0</v>
      </c>
      <c r="AS553" s="48" t="b">
        <v>0</v>
      </c>
      <c r="AT553" s="7" t="b">
        <v>0</v>
      </c>
      <c r="AU553" s="40" t="str" cm="1">
        <f t="array" ref="AU553">_xlfn.XLOOKUP(PROPERTIES[[#This Row],[VEHIDCODE]],GRAPHICS_PROPERTIES[VEHIDCODE],GRAPHICS_PROPERTIES[TEMPLATE_ID]&amp;GRAPHICS_PROPERTIES[TEMPLATE_AMENDMENT_CODE])</f>
        <v>TPL_02E</v>
      </c>
    </row>
    <row r="554" spans="1:47" x14ac:dyDescent="0.35">
      <c r="A554" s="2" t="s">
        <v>3186</v>
      </c>
      <c r="B554">
        <v>2012</v>
      </c>
      <c r="D554" cm="1">
        <f t="array" ref="D5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4" s="40" t="str">
        <f>_xlfn.XLOOKUP(PROPERTIES[[#This Row],[VEHIDCODE]],CONTROL[VEHIDCODE],CONTROL[ENGLISH])</f>
        <v>AnsaldoBreda V250 'Albatros'</v>
      </c>
      <c r="F554" t="s">
        <v>692</v>
      </c>
      <c r="G554" s="40" t="str">
        <f>_xlfn.XLOOKUP(PROPERTIES[[#This Row],[COUNTRY]],COUNTRIES[COUNTRY_DESCRIPTION],COUNTRIES[COUNTRY_LABEL],"")</f>
        <v>NL</v>
      </c>
      <c r="H554" t="str" cm="1">
        <f t="array" ref="H5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4" t="s">
        <v>15</v>
      </c>
      <c r="J554">
        <v>71</v>
      </c>
      <c r="K554">
        <v>8</v>
      </c>
      <c r="M554" t="str" cm="1">
        <f t="array" ref="M5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54">
        <f>_xlfn.XLOOKUP("LOADINGSPEEDDEF_"&amp;PROPERTIES[[#This Row],[LOADINGSPEED]],LOADINGSPEEDDEF[TYPE],LOADINGSPEEDDEF[SPEED])</f>
        <v>20</v>
      </c>
      <c r="O554" t="str" cm="1">
        <f t="array" ref="O5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4">
        <f>IF(ISNUMBER(SEARCH("passenger",PROPERTIES[[#This Row],[CARGODEF]])),1,0)</f>
        <v>1</v>
      </c>
      <c r="Q554" s="23">
        <v>61</v>
      </c>
      <c r="R554">
        <f>1810*2</f>
        <v>3620</v>
      </c>
      <c r="S554">
        <v>0</v>
      </c>
      <c r="T554">
        <v>0</v>
      </c>
      <c r="U554">
        <v>0</v>
      </c>
      <c r="V554">
        <v>251</v>
      </c>
      <c r="W554">
        <v>0</v>
      </c>
      <c r="X554">
        <v>0</v>
      </c>
      <c r="Y554">
        <v>0</v>
      </c>
      <c r="Z554" s="20">
        <f>300/2</f>
        <v>150</v>
      </c>
      <c r="AA554" s="19">
        <f>IFERROR(PROPERTIES[[#This Row],[TE_STARTING_KN]]/(PROPERTIES[[#This Row],[WEIGHT]]*9.81),0)</f>
        <v>0.25066426028976785</v>
      </c>
      <c r="AB554" s="19">
        <v>0</v>
      </c>
      <c r="AC554" s="16">
        <f>ROUND(IF(IFERROR(PROPERTIES[[#This Row],[TE_COEFFICIENT_CALC]],0)=0,PROPERTIES[[#This Row],[TE_COEFFICIENT_MANUAL]],PROPERTIES[[#This Row],[TE_COEFFICIENT_CALC]]),3)</f>
        <v>0.251</v>
      </c>
      <c r="AD554" s="8" cm="1">
        <f t="array" ref="AD5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54" s="26">
        <v>71</v>
      </c>
      <c r="AF554" s="6">
        <v>8</v>
      </c>
      <c r="AG554" t="s">
        <v>230</v>
      </c>
      <c r="AH554" t="s">
        <v>229</v>
      </c>
      <c r="AI554" t="s">
        <v>229</v>
      </c>
      <c r="AJ554" s="2" t="s">
        <v>229</v>
      </c>
      <c r="AK554" s="2" t="s">
        <v>244</v>
      </c>
      <c r="AL55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4" s="2" t="str">
        <f>SUBSTITUTE(SUBSTITUTE(PROPERTIES[[#This Row],[PURCHASECOST_VALUE]], "PURCHASECOST_", ""), "_VALUE", "")</f>
        <v>EMU</v>
      </c>
      <c r="AO554" s="44" t="b">
        <v>0</v>
      </c>
      <c r="AP554" s="48" t="b">
        <v>0</v>
      </c>
      <c r="AQ554" s="48" t="b">
        <v>0</v>
      </c>
      <c r="AR554" s="48">
        <v>0</v>
      </c>
      <c r="AS554" s="48" t="b">
        <v>0</v>
      </c>
      <c r="AT554" s="7" t="b">
        <v>0</v>
      </c>
      <c r="AU554" s="40" t="str" cm="1">
        <f t="array" ref="AU554">_xlfn.XLOOKUP(PROPERTIES[[#This Row],[VEHIDCODE]],GRAPHICS_PROPERTIES[VEHIDCODE],GRAPHICS_PROPERTIES[TEMPLATE_ID]&amp;GRAPHICS_PROPERTIES[TEMPLATE_AMENDMENT_CODE])</f>
        <v>TPL_02D</v>
      </c>
    </row>
    <row r="555" spans="1:47" x14ac:dyDescent="0.35">
      <c r="A555" s="2" t="s">
        <v>3187</v>
      </c>
      <c r="B555">
        <v>2012</v>
      </c>
      <c r="D555" cm="1">
        <f t="array" ref="D5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5" s="40" t="str">
        <f>_xlfn.XLOOKUP(PROPERTIES[[#This Row],[VEHIDCODE]],CONTROL[VEHIDCODE],CONTROL[ENGLISH])</f>
        <v>NS 4800 HSA 'Fyra'</v>
      </c>
      <c r="F555" t="s">
        <v>692</v>
      </c>
      <c r="G555" s="40" t="str">
        <f>_xlfn.XLOOKUP(PROPERTIES[[#This Row],[COUNTRY]],COUNTRIES[COUNTRY_DESCRIPTION],COUNTRIES[COUNTRY_LABEL],"")</f>
        <v>NL</v>
      </c>
      <c r="H555" t="str" cm="1">
        <f t="array" ref="H5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5" t="s">
        <v>15</v>
      </c>
      <c r="J555">
        <v>42</v>
      </c>
      <c r="K555">
        <v>8</v>
      </c>
      <c r="M555" t="str" cm="1">
        <f t="array" ref="M5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55">
        <f>_xlfn.XLOOKUP("LOADINGSPEEDDEF_"&amp;PROPERTIES[[#This Row],[LOADINGSPEED]],LOADINGSPEEDDEF[TYPE],LOADINGSPEEDDEF[SPEED])</f>
        <v>20</v>
      </c>
      <c r="O555" t="str" cm="1">
        <f t="array" ref="O5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5">
        <f>IF(ISNUMBER(SEARCH("passenger",PROPERTIES[[#This Row],[CARGODEF]])),1,0)</f>
        <v>1</v>
      </c>
      <c r="Q555" s="23">
        <v>52</v>
      </c>
      <c r="R555">
        <f>2213*2</f>
        <v>4426</v>
      </c>
      <c r="S555">
        <v>0</v>
      </c>
      <c r="T555">
        <v>0</v>
      </c>
      <c r="U555">
        <v>0</v>
      </c>
      <c r="V555">
        <v>300</v>
      </c>
      <c r="W555">
        <v>0</v>
      </c>
      <c r="X555">
        <v>0</v>
      </c>
      <c r="Y555">
        <v>0</v>
      </c>
      <c r="Z555" s="20">
        <v>150</v>
      </c>
      <c r="AA555" s="19">
        <f>IFERROR(PROPERTIES[[#This Row],[TE_STARTING_KN]]/(PROPERTIES[[#This Row],[WEIGHT]]*9.81),0)</f>
        <v>0.29404845918607386</v>
      </c>
      <c r="AB555" s="19">
        <v>0</v>
      </c>
      <c r="AC555" s="16">
        <f>ROUND(IF(IFERROR(PROPERTIES[[#This Row],[TE_COEFFICIENT_CALC]],0)=0,PROPERTIES[[#This Row],[TE_COEFFICIENT_MANUAL]],PROPERTIES[[#This Row],[TE_COEFFICIENT_CALC]]),3)</f>
        <v>0.29399999999999998</v>
      </c>
      <c r="AD555" s="8" cm="1">
        <f t="array" ref="AD5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55" s="26">
        <v>42</v>
      </c>
      <c r="AF555" s="6">
        <v>8</v>
      </c>
      <c r="AG555" t="s">
        <v>230</v>
      </c>
      <c r="AH555" t="s">
        <v>229</v>
      </c>
      <c r="AI555" t="s">
        <v>229</v>
      </c>
      <c r="AJ555" s="2" t="s">
        <v>229</v>
      </c>
      <c r="AK555" s="2" t="s">
        <v>245</v>
      </c>
      <c r="AL55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5" s="2" t="str">
        <f>SUBSTITUTE(SUBSTITUTE(PROPERTIES[[#This Row],[PURCHASECOST_VALUE]], "PURCHASECOST_", ""), "_VALUE", "")</f>
        <v>EMU</v>
      </c>
      <c r="AO555" s="44" t="b">
        <v>0</v>
      </c>
      <c r="AP555" s="48" t="b">
        <v>0</v>
      </c>
      <c r="AQ555" s="48" t="b">
        <v>0</v>
      </c>
      <c r="AR555" s="48">
        <v>0</v>
      </c>
      <c r="AS555" s="48" t="b">
        <v>0</v>
      </c>
      <c r="AT555" s="7" t="b">
        <v>0</v>
      </c>
      <c r="AU555" s="40" t="str" cm="1">
        <f t="array" ref="AU555">_xlfn.XLOOKUP(PROPERTIES[[#This Row],[VEHIDCODE]],GRAPHICS_PROPERTIES[VEHIDCODE],GRAPHICS_PROPERTIES[TEMPLATE_ID]&amp;GRAPHICS_PROPERTIES[TEMPLATE_AMENDMENT_CODE])</f>
        <v>TPL_02E</v>
      </c>
    </row>
    <row r="556" spans="1:47" x14ac:dyDescent="0.35">
      <c r="A556" s="2" t="s">
        <v>3188</v>
      </c>
      <c r="B556">
        <v>1961</v>
      </c>
      <c r="C556">
        <v>1995</v>
      </c>
      <c r="D556" cm="1">
        <f t="array" ref="D5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6" s="40" t="str">
        <f>_xlfn.XLOOKUP(PROPERTIES[[#This Row],[VEHIDCODE]],CONTROL[VEHIDCODE],CONTROL[ENGLISH])</f>
        <v>SIG Rae TEE II</v>
      </c>
      <c r="F556" t="s">
        <v>570</v>
      </c>
      <c r="G556" s="40" t="str">
        <f>_xlfn.XLOOKUP(PROPERTIES[[#This Row],[COUNTRY]],COUNTRIES[COUNTRY_DESCRIPTION],COUNTRIES[COUNTRY_LABEL],"")</f>
        <v>CH</v>
      </c>
      <c r="H556" t="str" cm="1">
        <f t="array" ref="H5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6" t="s">
        <v>15</v>
      </c>
      <c r="J556">
        <f>INT(168+126+54)/6</f>
        <v>58</v>
      </c>
      <c r="K556">
        <v>8</v>
      </c>
      <c r="M556" t="str" cm="1">
        <f t="array" ref="M5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56">
        <f>_xlfn.XLOOKUP("LOADINGSPEEDDEF_"&amp;PROPERTIES[[#This Row],[LOADINGSPEED]],LOADINGSPEEDDEF[TYPE],LOADINGSPEEDDEF[SPEED])</f>
        <v>60</v>
      </c>
      <c r="O556" cm="1">
        <f t="array" ref="O5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56">
        <f>IF(ISNUMBER(SEARCH("passenger",PROPERTIES[[#This Row],[CARGODEF]])),1,0)</f>
        <v>1</v>
      </c>
      <c r="Q556" s="23">
        <f>296/6</f>
        <v>49.333333333333336</v>
      </c>
      <c r="R556">
        <v>3100</v>
      </c>
      <c r="S556">
        <v>0</v>
      </c>
      <c r="T556">
        <v>0</v>
      </c>
      <c r="U556">
        <v>0</v>
      </c>
      <c r="V556">
        <v>160</v>
      </c>
      <c r="W556">
        <v>0</v>
      </c>
      <c r="X556">
        <v>0</v>
      </c>
      <c r="Y556">
        <v>0</v>
      </c>
      <c r="Z556" s="20">
        <f>188/2</f>
        <v>94</v>
      </c>
      <c r="AA556" s="19">
        <f>IFERROR(PROPERTIES[[#This Row],[TE_STARTING_KN]]/(PROPERTIES[[#This Row],[WEIGHT]]*9.81),0)</f>
        <v>0.19423092817588228</v>
      </c>
      <c r="AB556" s="19">
        <v>0</v>
      </c>
      <c r="AC556" s="16">
        <f>ROUND(IF(IFERROR(PROPERTIES[[#This Row],[TE_COEFFICIENT_CALC]],0)=0,PROPERTIES[[#This Row],[TE_COEFFICIENT_MANUAL]],PROPERTIES[[#This Row],[TE_COEFFICIENT_CALC]]),3)</f>
        <v>0.19400000000000001</v>
      </c>
      <c r="AD556" s="8" cm="1">
        <f t="array" ref="AD5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56" s="26">
        <f>INT(168+126+54)/6</f>
        <v>58</v>
      </c>
      <c r="AF556" s="6">
        <v>8</v>
      </c>
      <c r="AG556" t="s">
        <v>230</v>
      </c>
      <c r="AH556" t="s">
        <v>229</v>
      </c>
      <c r="AI556" t="s">
        <v>229</v>
      </c>
      <c r="AJ556" s="2" t="s">
        <v>229</v>
      </c>
      <c r="AK556" s="2" t="s">
        <v>244</v>
      </c>
      <c r="AL55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6" s="2" t="str">
        <f>SUBSTITUTE(SUBSTITUTE(PROPERTIES[[#This Row],[PURCHASECOST_VALUE]], "PURCHASECOST_", ""), "_VALUE", "")</f>
        <v>EMU</v>
      </c>
      <c r="AO556" s="44" t="b">
        <v>0</v>
      </c>
      <c r="AP556" s="48" t="b">
        <v>0</v>
      </c>
      <c r="AQ556" s="48" t="b">
        <v>0</v>
      </c>
      <c r="AR556" s="48">
        <v>0</v>
      </c>
      <c r="AS556" s="48" t="b">
        <v>0</v>
      </c>
      <c r="AT556" s="7" t="b">
        <v>0</v>
      </c>
      <c r="AU556" s="40" t="str" cm="1">
        <f t="array" ref="AU556">_xlfn.XLOOKUP(PROPERTIES[[#This Row],[VEHIDCODE]],GRAPHICS_PROPERTIES[VEHIDCODE],GRAPHICS_PROPERTIES[TEMPLATE_ID]&amp;GRAPHICS_PROPERTIES[TEMPLATE_AMENDMENT_CODE])</f>
        <v>TPL_02D</v>
      </c>
    </row>
    <row r="557" spans="1:47" x14ac:dyDescent="0.35">
      <c r="A557" s="2" t="s">
        <v>3189</v>
      </c>
      <c r="B557">
        <v>1930</v>
      </c>
      <c r="C557">
        <v>1984</v>
      </c>
      <c r="D557" cm="1">
        <f t="array" ref="D5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7" s="40" t="str">
        <f>_xlfn.XLOOKUP(PROPERTIES[[#This Row],[VEHIDCODE]],CONTROL[VEHIDCODE],CONTROL[ENGLISH])</f>
        <v>Pullman Erie Lackawanna 2500 Series</v>
      </c>
      <c r="F557" t="s">
        <v>757</v>
      </c>
      <c r="G557" s="40" t="str">
        <f>_xlfn.XLOOKUP(PROPERTIES[[#This Row],[COUNTRY]],COUNTRIES[COUNTRY_DESCRIPTION],COUNTRIES[COUNTRY_LABEL],"")</f>
        <v>US</v>
      </c>
      <c r="H557" t="str" cm="1">
        <f t="array" ref="H5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7" t="s">
        <v>15</v>
      </c>
      <c r="J557">
        <v>82</v>
      </c>
      <c r="K557">
        <v>8</v>
      </c>
      <c r="M557" t="str" cm="1">
        <f t="array" ref="M5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57">
        <f>_xlfn.XLOOKUP("LOADINGSPEEDDEF_"&amp;PROPERTIES[[#This Row],[LOADINGSPEED]],LOADINGSPEEDDEF[TYPE],LOADINGSPEEDDEF[SPEED])</f>
        <v>60</v>
      </c>
      <c r="O557" cm="1">
        <f t="array" ref="O5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57">
        <f>IF(ISNUMBER(SEARCH("passenger",PROPERTIES[[#This Row],[CARGODEF]])),1,0)</f>
        <v>1</v>
      </c>
      <c r="Q557" s="23">
        <v>61</v>
      </c>
      <c r="R557">
        <v>1020</v>
      </c>
      <c r="S557">
        <v>0</v>
      </c>
      <c r="T557">
        <v>0</v>
      </c>
      <c r="U557">
        <v>0</v>
      </c>
      <c r="V557">
        <v>101</v>
      </c>
      <c r="W557">
        <v>0</v>
      </c>
      <c r="X557">
        <v>0</v>
      </c>
      <c r="Y557">
        <v>0</v>
      </c>
      <c r="Z557" s="20">
        <v>135</v>
      </c>
      <c r="AA557" s="19">
        <f>IFERROR(PROPERTIES[[#This Row],[TE_STARTING_KN]]/(PROPERTIES[[#This Row],[WEIGHT]]*9.81),0)</f>
        <v>0.22559783426079105</v>
      </c>
      <c r="AB557" s="19">
        <v>0</v>
      </c>
      <c r="AC557" s="16">
        <f>ROUND(IF(IFERROR(PROPERTIES[[#This Row],[TE_COEFFICIENT_CALC]],0)=0,PROPERTIES[[#This Row],[TE_COEFFICIENT_MANUAL]],PROPERTIES[[#This Row],[TE_COEFFICIENT_CALC]]),3)</f>
        <v>0.22600000000000001</v>
      </c>
      <c r="AD557" s="8" cm="1">
        <f t="array" ref="AD5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557" s="26">
        <v>84</v>
      </c>
      <c r="AF557" s="6">
        <v>8</v>
      </c>
      <c r="AG557" t="s">
        <v>235</v>
      </c>
      <c r="AH557" t="s">
        <v>229</v>
      </c>
      <c r="AI557" t="s">
        <v>229</v>
      </c>
      <c r="AJ557" s="2" t="s">
        <v>229</v>
      </c>
      <c r="AK557" s="2" t="s">
        <v>244</v>
      </c>
      <c r="AL55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7" s="2" t="str">
        <f>SUBSTITUTE(SUBSTITUTE(PROPERTIES[[#This Row],[PURCHASECOST_VALUE]], "PURCHASECOST_", ""), "_VALUE", "")</f>
        <v>EMU</v>
      </c>
      <c r="AO557" s="44" t="b">
        <v>0</v>
      </c>
      <c r="AP557" s="48" t="b">
        <v>0</v>
      </c>
      <c r="AQ557" s="48" t="b">
        <v>0</v>
      </c>
      <c r="AR557" s="48">
        <v>0</v>
      </c>
      <c r="AS557" s="48" t="b">
        <v>0</v>
      </c>
      <c r="AT557" s="7" t="b">
        <v>0</v>
      </c>
      <c r="AU557" s="40" t="str" cm="1">
        <f t="array" ref="AU557">_xlfn.XLOOKUP(PROPERTIES[[#This Row],[VEHIDCODE]],GRAPHICS_PROPERTIES[VEHIDCODE],GRAPHICS_PROPERTIES[TEMPLATE_ID]&amp;GRAPHICS_PROPERTIES[TEMPLATE_AMENDMENT_CODE])</f>
        <v>TPL_02A</v>
      </c>
    </row>
    <row r="558" spans="1:47" x14ac:dyDescent="0.35">
      <c r="A558" s="2" t="s">
        <v>3190</v>
      </c>
      <c r="B558">
        <v>1981</v>
      </c>
      <c r="C558">
        <v>2012</v>
      </c>
      <c r="D558" cm="1">
        <f t="array" ref="D5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8" s="40" t="str">
        <f>_xlfn.XLOOKUP(PROPERTIES[[#This Row],[VEHIDCODE]],CONTROL[VEHIDCODE],CONTROL[ENGLISH])</f>
        <v>Alsthom TGV 23000</v>
      </c>
      <c r="F558" t="s">
        <v>602</v>
      </c>
      <c r="G558" s="40" t="str">
        <f>_xlfn.XLOOKUP(PROPERTIES[[#This Row],[COUNTRY]],COUNTRIES[COUNTRY_DESCRIPTION],COUNTRIES[COUNTRY_LABEL],"")</f>
        <v>FR</v>
      </c>
      <c r="H558" t="str" cm="1">
        <f t="array" ref="H5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8" t="s">
        <v>17</v>
      </c>
      <c r="J558">
        <v>0</v>
      </c>
      <c r="K558">
        <v>8</v>
      </c>
      <c r="M558" t="str" cm="1">
        <f t="array" ref="M5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58">
        <f>_xlfn.XLOOKUP("LOADINGSPEEDDEF_"&amp;PROPERTIES[[#This Row],[LOADINGSPEED]],LOADINGSPEEDDEF[TYPE],LOADINGSPEEDDEF[SPEED])</f>
        <v>20</v>
      </c>
      <c r="O558" cm="1">
        <f t="array" ref="O5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58">
        <f>IF(ISNUMBER(SEARCH("passenger",PROPERTIES[[#This Row],[CARGODEF]])),1,0)</f>
        <v>0</v>
      </c>
      <c r="Q558" s="23">
        <v>68</v>
      </c>
      <c r="R558">
        <v>9119</v>
      </c>
      <c r="S558">
        <v>0</v>
      </c>
      <c r="T558">
        <v>4157</v>
      </c>
      <c r="U558">
        <v>0</v>
      </c>
      <c r="V558">
        <v>240</v>
      </c>
      <c r="W558">
        <v>0</v>
      </c>
      <c r="X558">
        <v>0</v>
      </c>
      <c r="Y558">
        <v>0</v>
      </c>
      <c r="Z558" s="20">
        <f>210/2</f>
        <v>105</v>
      </c>
      <c r="AA558" s="19">
        <f>IFERROR(PROPERTIES[[#This Row],[TE_STARTING_KN]]/(PROPERTIES[[#This Row],[WEIGHT]]*9.81),0)</f>
        <v>0.15740241050548659</v>
      </c>
      <c r="AB558" s="19">
        <v>0</v>
      </c>
      <c r="AC558" s="16">
        <f>ROUND(IF(IFERROR(PROPERTIES[[#This Row],[TE_COEFFICIENT_CALC]],0)=0,PROPERTIES[[#This Row],[TE_COEFFICIENT_MANUAL]],PROPERTIES[[#This Row],[TE_COEFFICIENT_CALC]]),3)</f>
        <v>0.157</v>
      </c>
      <c r="AD558" s="8" cm="1">
        <f t="array" ref="AD5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58" s="26">
        <v>43</v>
      </c>
      <c r="AF558" s="6">
        <v>6</v>
      </c>
      <c r="AG558" t="s">
        <v>230</v>
      </c>
      <c r="AH558" t="s">
        <v>229</v>
      </c>
      <c r="AI558" t="s">
        <v>229</v>
      </c>
      <c r="AJ558" s="2" t="s">
        <v>229</v>
      </c>
      <c r="AK558" s="2" t="s">
        <v>244</v>
      </c>
      <c r="AL55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8" s="2" t="str">
        <f>SUBSTITUTE(SUBSTITUTE(PROPERTIES[[#This Row],[PURCHASECOST_VALUE]], "PURCHASECOST_", ""), "_VALUE", "")</f>
        <v>EMU</v>
      </c>
      <c r="AO558" s="44" t="b">
        <v>0</v>
      </c>
      <c r="AP558" s="48" t="b">
        <v>0</v>
      </c>
      <c r="AQ558" s="48" t="b">
        <v>0</v>
      </c>
      <c r="AR558" s="48">
        <v>0</v>
      </c>
      <c r="AS558" s="48" t="b">
        <v>0</v>
      </c>
      <c r="AT558" s="7" t="b">
        <v>0</v>
      </c>
      <c r="AU558" s="40" t="str" cm="1">
        <f t="array" ref="AU558">_xlfn.XLOOKUP(PROPERTIES[[#This Row],[VEHIDCODE]],GRAPHICS_PROPERTIES[VEHIDCODE],GRAPHICS_PROPERTIES[TEMPLATE_ID]&amp;GRAPHICS_PROPERTIES[TEMPLATE_AMENDMENT_CODE])</f>
        <v>TPL_02E</v>
      </c>
    </row>
    <row r="559" spans="1:47" x14ac:dyDescent="0.35">
      <c r="A559" s="2" t="s">
        <v>3191</v>
      </c>
      <c r="B559">
        <v>1995</v>
      </c>
      <c r="D559" cm="1">
        <f t="array" ref="D5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9" s="40" t="str">
        <f>_xlfn.XLOOKUP(PROPERTIES[[#This Row],[VEHIDCODE]],CONTROL[VEHIDCODE],CONTROL[ENGLISH])</f>
        <v>Alsthom TGV Duplex</v>
      </c>
      <c r="F559" t="s">
        <v>602</v>
      </c>
      <c r="G559" s="40" t="str">
        <f>_xlfn.XLOOKUP(PROPERTIES[[#This Row],[COUNTRY]],COUNTRIES[COUNTRY_DESCRIPTION],COUNTRIES[COUNTRY_LABEL],"")</f>
        <v>FR</v>
      </c>
      <c r="H559" t="str" cm="1">
        <f t="array" ref="H5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9" t="s">
        <v>17</v>
      </c>
      <c r="J559">
        <v>0</v>
      </c>
      <c r="K559">
        <v>8</v>
      </c>
      <c r="M559" t="str" cm="1">
        <f t="array" ref="M5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59">
        <f>_xlfn.XLOOKUP("LOADINGSPEEDDEF_"&amp;PROPERTIES[[#This Row],[LOADINGSPEED]],LOADINGSPEEDDEF[TYPE],LOADINGSPEEDDEF[SPEED])</f>
        <v>20</v>
      </c>
      <c r="O559" t="str" cm="1">
        <f t="array" ref="O5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9">
        <f>IF(ISNUMBER(SEARCH("passenger",PROPERTIES[[#This Row],[CARGODEF]])),1,0)</f>
        <v>0</v>
      </c>
      <c r="Q559" s="23">
        <v>68</v>
      </c>
      <c r="R559">
        <v>11800</v>
      </c>
      <c r="S559">
        <v>0</v>
      </c>
      <c r="T559">
        <v>4935</v>
      </c>
      <c r="U559">
        <v>0</v>
      </c>
      <c r="V559">
        <v>320</v>
      </c>
      <c r="W559">
        <v>0</v>
      </c>
      <c r="X559">
        <v>0</v>
      </c>
      <c r="Y559">
        <v>0</v>
      </c>
      <c r="Z559" s="20">
        <f>220/2</f>
        <v>110</v>
      </c>
      <c r="AA559" s="19">
        <f>IFERROR(PROPERTIES[[#This Row],[TE_STARTING_KN]]/(PROPERTIES[[#This Row],[WEIGHT]]*9.81),0)</f>
        <v>0.16489776338670023</v>
      </c>
      <c r="AB559" s="19">
        <v>0</v>
      </c>
      <c r="AC559" s="16">
        <f>ROUND(IF(IFERROR(PROPERTIES[[#This Row],[TE_COEFFICIENT_CALC]],0)=0,PROPERTIES[[#This Row],[TE_COEFFICIENT_MANUAL]],PROPERTIES[[#This Row],[TE_COEFFICIENT_CALC]]),3)</f>
        <v>0.16500000000000001</v>
      </c>
      <c r="AD559" s="8" cm="1">
        <f t="array" ref="AD5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59" s="26">
        <v>72</v>
      </c>
      <c r="AF559" s="6">
        <v>6</v>
      </c>
      <c r="AG559" t="s">
        <v>230</v>
      </c>
      <c r="AH559" t="s">
        <v>233</v>
      </c>
      <c r="AI559" t="s">
        <v>229</v>
      </c>
      <c r="AJ559" s="2" t="s">
        <v>229</v>
      </c>
      <c r="AK559" s="2" t="s">
        <v>244</v>
      </c>
      <c r="AL55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9" s="2" t="str">
        <f>SUBSTITUTE(SUBSTITUTE(PROPERTIES[[#This Row],[PURCHASECOST_VALUE]], "PURCHASECOST_", ""), "_VALUE", "")</f>
        <v>EMU</v>
      </c>
      <c r="AO559" s="44" t="b">
        <v>0</v>
      </c>
      <c r="AP559" s="48" t="b">
        <v>0</v>
      </c>
      <c r="AQ559" s="48" t="b">
        <v>0</v>
      </c>
      <c r="AR559" s="48">
        <v>0</v>
      </c>
      <c r="AS559" s="48" t="b">
        <v>0</v>
      </c>
      <c r="AT559" s="7" t="b">
        <v>0</v>
      </c>
      <c r="AU559" s="40" t="str" cm="1">
        <f t="array" ref="AU559">_xlfn.XLOOKUP(PROPERTIES[[#This Row],[VEHIDCODE]],GRAPHICS_PROPERTIES[VEHIDCODE],GRAPHICS_PROPERTIES[TEMPLATE_ID]&amp;GRAPHICS_PROPERTIES[TEMPLATE_AMENDMENT_CODE])</f>
        <v>TPL_02A</v>
      </c>
    </row>
    <row r="560" spans="1:47" x14ac:dyDescent="0.35">
      <c r="A560" s="2" t="s">
        <v>3192</v>
      </c>
      <c r="B560">
        <v>1995</v>
      </c>
      <c r="D560" cm="1">
        <f t="array" ref="D5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60" s="40" t="str">
        <f>_xlfn.XLOOKUP(PROPERTIES[[#This Row],[VEHIDCODE]],CONTROL[VEHIDCODE],CONTROL[ENGLISH])</f>
        <v>GEC-Alsthom Thalys PBKA</v>
      </c>
      <c r="F560" t="s">
        <v>602</v>
      </c>
      <c r="G560" s="40" t="str">
        <f>_xlfn.XLOOKUP(PROPERTIES[[#This Row],[COUNTRY]],COUNTRIES[COUNTRY_DESCRIPTION],COUNTRIES[COUNTRY_LABEL],"")</f>
        <v>FR</v>
      </c>
      <c r="H560" t="str" cm="1">
        <f t="array" ref="H5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60" t="s">
        <v>17</v>
      </c>
      <c r="J560">
        <v>0</v>
      </c>
      <c r="K560">
        <v>8</v>
      </c>
      <c r="M560" t="str" cm="1">
        <f t="array" ref="M5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60">
        <f>_xlfn.XLOOKUP("LOADINGSPEEDDEF_"&amp;PROPERTIES[[#This Row],[LOADINGSPEED]],LOADINGSPEEDDEF[TYPE],LOADINGSPEEDDEF[SPEED])</f>
        <v>20</v>
      </c>
      <c r="O560" t="str" cm="1">
        <f t="array" ref="O5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0">
        <f>IF(ISNUMBER(SEARCH("passenger",PROPERTIES[[#This Row],[CARGODEF]])),1,0)</f>
        <v>0</v>
      </c>
      <c r="Q560" s="23">
        <v>68</v>
      </c>
      <c r="R560">
        <v>11800</v>
      </c>
      <c r="S560">
        <v>6920</v>
      </c>
      <c r="T560">
        <v>4930</v>
      </c>
      <c r="U560">
        <v>0</v>
      </c>
      <c r="V560">
        <v>300</v>
      </c>
      <c r="W560">
        <v>0</v>
      </c>
      <c r="X560">
        <v>0</v>
      </c>
      <c r="Y560">
        <v>0</v>
      </c>
      <c r="Z560" s="20">
        <f>210/2</f>
        <v>105</v>
      </c>
      <c r="AA560" s="19">
        <f>IFERROR(PROPERTIES[[#This Row],[TE_STARTING_KN]]/(PROPERTIES[[#This Row],[WEIGHT]]*9.81),0)</f>
        <v>0.15740241050548659</v>
      </c>
      <c r="AB560" s="19">
        <v>0</v>
      </c>
      <c r="AC560" s="16">
        <f>ROUND(IF(IFERROR(PROPERTIES[[#This Row],[TE_COEFFICIENT_CALC]],0)=0,PROPERTIES[[#This Row],[TE_COEFFICIENT_MANUAL]],PROPERTIES[[#This Row],[TE_COEFFICIENT_CALC]]),3)</f>
        <v>0.157</v>
      </c>
      <c r="AD560" s="8" cm="1">
        <f t="array" ref="AD5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60" s="26">
        <v>47</v>
      </c>
      <c r="AF560" s="6">
        <v>6</v>
      </c>
      <c r="AG560" t="s">
        <v>230</v>
      </c>
      <c r="AH560" t="s">
        <v>229</v>
      </c>
      <c r="AI560" t="s">
        <v>229</v>
      </c>
      <c r="AJ560" s="2" t="s">
        <v>229</v>
      </c>
      <c r="AK560" s="2" t="s">
        <v>244</v>
      </c>
      <c r="AL56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6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60" s="2" t="str">
        <f>SUBSTITUTE(SUBSTITUTE(PROPERTIES[[#This Row],[PURCHASECOST_VALUE]], "PURCHASECOST_", ""), "_VALUE", "")</f>
        <v>EMU</v>
      </c>
      <c r="AO560" s="44" t="b">
        <v>0</v>
      </c>
      <c r="AP560" s="48" t="b">
        <v>0</v>
      </c>
      <c r="AQ560" s="48" t="b">
        <v>0</v>
      </c>
      <c r="AR560" s="48">
        <v>0</v>
      </c>
      <c r="AS560" s="48" t="b">
        <v>0</v>
      </c>
      <c r="AT560" s="7" t="b">
        <v>0</v>
      </c>
      <c r="AU560" s="40" t="str" cm="1">
        <f t="array" ref="AU560">_xlfn.XLOOKUP(PROPERTIES[[#This Row],[VEHIDCODE]],GRAPHICS_PROPERTIES[VEHIDCODE],GRAPHICS_PROPERTIES[TEMPLATE_ID]&amp;GRAPHICS_PROPERTIES[TEMPLATE_AMENDMENT_CODE])</f>
        <v>TPL_02E</v>
      </c>
    </row>
    <row r="561" spans="1:47" x14ac:dyDescent="0.35">
      <c r="A561" s="2" t="s">
        <v>3193</v>
      </c>
      <c r="B561">
        <v>1995</v>
      </c>
      <c r="D561" cm="1">
        <f t="array" ref="D5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61" s="40" t="str">
        <f>_xlfn.XLOOKUP(PROPERTIES[[#This Row],[VEHIDCODE]],CONTROL[VEHIDCODE],CONTROL[ENGLISH])</f>
        <v>Alsthom 'Pendolino' 680</v>
      </c>
      <c r="F561" t="s">
        <v>583</v>
      </c>
      <c r="G561" s="40" t="str">
        <f>_xlfn.XLOOKUP(PROPERTIES[[#This Row],[COUNTRY]],COUNTRIES[COUNTRY_DESCRIPTION],COUNTRIES[COUNTRY_LABEL],"")</f>
        <v>CZ</v>
      </c>
      <c r="H561" t="str" cm="1">
        <f t="array" ref="H5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61" t="s">
        <v>15</v>
      </c>
      <c r="J561">
        <v>47</v>
      </c>
      <c r="K561">
        <v>8</v>
      </c>
      <c r="M561" t="str" cm="1">
        <f t="array" ref="M5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61">
        <f>_xlfn.XLOOKUP("LOADINGSPEEDDEF_"&amp;PROPERTIES[[#This Row],[LOADINGSPEED]],LOADINGSPEEDDEF[TYPE],LOADINGSPEEDDEF[SPEED])</f>
        <v>20</v>
      </c>
      <c r="O561" t="str" cm="1">
        <f t="array" ref="O5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1">
        <f>IF(ISNUMBER(SEARCH("passenger",PROPERTIES[[#This Row],[CARGODEF]])),1,0)</f>
        <v>1</v>
      </c>
      <c r="Q561" s="23">
        <v>55</v>
      </c>
      <c r="R561">
        <v>5260</v>
      </c>
      <c r="S561">
        <v>0</v>
      </c>
      <c r="T561">
        <v>5260</v>
      </c>
      <c r="U561">
        <v>0</v>
      </c>
      <c r="V561">
        <v>200</v>
      </c>
      <c r="W561">
        <v>0</v>
      </c>
      <c r="X561">
        <v>0</v>
      </c>
      <c r="Y561">
        <v>0</v>
      </c>
      <c r="Z561" s="20">
        <v>50</v>
      </c>
      <c r="AA561" s="19">
        <f>IFERROR(PROPERTIES[[#This Row],[TE_STARTING_KN]]/(PROPERTIES[[#This Row],[WEIGHT]]*9.81),0)</f>
        <v>9.2669817440459629E-2</v>
      </c>
      <c r="AB561" s="19">
        <v>0</v>
      </c>
      <c r="AC561" s="16">
        <f>ROUND(IF(IFERROR(PROPERTIES[[#This Row],[TE_COEFFICIENT_CALC]],0)=0,PROPERTIES[[#This Row],[TE_COEFFICIENT_MANUAL]],PROPERTIES[[#This Row],[TE_COEFFICIENT_CALC]]),3)</f>
        <v>9.2999999999999999E-2</v>
      </c>
      <c r="AD561" s="8" cm="1">
        <f t="array" ref="AD5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61" s="26">
        <v>47</v>
      </c>
      <c r="AF561" s="6">
        <v>8</v>
      </c>
      <c r="AG561" t="s">
        <v>239</v>
      </c>
      <c r="AH561" t="s">
        <v>229</v>
      </c>
      <c r="AI561" t="s">
        <v>229</v>
      </c>
      <c r="AJ561" s="2" t="s">
        <v>229</v>
      </c>
      <c r="AK561" s="2" t="s">
        <v>244</v>
      </c>
      <c r="AL56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6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61" s="2" t="str">
        <f>SUBSTITUTE(SUBSTITUTE(PROPERTIES[[#This Row],[PURCHASECOST_VALUE]], "PURCHASECOST_", ""), "_VALUE", "")</f>
        <v>EMU</v>
      </c>
      <c r="AO561" s="44" t="b">
        <v>0</v>
      </c>
      <c r="AP561" s="48" t="b">
        <v>0</v>
      </c>
      <c r="AQ561" s="48" t="b">
        <v>1</v>
      </c>
      <c r="AR561" s="48">
        <v>0</v>
      </c>
      <c r="AS561" s="48" t="b">
        <v>0</v>
      </c>
      <c r="AT561" s="7" t="b">
        <v>0</v>
      </c>
      <c r="AU561" s="40" t="str" cm="1">
        <f t="array" ref="AU561">_xlfn.XLOOKUP(PROPERTIES[[#This Row],[VEHIDCODE]],GRAPHICS_PROPERTIES[VEHIDCODE],GRAPHICS_PROPERTIES[TEMPLATE_ID]&amp;GRAPHICS_PROPERTIES[TEMPLATE_AMENDMENT_CODE])</f>
        <v>TPL_02A</v>
      </c>
    </row>
    <row r="562" spans="1:47" x14ac:dyDescent="0.35">
      <c r="A562" s="2" t="s">
        <v>3194</v>
      </c>
      <c r="B562">
        <v>2001</v>
      </c>
      <c r="D562" cm="1">
        <f t="array" ref="D5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62" s="40" t="str">
        <f>_xlfn.XLOOKUP(PROPERTIES[[#This Row],[VEHIDCODE]],CONTROL[VEHIDCODE],CONTROL[ENGLISH])</f>
        <v>CAF/Alstom Class 120</v>
      </c>
      <c r="F562" t="s">
        <v>595</v>
      </c>
      <c r="G562" s="40" t="str">
        <f>_xlfn.XLOOKUP(PROPERTIES[[#This Row],[COUNTRY]],COUNTRIES[COUNTRY_DESCRIPTION],COUNTRIES[COUNTRY_LABEL],"")</f>
        <v>ES</v>
      </c>
      <c r="H562" t="str" cm="1">
        <f t="array" ref="H5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62" t="s">
        <v>15</v>
      </c>
      <c r="J562">
        <v>60</v>
      </c>
      <c r="K562">
        <v>8</v>
      </c>
      <c r="M562" t="str" cm="1">
        <f t="array" ref="M5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62">
        <f>_xlfn.XLOOKUP("LOADINGSPEEDDEF_"&amp;PROPERTIES[[#This Row],[LOADINGSPEED]],LOADINGSPEEDDEF[TYPE],LOADINGSPEEDDEF[SPEED])</f>
        <v>20</v>
      </c>
      <c r="O562" t="str" cm="1">
        <f t="array" ref="O5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2">
        <f>IF(ISNUMBER(SEARCH("passenger",PROPERTIES[[#This Row],[CARGODEF]])),1,0)</f>
        <v>1</v>
      </c>
      <c r="Q562" s="23">
        <v>61</v>
      </c>
      <c r="R562">
        <v>5400</v>
      </c>
      <c r="S562">
        <v>0</v>
      </c>
      <c r="T562">
        <v>3600</v>
      </c>
      <c r="U562">
        <v>0</v>
      </c>
      <c r="V562">
        <v>250</v>
      </c>
      <c r="W562">
        <v>0</v>
      </c>
      <c r="X562">
        <v>0</v>
      </c>
      <c r="Y562">
        <v>0</v>
      </c>
      <c r="Z562" s="20">
        <v>48</v>
      </c>
      <c r="AA562" s="19">
        <f>IFERROR(PROPERTIES[[#This Row],[TE_STARTING_KN]]/(PROPERTIES[[#This Row],[WEIGHT]]*9.81),0)</f>
        <v>8.0212563292725705E-2</v>
      </c>
      <c r="AB562" s="19">
        <v>0</v>
      </c>
      <c r="AC562" s="16">
        <f>ROUND(IF(IFERROR(PROPERTIES[[#This Row],[TE_COEFFICIENT_CALC]],0)=0,PROPERTIES[[#This Row],[TE_COEFFICIENT_MANUAL]],PROPERTIES[[#This Row],[TE_COEFFICIENT_CALC]]),3)</f>
        <v>0.08</v>
      </c>
      <c r="AD562" s="8" cm="1">
        <f t="array" ref="AD5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62" s="26">
        <v>60</v>
      </c>
      <c r="AF562" s="6">
        <v>8</v>
      </c>
      <c r="AG562" t="s">
        <v>231</v>
      </c>
      <c r="AH562" t="s">
        <v>229</v>
      </c>
      <c r="AI562" t="s">
        <v>229</v>
      </c>
      <c r="AJ562" s="2" t="s">
        <v>229</v>
      </c>
      <c r="AK562" s="2" t="s">
        <v>244</v>
      </c>
      <c r="AL56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6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62" s="2" t="str">
        <f>SUBSTITUTE(SUBSTITUTE(PROPERTIES[[#This Row],[PURCHASECOST_VALUE]], "PURCHASECOST_", ""), "_VALUE", "")</f>
        <v>EMU</v>
      </c>
      <c r="AO562" s="44" t="b">
        <v>0</v>
      </c>
      <c r="AP562" s="48" t="b">
        <v>0</v>
      </c>
      <c r="AQ562" s="48" t="b">
        <v>0</v>
      </c>
      <c r="AR562" s="48">
        <v>0</v>
      </c>
      <c r="AS562" s="48" t="b">
        <v>0</v>
      </c>
      <c r="AT562" s="7" t="b">
        <v>0</v>
      </c>
      <c r="AU562" s="40" t="str" cm="1">
        <f t="array" ref="AU562">_xlfn.XLOOKUP(PROPERTIES[[#This Row],[VEHIDCODE]],GRAPHICS_PROPERTIES[VEHIDCODE],GRAPHICS_PROPERTIES[TEMPLATE_ID]&amp;GRAPHICS_PROPERTIES[TEMPLATE_AMENDMENT_CODE])</f>
        <v>TPL_02A</v>
      </c>
    </row>
    <row r="563" spans="1:47" x14ac:dyDescent="0.35">
      <c r="A563" s="2" t="s">
        <v>3195</v>
      </c>
      <c r="B563">
        <v>1999</v>
      </c>
      <c r="C563">
        <v>2020</v>
      </c>
      <c r="D563" cm="1">
        <f t="array" ref="D5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63" s="40" t="str">
        <f>_xlfn.XLOOKUP(PROPERTIES[[#This Row],[VEHIDCODE]],CONTROL[VEHIDCODE],CONTROL[ENGLISH])</f>
        <v>Bombarier/Alstom Acela Express</v>
      </c>
      <c r="F563" t="s">
        <v>757</v>
      </c>
      <c r="G563" s="40" t="str">
        <f>_xlfn.XLOOKUP(PROPERTIES[[#This Row],[COUNTRY]],COUNTRIES[COUNTRY_DESCRIPTION],COUNTRIES[COUNTRY_LABEL],"")</f>
        <v>US</v>
      </c>
      <c r="H563" t="str" cm="1">
        <f t="array" ref="H5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63" t="s">
        <v>17</v>
      </c>
      <c r="J563">
        <v>0</v>
      </c>
      <c r="K563">
        <v>8</v>
      </c>
      <c r="M563" t="str" cm="1">
        <f t="array" ref="M5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63">
        <f>_xlfn.XLOOKUP("LOADINGSPEEDDEF_"&amp;PROPERTIES[[#This Row],[LOADINGSPEED]],LOADINGSPEEDDEF[TYPE],LOADINGSPEEDDEF[SPEED])</f>
        <v>20</v>
      </c>
      <c r="O563" t="str" cm="1">
        <f t="array" ref="O5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3">
        <f>IF(ISNUMBER(SEARCH("passenger",PROPERTIES[[#This Row],[CARGODEF]])),1,0)</f>
        <v>0</v>
      </c>
      <c r="Q563" s="23">
        <v>93</v>
      </c>
      <c r="R563">
        <v>6200</v>
      </c>
      <c r="S563">
        <v>0</v>
      </c>
      <c r="T563">
        <v>0</v>
      </c>
      <c r="U563">
        <v>0</v>
      </c>
      <c r="V563">
        <v>240</v>
      </c>
      <c r="W563">
        <v>0</v>
      </c>
      <c r="X563">
        <v>0</v>
      </c>
      <c r="Y563">
        <v>0</v>
      </c>
      <c r="Z563" s="20">
        <v>220.2</v>
      </c>
      <c r="AA563" s="19">
        <f>IFERROR(PROPERTIES[[#This Row],[TE_STARTING_KN]]/(PROPERTIES[[#This Row],[WEIGHT]]*9.81),0)</f>
        <v>0.24136003419815197</v>
      </c>
      <c r="AB563" s="19">
        <v>0</v>
      </c>
      <c r="AC563" s="16">
        <f>ROUND(IF(IFERROR(PROPERTIES[[#This Row],[TE_COEFFICIENT_CALC]],0)=0,PROPERTIES[[#This Row],[TE_COEFFICIENT_MANUAL]],PROPERTIES[[#This Row],[TE_COEFFICIENT_CALC]]),3)</f>
        <v>0.24099999999999999</v>
      </c>
      <c r="AD563" s="8" cm="1">
        <f t="array" ref="AD5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63" s="26">
        <v>50</v>
      </c>
      <c r="AF563" s="6">
        <v>8</v>
      </c>
      <c r="AG563" t="s">
        <v>235</v>
      </c>
      <c r="AH563" t="s">
        <v>229</v>
      </c>
      <c r="AI563" t="s">
        <v>229</v>
      </c>
      <c r="AJ563" s="2" t="s">
        <v>229</v>
      </c>
      <c r="AK563" s="2" t="s">
        <v>244</v>
      </c>
      <c r="AL56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6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63" s="2" t="str">
        <f>SUBSTITUTE(SUBSTITUTE(PROPERTIES[[#This Row],[PURCHASECOST_VALUE]], "PURCHASECOST_", ""), "_VALUE", "")</f>
        <v>EMU</v>
      </c>
      <c r="AO563" s="44" t="b">
        <v>0</v>
      </c>
      <c r="AP563" s="48" t="b">
        <v>0</v>
      </c>
      <c r="AQ563" s="48" t="b">
        <v>0</v>
      </c>
      <c r="AR563" s="48">
        <v>0</v>
      </c>
      <c r="AS563" s="48" t="b">
        <v>0</v>
      </c>
      <c r="AT563" s="7" t="b">
        <v>0</v>
      </c>
      <c r="AU563" s="40" t="str" cm="1">
        <f t="array" ref="AU563">_xlfn.XLOOKUP(PROPERTIES[[#This Row],[VEHIDCODE]],GRAPHICS_PROPERTIES[VEHIDCODE],GRAPHICS_PROPERTIES[TEMPLATE_ID]&amp;GRAPHICS_PROPERTIES[TEMPLATE_AMENDMENT_CODE])</f>
        <v>TPL_02A</v>
      </c>
    </row>
    <row r="564" spans="1:47" x14ac:dyDescent="0.35">
      <c r="A564" s="2" t="s">
        <v>3196</v>
      </c>
      <c r="B564">
        <v>1880</v>
      </c>
      <c r="D564" cm="1">
        <f t="array" ref="D5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4" s="40" t="str">
        <f>_xlfn.XLOOKUP(PROPERTIES[[#This Row],[VEHIDCODE]],CONTROL[VEHIDCODE],CONTROL[ENGLISH])</f>
        <v>Brooklyn Union Gate 1300</v>
      </c>
      <c r="F564" t="s">
        <v>757</v>
      </c>
      <c r="G564" s="40" t="str">
        <f>_xlfn.XLOOKUP(PROPERTIES[[#This Row],[COUNTRY]],COUNTRIES[COUNTRY_DESCRIPTION],COUNTRIES[COUNTRY_LABEL],"")</f>
        <v>US</v>
      </c>
      <c r="H564" t="str" cm="1">
        <f t="array" ref="H5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4" t="s">
        <v>22</v>
      </c>
      <c r="J564">
        <v>48</v>
      </c>
      <c r="K564">
        <v>7</v>
      </c>
      <c r="L564">
        <v>0</v>
      </c>
      <c r="M564" t="str" cm="1">
        <f t="array" ref="M5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564">
        <f>_xlfn.XLOOKUP("LOADINGSPEEDDEF_"&amp;PROPERTIES[[#This Row],[LOADINGSPEED]],LOADINGSPEEDDEF[TYPE],LOADINGSPEEDDEF[SPEED])</f>
        <v>120</v>
      </c>
      <c r="O564" cm="1">
        <f t="array" ref="O5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64">
        <f>IF(ISNUMBER(SEARCH("passenger",PROPERTIES[[#This Row],[CARGODEF]])),1,0)</f>
        <v>1</v>
      </c>
      <c r="Q564" s="23">
        <v>28</v>
      </c>
      <c r="R564">
        <v>200</v>
      </c>
      <c r="S564">
        <v>0</v>
      </c>
      <c r="T564">
        <v>0</v>
      </c>
      <c r="U564">
        <v>0</v>
      </c>
      <c r="V564">
        <v>50</v>
      </c>
      <c r="W564">
        <v>0</v>
      </c>
      <c r="X564">
        <v>0</v>
      </c>
      <c r="Y564">
        <v>0</v>
      </c>
      <c r="Z564" s="20">
        <v>25</v>
      </c>
      <c r="AA564" s="19">
        <f>IFERROR(PROPERTIES[[#This Row],[TE_STARTING_KN]]/(PROPERTIES[[#This Row],[WEIGHT]]*9.81),0)</f>
        <v>9.1014999271880004E-2</v>
      </c>
      <c r="AB564" s="19">
        <v>0</v>
      </c>
      <c r="AC564" s="16">
        <f>ROUND(IF(IFERROR(PROPERTIES[[#This Row],[TE_COEFFICIENT_CALC]],0)=0,PROPERTIES[[#This Row],[TE_COEFFICIENT_MANUAL]],PROPERTIES[[#This Row],[TE_COEFFICIENT_CALC]]),3)</f>
        <v>9.0999999999999998E-2</v>
      </c>
      <c r="AD564" s="8" cm="1">
        <f t="array" ref="AD5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564" s="26">
        <v>0</v>
      </c>
      <c r="AF564" s="6">
        <v>0</v>
      </c>
      <c r="AG564" t="s">
        <v>235</v>
      </c>
      <c r="AH564" t="s">
        <v>229</v>
      </c>
      <c r="AI564" t="s">
        <v>229</v>
      </c>
      <c r="AJ564" s="2" t="s">
        <v>229</v>
      </c>
      <c r="AK564" s="2" t="s">
        <v>244</v>
      </c>
      <c r="AL564" t="str">
        <f>"PURCHASECOST_"&amp;_xlfn.XLOOKUP(_xlfn.XLOOKUP(PROPERTIES[[#This Row],[VEHIDCODE]],CONTROL[VEHIDCODE],CONTROL[VEHID_ID_CATEGORY]),VEHICLE_ID_RANGES[ID Type],VEHICLE_ID_RANGES[COST_VALUE_TYPE])&amp;"_VALUE"</f>
        <v>PURCHASECOST_METRORAILBUS_VALUE</v>
      </c>
      <c r="AM564" t="str">
        <f>"RUNNINGCOST_"&amp;_xlfn.XLOOKUP(_xlfn.XLOOKUP(PROPERTIES[[#This Row],[VEHIDCODE]],CONTROL[VEHIDCODE],CONTROL[VEHID_ID_CATEGORY]),VEHICLE_ID_RANGES[ID Type],VEHICLE_ID_RANGES[COST_VALUE_TYPE])&amp;"_VALUE"</f>
        <v>RUNNINGCOST_METRORAILBUS_VALUE</v>
      </c>
      <c r="AN564" s="2" t="str">
        <f>SUBSTITUTE(SUBSTITUTE(PROPERTIES[[#This Row],[PURCHASECOST_VALUE]], "PURCHASECOST_", ""), "_VALUE", "")</f>
        <v>METRORAILBUS</v>
      </c>
      <c r="AO564" s="44" t="b">
        <v>0</v>
      </c>
      <c r="AP564" s="48" t="b">
        <v>0</v>
      </c>
      <c r="AQ564" s="48" t="b">
        <v>0</v>
      </c>
      <c r="AR564" s="48">
        <v>0</v>
      </c>
      <c r="AS564" s="48" t="b">
        <v>0</v>
      </c>
      <c r="AT564" s="7" t="b">
        <v>0</v>
      </c>
      <c r="AU564" s="40" t="str" cm="1">
        <f t="array" ref="AU564">_xlfn.XLOOKUP(PROPERTIES[[#This Row],[VEHIDCODE]],GRAPHICS_PROPERTIES[VEHIDCODE],GRAPHICS_PROPERTIES[TEMPLATE_ID]&amp;GRAPHICS_PROPERTIES[TEMPLATE_AMENDMENT_CODE])</f>
        <v>TPL_01B</v>
      </c>
    </row>
    <row r="565" spans="1:47" x14ac:dyDescent="0.35">
      <c r="A565" s="2" t="s">
        <v>3197</v>
      </c>
      <c r="B565">
        <v>1903</v>
      </c>
      <c r="C565">
        <v>1973</v>
      </c>
      <c r="D565" cm="1">
        <f t="array" ref="D5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5" s="40" t="str">
        <f>_xlfn.XLOOKUP(PROPERTIES[[#This Row],[VEHIDCODE]],CONTROL[VEHIDCODE],CONTROL[ENGLISH])</f>
        <v>Siemens &amp; Halske Budapest 1894 Stock</v>
      </c>
      <c r="F565" t="s">
        <v>626</v>
      </c>
      <c r="G565" s="40" t="str">
        <f>_xlfn.XLOOKUP(PROPERTIES[[#This Row],[COUNTRY]],COUNTRIES[COUNTRY_DESCRIPTION],COUNTRIES[COUNTRY_LABEL],"")</f>
        <v>HU</v>
      </c>
      <c r="H565" t="str" cm="1">
        <f t="array" ref="H5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5" t="s">
        <v>22</v>
      </c>
      <c r="J565">
        <v>46</v>
      </c>
      <c r="K565">
        <v>8</v>
      </c>
      <c r="L565">
        <v>0</v>
      </c>
      <c r="M565" t="str" cm="1">
        <f t="array" ref="M5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565">
        <f>_xlfn.XLOOKUP("LOADINGSPEEDDEF_"&amp;PROPERTIES[[#This Row],[LOADINGSPEED]],LOADINGSPEEDDEF[TYPE],LOADINGSPEEDDEF[SPEED])</f>
        <v>120</v>
      </c>
      <c r="O565" cm="1">
        <f t="array" ref="O5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65">
        <f>IF(ISNUMBER(SEARCH("passenger",PROPERTIES[[#This Row],[CARGODEF]])),1,0)</f>
        <v>1</v>
      </c>
      <c r="Q565" s="23">
        <v>16.5</v>
      </c>
      <c r="R565">
        <v>200</v>
      </c>
      <c r="S565">
        <v>0</v>
      </c>
      <c r="T565">
        <v>0</v>
      </c>
      <c r="U565">
        <v>0</v>
      </c>
      <c r="V565">
        <v>60</v>
      </c>
      <c r="W565">
        <v>0</v>
      </c>
      <c r="X565">
        <v>0</v>
      </c>
      <c r="Y565">
        <v>0</v>
      </c>
      <c r="Z565" s="20">
        <v>18</v>
      </c>
      <c r="AA565" s="19">
        <f>IFERROR(PROPERTIES[[#This Row],[TE_STARTING_KN]]/(PROPERTIES[[#This Row],[WEIGHT]]*9.81),0)</f>
        <v>0.11120378092855157</v>
      </c>
      <c r="AB565" s="19">
        <v>0</v>
      </c>
      <c r="AC565" s="16">
        <f>ROUND(IF(IFERROR(PROPERTIES[[#This Row],[TE_COEFFICIENT_CALC]],0)=0,PROPERTIES[[#This Row],[TE_COEFFICIENT_MANUAL]],PROPERTIES[[#This Row],[TE_COEFFICIENT_CALC]]),3)</f>
        <v>0.111</v>
      </c>
      <c r="AD565" s="8" cm="1">
        <f t="array" ref="AD5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70</v>
      </c>
      <c r="AE565" s="26">
        <v>0</v>
      </c>
      <c r="AF565" s="6">
        <v>0</v>
      </c>
      <c r="AG565" t="s">
        <v>236</v>
      </c>
      <c r="AH565" t="s">
        <v>229</v>
      </c>
      <c r="AI565" t="s">
        <v>229</v>
      </c>
      <c r="AJ565" s="2" t="s">
        <v>229</v>
      </c>
      <c r="AK565" s="2" t="s">
        <v>244</v>
      </c>
      <c r="AL565" t="str">
        <f>"PURCHASECOST_"&amp;_xlfn.XLOOKUP(_xlfn.XLOOKUP(PROPERTIES[[#This Row],[VEHIDCODE]],CONTROL[VEHIDCODE],CONTROL[VEHID_ID_CATEGORY]),VEHICLE_ID_RANGES[ID Type],VEHICLE_ID_RANGES[COST_VALUE_TYPE])&amp;"_VALUE"</f>
        <v>PURCHASECOST_METRORAILBUS_VALUE</v>
      </c>
      <c r="AM565" t="str">
        <f>"RUNNINGCOST_"&amp;_xlfn.XLOOKUP(_xlfn.XLOOKUP(PROPERTIES[[#This Row],[VEHIDCODE]],CONTROL[VEHIDCODE],CONTROL[VEHID_ID_CATEGORY]),VEHICLE_ID_RANGES[ID Type],VEHICLE_ID_RANGES[COST_VALUE_TYPE])&amp;"_VALUE"</f>
        <v>RUNNINGCOST_METRORAILBUS_VALUE</v>
      </c>
      <c r="AN565" s="2" t="str">
        <f>SUBSTITUTE(SUBSTITUTE(PROPERTIES[[#This Row],[PURCHASECOST_VALUE]], "PURCHASECOST_", ""), "_VALUE", "")</f>
        <v>METRORAILBUS</v>
      </c>
      <c r="AO565" s="44" t="b">
        <v>0</v>
      </c>
      <c r="AP565" s="48" t="b">
        <v>0</v>
      </c>
      <c r="AQ565" s="48" t="b">
        <v>0</v>
      </c>
      <c r="AR565" s="48">
        <v>0</v>
      </c>
      <c r="AS565" s="48" t="b">
        <v>0</v>
      </c>
      <c r="AT565" s="7" t="b">
        <v>0</v>
      </c>
      <c r="AU565" s="40" t="str" cm="1">
        <f t="array" ref="AU565">_xlfn.XLOOKUP(PROPERTIES[[#This Row],[VEHIDCODE]],GRAPHICS_PROPERTIES[VEHIDCODE],GRAPHICS_PROPERTIES[TEMPLATE_ID]&amp;GRAPHICS_PROPERTIES[TEMPLATE_AMENDMENT_CODE])</f>
        <v>TPL_01B</v>
      </c>
    </row>
    <row r="566" spans="1:47" x14ac:dyDescent="0.35">
      <c r="A566" s="2" t="s">
        <v>3198</v>
      </c>
      <c r="B566">
        <v>1907</v>
      </c>
      <c r="C566">
        <v>1953</v>
      </c>
      <c r="D566" cm="1">
        <f t="array" ref="D5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6" s="40" t="str">
        <f>_xlfn.XLOOKUP(PROPERTIES[[#This Row],[VEHIDCODE]],CONTROL[VEHIDCODE],CONTROL[ENGLISH])</f>
        <v>Chicago L Northwest Elevated 1907 Stock</v>
      </c>
      <c r="F566" t="s">
        <v>757</v>
      </c>
      <c r="G566" s="40" t="str">
        <f>_xlfn.XLOOKUP(PROPERTIES[[#This Row],[COUNTRY]],COUNTRIES[COUNTRY_DESCRIPTION],COUNTRIES[COUNTRY_LABEL],"")</f>
        <v>US</v>
      </c>
      <c r="H566" t="str" cm="1">
        <f t="array" ref="H5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6" t="s">
        <v>22</v>
      </c>
      <c r="J566">
        <v>130</v>
      </c>
      <c r="K566">
        <v>8</v>
      </c>
      <c r="L566">
        <v>0</v>
      </c>
      <c r="M566" t="str" cm="1">
        <f t="array" ref="M5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566">
        <f>_xlfn.XLOOKUP("LOADINGSPEEDDEF_"&amp;PROPERTIES[[#This Row],[LOADINGSPEED]],LOADINGSPEEDDEF[TYPE],LOADINGSPEEDDEF[SPEED])</f>
        <v>120</v>
      </c>
      <c r="O566" cm="1">
        <f t="array" ref="O5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66">
        <f>IF(ISNUMBER(SEARCH("passenger",PROPERTIES[[#This Row],[CARGODEF]])),1,0)</f>
        <v>1</v>
      </c>
      <c r="Q566" s="23">
        <v>31.5</v>
      </c>
      <c r="R566">
        <v>250</v>
      </c>
      <c r="S566">
        <v>0</v>
      </c>
      <c r="T566">
        <v>0</v>
      </c>
      <c r="U566">
        <v>0</v>
      </c>
      <c r="V566">
        <v>70</v>
      </c>
      <c r="W566">
        <v>0</v>
      </c>
      <c r="X566">
        <v>0</v>
      </c>
      <c r="Y566">
        <v>0</v>
      </c>
      <c r="Z566" s="20">
        <v>38</v>
      </c>
      <c r="AA566" s="19">
        <f>IFERROR(PROPERTIES[[#This Row],[TE_STARTING_KN]]/(PROPERTIES[[#This Row],[WEIGHT]]*9.81),0)</f>
        <v>0.12297137679400674</v>
      </c>
      <c r="AB566" s="19">
        <v>0</v>
      </c>
      <c r="AC566" s="16">
        <f>ROUND(IF(IFERROR(PROPERTIES[[#This Row],[TE_COEFFICIENT_CALC]],0)=0,PROPERTIES[[#This Row],[TE_COEFFICIENT_MANUAL]],PROPERTIES[[#This Row],[TE_COEFFICIENT_CALC]]),3)</f>
        <v>0.123</v>
      </c>
      <c r="AD566" s="8" cm="1">
        <f t="array" ref="AD5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566" s="26">
        <v>0</v>
      </c>
      <c r="AF566" s="6">
        <v>0</v>
      </c>
      <c r="AG566" t="s">
        <v>235</v>
      </c>
      <c r="AH566" t="s">
        <v>229</v>
      </c>
      <c r="AI566" t="s">
        <v>229</v>
      </c>
      <c r="AJ566" s="2" t="s">
        <v>229</v>
      </c>
      <c r="AK566" s="2" t="s">
        <v>244</v>
      </c>
      <c r="AL566" t="str">
        <f>"PURCHASECOST_"&amp;_xlfn.XLOOKUP(_xlfn.XLOOKUP(PROPERTIES[[#This Row],[VEHIDCODE]],CONTROL[VEHIDCODE],CONTROL[VEHID_ID_CATEGORY]),VEHICLE_ID_RANGES[ID Type],VEHICLE_ID_RANGES[COST_VALUE_TYPE])&amp;"_VALUE"</f>
        <v>PURCHASECOST_METRORAILBUS_VALUE</v>
      </c>
      <c r="AM566" t="str">
        <f>"RUNNINGCOST_"&amp;_xlfn.XLOOKUP(_xlfn.XLOOKUP(PROPERTIES[[#This Row],[VEHIDCODE]],CONTROL[VEHIDCODE],CONTROL[VEHID_ID_CATEGORY]),VEHICLE_ID_RANGES[ID Type],VEHICLE_ID_RANGES[COST_VALUE_TYPE])&amp;"_VALUE"</f>
        <v>RUNNINGCOST_METRORAILBUS_VALUE</v>
      </c>
      <c r="AN566" s="2" t="str">
        <f>SUBSTITUTE(SUBSTITUTE(PROPERTIES[[#This Row],[PURCHASECOST_VALUE]], "PURCHASECOST_", ""), "_VALUE", "")</f>
        <v>METRORAILBUS</v>
      </c>
      <c r="AO566" s="44" t="b">
        <v>0</v>
      </c>
      <c r="AP566" s="48" t="b">
        <v>0</v>
      </c>
      <c r="AQ566" s="48" t="b">
        <v>0</v>
      </c>
      <c r="AR566" s="48">
        <v>0</v>
      </c>
      <c r="AS566" s="48" t="b">
        <v>0</v>
      </c>
      <c r="AT566" s="7" t="b">
        <v>0</v>
      </c>
      <c r="AU566" s="40" t="str" cm="1">
        <f t="array" ref="AU566">_xlfn.XLOOKUP(PROPERTIES[[#This Row],[VEHIDCODE]],GRAPHICS_PROPERTIES[VEHIDCODE],GRAPHICS_PROPERTIES[TEMPLATE_ID]&amp;GRAPHICS_PROPERTIES[TEMPLATE_AMENDMENT_CODE])</f>
        <v>TPL_01A</v>
      </c>
    </row>
    <row r="567" spans="1:47" x14ac:dyDescent="0.35">
      <c r="A567" s="2" t="s">
        <v>3199</v>
      </c>
      <c r="B567">
        <v>1929</v>
      </c>
      <c r="C567">
        <v>1975</v>
      </c>
      <c r="D567" cm="1">
        <f t="array" ref="D5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7" s="40" t="str">
        <f>_xlfn.XLOOKUP(PROPERTIES[[#This Row],[VEHIDCODE]],CONTROL[VEHIDCODE],CONTROL[ENGLISH])</f>
        <v>Berlin U-Bahn C II</v>
      </c>
      <c r="F567" t="s">
        <v>584</v>
      </c>
      <c r="G567" s="40" t="str">
        <f>_xlfn.XLOOKUP(PROPERTIES[[#This Row],[COUNTRY]],COUNTRIES[COUNTRY_DESCRIPTION],COUNTRIES[COUNTRY_LABEL],"")</f>
        <v>DE</v>
      </c>
      <c r="H567" t="str" cm="1">
        <f t="array" ref="H5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7" t="s">
        <v>22</v>
      </c>
      <c r="J567">
        <v>157</v>
      </c>
      <c r="K567">
        <v>8</v>
      </c>
      <c r="L567">
        <v>0</v>
      </c>
      <c r="M567" t="str" cm="1">
        <f t="array" ref="M5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567">
        <f>_xlfn.XLOOKUP("LOADINGSPEEDDEF_"&amp;PROPERTIES[[#This Row],[LOADINGSPEED]],LOADINGSPEEDDEF[TYPE],LOADINGSPEEDDEF[SPEED])</f>
        <v>120</v>
      </c>
      <c r="O567" cm="1">
        <f t="array" ref="O5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67">
        <f>IF(ISNUMBER(SEARCH("passenger",PROPERTIES[[#This Row],[CARGODEF]])),1,0)</f>
        <v>1</v>
      </c>
      <c r="Q567" s="23">
        <v>45.2</v>
      </c>
      <c r="R567">
        <v>375</v>
      </c>
      <c r="S567">
        <v>0</v>
      </c>
      <c r="T567">
        <v>0</v>
      </c>
      <c r="U567">
        <v>0</v>
      </c>
      <c r="V567">
        <v>60</v>
      </c>
      <c r="W567">
        <v>0</v>
      </c>
      <c r="X567">
        <v>0</v>
      </c>
      <c r="Y567">
        <v>0</v>
      </c>
      <c r="Z567" s="20">
        <v>42</v>
      </c>
      <c r="AA567" s="19">
        <f>IFERROR(PROPERTIES[[#This Row],[TE_STARTING_KN]]/(PROPERTIES[[#This Row],[WEIGHT]]*9.81),0)</f>
        <v>9.4720034640469811E-2</v>
      </c>
      <c r="AB567" s="19">
        <v>0</v>
      </c>
      <c r="AC567" s="16">
        <f>ROUND(IF(IFERROR(PROPERTIES[[#This Row],[TE_COEFFICIENT_CALC]],0)=0,PROPERTIES[[#This Row],[TE_COEFFICIENT_MANUAL]],PROPERTIES[[#This Row],[TE_COEFFICIENT_CALC]]),3)</f>
        <v>9.5000000000000001E-2</v>
      </c>
      <c r="AD567" s="8" cm="1">
        <f t="array" ref="AD5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567" s="26">
        <v>0</v>
      </c>
      <c r="AF567" s="6">
        <v>0</v>
      </c>
      <c r="AG567" t="s">
        <v>230</v>
      </c>
      <c r="AH567" t="s">
        <v>229</v>
      </c>
      <c r="AI567" t="s">
        <v>229</v>
      </c>
      <c r="AJ567" s="2" t="s">
        <v>229</v>
      </c>
      <c r="AK567" s="2" t="s">
        <v>244</v>
      </c>
      <c r="AL567" t="str">
        <f>"PURCHASECOST_"&amp;_xlfn.XLOOKUP(_xlfn.XLOOKUP(PROPERTIES[[#This Row],[VEHIDCODE]],CONTROL[VEHIDCODE],CONTROL[VEHID_ID_CATEGORY]),VEHICLE_ID_RANGES[ID Type],VEHICLE_ID_RANGES[COST_VALUE_TYPE])&amp;"_VALUE"</f>
        <v>PURCHASECOST_METRORAILBUS_VALUE</v>
      </c>
      <c r="AM567" t="str">
        <f>"RUNNINGCOST_"&amp;_xlfn.XLOOKUP(_xlfn.XLOOKUP(PROPERTIES[[#This Row],[VEHIDCODE]],CONTROL[VEHIDCODE],CONTROL[VEHID_ID_CATEGORY]),VEHICLE_ID_RANGES[ID Type],VEHICLE_ID_RANGES[COST_VALUE_TYPE])&amp;"_VALUE"</f>
        <v>RUNNINGCOST_METRORAILBUS_VALUE</v>
      </c>
      <c r="AN567" s="2" t="str">
        <f>SUBSTITUTE(SUBSTITUTE(PROPERTIES[[#This Row],[PURCHASECOST_VALUE]], "PURCHASECOST_", ""), "_VALUE", "")</f>
        <v>METRORAILBUS</v>
      </c>
      <c r="AO567" s="44" t="b">
        <v>0</v>
      </c>
      <c r="AP567" s="48" t="b">
        <v>0</v>
      </c>
      <c r="AQ567" s="48" t="b">
        <v>0</v>
      </c>
      <c r="AR567" s="48">
        <v>0</v>
      </c>
      <c r="AS567" s="48" t="b">
        <v>0</v>
      </c>
      <c r="AT567" s="7" t="b">
        <v>0</v>
      </c>
      <c r="AU567" s="40" t="str" cm="1">
        <f t="array" ref="AU567">_xlfn.XLOOKUP(PROPERTIES[[#This Row],[VEHIDCODE]],GRAPHICS_PROPERTIES[VEHIDCODE],GRAPHICS_PROPERTIES[TEMPLATE_ID]&amp;GRAPHICS_PROPERTIES[TEMPLATE_AMENDMENT_CODE])</f>
        <v>TPL_01B</v>
      </c>
    </row>
    <row r="568" spans="1:47" x14ac:dyDescent="0.35">
      <c r="A568" s="2" t="s">
        <v>3200</v>
      </c>
      <c r="B568">
        <v>2040</v>
      </c>
      <c r="D568" cm="1">
        <f t="array" ref="D5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8" s="40" t="str">
        <f>_xlfn.XLOOKUP(PROPERTIES[[#This Row],[VEHIDCODE]],CONTROL[VEHIDCODE],CONTROL[ENGLISH])</f>
        <v>ACME Corp. Turbobus</v>
      </c>
      <c r="F568" t="s">
        <v>1028</v>
      </c>
      <c r="G568" s="40" t="str">
        <f>_xlfn.XLOOKUP(PROPERTIES[[#This Row],[COUNTRY]],COUNTRIES[COUNTRY_DESCRIPTION],COUNTRIES[COUNTRY_LABEL],"")</f>
        <v>WRLD</v>
      </c>
      <c r="H568" t="str" cm="1">
        <f t="array" ref="H5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8" t="s">
        <v>15</v>
      </c>
      <c r="J568">
        <v>45</v>
      </c>
      <c r="K568">
        <v>8</v>
      </c>
      <c r="M568" t="str" cm="1">
        <f t="array" ref="M5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68">
        <f>_xlfn.XLOOKUP("LOADINGSPEEDDEF_"&amp;PROPERTIES[[#This Row],[LOADINGSPEED]],LOADINGSPEEDDEF[TYPE],LOADINGSPEEDDEF[SPEED])</f>
        <v>20</v>
      </c>
      <c r="O568" t="str" cm="1">
        <f t="array" ref="O5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8">
        <f>IF(ISNUMBER(SEARCH("passenger",PROPERTIES[[#This Row],[CARGODEF]])),1,0)</f>
        <v>1</v>
      </c>
      <c r="Q568" s="23">
        <v>30</v>
      </c>
      <c r="R568">
        <v>5070</v>
      </c>
      <c r="S568">
        <v>0</v>
      </c>
      <c r="T568">
        <v>0</v>
      </c>
      <c r="U568">
        <v>0</v>
      </c>
      <c r="V568">
        <v>753</v>
      </c>
      <c r="W568">
        <v>0</v>
      </c>
      <c r="X568">
        <v>0</v>
      </c>
      <c r="Y568">
        <v>0</v>
      </c>
      <c r="Z568" s="20">
        <v>0</v>
      </c>
      <c r="AA568" s="19">
        <f>IFERROR(PROPERTIES[[#This Row],[TE_STARTING_KN]]/(PROPERTIES[[#This Row],[WEIGHT]]*9.81),0)</f>
        <v>0</v>
      </c>
      <c r="AB568" s="19">
        <v>0.28999999999999998</v>
      </c>
      <c r="AC568" s="16">
        <f>ROUND(IF(IFERROR(PROPERTIES[[#This Row],[TE_COEFFICIENT_CALC]],0)=0,PROPERTIES[[#This Row],[TE_COEFFICIENT_MANUAL]],PROPERTIES[[#This Row],[TE_COEFFICIENT_CALC]]),3)</f>
        <v>0.28999999999999998</v>
      </c>
      <c r="AD568" s="8" cm="1">
        <f t="array" ref="AD5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68" s="26">
        <v>0</v>
      </c>
      <c r="AF568" s="6">
        <v>2</v>
      </c>
      <c r="AG568" t="s">
        <v>241</v>
      </c>
      <c r="AH568" t="s">
        <v>229</v>
      </c>
      <c r="AI568" t="s">
        <v>229</v>
      </c>
      <c r="AJ568" s="2" t="s">
        <v>229</v>
      </c>
      <c r="AK568" s="2" t="s">
        <v>245</v>
      </c>
      <c r="AL568" t="str">
        <f>"PURCHASECOST_"&amp;_xlfn.XLOOKUP(_xlfn.XLOOKUP(PROPERTIES[[#This Row],[VEHIDCODE]],CONTROL[VEHIDCODE],CONTROL[VEHID_ID_CATEGORY]),VEHICLE_ID_RANGES[ID Type],VEHICLE_ID_RANGES[COST_VALUE_TYPE])&amp;"_VALUE"</f>
        <v>PURCHASECOST_MAGLEVRAILBUS_VALUE</v>
      </c>
      <c r="AM568" t="str">
        <f>"RUNNINGCOST_"&amp;_xlfn.XLOOKUP(_xlfn.XLOOKUP(PROPERTIES[[#This Row],[VEHIDCODE]],CONTROL[VEHIDCODE],CONTROL[VEHID_ID_CATEGORY]),VEHICLE_ID_RANGES[ID Type],VEHICLE_ID_RANGES[COST_VALUE_TYPE])&amp;"_VALUE"</f>
        <v>RUNNINGCOST_MAGLEVRAILBUS_VALUE</v>
      </c>
      <c r="AN568" s="2" t="str">
        <f>SUBSTITUTE(SUBSTITUTE(PROPERTIES[[#This Row],[PURCHASECOST_VALUE]], "PURCHASECOST_", ""), "_VALUE", "")</f>
        <v>MAGLEVRAILBUS</v>
      </c>
      <c r="AO568" s="44" t="b">
        <v>0</v>
      </c>
      <c r="AP568" s="48" t="b">
        <v>0</v>
      </c>
      <c r="AQ568" s="48" t="b">
        <v>0</v>
      </c>
      <c r="AR568" s="48">
        <v>0</v>
      </c>
      <c r="AS568" s="48" t="b">
        <v>0</v>
      </c>
      <c r="AT568" s="7" t="b">
        <v>0</v>
      </c>
      <c r="AU568" s="40" t="str" cm="1">
        <f t="array" ref="AU568">_xlfn.XLOOKUP(PROPERTIES[[#This Row],[VEHIDCODE]],GRAPHICS_PROPERTIES[VEHIDCODE],GRAPHICS_PROPERTIES[TEMPLATE_ID]&amp;GRAPHICS_PROPERTIES[TEMPLATE_AMENDMENT_CODE])</f>
        <v>TPL_16B</v>
      </c>
    </row>
    <row r="569" spans="1:47" x14ac:dyDescent="0.35">
      <c r="A569" s="2" t="s">
        <v>3201</v>
      </c>
      <c r="B569">
        <v>2005</v>
      </c>
      <c r="D569" cm="1">
        <f t="array" ref="D5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9" s="40" t="str">
        <f>_xlfn.XLOOKUP(PROPERTIES[[#This Row],[VEHIDCODE]],CONTROL[VEHIDCODE],CONTROL[ENGLISH])</f>
        <v>Siemens EuroSprinter ES64U4M</v>
      </c>
      <c r="F569" t="s">
        <v>584</v>
      </c>
      <c r="G569" s="40" t="str">
        <f>_xlfn.XLOOKUP(PROPERTIES[[#This Row],[COUNTRY]],COUNTRIES[COUNTRY_DESCRIPTION],COUNTRIES[COUNTRY_LABEL],"")</f>
        <v>DE</v>
      </c>
      <c r="H569" t="str" cm="1">
        <f t="array" ref="H5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9" t="s">
        <v>17</v>
      </c>
      <c r="J569">
        <v>0</v>
      </c>
      <c r="K569">
        <v>8</v>
      </c>
      <c r="L569">
        <v>0</v>
      </c>
      <c r="M569" t="str" cm="1">
        <f t="array" ref="M5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69">
        <f>_xlfn.XLOOKUP("LOADINGSPEEDDEF_"&amp;PROPERTIES[[#This Row],[LOADINGSPEED]],LOADINGSPEEDDEF[TYPE],LOADINGSPEEDDEF[SPEED])</f>
        <v>20</v>
      </c>
      <c r="O569" t="str" cm="1">
        <f t="array" ref="O5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9">
        <f>IF(ISNUMBER(SEARCH("passenger",PROPERTIES[[#This Row],[CARGODEF]])),1,0)</f>
        <v>0</v>
      </c>
      <c r="Q569" s="23">
        <v>90</v>
      </c>
      <c r="R569">
        <v>18875</v>
      </c>
      <c r="S569">
        <v>0</v>
      </c>
      <c r="T569">
        <v>0</v>
      </c>
      <c r="U569">
        <v>0</v>
      </c>
      <c r="V569">
        <v>250</v>
      </c>
      <c r="W569">
        <v>0</v>
      </c>
      <c r="X569">
        <v>0</v>
      </c>
      <c r="Y569">
        <v>0</v>
      </c>
      <c r="Z569" s="20">
        <v>600</v>
      </c>
      <c r="AA569" s="19">
        <f>IFERROR(PROPERTIES[[#This Row],[TE_STARTING_KN]]/(PROPERTIES[[#This Row],[WEIGHT]]*9.81),0)</f>
        <v>0.6795786612300373</v>
      </c>
      <c r="AB569" s="19">
        <v>0</v>
      </c>
      <c r="AC569" s="16">
        <f>ROUND(IF(IFERROR(PROPERTIES[[#This Row],[TE_COEFFICIENT_CALC]],0)=0,PROPERTIES[[#This Row],[TE_COEFFICIENT_MANUAL]],PROPERTIES[[#This Row],[TE_COEFFICIENT_CALC]]),3)</f>
        <v>0.68</v>
      </c>
      <c r="AD569" s="8" cm="1">
        <f t="array" ref="AD5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69" s="26">
        <v>0</v>
      </c>
      <c r="AF569" s="6">
        <v>0</v>
      </c>
      <c r="AG569" t="s">
        <v>230</v>
      </c>
      <c r="AH569" t="s">
        <v>229</v>
      </c>
      <c r="AI569" t="s">
        <v>229</v>
      </c>
      <c r="AJ569" s="2" t="s">
        <v>229</v>
      </c>
      <c r="AK569" s="2" t="s">
        <v>245</v>
      </c>
      <c r="AL569" t="str">
        <f>"PURCHASECOST_"&amp;_xlfn.XLOOKUP(_xlfn.XLOOKUP(PROPERTIES[[#This Row],[VEHIDCODE]],CONTROL[VEHIDCODE],CONTROL[VEHID_ID_CATEGORY]),VEHICLE_ID_RANGES[ID Type],VEHICLE_ID_RANGES[COST_VALUE_TYPE])&amp;"_VALUE"</f>
        <v>PURCHASECOST_MAGLEVENGINE_VALUE</v>
      </c>
      <c r="AM569" t="str">
        <f>"RUNNINGCOST_"&amp;_xlfn.XLOOKUP(_xlfn.XLOOKUP(PROPERTIES[[#This Row],[VEHIDCODE]],CONTROL[VEHIDCODE],CONTROL[VEHID_ID_CATEGORY]),VEHICLE_ID_RANGES[ID Type],VEHICLE_ID_RANGES[COST_VALUE_TYPE])&amp;"_VALUE"</f>
        <v>RUNNINGCOST_MAGLEVENGINE_VALUE</v>
      </c>
      <c r="AN569" s="2" t="str">
        <f>SUBSTITUTE(SUBSTITUTE(PROPERTIES[[#This Row],[PURCHASECOST_VALUE]], "PURCHASECOST_", ""), "_VALUE", "")</f>
        <v>MAGLEVENGINE</v>
      </c>
      <c r="AO569" s="44" t="b">
        <v>0</v>
      </c>
      <c r="AP569" s="48" t="b">
        <v>0</v>
      </c>
      <c r="AQ569" s="48" t="b">
        <v>0</v>
      </c>
      <c r="AR569" s="48">
        <v>0</v>
      </c>
      <c r="AS569" s="48" t="b">
        <v>0</v>
      </c>
      <c r="AT569" s="7" t="b">
        <v>0</v>
      </c>
      <c r="AU569" s="40" t="str" cm="1">
        <f t="array" ref="AU569">_xlfn.XLOOKUP(PROPERTIES[[#This Row],[VEHIDCODE]],GRAPHICS_PROPERTIES[VEHIDCODE],GRAPHICS_PROPERTIES[TEMPLATE_ID]&amp;GRAPHICS_PROPERTIES[TEMPLATE_AMENDMENT_CODE])</f>
        <v>TPL_01A</v>
      </c>
    </row>
    <row r="570" spans="1:47" x14ac:dyDescent="0.35">
      <c r="A570" s="2" t="s">
        <v>3202</v>
      </c>
      <c r="B570">
        <v>2004</v>
      </c>
      <c r="D570" cm="1">
        <f t="array" ref="D5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70" s="40" t="str">
        <f>_xlfn.XLOOKUP(PROPERTIES[[#This Row],[VEHIDCODE]],CONTROL[VEHIDCODE],CONTROL[ENGLISH])</f>
        <v>Siemens-Thyssenkrupp Transrapid</v>
      </c>
      <c r="F570" t="s">
        <v>575</v>
      </c>
      <c r="G570" s="40" t="str">
        <f>_xlfn.XLOOKUP(PROPERTIES[[#This Row],[COUNTRY]],COUNTRIES[COUNTRY_DESCRIPTION],COUNTRIES[COUNTRY_LABEL],"")</f>
        <v>CN</v>
      </c>
      <c r="H570" t="str" cm="1">
        <f t="array" ref="H5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0" t="s">
        <v>15</v>
      </c>
      <c r="J570">
        <v>50</v>
      </c>
      <c r="K570">
        <v>8</v>
      </c>
      <c r="M570" t="str" cm="1">
        <f t="array" ref="M5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70">
        <f>_xlfn.XLOOKUP("LOADINGSPEEDDEF_"&amp;PROPERTIES[[#This Row],[LOADINGSPEED]],LOADINGSPEEDDEF[TYPE],LOADINGSPEEDDEF[SPEED])</f>
        <v>20</v>
      </c>
      <c r="O570" t="str" cm="1">
        <f t="array" ref="O5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0">
        <f>IF(ISNUMBER(SEARCH("passenger",PROPERTIES[[#This Row],[CARGODEF]])),1,0)</f>
        <v>1</v>
      </c>
      <c r="Q570" s="23">
        <v>53</v>
      </c>
      <c r="R570">
        <v>13450</v>
      </c>
      <c r="S570">
        <v>0</v>
      </c>
      <c r="T570">
        <v>0</v>
      </c>
      <c r="U570">
        <v>0</v>
      </c>
      <c r="V570">
        <v>433</v>
      </c>
      <c r="W570">
        <v>0</v>
      </c>
      <c r="X570">
        <v>0</v>
      </c>
      <c r="Y570">
        <v>0</v>
      </c>
      <c r="Z570" s="20">
        <v>450</v>
      </c>
      <c r="AA570" s="19">
        <f>IFERROR(PROPERTIES[[#This Row],[TE_STARTING_KN]]/(PROPERTIES[[#This Row],[WEIGHT]]*9.81),0)</f>
        <v>0.8655011251514626</v>
      </c>
      <c r="AB570" s="19">
        <v>0</v>
      </c>
      <c r="AC570" s="16">
        <f>ROUND(IF(IFERROR(PROPERTIES[[#This Row],[TE_COEFFICIENT_CALC]],0)=0,PROPERTIES[[#This Row],[TE_COEFFICIENT_MANUAL]],PROPERTIES[[#This Row],[TE_COEFFICIENT_CALC]]),3)</f>
        <v>0.86599999999999999</v>
      </c>
      <c r="AD570" s="8" cm="1">
        <f t="array" ref="AD5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70" s="26">
        <v>55</v>
      </c>
      <c r="AF570" s="6">
        <v>8</v>
      </c>
      <c r="AG570" t="s">
        <v>238</v>
      </c>
      <c r="AH570" t="s">
        <v>230</v>
      </c>
      <c r="AI570" t="s">
        <v>229</v>
      </c>
      <c r="AJ570" s="2" t="s">
        <v>229</v>
      </c>
      <c r="AK570" s="2" t="s">
        <v>244</v>
      </c>
      <c r="AL570" t="str">
        <f>"PURCHASECOST_"&amp;_xlfn.XLOOKUP(_xlfn.XLOOKUP(PROPERTIES[[#This Row],[VEHIDCODE]],CONTROL[VEHIDCODE],CONTROL[VEHID_ID_CATEGORY]),VEHICLE_ID_RANGES[ID Type],VEHICLE_ID_RANGES[COST_VALUE_TYPE])&amp;"_VALUE"</f>
        <v>PURCHASECOST_MMU_VALUE</v>
      </c>
      <c r="AM570" t="str">
        <f>"RUNNINGCOST_"&amp;_xlfn.XLOOKUP(_xlfn.XLOOKUP(PROPERTIES[[#This Row],[VEHIDCODE]],CONTROL[VEHIDCODE],CONTROL[VEHID_ID_CATEGORY]),VEHICLE_ID_RANGES[ID Type],VEHICLE_ID_RANGES[COST_VALUE_TYPE])&amp;"_VALUE"</f>
        <v>RUNNINGCOST_MMU_VALUE</v>
      </c>
      <c r="AN570" s="2" t="str">
        <f>SUBSTITUTE(SUBSTITUTE(PROPERTIES[[#This Row],[PURCHASECOST_VALUE]], "PURCHASECOST_", ""), "_VALUE", "")</f>
        <v>MMU</v>
      </c>
      <c r="AO570" s="44" t="b">
        <v>0</v>
      </c>
      <c r="AP570" s="48" t="b">
        <v>0</v>
      </c>
      <c r="AQ570" s="48" t="b">
        <v>0</v>
      </c>
      <c r="AR570" s="48">
        <v>0</v>
      </c>
      <c r="AS570" s="48" t="b">
        <v>0</v>
      </c>
      <c r="AT570" s="7" t="b">
        <v>0</v>
      </c>
      <c r="AU570" s="40" t="str" cm="1">
        <f t="array" ref="AU570">_xlfn.XLOOKUP(PROPERTIES[[#This Row],[VEHIDCODE]],GRAPHICS_PROPERTIES[VEHIDCODE],GRAPHICS_PROPERTIES[TEMPLATE_ID]&amp;GRAPHICS_PROPERTIES[TEMPLATE_AMENDMENT_CODE])</f>
        <v>TPL_02A</v>
      </c>
    </row>
    <row r="571" spans="1:47" x14ac:dyDescent="0.35">
      <c r="A571" s="2" t="s">
        <v>3203</v>
      </c>
      <c r="B571">
        <v>2025</v>
      </c>
      <c r="D571" cm="1">
        <f t="array" ref="D5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71" s="40" t="str">
        <f>_xlfn.XLOOKUP(PROPERTIES[[#This Row],[VEHIDCODE]],CONTROL[VEHIDCODE],CONTROL[ENGLISH])</f>
        <v>Mistubishi/Nippon Sharyo MLX01-901</v>
      </c>
      <c r="F571" t="s">
        <v>640</v>
      </c>
      <c r="G571" s="40" t="str">
        <f>_xlfn.XLOOKUP(PROPERTIES[[#This Row],[COUNTRY]],COUNTRIES[COUNTRY_DESCRIPTION],COUNTRIES[COUNTRY_LABEL],"")</f>
        <v>JP</v>
      </c>
      <c r="H571" t="str" cm="1">
        <f t="array" ref="H5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1" t="s">
        <v>15</v>
      </c>
      <c r="J571">
        <f>38/2</f>
        <v>19</v>
      </c>
      <c r="K571">
        <v>8</v>
      </c>
      <c r="M571" t="str" cm="1">
        <f t="array" ref="M5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71">
        <f>_xlfn.XLOOKUP("LOADINGSPEEDDEF_"&amp;PROPERTIES[[#This Row],[LOADINGSPEED]],LOADINGSPEEDDEF[TYPE],LOADINGSPEEDDEF[SPEED])</f>
        <v>20</v>
      </c>
      <c r="O571" t="str" cm="1">
        <f t="array" ref="O5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1">
        <f>IF(ISNUMBER(SEARCH("passenger",PROPERTIES[[#This Row],[CARGODEF]])),1,0)</f>
        <v>1</v>
      </c>
      <c r="Q571" s="23">
        <v>72</v>
      </c>
      <c r="R571">
        <v>20115</v>
      </c>
      <c r="S571">
        <v>0</v>
      </c>
      <c r="T571">
        <v>0</v>
      </c>
      <c r="U571">
        <v>0</v>
      </c>
      <c r="V571">
        <v>500</v>
      </c>
      <c r="W571">
        <v>0</v>
      </c>
      <c r="X571">
        <v>0</v>
      </c>
      <c r="Y571">
        <v>0</v>
      </c>
      <c r="Z571" s="20">
        <v>500</v>
      </c>
      <c r="AA571" s="19">
        <f>IFERROR(PROPERTIES[[#This Row],[TE_STARTING_KN]]/(PROPERTIES[[#This Row],[WEIGHT]]*9.81),0)</f>
        <v>0.70789443878128888</v>
      </c>
      <c r="AB571" s="19">
        <v>0</v>
      </c>
      <c r="AC571" s="16">
        <f>ROUND(IF(IFERROR(PROPERTIES[[#This Row],[TE_COEFFICIENT_CALC]],0)=0,PROPERTIES[[#This Row],[TE_COEFFICIENT_MANUAL]],PROPERTIES[[#This Row],[TE_COEFFICIENT_CALC]]),3)</f>
        <v>0.70799999999999996</v>
      </c>
      <c r="AD571" s="8" cm="1">
        <f t="array" ref="AD5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71" s="26">
        <v>60</v>
      </c>
      <c r="AF571" s="6">
        <v>8</v>
      </c>
      <c r="AG571" t="s">
        <v>238</v>
      </c>
      <c r="AH571" t="s">
        <v>229</v>
      </c>
      <c r="AI571" t="s">
        <v>229</v>
      </c>
      <c r="AJ571" s="2" t="s">
        <v>229</v>
      </c>
      <c r="AK571" s="2" t="s">
        <v>245</v>
      </c>
      <c r="AL571" t="str">
        <f>"PURCHASECOST_"&amp;_xlfn.XLOOKUP(_xlfn.XLOOKUP(PROPERTIES[[#This Row],[VEHIDCODE]],CONTROL[VEHIDCODE],CONTROL[VEHID_ID_CATEGORY]),VEHICLE_ID_RANGES[ID Type],VEHICLE_ID_RANGES[COST_VALUE_TYPE])&amp;"_VALUE"</f>
        <v>PURCHASECOST_MMU_VALUE</v>
      </c>
      <c r="AM571" t="str">
        <f>"RUNNINGCOST_"&amp;_xlfn.XLOOKUP(_xlfn.XLOOKUP(PROPERTIES[[#This Row],[VEHIDCODE]],CONTROL[VEHIDCODE],CONTROL[VEHID_ID_CATEGORY]),VEHICLE_ID_RANGES[ID Type],VEHICLE_ID_RANGES[COST_VALUE_TYPE])&amp;"_VALUE"</f>
        <v>RUNNINGCOST_MMU_VALUE</v>
      </c>
      <c r="AN571" s="2" t="str">
        <f>SUBSTITUTE(SUBSTITUTE(PROPERTIES[[#This Row],[PURCHASECOST_VALUE]], "PURCHASECOST_", ""), "_VALUE", "")</f>
        <v>MMU</v>
      </c>
      <c r="AO571" s="44" t="b">
        <v>0</v>
      </c>
      <c r="AP571" s="48" t="b">
        <v>0</v>
      </c>
      <c r="AQ571" s="48" t="b">
        <v>0</v>
      </c>
      <c r="AR571" s="48">
        <v>0</v>
      </c>
      <c r="AS571" s="48" t="b">
        <v>0</v>
      </c>
      <c r="AT571" s="7" t="b">
        <v>0</v>
      </c>
      <c r="AU571" s="40" t="str" cm="1">
        <f t="array" ref="AU571">_xlfn.XLOOKUP(PROPERTIES[[#This Row],[VEHIDCODE]],GRAPHICS_PROPERTIES[VEHIDCODE],GRAPHICS_PROPERTIES[TEMPLATE_ID]&amp;GRAPHICS_PROPERTIES[TEMPLATE_AMENDMENT_CODE])</f>
        <v>TPL_02A</v>
      </c>
    </row>
    <row r="572" spans="1:47" x14ac:dyDescent="0.35">
      <c r="A572" s="2" t="s">
        <v>227</v>
      </c>
      <c r="B572">
        <v>2010</v>
      </c>
      <c r="D572" cm="1">
        <f t="array" ref="D5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2" s="40" t="str">
        <f>_xlfn.XLOOKUP(PROPERTIES[[#This Row],[VEHIDCODE]],CONTROL[VEHIDCODE],CONTROL[ENGLISH])</f>
        <v>7th Gen Boxcar [Food]</v>
      </c>
      <c r="G572" s="40" t="str">
        <f>_xlfn.XLOOKUP(PROPERTIES[[#This Row],[COUNTRY]],COUNTRIES[COUNTRY_DESCRIPTION],COUNTRIES[COUNTRY_LABEL],"")</f>
        <v/>
      </c>
      <c r="H572" t="str" cm="1">
        <f t="array" ref="H5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2" t="s">
        <v>3672</v>
      </c>
      <c r="J572">
        <v>74</v>
      </c>
      <c r="K572">
        <v>8</v>
      </c>
      <c r="L572">
        <v>0</v>
      </c>
      <c r="M572" t="str" cm="1">
        <f t="array" ref="M5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2">
        <f>_xlfn.XLOOKUP("LOADINGSPEEDDEF_"&amp;PROPERTIES[[#This Row],[LOADINGSPEED]],LOADINGSPEEDDEF[TYPE],LOADINGSPEEDDEF[SPEED])</f>
        <v>20</v>
      </c>
      <c r="O572" t="str" cm="1">
        <f t="array" ref="O5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2">
        <f>IF(ISNUMBER(SEARCH("passenger",PROPERTIES[[#This Row],[CARGODEF]])),1,0)</f>
        <v>0</v>
      </c>
      <c r="Q572" s="23">
        <v>27</v>
      </c>
      <c r="R572">
        <v>0</v>
      </c>
      <c r="S572">
        <v>0</v>
      </c>
      <c r="T572">
        <v>0</v>
      </c>
      <c r="U572">
        <v>0</v>
      </c>
      <c r="V572">
        <v>180</v>
      </c>
      <c r="W572">
        <v>0</v>
      </c>
      <c r="X572">
        <v>0</v>
      </c>
      <c r="Y572">
        <v>0</v>
      </c>
      <c r="Z572" s="20">
        <v>0</v>
      </c>
      <c r="AA572" s="19">
        <f>IFERROR(PROPERTIES[[#This Row],[TE_STARTING_KN]]/(PROPERTIES[[#This Row],[WEIGHT]]*9.81),0)</f>
        <v>0</v>
      </c>
      <c r="AB572" s="19">
        <v>0.3</v>
      </c>
      <c r="AC572" s="16">
        <f>ROUND(IF(IFERROR(PROPERTIES[[#This Row],[TE_COEFFICIENT_CALC]],0)=0,PROPERTIES[[#This Row],[TE_COEFFICIENT_MANUAL]],PROPERTIES[[#This Row],[TE_COEFFICIENT_CALC]]),3)</f>
        <v>0.3</v>
      </c>
      <c r="AD572" s="8" cm="1">
        <f t="array" ref="AD5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2" s="26">
        <v>0</v>
      </c>
      <c r="AF572" s="6">
        <v>0</v>
      </c>
      <c r="AG572" t="s">
        <v>241</v>
      </c>
      <c r="AH572" t="s">
        <v>229</v>
      </c>
      <c r="AI572" t="s">
        <v>229</v>
      </c>
      <c r="AJ572" s="2" t="s">
        <v>229</v>
      </c>
      <c r="AK572" s="2" t="s">
        <v>245</v>
      </c>
      <c r="AL57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2" s="2" t="str">
        <f>SUBSTITUTE(SUBSTITUTE(PROPERTIES[[#This Row],[PURCHASECOST_VALUE]], "PURCHASECOST_", ""), "_VALUE", "")</f>
        <v>WAGON</v>
      </c>
      <c r="AO572" s="44" t="b">
        <v>0</v>
      </c>
      <c r="AP572" s="48" t="b">
        <v>0</v>
      </c>
      <c r="AQ572" s="48" t="b">
        <v>0</v>
      </c>
      <c r="AR572" s="48">
        <v>2</v>
      </c>
      <c r="AS572" s="48" t="b">
        <v>0</v>
      </c>
      <c r="AT572" s="7" t="b">
        <v>0</v>
      </c>
      <c r="AU572" s="40" t="str" cm="1">
        <f t="array" ref="AU572">_xlfn.XLOOKUP(PROPERTIES[[#This Row],[VEHIDCODE]],GRAPHICS_PROPERTIES[VEHIDCODE],GRAPHICS_PROPERTIES[TEMPLATE_ID]&amp;GRAPHICS_PROPERTIES[TEMPLATE_AMENDMENT_CODE])</f>
        <v>TPL_04B</v>
      </c>
    </row>
    <row r="573" spans="1:47" x14ac:dyDescent="0.35">
      <c r="A573" s="2" t="s">
        <v>211</v>
      </c>
      <c r="B573">
        <v>2010</v>
      </c>
      <c r="D573" cm="1">
        <f t="array" ref="D5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3" s="40" t="str">
        <f>_xlfn.XLOOKUP(PROPERTIES[[#This Row],[VEHIDCODE]],CONTROL[VEHIDCODE],CONTROL[ENGLISH])</f>
        <v>7th Gen Boxcar [Non-Food]</v>
      </c>
      <c r="G573" s="40" t="str">
        <f>_xlfn.XLOOKUP(PROPERTIES[[#This Row],[COUNTRY]],COUNTRIES[COUNTRY_DESCRIPTION],COUNTRIES[COUNTRY_LABEL],"")</f>
        <v/>
      </c>
      <c r="H573" t="str" cm="1">
        <f t="array" ref="H5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3" t="s">
        <v>3671</v>
      </c>
      <c r="J573">
        <v>74</v>
      </c>
      <c r="K573">
        <v>8</v>
      </c>
      <c r="L573">
        <v>0</v>
      </c>
      <c r="M573" t="str" cm="1">
        <f t="array" ref="M5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3">
        <f>_xlfn.XLOOKUP("LOADINGSPEEDDEF_"&amp;PROPERTIES[[#This Row],[LOADINGSPEED]],LOADINGSPEEDDEF[TYPE],LOADINGSPEEDDEF[SPEED])</f>
        <v>20</v>
      </c>
      <c r="O573" t="str" cm="1">
        <f t="array" ref="O5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3">
        <f>IF(ISNUMBER(SEARCH("passenger",PROPERTIES[[#This Row],[CARGODEF]])),1,0)</f>
        <v>0</v>
      </c>
      <c r="Q573" s="23">
        <v>27</v>
      </c>
      <c r="R573">
        <v>0</v>
      </c>
      <c r="S573">
        <v>0</v>
      </c>
      <c r="T573">
        <v>0</v>
      </c>
      <c r="U573">
        <v>0</v>
      </c>
      <c r="V573">
        <v>180</v>
      </c>
      <c r="W573">
        <v>0</v>
      </c>
      <c r="X573">
        <v>0</v>
      </c>
      <c r="Y573">
        <v>0</v>
      </c>
      <c r="Z573" s="20">
        <v>0</v>
      </c>
      <c r="AA573" s="19">
        <f>IFERROR(PROPERTIES[[#This Row],[TE_STARTING_KN]]/(PROPERTIES[[#This Row],[WEIGHT]]*9.81),0)</f>
        <v>0</v>
      </c>
      <c r="AB573" s="19">
        <v>0.3</v>
      </c>
      <c r="AC573" s="16">
        <f>ROUND(IF(IFERROR(PROPERTIES[[#This Row],[TE_COEFFICIENT_CALC]],0)=0,PROPERTIES[[#This Row],[TE_COEFFICIENT_MANUAL]],PROPERTIES[[#This Row],[TE_COEFFICIENT_CALC]]),3)</f>
        <v>0.3</v>
      </c>
      <c r="AD573" s="8" cm="1">
        <f t="array" ref="AD5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3" s="26">
        <v>0</v>
      </c>
      <c r="AF573" s="6">
        <v>0</v>
      </c>
      <c r="AG573" t="s">
        <v>241</v>
      </c>
      <c r="AH573" t="s">
        <v>229</v>
      </c>
      <c r="AI573" t="s">
        <v>229</v>
      </c>
      <c r="AJ573" s="2" t="s">
        <v>229</v>
      </c>
      <c r="AK573" s="2" t="s">
        <v>245</v>
      </c>
      <c r="AL57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3" s="2" t="str">
        <f>SUBSTITUTE(SUBSTITUTE(PROPERTIES[[#This Row],[PURCHASECOST_VALUE]], "PURCHASECOST_", ""), "_VALUE", "")</f>
        <v>WAGON</v>
      </c>
      <c r="AO573" s="44" t="b">
        <v>0</v>
      </c>
      <c r="AP573" s="48" t="b">
        <v>0</v>
      </c>
      <c r="AQ573" s="48" t="b">
        <v>0</v>
      </c>
      <c r="AR573" s="48">
        <v>2</v>
      </c>
      <c r="AS573" s="48" t="b">
        <v>0</v>
      </c>
      <c r="AT573" s="7" t="b">
        <v>0</v>
      </c>
      <c r="AU573" s="40" t="str" cm="1">
        <f t="array" ref="AU573">_xlfn.XLOOKUP(PROPERTIES[[#This Row],[VEHIDCODE]],GRAPHICS_PROPERTIES[VEHIDCODE],GRAPHICS_PROPERTIES[TEMPLATE_ID]&amp;GRAPHICS_PROPERTIES[TEMPLATE_AMENDMENT_CODE])</f>
        <v>TPL_04B</v>
      </c>
    </row>
    <row r="574" spans="1:47" x14ac:dyDescent="0.35">
      <c r="A574" s="2" t="s">
        <v>212</v>
      </c>
      <c r="B574">
        <v>2020</v>
      </c>
      <c r="D574" cm="1">
        <f t="array" ref="D5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4" s="40" t="str">
        <f>_xlfn.XLOOKUP(PROPERTIES[[#This Row],[VEHIDCODE]],CONTROL[VEHIDCODE],CONTROL[ENGLISH])</f>
        <v>7th Gen Car Transporter</v>
      </c>
      <c r="G574" s="40" t="str">
        <f>_xlfn.XLOOKUP(PROPERTIES[[#This Row],[COUNTRY]],COUNTRIES[COUNTRY_DESCRIPTION],COUNTRIES[COUNTRY_LABEL],"")</f>
        <v/>
      </c>
      <c r="H574" t="str" cm="1">
        <f t="array" ref="H5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4" t="s">
        <v>26</v>
      </c>
      <c r="J574">
        <v>20</v>
      </c>
      <c r="K574">
        <v>8</v>
      </c>
      <c r="L574">
        <v>0</v>
      </c>
      <c r="M574" t="str" cm="1">
        <f t="array" ref="M5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4">
        <f>_xlfn.XLOOKUP("LOADINGSPEEDDEF_"&amp;PROPERTIES[[#This Row],[LOADINGSPEED]],LOADINGSPEEDDEF[TYPE],LOADINGSPEEDDEF[SPEED])</f>
        <v>20</v>
      </c>
      <c r="O574" t="str" cm="1">
        <f t="array" ref="O5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4">
        <f>IF(ISNUMBER(SEARCH("passenger",PROPERTIES[[#This Row],[CARGODEF]])),1,0)</f>
        <v>0</v>
      </c>
      <c r="Q574" s="23">
        <v>28</v>
      </c>
      <c r="R574">
        <v>0</v>
      </c>
      <c r="S574">
        <v>0</v>
      </c>
      <c r="T574">
        <v>0</v>
      </c>
      <c r="U574">
        <v>0</v>
      </c>
      <c r="V574">
        <v>180</v>
      </c>
      <c r="W574">
        <v>0</v>
      </c>
      <c r="X574">
        <v>0</v>
      </c>
      <c r="Y574">
        <v>0</v>
      </c>
      <c r="Z574" s="20">
        <v>0</v>
      </c>
      <c r="AA574" s="19">
        <f>IFERROR(PROPERTIES[[#This Row],[TE_STARTING_KN]]/(PROPERTIES[[#This Row],[WEIGHT]]*9.81),0)</f>
        <v>0</v>
      </c>
      <c r="AB574" s="19">
        <v>0.3</v>
      </c>
      <c r="AC574" s="16">
        <f>ROUND(IF(IFERROR(PROPERTIES[[#This Row],[TE_COEFFICIENT_CALC]],0)=0,PROPERTIES[[#This Row],[TE_COEFFICIENT_MANUAL]],PROPERTIES[[#This Row],[TE_COEFFICIENT_CALC]]),3)</f>
        <v>0.3</v>
      </c>
      <c r="AD574" s="8" cm="1">
        <f t="array" ref="AD5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4" s="26">
        <v>0</v>
      </c>
      <c r="AF574" s="6">
        <v>0</v>
      </c>
      <c r="AG574" t="s">
        <v>241</v>
      </c>
      <c r="AH574" t="s">
        <v>229</v>
      </c>
      <c r="AI574" t="s">
        <v>229</v>
      </c>
      <c r="AJ574" s="2" t="s">
        <v>229</v>
      </c>
      <c r="AK574" s="2" t="s">
        <v>245</v>
      </c>
      <c r="AL57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4" s="2" t="str">
        <f>SUBSTITUTE(SUBSTITUTE(PROPERTIES[[#This Row],[PURCHASECOST_VALUE]], "PURCHASECOST_", ""), "_VALUE", "")</f>
        <v>WAGON</v>
      </c>
      <c r="AO574" s="44" t="b">
        <v>0</v>
      </c>
      <c r="AP574" s="48" t="b">
        <v>0</v>
      </c>
      <c r="AQ574" s="48" t="b">
        <v>0</v>
      </c>
      <c r="AR574" s="48">
        <v>2</v>
      </c>
      <c r="AS574" s="48" t="b">
        <v>0</v>
      </c>
      <c r="AT574" s="7" t="b">
        <v>0</v>
      </c>
      <c r="AU574" s="40" t="str" cm="1">
        <f t="array" ref="AU574">_xlfn.XLOOKUP(PROPERTIES[[#This Row],[VEHIDCODE]],GRAPHICS_PROPERTIES[VEHIDCODE],GRAPHICS_PROPERTIES[TEMPLATE_ID]&amp;GRAPHICS_PROPERTIES[TEMPLATE_AMENDMENT_CODE])</f>
        <v>TPL_04B</v>
      </c>
    </row>
    <row r="575" spans="1:47" x14ac:dyDescent="0.35">
      <c r="A575" s="2" t="s">
        <v>213</v>
      </c>
      <c r="B575">
        <v>2010</v>
      </c>
      <c r="D575" cm="1">
        <f t="array" ref="D5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5" s="40" t="str">
        <f>_xlfn.XLOOKUP(PROPERTIES[[#This Row],[VEHIDCODE]],CONTROL[VEHIDCODE],CONTROL[ENGLISH])</f>
        <v>7th Gen Centerbeam Flatcar</v>
      </c>
      <c r="G575" s="40" t="str">
        <f>_xlfn.XLOOKUP(PROPERTIES[[#This Row],[COUNTRY]],COUNTRIES[COUNTRY_DESCRIPTION],COUNTRIES[COUNTRY_LABEL],"")</f>
        <v/>
      </c>
      <c r="H575" t="str" cm="1">
        <f t="array" ref="H5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5" t="s">
        <v>27</v>
      </c>
      <c r="J575">
        <v>65</v>
      </c>
      <c r="K575">
        <v>8</v>
      </c>
      <c r="L575">
        <v>0</v>
      </c>
      <c r="M575" t="str" cm="1">
        <f t="array" ref="M5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5">
        <f>_xlfn.XLOOKUP("LOADINGSPEEDDEF_"&amp;PROPERTIES[[#This Row],[LOADINGSPEED]],LOADINGSPEEDDEF[TYPE],LOADINGSPEEDDEF[SPEED])</f>
        <v>20</v>
      </c>
      <c r="O575" t="str" cm="1">
        <f t="array" ref="O5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5">
        <f>IF(ISNUMBER(SEARCH("passenger",PROPERTIES[[#This Row],[CARGODEF]])),1,0)</f>
        <v>0</v>
      </c>
      <c r="Q575" s="23">
        <v>40</v>
      </c>
      <c r="R575">
        <v>0</v>
      </c>
      <c r="S575">
        <v>0</v>
      </c>
      <c r="T575">
        <v>0</v>
      </c>
      <c r="U575">
        <v>0</v>
      </c>
      <c r="V575">
        <v>180</v>
      </c>
      <c r="W575">
        <v>0</v>
      </c>
      <c r="X575">
        <v>0</v>
      </c>
      <c r="Y575">
        <v>0</v>
      </c>
      <c r="Z575" s="20">
        <v>0</v>
      </c>
      <c r="AA575" s="19">
        <f>IFERROR(PROPERTIES[[#This Row],[TE_STARTING_KN]]/(PROPERTIES[[#This Row],[WEIGHT]]*9.81),0)</f>
        <v>0</v>
      </c>
      <c r="AB575" s="19">
        <v>0.3</v>
      </c>
      <c r="AC575" s="16">
        <f>ROUND(IF(IFERROR(PROPERTIES[[#This Row],[TE_COEFFICIENT_CALC]],0)=0,PROPERTIES[[#This Row],[TE_COEFFICIENT_MANUAL]],PROPERTIES[[#This Row],[TE_COEFFICIENT_CALC]]),3)</f>
        <v>0.3</v>
      </c>
      <c r="AD575" s="8" cm="1">
        <f t="array" ref="AD5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5" s="26">
        <v>0</v>
      </c>
      <c r="AF575" s="6">
        <v>0</v>
      </c>
      <c r="AG575" t="s">
        <v>241</v>
      </c>
      <c r="AH575" t="s">
        <v>229</v>
      </c>
      <c r="AI575" t="s">
        <v>229</v>
      </c>
      <c r="AJ575" s="2" t="s">
        <v>229</v>
      </c>
      <c r="AK575" s="2" t="s">
        <v>245</v>
      </c>
      <c r="AL57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5" s="2" t="str">
        <f>SUBSTITUTE(SUBSTITUTE(PROPERTIES[[#This Row],[PURCHASECOST_VALUE]], "PURCHASECOST_", ""), "_VALUE", "")</f>
        <v>WAGON</v>
      </c>
      <c r="AO575" s="44" t="b">
        <v>0</v>
      </c>
      <c r="AP575" s="48" t="b">
        <v>0</v>
      </c>
      <c r="AQ575" s="48" t="b">
        <v>0</v>
      </c>
      <c r="AR575" s="48">
        <v>2</v>
      </c>
      <c r="AS575" s="48" t="b">
        <v>0</v>
      </c>
      <c r="AT575" s="7" t="b">
        <v>0</v>
      </c>
      <c r="AU575" s="40" t="str" cm="1">
        <f t="array" ref="AU575">_xlfn.XLOOKUP(PROPERTIES[[#This Row],[VEHIDCODE]],GRAPHICS_PROPERTIES[VEHIDCODE],GRAPHICS_PROPERTIES[TEMPLATE_ID]&amp;GRAPHICS_PROPERTIES[TEMPLATE_AMENDMENT_CODE])</f>
        <v>TPL_04B</v>
      </c>
    </row>
    <row r="576" spans="1:47" x14ac:dyDescent="0.35">
      <c r="A576" s="2" t="s">
        <v>214</v>
      </c>
      <c r="B576">
        <v>2010</v>
      </c>
      <c r="D576" cm="1">
        <f t="array" ref="D5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6" s="40" t="str">
        <f>_xlfn.XLOOKUP(PROPERTIES[[#This Row],[VEHIDCODE]],CONTROL[VEHIDCODE],CONTROL[ENGLISH])</f>
        <v>7th Gen Container Carrier</v>
      </c>
      <c r="G576" s="40" t="str">
        <f>_xlfn.XLOOKUP(PROPERTIES[[#This Row],[COUNTRY]],COUNTRIES[COUNTRY_DESCRIPTION],COUNTRIES[COUNTRY_LABEL],"")</f>
        <v/>
      </c>
      <c r="H576" t="str" cm="1">
        <f t="array" ref="H5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6" t="s">
        <v>24</v>
      </c>
      <c r="J576">
        <v>60</v>
      </c>
      <c r="K576">
        <v>8</v>
      </c>
      <c r="L576">
        <v>0</v>
      </c>
      <c r="M576" t="str" cm="1">
        <f t="array" ref="M5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6">
        <f>_xlfn.XLOOKUP("LOADINGSPEEDDEF_"&amp;PROPERTIES[[#This Row],[LOADINGSPEED]],LOADINGSPEEDDEF[TYPE],LOADINGSPEEDDEF[SPEED])</f>
        <v>20</v>
      </c>
      <c r="O576" t="str" cm="1">
        <f t="array" ref="O5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6">
        <f>IF(ISNUMBER(SEARCH("passenger",PROPERTIES[[#This Row],[CARGODEF]])),1,0)</f>
        <v>0</v>
      </c>
      <c r="Q576" s="23">
        <v>22</v>
      </c>
      <c r="R576">
        <v>0</v>
      </c>
      <c r="S576">
        <v>0</v>
      </c>
      <c r="T576">
        <v>0</v>
      </c>
      <c r="U576">
        <v>0</v>
      </c>
      <c r="V576">
        <v>180</v>
      </c>
      <c r="W576">
        <v>0</v>
      </c>
      <c r="X576">
        <v>0</v>
      </c>
      <c r="Y576">
        <v>0</v>
      </c>
      <c r="Z576" s="20">
        <v>0</v>
      </c>
      <c r="AA576" s="19">
        <f>IFERROR(PROPERTIES[[#This Row],[TE_STARTING_KN]]/(PROPERTIES[[#This Row],[WEIGHT]]*9.81),0)</f>
        <v>0</v>
      </c>
      <c r="AB576" s="19">
        <v>0.3</v>
      </c>
      <c r="AC576" s="16">
        <f>ROUND(IF(IFERROR(PROPERTIES[[#This Row],[TE_COEFFICIENT_CALC]],0)=0,PROPERTIES[[#This Row],[TE_COEFFICIENT_MANUAL]],PROPERTIES[[#This Row],[TE_COEFFICIENT_CALC]]),3)</f>
        <v>0.3</v>
      </c>
      <c r="AD576" s="8" cm="1">
        <f t="array" ref="AD5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6" s="26">
        <v>0</v>
      </c>
      <c r="AF576" s="6">
        <v>0</v>
      </c>
      <c r="AG576" t="s">
        <v>241</v>
      </c>
      <c r="AH576" t="s">
        <v>229</v>
      </c>
      <c r="AI576" t="s">
        <v>229</v>
      </c>
      <c r="AJ576" s="2" t="s">
        <v>229</v>
      </c>
      <c r="AK576" s="2" t="s">
        <v>245</v>
      </c>
      <c r="AL57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6" s="2" t="str">
        <f>SUBSTITUTE(SUBSTITUTE(PROPERTIES[[#This Row],[PURCHASECOST_VALUE]], "PURCHASECOST_", ""), "_VALUE", "")</f>
        <v>WAGON</v>
      </c>
      <c r="AO576" s="44" t="b">
        <v>0</v>
      </c>
      <c r="AP576" s="48" t="b">
        <v>0</v>
      </c>
      <c r="AQ576" s="48" t="b">
        <v>0</v>
      </c>
      <c r="AR576" s="48">
        <v>2</v>
      </c>
      <c r="AS576" s="48" t="b">
        <v>0</v>
      </c>
      <c r="AT576" s="7" t="b">
        <v>0</v>
      </c>
      <c r="AU576" s="40" t="str" cm="1">
        <f t="array" ref="AU576">_xlfn.XLOOKUP(PROPERTIES[[#This Row],[VEHIDCODE]],GRAPHICS_PROPERTIES[VEHIDCODE],GRAPHICS_PROPERTIES[TEMPLATE_ID]&amp;GRAPHICS_PROPERTIES[TEMPLATE_AMENDMENT_CODE])</f>
        <v>TPL_04B</v>
      </c>
    </row>
    <row r="577" spans="1:47" x14ac:dyDescent="0.35">
      <c r="A577" s="2" t="s">
        <v>215</v>
      </c>
      <c r="B577">
        <v>2000</v>
      </c>
      <c r="D577" cm="1">
        <f t="array" ref="D5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7" s="40" t="str">
        <f>_xlfn.XLOOKUP(PROPERTIES[[#This Row],[VEHIDCODE]],CONTROL[VEHIDCODE],CONTROL[ENGLISH])</f>
        <v>7th Gen Container Doublestack</v>
      </c>
      <c r="G577" s="40" t="str">
        <f>_xlfn.XLOOKUP(PROPERTIES[[#This Row],[COUNTRY]],COUNTRIES[COUNTRY_DESCRIPTION],COUNTRIES[COUNTRY_LABEL],"")</f>
        <v/>
      </c>
      <c r="H577" t="str" cm="1">
        <f t="array" ref="H5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7" t="s">
        <v>28</v>
      </c>
      <c r="J577">
        <v>75</v>
      </c>
      <c r="K577">
        <v>8</v>
      </c>
      <c r="L577">
        <v>0</v>
      </c>
      <c r="M577" t="str" cm="1">
        <f t="array" ref="M5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7">
        <f>_xlfn.XLOOKUP("LOADINGSPEEDDEF_"&amp;PROPERTIES[[#This Row],[LOADINGSPEED]],LOADINGSPEEDDEF[TYPE],LOADINGSPEEDDEF[SPEED])</f>
        <v>20</v>
      </c>
      <c r="O577" t="str" cm="1">
        <f t="array" ref="O5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7">
        <f>IF(ISNUMBER(SEARCH("passenger",PROPERTIES[[#This Row],[CARGODEF]])),1,0)</f>
        <v>0</v>
      </c>
      <c r="Q577" s="23">
        <v>25</v>
      </c>
      <c r="R577">
        <v>0</v>
      </c>
      <c r="S577">
        <v>0</v>
      </c>
      <c r="T577">
        <v>0</v>
      </c>
      <c r="U577">
        <v>0</v>
      </c>
      <c r="V577">
        <v>180</v>
      </c>
      <c r="W577">
        <v>0</v>
      </c>
      <c r="X577">
        <v>0</v>
      </c>
      <c r="Y577">
        <v>0</v>
      </c>
      <c r="Z577" s="20">
        <v>0</v>
      </c>
      <c r="AA577" s="19">
        <f>IFERROR(PROPERTIES[[#This Row],[TE_STARTING_KN]]/(PROPERTIES[[#This Row],[WEIGHT]]*9.81),0)</f>
        <v>0</v>
      </c>
      <c r="AB577" s="19">
        <v>0.3</v>
      </c>
      <c r="AC577" s="16">
        <f>ROUND(IF(IFERROR(PROPERTIES[[#This Row],[TE_COEFFICIENT_CALC]],0)=0,PROPERTIES[[#This Row],[TE_COEFFICIENT_MANUAL]],PROPERTIES[[#This Row],[TE_COEFFICIENT_CALC]]),3)</f>
        <v>0.3</v>
      </c>
      <c r="AD577" s="8" cm="1">
        <f t="array" ref="AD5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7" s="26">
        <v>0</v>
      </c>
      <c r="AF577" s="6">
        <v>0</v>
      </c>
      <c r="AG577" t="s">
        <v>241</v>
      </c>
      <c r="AH577" t="s">
        <v>229</v>
      </c>
      <c r="AI577" t="s">
        <v>229</v>
      </c>
      <c r="AJ577" s="2" t="s">
        <v>229</v>
      </c>
      <c r="AK577" s="2" t="s">
        <v>245</v>
      </c>
      <c r="AL57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7" s="2" t="str">
        <f>SUBSTITUTE(SUBSTITUTE(PROPERTIES[[#This Row],[PURCHASECOST_VALUE]], "PURCHASECOST_", ""), "_VALUE", "")</f>
        <v>WAGON</v>
      </c>
      <c r="AO577" s="44" t="b">
        <v>0</v>
      </c>
      <c r="AP577" s="48" t="b">
        <v>0</v>
      </c>
      <c r="AQ577" s="48" t="b">
        <v>0</v>
      </c>
      <c r="AR577" s="48">
        <v>2</v>
      </c>
      <c r="AS577" s="48" t="b">
        <v>0</v>
      </c>
      <c r="AT577" s="7" t="b">
        <v>0</v>
      </c>
      <c r="AU577" s="40" t="str" cm="1">
        <f t="array" ref="AU577">_xlfn.XLOOKUP(PROPERTIES[[#This Row],[VEHIDCODE]],GRAPHICS_PROPERTIES[VEHIDCODE],GRAPHICS_PROPERTIES[TEMPLATE_ID]&amp;GRAPHICS_PROPERTIES[TEMPLATE_AMENDMENT_CODE])</f>
        <v>TPL_04B</v>
      </c>
    </row>
    <row r="578" spans="1:47" x14ac:dyDescent="0.35">
      <c r="A578" s="2" t="s">
        <v>216</v>
      </c>
      <c r="B578">
        <v>2010</v>
      </c>
      <c r="D578" cm="1">
        <f t="array" ref="D5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8" s="40" t="str">
        <f>_xlfn.XLOOKUP(PROPERTIES[[#This Row],[VEHIDCODE]],CONTROL[VEHIDCODE],CONTROL[ENGLISH])</f>
        <v>7th Gen Flatcar</v>
      </c>
      <c r="G578" s="40" t="str">
        <f>_xlfn.XLOOKUP(PROPERTIES[[#This Row],[COUNTRY]],COUNTRIES[COUNTRY_DESCRIPTION],COUNTRIES[COUNTRY_LABEL],"")</f>
        <v/>
      </c>
      <c r="H578" t="str" cm="1">
        <f t="array" ref="H5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8" t="s">
        <v>29</v>
      </c>
      <c r="J578">
        <v>72</v>
      </c>
      <c r="K578">
        <v>8</v>
      </c>
      <c r="L578">
        <v>0</v>
      </c>
      <c r="M578" t="str" cm="1">
        <f t="array" ref="M5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8">
        <f>_xlfn.XLOOKUP("LOADINGSPEEDDEF_"&amp;PROPERTIES[[#This Row],[LOADINGSPEED]],LOADINGSPEEDDEF[TYPE],LOADINGSPEEDDEF[SPEED])</f>
        <v>20</v>
      </c>
      <c r="O578" t="str" cm="1">
        <f t="array" ref="O5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8">
        <f>IF(ISNUMBER(SEARCH("passenger",PROPERTIES[[#This Row],[CARGODEF]])),1,0)</f>
        <v>0</v>
      </c>
      <c r="Q578" s="23">
        <v>23</v>
      </c>
      <c r="R578">
        <v>0</v>
      </c>
      <c r="S578">
        <v>0</v>
      </c>
      <c r="T578">
        <v>0</v>
      </c>
      <c r="U578">
        <v>0</v>
      </c>
      <c r="V578">
        <v>180</v>
      </c>
      <c r="W578">
        <v>0</v>
      </c>
      <c r="X578">
        <v>0</v>
      </c>
      <c r="Y578">
        <v>0</v>
      </c>
      <c r="Z578" s="20">
        <v>0</v>
      </c>
      <c r="AA578" s="19">
        <f>IFERROR(PROPERTIES[[#This Row],[TE_STARTING_KN]]/(PROPERTIES[[#This Row],[WEIGHT]]*9.81),0)</f>
        <v>0</v>
      </c>
      <c r="AB578" s="19">
        <v>0.3</v>
      </c>
      <c r="AC578" s="16">
        <f>ROUND(IF(IFERROR(PROPERTIES[[#This Row],[TE_COEFFICIENT_CALC]],0)=0,PROPERTIES[[#This Row],[TE_COEFFICIENT_MANUAL]],PROPERTIES[[#This Row],[TE_COEFFICIENT_CALC]]),3)</f>
        <v>0.3</v>
      </c>
      <c r="AD578" s="8" cm="1">
        <f t="array" ref="AD5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8" s="26">
        <v>0</v>
      </c>
      <c r="AF578" s="6">
        <v>0</v>
      </c>
      <c r="AG578" t="s">
        <v>241</v>
      </c>
      <c r="AH578" t="s">
        <v>229</v>
      </c>
      <c r="AI578" t="s">
        <v>229</v>
      </c>
      <c r="AJ578" s="2" t="s">
        <v>229</v>
      </c>
      <c r="AK578" s="2" t="s">
        <v>245</v>
      </c>
      <c r="AL57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8" s="2" t="str">
        <f>SUBSTITUTE(SUBSTITUTE(PROPERTIES[[#This Row],[PURCHASECOST_VALUE]], "PURCHASECOST_", ""), "_VALUE", "")</f>
        <v>WAGON</v>
      </c>
      <c r="AO578" s="44" t="b">
        <v>0</v>
      </c>
      <c r="AP578" s="48" t="b">
        <v>0</v>
      </c>
      <c r="AQ578" s="48" t="b">
        <v>0</v>
      </c>
      <c r="AR578" s="48">
        <v>2</v>
      </c>
      <c r="AS578" s="48" t="b">
        <v>0</v>
      </c>
      <c r="AT578" s="7" t="b">
        <v>0</v>
      </c>
      <c r="AU578" s="40" t="str" cm="1">
        <f t="array" ref="AU578">_xlfn.XLOOKUP(PROPERTIES[[#This Row],[VEHIDCODE]],GRAPHICS_PROPERTIES[VEHIDCODE],GRAPHICS_PROPERTIES[TEMPLATE_ID]&amp;GRAPHICS_PROPERTIES[TEMPLATE_AMENDMENT_CODE])</f>
        <v>TPL_04B</v>
      </c>
    </row>
    <row r="579" spans="1:47" x14ac:dyDescent="0.35">
      <c r="A579" s="2" t="s">
        <v>217</v>
      </c>
      <c r="B579">
        <v>2010</v>
      </c>
      <c r="D579" cm="1">
        <f t="array" ref="D5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9" s="40" t="str">
        <f>_xlfn.XLOOKUP(PROPERTIES[[#This Row],[VEHIDCODE]],CONTROL[VEHIDCODE],CONTROL[ENGLISH])</f>
        <v>7th Gen Gondola</v>
      </c>
      <c r="G579" s="40" t="str">
        <f>_xlfn.XLOOKUP(PROPERTIES[[#This Row],[COUNTRY]],COUNTRIES[COUNTRY_DESCRIPTION],COUNTRIES[COUNTRY_LABEL],"")</f>
        <v/>
      </c>
      <c r="H579" t="str" cm="1">
        <f t="array" ref="H5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9" t="s">
        <v>30</v>
      </c>
      <c r="J579">
        <v>75</v>
      </c>
      <c r="K579">
        <v>8</v>
      </c>
      <c r="L579">
        <v>0</v>
      </c>
      <c r="M579" t="str" cm="1">
        <f t="array" ref="M5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9">
        <f>_xlfn.XLOOKUP("LOADINGSPEEDDEF_"&amp;PROPERTIES[[#This Row],[LOADINGSPEED]],LOADINGSPEEDDEF[TYPE],LOADINGSPEEDDEF[SPEED])</f>
        <v>20</v>
      </c>
      <c r="O579" t="str" cm="1">
        <f t="array" ref="O5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9">
        <f>IF(ISNUMBER(SEARCH("passenger",PROPERTIES[[#This Row],[CARGODEF]])),1,0)</f>
        <v>0</v>
      </c>
      <c r="Q579" s="23">
        <v>22</v>
      </c>
      <c r="R579">
        <v>0</v>
      </c>
      <c r="S579">
        <v>0</v>
      </c>
      <c r="T579">
        <v>0</v>
      </c>
      <c r="U579">
        <v>0</v>
      </c>
      <c r="V579">
        <v>180</v>
      </c>
      <c r="W579">
        <v>0</v>
      </c>
      <c r="X579">
        <v>0</v>
      </c>
      <c r="Y579">
        <v>0</v>
      </c>
      <c r="Z579" s="20">
        <v>0</v>
      </c>
      <c r="AA579" s="19">
        <f>IFERROR(PROPERTIES[[#This Row],[TE_STARTING_KN]]/(PROPERTIES[[#This Row],[WEIGHT]]*9.81),0)</f>
        <v>0</v>
      </c>
      <c r="AB579" s="19">
        <v>0.3</v>
      </c>
      <c r="AC579" s="16">
        <f>ROUND(IF(IFERROR(PROPERTIES[[#This Row],[TE_COEFFICIENT_CALC]],0)=0,PROPERTIES[[#This Row],[TE_COEFFICIENT_MANUAL]],PROPERTIES[[#This Row],[TE_COEFFICIENT_CALC]]),3)</f>
        <v>0.3</v>
      </c>
      <c r="AD579" s="8" cm="1">
        <f t="array" ref="AD5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9" s="26">
        <v>0</v>
      </c>
      <c r="AF579" s="6">
        <v>0</v>
      </c>
      <c r="AG579" t="s">
        <v>241</v>
      </c>
      <c r="AH579" t="s">
        <v>229</v>
      </c>
      <c r="AI579" t="s">
        <v>229</v>
      </c>
      <c r="AJ579" s="2" t="s">
        <v>229</v>
      </c>
      <c r="AK579" s="2" t="s">
        <v>245</v>
      </c>
      <c r="AL57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9" s="2" t="str">
        <f>SUBSTITUTE(SUBSTITUTE(PROPERTIES[[#This Row],[PURCHASECOST_VALUE]], "PURCHASECOST_", ""), "_VALUE", "")</f>
        <v>WAGON</v>
      </c>
      <c r="AO579" s="44" t="b">
        <v>0</v>
      </c>
      <c r="AP579" s="48" t="b">
        <v>0</v>
      </c>
      <c r="AQ579" s="48" t="b">
        <v>0</v>
      </c>
      <c r="AR579" s="48">
        <v>2</v>
      </c>
      <c r="AS579" s="48" t="b">
        <v>1</v>
      </c>
      <c r="AT579" s="7" t="b">
        <v>0</v>
      </c>
      <c r="AU579" s="40" t="str" cm="1">
        <f t="array" ref="AU579">_xlfn.XLOOKUP(PROPERTIES[[#This Row],[VEHIDCODE]],GRAPHICS_PROPERTIES[VEHIDCODE],GRAPHICS_PROPERTIES[TEMPLATE_ID]&amp;GRAPHICS_PROPERTIES[TEMPLATE_AMENDMENT_CODE])</f>
        <v>TPL_04B</v>
      </c>
    </row>
    <row r="580" spans="1:47" x14ac:dyDescent="0.35">
      <c r="A580" s="2" t="s">
        <v>218</v>
      </c>
      <c r="B580">
        <v>2020</v>
      </c>
      <c r="D580" cm="1">
        <f t="array" ref="D5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0" s="40" t="str">
        <f>_xlfn.XLOOKUP(PROPERTIES[[#This Row],[VEHIDCODE]],CONTROL[VEHIDCODE],CONTROL[ENGLISH])</f>
        <v>7th Gen Heavy Flatcar</v>
      </c>
      <c r="G580" s="40" t="str">
        <f>_xlfn.XLOOKUP(PROPERTIES[[#This Row],[COUNTRY]],COUNTRIES[COUNTRY_DESCRIPTION],COUNTRIES[COUNTRY_LABEL],"")</f>
        <v/>
      </c>
      <c r="H580" t="str" cm="1">
        <f t="array" ref="H5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0" t="s">
        <v>31</v>
      </c>
      <c r="J580">
        <v>96</v>
      </c>
      <c r="K580">
        <v>8</v>
      </c>
      <c r="L580">
        <v>0</v>
      </c>
      <c r="M580" t="str" cm="1">
        <f t="array" ref="M5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0">
        <f>_xlfn.XLOOKUP("LOADINGSPEEDDEF_"&amp;PROPERTIES[[#This Row],[LOADINGSPEED]],LOADINGSPEEDDEF[TYPE],LOADINGSPEEDDEF[SPEED])</f>
        <v>20</v>
      </c>
      <c r="O580" t="str" cm="1">
        <f t="array" ref="O5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0">
        <f>IF(ISNUMBER(SEARCH("passenger",PROPERTIES[[#This Row],[CARGODEF]])),1,0)</f>
        <v>0</v>
      </c>
      <c r="Q580" s="23">
        <v>42</v>
      </c>
      <c r="R580">
        <v>0</v>
      </c>
      <c r="S580">
        <v>0</v>
      </c>
      <c r="T580">
        <v>0</v>
      </c>
      <c r="U580">
        <v>0</v>
      </c>
      <c r="V580">
        <v>160</v>
      </c>
      <c r="W580">
        <v>0</v>
      </c>
      <c r="X580">
        <v>0</v>
      </c>
      <c r="Y580">
        <v>0</v>
      </c>
      <c r="Z580" s="20">
        <v>0</v>
      </c>
      <c r="AA580" s="19">
        <f>IFERROR(PROPERTIES[[#This Row],[TE_STARTING_KN]]/(PROPERTIES[[#This Row],[WEIGHT]]*9.81),0)</f>
        <v>0</v>
      </c>
      <c r="AB580" s="19">
        <v>0.3</v>
      </c>
      <c r="AC580" s="16">
        <f>ROUND(IF(IFERROR(PROPERTIES[[#This Row],[TE_COEFFICIENT_CALC]],0)=0,PROPERTIES[[#This Row],[TE_COEFFICIENT_MANUAL]],PROPERTIES[[#This Row],[TE_COEFFICIENT_CALC]]),3)</f>
        <v>0.3</v>
      </c>
      <c r="AD580" s="8" cm="1">
        <f t="array" ref="AD5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0" s="26">
        <v>0</v>
      </c>
      <c r="AF580" s="6">
        <v>0</v>
      </c>
      <c r="AG580" t="s">
        <v>241</v>
      </c>
      <c r="AH580" t="s">
        <v>229</v>
      </c>
      <c r="AI580" t="s">
        <v>229</v>
      </c>
      <c r="AJ580" s="2" t="s">
        <v>229</v>
      </c>
      <c r="AK580" s="2" t="s">
        <v>245</v>
      </c>
      <c r="AL58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0" s="2" t="str">
        <f>SUBSTITUTE(SUBSTITUTE(PROPERTIES[[#This Row],[PURCHASECOST_VALUE]], "PURCHASECOST_", ""), "_VALUE", "")</f>
        <v>WAGON</v>
      </c>
      <c r="AO580" s="44" t="b">
        <v>0</v>
      </c>
      <c r="AP580" s="48" t="b">
        <v>0</v>
      </c>
      <c r="AQ580" s="48" t="b">
        <v>0</v>
      </c>
      <c r="AR580" s="48">
        <v>2</v>
      </c>
      <c r="AS580" s="48" t="b">
        <v>0</v>
      </c>
      <c r="AT580" s="7" t="b">
        <v>0</v>
      </c>
      <c r="AU580" s="40" t="str" cm="1">
        <f t="array" ref="AU580">_xlfn.XLOOKUP(PROPERTIES[[#This Row],[VEHIDCODE]],GRAPHICS_PROPERTIES[VEHIDCODE],GRAPHICS_PROPERTIES[TEMPLATE_ID]&amp;GRAPHICS_PROPERTIES[TEMPLATE_AMENDMENT_CODE])</f>
        <v>TPL_04B</v>
      </c>
    </row>
    <row r="581" spans="1:47" x14ac:dyDescent="0.35">
      <c r="A581" s="2" t="s">
        <v>219</v>
      </c>
      <c r="B581">
        <v>2020</v>
      </c>
      <c r="D581" cm="1">
        <f t="array" ref="D5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1" s="40" t="str">
        <f>_xlfn.XLOOKUP(PROPERTIES[[#This Row],[VEHIDCODE]],CONTROL[VEHIDCODE],CONTROL[ENGLISH])</f>
        <v>7th Gen Self-discharging Hopper [Food]</v>
      </c>
      <c r="G581" s="40" t="str">
        <f>_xlfn.XLOOKUP(PROPERTIES[[#This Row],[COUNTRY]],COUNTRIES[COUNTRY_DESCRIPTION],COUNTRIES[COUNTRY_LABEL],"")</f>
        <v/>
      </c>
      <c r="H581" t="str" cm="1">
        <f t="array" ref="H5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1" t="s">
        <v>3667</v>
      </c>
      <c r="J581">
        <v>75</v>
      </c>
      <c r="K581">
        <v>8</v>
      </c>
      <c r="L581">
        <v>0</v>
      </c>
      <c r="M581" t="str" cm="1">
        <f t="array" ref="M5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1">
        <f>_xlfn.XLOOKUP("LOADINGSPEEDDEF_"&amp;PROPERTIES[[#This Row],[LOADINGSPEED]],LOADINGSPEEDDEF[TYPE],LOADINGSPEEDDEF[SPEED])</f>
        <v>20</v>
      </c>
      <c r="O581" t="str" cm="1">
        <f t="array" ref="O5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1">
        <f>IF(ISNUMBER(SEARCH("passenger",PROPERTIES[[#This Row],[CARGODEF]])),1,0)</f>
        <v>0</v>
      </c>
      <c r="Q581" s="23">
        <v>26</v>
      </c>
      <c r="R581">
        <v>0</v>
      </c>
      <c r="S581">
        <v>0</v>
      </c>
      <c r="T581">
        <v>0</v>
      </c>
      <c r="U581">
        <v>0</v>
      </c>
      <c r="V581">
        <v>180</v>
      </c>
      <c r="W581">
        <v>0</v>
      </c>
      <c r="X581">
        <v>0</v>
      </c>
      <c r="Y581">
        <v>0</v>
      </c>
      <c r="Z581" s="20">
        <v>0</v>
      </c>
      <c r="AA581" s="19">
        <f>IFERROR(PROPERTIES[[#This Row],[TE_STARTING_KN]]/(PROPERTIES[[#This Row],[WEIGHT]]*9.81),0)</f>
        <v>0</v>
      </c>
      <c r="AB581" s="19">
        <v>0.3</v>
      </c>
      <c r="AC581" s="16">
        <f>ROUND(IF(IFERROR(PROPERTIES[[#This Row],[TE_COEFFICIENT_CALC]],0)=0,PROPERTIES[[#This Row],[TE_COEFFICIENT_MANUAL]],PROPERTIES[[#This Row],[TE_COEFFICIENT_CALC]]),3)</f>
        <v>0.3</v>
      </c>
      <c r="AD581" s="8" cm="1">
        <f t="array" ref="AD5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1" s="26">
        <v>0</v>
      </c>
      <c r="AF581" s="6">
        <v>0</v>
      </c>
      <c r="AG581" t="s">
        <v>241</v>
      </c>
      <c r="AH581" t="s">
        <v>229</v>
      </c>
      <c r="AI581" t="s">
        <v>229</v>
      </c>
      <c r="AJ581" s="2" t="s">
        <v>229</v>
      </c>
      <c r="AK581" s="2" t="s">
        <v>245</v>
      </c>
      <c r="AL58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1" s="2" t="str">
        <f>SUBSTITUTE(SUBSTITUTE(PROPERTIES[[#This Row],[PURCHASECOST_VALUE]], "PURCHASECOST_", ""), "_VALUE", "")</f>
        <v>WAGON</v>
      </c>
      <c r="AO581" s="44" t="b">
        <v>0</v>
      </c>
      <c r="AP581" s="48" t="b">
        <v>0</v>
      </c>
      <c r="AQ581" s="48" t="b">
        <v>0</v>
      </c>
      <c r="AR581" s="48">
        <v>2</v>
      </c>
      <c r="AS581" s="48" t="b">
        <v>1</v>
      </c>
      <c r="AT581" s="7" t="b">
        <v>0</v>
      </c>
      <c r="AU581" s="40" t="str" cm="1">
        <f t="array" ref="AU581">_xlfn.XLOOKUP(PROPERTIES[[#This Row],[VEHIDCODE]],GRAPHICS_PROPERTIES[VEHIDCODE],GRAPHICS_PROPERTIES[TEMPLATE_ID]&amp;GRAPHICS_PROPERTIES[TEMPLATE_AMENDMENT_CODE])</f>
        <v>TPL_04B</v>
      </c>
    </row>
    <row r="582" spans="1:47" x14ac:dyDescent="0.35">
      <c r="A582" s="2" t="s">
        <v>220</v>
      </c>
      <c r="B582">
        <v>2020</v>
      </c>
      <c r="D582" cm="1">
        <f t="array" ref="D5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2" s="40" t="str">
        <f>_xlfn.XLOOKUP(PROPERTIES[[#This Row],[VEHIDCODE]],CONTROL[VEHIDCODE],CONTROL[ENGLISH])</f>
        <v>7th Gen Self-discharging Hopper [Non-Food]</v>
      </c>
      <c r="G582" s="40" t="str">
        <f>_xlfn.XLOOKUP(PROPERTIES[[#This Row],[COUNTRY]],COUNTRIES[COUNTRY_DESCRIPTION],COUNTRIES[COUNTRY_LABEL],"")</f>
        <v/>
      </c>
      <c r="H582" t="str" cm="1">
        <f t="array" ref="H5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2" t="s">
        <v>3668</v>
      </c>
      <c r="J582">
        <v>75</v>
      </c>
      <c r="K582">
        <v>8</v>
      </c>
      <c r="L582">
        <v>0</v>
      </c>
      <c r="M582" t="str" cm="1">
        <f t="array" ref="M5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2">
        <f>_xlfn.XLOOKUP("LOADINGSPEEDDEF_"&amp;PROPERTIES[[#This Row],[LOADINGSPEED]],LOADINGSPEEDDEF[TYPE],LOADINGSPEEDDEF[SPEED])</f>
        <v>20</v>
      </c>
      <c r="O582" t="str" cm="1">
        <f t="array" ref="O5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2">
        <f>IF(ISNUMBER(SEARCH("passenger",PROPERTIES[[#This Row],[CARGODEF]])),1,0)</f>
        <v>0</v>
      </c>
      <c r="Q582" s="23">
        <v>26</v>
      </c>
      <c r="R582">
        <v>0</v>
      </c>
      <c r="S582">
        <v>0</v>
      </c>
      <c r="T582">
        <v>0</v>
      </c>
      <c r="U582">
        <v>0</v>
      </c>
      <c r="V582">
        <v>180</v>
      </c>
      <c r="W582">
        <v>0</v>
      </c>
      <c r="X582">
        <v>0</v>
      </c>
      <c r="Y582">
        <v>0</v>
      </c>
      <c r="Z582" s="20">
        <v>0</v>
      </c>
      <c r="AA582" s="19">
        <f>IFERROR(PROPERTIES[[#This Row],[TE_STARTING_KN]]/(PROPERTIES[[#This Row],[WEIGHT]]*9.81),0)</f>
        <v>0</v>
      </c>
      <c r="AB582" s="19">
        <v>0.3</v>
      </c>
      <c r="AC582" s="16">
        <f>ROUND(IF(IFERROR(PROPERTIES[[#This Row],[TE_COEFFICIENT_CALC]],0)=0,PROPERTIES[[#This Row],[TE_COEFFICIENT_MANUAL]],PROPERTIES[[#This Row],[TE_COEFFICIENT_CALC]]),3)</f>
        <v>0.3</v>
      </c>
      <c r="AD582" s="8" cm="1">
        <f t="array" ref="AD5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2" s="26">
        <v>0</v>
      </c>
      <c r="AF582" s="6">
        <v>0</v>
      </c>
      <c r="AG582" t="s">
        <v>241</v>
      </c>
      <c r="AH582" t="s">
        <v>229</v>
      </c>
      <c r="AI582" t="s">
        <v>229</v>
      </c>
      <c r="AJ582" s="2" t="s">
        <v>229</v>
      </c>
      <c r="AK582" s="2" t="s">
        <v>245</v>
      </c>
      <c r="AL58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2" s="2" t="str">
        <f>SUBSTITUTE(SUBSTITUTE(PROPERTIES[[#This Row],[PURCHASECOST_VALUE]], "PURCHASECOST_", ""), "_VALUE", "")</f>
        <v>WAGON</v>
      </c>
      <c r="AO582" s="44" t="b">
        <v>0</v>
      </c>
      <c r="AP582" s="48" t="b">
        <v>0</v>
      </c>
      <c r="AQ582" s="48" t="b">
        <v>0</v>
      </c>
      <c r="AR582" s="48">
        <v>2</v>
      </c>
      <c r="AS582" s="48" t="b">
        <v>0</v>
      </c>
      <c r="AT582" s="7" t="b">
        <v>0</v>
      </c>
      <c r="AU582" s="40" t="str" cm="1">
        <f t="array" ref="AU582">_xlfn.XLOOKUP(PROPERTIES[[#This Row],[VEHIDCODE]],GRAPHICS_PROPERTIES[VEHIDCODE],GRAPHICS_PROPERTIES[TEMPLATE_ID]&amp;GRAPHICS_PROPERTIES[TEMPLATE_AMENDMENT_CODE])</f>
        <v>TPL_04B</v>
      </c>
    </row>
    <row r="583" spans="1:47" x14ac:dyDescent="0.35">
      <c r="A583" s="2" t="s">
        <v>221</v>
      </c>
      <c r="B583">
        <v>2020</v>
      </c>
      <c r="D583" cm="1">
        <f t="array" ref="D5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3" s="40" t="str">
        <f>_xlfn.XLOOKUP(PROPERTIES[[#This Row],[VEHIDCODE]],CONTROL[VEHIDCODE],CONTROL[ENGLISH])</f>
        <v>7th Gen Silo [Food]</v>
      </c>
      <c r="G583" s="40" t="str">
        <f>_xlfn.XLOOKUP(PROPERTIES[[#This Row],[COUNTRY]],COUNTRIES[COUNTRY_DESCRIPTION],COUNTRIES[COUNTRY_LABEL],"")</f>
        <v/>
      </c>
      <c r="H583" t="str" cm="1">
        <f t="array" ref="H5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3" t="s">
        <v>3669</v>
      </c>
      <c r="J583">
        <v>75</v>
      </c>
      <c r="K583">
        <v>8</v>
      </c>
      <c r="L583">
        <v>0</v>
      </c>
      <c r="M583" t="str" cm="1">
        <f t="array" ref="M5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3">
        <f>_xlfn.XLOOKUP("LOADINGSPEEDDEF_"&amp;PROPERTIES[[#This Row],[LOADINGSPEED]],LOADINGSPEEDDEF[TYPE],LOADINGSPEEDDEF[SPEED])</f>
        <v>20</v>
      </c>
      <c r="O583" t="str" cm="1">
        <f t="array" ref="O5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3">
        <f>IF(ISNUMBER(SEARCH("passenger",PROPERTIES[[#This Row],[CARGODEF]])),1,0)</f>
        <v>0</v>
      </c>
      <c r="Q583" s="23">
        <v>27</v>
      </c>
      <c r="R583">
        <v>0</v>
      </c>
      <c r="S583">
        <v>0</v>
      </c>
      <c r="T583">
        <v>0</v>
      </c>
      <c r="U583">
        <v>0</v>
      </c>
      <c r="V583">
        <v>180</v>
      </c>
      <c r="W583">
        <v>0</v>
      </c>
      <c r="X583">
        <v>0</v>
      </c>
      <c r="Y583">
        <v>0</v>
      </c>
      <c r="Z583" s="20">
        <v>0</v>
      </c>
      <c r="AA583" s="19">
        <f>IFERROR(PROPERTIES[[#This Row],[TE_STARTING_KN]]/(PROPERTIES[[#This Row],[WEIGHT]]*9.81),0)</f>
        <v>0</v>
      </c>
      <c r="AB583" s="19">
        <v>0.3</v>
      </c>
      <c r="AC583" s="16">
        <f>ROUND(IF(IFERROR(PROPERTIES[[#This Row],[TE_COEFFICIENT_CALC]],0)=0,PROPERTIES[[#This Row],[TE_COEFFICIENT_MANUAL]],PROPERTIES[[#This Row],[TE_COEFFICIENT_CALC]]),3)</f>
        <v>0.3</v>
      </c>
      <c r="AD583" s="8" cm="1">
        <f t="array" ref="AD5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3" s="26">
        <v>0</v>
      </c>
      <c r="AF583" s="6">
        <v>0</v>
      </c>
      <c r="AG583" t="s">
        <v>241</v>
      </c>
      <c r="AH583" t="s">
        <v>229</v>
      </c>
      <c r="AI583" t="s">
        <v>229</v>
      </c>
      <c r="AJ583" s="2" t="s">
        <v>229</v>
      </c>
      <c r="AK583" s="2" t="s">
        <v>245</v>
      </c>
      <c r="AL58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3" s="2" t="str">
        <f>SUBSTITUTE(SUBSTITUTE(PROPERTIES[[#This Row],[PURCHASECOST_VALUE]], "PURCHASECOST_", ""), "_VALUE", "")</f>
        <v>WAGON</v>
      </c>
      <c r="AO583" s="44" t="b">
        <v>0</v>
      </c>
      <c r="AP583" s="48" t="b">
        <v>0</v>
      </c>
      <c r="AQ583" s="48" t="b">
        <v>0</v>
      </c>
      <c r="AR583" s="48">
        <v>2</v>
      </c>
      <c r="AS583" s="48" t="b">
        <v>0</v>
      </c>
      <c r="AT583" s="7" t="b">
        <v>0</v>
      </c>
      <c r="AU583" s="40" t="str" cm="1">
        <f t="array" ref="AU583">_xlfn.XLOOKUP(PROPERTIES[[#This Row],[VEHIDCODE]],GRAPHICS_PROPERTIES[VEHIDCODE],GRAPHICS_PROPERTIES[TEMPLATE_ID]&amp;GRAPHICS_PROPERTIES[TEMPLATE_AMENDMENT_CODE])</f>
        <v>TPL_04B</v>
      </c>
    </row>
    <row r="584" spans="1:47" x14ac:dyDescent="0.35">
      <c r="A584" s="2" t="s">
        <v>222</v>
      </c>
      <c r="B584">
        <v>2020</v>
      </c>
      <c r="D584" cm="1">
        <f t="array" ref="D5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4" s="40" t="str">
        <f>_xlfn.XLOOKUP(PROPERTIES[[#This Row],[VEHIDCODE]],CONTROL[VEHIDCODE],CONTROL[ENGLISH])</f>
        <v>7th Gen Silo [Non-Food]</v>
      </c>
      <c r="G584" s="40" t="str">
        <f>_xlfn.XLOOKUP(PROPERTIES[[#This Row],[COUNTRY]],COUNTRIES[COUNTRY_DESCRIPTION],COUNTRIES[COUNTRY_LABEL],"")</f>
        <v/>
      </c>
      <c r="H584" t="str" cm="1">
        <f t="array" ref="H5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4" t="s">
        <v>3670</v>
      </c>
      <c r="J584">
        <v>75</v>
      </c>
      <c r="K584">
        <v>8</v>
      </c>
      <c r="L584">
        <v>0</v>
      </c>
      <c r="M584" t="str" cm="1">
        <f t="array" ref="M5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4">
        <f>_xlfn.XLOOKUP("LOADINGSPEEDDEF_"&amp;PROPERTIES[[#This Row],[LOADINGSPEED]],LOADINGSPEEDDEF[TYPE],LOADINGSPEEDDEF[SPEED])</f>
        <v>20</v>
      </c>
      <c r="O584" t="str" cm="1">
        <f t="array" ref="O5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4">
        <f>IF(ISNUMBER(SEARCH("passenger",PROPERTIES[[#This Row],[CARGODEF]])),1,0)</f>
        <v>0</v>
      </c>
      <c r="Q584" s="23">
        <v>27</v>
      </c>
      <c r="R584">
        <v>0</v>
      </c>
      <c r="S584">
        <v>0</v>
      </c>
      <c r="T584">
        <v>0</v>
      </c>
      <c r="U584">
        <v>0</v>
      </c>
      <c r="V584">
        <v>180</v>
      </c>
      <c r="W584">
        <v>0</v>
      </c>
      <c r="X584">
        <v>0</v>
      </c>
      <c r="Y584">
        <v>0</v>
      </c>
      <c r="Z584" s="20">
        <v>0</v>
      </c>
      <c r="AA584" s="19">
        <f>IFERROR(PROPERTIES[[#This Row],[TE_STARTING_KN]]/(PROPERTIES[[#This Row],[WEIGHT]]*9.81),0)</f>
        <v>0</v>
      </c>
      <c r="AB584" s="19">
        <v>0.3</v>
      </c>
      <c r="AC584" s="16">
        <f>ROUND(IF(IFERROR(PROPERTIES[[#This Row],[TE_COEFFICIENT_CALC]],0)=0,PROPERTIES[[#This Row],[TE_COEFFICIENT_MANUAL]],PROPERTIES[[#This Row],[TE_COEFFICIENT_CALC]]),3)</f>
        <v>0.3</v>
      </c>
      <c r="AD584" s="8" cm="1">
        <f t="array" ref="AD5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4" s="26">
        <v>0</v>
      </c>
      <c r="AF584" s="6">
        <v>0</v>
      </c>
      <c r="AG584" t="s">
        <v>241</v>
      </c>
      <c r="AH584" t="s">
        <v>229</v>
      </c>
      <c r="AI584" t="s">
        <v>229</v>
      </c>
      <c r="AJ584" s="2" t="s">
        <v>229</v>
      </c>
      <c r="AK584" s="2" t="s">
        <v>245</v>
      </c>
      <c r="AL58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4" s="2" t="str">
        <f>SUBSTITUTE(SUBSTITUTE(PROPERTIES[[#This Row],[PURCHASECOST_VALUE]], "PURCHASECOST_", ""), "_VALUE", "")</f>
        <v>WAGON</v>
      </c>
      <c r="AO584" s="44" t="b">
        <v>0</v>
      </c>
      <c r="AP584" s="48" t="b">
        <v>0</v>
      </c>
      <c r="AQ584" s="48" t="b">
        <v>0</v>
      </c>
      <c r="AR584" s="48">
        <v>2</v>
      </c>
      <c r="AS584" s="48" t="b">
        <v>0</v>
      </c>
      <c r="AT584" s="7" t="b">
        <v>0</v>
      </c>
      <c r="AU584" s="40" t="str" cm="1">
        <f t="array" ref="AU584">_xlfn.XLOOKUP(PROPERTIES[[#This Row],[VEHIDCODE]],GRAPHICS_PROPERTIES[VEHIDCODE],GRAPHICS_PROPERTIES[TEMPLATE_ID]&amp;GRAPHICS_PROPERTIES[TEMPLATE_AMENDMENT_CODE])</f>
        <v>TPL_04B</v>
      </c>
    </row>
    <row r="585" spans="1:47" x14ac:dyDescent="0.35">
      <c r="A585" s="2" t="s">
        <v>223</v>
      </c>
      <c r="B585">
        <v>2010</v>
      </c>
      <c r="D585" cm="1">
        <f t="array" ref="D5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5" s="40" t="str">
        <f>_xlfn.XLOOKUP(PROPERTIES[[#This Row],[VEHIDCODE]],CONTROL[VEHIDCODE],CONTROL[ENGLISH])</f>
        <v>7th Gen Superheavy Flatcar</v>
      </c>
      <c r="G585" s="40" t="str">
        <f>_xlfn.XLOOKUP(PROPERTIES[[#This Row],[COUNTRY]],COUNTRIES[COUNTRY_DESCRIPTION],COUNTRIES[COUNTRY_LABEL],"")</f>
        <v/>
      </c>
      <c r="H585" t="str" cm="1">
        <f t="array" ref="H5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5" t="s">
        <v>34</v>
      </c>
      <c r="J585">
        <v>195</v>
      </c>
      <c r="K585">
        <v>4</v>
      </c>
      <c r="L585">
        <v>0</v>
      </c>
      <c r="M585" t="str" cm="1">
        <f t="array" ref="M5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5">
        <f>_xlfn.XLOOKUP("LOADINGSPEEDDEF_"&amp;PROPERTIES[[#This Row],[LOADINGSPEED]],LOADINGSPEEDDEF[TYPE],LOADINGSPEEDDEF[SPEED])</f>
        <v>20</v>
      </c>
      <c r="O585" t="str" cm="1">
        <f t="array" ref="O5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5">
        <f>IF(ISNUMBER(SEARCH("passenger",PROPERTIES[[#This Row],[CARGODEF]])),1,0)</f>
        <v>0</v>
      </c>
      <c r="Q585" s="23">
        <v>50</v>
      </c>
      <c r="R585">
        <v>0</v>
      </c>
      <c r="S585">
        <v>0</v>
      </c>
      <c r="T585">
        <v>0</v>
      </c>
      <c r="U585">
        <v>0</v>
      </c>
      <c r="V585">
        <v>160</v>
      </c>
      <c r="W585">
        <v>0</v>
      </c>
      <c r="X585">
        <v>0</v>
      </c>
      <c r="Y585">
        <v>0</v>
      </c>
      <c r="Z585" s="20">
        <v>0</v>
      </c>
      <c r="AA585" s="19">
        <f>IFERROR(PROPERTIES[[#This Row],[TE_STARTING_KN]]/(PROPERTIES[[#This Row],[WEIGHT]]*9.81),0)</f>
        <v>0</v>
      </c>
      <c r="AB585" s="19">
        <v>0.3</v>
      </c>
      <c r="AC585" s="16">
        <f>ROUND(IF(IFERROR(PROPERTIES[[#This Row],[TE_COEFFICIENT_CALC]],0)=0,PROPERTIES[[#This Row],[TE_COEFFICIENT_MANUAL]],PROPERTIES[[#This Row],[TE_COEFFICIENT_CALC]]),3)</f>
        <v>0.3</v>
      </c>
      <c r="AD585" s="8" cm="1">
        <f t="array" ref="AD5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5" s="26">
        <v>0</v>
      </c>
      <c r="AF585" s="6">
        <v>0</v>
      </c>
      <c r="AG585" t="s">
        <v>241</v>
      </c>
      <c r="AH585" t="s">
        <v>229</v>
      </c>
      <c r="AI585" t="s">
        <v>229</v>
      </c>
      <c r="AJ585" s="2" t="s">
        <v>229</v>
      </c>
      <c r="AK585" s="2" t="s">
        <v>245</v>
      </c>
      <c r="AL58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5" s="2" t="str">
        <f>SUBSTITUTE(SUBSTITUTE(PROPERTIES[[#This Row],[PURCHASECOST_VALUE]], "PURCHASECOST_", ""), "_VALUE", "")</f>
        <v>WAGON</v>
      </c>
      <c r="AO585" s="44" t="b">
        <v>0</v>
      </c>
      <c r="AP585" s="48" t="b">
        <v>0</v>
      </c>
      <c r="AQ585" s="48" t="b">
        <v>0</v>
      </c>
      <c r="AR585" s="48">
        <v>0</v>
      </c>
      <c r="AS585" s="48" t="b">
        <v>0</v>
      </c>
      <c r="AT585" s="7" t="b">
        <v>0</v>
      </c>
      <c r="AU585" s="40" t="str" cm="1">
        <f t="array" ref="AU585">_xlfn.XLOOKUP(PROPERTIES[[#This Row],[VEHIDCODE]],GRAPHICS_PROPERTIES[VEHIDCODE],GRAPHICS_PROPERTIES[TEMPLATE_ID]&amp;GRAPHICS_PROPERTIES[TEMPLATE_AMENDMENT_CODE])</f>
        <v>TPL_25A</v>
      </c>
    </row>
    <row r="586" spans="1:47" x14ac:dyDescent="0.35">
      <c r="A586" s="2" t="s">
        <v>224</v>
      </c>
      <c r="B586">
        <v>2020</v>
      </c>
      <c r="D586" cm="1">
        <f t="array" ref="D5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6" s="40" t="str">
        <f>_xlfn.XLOOKUP(PROPERTIES[[#This Row],[VEHIDCODE]],CONTROL[VEHIDCODE],CONTROL[ENGLISH])</f>
        <v>7th Gen Tanker</v>
      </c>
      <c r="G586" s="40" t="str">
        <f>_xlfn.XLOOKUP(PROPERTIES[[#This Row],[COUNTRY]],COUNTRIES[COUNTRY_DESCRIPTION],COUNTRIES[COUNTRY_LABEL],"")</f>
        <v/>
      </c>
      <c r="H586" t="str" cm="1">
        <f t="array" ref="H5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6" t="s">
        <v>35</v>
      </c>
      <c r="J586">
        <v>105</v>
      </c>
      <c r="K586">
        <v>8</v>
      </c>
      <c r="L586">
        <v>0</v>
      </c>
      <c r="M586" t="str" cm="1">
        <f t="array" ref="M5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6">
        <f>_xlfn.XLOOKUP("LOADINGSPEEDDEF_"&amp;PROPERTIES[[#This Row],[LOADINGSPEED]],LOADINGSPEEDDEF[TYPE],LOADINGSPEEDDEF[SPEED])</f>
        <v>20</v>
      </c>
      <c r="O586" t="str" cm="1">
        <f t="array" ref="O5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6">
        <f>IF(ISNUMBER(SEARCH("passenger",PROPERTIES[[#This Row],[CARGODEF]])),1,0)</f>
        <v>0</v>
      </c>
      <c r="Q586" s="23">
        <v>24</v>
      </c>
      <c r="R586">
        <v>0</v>
      </c>
      <c r="S586">
        <v>0</v>
      </c>
      <c r="T586">
        <v>0</v>
      </c>
      <c r="U586">
        <v>0</v>
      </c>
      <c r="V586">
        <v>180</v>
      </c>
      <c r="W586">
        <v>0</v>
      </c>
      <c r="X586">
        <v>0</v>
      </c>
      <c r="Y586">
        <v>0</v>
      </c>
      <c r="Z586" s="20">
        <v>0</v>
      </c>
      <c r="AA586" s="19">
        <f>IFERROR(PROPERTIES[[#This Row],[TE_STARTING_KN]]/(PROPERTIES[[#This Row],[WEIGHT]]*9.81),0)</f>
        <v>0</v>
      </c>
      <c r="AB586" s="19">
        <v>0.3</v>
      </c>
      <c r="AC586" s="16">
        <f>ROUND(IF(IFERROR(PROPERTIES[[#This Row],[TE_COEFFICIENT_CALC]],0)=0,PROPERTIES[[#This Row],[TE_COEFFICIENT_MANUAL]],PROPERTIES[[#This Row],[TE_COEFFICIENT_CALC]]),3)</f>
        <v>0.3</v>
      </c>
      <c r="AD586" s="8" cm="1">
        <f t="array" ref="AD5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6" s="26">
        <v>0</v>
      </c>
      <c r="AF586" s="6">
        <v>0</v>
      </c>
      <c r="AG586" t="s">
        <v>241</v>
      </c>
      <c r="AH586" t="s">
        <v>229</v>
      </c>
      <c r="AI586" t="s">
        <v>229</v>
      </c>
      <c r="AJ586" s="2" t="s">
        <v>229</v>
      </c>
      <c r="AK586" s="2" t="s">
        <v>245</v>
      </c>
      <c r="AL58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6" s="2" t="str">
        <f>SUBSTITUTE(SUBSTITUTE(PROPERTIES[[#This Row],[PURCHASECOST_VALUE]], "PURCHASECOST_", ""), "_VALUE", "")</f>
        <v>WAGON</v>
      </c>
      <c r="AO586" s="44" t="b">
        <v>0</v>
      </c>
      <c r="AP586" s="48" t="b">
        <v>0</v>
      </c>
      <c r="AQ586" s="48" t="b">
        <v>0</v>
      </c>
      <c r="AR586" s="48">
        <v>2</v>
      </c>
      <c r="AS586" s="48" t="b">
        <v>0</v>
      </c>
      <c r="AT586" s="7" t="b">
        <v>0</v>
      </c>
      <c r="AU586" s="40" t="str" cm="1">
        <f t="array" ref="AU586">_xlfn.XLOOKUP(PROPERTIES[[#This Row],[VEHIDCODE]],GRAPHICS_PROPERTIES[VEHIDCODE],GRAPHICS_PROPERTIES[TEMPLATE_ID]&amp;GRAPHICS_PROPERTIES[TEMPLATE_AMENDMENT_CODE])</f>
        <v>TPL_04B</v>
      </c>
    </row>
    <row r="587" spans="1:47" x14ac:dyDescent="0.35">
      <c r="A587" s="2" t="s">
        <v>3204</v>
      </c>
      <c r="B587">
        <v>1990</v>
      </c>
      <c r="C587">
        <v>2030</v>
      </c>
      <c r="D587" cm="1">
        <f t="array" ref="D5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7" s="40" t="str">
        <f>_xlfn.XLOOKUP(PROPERTIES[[#This Row],[VEHIDCODE]],CONTROL[VEHIDCODE],CONTROL[ENGLISH])</f>
        <v>Niigata Transys Shikoku 1000</v>
      </c>
      <c r="F587" t="s">
        <v>640</v>
      </c>
      <c r="G587" s="40" t="str">
        <f>_xlfn.XLOOKUP(PROPERTIES[[#This Row],[COUNTRY]],COUNTRIES[COUNTRY_DESCRIPTION],COUNTRIES[COUNTRY_LABEL],"")</f>
        <v>JP</v>
      </c>
      <c r="H587" t="str" cm="1">
        <f t="array" ref="H5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87" t="s">
        <v>15</v>
      </c>
      <c r="J587">
        <v>151</v>
      </c>
      <c r="K587">
        <v>7</v>
      </c>
      <c r="L587">
        <v>0</v>
      </c>
      <c r="M587" t="str" cm="1">
        <f t="array" ref="M5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87">
        <f>_xlfn.XLOOKUP("LOADINGSPEEDDEF_"&amp;PROPERTIES[[#This Row],[LOADINGSPEED]],LOADINGSPEEDDEF[TYPE],LOADINGSPEEDDEF[SPEED])</f>
        <v>60</v>
      </c>
      <c r="O587" t="str" cm="1">
        <f t="array" ref="O5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7">
        <f>IF(ISNUMBER(SEARCH("passenger",PROPERTIES[[#This Row],[CARGODEF]])),1,0)</f>
        <v>1</v>
      </c>
      <c r="Q587" s="23">
        <v>32</v>
      </c>
      <c r="R587">
        <v>400</v>
      </c>
      <c r="S587">
        <v>0</v>
      </c>
      <c r="T587">
        <v>0</v>
      </c>
      <c r="U587">
        <v>0</v>
      </c>
      <c r="V587">
        <v>110</v>
      </c>
      <c r="W587">
        <v>0</v>
      </c>
      <c r="X587">
        <v>0</v>
      </c>
      <c r="Y587">
        <v>0</v>
      </c>
      <c r="Z587" s="20">
        <v>65</v>
      </c>
      <c r="AA587" s="19">
        <f>IFERROR(PROPERTIES[[#This Row],[TE_STARTING_KN]]/(PROPERTIES[[#This Row],[WEIGHT]]*9.81),0)</f>
        <v>0.207059123343527</v>
      </c>
      <c r="AB587" s="19">
        <v>0</v>
      </c>
      <c r="AC587" s="16">
        <f>ROUND(IF(IFERROR(PROPERTIES[[#This Row],[TE_COEFFICIENT_CALC]],0)=0,PROPERTIES[[#This Row],[TE_COEFFICIENT_MANUAL]],PROPERTIES[[#This Row],[TE_COEFFICIENT_CALC]]),3)</f>
        <v>0.20699999999999999</v>
      </c>
      <c r="AD587" s="8" cm="1">
        <f t="array" ref="AD5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87" s="26">
        <v>0</v>
      </c>
      <c r="AF587" s="6">
        <v>0</v>
      </c>
      <c r="AG587" t="s">
        <v>238</v>
      </c>
      <c r="AH587" t="s">
        <v>229</v>
      </c>
      <c r="AI587" t="s">
        <v>229</v>
      </c>
      <c r="AJ587" s="2" t="s">
        <v>229</v>
      </c>
      <c r="AK587" s="2" t="s">
        <v>244</v>
      </c>
      <c r="AL587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587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587" s="2" t="str">
        <f>SUBSTITUTE(SUBSTITUTE(PROPERTIES[[#This Row],[PURCHASECOST_VALUE]], "PURCHASECOST_", ""), "_VALUE", "")</f>
        <v>DIESELRAILBUS</v>
      </c>
      <c r="AO587" s="44" t="b">
        <v>0</v>
      </c>
      <c r="AP587" s="48" t="b">
        <v>0</v>
      </c>
      <c r="AQ587" s="48" t="b">
        <v>0</v>
      </c>
      <c r="AR587" s="48">
        <v>0</v>
      </c>
      <c r="AS587" s="48" t="b">
        <v>0</v>
      </c>
      <c r="AT587" s="7" t="b">
        <v>0</v>
      </c>
      <c r="AU587" s="40" t="str" cm="1">
        <f t="array" ref="AU587">_xlfn.XLOOKUP(PROPERTIES[[#This Row],[VEHIDCODE]],GRAPHICS_PROPERTIES[VEHIDCODE],GRAPHICS_PROPERTIES[TEMPLATE_ID]&amp;GRAPHICS_PROPERTIES[TEMPLATE_AMENDMENT_CODE])</f>
        <v>TPL_01B</v>
      </c>
    </row>
    <row r="588" spans="1:47" x14ac:dyDescent="0.35">
      <c r="A588" s="2" t="s">
        <v>3205</v>
      </c>
      <c r="B588">
        <v>2008</v>
      </c>
      <c r="D588" cm="1">
        <f t="array" ref="D5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8" s="40" t="str">
        <f>_xlfn.XLOOKUP(PROPERTIES[[#This Row],[VEHIDCODE]],CONTROL[VEHIDCODE],CONTROL[ENGLISH])</f>
        <v>Niigata Transys KiHa E120</v>
      </c>
      <c r="F588" t="s">
        <v>640</v>
      </c>
      <c r="G588" s="40" t="str">
        <f>_xlfn.XLOOKUP(PROPERTIES[[#This Row],[COUNTRY]],COUNTRIES[COUNTRY_DESCRIPTION],COUNTRIES[COUNTRY_LABEL],"")</f>
        <v>JP</v>
      </c>
      <c r="H588" t="str" cm="1">
        <f t="array" ref="H5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88" t="s">
        <v>15</v>
      </c>
      <c r="J588">
        <v>114</v>
      </c>
      <c r="K588">
        <v>8</v>
      </c>
      <c r="L588">
        <v>0</v>
      </c>
      <c r="M588" t="str" cm="1">
        <f t="array" ref="M5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88">
        <f>_xlfn.XLOOKUP("LOADINGSPEEDDEF_"&amp;PROPERTIES[[#This Row],[LOADINGSPEED]],LOADINGSPEEDDEF[TYPE],LOADINGSPEEDDEF[SPEED])</f>
        <v>60</v>
      </c>
      <c r="O588" t="str" cm="1">
        <f t="array" ref="O5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8">
        <f>IF(ISNUMBER(SEARCH("passenger",PROPERTIES[[#This Row],[CARGODEF]])),1,0)</f>
        <v>1</v>
      </c>
      <c r="Q588" s="23">
        <v>39</v>
      </c>
      <c r="R588">
        <v>444</v>
      </c>
      <c r="S588">
        <v>0</v>
      </c>
      <c r="T588">
        <v>0</v>
      </c>
      <c r="U588">
        <v>0</v>
      </c>
      <c r="V588">
        <v>100</v>
      </c>
      <c r="W588">
        <v>0</v>
      </c>
      <c r="X588">
        <v>0</v>
      </c>
      <c r="Y588">
        <v>0</v>
      </c>
      <c r="Z588" s="20">
        <v>60</v>
      </c>
      <c r="AA588" s="19">
        <f>IFERROR(PROPERTIES[[#This Row],[TE_STARTING_KN]]/(PROPERTIES[[#This Row],[WEIGHT]]*9.81),0)</f>
        <v>0.15682584489923937</v>
      </c>
      <c r="AB588" s="19">
        <v>0</v>
      </c>
      <c r="AC588" s="16">
        <f>ROUND(IF(IFERROR(PROPERTIES[[#This Row],[TE_COEFFICIENT_CALC]],0)=0,PROPERTIES[[#This Row],[TE_COEFFICIENT_MANUAL]],PROPERTIES[[#This Row],[TE_COEFFICIENT_CALC]]),3)</f>
        <v>0.157</v>
      </c>
      <c r="AD588" s="8" cm="1">
        <f t="array" ref="AD5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88" s="26">
        <v>0</v>
      </c>
      <c r="AF588" s="6">
        <v>0</v>
      </c>
      <c r="AG588" t="s">
        <v>238</v>
      </c>
      <c r="AH588" t="s">
        <v>229</v>
      </c>
      <c r="AI588" t="s">
        <v>229</v>
      </c>
      <c r="AJ588" s="2" t="s">
        <v>229</v>
      </c>
      <c r="AK588" s="2" t="s">
        <v>244</v>
      </c>
      <c r="AL58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58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588" s="2" t="str">
        <f>SUBSTITUTE(SUBSTITUTE(PROPERTIES[[#This Row],[PURCHASECOST_VALUE]], "PURCHASECOST_", ""), "_VALUE", "")</f>
        <v>DIESELRAILBUS</v>
      </c>
      <c r="AO588" s="44" t="b">
        <v>0</v>
      </c>
      <c r="AP588" s="48" t="b">
        <v>0</v>
      </c>
      <c r="AQ588" s="48" t="b">
        <v>0</v>
      </c>
      <c r="AR588" s="48">
        <v>0</v>
      </c>
      <c r="AS588" s="48" t="b">
        <v>0</v>
      </c>
      <c r="AT588" s="7" t="b">
        <v>0</v>
      </c>
      <c r="AU588" s="40" t="str" cm="1">
        <f t="array" ref="AU588">_xlfn.XLOOKUP(PROPERTIES[[#This Row],[VEHIDCODE]],GRAPHICS_PROPERTIES[VEHIDCODE],GRAPHICS_PROPERTIES[TEMPLATE_ID]&amp;GRAPHICS_PROPERTIES[TEMPLATE_AMENDMENT_CODE])</f>
        <v>TPL_01B</v>
      </c>
    </row>
    <row r="589" spans="1:47" x14ac:dyDescent="0.35">
      <c r="A589" s="2" t="s">
        <v>3206</v>
      </c>
      <c r="B589">
        <v>1961</v>
      </c>
      <c r="D589" cm="1">
        <f t="array" ref="D5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9" s="40" t="str">
        <f>_xlfn.XLOOKUP(PROPERTIES[[#This Row],[VEHIDCODE]],CONTROL[VEHIDCODE],CONTROL[ENGLISH])</f>
        <v>Ferrostaal SB-56</v>
      </c>
      <c r="F589" t="s">
        <v>573</v>
      </c>
      <c r="G589" s="40" t="str">
        <f>_xlfn.XLOOKUP(PROPERTIES[[#This Row],[COUNTRY]],COUNTRIES[COUNTRY_DESCRIPTION],COUNTRIES[COUNTRY_LABEL],"")</f>
        <v>CL</v>
      </c>
      <c r="H589" t="str" cm="1">
        <f t="array" ref="H5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89" t="s">
        <v>15</v>
      </c>
      <c r="J589">
        <v>40</v>
      </c>
      <c r="K589">
        <v>8</v>
      </c>
      <c r="L589">
        <v>0</v>
      </c>
      <c r="M589" t="str" cm="1">
        <f t="array" ref="M5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89">
        <f>_xlfn.XLOOKUP("LOADINGSPEEDDEF_"&amp;PROPERTIES[[#This Row],[LOADINGSPEED]],LOADINGSPEEDDEF[TYPE],LOADINGSPEEDDEF[SPEED])</f>
        <v>60</v>
      </c>
      <c r="O589" cm="1">
        <f t="array" ref="O5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89">
        <f>IF(ISNUMBER(SEARCH("passenger",PROPERTIES[[#This Row],[CARGODEF]])),1,0)</f>
        <v>1</v>
      </c>
      <c r="Q589" s="23">
        <v>30.3</v>
      </c>
      <c r="R589">
        <v>180</v>
      </c>
      <c r="S589">
        <v>0</v>
      </c>
      <c r="T589">
        <v>0</v>
      </c>
      <c r="U589">
        <v>0</v>
      </c>
      <c r="V589">
        <v>80</v>
      </c>
      <c r="W589">
        <v>0</v>
      </c>
      <c r="X589">
        <v>0</v>
      </c>
      <c r="Y589">
        <v>0</v>
      </c>
      <c r="Z589" s="20">
        <v>22</v>
      </c>
      <c r="AA589" s="19">
        <f>IFERROR(PROPERTIES[[#This Row],[TE_STARTING_KN]]/(PROPERTIES[[#This Row],[WEIGHT]]*9.81),0)</f>
        <v>7.4013517559707045E-2</v>
      </c>
      <c r="AB589" s="19">
        <v>0</v>
      </c>
      <c r="AC589" s="16">
        <f>ROUND(IF(IFERROR(PROPERTIES[[#This Row],[TE_COEFFICIENT_CALC]],0)=0,PROPERTIES[[#This Row],[TE_COEFFICIENT_MANUAL]],PROPERTIES[[#This Row],[TE_COEFFICIENT_CALC]]),3)</f>
        <v>7.3999999999999996E-2</v>
      </c>
      <c r="AD589" s="8" cm="1">
        <f t="array" ref="AD5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89" s="26">
        <v>0</v>
      </c>
      <c r="AF589" s="6">
        <v>0</v>
      </c>
      <c r="AG589" t="s">
        <v>237</v>
      </c>
      <c r="AH589" t="s">
        <v>229</v>
      </c>
      <c r="AI589" t="s">
        <v>229</v>
      </c>
      <c r="AJ589" s="2" t="s">
        <v>229</v>
      </c>
      <c r="AK589" s="2" t="s">
        <v>244</v>
      </c>
      <c r="AL58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58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589" s="2" t="str">
        <f>SUBSTITUTE(SUBSTITUTE(PROPERTIES[[#This Row],[PURCHASECOST_VALUE]], "PURCHASECOST_", ""), "_VALUE", "")</f>
        <v>DIESELRAILBUS</v>
      </c>
      <c r="AO589" s="44" t="b">
        <v>0</v>
      </c>
      <c r="AP589" s="48" t="b">
        <v>0</v>
      </c>
      <c r="AQ589" s="48" t="b">
        <v>0</v>
      </c>
      <c r="AR589" s="48">
        <v>0</v>
      </c>
      <c r="AS589" s="48" t="b">
        <v>0</v>
      </c>
      <c r="AT589" s="7" t="b">
        <v>0</v>
      </c>
      <c r="AU589" s="40" t="str" cm="1">
        <f t="array" ref="AU589">_xlfn.XLOOKUP(PROPERTIES[[#This Row],[VEHIDCODE]],GRAPHICS_PROPERTIES[VEHIDCODE],GRAPHICS_PROPERTIES[TEMPLATE_ID]&amp;GRAPHICS_PROPERTIES[TEMPLATE_AMENDMENT_CODE])</f>
        <v>TPL_01B</v>
      </c>
    </row>
    <row r="590" spans="1:47" x14ac:dyDescent="0.35">
      <c r="A590" s="2" t="s">
        <v>3207</v>
      </c>
      <c r="B590">
        <v>1935</v>
      </c>
      <c r="D590" cm="1">
        <f t="array" ref="D5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0" s="40" t="str">
        <f>_xlfn.XLOOKUP(PROPERTIES[[#This Row],[VEHIDCODE]],CONTROL[VEHIDCODE],CONTROL[ENGLISH])</f>
        <v>Sulzer M Railcar</v>
      </c>
      <c r="F590" t="s">
        <v>538</v>
      </c>
      <c r="G590" s="40" t="str">
        <f>_xlfn.XLOOKUP(PROPERTIES[[#This Row],[COUNTRY]],COUNTRIES[COUNTRY_DESCRIPTION],COUNTRIES[COUNTRY_LABEL],"")</f>
        <v>AR</v>
      </c>
      <c r="H590" t="str" cm="1">
        <f t="array" ref="H5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90" t="s">
        <v>15</v>
      </c>
      <c r="J590">
        <v>40</v>
      </c>
      <c r="K590">
        <v>7</v>
      </c>
      <c r="L590">
        <v>0</v>
      </c>
      <c r="M590" t="str" cm="1">
        <f t="array" ref="M5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0">
        <f>_xlfn.XLOOKUP("LOADINGSPEEDDEF_"&amp;PROPERTIES[[#This Row],[LOADINGSPEED]],LOADINGSPEEDDEF[TYPE],LOADINGSPEEDDEF[SPEED])</f>
        <v>60</v>
      </c>
      <c r="O590" cm="1">
        <f t="array" ref="O5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0">
        <f>IF(ISNUMBER(SEARCH("passenger",PROPERTIES[[#This Row],[CARGODEF]])),1,0)</f>
        <v>1</v>
      </c>
      <c r="Q590" s="23">
        <v>37</v>
      </c>
      <c r="R590">
        <v>270</v>
      </c>
      <c r="S590">
        <v>0</v>
      </c>
      <c r="T590">
        <v>0</v>
      </c>
      <c r="U590">
        <v>0</v>
      </c>
      <c r="V590">
        <v>80</v>
      </c>
      <c r="W590">
        <v>0</v>
      </c>
      <c r="X590">
        <v>0</v>
      </c>
      <c r="Y590">
        <v>0</v>
      </c>
      <c r="Z590" s="20">
        <v>42</v>
      </c>
      <c r="AA590" s="19">
        <f>IFERROR(PROPERTIES[[#This Row],[TE_STARTING_KN]]/(PROPERTIES[[#This Row],[WEIGHT]]*9.81),0)</f>
        <v>0.11571204231754689</v>
      </c>
      <c r="AB590" s="19">
        <v>0</v>
      </c>
      <c r="AC590" s="16">
        <f>ROUND(IF(IFERROR(PROPERTIES[[#This Row],[TE_COEFFICIENT_CALC]],0)=0,PROPERTIES[[#This Row],[TE_COEFFICIENT_MANUAL]],PROPERTIES[[#This Row],[TE_COEFFICIENT_CALC]]),3)</f>
        <v>0.11600000000000001</v>
      </c>
      <c r="AD590" s="8" cm="1">
        <f t="array" ref="AD5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90" s="26">
        <v>0</v>
      </c>
      <c r="AF590" s="6">
        <v>0</v>
      </c>
      <c r="AG590" t="s">
        <v>237</v>
      </c>
      <c r="AH590" t="s">
        <v>229</v>
      </c>
      <c r="AI590" t="s">
        <v>229</v>
      </c>
      <c r="AJ590" s="2" t="s">
        <v>229</v>
      </c>
      <c r="AK590" s="2" t="s">
        <v>244</v>
      </c>
      <c r="AL590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590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590" s="2" t="str">
        <f>SUBSTITUTE(SUBSTITUTE(PROPERTIES[[#This Row],[PURCHASECOST_VALUE]], "PURCHASECOST_", ""), "_VALUE", "")</f>
        <v>DIESELRAILBUS</v>
      </c>
      <c r="AO590" s="44" t="b">
        <v>0</v>
      </c>
      <c r="AP590" s="48" t="b">
        <v>0</v>
      </c>
      <c r="AQ590" s="48" t="b">
        <v>0</v>
      </c>
      <c r="AR590" s="48">
        <v>0</v>
      </c>
      <c r="AS590" s="48" t="b">
        <v>0</v>
      </c>
      <c r="AT590" s="7" t="b">
        <v>0</v>
      </c>
      <c r="AU590" s="40" t="str" cm="1">
        <f t="array" ref="AU590">_xlfn.XLOOKUP(PROPERTIES[[#This Row],[VEHIDCODE]],GRAPHICS_PROPERTIES[VEHIDCODE],GRAPHICS_PROPERTIES[TEMPLATE_ID]&amp;GRAPHICS_PROPERTIES[TEMPLATE_AMENDMENT_CODE])</f>
        <v>TPL_01B</v>
      </c>
    </row>
    <row r="591" spans="1:47" x14ac:dyDescent="0.35">
      <c r="A591" s="2" t="s">
        <v>3208</v>
      </c>
      <c r="B591">
        <v>1937</v>
      </c>
      <c r="C591">
        <v>1970</v>
      </c>
      <c r="D591" cm="1">
        <f t="array" ref="D5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1" s="40" t="str">
        <f>_xlfn.XLOOKUP(PROPERTIES[[#This Row],[VEHIDCODE]],CONTROL[VEHIDCODE],CONTROL[ENGLISH])</f>
        <v>Eritrean Railway A.62-70 'Littorina'</v>
      </c>
      <c r="F591" t="s">
        <v>594</v>
      </c>
      <c r="G591" s="40" t="str">
        <f>_xlfn.XLOOKUP(PROPERTIES[[#This Row],[COUNTRY]],COUNTRIES[COUNTRY_DESCRIPTION],COUNTRIES[COUNTRY_LABEL],"")</f>
        <v>ER</v>
      </c>
      <c r="H591" t="str" cm="1">
        <f t="array" ref="H5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91" t="s">
        <v>15</v>
      </c>
      <c r="J591">
        <v>62</v>
      </c>
      <c r="K591">
        <v>7</v>
      </c>
      <c r="L591">
        <v>0</v>
      </c>
      <c r="M591" t="str" cm="1">
        <f t="array" ref="M5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1">
        <f>_xlfn.XLOOKUP("LOADINGSPEEDDEF_"&amp;PROPERTIES[[#This Row],[LOADINGSPEED]],LOADINGSPEEDDEF[TYPE],LOADINGSPEEDDEF[SPEED])</f>
        <v>60</v>
      </c>
      <c r="O591" cm="1">
        <f t="array" ref="O5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1">
        <f>IF(ISNUMBER(SEARCH("passenger",PROPERTIES[[#This Row],[CARGODEF]])),1,0)</f>
        <v>1</v>
      </c>
      <c r="Q591" s="23">
        <v>24</v>
      </c>
      <c r="R591">
        <v>290</v>
      </c>
      <c r="S591">
        <v>0</v>
      </c>
      <c r="T591">
        <v>0</v>
      </c>
      <c r="U591">
        <v>0</v>
      </c>
      <c r="V591">
        <v>80</v>
      </c>
      <c r="W591">
        <v>0</v>
      </c>
      <c r="X591">
        <v>0</v>
      </c>
      <c r="Y591">
        <v>0</v>
      </c>
      <c r="Z591" s="20">
        <v>32</v>
      </c>
      <c r="AA591" s="19">
        <f>IFERROR(PROPERTIES[[#This Row],[TE_STARTING_KN]]/(PROPERTIES[[#This Row],[WEIGHT]]*9.81),0)</f>
        <v>0.13591573224600748</v>
      </c>
      <c r="AB591" s="19">
        <v>0</v>
      </c>
      <c r="AC591" s="16">
        <f>ROUND(IF(IFERROR(PROPERTIES[[#This Row],[TE_COEFFICIENT_CALC]],0)=0,PROPERTIES[[#This Row],[TE_COEFFICIENT_MANUAL]],PROPERTIES[[#This Row],[TE_COEFFICIENT_CALC]]),3)</f>
        <v>0.13600000000000001</v>
      </c>
      <c r="AD591" s="8" cm="1">
        <f t="array" ref="AD5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591" s="26">
        <v>0</v>
      </c>
      <c r="AF591" s="6">
        <v>0</v>
      </c>
      <c r="AG591" t="s">
        <v>233</v>
      </c>
      <c r="AH591" t="s">
        <v>229</v>
      </c>
      <c r="AI591" t="s">
        <v>229</v>
      </c>
      <c r="AJ591" s="2" t="s">
        <v>229</v>
      </c>
      <c r="AK591" s="2" t="s">
        <v>244</v>
      </c>
      <c r="AL591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591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591" s="2" t="str">
        <f>SUBSTITUTE(SUBSTITUTE(PROPERTIES[[#This Row],[PURCHASECOST_VALUE]], "PURCHASECOST_", ""), "_VALUE", "")</f>
        <v>DIESELRAILBUS</v>
      </c>
      <c r="AO591" s="44" t="b">
        <v>0</v>
      </c>
      <c r="AP591" s="48" t="b">
        <v>0</v>
      </c>
      <c r="AQ591" s="48" t="b">
        <v>0</v>
      </c>
      <c r="AR591" s="48">
        <v>0</v>
      </c>
      <c r="AS591" s="48" t="b">
        <v>0</v>
      </c>
      <c r="AT591" s="7" t="b">
        <v>0</v>
      </c>
      <c r="AU591" s="40" t="str" cm="1">
        <f t="array" ref="AU591">_xlfn.XLOOKUP(PROPERTIES[[#This Row],[VEHIDCODE]],GRAPHICS_PROPERTIES[VEHIDCODE],GRAPHICS_PROPERTIES[TEMPLATE_ID]&amp;GRAPHICS_PROPERTIES[TEMPLATE_AMENDMENT_CODE])</f>
        <v>TPL_01B</v>
      </c>
    </row>
    <row r="592" spans="1:47" x14ac:dyDescent="0.35">
      <c r="A592" s="2" t="s">
        <v>3209</v>
      </c>
      <c r="B592">
        <v>1911</v>
      </c>
      <c r="C592">
        <v>1980</v>
      </c>
      <c r="D592" cm="1">
        <f t="array" ref="D5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2" s="40" t="str">
        <f>_xlfn.XLOOKUP(PROPERTIES[[#This Row],[VEHIDCODE]],CONTROL[VEHIDCODE],CONTROL[ENGLISH])</f>
        <v>SLM CFe 3/3</v>
      </c>
      <c r="F592" t="s">
        <v>570</v>
      </c>
      <c r="G592" s="40" t="str">
        <f>_xlfn.XLOOKUP(PROPERTIES[[#This Row],[COUNTRY]],COUNTRIES[COUNTRY_DESCRIPTION],COUNTRIES[COUNTRY_LABEL],"")</f>
        <v>CH</v>
      </c>
      <c r="H592" t="str" cm="1">
        <f t="array" ref="H5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2" t="s">
        <v>15</v>
      </c>
      <c r="J592">
        <v>32</v>
      </c>
      <c r="K592">
        <v>6</v>
      </c>
      <c r="L592">
        <v>0</v>
      </c>
      <c r="M592" t="str" cm="1">
        <f t="array" ref="M5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2">
        <f>_xlfn.XLOOKUP("LOADINGSPEEDDEF_"&amp;PROPERTIES[[#This Row],[LOADINGSPEED]],LOADINGSPEEDDEF[TYPE],LOADINGSPEEDDEF[SPEED])</f>
        <v>60</v>
      </c>
      <c r="O592" cm="1">
        <f t="array" ref="O5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2">
        <f>IF(ISNUMBER(SEARCH("passenger",PROPERTIES[[#This Row],[CARGODEF]])),1,0)</f>
        <v>1</v>
      </c>
      <c r="Q592" s="23">
        <v>34</v>
      </c>
      <c r="R592">
        <v>340</v>
      </c>
      <c r="S592">
        <v>0</v>
      </c>
      <c r="T592">
        <v>0</v>
      </c>
      <c r="U592">
        <v>0</v>
      </c>
      <c r="V592">
        <v>35</v>
      </c>
      <c r="W592">
        <v>0</v>
      </c>
      <c r="X592">
        <v>0</v>
      </c>
      <c r="Y592">
        <v>0</v>
      </c>
      <c r="Z592" s="20">
        <v>78</v>
      </c>
      <c r="AA592" s="19">
        <f>IFERROR(PROPERTIES[[#This Row],[TE_STARTING_KN]]/(PROPERTIES[[#This Row],[WEIGHT]]*9.81),0)</f>
        <v>0.23385500989386579</v>
      </c>
      <c r="AB592" s="19">
        <v>0</v>
      </c>
      <c r="AC592" s="16">
        <f>ROUND(IF(IFERROR(PROPERTIES[[#This Row],[TE_COEFFICIENT_CALC]],0)=0,PROPERTIES[[#This Row],[TE_COEFFICIENT_MANUAL]],PROPERTIES[[#This Row],[TE_COEFFICIENT_CALC]]),3)</f>
        <v>0.23400000000000001</v>
      </c>
      <c r="AD592" s="8" cm="1">
        <f t="array" ref="AD5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69</v>
      </c>
      <c r="AE592" s="26">
        <v>0</v>
      </c>
      <c r="AF592" s="6">
        <v>0</v>
      </c>
      <c r="AG592" t="s">
        <v>230</v>
      </c>
      <c r="AH592" t="s">
        <v>229</v>
      </c>
      <c r="AI592" t="s">
        <v>229</v>
      </c>
      <c r="AJ592" s="2" t="s">
        <v>229</v>
      </c>
      <c r="AK592" s="2" t="s">
        <v>244</v>
      </c>
      <c r="AL592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2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2" s="2" t="str">
        <f>SUBSTITUTE(SUBSTITUTE(PROPERTIES[[#This Row],[PURCHASECOST_VALUE]], "PURCHASECOST_", ""), "_VALUE", "")</f>
        <v>ELECTRICRAILBUS</v>
      </c>
      <c r="AO592" s="44" t="b">
        <v>0</v>
      </c>
      <c r="AP592" s="48" t="b">
        <v>0</v>
      </c>
      <c r="AQ592" s="48" t="b">
        <v>0</v>
      </c>
      <c r="AR592" s="48">
        <v>0</v>
      </c>
      <c r="AS592" s="48" t="b">
        <v>0</v>
      </c>
      <c r="AT592" s="7" t="b">
        <v>0</v>
      </c>
      <c r="AU592" s="40" t="str" cm="1">
        <f t="array" ref="AU592">_xlfn.XLOOKUP(PROPERTIES[[#This Row],[VEHIDCODE]],GRAPHICS_PROPERTIES[VEHIDCODE],GRAPHICS_PROPERTIES[TEMPLATE_ID]&amp;GRAPHICS_PROPERTIES[TEMPLATE_AMENDMENT_CODE])</f>
        <v>TPL_01B</v>
      </c>
    </row>
    <row r="593" spans="1:47" x14ac:dyDescent="0.35">
      <c r="A593" s="2" t="s">
        <v>3210</v>
      </c>
      <c r="B593">
        <v>1907</v>
      </c>
      <c r="D593" cm="1">
        <f t="array" ref="D5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3" s="40" t="str">
        <f>_xlfn.XLOOKUP(PROPERTIES[[#This Row],[VEHIDCODE]],CONTROL[VEHIDCODE],CONTROL[ENGLISH])</f>
        <v>TPC BVB Be 2/2</v>
      </c>
      <c r="F593" t="s">
        <v>570</v>
      </c>
      <c r="G593" s="40" t="str">
        <f>_xlfn.XLOOKUP(PROPERTIES[[#This Row],[COUNTRY]],COUNTRIES[COUNTRY_DESCRIPTION],COUNTRIES[COUNTRY_LABEL],"")</f>
        <v>CH</v>
      </c>
      <c r="H593" t="str" cm="1">
        <f t="array" ref="H5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3" t="s">
        <v>15</v>
      </c>
      <c r="J593">
        <v>33</v>
      </c>
      <c r="K593">
        <v>4</v>
      </c>
      <c r="L593">
        <v>0</v>
      </c>
      <c r="M593" t="str" cm="1">
        <f t="array" ref="M5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3">
        <f>_xlfn.XLOOKUP("LOADINGSPEEDDEF_"&amp;PROPERTIES[[#This Row],[LOADINGSPEED]],LOADINGSPEEDDEF[TYPE],LOADINGSPEEDDEF[SPEED])</f>
        <v>60</v>
      </c>
      <c r="O593" cm="1">
        <f t="array" ref="O5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3">
        <f>IF(ISNUMBER(SEARCH("passenger",PROPERTIES[[#This Row],[CARGODEF]])),1,0)</f>
        <v>1</v>
      </c>
      <c r="Q593" s="23">
        <v>12.8</v>
      </c>
      <c r="R593">
        <v>84</v>
      </c>
      <c r="S593">
        <v>0</v>
      </c>
      <c r="T593">
        <v>0</v>
      </c>
      <c r="U593">
        <v>0</v>
      </c>
      <c r="V593">
        <v>25</v>
      </c>
      <c r="W593">
        <v>0</v>
      </c>
      <c r="X593">
        <v>0</v>
      </c>
      <c r="Y593">
        <v>0</v>
      </c>
      <c r="Z593" s="20">
        <v>45</v>
      </c>
      <c r="AA593" s="19">
        <f>IFERROR(PROPERTIES[[#This Row],[TE_STARTING_KN]]/(PROPERTIES[[#This Row],[WEIGHT]]*9.81),0)</f>
        <v>0.35837155963302747</v>
      </c>
      <c r="AB593" s="19">
        <v>0</v>
      </c>
      <c r="AC593" s="16">
        <f>ROUND(IF(IFERROR(PROPERTIES[[#This Row],[TE_COEFFICIENT_CALC]],0)=0,PROPERTIES[[#This Row],[TE_COEFFICIENT_MANUAL]],PROPERTIES[[#This Row],[TE_COEFFICIENT_CALC]]),3)</f>
        <v>0.35799999999999998</v>
      </c>
      <c r="AD593" s="8" cm="1">
        <f t="array" ref="AD5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93" s="26">
        <v>0</v>
      </c>
      <c r="AF593" s="6">
        <v>0</v>
      </c>
      <c r="AG593" t="s">
        <v>230</v>
      </c>
      <c r="AH593" t="s">
        <v>229</v>
      </c>
      <c r="AI593" t="s">
        <v>229</v>
      </c>
      <c r="AJ593" s="2" t="s">
        <v>229</v>
      </c>
      <c r="AK593" s="2" t="s">
        <v>244</v>
      </c>
      <c r="AL593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3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3" s="2" t="str">
        <f>SUBSTITUTE(SUBSTITUTE(PROPERTIES[[#This Row],[PURCHASECOST_VALUE]], "PURCHASECOST_", ""), "_VALUE", "")</f>
        <v>ELECTRICRAILBUS</v>
      </c>
      <c r="AO593" s="44" t="b">
        <v>0</v>
      </c>
      <c r="AP593" s="48" t="b">
        <v>0</v>
      </c>
      <c r="AQ593" s="48" t="b">
        <v>0</v>
      </c>
      <c r="AR593" s="48">
        <v>0</v>
      </c>
      <c r="AS593" s="48" t="b">
        <v>0</v>
      </c>
      <c r="AT593" s="7" t="b">
        <v>0</v>
      </c>
      <c r="AU593" s="40" t="str" cm="1">
        <f t="array" ref="AU593">_xlfn.XLOOKUP(PROPERTIES[[#This Row],[VEHIDCODE]],GRAPHICS_PROPERTIES[VEHIDCODE],GRAPHICS_PROPERTIES[TEMPLATE_ID]&amp;GRAPHICS_PROPERTIES[TEMPLATE_AMENDMENT_CODE])</f>
        <v>TPL_01B</v>
      </c>
    </row>
    <row r="594" spans="1:47" x14ac:dyDescent="0.35">
      <c r="A594" s="2" t="s">
        <v>3211</v>
      </c>
      <c r="B594">
        <v>1998</v>
      </c>
      <c r="D594" cm="1">
        <f t="array" ref="D5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4" s="40" t="str">
        <f>_xlfn.XLOOKUP(PROPERTIES[[#This Row],[VEHIDCODE]],CONTROL[VEHIDCODE],CONTROL[ENGLISH])</f>
        <v>MVR Beh 2/4</v>
      </c>
      <c r="F594" t="s">
        <v>570</v>
      </c>
      <c r="G594" s="40" t="str">
        <f>_xlfn.XLOOKUP(PROPERTIES[[#This Row],[COUNTRY]],COUNTRIES[COUNTRY_DESCRIPTION],COUNTRIES[COUNTRY_LABEL],"")</f>
        <v>CH</v>
      </c>
      <c r="H594" t="str" cm="1">
        <f t="array" ref="H5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4" t="s">
        <v>15</v>
      </c>
      <c r="J594">
        <v>52</v>
      </c>
      <c r="K594">
        <v>8</v>
      </c>
      <c r="L594">
        <v>0</v>
      </c>
      <c r="M594" t="str" cm="1">
        <f t="array" ref="M5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4">
        <f>_xlfn.XLOOKUP("LOADINGSPEEDDEF_"&amp;PROPERTIES[[#This Row],[LOADINGSPEED]],LOADINGSPEEDDEF[TYPE],LOADINGSPEEDDEF[SPEED])</f>
        <v>60</v>
      </c>
      <c r="O594" t="str" cm="1">
        <f t="array" ref="O5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94">
        <f>IF(ISNUMBER(SEARCH("passenger",PROPERTIES[[#This Row],[CARGODEF]])),1,0)</f>
        <v>1</v>
      </c>
      <c r="Q594" s="23">
        <v>32</v>
      </c>
      <c r="R594">
        <v>574</v>
      </c>
      <c r="S594">
        <v>0</v>
      </c>
      <c r="T594">
        <v>0</v>
      </c>
      <c r="U594">
        <v>0</v>
      </c>
      <c r="V594">
        <v>50</v>
      </c>
      <c r="W594">
        <v>0</v>
      </c>
      <c r="X594">
        <v>0</v>
      </c>
      <c r="Y594">
        <v>0</v>
      </c>
      <c r="Z594" s="20">
        <v>110</v>
      </c>
      <c r="AA594" s="19">
        <f>IFERROR(PROPERTIES[[#This Row],[TE_STARTING_KN]]/(PROPERTIES[[#This Row],[WEIGHT]]*9.81),0)</f>
        <v>0.35040774719673801</v>
      </c>
      <c r="AB594" s="19">
        <v>0</v>
      </c>
      <c r="AC594" s="16">
        <f>ROUND(IF(IFERROR(PROPERTIES[[#This Row],[TE_COEFFICIENT_CALC]],0)=0,PROPERTIES[[#This Row],[TE_COEFFICIENT_MANUAL]],PROPERTIES[[#This Row],[TE_COEFFICIENT_CALC]]),3)</f>
        <v>0.35</v>
      </c>
      <c r="AD594" s="8" cm="1">
        <f t="array" ref="AD5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94" s="26">
        <v>0</v>
      </c>
      <c r="AF594" s="6">
        <v>0</v>
      </c>
      <c r="AG594" t="s">
        <v>230</v>
      </c>
      <c r="AH594" t="s">
        <v>229</v>
      </c>
      <c r="AI594" t="s">
        <v>229</v>
      </c>
      <c r="AJ594" s="2" t="s">
        <v>229</v>
      </c>
      <c r="AK594" s="2" t="s">
        <v>244</v>
      </c>
      <c r="AL594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4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4" s="2" t="str">
        <f>SUBSTITUTE(SUBSTITUTE(PROPERTIES[[#This Row],[PURCHASECOST_VALUE]], "PURCHASECOST_", ""), "_VALUE", "")</f>
        <v>ELECTRICRAILBUS</v>
      </c>
      <c r="AO594" s="44" t="b">
        <v>0</v>
      </c>
      <c r="AP594" s="48" t="b">
        <v>0</v>
      </c>
      <c r="AQ594" s="48" t="b">
        <v>0</v>
      </c>
      <c r="AR594" s="48">
        <v>0</v>
      </c>
      <c r="AS594" s="48" t="b">
        <v>0</v>
      </c>
      <c r="AT594" s="7" t="b">
        <v>0</v>
      </c>
      <c r="AU594" s="40" t="str" cm="1">
        <f t="array" ref="AU594">_xlfn.XLOOKUP(PROPERTIES[[#This Row],[VEHIDCODE]],GRAPHICS_PROPERTIES[VEHIDCODE],GRAPHICS_PROPERTIES[TEMPLATE_ID]&amp;GRAPHICS_PROPERTIES[TEMPLATE_AMENDMENT_CODE])</f>
        <v>TPL_01B</v>
      </c>
    </row>
    <row r="595" spans="1:47" x14ac:dyDescent="0.35">
      <c r="A595" s="2" t="s">
        <v>3212</v>
      </c>
      <c r="B595">
        <v>1929</v>
      </c>
      <c r="D595" cm="1">
        <f t="array" ref="D5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5" s="40" t="str">
        <f>_xlfn.XLOOKUP(PROPERTIES[[#This Row],[VEHIDCODE]],CONTROL[VEHIDCODE],CONTROL[ENGLISH])</f>
        <v>Ferrocarril de Soller 1-3</v>
      </c>
      <c r="F595" t="s">
        <v>595</v>
      </c>
      <c r="G595" s="40" t="str">
        <f>_xlfn.XLOOKUP(PROPERTIES[[#This Row],[COUNTRY]],COUNTRIES[COUNTRY_DESCRIPTION],COUNTRIES[COUNTRY_LABEL],"")</f>
        <v>ES</v>
      </c>
      <c r="H595" t="str" cm="1">
        <f t="array" ref="H5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5" t="s">
        <v>15</v>
      </c>
      <c r="J595">
        <v>36</v>
      </c>
      <c r="K595">
        <v>6</v>
      </c>
      <c r="L595">
        <v>0</v>
      </c>
      <c r="M595" t="str" cm="1">
        <f t="array" ref="M5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5">
        <f>_xlfn.XLOOKUP("LOADINGSPEEDDEF_"&amp;PROPERTIES[[#This Row],[LOADINGSPEED]],LOADINGSPEEDDEF[TYPE],LOADINGSPEEDDEF[SPEED])</f>
        <v>60</v>
      </c>
      <c r="O595" cm="1">
        <f t="array" ref="O5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5">
        <f>IF(ISNUMBER(SEARCH("passenger",PROPERTIES[[#This Row],[CARGODEF]])),1,0)</f>
        <v>1</v>
      </c>
      <c r="Q595" s="23">
        <v>33</v>
      </c>
      <c r="R595">
        <v>350</v>
      </c>
      <c r="S595">
        <v>0</v>
      </c>
      <c r="T595">
        <v>0</v>
      </c>
      <c r="U595">
        <v>0</v>
      </c>
      <c r="V595">
        <v>45</v>
      </c>
      <c r="W595">
        <v>0</v>
      </c>
      <c r="X595">
        <v>0</v>
      </c>
      <c r="Y595">
        <v>0</v>
      </c>
      <c r="Z595" s="20">
        <v>52</v>
      </c>
      <c r="AA595" s="19">
        <f>IFERROR(PROPERTIES[[#This Row],[TE_STARTING_KN]]/(PROPERTIES[[#This Row],[WEIGHT]]*9.81),0)</f>
        <v>0.16062768356346338</v>
      </c>
      <c r="AB595" s="19">
        <v>0</v>
      </c>
      <c r="AC595" s="16">
        <f>ROUND(IF(IFERROR(PROPERTIES[[#This Row],[TE_COEFFICIENT_CALC]],0)=0,PROPERTIES[[#This Row],[TE_COEFFICIENT_MANUAL]],PROPERTIES[[#This Row],[TE_COEFFICIENT_CALC]]),3)</f>
        <v>0.161</v>
      </c>
      <c r="AD595" s="8" cm="1">
        <f t="array" ref="AD5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95" s="26">
        <v>0</v>
      </c>
      <c r="AF595" s="6">
        <v>0</v>
      </c>
      <c r="AG595" t="s">
        <v>231</v>
      </c>
      <c r="AH595" t="s">
        <v>229</v>
      </c>
      <c r="AI595" t="s">
        <v>229</v>
      </c>
      <c r="AJ595" s="2" t="s">
        <v>229</v>
      </c>
      <c r="AK595" s="2" t="s">
        <v>244</v>
      </c>
      <c r="AL595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5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5" s="2" t="str">
        <f>SUBSTITUTE(SUBSTITUTE(PROPERTIES[[#This Row],[PURCHASECOST_VALUE]], "PURCHASECOST_", ""), "_VALUE", "")</f>
        <v>ELECTRICRAILBUS</v>
      </c>
      <c r="AO595" s="44" t="b">
        <v>0</v>
      </c>
      <c r="AP595" s="48" t="b">
        <v>0</v>
      </c>
      <c r="AQ595" s="48" t="b">
        <v>0</v>
      </c>
      <c r="AR595" s="48">
        <v>0</v>
      </c>
      <c r="AS595" s="48" t="b">
        <v>0</v>
      </c>
      <c r="AT595" s="7" t="b">
        <v>0</v>
      </c>
      <c r="AU595" s="40" t="str" cm="1">
        <f t="array" ref="AU595">_xlfn.XLOOKUP(PROPERTIES[[#This Row],[VEHIDCODE]],GRAPHICS_PROPERTIES[VEHIDCODE],GRAPHICS_PROPERTIES[TEMPLATE_ID]&amp;GRAPHICS_PROPERTIES[TEMPLATE_AMENDMENT_CODE])</f>
        <v>TPL_01B</v>
      </c>
    </row>
    <row r="596" spans="1:47" x14ac:dyDescent="0.35">
      <c r="A596" s="2" t="s">
        <v>3213</v>
      </c>
      <c r="B596">
        <v>1960</v>
      </c>
      <c r="C596">
        <v>1994</v>
      </c>
      <c r="D596" cm="1">
        <f t="array" ref="D5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6" s="40" t="str">
        <f>_xlfn.XLOOKUP(PROPERTIES[[#This Row],[VEHIDCODE]],CONTROL[VEHIDCODE],CONTROL[ENGLISH])</f>
        <v>Hitachi Choshi DeHa 1000</v>
      </c>
      <c r="F596" t="s">
        <v>640</v>
      </c>
      <c r="G596" s="40" t="str">
        <f>_xlfn.XLOOKUP(PROPERTIES[[#This Row],[COUNTRY]],COUNTRIES[COUNTRY_DESCRIPTION],COUNTRIES[COUNTRY_LABEL],"")</f>
        <v>JP</v>
      </c>
      <c r="H596" t="str" cm="1">
        <f t="array" ref="H5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6" t="s">
        <v>15</v>
      </c>
      <c r="J596">
        <v>34</v>
      </c>
      <c r="K596">
        <v>7</v>
      </c>
      <c r="L596">
        <v>0</v>
      </c>
      <c r="M596" t="str" cm="1">
        <f t="array" ref="M5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6">
        <f>_xlfn.XLOOKUP("LOADINGSPEEDDEF_"&amp;PROPERTIES[[#This Row],[LOADINGSPEED]],LOADINGSPEEDDEF[TYPE],LOADINGSPEEDDEF[SPEED])</f>
        <v>60</v>
      </c>
      <c r="O596" cm="1">
        <f t="array" ref="O5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6">
        <f>IF(ISNUMBER(SEARCH("passenger",PROPERTIES[[#This Row],[CARGODEF]])),1,0)</f>
        <v>1</v>
      </c>
      <c r="Q596" s="23">
        <v>31</v>
      </c>
      <c r="R596">
        <v>402</v>
      </c>
      <c r="S596">
        <v>0</v>
      </c>
      <c r="T596">
        <v>0</v>
      </c>
      <c r="U596">
        <v>0</v>
      </c>
      <c r="V596">
        <v>40</v>
      </c>
      <c r="W596">
        <v>0</v>
      </c>
      <c r="X596">
        <v>0</v>
      </c>
      <c r="Y596">
        <v>0</v>
      </c>
      <c r="Z596" s="20">
        <v>54</v>
      </c>
      <c r="AA596" s="19">
        <f>IFERROR(PROPERTIES[[#This Row],[TE_STARTING_KN]]/(PROPERTIES[[#This Row],[WEIGHT]]*9.81),0)</f>
        <v>0.17756732761171942</v>
      </c>
      <c r="AB596" s="19">
        <v>0</v>
      </c>
      <c r="AC596" s="16">
        <f>ROUND(IF(IFERROR(PROPERTIES[[#This Row],[TE_COEFFICIENT_CALC]],0)=0,PROPERTIES[[#This Row],[TE_COEFFICIENT_MANUAL]],PROPERTIES[[#This Row],[TE_COEFFICIENT_CALC]]),3)</f>
        <v>0.17799999999999999</v>
      </c>
      <c r="AD596" s="8" cm="1">
        <f t="array" ref="AD5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96" s="26">
        <v>0</v>
      </c>
      <c r="AF596" s="6">
        <v>0</v>
      </c>
      <c r="AG596" t="s">
        <v>238</v>
      </c>
      <c r="AH596" t="s">
        <v>229</v>
      </c>
      <c r="AI596" t="s">
        <v>229</v>
      </c>
      <c r="AJ596" s="2" t="s">
        <v>229</v>
      </c>
      <c r="AK596" s="2" t="s">
        <v>244</v>
      </c>
      <c r="AL596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6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6" s="2" t="str">
        <f>SUBSTITUTE(SUBSTITUTE(PROPERTIES[[#This Row],[PURCHASECOST_VALUE]], "PURCHASECOST_", ""), "_VALUE", "")</f>
        <v>ELECTRICRAILBUS</v>
      </c>
      <c r="AO596" s="44" t="b">
        <v>0</v>
      </c>
      <c r="AP596" s="48" t="b">
        <v>0</v>
      </c>
      <c r="AQ596" s="48" t="b">
        <v>0</v>
      </c>
      <c r="AR596" s="48">
        <v>0</v>
      </c>
      <c r="AS596" s="48" t="b">
        <v>0</v>
      </c>
      <c r="AT596" s="7" t="b">
        <v>0</v>
      </c>
      <c r="AU596" s="40" t="str" cm="1">
        <f t="array" ref="AU596">_xlfn.XLOOKUP(PROPERTIES[[#This Row],[VEHIDCODE]],GRAPHICS_PROPERTIES[VEHIDCODE],GRAPHICS_PROPERTIES[TEMPLATE_ID]&amp;GRAPHICS_PROPERTIES[TEMPLATE_AMENDMENT_CODE])</f>
        <v>TPL_01B</v>
      </c>
    </row>
    <row r="597" spans="1:47" x14ac:dyDescent="0.35">
      <c r="A597" s="2" t="s">
        <v>3214</v>
      </c>
      <c r="B597">
        <v>1889</v>
      </c>
      <c r="C597">
        <v>1925</v>
      </c>
      <c r="D597" cm="1">
        <f t="array" ref="D5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7" s="40" t="str">
        <f>_xlfn.XLOOKUP(PROPERTIES[[#This Row],[VEHIDCODE]],CONTROL[VEHIDCODE],CONTROL[ENGLISH])</f>
        <v>SLM G 3/4</v>
      </c>
      <c r="F597" t="s">
        <v>570</v>
      </c>
      <c r="G597" s="40" t="str">
        <f>_xlfn.XLOOKUP(PROPERTIES[[#This Row],[COUNTRY]],COUNTRIES[COUNTRY_DESCRIPTION],COUNTRIES[COUNTRY_LABEL],"")</f>
        <v>CH</v>
      </c>
      <c r="H597" t="str" cm="1">
        <f t="array" ref="H5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597" t="s">
        <v>17</v>
      </c>
      <c r="J597">
        <v>0</v>
      </c>
      <c r="K597">
        <v>6</v>
      </c>
      <c r="L597">
        <v>0</v>
      </c>
      <c r="M597" t="str" cm="1">
        <f t="array" ref="M5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97">
        <f>_xlfn.XLOOKUP("LOADINGSPEEDDEF_"&amp;PROPERTIES[[#This Row],[LOADINGSPEED]],LOADINGSPEEDDEF[TYPE],LOADINGSPEEDDEF[SPEED])</f>
        <v>20</v>
      </c>
      <c r="O597" cm="1">
        <f t="array" ref="O5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7">
        <f>IF(ISNUMBER(SEARCH("passenger",PROPERTIES[[#This Row],[CARGODEF]])),1,0)</f>
        <v>0</v>
      </c>
      <c r="Q597" s="23">
        <v>30</v>
      </c>
      <c r="R597">
        <v>247</v>
      </c>
      <c r="S597">
        <v>0</v>
      </c>
      <c r="T597">
        <v>0</v>
      </c>
      <c r="U597">
        <v>0</v>
      </c>
      <c r="V597">
        <v>45</v>
      </c>
      <c r="W597">
        <v>0</v>
      </c>
      <c r="X597">
        <v>0</v>
      </c>
      <c r="Y597">
        <v>0</v>
      </c>
      <c r="Z597" s="20">
        <v>38</v>
      </c>
      <c r="AA597" s="19">
        <f>IFERROR(PROPERTIES[[#This Row],[TE_STARTING_KN]]/(PROPERTIES[[#This Row],[WEIGHT]]*9.81),0)</f>
        <v>0.1291199456337071</v>
      </c>
      <c r="AB597" s="19">
        <v>0</v>
      </c>
      <c r="AC597" s="16">
        <f>ROUND(IF(IFERROR(PROPERTIES[[#This Row],[TE_COEFFICIENT_CALC]],0)=0,PROPERTIES[[#This Row],[TE_COEFFICIENT_MANUAL]],PROPERTIES[[#This Row],[TE_COEFFICIENT_CALC]]),3)</f>
        <v>0.129</v>
      </c>
      <c r="AD597" s="8" cm="1">
        <f t="array" ref="AD5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597" s="26">
        <v>0</v>
      </c>
      <c r="AF597" s="6">
        <v>0</v>
      </c>
      <c r="AG597" t="s">
        <v>230</v>
      </c>
      <c r="AH597" t="s">
        <v>229</v>
      </c>
      <c r="AI597" t="s">
        <v>229</v>
      </c>
      <c r="AJ597" s="2" t="s">
        <v>229</v>
      </c>
      <c r="AK597" s="2" t="s">
        <v>244</v>
      </c>
      <c r="AL59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59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597" s="2" t="str">
        <f>SUBSTITUTE(SUBSTITUTE(PROPERTIES[[#This Row],[PURCHASECOST_VALUE]], "PURCHASECOST_", ""), "_VALUE", "")</f>
        <v>STEAMENGINE</v>
      </c>
      <c r="AO597" s="44" t="b">
        <v>0</v>
      </c>
      <c r="AP597" s="48" t="b">
        <v>0</v>
      </c>
      <c r="AQ597" s="48" t="b">
        <v>0</v>
      </c>
      <c r="AR597" s="48">
        <v>0</v>
      </c>
      <c r="AS597" s="48" t="b">
        <v>0</v>
      </c>
      <c r="AT597" s="7" t="b">
        <v>0</v>
      </c>
      <c r="AU597" s="40" t="str" cm="1">
        <f t="array" ref="AU597">_xlfn.XLOOKUP(PROPERTIES[[#This Row],[VEHIDCODE]],GRAPHICS_PROPERTIES[VEHIDCODE],GRAPHICS_PROPERTIES[TEMPLATE_ID]&amp;GRAPHICS_PROPERTIES[TEMPLATE_AMENDMENT_CODE])</f>
        <v>TPL_03C</v>
      </c>
    </row>
    <row r="598" spans="1:47" x14ac:dyDescent="0.35">
      <c r="A598" s="2" t="s">
        <v>3215</v>
      </c>
      <c r="B598">
        <v>1948</v>
      </c>
      <c r="C598">
        <v>1962</v>
      </c>
      <c r="D598" cm="1">
        <f t="array" ref="D5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8" s="40" t="str">
        <f>_xlfn.XLOOKUP(PROPERTIES[[#This Row],[VEHIDCODE]],CONTROL[VEHIDCODE],CONTROL[ENGLISH])</f>
        <v>Kisha Seizo 2-10-4T E10</v>
      </c>
      <c r="F598" t="s">
        <v>640</v>
      </c>
      <c r="G598" s="40" t="str">
        <f>_xlfn.XLOOKUP(PROPERTIES[[#This Row],[COUNTRY]],COUNTRIES[COUNTRY_DESCRIPTION],COUNTRIES[COUNTRY_LABEL],"")</f>
        <v>JP</v>
      </c>
      <c r="H598" t="str" cm="1">
        <f t="array" ref="H5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598" t="s">
        <v>17</v>
      </c>
      <c r="J598">
        <v>0</v>
      </c>
      <c r="K598">
        <v>7</v>
      </c>
      <c r="L598">
        <v>0</v>
      </c>
      <c r="M598" t="str" cm="1">
        <f t="array" ref="M5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98">
        <f>_xlfn.XLOOKUP("LOADINGSPEEDDEF_"&amp;PROPERTIES[[#This Row],[LOADINGSPEED]],LOADINGSPEEDDEF[TYPE],LOADINGSPEEDDEF[SPEED])</f>
        <v>20</v>
      </c>
      <c r="O598" cm="1">
        <f t="array" ref="O5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8">
        <f>IF(ISNUMBER(SEARCH("passenger",PROPERTIES[[#This Row],[CARGODEF]])),1,0)</f>
        <v>0</v>
      </c>
      <c r="Q598" s="23">
        <v>102</v>
      </c>
      <c r="R598">
        <v>1340</v>
      </c>
      <c r="S598">
        <v>0</v>
      </c>
      <c r="T598">
        <v>0</v>
      </c>
      <c r="U598">
        <v>0</v>
      </c>
      <c r="V598">
        <v>65</v>
      </c>
      <c r="W598">
        <v>0</v>
      </c>
      <c r="X598">
        <v>0</v>
      </c>
      <c r="Y598">
        <v>0</v>
      </c>
      <c r="Z598" s="20">
        <v>213</v>
      </c>
      <c r="AA598" s="19">
        <f>IFERROR(PROPERTIES[[#This Row],[TE_STARTING_KN]]/(PROPERTIES[[#This Row],[WEIGHT]]*9.81),0)</f>
        <v>0.21286802182646758</v>
      </c>
      <c r="AB598" s="19">
        <v>0</v>
      </c>
      <c r="AC598" s="16">
        <f>ROUND(IF(IFERROR(PROPERTIES[[#This Row],[TE_COEFFICIENT_CALC]],0)=0,PROPERTIES[[#This Row],[TE_COEFFICIENT_MANUAL]],PROPERTIES[[#This Row],[TE_COEFFICIENT_CALC]]),3)</f>
        <v>0.21299999999999999</v>
      </c>
      <c r="AD598" s="8" cm="1">
        <f t="array" ref="AD5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98" s="26">
        <v>0</v>
      </c>
      <c r="AF598" s="6">
        <v>0</v>
      </c>
      <c r="AG598" t="s">
        <v>238</v>
      </c>
      <c r="AH598" t="s">
        <v>229</v>
      </c>
      <c r="AI598" t="s">
        <v>229</v>
      </c>
      <c r="AJ598" s="2" t="s">
        <v>229</v>
      </c>
      <c r="AK598" s="2" t="s">
        <v>244</v>
      </c>
      <c r="AL59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59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598" s="2" t="str">
        <f>SUBSTITUTE(SUBSTITUTE(PROPERTIES[[#This Row],[PURCHASECOST_VALUE]], "PURCHASECOST_", ""), "_VALUE", "")</f>
        <v>STEAMENGINE</v>
      </c>
      <c r="AO598" s="44" t="b">
        <v>0</v>
      </c>
      <c r="AP598" s="48" t="b">
        <v>0</v>
      </c>
      <c r="AQ598" s="48" t="b">
        <v>0</v>
      </c>
      <c r="AR598" s="48">
        <v>0</v>
      </c>
      <c r="AS598" s="48" t="b">
        <v>0</v>
      </c>
      <c r="AT598" s="7" t="b">
        <v>0</v>
      </c>
      <c r="AU598" s="40" t="str" cm="1">
        <f t="array" ref="AU598">_xlfn.XLOOKUP(PROPERTIES[[#This Row],[VEHIDCODE]],GRAPHICS_PROPERTIES[VEHIDCODE],GRAPHICS_PROPERTIES[TEMPLATE_ID]&amp;GRAPHICS_PROPERTIES[TEMPLATE_AMENDMENT_CODE])</f>
        <v>TPL_03C</v>
      </c>
    </row>
    <row r="599" spans="1:47" x14ac:dyDescent="0.35">
      <c r="A599" s="2" t="s">
        <v>3216</v>
      </c>
      <c r="B599">
        <v>1880</v>
      </c>
      <c r="C599">
        <v>1917</v>
      </c>
      <c r="D599" cm="1">
        <f t="array" ref="D5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9" s="40" t="str">
        <f>_xlfn.XLOOKUP(PROPERTIES[[#This Row],[VEHIDCODE]],CONTROL[VEHIDCODE],CONTROL[ENGLISH])</f>
        <v>H. K. Porter, Inc 2-6-0 7100</v>
      </c>
      <c r="F599" t="s">
        <v>640</v>
      </c>
      <c r="G599" s="40" t="str">
        <f>_xlfn.XLOOKUP(PROPERTIES[[#This Row],[COUNTRY]],COUNTRIES[COUNTRY_DESCRIPTION],COUNTRIES[COUNTRY_LABEL],"")</f>
        <v>JP</v>
      </c>
      <c r="H599" t="str" cm="1">
        <f t="array" ref="H5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599" t="s">
        <v>17</v>
      </c>
      <c r="J599">
        <v>0</v>
      </c>
      <c r="K599">
        <v>5</v>
      </c>
      <c r="L599">
        <v>0</v>
      </c>
      <c r="M599" t="str" cm="1">
        <f t="array" ref="M5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99">
        <f>_xlfn.XLOOKUP("LOADINGSPEEDDEF_"&amp;PROPERTIES[[#This Row],[LOADINGSPEED]],LOADINGSPEEDDEF[TYPE],LOADINGSPEEDDEF[SPEED])</f>
        <v>20</v>
      </c>
      <c r="O599" cm="1">
        <f t="array" ref="O5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9">
        <f>IF(ISNUMBER(SEARCH("passenger",PROPERTIES[[#This Row],[CARGODEF]])),1,0)</f>
        <v>0</v>
      </c>
      <c r="Q599" s="23">
        <v>31</v>
      </c>
      <c r="R599">
        <v>200</v>
      </c>
      <c r="S599">
        <v>0</v>
      </c>
      <c r="T599">
        <v>0</v>
      </c>
      <c r="U599">
        <v>0</v>
      </c>
      <c r="V599">
        <v>36</v>
      </c>
      <c r="W599">
        <v>0</v>
      </c>
      <c r="X599">
        <v>0</v>
      </c>
      <c r="Y599">
        <v>0</v>
      </c>
      <c r="Z599" s="20">
        <v>22</v>
      </c>
      <c r="AA599" s="19">
        <f>IFERROR(PROPERTIES[[#This Row],[TE_STARTING_KN]]/(PROPERTIES[[#This Row],[WEIGHT]]*9.81),0)</f>
        <v>7.2342244582552367E-2</v>
      </c>
      <c r="AB599" s="19">
        <v>0</v>
      </c>
      <c r="AC599" s="16">
        <f>ROUND(IF(IFERROR(PROPERTIES[[#This Row],[TE_COEFFICIENT_CALC]],0)=0,PROPERTIES[[#This Row],[TE_COEFFICIENT_MANUAL]],PROPERTIES[[#This Row],[TE_COEFFICIENT_CALC]]),3)</f>
        <v>7.1999999999999995E-2</v>
      </c>
      <c r="AD599" s="8" cm="1">
        <f t="array" ref="AD5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37</v>
      </c>
      <c r="AE599" s="26">
        <v>0</v>
      </c>
      <c r="AF599" s="6">
        <v>4</v>
      </c>
      <c r="AG599" t="s">
        <v>238</v>
      </c>
      <c r="AH599" t="s">
        <v>229</v>
      </c>
      <c r="AI599" t="s">
        <v>229</v>
      </c>
      <c r="AJ599" s="2" t="s">
        <v>229</v>
      </c>
      <c r="AK599" s="2" t="s">
        <v>244</v>
      </c>
      <c r="AL59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59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599" s="2" t="str">
        <f>SUBSTITUTE(SUBSTITUTE(PROPERTIES[[#This Row],[PURCHASECOST_VALUE]], "PURCHASECOST_", ""), "_VALUE", "")</f>
        <v>STEAMENGINE</v>
      </c>
      <c r="AO599" s="44" t="b">
        <v>0</v>
      </c>
      <c r="AP599" s="48" t="b">
        <v>0</v>
      </c>
      <c r="AQ599" s="48" t="b">
        <v>0</v>
      </c>
      <c r="AR599" s="48">
        <v>0</v>
      </c>
      <c r="AS599" s="48" t="b">
        <v>0</v>
      </c>
      <c r="AT599" s="7" t="b">
        <v>0</v>
      </c>
      <c r="AU599" s="40" t="str" cm="1">
        <f t="array" ref="AU599">_xlfn.XLOOKUP(PROPERTIES[[#This Row],[VEHIDCODE]],GRAPHICS_PROPERTIES[VEHIDCODE],GRAPHICS_PROPERTIES[TEMPLATE_ID]&amp;GRAPHICS_PROPERTIES[TEMPLATE_AMENDMENT_CODE])</f>
        <v>TPL_03A</v>
      </c>
    </row>
    <row r="600" spans="1:47" x14ac:dyDescent="0.35">
      <c r="A600" s="2" t="s">
        <v>3217</v>
      </c>
      <c r="B600">
        <v>1893</v>
      </c>
      <c r="C600">
        <v>1929</v>
      </c>
      <c r="D600" cm="1">
        <f t="array" ref="D6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0" s="40" t="str">
        <f>_xlfn.XLOOKUP(PROPERTIES[[#This Row],[VEHIDCODE]],CONTROL[VEHIDCODE],CONTROL[ENGLISH])</f>
        <v>Richard Francis Trevithick 2-4-2T 860</v>
      </c>
      <c r="F600" t="s">
        <v>640</v>
      </c>
      <c r="G600" s="40" t="str">
        <f>_xlfn.XLOOKUP(PROPERTIES[[#This Row],[COUNTRY]],COUNTRIES[COUNTRY_DESCRIPTION],COUNTRIES[COUNTRY_LABEL],"")</f>
        <v>JP</v>
      </c>
      <c r="H600" t="str" cm="1">
        <f t="array" ref="H6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00" t="s">
        <v>17</v>
      </c>
      <c r="J600">
        <v>0</v>
      </c>
      <c r="K600">
        <v>5</v>
      </c>
      <c r="L600">
        <v>0</v>
      </c>
      <c r="M600" t="str" cm="1">
        <f t="array" ref="M6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0">
        <f>_xlfn.XLOOKUP("LOADINGSPEEDDEF_"&amp;PROPERTIES[[#This Row],[LOADINGSPEED]],LOADINGSPEEDDEF[TYPE],LOADINGSPEEDDEF[SPEED])</f>
        <v>20</v>
      </c>
      <c r="O600" cm="1">
        <f t="array" ref="O6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0">
        <f>IF(ISNUMBER(SEARCH("passenger",PROPERTIES[[#This Row],[CARGODEF]])),1,0)</f>
        <v>0</v>
      </c>
      <c r="Q600" s="23">
        <v>32</v>
      </c>
      <c r="R600">
        <v>186</v>
      </c>
      <c r="S600">
        <v>0</v>
      </c>
      <c r="T600">
        <v>0</v>
      </c>
      <c r="U600">
        <v>0</v>
      </c>
      <c r="V600">
        <v>48</v>
      </c>
      <c r="W600">
        <v>0</v>
      </c>
      <c r="X600">
        <v>0</v>
      </c>
      <c r="Y600">
        <v>0</v>
      </c>
      <c r="Z600" s="20">
        <v>48</v>
      </c>
      <c r="AA600" s="19">
        <f>IFERROR(PROPERTIES[[#This Row],[TE_STARTING_KN]]/(PROPERTIES[[#This Row],[WEIGHT]]*9.81),0)</f>
        <v>0.1529051987767584</v>
      </c>
      <c r="AB600" s="19">
        <v>0</v>
      </c>
      <c r="AC600" s="16">
        <f>ROUND(IF(IFERROR(PROPERTIES[[#This Row],[TE_COEFFICIENT_CALC]],0)=0,PROPERTIES[[#This Row],[TE_COEFFICIENT_MANUAL]],PROPERTIES[[#This Row],[TE_COEFFICIENT_CALC]]),3)</f>
        <v>0.153</v>
      </c>
      <c r="AD600" s="8" cm="1">
        <f t="array" ref="AD6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600" s="26">
        <v>0</v>
      </c>
      <c r="AF600" s="6">
        <v>0</v>
      </c>
      <c r="AG600" t="s">
        <v>238</v>
      </c>
      <c r="AH600" t="s">
        <v>229</v>
      </c>
      <c r="AI600" t="s">
        <v>229</v>
      </c>
      <c r="AJ600" s="2" t="s">
        <v>229</v>
      </c>
      <c r="AK600" s="2" t="s">
        <v>244</v>
      </c>
      <c r="AL60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0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00" s="2" t="str">
        <f>SUBSTITUTE(SUBSTITUTE(PROPERTIES[[#This Row],[PURCHASECOST_VALUE]], "PURCHASECOST_", ""), "_VALUE", "")</f>
        <v>STEAMENGINE</v>
      </c>
      <c r="AO600" s="44" t="b">
        <v>0</v>
      </c>
      <c r="AP600" s="48" t="b">
        <v>0</v>
      </c>
      <c r="AQ600" s="48" t="b">
        <v>0</v>
      </c>
      <c r="AR600" s="48">
        <v>0</v>
      </c>
      <c r="AS600" s="48" t="b">
        <v>0</v>
      </c>
      <c r="AT600" s="7" t="b">
        <v>0</v>
      </c>
      <c r="AU600" s="40" t="str" cm="1">
        <f t="array" ref="AU600">_xlfn.XLOOKUP(PROPERTIES[[#This Row],[VEHIDCODE]],GRAPHICS_PROPERTIES[VEHIDCODE],GRAPHICS_PROPERTIES[TEMPLATE_ID]&amp;GRAPHICS_PROPERTIES[TEMPLATE_AMENDMENT_CODE])</f>
        <v>TPL_03C</v>
      </c>
    </row>
    <row r="601" spans="1:47" x14ac:dyDescent="0.35">
      <c r="A601" s="2" t="s">
        <v>3218</v>
      </c>
      <c r="B601">
        <v>1913</v>
      </c>
      <c r="C601">
        <v>1976</v>
      </c>
      <c r="D601" cm="1">
        <f t="array" ref="D6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1" s="40" t="str">
        <f>_xlfn.XLOOKUP(PROPERTIES[[#This Row],[VEHIDCODE]],CONTROL[VEHIDCODE],CONTROL[ENGLISH])</f>
        <v>Kawasaki 2-8-0 9600</v>
      </c>
      <c r="F601" t="s">
        <v>640</v>
      </c>
      <c r="G601" s="40" t="str">
        <f>_xlfn.XLOOKUP(PROPERTIES[[#This Row],[COUNTRY]],COUNTRIES[COUNTRY_DESCRIPTION],COUNTRIES[COUNTRY_LABEL],"")</f>
        <v>JP</v>
      </c>
      <c r="H601" t="str" cm="1">
        <f t="array" ref="H6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01" t="s">
        <v>17</v>
      </c>
      <c r="J601">
        <v>0</v>
      </c>
      <c r="K601">
        <v>7</v>
      </c>
      <c r="L601">
        <v>0</v>
      </c>
      <c r="M601" t="str" cm="1">
        <f t="array" ref="M6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1">
        <f>_xlfn.XLOOKUP("LOADINGSPEEDDEF_"&amp;PROPERTIES[[#This Row],[LOADINGSPEED]],LOADINGSPEEDDEF[TYPE],LOADINGSPEEDDEF[SPEED])</f>
        <v>20</v>
      </c>
      <c r="O601" cm="1">
        <f t="array" ref="O6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1">
        <f>IF(ISNUMBER(SEARCH("passenger",PROPERTIES[[#This Row],[CARGODEF]])),1,0)</f>
        <v>0</v>
      </c>
      <c r="Q601" s="23">
        <v>95</v>
      </c>
      <c r="R601">
        <v>870</v>
      </c>
      <c r="S601">
        <v>0</v>
      </c>
      <c r="T601">
        <v>0</v>
      </c>
      <c r="U601">
        <v>0</v>
      </c>
      <c r="V601">
        <v>65</v>
      </c>
      <c r="W601">
        <v>0</v>
      </c>
      <c r="X601">
        <v>0</v>
      </c>
      <c r="Y601">
        <v>0</v>
      </c>
      <c r="Z601" s="20">
        <v>139</v>
      </c>
      <c r="AA601" s="19">
        <f>IFERROR(PROPERTIES[[#This Row],[TE_STARTING_KN]]/(PROPERTIES[[#This Row],[WEIGHT]]*9.81),0)</f>
        <v>0.14914963249101346</v>
      </c>
      <c r="AB601" s="19">
        <v>0</v>
      </c>
      <c r="AC601" s="16">
        <f>ROUND(IF(IFERROR(PROPERTIES[[#This Row],[TE_COEFFICIENT_CALC]],0)=0,PROPERTIES[[#This Row],[TE_COEFFICIENT_MANUAL]],PROPERTIES[[#This Row],[TE_COEFFICIENT_CALC]]),3)</f>
        <v>0.14899999999999999</v>
      </c>
      <c r="AD601" s="8" cm="1">
        <f t="array" ref="AD6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63</v>
      </c>
      <c r="AE601" s="26">
        <v>0</v>
      </c>
      <c r="AF601" s="6">
        <v>4</v>
      </c>
      <c r="AG601" t="s">
        <v>238</v>
      </c>
      <c r="AH601" t="s">
        <v>229</v>
      </c>
      <c r="AI601" t="s">
        <v>229</v>
      </c>
      <c r="AJ601" s="2" t="s">
        <v>229</v>
      </c>
      <c r="AK601" s="2" t="s">
        <v>244</v>
      </c>
      <c r="AL60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0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01" s="2" t="str">
        <f>SUBSTITUTE(SUBSTITUTE(PROPERTIES[[#This Row],[PURCHASECOST_VALUE]], "PURCHASECOST_", ""), "_VALUE", "")</f>
        <v>STEAMENGINE</v>
      </c>
      <c r="AO601" s="44" t="b">
        <v>0</v>
      </c>
      <c r="AP601" s="48" t="b">
        <v>0</v>
      </c>
      <c r="AQ601" s="48" t="b">
        <v>0</v>
      </c>
      <c r="AR601" s="48">
        <v>0</v>
      </c>
      <c r="AS601" s="48" t="b">
        <v>0</v>
      </c>
      <c r="AT601" s="7" t="b">
        <v>0</v>
      </c>
      <c r="AU601" s="40" t="str" cm="1">
        <f t="array" ref="AU601">_xlfn.XLOOKUP(PROPERTIES[[#This Row],[VEHIDCODE]],GRAPHICS_PROPERTIES[VEHIDCODE],GRAPHICS_PROPERTIES[TEMPLATE_ID]&amp;GRAPHICS_PROPERTIES[TEMPLATE_AMENDMENT_CODE])</f>
        <v>TPL_03A</v>
      </c>
    </row>
    <row r="602" spans="1:47" x14ac:dyDescent="0.35">
      <c r="A602" s="2" t="s">
        <v>3219</v>
      </c>
      <c r="B602">
        <v>1923</v>
      </c>
      <c r="C602">
        <v>1965</v>
      </c>
      <c r="D602" cm="1">
        <f t="array" ref="D6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2" s="40" t="str">
        <f>_xlfn.XLOOKUP(PROPERTIES[[#This Row],[VEHIDCODE]],CONTROL[VEHIDCODE],CONTROL[ENGLISH])</f>
        <v>Kawasaki 2-8-2 D50</v>
      </c>
      <c r="F602" t="s">
        <v>640</v>
      </c>
      <c r="G602" s="40" t="str">
        <f>_xlfn.XLOOKUP(PROPERTIES[[#This Row],[COUNTRY]],COUNTRIES[COUNTRY_DESCRIPTION],COUNTRIES[COUNTRY_LABEL],"")</f>
        <v>JP</v>
      </c>
      <c r="H602" t="str" cm="1">
        <f t="array" ref="H6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02" t="s">
        <v>17</v>
      </c>
      <c r="J602">
        <v>0</v>
      </c>
      <c r="K602">
        <v>6</v>
      </c>
      <c r="L602">
        <v>0</v>
      </c>
      <c r="M602" t="str" cm="1">
        <f t="array" ref="M6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2">
        <f>_xlfn.XLOOKUP("LOADINGSPEEDDEF_"&amp;PROPERTIES[[#This Row],[LOADINGSPEED]],LOADINGSPEEDDEF[TYPE],LOADINGSPEEDDEF[SPEED])</f>
        <v>20</v>
      </c>
      <c r="O602" cm="1">
        <f t="array" ref="O6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2">
        <f>IF(ISNUMBER(SEARCH("passenger",PROPERTIES[[#This Row],[CARGODEF]])),1,0)</f>
        <v>0</v>
      </c>
      <c r="Q602" s="23">
        <v>122</v>
      </c>
      <c r="R602">
        <v>1280</v>
      </c>
      <c r="S602">
        <v>0</v>
      </c>
      <c r="T602">
        <v>0</v>
      </c>
      <c r="U602">
        <v>0</v>
      </c>
      <c r="V602">
        <v>70</v>
      </c>
      <c r="W602">
        <v>0</v>
      </c>
      <c r="X602">
        <v>0</v>
      </c>
      <c r="Y602">
        <v>0</v>
      </c>
      <c r="Z602" s="20">
        <v>166</v>
      </c>
      <c r="AA602" s="19">
        <f>IFERROR(PROPERTIES[[#This Row],[TE_STARTING_KN]]/(PROPERTIES[[#This Row],[WEIGHT]]*9.81),0)</f>
        <v>0.13870089069367153</v>
      </c>
      <c r="AB602" s="19">
        <v>0</v>
      </c>
      <c r="AC602" s="16">
        <f>ROUND(IF(IFERROR(PROPERTIES[[#This Row],[TE_COEFFICIENT_CALC]],0)=0,PROPERTIES[[#This Row],[TE_COEFFICIENT_MANUAL]],PROPERTIES[[#This Row],[TE_COEFFICIENT_CALC]]),3)</f>
        <v>0.13900000000000001</v>
      </c>
      <c r="AD602" s="8" cm="1">
        <f t="array" ref="AD6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602" s="26">
        <v>0</v>
      </c>
      <c r="AF602" s="6">
        <v>4</v>
      </c>
      <c r="AG602" t="s">
        <v>238</v>
      </c>
      <c r="AH602" t="s">
        <v>229</v>
      </c>
      <c r="AI602" t="s">
        <v>229</v>
      </c>
      <c r="AJ602" s="2" t="s">
        <v>229</v>
      </c>
      <c r="AK602" s="2" t="s">
        <v>244</v>
      </c>
      <c r="AL60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0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02" s="2" t="str">
        <f>SUBSTITUTE(SUBSTITUTE(PROPERTIES[[#This Row],[PURCHASECOST_VALUE]], "PURCHASECOST_", ""), "_VALUE", "")</f>
        <v>STEAMENGINE</v>
      </c>
      <c r="AO602" s="44" t="b">
        <v>0</v>
      </c>
      <c r="AP602" s="48" t="b">
        <v>0</v>
      </c>
      <c r="AQ602" s="48" t="b">
        <v>0</v>
      </c>
      <c r="AR602" s="48">
        <v>0</v>
      </c>
      <c r="AS602" s="48" t="b">
        <v>0</v>
      </c>
      <c r="AT602" s="7" t="b">
        <v>0</v>
      </c>
      <c r="AU602" s="40" t="str" cm="1">
        <f t="array" ref="AU602">_xlfn.XLOOKUP(PROPERTIES[[#This Row],[VEHIDCODE]],GRAPHICS_PROPERTIES[VEHIDCODE],GRAPHICS_PROPERTIES[TEMPLATE_ID]&amp;GRAPHICS_PROPERTIES[TEMPLATE_AMENDMENT_CODE])</f>
        <v>TPL_03A</v>
      </c>
    </row>
    <row r="603" spans="1:47" x14ac:dyDescent="0.35">
      <c r="A603" s="2" t="s">
        <v>3220</v>
      </c>
      <c r="B603">
        <v>1957</v>
      </c>
      <c r="C603">
        <v>1983</v>
      </c>
      <c r="D603" cm="1">
        <f t="array" ref="D6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3" s="40" t="str">
        <f>_xlfn.XLOOKUP(PROPERTIES[[#This Row],[VEHIDCODE]],CONTROL[VEHIDCODE],CONTROL[ENGLISH])</f>
        <v>Kisha/Mitsubishi/NS DF50</v>
      </c>
      <c r="F603" t="s">
        <v>640</v>
      </c>
      <c r="G603" s="40" t="str">
        <f>_xlfn.XLOOKUP(PROPERTIES[[#This Row],[COUNTRY]],COUNTRIES[COUNTRY_DESCRIPTION],COUNTRIES[COUNTRY_LABEL],"")</f>
        <v>JP</v>
      </c>
      <c r="H603" t="str" cm="1">
        <f t="array" ref="H6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03" t="s">
        <v>17</v>
      </c>
      <c r="J603">
        <v>0</v>
      </c>
      <c r="K603">
        <v>7</v>
      </c>
      <c r="L603">
        <v>0</v>
      </c>
      <c r="M603" t="str" cm="1">
        <f t="array" ref="M6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3">
        <f>_xlfn.XLOOKUP("LOADINGSPEEDDEF_"&amp;PROPERTIES[[#This Row],[LOADINGSPEED]],LOADINGSPEEDDEF[TYPE],LOADINGSPEEDDEF[SPEED])</f>
        <v>20</v>
      </c>
      <c r="O603" cm="1">
        <f t="array" ref="O6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3">
        <f>IF(ISNUMBER(SEARCH("passenger",PROPERTIES[[#This Row],[CARGODEF]])),1,0)</f>
        <v>0</v>
      </c>
      <c r="Q603" s="23">
        <v>85</v>
      </c>
      <c r="R603">
        <v>1060</v>
      </c>
      <c r="S603">
        <v>0</v>
      </c>
      <c r="T603">
        <v>0</v>
      </c>
      <c r="U603">
        <v>0</v>
      </c>
      <c r="V603">
        <v>90</v>
      </c>
      <c r="W603">
        <v>0</v>
      </c>
      <c r="X603">
        <v>0</v>
      </c>
      <c r="Y603">
        <v>0</v>
      </c>
      <c r="Z603" s="20">
        <v>123</v>
      </c>
      <c r="AA603" s="19">
        <f>IFERROR(PROPERTIES[[#This Row],[TE_STARTING_KN]]/(PROPERTIES[[#This Row],[WEIGHT]]*9.81),0)</f>
        <v>0.14750854470228458</v>
      </c>
      <c r="AB603" s="19">
        <v>0</v>
      </c>
      <c r="AC603" s="16">
        <f>ROUND(IF(IFERROR(PROPERTIES[[#This Row],[TE_COEFFICIENT_CALC]],0)=0,PROPERTIES[[#This Row],[TE_COEFFICIENT_MANUAL]],PROPERTIES[[#This Row],[TE_COEFFICIENT_CALC]]),3)</f>
        <v>0.14799999999999999</v>
      </c>
      <c r="AD603" s="8" cm="1">
        <f t="array" ref="AD6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03" s="26">
        <v>0</v>
      </c>
      <c r="AF603" s="6">
        <v>0</v>
      </c>
      <c r="AG603" t="s">
        <v>238</v>
      </c>
      <c r="AH603" t="s">
        <v>229</v>
      </c>
      <c r="AI603" t="s">
        <v>229</v>
      </c>
      <c r="AJ603" s="2" t="s">
        <v>229</v>
      </c>
      <c r="AK603" s="2" t="s">
        <v>244</v>
      </c>
      <c r="AL60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60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603" s="2" t="str">
        <f>SUBSTITUTE(SUBSTITUTE(PROPERTIES[[#This Row],[PURCHASECOST_VALUE]], "PURCHASECOST_", ""), "_VALUE", "")</f>
        <v>DIESELENGINE</v>
      </c>
      <c r="AO603" s="44" t="b">
        <v>0</v>
      </c>
      <c r="AP603" s="48" t="b">
        <v>0</v>
      </c>
      <c r="AQ603" s="48" t="b">
        <v>0</v>
      </c>
      <c r="AR603" s="48">
        <v>0</v>
      </c>
      <c r="AS603" s="48" t="b">
        <v>0</v>
      </c>
      <c r="AT603" s="7" t="b">
        <v>0</v>
      </c>
      <c r="AU603" s="40" t="str" cm="1">
        <f t="array" ref="AU603">_xlfn.XLOOKUP(PROPERTIES[[#This Row],[VEHIDCODE]],GRAPHICS_PROPERTIES[VEHIDCODE],GRAPHICS_PROPERTIES[TEMPLATE_ID]&amp;GRAPHICS_PROPERTIES[TEMPLATE_AMENDMENT_CODE])</f>
        <v>TPL_01A</v>
      </c>
    </row>
    <row r="604" spans="1:47" x14ac:dyDescent="0.35">
      <c r="A604" s="2" t="s">
        <v>3221</v>
      </c>
      <c r="B604">
        <v>1909</v>
      </c>
      <c r="C604">
        <v>2023</v>
      </c>
      <c r="D604" cm="1">
        <f t="array" ref="D6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4" s="40" t="str">
        <f>_xlfn.XLOOKUP(PROPERTIES[[#This Row],[VEHIDCODE]],CONTROL[VEHIDCODE],CONTROL[ENGLISH])</f>
        <v>SIG Alioth De 2/2</v>
      </c>
      <c r="F604" t="s">
        <v>570</v>
      </c>
      <c r="G604" s="40" t="str">
        <f>_xlfn.XLOOKUP(PROPERTIES[[#This Row],[COUNTRY]],COUNTRIES[COUNTRY_DESCRIPTION],COUNTRIES[COUNTRY_LABEL],"")</f>
        <v>CH</v>
      </c>
      <c r="H604" t="str" cm="1">
        <f t="array" ref="H6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4" t="s">
        <v>17</v>
      </c>
      <c r="J604">
        <v>0</v>
      </c>
      <c r="K604">
        <v>5</v>
      </c>
      <c r="L604">
        <v>0</v>
      </c>
      <c r="M604" t="str" cm="1">
        <f t="array" ref="M6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4">
        <f>_xlfn.XLOOKUP("LOADINGSPEEDDEF_"&amp;PROPERTIES[[#This Row],[LOADINGSPEED]],LOADINGSPEEDDEF[TYPE],LOADINGSPEEDDEF[SPEED])</f>
        <v>20</v>
      </c>
      <c r="O604" cm="1">
        <f t="array" ref="O6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4">
        <f>IF(ISNUMBER(SEARCH("passenger",PROPERTIES[[#This Row],[CARGODEF]])),1,0)</f>
        <v>0</v>
      </c>
      <c r="Q604" s="23">
        <v>16</v>
      </c>
      <c r="R604">
        <v>200</v>
      </c>
      <c r="S604">
        <v>0</v>
      </c>
      <c r="T604">
        <v>0</v>
      </c>
      <c r="U604">
        <v>0</v>
      </c>
      <c r="V604">
        <v>45</v>
      </c>
      <c r="W604">
        <v>0</v>
      </c>
      <c r="X604">
        <v>0</v>
      </c>
      <c r="Y604">
        <v>0</v>
      </c>
      <c r="Z604" s="20">
        <v>24.5</v>
      </c>
      <c r="AA604" s="19">
        <f>IFERROR(PROPERTIES[[#This Row],[TE_STARTING_KN]]/(PROPERTIES[[#This Row],[WEIGHT]]*9.81),0)</f>
        <v>0.1560907237512742</v>
      </c>
      <c r="AB604" s="19">
        <v>0</v>
      </c>
      <c r="AC604" s="16">
        <f>ROUND(IF(IFERROR(PROPERTIES[[#This Row],[TE_COEFFICIENT_CALC]],0)=0,PROPERTIES[[#This Row],[TE_COEFFICIENT_MANUAL]],PROPERTIES[[#This Row],[TE_COEFFICIENT_CALC]]),3)</f>
        <v>0.156</v>
      </c>
      <c r="AD604" s="8" cm="1">
        <f t="array" ref="AD6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114</v>
      </c>
      <c r="AE604" s="26">
        <v>0</v>
      </c>
      <c r="AF604" s="6">
        <v>0</v>
      </c>
      <c r="AG604" t="s">
        <v>230</v>
      </c>
      <c r="AH604" t="s">
        <v>229</v>
      </c>
      <c r="AI604" t="s">
        <v>229</v>
      </c>
      <c r="AJ604" s="2" t="s">
        <v>229</v>
      </c>
      <c r="AK604" s="2" t="s">
        <v>244</v>
      </c>
      <c r="AL60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4" s="2" t="str">
        <f>SUBSTITUTE(SUBSTITUTE(PROPERTIES[[#This Row],[PURCHASECOST_VALUE]], "PURCHASECOST_", ""), "_VALUE", "")</f>
        <v>ELECTRICENGINE</v>
      </c>
      <c r="AO604" s="44" t="b">
        <v>0</v>
      </c>
      <c r="AP604" s="48" t="b">
        <v>0</v>
      </c>
      <c r="AQ604" s="48" t="b">
        <v>0</v>
      </c>
      <c r="AR604" s="48">
        <v>0</v>
      </c>
      <c r="AS604" s="48" t="b">
        <v>0</v>
      </c>
      <c r="AT604" s="7" t="b">
        <v>0</v>
      </c>
      <c r="AU604" s="40" t="str" cm="1">
        <f t="array" ref="AU604">_xlfn.XLOOKUP(PROPERTIES[[#This Row],[VEHIDCODE]],GRAPHICS_PROPERTIES[VEHIDCODE],GRAPHICS_PROPERTIES[TEMPLATE_ID]&amp;GRAPHICS_PROPERTIES[TEMPLATE_AMENDMENT_CODE])</f>
        <v>TPL_01A</v>
      </c>
    </row>
    <row r="605" spans="1:47" x14ac:dyDescent="0.35">
      <c r="A605" s="2" t="s">
        <v>3222</v>
      </c>
      <c r="B605">
        <v>1954</v>
      </c>
      <c r="C605">
        <v>1982</v>
      </c>
      <c r="D605" cm="1">
        <f t="array" ref="D6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5" s="40" t="str">
        <f>_xlfn.XLOOKUP(PROPERTIES[[#This Row],[VEHIDCODE]],CONTROL[VEHIDCODE],CONTROL[ENGLISH])</f>
        <v>Toshiba EH10</v>
      </c>
      <c r="F605" t="s">
        <v>640</v>
      </c>
      <c r="G605" s="40" t="str">
        <f>_xlfn.XLOOKUP(PROPERTIES[[#This Row],[COUNTRY]],COUNTRIES[COUNTRY_DESCRIPTION],COUNTRIES[COUNTRY_LABEL],"")</f>
        <v>JP</v>
      </c>
      <c r="H605" t="str" cm="1">
        <f t="array" ref="H6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5" t="s">
        <v>17</v>
      </c>
      <c r="J605">
        <v>0</v>
      </c>
      <c r="K605">
        <v>6</v>
      </c>
      <c r="L605">
        <v>0</v>
      </c>
      <c r="M605" t="str" cm="1">
        <f t="array" ref="M6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5">
        <f>_xlfn.XLOOKUP("LOADINGSPEEDDEF_"&amp;PROPERTIES[[#This Row],[LOADINGSPEED]],LOADINGSPEEDDEF[TYPE],LOADINGSPEEDDEF[SPEED])</f>
        <v>20</v>
      </c>
      <c r="O605" cm="1">
        <f t="array" ref="O6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5">
        <f>IF(ISNUMBER(SEARCH("passenger",PROPERTIES[[#This Row],[CARGODEF]])),1,0)</f>
        <v>0</v>
      </c>
      <c r="Q605" s="23">
        <v>116</v>
      </c>
      <c r="R605">
        <v>3390</v>
      </c>
      <c r="S605">
        <v>0</v>
      </c>
      <c r="T605">
        <v>0</v>
      </c>
      <c r="U605">
        <v>0</v>
      </c>
      <c r="V605">
        <v>110</v>
      </c>
      <c r="W605">
        <v>0</v>
      </c>
      <c r="X605">
        <v>0</v>
      </c>
      <c r="Y605">
        <v>0</v>
      </c>
      <c r="Z605" s="20">
        <v>238</v>
      </c>
      <c r="AA605" s="19">
        <f>IFERROR(PROPERTIES[[#This Row],[TE_STARTING_KN]]/(PROPERTIES[[#This Row],[WEIGHT]]*9.81),0)</f>
        <v>0.20914619143027874</v>
      </c>
      <c r="AB605" s="19">
        <v>0</v>
      </c>
      <c r="AC605" s="16">
        <f>ROUND(IF(IFERROR(PROPERTIES[[#This Row],[TE_COEFFICIENT_CALC]],0)=0,PROPERTIES[[#This Row],[TE_COEFFICIENT_MANUAL]],PROPERTIES[[#This Row],[TE_COEFFICIENT_CALC]]),3)</f>
        <v>0.20899999999999999</v>
      </c>
      <c r="AD605" s="8" cm="1">
        <f t="array" ref="AD6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05" s="26">
        <v>0</v>
      </c>
      <c r="AF605" s="6">
        <v>6</v>
      </c>
      <c r="AG605" t="s">
        <v>238</v>
      </c>
      <c r="AH605" t="s">
        <v>229</v>
      </c>
      <c r="AI605" t="s">
        <v>229</v>
      </c>
      <c r="AJ605" s="2" t="s">
        <v>229</v>
      </c>
      <c r="AK605" s="2" t="s">
        <v>244</v>
      </c>
      <c r="AL60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5" s="2" t="str">
        <f>SUBSTITUTE(SUBSTITUTE(PROPERTIES[[#This Row],[PURCHASECOST_VALUE]], "PURCHASECOST_", ""), "_VALUE", "")</f>
        <v>ELECTRICENGINE</v>
      </c>
      <c r="AO605" s="44" t="b">
        <v>0</v>
      </c>
      <c r="AP605" s="48" t="b">
        <v>0</v>
      </c>
      <c r="AQ605" s="48" t="b">
        <v>0</v>
      </c>
      <c r="AR605" s="48">
        <v>0</v>
      </c>
      <c r="AS605" s="48" t="b">
        <v>0</v>
      </c>
      <c r="AT605" s="7" t="b">
        <v>0</v>
      </c>
      <c r="AU605" s="40" t="str" cm="1">
        <f t="array" ref="AU605">_xlfn.XLOOKUP(PROPERTIES[[#This Row],[VEHIDCODE]],GRAPHICS_PROPERTIES[VEHIDCODE],GRAPHICS_PROPERTIES[TEMPLATE_ID]&amp;GRAPHICS_PROPERTIES[TEMPLATE_AMENDMENT_CODE])</f>
        <v>TPL_03D</v>
      </c>
    </row>
    <row r="606" spans="1:47" x14ac:dyDescent="0.35">
      <c r="A606" s="2" t="s">
        <v>3223</v>
      </c>
      <c r="B606">
        <v>1964</v>
      </c>
      <c r="C606">
        <v>2030</v>
      </c>
      <c r="D606" cm="1">
        <f t="array" ref="D6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6" s="40" t="str">
        <f>_xlfn.XLOOKUP(PROPERTIES[[#This Row],[VEHIDCODE]],CONTROL[VEHIDCODE],CONTROL[ENGLISH])</f>
        <v>Kawasaki/Toshiba EF64</v>
      </c>
      <c r="F606" t="s">
        <v>640</v>
      </c>
      <c r="G606" s="40" t="str">
        <f>_xlfn.XLOOKUP(PROPERTIES[[#This Row],[COUNTRY]],COUNTRIES[COUNTRY_DESCRIPTION],COUNTRIES[COUNTRY_LABEL],"")</f>
        <v>JP</v>
      </c>
      <c r="H606" t="str" cm="1">
        <f t="array" ref="H6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6" t="s">
        <v>17</v>
      </c>
      <c r="J606">
        <v>0</v>
      </c>
      <c r="K606">
        <v>8</v>
      </c>
      <c r="L606">
        <v>0</v>
      </c>
      <c r="M606" t="str" cm="1">
        <f t="array" ref="M6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6">
        <f>_xlfn.XLOOKUP("LOADINGSPEEDDEF_"&amp;PROPERTIES[[#This Row],[LOADINGSPEED]],LOADINGSPEEDDEF[TYPE],LOADINGSPEEDDEF[SPEED])</f>
        <v>20</v>
      </c>
      <c r="O606" t="str" cm="1">
        <f t="array" ref="O6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06">
        <f>IF(ISNUMBER(SEARCH("passenger",PROPERTIES[[#This Row],[CARGODEF]])),1,0)</f>
        <v>0</v>
      </c>
      <c r="Q606" s="23">
        <v>96</v>
      </c>
      <c r="R606">
        <v>3420</v>
      </c>
      <c r="S606">
        <v>0</v>
      </c>
      <c r="T606">
        <v>0</v>
      </c>
      <c r="U606">
        <v>0</v>
      </c>
      <c r="V606">
        <v>100</v>
      </c>
      <c r="W606">
        <v>0</v>
      </c>
      <c r="X606">
        <v>0</v>
      </c>
      <c r="Y606">
        <v>0</v>
      </c>
      <c r="Z606" s="20">
        <v>196</v>
      </c>
      <c r="AA606" s="19">
        <f>IFERROR(PROPERTIES[[#This Row],[TE_STARTING_KN]]/(PROPERTIES[[#This Row],[WEIGHT]]*9.81),0)</f>
        <v>0.20812096500169894</v>
      </c>
      <c r="AB606" s="19">
        <v>0</v>
      </c>
      <c r="AC606" s="16">
        <f>ROUND(IF(IFERROR(PROPERTIES[[#This Row],[TE_COEFFICIENT_CALC]],0)=0,PROPERTIES[[#This Row],[TE_COEFFICIENT_MANUAL]],PROPERTIES[[#This Row],[TE_COEFFICIENT_CALC]]),3)</f>
        <v>0.20799999999999999</v>
      </c>
      <c r="AD606" s="8" cm="1">
        <f t="array" ref="AD6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66</v>
      </c>
      <c r="AE606" s="26">
        <v>0</v>
      </c>
      <c r="AF606" s="6">
        <v>0</v>
      </c>
      <c r="AG606" t="s">
        <v>238</v>
      </c>
      <c r="AH606" t="s">
        <v>229</v>
      </c>
      <c r="AI606" t="s">
        <v>229</v>
      </c>
      <c r="AJ606" s="2" t="s">
        <v>229</v>
      </c>
      <c r="AK606" s="2" t="s">
        <v>244</v>
      </c>
      <c r="AL60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6" s="2" t="str">
        <f>SUBSTITUTE(SUBSTITUTE(PROPERTIES[[#This Row],[PURCHASECOST_VALUE]], "PURCHASECOST_", ""), "_VALUE", "")</f>
        <v>ELECTRICENGINE</v>
      </c>
      <c r="AO606" s="44" t="b">
        <v>0</v>
      </c>
      <c r="AP606" s="48" t="b">
        <v>0</v>
      </c>
      <c r="AQ606" s="48" t="b">
        <v>0</v>
      </c>
      <c r="AR606" s="48">
        <v>0</v>
      </c>
      <c r="AS606" s="48" t="b">
        <v>0</v>
      </c>
      <c r="AT606" s="7" t="b">
        <v>0</v>
      </c>
      <c r="AU606" s="40" t="str" cm="1">
        <f t="array" ref="AU606">_xlfn.XLOOKUP(PROPERTIES[[#This Row],[VEHIDCODE]],GRAPHICS_PROPERTIES[VEHIDCODE],GRAPHICS_PROPERTIES[TEMPLATE_ID]&amp;GRAPHICS_PROPERTIES[TEMPLATE_AMENDMENT_CODE])</f>
        <v>TPL_01A</v>
      </c>
    </row>
    <row r="607" spans="1:47" x14ac:dyDescent="0.35">
      <c r="A607" s="2" t="s">
        <v>3224</v>
      </c>
      <c r="B607">
        <v>1923</v>
      </c>
      <c r="C607">
        <v>1969</v>
      </c>
      <c r="D607" cm="1">
        <f t="array" ref="D6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7" s="40" t="str">
        <f>_xlfn.XLOOKUP(PROPERTIES[[#This Row],[VEHIDCODE]],CONTROL[VEHIDCODE],CONTROL[ENGLISH])</f>
        <v>EEC EO Class</v>
      </c>
      <c r="F607" t="s">
        <v>697</v>
      </c>
      <c r="G607" s="40" t="str">
        <f>_xlfn.XLOOKUP(PROPERTIES[[#This Row],[COUNTRY]],COUNTRIES[COUNTRY_DESCRIPTION],COUNTRIES[COUNTRY_LABEL],"")</f>
        <v>NZ</v>
      </c>
      <c r="H607" t="str" cm="1">
        <f t="array" ref="H6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7" t="s">
        <v>17</v>
      </c>
      <c r="J607">
        <v>0</v>
      </c>
      <c r="K607">
        <v>7</v>
      </c>
      <c r="L607">
        <v>0</v>
      </c>
      <c r="M607" t="str" cm="1">
        <f t="array" ref="M6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7">
        <f>_xlfn.XLOOKUP("LOADINGSPEEDDEF_"&amp;PROPERTIES[[#This Row],[LOADINGSPEED]],LOADINGSPEEDDEF[TYPE],LOADINGSPEEDDEF[SPEED])</f>
        <v>20</v>
      </c>
      <c r="O607" cm="1">
        <f t="array" ref="O6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7">
        <f>IF(ISNUMBER(SEARCH("passenger",PROPERTIES[[#This Row],[CARGODEF]])),1,0)</f>
        <v>0</v>
      </c>
      <c r="Q607" s="23">
        <v>50</v>
      </c>
      <c r="R607">
        <v>680</v>
      </c>
      <c r="S607">
        <v>0</v>
      </c>
      <c r="T607">
        <v>0</v>
      </c>
      <c r="U607">
        <v>0</v>
      </c>
      <c r="V607">
        <v>64</v>
      </c>
      <c r="W607">
        <v>0</v>
      </c>
      <c r="X607">
        <v>0</v>
      </c>
      <c r="Y607">
        <v>0</v>
      </c>
      <c r="Z607" s="20">
        <v>63</v>
      </c>
      <c r="AA607" s="19">
        <f>IFERROR(PROPERTIES[[#This Row],[TE_STARTING_KN]]/(PROPERTIES[[#This Row],[WEIGHT]]*9.81),0)</f>
        <v>0.12844036697247707</v>
      </c>
      <c r="AB607" s="19">
        <v>0</v>
      </c>
      <c r="AC607" s="16">
        <f>ROUND(IF(IFERROR(PROPERTIES[[#This Row],[TE_COEFFICIENT_CALC]],0)=0,PROPERTIES[[#This Row],[TE_COEFFICIENT_MANUAL]],PROPERTIES[[#This Row],[TE_COEFFICIENT_CALC]]),3)</f>
        <v>0.128</v>
      </c>
      <c r="AD607" s="8" cm="1">
        <f t="array" ref="AD6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607" s="26">
        <v>0</v>
      </c>
      <c r="AF607" s="6">
        <v>0</v>
      </c>
      <c r="AG607" t="s">
        <v>232</v>
      </c>
      <c r="AH607" t="s">
        <v>229</v>
      </c>
      <c r="AI607" t="s">
        <v>229</v>
      </c>
      <c r="AJ607" s="2" t="s">
        <v>229</v>
      </c>
      <c r="AK607" s="2" t="s">
        <v>244</v>
      </c>
      <c r="AL60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7" s="2" t="str">
        <f>SUBSTITUTE(SUBSTITUTE(PROPERTIES[[#This Row],[PURCHASECOST_VALUE]], "PURCHASECOST_", ""), "_VALUE", "")</f>
        <v>ELECTRICENGINE</v>
      </c>
      <c r="AO607" s="44" t="b">
        <v>0</v>
      </c>
      <c r="AP607" s="48" t="b">
        <v>0</v>
      </c>
      <c r="AQ607" s="48" t="b">
        <v>0</v>
      </c>
      <c r="AR607" s="48">
        <v>0</v>
      </c>
      <c r="AS607" s="48" t="b">
        <v>0</v>
      </c>
      <c r="AT607" s="7" t="b">
        <v>0</v>
      </c>
      <c r="AU607" s="40" t="str" cm="1">
        <f t="array" ref="AU607">_xlfn.XLOOKUP(PROPERTIES[[#This Row],[VEHIDCODE]],GRAPHICS_PROPERTIES[VEHIDCODE],GRAPHICS_PROPERTIES[TEMPLATE_ID]&amp;GRAPHICS_PROPERTIES[TEMPLATE_AMENDMENT_CODE])</f>
        <v>TPL_01A</v>
      </c>
    </row>
    <row r="608" spans="1:47" x14ac:dyDescent="0.35">
      <c r="A608" s="2" t="s">
        <v>3225</v>
      </c>
      <c r="B608">
        <v>1952</v>
      </c>
      <c r="C608">
        <v>1961</v>
      </c>
      <c r="D608" cm="1">
        <f t="array" ref="D6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8" s="40" t="str">
        <f>_xlfn.XLOOKUP(PROPERTIES[[#This Row],[VEHIDCODE]],CONTROL[VEHIDCODE],CONTROL[ENGLISH])</f>
        <v>Tulloch 0-6-0DM 'W' Class DNU WRONG</v>
      </c>
      <c r="F608" t="s">
        <v>541</v>
      </c>
      <c r="G608" s="40" t="str">
        <f>_xlfn.XLOOKUP(PROPERTIES[[#This Row],[COUNTRY]],COUNTRIES[COUNTRY_DESCRIPTION],COUNTRIES[COUNTRY_LABEL],"")</f>
        <v>AU</v>
      </c>
      <c r="H608" t="str" cm="1">
        <f t="array" ref="H6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8" t="s">
        <v>17</v>
      </c>
      <c r="J608">
        <v>0</v>
      </c>
      <c r="K608">
        <v>5</v>
      </c>
      <c r="L608">
        <v>0</v>
      </c>
      <c r="M608" t="str" cm="1">
        <f t="array" ref="M6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8">
        <f>_xlfn.XLOOKUP("LOADINGSPEEDDEF_"&amp;PROPERTIES[[#This Row],[LOADINGSPEED]],LOADINGSPEEDDEF[TYPE],LOADINGSPEEDDEF[SPEED])</f>
        <v>20</v>
      </c>
      <c r="O608" cm="1">
        <f t="array" ref="O6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8">
        <f>IF(ISNUMBER(SEARCH("passenger",PROPERTIES[[#This Row],[CARGODEF]])),1,0)</f>
        <v>0</v>
      </c>
      <c r="Q608" s="23">
        <v>110</v>
      </c>
      <c r="R608">
        <v>2700</v>
      </c>
      <c r="S608">
        <v>0</v>
      </c>
      <c r="T608">
        <v>0</v>
      </c>
      <c r="U608">
        <v>0</v>
      </c>
      <c r="V608">
        <v>113</v>
      </c>
      <c r="W608">
        <v>0</v>
      </c>
      <c r="X608">
        <v>0</v>
      </c>
      <c r="Y608">
        <v>0</v>
      </c>
      <c r="Z608" s="20">
        <v>267</v>
      </c>
      <c r="AA608" s="19">
        <f>IFERROR(PROPERTIES[[#This Row],[TE_STARTING_KN]]/(PROPERTIES[[#This Row],[WEIGHT]]*9.81),0)</f>
        <v>0.24742841256602721</v>
      </c>
      <c r="AB608" s="19">
        <v>0</v>
      </c>
      <c r="AC608" s="16">
        <f>ROUND(IF(IFERROR(PROPERTIES[[#This Row],[TE_COEFFICIENT_CALC]],0)=0,PROPERTIES[[#This Row],[TE_COEFFICIENT_MANUAL]],PROPERTIES[[#This Row],[TE_COEFFICIENT_CALC]]),3)</f>
        <v>0.247</v>
      </c>
      <c r="AD608" s="8" cm="1">
        <f t="array" ref="AD6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08" s="26">
        <v>0</v>
      </c>
      <c r="AF608" s="6">
        <v>0</v>
      </c>
      <c r="AG608" t="s">
        <v>232</v>
      </c>
      <c r="AH608" t="s">
        <v>229</v>
      </c>
      <c r="AI608" t="s">
        <v>229</v>
      </c>
      <c r="AJ608" s="2" t="s">
        <v>229</v>
      </c>
      <c r="AK608" s="2" t="s">
        <v>244</v>
      </c>
      <c r="AL60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8" s="2" t="str">
        <f>SUBSTITUTE(SUBSTITUTE(PROPERTIES[[#This Row],[PURCHASECOST_VALUE]], "PURCHASECOST_", ""), "_VALUE", "")</f>
        <v>ELECTRICENGINE</v>
      </c>
      <c r="AO608" s="44" t="b">
        <v>0</v>
      </c>
      <c r="AP608" s="48" t="b">
        <v>0</v>
      </c>
      <c r="AQ608" s="48" t="b">
        <v>1</v>
      </c>
      <c r="AR608" s="48">
        <v>0</v>
      </c>
      <c r="AS608" s="48" t="b">
        <v>0</v>
      </c>
      <c r="AT608" s="7" t="b">
        <v>1</v>
      </c>
      <c r="AU608" s="40" t="str" cm="1">
        <f t="array" ref="AU608">_xlfn.XLOOKUP(PROPERTIES[[#This Row],[VEHIDCODE]],GRAPHICS_PROPERTIES[VEHIDCODE],GRAPHICS_PROPERTIES[TEMPLATE_ID]&amp;GRAPHICS_PROPERTIES[TEMPLATE_AMENDMENT_CODE])</f>
        <v>TPL_01A</v>
      </c>
    </row>
    <row r="609" spans="1:47" x14ac:dyDescent="0.35">
      <c r="A609" s="2" t="s">
        <v>3226</v>
      </c>
      <c r="B609">
        <v>1952</v>
      </c>
      <c r="C609">
        <v>1989</v>
      </c>
      <c r="D609" cm="1">
        <f t="array" ref="D6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9" s="40" t="str">
        <f>_xlfn.XLOOKUP(PROPERTIES[[#This Row],[VEHIDCODE]],CONTROL[VEHIDCODE],CONTROL[ENGLISH])</f>
        <v xml:space="preserve">GEC/NBLC SAR 4E </v>
      </c>
      <c r="F609" t="s">
        <v>771</v>
      </c>
      <c r="G609" s="40" t="str">
        <f>_xlfn.XLOOKUP(PROPERTIES[[#This Row],[COUNTRY]],COUNTRIES[COUNTRY_DESCRIPTION],COUNTRIES[COUNTRY_LABEL],"")</f>
        <v>ZA</v>
      </c>
      <c r="H609" t="str" cm="1">
        <f t="array" ref="H6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9" t="s">
        <v>17</v>
      </c>
      <c r="J609">
        <v>0</v>
      </c>
      <c r="K609">
        <v>8</v>
      </c>
      <c r="L609">
        <v>0</v>
      </c>
      <c r="M609" t="str" cm="1">
        <f t="array" ref="M6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9">
        <f>_xlfn.XLOOKUP("LOADINGSPEEDDEF_"&amp;PROPERTIES[[#This Row],[LOADINGSPEED]],LOADINGSPEEDDEF[TYPE],LOADINGSPEEDDEF[SPEED])</f>
        <v>20</v>
      </c>
      <c r="O609" cm="1">
        <f t="array" ref="O6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9">
        <f>IF(ISNUMBER(SEARCH("passenger",PROPERTIES[[#This Row],[CARGODEF]])),1,0)</f>
        <v>0</v>
      </c>
      <c r="Q609" s="23">
        <v>155</v>
      </c>
      <c r="R609">
        <v>2520</v>
      </c>
      <c r="S609">
        <v>0</v>
      </c>
      <c r="T609">
        <v>0</v>
      </c>
      <c r="U609">
        <v>0</v>
      </c>
      <c r="V609">
        <v>97</v>
      </c>
      <c r="W609">
        <v>0</v>
      </c>
      <c r="X609">
        <v>0</v>
      </c>
      <c r="Y609">
        <v>0</v>
      </c>
      <c r="Z609" s="20">
        <v>322</v>
      </c>
      <c r="AA609" s="19">
        <f>IFERROR(PROPERTIES[[#This Row],[TE_STARTING_KN]]/(PROPERTIES[[#This Row],[WEIGHT]]*9.81),0)</f>
        <v>0.21176547959619871</v>
      </c>
      <c r="AB609" s="19">
        <v>0</v>
      </c>
      <c r="AC609" s="16">
        <f>ROUND(IF(IFERROR(PROPERTIES[[#This Row],[TE_COEFFICIENT_CALC]],0)=0,PROPERTIES[[#This Row],[TE_COEFFICIENT_MANUAL]],PROPERTIES[[#This Row],[TE_COEFFICIENT_CALC]]),3)</f>
        <v>0.21199999999999999</v>
      </c>
      <c r="AD609" s="8" cm="1">
        <f t="array" ref="AD6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09" s="26">
        <v>0</v>
      </c>
      <c r="AF609" s="6">
        <v>0</v>
      </c>
      <c r="AG609" t="s">
        <v>233</v>
      </c>
      <c r="AH609" t="s">
        <v>229</v>
      </c>
      <c r="AI609" t="s">
        <v>229</v>
      </c>
      <c r="AJ609" s="2" t="s">
        <v>229</v>
      </c>
      <c r="AK609" s="2" t="s">
        <v>244</v>
      </c>
      <c r="AL60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9" s="2" t="str">
        <f>SUBSTITUTE(SUBSTITUTE(PROPERTIES[[#This Row],[PURCHASECOST_VALUE]], "PURCHASECOST_", ""), "_VALUE", "")</f>
        <v>ELECTRICENGINE</v>
      </c>
      <c r="AO609" s="44" t="b">
        <v>0</v>
      </c>
      <c r="AP609" s="48" t="b">
        <v>0</v>
      </c>
      <c r="AQ609" s="48" t="b">
        <v>0</v>
      </c>
      <c r="AR609" s="48">
        <v>0</v>
      </c>
      <c r="AS609" s="48" t="b">
        <v>0</v>
      </c>
      <c r="AT609" s="7" t="b">
        <v>0</v>
      </c>
      <c r="AU609" s="40" t="str" cm="1">
        <f t="array" ref="AU609">_xlfn.XLOOKUP(PROPERTIES[[#This Row],[VEHIDCODE]],GRAPHICS_PROPERTIES[VEHIDCODE],GRAPHICS_PROPERTIES[TEMPLATE_ID]&amp;GRAPHICS_PROPERTIES[TEMPLATE_AMENDMENT_CODE])</f>
        <v>TPL_01A</v>
      </c>
    </row>
    <row r="610" spans="1:47" x14ac:dyDescent="0.35">
      <c r="A610" s="2" t="s">
        <v>3227</v>
      </c>
      <c r="B610">
        <v>1965</v>
      </c>
      <c r="C610">
        <v>2000</v>
      </c>
      <c r="D610" cm="1">
        <f t="array" ref="D6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0" s="40" t="str">
        <f>_xlfn.XLOOKUP(PROPERTIES[[#This Row],[VEHIDCODE]],CONTROL[VEHIDCODE],CONTROL[ENGLISH])</f>
        <v>Metrowick MV 5E1</v>
      </c>
      <c r="F610" t="s">
        <v>771</v>
      </c>
      <c r="G610" s="40" t="str">
        <f>_xlfn.XLOOKUP(PROPERTIES[[#This Row],[COUNTRY]],COUNTRIES[COUNTRY_DESCRIPTION],COUNTRIES[COUNTRY_LABEL],"")</f>
        <v>ZA</v>
      </c>
      <c r="H610" t="str" cm="1">
        <f t="array" ref="H6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0" t="s">
        <v>17</v>
      </c>
      <c r="J610">
        <v>0</v>
      </c>
      <c r="K610">
        <v>7</v>
      </c>
      <c r="L610">
        <v>0</v>
      </c>
      <c r="M610" t="str" cm="1">
        <f t="array" ref="M6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0">
        <f>_xlfn.XLOOKUP("LOADINGSPEEDDEF_"&amp;PROPERTIES[[#This Row],[LOADINGSPEED]],LOADINGSPEEDDEF[TYPE],LOADINGSPEEDDEF[SPEED])</f>
        <v>20</v>
      </c>
      <c r="O610" cm="1">
        <f t="array" ref="O6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10">
        <f>IF(ISNUMBER(SEARCH("passenger",PROPERTIES[[#This Row],[CARGODEF]])),1,0)</f>
        <v>0</v>
      </c>
      <c r="Q610" s="23">
        <v>86</v>
      </c>
      <c r="R610">
        <v>1953</v>
      </c>
      <c r="S610">
        <v>0</v>
      </c>
      <c r="T610">
        <v>0</v>
      </c>
      <c r="U610">
        <v>0</v>
      </c>
      <c r="V610">
        <v>97</v>
      </c>
      <c r="W610">
        <v>0</v>
      </c>
      <c r="X610">
        <v>0</v>
      </c>
      <c r="Y610">
        <v>0</v>
      </c>
      <c r="Z610" s="20">
        <v>250</v>
      </c>
      <c r="AA610" s="19">
        <f>IFERROR(PROPERTIES[[#This Row],[TE_STARTING_KN]]/(PROPERTIES[[#This Row],[WEIGHT]]*9.81),0)</f>
        <v>0.29632790460612091</v>
      </c>
      <c r="AB610" s="19">
        <v>0</v>
      </c>
      <c r="AC610" s="16">
        <f>ROUND(IF(IFERROR(PROPERTIES[[#This Row],[TE_COEFFICIENT_CALC]],0)=0,PROPERTIES[[#This Row],[TE_COEFFICIENT_MANUAL]],PROPERTIES[[#This Row],[TE_COEFFICIENT_CALC]]),3)</f>
        <v>0.29599999999999999</v>
      </c>
      <c r="AD610" s="8" cm="1">
        <f t="array" ref="AD6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10" s="26">
        <v>0</v>
      </c>
      <c r="AF610" s="6">
        <v>0</v>
      </c>
      <c r="AG610" t="s">
        <v>233</v>
      </c>
      <c r="AH610" t="s">
        <v>229</v>
      </c>
      <c r="AI610" t="s">
        <v>229</v>
      </c>
      <c r="AJ610" s="2" t="s">
        <v>229</v>
      </c>
      <c r="AK610" s="2" t="s">
        <v>244</v>
      </c>
      <c r="AL61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0" s="2" t="str">
        <f>SUBSTITUTE(SUBSTITUTE(PROPERTIES[[#This Row],[PURCHASECOST_VALUE]], "PURCHASECOST_", ""), "_VALUE", "")</f>
        <v>ELECTRICENGINE</v>
      </c>
      <c r="AO610" s="44" t="b">
        <v>0</v>
      </c>
      <c r="AP610" s="48" t="b">
        <v>0</v>
      </c>
      <c r="AQ610" s="48" t="b">
        <v>0</v>
      </c>
      <c r="AR610" s="48">
        <v>0</v>
      </c>
      <c r="AS610" s="48" t="b">
        <v>0</v>
      </c>
      <c r="AT610" s="7" t="b">
        <v>0</v>
      </c>
      <c r="AU610" s="40" t="str" cm="1">
        <f t="array" ref="AU610">_xlfn.XLOOKUP(PROPERTIES[[#This Row],[VEHIDCODE]],GRAPHICS_PROPERTIES[VEHIDCODE],GRAPHICS_PROPERTIES[TEMPLATE_ID]&amp;GRAPHICS_PROPERTIES[TEMPLATE_AMENDMENT_CODE])</f>
        <v>TPL_01A</v>
      </c>
    </row>
    <row r="611" spans="1:47" x14ac:dyDescent="0.35">
      <c r="A611" s="2" t="s">
        <v>3228</v>
      </c>
      <c r="B611">
        <v>1970</v>
      </c>
      <c r="C611">
        <v>2010</v>
      </c>
      <c r="D611" cm="1">
        <f t="array" ref="D6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1" s="40" t="str">
        <f>_xlfn.XLOOKUP(PROPERTIES[[#This Row],[VEHIDCODE]],CONTROL[VEHIDCODE],CONTROL[ENGLISH])</f>
        <v>UCW 6E</v>
      </c>
      <c r="F611" t="s">
        <v>771</v>
      </c>
      <c r="G611" s="40" t="str">
        <f>_xlfn.XLOOKUP(PROPERTIES[[#This Row],[COUNTRY]],COUNTRIES[COUNTRY_DESCRIPTION],COUNTRIES[COUNTRY_LABEL],"")</f>
        <v>ZA</v>
      </c>
      <c r="H611" t="str" cm="1">
        <f t="array" ref="H6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1" t="s">
        <v>17</v>
      </c>
      <c r="J611">
        <v>0</v>
      </c>
      <c r="K611">
        <v>8</v>
      </c>
      <c r="L611">
        <v>0</v>
      </c>
      <c r="M611" t="str" cm="1">
        <f t="array" ref="M6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1">
        <f>_xlfn.XLOOKUP("LOADINGSPEEDDEF_"&amp;PROPERTIES[[#This Row],[LOADINGSPEED]],LOADINGSPEEDDEF[TYPE],LOADINGSPEEDDEF[SPEED])</f>
        <v>20</v>
      </c>
      <c r="O611" cm="1">
        <f t="array" ref="O6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11">
        <f>IF(ISNUMBER(SEARCH("passenger",PROPERTIES[[#This Row],[CARGODEF]])),1,0)</f>
        <v>0</v>
      </c>
      <c r="Q611" s="23">
        <v>89</v>
      </c>
      <c r="R611">
        <v>3020</v>
      </c>
      <c r="S611">
        <v>0</v>
      </c>
      <c r="T611">
        <v>0</v>
      </c>
      <c r="U611">
        <v>0</v>
      </c>
      <c r="V611">
        <v>113</v>
      </c>
      <c r="W611">
        <v>0</v>
      </c>
      <c r="X611">
        <v>0</v>
      </c>
      <c r="Y611">
        <v>0</v>
      </c>
      <c r="Z611" s="20">
        <v>311</v>
      </c>
      <c r="AA611" s="19">
        <f>IFERROR(PROPERTIES[[#This Row],[TE_STARTING_KN]]/(PROPERTIES[[#This Row],[WEIGHT]]*9.81),0)</f>
        <v>0.35620611849866562</v>
      </c>
      <c r="AB611" s="19">
        <v>0</v>
      </c>
      <c r="AC611" s="16">
        <f>ROUND(IF(IFERROR(PROPERTIES[[#This Row],[TE_COEFFICIENT_CALC]],0)=0,PROPERTIES[[#This Row],[TE_COEFFICIENT_MANUAL]],PROPERTIES[[#This Row],[TE_COEFFICIENT_CALC]]),3)</f>
        <v>0.35599999999999998</v>
      </c>
      <c r="AD611" s="8" cm="1">
        <f t="array" ref="AD6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11" s="26">
        <v>0</v>
      </c>
      <c r="AF611" s="6">
        <v>0</v>
      </c>
      <c r="AG611" t="s">
        <v>233</v>
      </c>
      <c r="AH611" t="s">
        <v>229</v>
      </c>
      <c r="AI611" t="s">
        <v>229</v>
      </c>
      <c r="AJ611" s="2" t="s">
        <v>229</v>
      </c>
      <c r="AK611" s="2" t="s">
        <v>244</v>
      </c>
      <c r="AL61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1" s="2" t="str">
        <f>SUBSTITUTE(SUBSTITUTE(PROPERTIES[[#This Row],[PURCHASECOST_VALUE]], "PURCHASECOST_", ""), "_VALUE", "")</f>
        <v>ELECTRICENGINE</v>
      </c>
      <c r="AO611" s="44" t="b">
        <v>0</v>
      </c>
      <c r="AP611" s="48" t="b">
        <v>0</v>
      </c>
      <c r="AQ611" s="48" t="b">
        <v>0</v>
      </c>
      <c r="AR611" s="48">
        <v>0</v>
      </c>
      <c r="AS611" s="48" t="b">
        <v>0</v>
      </c>
      <c r="AT611" s="7" t="b">
        <v>0</v>
      </c>
      <c r="AU611" s="40" t="str" cm="1">
        <f t="array" ref="AU611">_xlfn.XLOOKUP(PROPERTIES[[#This Row],[VEHIDCODE]],GRAPHICS_PROPERTIES[VEHIDCODE],GRAPHICS_PROPERTIES[TEMPLATE_ID]&amp;GRAPHICS_PROPERTIES[TEMPLATE_AMENDMENT_CODE])</f>
        <v>TPL_01A</v>
      </c>
    </row>
    <row r="612" spans="1:47" x14ac:dyDescent="0.35">
      <c r="A612" s="2" t="s">
        <v>3229</v>
      </c>
      <c r="B612">
        <v>1947</v>
      </c>
      <c r="C612">
        <v>2010</v>
      </c>
      <c r="D612" cm="1">
        <f t="array" ref="D6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2" s="40" t="str">
        <f>_xlfn.XLOOKUP(PROPERTIES[[#This Row],[VEHIDCODE]],CONTROL[VEHIDCODE],CONTROL[ENGLISH])</f>
        <v>SLM/BBC/MFO Ge 4/4 I</v>
      </c>
      <c r="F612" t="s">
        <v>570</v>
      </c>
      <c r="G612" s="40" t="str">
        <f>_xlfn.XLOOKUP(PROPERTIES[[#This Row],[COUNTRY]],COUNTRIES[COUNTRY_DESCRIPTION],COUNTRIES[COUNTRY_LABEL],"")</f>
        <v>CH</v>
      </c>
      <c r="H612" t="str" cm="1">
        <f t="array" ref="H6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2" t="s">
        <v>17</v>
      </c>
      <c r="J612">
        <v>0</v>
      </c>
      <c r="K612">
        <v>8</v>
      </c>
      <c r="L612">
        <v>0</v>
      </c>
      <c r="M612" t="str" cm="1">
        <f t="array" ref="M6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2">
        <f>_xlfn.XLOOKUP("LOADINGSPEEDDEF_"&amp;PROPERTIES[[#This Row],[LOADINGSPEED]],LOADINGSPEEDDEF[TYPE],LOADINGSPEEDDEF[SPEED])</f>
        <v>20</v>
      </c>
      <c r="O612" cm="1">
        <f t="array" ref="O6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12">
        <f>IF(ISNUMBER(SEARCH("passenger",PROPERTIES[[#This Row],[CARGODEF]])),1,0)</f>
        <v>0</v>
      </c>
      <c r="Q612" s="23">
        <v>47</v>
      </c>
      <c r="R612">
        <v>1590</v>
      </c>
      <c r="S612">
        <v>0</v>
      </c>
      <c r="T612">
        <v>0</v>
      </c>
      <c r="U612">
        <v>0</v>
      </c>
      <c r="V612">
        <v>80</v>
      </c>
      <c r="W612">
        <v>0</v>
      </c>
      <c r="X612">
        <v>0</v>
      </c>
      <c r="Y612">
        <v>0</v>
      </c>
      <c r="Z612" s="20">
        <v>135</v>
      </c>
      <c r="AA612" s="19">
        <f>IFERROR(PROPERTIES[[#This Row],[TE_STARTING_KN]]/(PROPERTIES[[#This Row],[WEIGHT]]*9.81),0)</f>
        <v>0.29279718914698416</v>
      </c>
      <c r="AB612" s="19">
        <v>0</v>
      </c>
      <c r="AC612" s="16">
        <f>ROUND(IF(IFERROR(PROPERTIES[[#This Row],[TE_COEFFICIENT_CALC]],0)=0,PROPERTIES[[#This Row],[TE_COEFFICIENT_MANUAL]],PROPERTIES[[#This Row],[TE_COEFFICIENT_CALC]]),3)</f>
        <v>0.29299999999999998</v>
      </c>
      <c r="AD612" s="8" cm="1">
        <f t="array" ref="AD6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63</v>
      </c>
      <c r="AE612" s="26">
        <v>0</v>
      </c>
      <c r="AF612" s="6">
        <v>0</v>
      </c>
      <c r="AG612" t="s">
        <v>230</v>
      </c>
      <c r="AH612" t="s">
        <v>229</v>
      </c>
      <c r="AI612" t="s">
        <v>229</v>
      </c>
      <c r="AJ612" s="2" t="s">
        <v>229</v>
      </c>
      <c r="AK612" s="2" t="s">
        <v>244</v>
      </c>
      <c r="AL61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2" s="2" t="str">
        <f>SUBSTITUTE(SUBSTITUTE(PROPERTIES[[#This Row],[PURCHASECOST_VALUE]], "PURCHASECOST_", ""), "_VALUE", "")</f>
        <v>ELECTRICENGINE</v>
      </c>
      <c r="AO612" s="44" t="b">
        <v>0</v>
      </c>
      <c r="AP612" s="48" t="b">
        <v>0</v>
      </c>
      <c r="AQ612" s="48" t="b">
        <v>0</v>
      </c>
      <c r="AR612" s="48">
        <v>0</v>
      </c>
      <c r="AS612" s="48" t="b">
        <v>0</v>
      </c>
      <c r="AT612" s="7" t="b">
        <v>0</v>
      </c>
      <c r="AU612" s="40" t="str" cm="1">
        <f t="array" ref="AU612">_xlfn.XLOOKUP(PROPERTIES[[#This Row],[VEHIDCODE]],GRAPHICS_PROPERTIES[VEHIDCODE],GRAPHICS_PROPERTIES[TEMPLATE_ID]&amp;GRAPHICS_PROPERTIES[TEMPLATE_AMENDMENT_CODE])</f>
        <v>TPL_01A</v>
      </c>
    </row>
    <row r="613" spans="1:47" x14ac:dyDescent="0.35">
      <c r="A613" s="2" t="s">
        <v>3230</v>
      </c>
      <c r="B613">
        <v>1921</v>
      </c>
      <c r="C613">
        <v>1974</v>
      </c>
      <c r="D613" cm="1">
        <f t="array" ref="D6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3" s="40" t="str">
        <f>_xlfn.XLOOKUP(PROPERTIES[[#This Row],[VEHIDCODE]],CONTROL[VEHIDCODE],CONTROL[ENGLISH])</f>
        <v>SLM/BBC/MFO Ge 6/6 'Krokodil'</v>
      </c>
      <c r="F613" t="s">
        <v>570</v>
      </c>
      <c r="G613" s="40" t="str">
        <f>_xlfn.XLOOKUP(PROPERTIES[[#This Row],[COUNTRY]],COUNTRIES[COUNTRY_DESCRIPTION],COUNTRIES[COUNTRY_LABEL],"")</f>
        <v>CH</v>
      </c>
      <c r="H613" t="str" cm="1">
        <f t="array" ref="H6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3" t="s">
        <v>17</v>
      </c>
      <c r="J613">
        <v>0</v>
      </c>
      <c r="K613">
        <v>8</v>
      </c>
      <c r="L613">
        <v>0</v>
      </c>
      <c r="M613" t="str" cm="1">
        <f t="array" ref="M6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3">
        <f>_xlfn.XLOOKUP("LOADINGSPEEDDEF_"&amp;PROPERTIES[[#This Row],[LOADINGSPEED]],LOADINGSPEEDDEF[TYPE],LOADINGSPEEDDEF[SPEED])</f>
        <v>20</v>
      </c>
      <c r="O613" cm="1">
        <f t="array" ref="O6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13">
        <f>IF(ISNUMBER(SEARCH("passenger",PROPERTIES[[#This Row],[CARGODEF]])),1,0)</f>
        <v>0</v>
      </c>
      <c r="Q613" s="23">
        <v>66</v>
      </c>
      <c r="R613">
        <v>1260</v>
      </c>
      <c r="S613">
        <v>0</v>
      </c>
      <c r="T613">
        <v>0</v>
      </c>
      <c r="U613">
        <v>0</v>
      </c>
      <c r="V613">
        <v>55</v>
      </c>
      <c r="W613">
        <v>0</v>
      </c>
      <c r="X613">
        <v>0</v>
      </c>
      <c r="Y613">
        <v>0</v>
      </c>
      <c r="Z613" s="20">
        <v>131</v>
      </c>
      <c r="AA613" s="19">
        <f>IFERROR(PROPERTIES[[#This Row],[TE_STARTING_KN]]/(PROPERTIES[[#This Row],[WEIGHT]]*9.81),0)</f>
        <v>0.20232910141167021</v>
      </c>
      <c r="AB613" s="19">
        <v>0</v>
      </c>
      <c r="AC613" s="16">
        <f>ROUND(IF(IFERROR(PROPERTIES[[#This Row],[TE_COEFFICIENT_CALC]],0)=0,PROPERTIES[[#This Row],[TE_COEFFICIENT_MANUAL]],PROPERTIES[[#This Row],[TE_COEFFICIENT_CALC]]),3)</f>
        <v>0.20200000000000001</v>
      </c>
      <c r="AD613" s="8" cm="1">
        <f t="array" ref="AD6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613" s="26">
        <v>0</v>
      </c>
      <c r="AF613" s="6">
        <v>0</v>
      </c>
      <c r="AG613" t="s">
        <v>230</v>
      </c>
      <c r="AH613" t="s">
        <v>229</v>
      </c>
      <c r="AI613" t="s">
        <v>229</v>
      </c>
      <c r="AJ613" s="2" t="s">
        <v>229</v>
      </c>
      <c r="AK613" s="2" t="s">
        <v>244</v>
      </c>
      <c r="AL61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3" s="2" t="str">
        <f>SUBSTITUTE(SUBSTITUTE(PROPERTIES[[#This Row],[PURCHASECOST_VALUE]], "PURCHASECOST_", ""), "_VALUE", "")</f>
        <v>ELECTRICENGINE</v>
      </c>
      <c r="AO613" s="44" t="b">
        <v>0</v>
      </c>
      <c r="AP613" s="48" t="b">
        <v>0</v>
      </c>
      <c r="AQ613" s="48" t="b">
        <v>0</v>
      </c>
      <c r="AR613" s="48">
        <v>0</v>
      </c>
      <c r="AS613" s="48" t="b">
        <v>0</v>
      </c>
      <c r="AT613" s="7" t="b">
        <v>0</v>
      </c>
      <c r="AU613" s="40" t="str" cm="1">
        <f t="array" ref="AU613">_xlfn.XLOOKUP(PROPERTIES[[#This Row],[VEHIDCODE]],GRAPHICS_PROPERTIES[VEHIDCODE],GRAPHICS_PROPERTIES[TEMPLATE_ID]&amp;GRAPHICS_PROPERTIES[TEMPLATE_AMENDMENT_CODE])</f>
        <v>TPL_03C</v>
      </c>
    </row>
    <row r="614" spans="1:47" x14ac:dyDescent="0.35">
      <c r="A614" s="2" t="s">
        <v>3231</v>
      </c>
      <c r="B614">
        <v>2012</v>
      </c>
      <c r="D614" cm="1">
        <f t="array" ref="D6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4" s="40" t="str">
        <f>_xlfn.XLOOKUP(PROPERTIES[[#This Row],[VEHIDCODE]],CONTROL[VEHIDCODE],CONTROL[ENGLISH])</f>
        <v>Stadler He 4/4</v>
      </c>
      <c r="F614" t="s">
        <v>558</v>
      </c>
      <c r="G614" s="40" t="str">
        <f>_xlfn.XLOOKUP(PROPERTIES[[#This Row],[COUNTRY]],COUNTRIES[COUNTRY_DESCRIPTION],COUNTRIES[COUNTRY_LABEL],"")</f>
        <v>BR</v>
      </c>
      <c r="H614" t="str" cm="1">
        <f t="array" ref="H6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4" t="s">
        <v>17</v>
      </c>
      <c r="J614">
        <v>0</v>
      </c>
      <c r="K614">
        <v>7</v>
      </c>
      <c r="L614">
        <v>0</v>
      </c>
      <c r="M614" t="str" cm="1">
        <f t="array" ref="M6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4">
        <f>_xlfn.XLOOKUP("LOADINGSPEEDDEF_"&amp;PROPERTIES[[#This Row],[LOADINGSPEED]],LOADINGSPEEDDEF[TYPE],LOADINGSPEEDDEF[SPEED])</f>
        <v>20</v>
      </c>
      <c r="O614" t="str" cm="1">
        <f t="array" ref="O6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4">
        <f>IF(ISNUMBER(SEARCH("passenger",PROPERTIES[[#This Row],[CARGODEF]])),1,0)</f>
        <v>0</v>
      </c>
      <c r="Q614" s="23">
        <v>121</v>
      </c>
      <c r="R614">
        <v>6710</v>
      </c>
      <c r="S614">
        <v>0</v>
      </c>
      <c r="T614">
        <v>0</v>
      </c>
      <c r="U614">
        <v>0</v>
      </c>
      <c r="V614">
        <v>60</v>
      </c>
      <c r="W614">
        <v>0</v>
      </c>
      <c r="X614">
        <v>0</v>
      </c>
      <c r="Y614">
        <v>0</v>
      </c>
      <c r="Z614" s="20">
        <v>760</v>
      </c>
      <c r="AA614" s="19">
        <f>IFERROR(PROPERTIES[[#This Row],[TE_STARTING_KN]]/(PROPERTIES[[#This Row],[WEIGHT]]*9.81),0)</f>
        <v>0.64026419322499395</v>
      </c>
      <c r="AB614" s="19">
        <v>0</v>
      </c>
      <c r="AC614" s="16">
        <f>ROUND(IF(IFERROR(PROPERTIES[[#This Row],[TE_COEFFICIENT_CALC]],0)=0,PROPERTIES[[#This Row],[TE_COEFFICIENT_MANUAL]],PROPERTIES[[#This Row],[TE_COEFFICIENT_CALC]]),3)</f>
        <v>0.64</v>
      </c>
      <c r="AD614" s="8" cm="1">
        <f t="array" ref="AD6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14" s="26">
        <v>0</v>
      </c>
      <c r="AF614" s="6">
        <v>0</v>
      </c>
      <c r="AG614" t="s">
        <v>237</v>
      </c>
      <c r="AH614" t="s">
        <v>229</v>
      </c>
      <c r="AI614" t="s">
        <v>229</v>
      </c>
      <c r="AJ614" s="2" t="s">
        <v>229</v>
      </c>
      <c r="AK614" s="2" t="s">
        <v>244</v>
      </c>
      <c r="AL61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4" s="2" t="str">
        <f>SUBSTITUTE(SUBSTITUTE(PROPERTIES[[#This Row],[PURCHASECOST_VALUE]], "PURCHASECOST_", ""), "_VALUE", "")</f>
        <v>ELECTRICENGINE</v>
      </c>
      <c r="AO614" s="44" t="b">
        <v>0</v>
      </c>
      <c r="AP614" s="48" t="b">
        <v>0</v>
      </c>
      <c r="AQ614" s="48" t="b">
        <v>0</v>
      </c>
      <c r="AR614" s="48">
        <v>0</v>
      </c>
      <c r="AS614" s="48" t="b">
        <v>0</v>
      </c>
      <c r="AT614" s="7" t="b">
        <v>0</v>
      </c>
      <c r="AU614" s="40" t="str" cm="1">
        <f t="array" ref="AU614">_xlfn.XLOOKUP(PROPERTIES[[#This Row],[VEHIDCODE]],GRAPHICS_PROPERTIES[VEHIDCODE],GRAPHICS_PROPERTIES[TEMPLATE_ID]&amp;GRAPHICS_PROPERTIES[TEMPLATE_AMENDMENT_CODE])</f>
        <v>TPL_01A</v>
      </c>
    </row>
    <row r="615" spans="1:47" x14ac:dyDescent="0.35">
      <c r="A615" s="2" t="s">
        <v>3232</v>
      </c>
      <c r="B615">
        <v>1978</v>
      </c>
      <c r="C615">
        <v>2030</v>
      </c>
      <c r="D615" cm="1">
        <f t="array" ref="D6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5" s="40" t="str">
        <f>_xlfn.XLOOKUP(PROPERTIES[[#This Row],[VEHIDCODE]],CONTROL[VEHIDCODE],CONTROL[ENGLISH])</f>
        <v>UCW 50 c/s Group 7E</v>
      </c>
      <c r="F615" t="s">
        <v>771</v>
      </c>
      <c r="G615" s="40" t="str">
        <f>_xlfn.XLOOKUP(PROPERTIES[[#This Row],[COUNTRY]],COUNTRIES[COUNTRY_DESCRIPTION],COUNTRIES[COUNTRY_LABEL],"")</f>
        <v>ZA</v>
      </c>
      <c r="H615" t="str" cm="1">
        <f t="array" ref="H6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5" t="s">
        <v>17</v>
      </c>
      <c r="J615">
        <v>0</v>
      </c>
      <c r="K615">
        <v>7</v>
      </c>
      <c r="L615">
        <v>0</v>
      </c>
      <c r="M615" t="str" cm="1">
        <f t="array" ref="M6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5">
        <f>_xlfn.XLOOKUP("LOADINGSPEEDDEF_"&amp;PROPERTIES[[#This Row],[LOADINGSPEED]],LOADINGSPEEDDEF[TYPE],LOADINGSPEEDDEF[SPEED])</f>
        <v>20</v>
      </c>
      <c r="O615" t="str" cm="1">
        <f t="array" ref="O6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5">
        <f>IF(ISNUMBER(SEARCH("passenger",PROPERTIES[[#This Row],[CARGODEF]])),1,0)</f>
        <v>0</v>
      </c>
      <c r="Q615" s="23">
        <v>124</v>
      </c>
      <c r="R615">
        <v>4000</v>
      </c>
      <c r="S615">
        <v>0</v>
      </c>
      <c r="T615">
        <v>0</v>
      </c>
      <c r="U615">
        <v>0</v>
      </c>
      <c r="V615">
        <v>100</v>
      </c>
      <c r="W615">
        <v>0</v>
      </c>
      <c r="X615">
        <v>0</v>
      </c>
      <c r="Y615">
        <v>0</v>
      </c>
      <c r="Z615" s="20">
        <v>450</v>
      </c>
      <c r="AA615" s="19">
        <f>IFERROR(PROPERTIES[[#This Row],[TE_STARTING_KN]]/(PROPERTIES[[#This Row],[WEIGHT]]*9.81),0)</f>
        <v>0.36993193252441547</v>
      </c>
      <c r="AB615" s="19">
        <v>0</v>
      </c>
      <c r="AC615" s="16">
        <f>ROUND(IF(IFERROR(PROPERTIES[[#This Row],[TE_COEFFICIENT_CALC]],0)=0,PROPERTIES[[#This Row],[TE_COEFFICIENT_MANUAL]],PROPERTIES[[#This Row],[TE_COEFFICIENT_CALC]]),3)</f>
        <v>0.37</v>
      </c>
      <c r="AD615" s="8" cm="1">
        <f t="array" ref="AD6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615" s="26">
        <v>0</v>
      </c>
      <c r="AF615" s="6">
        <v>0</v>
      </c>
      <c r="AG615" t="s">
        <v>233</v>
      </c>
      <c r="AH615" t="s">
        <v>229</v>
      </c>
      <c r="AI615" t="s">
        <v>229</v>
      </c>
      <c r="AJ615" s="2" t="s">
        <v>229</v>
      </c>
      <c r="AK615" s="2" t="s">
        <v>244</v>
      </c>
      <c r="AL61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5" s="2" t="str">
        <f>SUBSTITUTE(SUBSTITUTE(PROPERTIES[[#This Row],[PURCHASECOST_VALUE]], "PURCHASECOST_", ""), "_VALUE", "")</f>
        <v>ELECTRICENGINE</v>
      </c>
      <c r="AO615" s="44" t="b">
        <v>0</v>
      </c>
      <c r="AP615" s="48" t="b">
        <v>0</v>
      </c>
      <c r="AQ615" s="48" t="b">
        <v>0</v>
      </c>
      <c r="AR615" s="48">
        <v>0</v>
      </c>
      <c r="AS615" s="48" t="b">
        <v>0</v>
      </c>
      <c r="AT615" s="7" t="b">
        <v>0</v>
      </c>
      <c r="AU615" s="40" t="str" cm="1">
        <f t="array" ref="AU615">_xlfn.XLOOKUP(PROPERTIES[[#This Row],[VEHIDCODE]],GRAPHICS_PROPERTIES[VEHIDCODE],GRAPHICS_PROPERTIES[TEMPLATE_ID]&amp;GRAPHICS_PROPERTIES[TEMPLATE_AMENDMENT_CODE])</f>
        <v>TPL_01A</v>
      </c>
    </row>
    <row r="616" spans="1:47" x14ac:dyDescent="0.35">
      <c r="A616" s="2" t="s">
        <v>3233</v>
      </c>
      <c r="B616">
        <v>1985</v>
      </c>
      <c r="C616">
        <v>2030</v>
      </c>
      <c r="D616" cm="1">
        <f t="array" ref="D6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6" s="40" t="str">
        <f>_xlfn.XLOOKUP(PROPERTIES[[#This Row],[VEHIDCODE]],CONTROL[VEHIDCODE],CONTROL[ENGLISH])</f>
        <v>General Motors GM5FC</v>
      </c>
      <c r="F616" t="s">
        <v>771</v>
      </c>
      <c r="G616" s="40" t="str">
        <f>_xlfn.XLOOKUP(PROPERTIES[[#This Row],[COUNTRY]],COUNTRIES[COUNTRY_DESCRIPTION],COUNTRIES[COUNTRY_LABEL],"")</f>
        <v>ZA</v>
      </c>
      <c r="H616" t="str" cm="1">
        <f t="array" ref="H6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6" t="s">
        <v>17</v>
      </c>
      <c r="J616">
        <v>0</v>
      </c>
      <c r="K616">
        <v>8</v>
      </c>
      <c r="L616">
        <v>0</v>
      </c>
      <c r="M616" t="str" cm="1">
        <f t="array" ref="M6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6">
        <f>_xlfn.XLOOKUP("LOADINGSPEEDDEF_"&amp;PROPERTIES[[#This Row],[LOADINGSPEED]],LOADINGSPEEDDEF[TYPE],LOADINGSPEEDDEF[SPEED])</f>
        <v>20</v>
      </c>
      <c r="O616" t="str" cm="1">
        <f t="array" ref="O6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6">
        <f>IF(ISNUMBER(SEARCH("passenger",PROPERTIES[[#This Row],[CARGODEF]])),1,0)</f>
        <v>0</v>
      </c>
      <c r="Q616" s="23">
        <v>172</v>
      </c>
      <c r="R616">
        <v>5200</v>
      </c>
      <c r="S616">
        <v>0</v>
      </c>
      <c r="T616">
        <v>0</v>
      </c>
      <c r="U616">
        <v>0</v>
      </c>
      <c r="V616">
        <v>90</v>
      </c>
      <c r="W616">
        <v>0</v>
      </c>
      <c r="X616">
        <v>0</v>
      </c>
      <c r="Y616">
        <v>0</v>
      </c>
      <c r="Z616" s="20">
        <v>580</v>
      </c>
      <c r="AA616" s="19">
        <f>IFERROR(PROPERTIES[[#This Row],[TE_STARTING_KN]]/(PROPERTIES[[#This Row],[WEIGHT]]*9.81),0)</f>
        <v>0.34374036934310026</v>
      </c>
      <c r="AB616" s="19">
        <v>0</v>
      </c>
      <c r="AC616" s="16">
        <f>ROUND(IF(IFERROR(PROPERTIES[[#This Row],[TE_COEFFICIENT_CALC]],0)=0,PROPERTIES[[#This Row],[TE_COEFFICIENT_MANUAL]],PROPERTIES[[#This Row],[TE_COEFFICIENT_CALC]]),3)</f>
        <v>0.34399999999999997</v>
      </c>
      <c r="AD616" s="8" cm="1">
        <f t="array" ref="AD6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16" s="26">
        <v>0</v>
      </c>
      <c r="AF616" s="6">
        <v>0</v>
      </c>
      <c r="AG616" t="s">
        <v>233</v>
      </c>
      <c r="AH616" t="s">
        <v>229</v>
      </c>
      <c r="AI616" t="s">
        <v>229</v>
      </c>
      <c r="AJ616" s="2" t="s">
        <v>229</v>
      </c>
      <c r="AK616" s="2" t="s">
        <v>244</v>
      </c>
      <c r="AL61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6" s="2" t="str">
        <f>SUBSTITUTE(SUBSTITUTE(PROPERTIES[[#This Row],[PURCHASECOST_VALUE]], "PURCHASECOST_", ""), "_VALUE", "")</f>
        <v>ELECTRICENGINE</v>
      </c>
      <c r="AO616" s="44" t="b">
        <v>0</v>
      </c>
      <c r="AP616" s="48" t="b">
        <v>0</v>
      </c>
      <c r="AQ616" s="48" t="b">
        <v>0</v>
      </c>
      <c r="AR616" s="48">
        <v>0</v>
      </c>
      <c r="AS616" s="48" t="b">
        <v>0</v>
      </c>
      <c r="AT616" s="7" t="b">
        <v>0</v>
      </c>
      <c r="AU616" s="40" t="str" cm="1">
        <f t="array" ref="AU616">_xlfn.XLOOKUP(PROPERTIES[[#This Row],[VEHIDCODE]],GRAPHICS_PROPERTIES[VEHIDCODE],GRAPHICS_PROPERTIES[TEMPLATE_ID]&amp;GRAPHICS_PROPERTIES[TEMPLATE_AMENDMENT_CODE])</f>
        <v>TPL_01A</v>
      </c>
    </row>
    <row r="617" spans="1:47" x14ac:dyDescent="0.35">
      <c r="A617" s="2" t="s">
        <v>3234</v>
      </c>
      <c r="B617">
        <v>1986</v>
      </c>
      <c r="C617">
        <v>2010</v>
      </c>
      <c r="D617" cm="1">
        <f t="array" ref="D6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7" s="40" t="str">
        <f>_xlfn.XLOOKUP(PROPERTIES[[#This Row],[VEHIDCODE]],CONTROL[VEHIDCODE],CONTROL[ENGLISH])</f>
        <v>Brush EF Class</v>
      </c>
      <c r="F617" t="s">
        <v>697</v>
      </c>
      <c r="G617" s="40" t="str">
        <f>_xlfn.XLOOKUP(PROPERTIES[[#This Row],[COUNTRY]],COUNTRIES[COUNTRY_DESCRIPTION],COUNTRIES[COUNTRY_LABEL],"")</f>
        <v>NZ</v>
      </c>
      <c r="H617" t="str" cm="1">
        <f t="array" ref="H6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7" t="s">
        <v>17</v>
      </c>
      <c r="J617">
        <v>0</v>
      </c>
      <c r="K617">
        <v>8</v>
      </c>
      <c r="L617">
        <v>0</v>
      </c>
      <c r="M617" t="str" cm="1">
        <f t="array" ref="M6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7">
        <f>_xlfn.XLOOKUP("LOADINGSPEEDDEF_"&amp;PROPERTIES[[#This Row],[LOADINGSPEED]],LOADINGSPEEDDEF[TYPE],LOADINGSPEEDDEF[SPEED])</f>
        <v>20</v>
      </c>
      <c r="O617" t="str" cm="1">
        <f t="array" ref="O6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7">
        <f>IF(ISNUMBER(SEARCH("passenger",PROPERTIES[[#This Row],[CARGODEF]])),1,0)</f>
        <v>0</v>
      </c>
      <c r="Q617" s="23">
        <v>107</v>
      </c>
      <c r="R617">
        <v>4000</v>
      </c>
      <c r="S617">
        <v>0</v>
      </c>
      <c r="T617">
        <v>0</v>
      </c>
      <c r="U617">
        <v>0</v>
      </c>
      <c r="V617">
        <v>105</v>
      </c>
      <c r="W617">
        <v>0</v>
      </c>
      <c r="X617">
        <v>0</v>
      </c>
      <c r="Y617">
        <v>0</v>
      </c>
      <c r="Z617" s="20">
        <v>360</v>
      </c>
      <c r="AA617" s="19">
        <f>IFERROR(PROPERTIES[[#This Row],[TE_STARTING_KN]]/(PROPERTIES[[#This Row],[WEIGHT]]*9.81),0)</f>
        <v>0.3429649318357198</v>
      </c>
      <c r="AB617" s="19">
        <v>0</v>
      </c>
      <c r="AC617" s="16">
        <f>ROUND(IF(IFERROR(PROPERTIES[[#This Row],[TE_COEFFICIENT_CALC]],0)=0,PROPERTIES[[#This Row],[TE_COEFFICIENT_MANUAL]],PROPERTIES[[#This Row],[TE_COEFFICIENT_CALC]]),3)</f>
        <v>0.34300000000000003</v>
      </c>
      <c r="AD617" s="8" cm="1">
        <f t="array" ref="AD6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17" s="26">
        <v>0</v>
      </c>
      <c r="AF617" s="6">
        <v>0</v>
      </c>
      <c r="AG617" t="s">
        <v>232</v>
      </c>
      <c r="AH617" t="s">
        <v>229</v>
      </c>
      <c r="AI617" t="s">
        <v>229</v>
      </c>
      <c r="AJ617" s="2" t="s">
        <v>229</v>
      </c>
      <c r="AK617" s="2" t="s">
        <v>244</v>
      </c>
      <c r="AL61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7" s="2" t="str">
        <f>SUBSTITUTE(SUBSTITUTE(PROPERTIES[[#This Row],[PURCHASECOST_VALUE]], "PURCHASECOST_", ""), "_VALUE", "")</f>
        <v>ELECTRICENGINE</v>
      </c>
      <c r="AO617" s="44" t="b">
        <v>0</v>
      </c>
      <c r="AP617" s="48" t="b">
        <v>0</v>
      </c>
      <c r="AQ617" s="48" t="b">
        <v>0</v>
      </c>
      <c r="AR617" s="48">
        <v>0</v>
      </c>
      <c r="AS617" s="48" t="b">
        <v>0</v>
      </c>
      <c r="AT617" s="7" t="b">
        <v>0</v>
      </c>
      <c r="AU617" s="40" t="str" cm="1">
        <f t="array" ref="AU617">_xlfn.XLOOKUP(PROPERTIES[[#This Row],[VEHIDCODE]],GRAPHICS_PROPERTIES[VEHIDCODE],GRAPHICS_PROPERTIES[TEMPLATE_ID]&amp;GRAPHICS_PROPERTIES[TEMPLATE_AMENDMENT_CODE])</f>
        <v>TPL_01A</v>
      </c>
    </row>
    <row r="618" spans="1:47" x14ac:dyDescent="0.35">
      <c r="A618" s="2" t="s">
        <v>3235</v>
      </c>
      <c r="B618">
        <v>1962</v>
      </c>
      <c r="C618">
        <v>1996</v>
      </c>
      <c r="D618" cm="1">
        <f t="array" ref="D6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18" s="40" t="str">
        <f>_xlfn.XLOOKUP(PROPERTIES[[#This Row],[VEHIDCODE]],CONTROL[VEHIDCODE],CONTROL[ENGLISH])</f>
        <v>Nippon Sharyo Odakyu 3100 series NSE</v>
      </c>
      <c r="F618" t="s">
        <v>640</v>
      </c>
      <c r="G618" s="40" t="str">
        <f>_xlfn.XLOOKUP(PROPERTIES[[#This Row],[COUNTRY]],COUNTRIES[COUNTRY_DESCRIPTION],COUNTRIES[COUNTRY_LABEL],"")</f>
        <v>JP</v>
      </c>
      <c r="H618" t="str" cm="1">
        <f t="array" ref="H6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8" t="s">
        <v>15</v>
      </c>
      <c r="J618">
        <v>48</v>
      </c>
      <c r="K618">
        <v>8</v>
      </c>
      <c r="M618" t="str" cm="1">
        <f t="array" ref="M6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18">
        <f>_xlfn.XLOOKUP("LOADINGSPEEDDEF_"&amp;PROPERTIES[[#This Row],[LOADINGSPEED]],LOADINGSPEEDDEF[TYPE],LOADINGSPEEDDEF[SPEED])</f>
        <v>60</v>
      </c>
      <c r="O618" cm="1">
        <f t="array" ref="O6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18">
        <f>IF(ISNUMBER(SEARCH("passenger",PROPERTIES[[#This Row],[CARGODEF]])),1,0)</f>
        <v>1</v>
      </c>
      <c r="Q618" s="23">
        <v>28.4</v>
      </c>
      <c r="R618">
        <f>536*2</f>
        <v>1072</v>
      </c>
      <c r="S618">
        <v>0</v>
      </c>
      <c r="T618">
        <v>0</v>
      </c>
      <c r="U618">
        <v>0</v>
      </c>
      <c r="V618">
        <v>110</v>
      </c>
      <c r="W618">
        <v>0</v>
      </c>
      <c r="X618">
        <v>0</v>
      </c>
      <c r="Y618">
        <v>0</v>
      </c>
      <c r="Z618" s="20">
        <v>35</v>
      </c>
      <c r="AA618" s="19">
        <f>IFERROR(PROPERTIES[[#This Row],[TE_STARTING_KN]]/(PROPERTIES[[#This Row],[WEIGHT]]*9.81),0)</f>
        <v>0.12562633702315831</v>
      </c>
      <c r="AB618" s="19">
        <v>0</v>
      </c>
      <c r="AC618" s="16">
        <f>ROUND(IF(IFERROR(PROPERTIES[[#This Row],[TE_COEFFICIENT_CALC]],0)=0,PROPERTIES[[#This Row],[TE_COEFFICIENT_MANUAL]],PROPERTIES[[#This Row],[TE_COEFFICIENT_CALC]]),3)</f>
        <v>0.126</v>
      </c>
      <c r="AD618" s="8" cm="1">
        <f t="array" ref="AD6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18" s="26">
        <v>42</v>
      </c>
      <c r="AF618" s="6">
        <v>8</v>
      </c>
      <c r="AG618" t="s">
        <v>238</v>
      </c>
      <c r="AH618" t="s">
        <v>229</v>
      </c>
      <c r="AI618" t="s">
        <v>229</v>
      </c>
      <c r="AJ618" s="2" t="s">
        <v>229</v>
      </c>
      <c r="AK618" s="2" t="s">
        <v>244</v>
      </c>
      <c r="AL61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1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18" s="2" t="str">
        <f>SUBSTITUTE(SUBSTITUTE(PROPERTIES[[#This Row],[PURCHASECOST_VALUE]], "PURCHASECOST_", ""), "_VALUE", "")</f>
        <v>EMU</v>
      </c>
      <c r="AO618" s="44" t="b">
        <v>0</v>
      </c>
      <c r="AP618" s="48" t="b">
        <v>0</v>
      </c>
      <c r="AQ618" s="48" t="b">
        <v>0</v>
      </c>
      <c r="AR618" s="48">
        <v>0</v>
      </c>
      <c r="AS618" s="48" t="b">
        <v>0</v>
      </c>
      <c r="AT618" s="7" t="b">
        <v>0</v>
      </c>
      <c r="AU618" s="40" t="str" cm="1">
        <f t="array" ref="AU618">_xlfn.XLOOKUP(PROPERTIES[[#This Row],[VEHIDCODE]],GRAPHICS_PROPERTIES[VEHIDCODE],GRAPHICS_PROPERTIES[TEMPLATE_ID]&amp;GRAPHICS_PROPERTIES[TEMPLATE_AMENDMENT_CODE])</f>
        <v>TPL_02D</v>
      </c>
    </row>
    <row r="619" spans="1:47" x14ac:dyDescent="0.35">
      <c r="A619" s="2" t="s">
        <v>3236</v>
      </c>
      <c r="B619">
        <v>1986</v>
      </c>
      <c r="C619">
        <v>2012</v>
      </c>
      <c r="D619" cm="1">
        <f t="array" ref="D6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19" s="40" t="str">
        <f>_xlfn.XLOOKUP(PROPERTIES[[#This Row],[VEHIDCODE]],CONTROL[VEHIDCODE],CONTROL[ENGLISH])</f>
        <v>Nippon Sharyo Odakyu 10000 series HiSE</v>
      </c>
      <c r="F619" t="s">
        <v>640</v>
      </c>
      <c r="G619" s="40" t="str">
        <f>_xlfn.XLOOKUP(PROPERTIES[[#This Row],[COUNTRY]],COUNTRIES[COUNTRY_DESCRIPTION],COUNTRIES[COUNTRY_LABEL],"")</f>
        <v>JP</v>
      </c>
      <c r="H619" t="str" cm="1">
        <f t="array" ref="H6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9" t="s">
        <v>15</v>
      </c>
      <c r="J619">
        <v>46</v>
      </c>
      <c r="K619">
        <v>8</v>
      </c>
      <c r="M619" t="str" cm="1">
        <f t="array" ref="M6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19">
        <f>_xlfn.XLOOKUP("LOADINGSPEEDDEF_"&amp;PROPERTIES[[#This Row],[LOADINGSPEED]],LOADINGSPEEDDEF[TYPE],LOADINGSPEEDDEF[SPEED])</f>
        <v>60</v>
      </c>
      <c r="O619" t="str" cm="1">
        <f t="array" ref="O6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9">
        <f>IF(ISNUMBER(SEARCH("passenger",PROPERTIES[[#This Row],[CARGODEF]])),1,0)</f>
        <v>1</v>
      </c>
      <c r="Q619" s="23">
        <v>32.700000000000003</v>
      </c>
      <c r="R619">
        <v>1550</v>
      </c>
      <c r="S619">
        <v>0</v>
      </c>
      <c r="T619">
        <v>0</v>
      </c>
      <c r="U619">
        <v>0</v>
      </c>
      <c r="V619">
        <v>110</v>
      </c>
      <c r="W619">
        <v>0</v>
      </c>
      <c r="X619">
        <v>0</v>
      </c>
      <c r="Y619">
        <v>0</v>
      </c>
      <c r="Z619" s="20">
        <v>42</v>
      </c>
      <c r="AA619" s="19">
        <f>IFERROR(PROPERTIES[[#This Row],[TE_STARTING_KN]]/(PROPERTIES[[#This Row],[WEIGHT]]*9.81),0)</f>
        <v>0.13092799895257601</v>
      </c>
      <c r="AB619" s="19">
        <v>0</v>
      </c>
      <c r="AC619" s="16">
        <f>ROUND(IF(IFERROR(PROPERTIES[[#This Row],[TE_COEFFICIENT_CALC]],0)=0,PROPERTIES[[#This Row],[TE_COEFFICIENT_MANUAL]],PROPERTIES[[#This Row],[TE_COEFFICIENT_CALC]]),3)</f>
        <v>0.13100000000000001</v>
      </c>
      <c r="AD619" s="8" cm="1">
        <f t="array" ref="AD6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19" s="26">
        <v>44</v>
      </c>
      <c r="AF619" s="6">
        <v>8</v>
      </c>
      <c r="AG619" t="s">
        <v>238</v>
      </c>
      <c r="AH619" t="s">
        <v>229</v>
      </c>
      <c r="AI619" t="s">
        <v>229</v>
      </c>
      <c r="AJ619" s="2" t="s">
        <v>229</v>
      </c>
      <c r="AK619" s="2" t="s">
        <v>244</v>
      </c>
      <c r="AL61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1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19" s="2" t="str">
        <f>SUBSTITUTE(SUBSTITUTE(PROPERTIES[[#This Row],[PURCHASECOST_VALUE]], "PURCHASECOST_", ""), "_VALUE", "")</f>
        <v>EMU</v>
      </c>
      <c r="AO619" s="44" t="b">
        <v>0</v>
      </c>
      <c r="AP619" s="48" t="b">
        <v>0</v>
      </c>
      <c r="AQ619" s="48" t="b">
        <v>0</v>
      </c>
      <c r="AR619" s="48">
        <v>0</v>
      </c>
      <c r="AS619" s="48" t="b">
        <v>0</v>
      </c>
      <c r="AT619" s="7" t="b">
        <v>0</v>
      </c>
      <c r="AU619" s="40" t="str" cm="1">
        <f t="array" ref="AU619">_xlfn.XLOOKUP(PROPERTIES[[#This Row],[VEHIDCODE]],GRAPHICS_PROPERTIES[VEHIDCODE],GRAPHICS_PROPERTIES[TEMPLATE_ID]&amp;GRAPHICS_PROPERTIES[TEMPLATE_AMENDMENT_CODE])</f>
        <v>TPL_02D</v>
      </c>
    </row>
    <row r="620" spans="1:47" x14ac:dyDescent="0.35">
      <c r="A620" s="2" t="s">
        <v>3237</v>
      </c>
      <c r="B620">
        <v>1972</v>
      </c>
      <c r="C620">
        <v>2011</v>
      </c>
      <c r="D620" cm="1">
        <f t="array" ref="D6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0" s="40" t="str">
        <f>_xlfn.XLOOKUP(PROPERTIES[[#This Row],[VEHIDCODE]],CONTROL[VEHIDCODE],CONTROL[ENGLISH])</f>
        <v>Comeng/Goninan S-set</v>
      </c>
      <c r="F620" t="s">
        <v>541</v>
      </c>
      <c r="G620" s="40" t="str">
        <f>_xlfn.XLOOKUP(PROPERTIES[[#This Row],[COUNTRY]],COUNTRIES[COUNTRY_DESCRIPTION],COUNTRIES[COUNTRY_LABEL],"")</f>
        <v>AU</v>
      </c>
      <c r="H620" t="str" cm="1">
        <f t="array" ref="H6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0" t="s">
        <v>15</v>
      </c>
      <c r="J620">
        <v>112</v>
      </c>
      <c r="K620">
        <v>8</v>
      </c>
      <c r="M620" t="str" cm="1">
        <f t="array" ref="M6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0">
        <f>_xlfn.XLOOKUP("LOADINGSPEEDDEF_"&amp;PROPERTIES[[#This Row],[LOADINGSPEED]],LOADINGSPEEDDEF[TYPE],LOADINGSPEEDDEF[SPEED])</f>
        <v>60</v>
      </c>
      <c r="O620" cm="1">
        <f t="array" ref="O6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0">
        <f>IF(ISNUMBER(SEARCH("passenger",PROPERTIES[[#This Row],[CARGODEF]])),1,0)</f>
        <v>1</v>
      </c>
      <c r="Q620" s="23">
        <v>47</v>
      </c>
      <c r="R620">
        <v>1600</v>
      </c>
      <c r="S620">
        <v>0</v>
      </c>
      <c r="T620">
        <v>0</v>
      </c>
      <c r="U620">
        <v>0</v>
      </c>
      <c r="V620">
        <v>115</v>
      </c>
      <c r="W620">
        <v>0</v>
      </c>
      <c r="X620">
        <v>0</v>
      </c>
      <c r="Y620">
        <v>0</v>
      </c>
      <c r="Z620" s="20">
        <v>110</v>
      </c>
      <c r="AA620" s="19">
        <f>IFERROR(PROPERTIES[[#This Row],[TE_STARTING_KN]]/(PROPERTIES[[#This Row],[WEIGHT]]*9.81),0)</f>
        <v>0.2385754874530982</v>
      </c>
      <c r="AB620" s="19">
        <v>0</v>
      </c>
      <c r="AC620" s="16">
        <f>ROUND(IF(IFERROR(PROPERTIES[[#This Row],[TE_COEFFICIENT_CALC]],0)=0,PROPERTIES[[#This Row],[TE_COEFFICIENT_MANUAL]],PROPERTIES[[#This Row],[TE_COEFFICIENT_CALC]]),3)</f>
        <v>0.23899999999999999</v>
      </c>
      <c r="AD620" s="8" cm="1">
        <f t="array" ref="AD6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20" s="26">
        <v>130</v>
      </c>
      <c r="AF620" s="6">
        <v>8</v>
      </c>
      <c r="AG620" t="s">
        <v>232</v>
      </c>
      <c r="AH620" t="s">
        <v>229</v>
      </c>
      <c r="AI620" t="s">
        <v>229</v>
      </c>
      <c r="AJ620" s="2" t="s">
        <v>229</v>
      </c>
      <c r="AK620" s="2" t="s">
        <v>244</v>
      </c>
      <c r="AL62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0" s="2" t="str">
        <f>SUBSTITUTE(SUBSTITUTE(PROPERTIES[[#This Row],[PURCHASECOST_VALUE]], "PURCHASECOST_", ""), "_VALUE", "")</f>
        <v>EMU</v>
      </c>
      <c r="AO620" s="44" t="b">
        <v>0</v>
      </c>
      <c r="AP620" s="48" t="b">
        <v>0</v>
      </c>
      <c r="AQ620" s="48" t="b">
        <v>0</v>
      </c>
      <c r="AR620" s="48">
        <v>0</v>
      </c>
      <c r="AS620" s="48" t="b">
        <v>0</v>
      </c>
      <c r="AT620" s="7" t="b">
        <v>0</v>
      </c>
      <c r="AU620" s="40" t="str" cm="1">
        <f t="array" ref="AU620">_xlfn.XLOOKUP(PROPERTIES[[#This Row],[VEHIDCODE]],GRAPHICS_PROPERTIES[VEHIDCODE],GRAPHICS_PROPERTIES[TEMPLATE_ID]&amp;GRAPHICS_PROPERTIES[TEMPLATE_AMENDMENT_CODE])</f>
        <v>TPL_02A</v>
      </c>
    </row>
    <row r="621" spans="1:47" x14ac:dyDescent="0.35">
      <c r="A621" s="2" t="s">
        <v>3238</v>
      </c>
      <c r="B621">
        <v>2007</v>
      </c>
      <c r="C621">
        <v>2025</v>
      </c>
      <c r="D621" cm="1">
        <f t="array" ref="D6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1" s="40" t="str">
        <f>_xlfn.XLOOKUP(PROPERTIES[[#This Row],[VEHIDCODE]],CONTROL[VEHIDCODE],CONTROL[ENGLISH])</f>
        <v>UGL Rail H-set 'OSCAR'</v>
      </c>
      <c r="F621" t="s">
        <v>541</v>
      </c>
      <c r="G621" s="40" t="str">
        <f>_xlfn.XLOOKUP(PROPERTIES[[#This Row],[COUNTRY]],COUNTRIES[COUNTRY_DESCRIPTION],COUNTRIES[COUNTRY_LABEL],"")</f>
        <v>AU</v>
      </c>
      <c r="H621" t="str" cm="1">
        <f t="array" ref="H6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1" t="s">
        <v>15</v>
      </c>
      <c r="J621">
        <v>120</v>
      </c>
      <c r="K621">
        <v>8</v>
      </c>
      <c r="M621" t="str" cm="1">
        <f t="array" ref="M6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1">
        <f>_xlfn.XLOOKUP("LOADINGSPEEDDEF_"&amp;PROPERTIES[[#This Row],[LOADINGSPEED]],LOADINGSPEEDDEF[TYPE],LOADINGSPEEDDEF[SPEED])</f>
        <v>60</v>
      </c>
      <c r="O621" t="str" cm="1">
        <f t="array" ref="O6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21">
        <f>IF(ISNUMBER(SEARCH("passenger",PROPERTIES[[#This Row],[CARGODEF]])),1,0)</f>
        <v>1</v>
      </c>
      <c r="Q621" s="23">
        <v>57</v>
      </c>
      <c r="R621">
        <f>1072*2</f>
        <v>2144</v>
      </c>
      <c r="S621">
        <v>0</v>
      </c>
      <c r="T621">
        <v>0</v>
      </c>
      <c r="U621">
        <v>0</v>
      </c>
      <c r="V621">
        <v>130</v>
      </c>
      <c r="W621">
        <v>0</v>
      </c>
      <c r="X621">
        <v>0</v>
      </c>
      <c r="Y621">
        <v>0</v>
      </c>
      <c r="Z621" s="20">
        <v>110</v>
      </c>
      <c r="AA621" s="19">
        <f>IFERROR(PROPERTIES[[#This Row],[TE_STARTING_KN]]/(PROPERTIES[[#This Row],[WEIGHT]]*9.81),0)</f>
        <v>0.19672013877711605</v>
      </c>
      <c r="AB621" s="19">
        <v>0</v>
      </c>
      <c r="AC621" s="16">
        <f>ROUND(IF(IFERROR(PROPERTIES[[#This Row],[TE_COEFFICIENT_CALC]],0)=0,PROPERTIES[[#This Row],[TE_COEFFICIENT_MANUAL]],PROPERTIES[[#This Row],[TE_COEFFICIENT_CALC]]),3)</f>
        <v>0.19700000000000001</v>
      </c>
      <c r="AD621" s="8" cm="1">
        <f t="array" ref="AD6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21" s="26">
        <v>120</v>
      </c>
      <c r="AF621" s="6">
        <v>8</v>
      </c>
      <c r="AG621" t="s">
        <v>232</v>
      </c>
      <c r="AH621" t="s">
        <v>229</v>
      </c>
      <c r="AI621" t="s">
        <v>229</v>
      </c>
      <c r="AJ621" s="2" t="s">
        <v>229</v>
      </c>
      <c r="AK621" s="2" t="s">
        <v>244</v>
      </c>
      <c r="AL62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1" s="2" t="str">
        <f>SUBSTITUTE(SUBSTITUTE(PROPERTIES[[#This Row],[PURCHASECOST_VALUE]], "PURCHASECOST_", ""), "_VALUE", "")</f>
        <v>EMU</v>
      </c>
      <c r="AO621" s="44" t="b">
        <v>0</v>
      </c>
      <c r="AP621" s="48" t="b">
        <v>0</v>
      </c>
      <c r="AQ621" s="48" t="b">
        <v>0</v>
      </c>
      <c r="AR621" s="48">
        <v>0</v>
      </c>
      <c r="AS621" s="48" t="b">
        <v>0</v>
      </c>
      <c r="AT621" s="7" t="b">
        <v>0</v>
      </c>
      <c r="AU621" s="40" t="str" cm="1">
        <f t="array" ref="AU621">_xlfn.XLOOKUP(PROPERTIES[[#This Row],[VEHIDCODE]],GRAPHICS_PROPERTIES[VEHIDCODE],GRAPHICS_PROPERTIES[TEMPLATE_ID]&amp;GRAPHICS_PROPERTIES[TEMPLATE_AMENDMENT_CODE])</f>
        <v>TPL_02A</v>
      </c>
    </row>
    <row r="622" spans="1:47" x14ac:dyDescent="0.35">
      <c r="A622" s="2" t="s">
        <v>3239</v>
      </c>
      <c r="B622">
        <v>1917</v>
      </c>
      <c r="C622">
        <v>1964</v>
      </c>
      <c r="D622" cm="1">
        <f t="array" ref="D6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2" s="40" t="str">
        <f>_xlfn.XLOOKUP(PROPERTIES[[#This Row],[VEHIDCODE]],CONTROL[VEHIDCODE],CONTROL[ENGLISH])</f>
        <v>Victorian Railways 'Swing Door'</v>
      </c>
      <c r="F622" t="s">
        <v>541</v>
      </c>
      <c r="G622" s="40" t="str">
        <f>_xlfn.XLOOKUP(PROPERTIES[[#This Row],[COUNTRY]],COUNTRIES[COUNTRY_DESCRIPTION],COUNTRIES[COUNTRY_LABEL],"")</f>
        <v>AU</v>
      </c>
      <c r="H622" t="str" cm="1">
        <f t="array" ref="H6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2" t="s">
        <v>15</v>
      </c>
      <c r="J622">
        <v>48</v>
      </c>
      <c r="K622">
        <v>8</v>
      </c>
      <c r="M622" t="str" cm="1">
        <f t="array" ref="M6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2">
        <f>_xlfn.XLOOKUP("LOADINGSPEEDDEF_"&amp;PROPERTIES[[#This Row],[LOADINGSPEED]],LOADINGSPEEDDEF[TYPE],LOADINGSPEEDDEF[SPEED])</f>
        <v>60</v>
      </c>
      <c r="O622" cm="1">
        <f t="array" ref="O6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2">
        <f>IF(ISNUMBER(SEARCH("passenger",PROPERTIES[[#This Row],[CARGODEF]])),1,0)</f>
        <v>1</v>
      </c>
      <c r="Q622" s="23">
        <v>47</v>
      </c>
      <c r="R622">
        <v>563</v>
      </c>
      <c r="S622">
        <v>0</v>
      </c>
      <c r="T622">
        <v>0</v>
      </c>
      <c r="U622">
        <v>0</v>
      </c>
      <c r="V622">
        <v>83</v>
      </c>
      <c r="W622">
        <v>0</v>
      </c>
      <c r="X622">
        <v>0</v>
      </c>
      <c r="Y622">
        <v>0</v>
      </c>
      <c r="Z622" s="20">
        <f>110/2</f>
        <v>55</v>
      </c>
      <c r="AA622" s="19">
        <f>IFERROR(PROPERTIES[[#This Row],[TE_STARTING_KN]]/(PROPERTIES[[#This Row],[WEIGHT]]*9.81),0)</f>
        <v>0.1192877437265491</v>
      </c>
      <c r="AB622" s="19">
        <v>0</v>
      </c>
      <c r="AC622" s="16">
        <f>ROUND(IF(IFERROR(PROPERTIES[[#This Row],[TE_COEFFICIENT_CALC]],0)=0,PROPERTIES[[#This Row],[TE_COEFFICIENT_MANUAL]],PROPERTIES[[#This Row],[TE_COEFFICIENT_CALC]]),3)</f>
        <v>0.11899999999999999</v>
      </c>
      <c r="AD622" s="8" cm="1">
        <f t="array" ref="AD6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47</v>
      </c>
      <c r="AE622" s="26">
        <v>75</v>
      </c>
      <c r="AF622" s="6">
        <v>8</v>
      </c>
      <c r="AG622" t="s">
        <v>232</v>
      </c>
      <c r="AH622" t="s">
        <v>229</v>
      </c>
      <c r="AI622" t="s">
        <v>229</v>
      </c>
      <c r="AJ622" s="2" t="s">
        <v>229</v>
      </c>
      <c r="AK622" s="2" t="s">
        <v>244</v>
      </c>
      <c r="AL62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2" s="2" t="str">
        <f>SUBSTITUTE(SUBSTITUTE(PROPERTIES[[#This Row],[PURCHASECOST_VALUE]], "PURCHASECOST_", ""), "_VALUE", "")</f>
        <v>EMU</v>
      </c>
      <c r="AO622" s="44" t="b">
        <v>0</v>
      </c>
      <c r="AP622" s="48" t="b">
        <v>0</v>
      </c>
      <c r="AQ622" s="48" t="b">
        <v>0</v>
      </c>
      <c r="AR622" s="48">
        <v>0</v>
      </c>
      <c r="AS622" s="48" t="b">
        <v>0</v>
      </c>
      <c r="AT622" s="7" t="b">
        <v>0</v>
      </c>
      <c r="AU622" s="40" t="str" cm="1">
        <f t="array" ref="AU622">_xlfn.XLOOKUP(PROPERTIES[[#This Row],[VEHIDCODE]],GRAPHICS_PROPERTIES[VEHIDCODE],GRAPHICS_PROPERTIES[TEMPLATE_ID]&amp;GRAPHICS_PROPERTIES[TEMPLATE_AMENDMENT_CODE])</f>
        <v>TPL_02A</v>
      </c>
    </row>
    <row r="623" spans="1:47" x14ac:dyDescent="0.35">
      <c r="A623" s="2" t="s">
        <v>3478</v>
      </c>
      <c r="B623">
        <v>1979</v>
      </c>
      <c r="C623">
        <v>2015</v>
      </c>
      <c r="D623" cm="1">
        <f t="array" ref="D6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3" s="40" t="str">
        <f>_xlfn.XLOOKUP(PROPERTIES[[#This Row],[VEHIDCODE]],CONTROL[VEHIDCODE],CONTROL[ENGLISH])</f>
        <v>Ganz-MAVAG EM/ET</v>
      </c>
      <c r="F623" t="s">
        <v>697</v>
      </c>
      <c r="G623" s="40" t="str">
        <f>_xlfn.XLOOKUP(PROPERTIES[[#This Row],[COUNTRY]],COUNTRIES[COUNTRY_DESCRIPTION],COUNTRIES[COUNTRY_LABEL],"")</f>
        <v>NZ</v>
      </c>
      <c r="H623" t="str" cm="1">
        <f t="array" ref="H6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3" t="s">
        <v>15</v>
      </c>
      <c r="J623">
        <v>74</v>
      </c>
      <c r="K623">
        <v>8</v>
      </c>
      <c r="M623" t="str" cm="1">
        <f t="array" ref="M6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3">
        <f>_xlfn.XLOOKUP("LOADINGSPEEDDEF_"&amp;PROPERTIES[[#This Row],[LOADINGSPEED]],LOADINGSPEEDDEF[TYPE],LOADINGSPEEDDEF[SPEED])</f>
        <v>60</v>
      </c>
      <c r="O623" cm="1">
        <f t="array" ref="O6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3">
        <f>IF(ISNUMBER(SEARCH("passenger",PROPERTIES[[#This Row],[CARGODEF]])),1,0)</f>
        <v>1</v>
      </c>
      <c r="Q623" s="23">
        <v>37.6</v>
      </c>
      <c r="R623">
        <v>540</v>
      </c>
      <c r="S623">
        <v>0</v>
      </c>
      <c r="T623">
        <v>0</v>
      </c>
      <c r="U623">
        <v>0</v>
      </c>
      <c r="V623">
        <v>95</v>
      </c>
      <c r="W623">
        <v>0</v>
      </c>
      <c r="X623">
        <v>0</v>
      </c>
      <c r="Y623">
        <v>0</v>
      </c>
      <c r="Z623" s="20">
        <v>50</v>
      </c>
      <c r="AA623" s="19">
        <f>IFERROR(PROPERTIES[[#This Row],[TE_STARTING_KN]]/(PROPERTIES[[#This Row],[WEIGHT]]*9.81),0)</f>
        <v>0.13555425423471487</v>
      </c>
      <c r="AB623" s="19">
        <v>0</v>
      </c>
      <c r="AC623" s="16">
        <f>ROUND(IF(IFERROR(PROPERTIES[[#This Row],[TE_COEFFICIENT_CALC]],0)=0,PROPERTIES[[#This Row],[TE_COEFFICIENT_MANUAL]],PROPERTIES[[#This Row],[TE_COEFFICIENT_CALC]]),3)</f>
        <v>0.13600000000000001</v>
      </c>
      <c r="AD623" s="8" cm="1">
        <f t="array" ref="AD6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23" s="26">
        <v>74</v>
      </c>
      <c r="AF623" s="6">
        <v>8</v>
      </c>
      <c r="AG623" t="s">
        <v>232</v>
      </c>
      <c r="AH623" t="s">
        <v>229</v>
      </c>
      <c r="AI623" t="s">
        <v>229</v>
      </c>
      <c r="AJ623" s="2" t="s">
        <v>229</v>
      </c>
      <c r="AK623" s="2" t="s">
        <v>244</v>
      </c>
      <c r="AL62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3" s="2" t="str">
        <f>SUBSTITUTE(SUBSTITUTE(PROPERTIES[[#This Row],[PURCHASECOST_VALUE]], "PURCHASECOST_", ""), "_VALUE", "")</f>
        <v>EMU</v>
      </c>
      <c r="AO623" s="44" t="b">
        <v>0</v>
      </c>
      <c r="AP623" s="48" t="b">
        <v>0</v>
      </c>
      <c r="AQ623" s="48" t="b">
        <v>1</v>
      </c>
      <c r="AR623" s="48">
        <v>0</v>
      </c>
      <c r="AS623" s="48" t="b">
        <v>0</v>
      </c>
      <c r="AT623" s="7" t="b">
        <v>1</v>
      </c>
      <c r="AU623" s="40" t="str" cm="1">
        <f t="array" ref="AU623">_xlfn.XLOOKUP(PROPERTIES[[#This Row],[VEHIDCODE]],GRAPHICS_PROPERTIES[VEHIDCODE],GRAPHICS_PROPERTIES[TEMPLATE_ID]&amp;GRAPHICS_PROPERTIES[TEMPLATE_AMENDMENT_CODE])</f>
        <v>TPL_02A</v>
      </c>
    </row>
    <row r="624" spans="1:47" x14ac:dyDescent="0.35">
      <c r="A624" s="2" t="s">
        <v>3241</v>
      </c>
      <c r="B624">
        <v>1958</v>
      </c>
      <c r="C624">
        <v>2000</v>
      </c>
      <c r="D624" cm="1">
        <f t="array" ref="D6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4" s="40" t="str">
        <f>_xlfn.XLOOKUP(PROPERTIES[[#This Row],[VEHIDCODE]],CONTROL[VEHIDCODE],CONTROL[ENGLISH])</f>
        <v>Metro-Cammell 5M2</v>
      </c>
      <c r="F624" t="s">
        <v>771</v>
      </c>
      <c r="G624" s="40" t="str">
        <f>_xlfn.XLOOKUP(PROPERTIES[[#This Row],[COUNTRY]],COUNTRIES[COUNTRY_DESCRIPTION],COUNTRIES[COUNTRY_LABEL],"")</f>
        <v>ZA</v>
      </c>
      <c r="H624" t="str" cm="1">
        <f t="array" ref="H6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4" t="s">
        <v>15</v>
      </c>
      <c r="J624">
        <f>INT(176/2)</f>
        <v>88</v>
      </c>
      <c r="K624">
        <v>7</v>
      </c>
      <c r="L624">
        <v>0</v>
      </c>
      <c r="M624" t="str" cm="1">
        <f t="array" ref="M6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4">
        <f>_xlfn.XLOOKUP("LOADINGSPEEDDEF_"&amp;PROPERTIES[[#This Row],[LOADINGSPEED]],LOADINGSPEEDDEF[TYPE],LOADINGSPEEDDEF[SPEED])</f>
        <v>60</v>
      </c>
      <c r="O624" cm="1">
        <f t="array" ref="O6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4">
        <f>IF(ISNUMBER(SEARCH("passenger",PROPERTIES[[#This Row],[CARGODEF]])),1,0)</f>
        <v>1</v>
      </c>
      <c r="Q624" s="23">
        <v>60</v>
      </c>
      <c r="R624">
        <v>2480</v>
      </c>
      <c r="S624">
        <v>0</v>
      </c>
      <c r="T624">
        <v>0</v>
      </c>
      <c r="U624">
        <v>0</v>
      </c>
      <c r="V624">
        <v>100</v>
      </c>
      <c r="W624">
        <v>0</v>
      </c>
      <c r="X624">
        <v>0</v>
      </c>
      <c r="Y624">
        <v>0</v>
      </c>
      <c r="Z624" s="20">
        <v>160</v>
      </c>
      <c r="AA624" s="19">
        <f>IFERROR(PROPERTIES[[#This Row],[TE_STARTING_KN]]/(PROPERTIES[[#This Row],[WEIGHT]]*9.81),0)</f>
        <v>0.27183146449201495</v>
      </c>
      <c r="AB624" s="19">
        <v>0</v>
      </c>
      <c r="AC624" s="16">
        <f>ROUND(IF(IFERROR(PROPERTIES[[#This Row],[TE_COEFFICIENT_CALC]],0)=0,PROPERTIES[[#This Row],[TE_COEFFICIENT_MANUAL]],PROPERTIES[[#This Row],[TE_COEFFICIENT_CALC]]),3)</f>
        <v>0.27200000000000002</v>
      </c>
      <c r="AD624" s="8" cm="1">
        <f t="array" ref="AD6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624" s="26">
        <f>149+52</f>
        <v>201</v>
      </c>
      <c r="AF624" s="6">
        <v>7</v>
      </c>
      <c r="AG624" t="s">
        <v>233</v>
      </c>
      <c r="AH624" t="s">
        <v>229</v>
      </c>
      <c r="AI624" t="s">
        <v>229</v>
      </c>
      <c r="AJ624" s="2" t="s">
        <v>229</v>
      </c>
      <c r="AK624" s="2" t="s">
        <v>244</v>
      </c>
      <c r="AL62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4" s="2" t="str">
        <f>SUBSTITUTE(SUBSTITUTE(PROPERTIES[[#This Row],[PURCHASECOST_VALUE]], "PURCHASECOST_", ""), "_VALUE", "")</f>
        <v>EMU</v>
      </c>
      <c r="AO624" s="44" t="b">
        <v>0</v>
      </c>
      <c r="AP624" s="48" t="b">
        <v>0</v>
      </c>
      <c r="AQ624" s="48" t="b">
        <v>0</v>
      </c>
      <c r="AR624" s="48">
        <v>0</v>
      </c>
      <c r="AS624" s="48" t="b">
        <v>0</v>
      </c>
      <c r="AT624" s="7" t="b">
        <v>0</v>
      </c>
      <c r="AU624" s="40" t="str" cm="1">
        <f t="array" ref="AU624">_xlfn.XLOOKUP(PROPERTIES[[#This Row],[VEHIDCODE]],GRAPHICS_PROPERTIES[VEHIDCODE],GRAPHICS_PROPERTIES[TEMPLATE_ID]&amp;GRAPHICS_PROPERTIES[TEMPLATE_AMENDMENT_CODE])</f>
        <v>TPL_02A</v>
      </c>
    </row>
    <row r="625" spans="1:47" x14ac:dyDescent="0.35">
      <c r="A625" s="2" t="s">
        <v>3242</v>
      </c>
      <c r="B625">
        <v>2005</v>
      </c>
      <c r="D625" cm="1">
        <f t="array" ref="D6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5" s="40" t="str">
        <f>_xlfn.XLOOKUP(PROPERTIES[[#This Row],[VEHIDCODE]],CONTROL[VEHIDCODE],CONTROL[ENGLISH])</f>
        <v>Alstom X'Trapolis 100</v>
      </c>
      <c r="F625" t="s">
        <v>573</v>
      </c>
      <c r="G625" s="40" t="str">
        <f>_xlfn.XLOOKUP(PROPERTIES[[#This Row],[COUNTRY]],COUNTRIES[COUNTRY_DESCRIPTION],COUNTRIES[COUNTRY_LABEL],"")</f>
        <v>CL</v>
      </c>
      <c r="H625" t="str" cm="1">
        <f t="array" ref="H6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5" t="s">
        <v>15</v>
      </c>
      <c r="J625">
        <v>72</v>
      </c>
      <c r="K625">
        <v>8</v>
      </c>
      <c r="M625" t="str" cm="1">
        <f t="array" ref="M6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5">
        <f>_xlfn.XLOOKUP("LOADINGSPEEDDEF_"&amp;PROPERTIES[[#This Row],[LOADINGSPEED]],LOADINGSPEEDDEF[TYPE],LOADINGSPEEDDEF[SPEED])</f>
        <v>60</v>
      </c>
      <c r="O625" t="str" cm="1">
        <f t="array" ref="O6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25">
        <f>IF(ISNUMBER(SEARCH("passenger",PROPERTIES[[#This Row],[CARGODEF]])),1,0)</f>
        <v>1</v>
      </c>
      <c r="Q625" s="23">
        <v>43</v>
      </c>
      <c r="R625">
        <v>1930</v>
      </c>
      <c r="S625">
        <v>0</v>
      </c>
      <c r="T625">
        <v>0</v>
      </c>
      <c r="U625">
        <v>0</v>
      </c>
      <c r="V625">
        <v>130</v>
      </c>
      <c r="W625">
        <v>0</v>
      </c>
      <c r="X625">
        <v>0</v>
      </c>
      <c r="Y625">
        <v>0</v>
      </c>
      <c r="Z625" s="20">
        <v>95</v>
      </c>
      <c r="AA625" s="19">
        <f>IFERROR(PROPERTIES[[#This Row],[TE_STARTING_KN]]/(PROPERTIES[[#This Row],[WEIGHT]]*9.81),0)</f>
        <v>0.2252092075006519</v>
      </c>
      <c r="AB625" s="19">
        <v>0</v>
      </c>
      <c r="AC625" s="16">
        <f>ROUND(IF(IFERROR(PROPERTIES[[#This Row],[TE_COEFFICIENT_CALC]],0)=0,PROPERTIES[[#This Row],[TE_COEFFICIENT_MANUAL]],PROPERTIES[[#This Row],[TE_COEFFICIENT_CALC]]),3)</f>
        <v>0.22500000000000001</v>
      </c>
      <c r="AD625" s="8" cm="1">
        <f t="array" ref="AD6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25" s="26">
        <v>96</v>
      </c>
      <c r="AF625" s="6">
        <v>8</v>
      </c>
      <c r="AG625" t="s">
        <v>237</v>
      </c>
      <c r="AH625" t="s">
        <v>232</v>
      </c>
      <c r="AI625" t="s">
        <v>229</v>
      </c>
      <c r="AJ625" s="2" t="s">
        <v>229</v>
      </c>
      <c r="AK625" s="2" t="s">
        <v>244</v>
      </c>
      <c r="AL62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5" s="2" t="str">
        <f>SUBSTITUTE(SUBSTITUTE(PROPERTIES[[#This Row],[PURCHASECOST_VALUE]], "PURCHASECOST_", ""), "_VALUE", "")</f>
        <v>EMU</v>
      </c>
      <c r="AO625" s="44" t="b">
        <v>0</v>
      </c>
      <c r="AP625" s="48" t="b">
        <v>0</v>
      </c>
      <c r="AQ625" s="48" t="b">
        <v>0</v>
      </c>
      <c r="AR625" s="48">
        <v>0</v>
      </c>
      <c r="AS625" s="48" t="b">
        <v>0</v>
      </c>
      <c r="AT625" s="7" t="b">
        <v>0</v>
      </c>
      <c r="AU625" s="40" t="str" cm="1">
        <f t="array" ref="AU625">_xlfn.XLOOKUP(PROPERTIES[[#This Row],[VEHIDCODE]],GRAPHICS_PROPERTIES[VEHIDCODE],GRAPHICS_PROPERTIES[TEMPLATE_ID]&amp;GRAPHICS_PROPERTIES[TEMPLATE_AMENDMENT_CODE])</f>
        <v>TPL_02A</v>
      </c>
    </row>
    <row r="626" spans="1:47" x14ac:dyDescent="0.35">
      <c r="A626" s="2" t="s">
        <v>3243</v>
      </c>
      <c r="B626">
        <v>1976</v>
      </c>
      <c r="C626">
        <v>2005</v>
      </c>
      <c r="D626" cm="1">
        <f t="array" ref="D6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6" s="40" t="str">
        <f>_xlfn.XLOOKUP(PROPERTIES[[#This Row],[VEHIDCODE]],CONTROL[VEHIDCODE],CONTROL[ENGLISH])</f>
        <v>GEC/Fiat AES Railcar</v>
      </c>
      <c r="F626" t="s">
        <v>573</v>
      </c>
      <c r="G626" s="40" t="str">
        <f>_xlfn.XLOOKUP(PROPERTIES[[#This Row],[COUNTRY]],COUNTRIES[COUNTRY_DESCRIPTION],COUNTRIES[COUNTRY_LABEL],"")</f>
        <v>CL</v>
      </c>
      <c r="H626" t="str" cm="1">
        <f t="array" ref="H6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6" t="s">
        <v>15</v>
      </c>
      <c r="J626">
        <v>88</v>
      </c>
      <c r="K626">
        <v>7</v>
      </c>
      <c r="L626">
        <v>0</v>
      </c>
      <c r="M626" t="str" cm="1">
        <f t="array" ref="M6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6">
        <f>_xlfn.XLOOKUP("LOADINGSPEEDDEF_"&amp;PROPERTIES[[#This Row],[LOADINGSPEED]],LOADINGSPEEDDEF[TYPE],LOADINGSPEEDDEF[SPEED])</f>
        <v>60</v>
      </c>
      <c r="O626" cm="1">
        <f t="array" ref="O6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6">
        <f>IF(ISNUMBER(SEARCH("passenger",PROPERTIES[[#This Row],[CARGODEF]])),1,0)</f>
        <v>1</v>
      </c>
      <c r="Q626" s="23">
        <v>52</v>
      </c>
      <c r="R626">
        <f>805*2</f>
        <v>1610</v>
      </c>
      <c r="S626">
        <v>0</v>
      </c>
      <c r="T626">
        <v>0</v>
      </c>
      <c r="U626">
        <v>0</v>
      </c>
      <c r="V626">
        <v>130</v>
      </c>
      <c r="W626">
        <v>0</v>
      </c>
      <c r="X626">
        <v>0</v>
      </c>
      <c r="Y626">
        <v>0</v>
      </c>
      <c r="Z626" s="20">
        <v>85</v>
      </c>
      <c r="AA626" s="19">
        <f>IFERROR(PROPERTIES[[#This Row],[TE_STARTING_KN]]/(PROPERTIES[[#This Row],[WEIGHT]]*9.81),0)</f>
        <v>0.16662746020544186</v>
      </c>
      <c r="AB626" s="19">
        <v>0</v>
      </c>
      <c r="AC626" s="16">
        <f>ROUND(IF(IFERROR(PROPERTIES[[#This Row],[TE_COEFFICIENT_CALC]],0)=0,PROPERTIES[[#This Row],[TE_COEFFICIENT_MANUAL]],PROPERTIES[[#This Row],[TE_COEFFICIENT_CALC]]),3)</f>
        <v>0.16700000000000001</v>
      </c>
      <c r="AD626" s="8" cm="1">
        <f t="array" ref="AD6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26" s="26">
        <v>92</v>
      </c>
      <c r="AF626" s="6">
        <v>7</v>
      </c>
      <c r="AG626" t="s">
        <v>237</v>
      </c>
      <c r="AH626" t="s">
        <v>229</v>
      </c>
      <c r="AI626" t="s">
        <v>229</v>
      </c>
      <c r="AJ626" s="2" t="s">
        <v>229</v>
      </c>
      <c r="AK626" s="2" t="s">
        <v>244</v>
      </c>
      <c r="AL62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6" s="2" t="str">
        <f>SUBSTITUTE(SUBSTITUTE(PROPERTIES[[#This Row],[PURCHASECOST_VALUE]], "PURCHASECOST_", ""), "_VALUE", "")</f>
        <v>EMU</v>
      </c>
      <c r="AO626" s="44" t="b">
        <v>0</v>
      </c>
      <c r="AP626" s="48" t="b">
        <v>0</v>
      </c>
      <c r="AQ626" s="48" t="b">
        <v>1</v>
      </c>
      <c r="AR626" s="48">
        <v>0</v>
      </c>
      <c r="AS626" s="48" t="b">
        <v>0</v>
      </c>
      <c r="AT626" s="7" t="b">
        <v>1</v>
      </c>
      <c r="AU626" s="40" t="str" cm="1">
        <f t="array" ref="AU626">_xlfn.XLOOKUP(PROPERTIES[[#This Row],[VEHIDCODE]],GRAPHICS_PROPERTIES[VEHIDCODE],GRAPHICS_PROPERTIES[TEMPLATE_ID]&amp;GRAPHICS_PROPERTIES[TEMPLATE_AMENDMENT_CODE])</f>
        <v>TPL_02A</v>
      </c>
    </row>
    <row r="627" spans="1:47" x14ac:dyDescent="0.35">
      <c r="A627" s="2" t="s">
        <v>3244</v>
      </c>
      <c r="B627">
        <v>1984</v>
      </c>
      <c r="D627" cm="1">
        <f t="array" ref="D6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7" s="40" t="str">
        <f>_xlfn.XLOOKUP(PROPERTIES[[#This Row],[VEHIDCODE]],CONTROL[VEHIDCODE],CONTROL[ENGLISH])</f>
        <v>Ganz-MAVAG YZ-E</v>
      </c>
      <c r="F627" t="s">
        <v>748</v>
      </c>
      <c r="G627" s="40" t="str">
        <f>_xlfn.XLOOKUP(PROPERTIES[[#This Row],[COUNTRY]],COUNTRIES[COUNTRY_DESCRIPTION],COUNTRIES[COUNTRY_LABEL],"")</f>
        <v>TN</v>
      </c>
      <c r="H627" t="str" cm="1">
        <f t="array" ref="H6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7" t="s">
        <v>15</v>
      </c>
      <c r="J627">
        <v>150</v>
      </c>
      <c r="K627">
        <v>8</v>
      </c>
      <c r="M627" t="str" cm="1">
        <f t="array" ref="M6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7">
        <f>_xlfn.XLOOKUP("LOADINGSPEEDDEF_"&amp;PROPERTIES[[#This Row],[LOADINGSPEED]],LOADINGSPEEDDEF[TYPE],LOADINGSPEEDDEF[SPEED])</f>
        <v>60</v>
      </c>
      <c r="O627" cm="1">
        <f t="array" ref="O6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7">
        <f>IF(ISNUMBER(SEARCH("passenger",PROPERTIES[[#This Row],[CARGODEF]])),1,0)</f>
        <v>1</v>
      </c>
      <c r="Q627" s="23">
        <f>145/3</f>
        <v>48.333333333333336</v>
      </c>
      <c r="R627">
        <f>INT(1200*1.341)</f>
        <v>1609</v>
      </c>
      <c r="S627">
        <v>0</v>
      </c>
      <c r="T627">
        <v>0</v>
      </c>
      <c r="U627">
        <v>0</v>
      </c>
      <c r="V627">
        <v>120</v>
      </c>
      <c r="W627">
        <v>0</v>
      </c>
      <c r="X627">
        <v>0</v>
      </c>
      <c r="Y627">
        <v>0</v>
      </c>
      <c r="Z627" s="20">
        <v>125</v>
      </c>
      <c r="AA627" s="19">
        <f>IFERROR(PROPERTIES[[#This Row],[TE_STARTING_KN]]/(PROPERTIES[[#This Row],[WEIGHT]]*9.81),0)</f>
        <v>0.26362965306337655</v>
      </c>
      <c r="AB627" s="19">
        <v>0</v>
      </c>
      <c r="AC627" s="16">
        <f>ROUND(IF(IFERROR(PROPERTIES[[#This Row],[TE_COEFFICIENT_CALC]],0)=0,PROPERTIES[[#This Row],[TE_COEFFICIENT_MANUAL]],PROPERTIES[[#This Row],[TE_COEFFICIENT_CALC]]),3)</f>
        <v>0.26400000000000001</v>
      </c>
      <c r="AD627" s="8" cm="1">
        <f t="array" ref="AD6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27" s="26">
        <v>150</v>
      </c>
      <c r="AF627" s="6">
        <v>8</v>
      </c>
      <c r="AG627" t="s">
        <v>233</v>
      </c>
      <c r="AH627" t="s">
        <v>229</v>
      </c>
      <c r="AI627" t="s">
        <v>229</v>
      </c>
      <c r="AJ627" s="2" t="s">
        <v>229</v>
      </c>
      <c r="AK627" s="2" t="s">
        <v>244</v>
      </c>
      <c r="AL62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7" s="2" t="str">
        <f>SUBSTITUTE(SUBSTITUTE(PROPERTIES[[#This Row],[PURCHASECOST_VALUE]], "PURCHASECOST_", ""), "_VALUE", "")</f>
        <v>EMU</v>
      </c>
      <c r="AO627" s="44" t="b">
        <v>0</v>
      </c>
      <c r="AP627" s="48" t="b">
        <v>0</v>
      </c>
      <c r="AQ627" s="48" t="b">
        <v>0</v>
      </c>
      <c r="AR627" s="48">
        <v>0</v>
      </c>
      <c r="AS627" s="48" t="b">
        <v>0</v>
      </c>
      <c r="AT627" s="7" t="b">
        <v>0</v>
      </c>
      <c r="AU627" s="40" t="str" cm="1">
        <f t="array" ref="AU627">_xlfn.XLOOKUP(PROPERTIES[[#This Row],[VEHIDCODE]],GRAPHICS_PROPERTIES[VEHIDCODE],GRAPHICS_PROPERTIES[TEMPLATE_ID]&amp;GRAPHICS_PROPERTIES[TEMPLATE_AMENDMENT_CODE])</f>
        <v>TPL_02D</v>
      </c>
    </row>
    <row r="628" spans="1:47" x14ac:dyDescent="0.35">
      <c r="A628" s="2" t="s">
        <v>3245</v>
      </c>
      <c r="B628">
        <v>1997</v>
      </c>
      <c r="D628" cm="1">
        <f t="array" ref="D6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8" s="40" t="str">
        <f>_xlfn.XLOOKUP(PROPERTIES[[#This Row],[VEHIDCODE]],CONTROL[VEHIDCODE],CONTROL[ENGLISH])</f>
        <v>Walkers Tilt Train 'ETT'</v>
      </c>
      <c r="F628" t="s">
        <v>541</v>
      </c>
      <c r="G628" s="40" t="str">
        <f>_xlfn.XLOOKUP(PROPERTIES[[#This Row],[COUNTRY]],COUNTRIES[COUNTRY_DESCRIPTION],COUNTRIES[COUNTRY_LABEL],"")</f>
        <v>AU</v>
      </c>
      <c r="H628" t="str" cm="1">
        <f t="array" ref="H6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8" t="s">
        <v>15</v>
      </c>
      <c r="J628">
        <v>47</v>
      </c>
      <c r="K628">
        <v>8</v>
      </c>
      <c r="M628" t="str" cm="1">
        <f t="array" ref="M6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8">
        <f>_xlfn.XLOOKUP("LOADINGSPEEDDEF_"&amp;PROPERTIES[[#This Row],[LOADINGSPEED]],LOADINGSPEEDDEF[TYPE],LOADINGSPEEDDEF[SPEED])</f>
        <v>60</v>
      </c>
      <c r="O628" t="str" cm="1">
        <f t="array" ref="O6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28">
        <f>IF(ISNUMBER(SEARCH("passenger",PROPERTIES[[#This Row],[CARGODEF]])),1,0)</f>
        <v>1</v>
      </c>
      <c r="Q628" s="23">
        <v>45</v>
      </c>
      <c r="R628">
        <f>910*2</f>
        <v>1820</v>
      </c>
      <c r="S628">
        <v>0</v>
      </c>
      <c r="T628">
        <v>0</v>
      </c>
      <c r="U628">
        <v>0</v>
      </c>
      <c r="V628">
        <v>160</v>
      </c>
      <c r="W628">
        <v>0</v>
      </c>
      <c r="X628">
        <v>0</v>
      </c>
      <c r="Y628">
        <v>0</v>
      </c>
      <c r="Z628" s="20">
        <v>105</v>
      </c>
      <c r="AA628" s="19">
        <f>IFERROR(PROPERTIES[[#This Row],[TE_STARTING_KN]]/(PROPERTIES[[#This Row],[WEIGHT]]*9.81),0)</f>
        <v>0.23785253143051305</v>
      </c>
      <c r="AB628" s="19">
        <v>0</v>
      </c>
      <c r="AC628" s="16">
        <f>ROUND(IF(IFERROR(PROPERTIES[[#This Row],[TE_COEFFICIENT_CALC]],0)=0,PROPERTIES[[#This Row],[TE_COEFFICIENT_MANUAL]],PROPERTIES[[#This Row],[TE_COEFFICIENT_CALC]]),3)</f>
        <v>0.23799999999999999</v>
      </c>
      <c r="AD628" s="8" cm="1">
        <f t="array" ref="AD6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28" s="26">
        <v>56</v>
      </c>
      <c r="AF628" s="6">
        <v>8</v>
      </c>
      <c r="AG628" t="s">
        <v>232</v>
      </c>
      <c r="AH628" t="s">
        <v>229</v>
      </c>
      <c r="AI628" t="s">
        <v>229</v>
      </c>
      <c r="AJ628" s="2" t="s">
        <v>229</v>
      </c>
      <c r="AK628" s="2" t="s">
        <v>244</v>
      </c>
      <c r="AL62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8" s="2" t="str">
        <f>SUBSTITUTE(SUBSTITUTE(PROPERTIES[[#This Row],[PURCHASECOST_VALUE]], "PURCHASECOST_", ""), "_VALUE", "")</f>
        <v>EMU</v>
      </c>
      <c r="AO628" s="44" t="b">
        <v>0</v>
      </c>
      <c r="AP628" s="48" t="b">
        <v>0</v>
      </c>
      <c r="AQ628" s="48" t="b">
        <v>1</v>
      </c>
      <c r="AR628" s="48">
        <v>0</v>
      </c>
      <c r="AS628" s="48" t="b">
        <v>0</v>
      </c>
      <c r="AT628" s="7" t="b">
        <v>0</v>
      </c>
      <c r="AU628" s="40" t="str" cm="1">
        <f t="array" ref="AU628">_xlfn.XLOOKUP(PROPERTIES[[#This Row],[VEHIDCODE]],GRAPHICS_PROPERTIES[VEHIDCODE],GRAPHICS_PROPERTIES[TEMPLATE_ID]&amp;GRAPHICS_PROPERTIES[TEMPLATE_AMENDMENT_CODE])</f>
        <v>TPL_02D</v>
      </c>
    </row>
    <row r="629" spans="1:47" x14ac:dyDescent="0.35">
      <c r="A629" s="2" t="s">
        <v>3246</v>
      </c>
      <c r="B629">
        <v>1984</v>
      </c>
      <c r="C629">
        <v>2030</v>
      </c>
      <c r="D629" cm="1">
        <f t="array" ref="D6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29" s="40" t="str">
        <f>_xlfn.XLOOKUP(PROPERTIES[[#This Row],[VEHIDCODE]],CONTROL[VEHIDCODE],CONTROL[ENGLISH])</f>
        <v>NEVZ-TEVZ VL15</v>
      </c>
      <c r="F629" t="s">
        <v>716</v>
      </c>
      <c r="G629" s="40" t="str">
        <f>_xlfn.XLOOKUP(PROPERTIES[[#This Row],[COUNTRY]],COUNTRIES[COUNTRY_DESCRIPTION],COUNTRIES[COUNTRY_LABEL],"")</f>
        <v>RU</v>
      </c>
      <c r="H629" t="str" cm="1">
        <f t="array" ref="H6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9" t="s">
        <v>17</v>
      </c>
      <c r="J629">
        <v>0</v>
      </c>
      <c r="K629">
        <v>8</v>
      </c>
      <c r="M629" t="str" cm="1">
        <f t="array" ref="M6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29">
        <f>_xlfn.XLOOKUP("LOADINGSPEEDDEF_"&amp;PROPERTIES[[#This Row],[LOADINGSPEED]],LOADINGSPEEDDEF[TYPE],LOADINGSPEEDDEF[SPEED])</f>
        <v>20</v>
      </c>
      <c r="O629" t="str" cm="1">
        <f t="array" ref="O6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29">
        <f>IF(ISNUMBER(SEARCH("passenger",PROPERTIES[[#This Row],[CARGODEF]])),1,0)</f>
        <v>0</v>
      </c>
      <c r="Q629" s="23">
        <v>300</v>
      </c>
      <c r="R629">
        <v>12070</v>
      </c>
      <c r="S629">
        <v>0</v>
      </c>
      <c r="T629">
        <v>0</v>
      </c>
      <c r="U629">
        <v>0</v>
      </c>
      <c r="V629">
        <v>100</v>
      </c>
      <c r="W629">
        <v>0</v>
      </c>
      <c r="X629">
        <v>0</v>
      </c>
      <c r="Y629">
        <v>0</v>
      </c>
      <c r="Z629" s="20">
        <f>2*530</f>
        <v>1060</v>
      </c>
      <c r="AA629" s="19">
        <f>IFERROR(PROPERTIES[[#This Row],[TE_STARTING_KN]]/(PROPERTIES[[#This Row],[WEIGHT]]*9.81),0)</f>
        <v>0.3601766904519198</v>
      </c>
      <c r="AB629" s="19">
        <v>0</v>
      </c>
      <c r="AC629" s="16">
        <f>ROUND(IF(IFERROR(PROPERTIES[[#This Row],[TE_COEFFICIENT_CALC]],0)=0,PROPERTIES[[#This Row],[TE_COEFFICIENT_MANUAL]],PROPERTIES[[#This Row],[TE_COEFFICIENT_CALC]]),3)</f>
        <v>0.36</v>
      </c>
      <c r="AD629" s="8" cm="1">
        <f t="array" ref="AD6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629" s="26">
        <v>0</v>
      </c>
      <c r="AF629" s="6">
        <v>8</v>
      </c>
      <c r="AG629" t="s">
        <v>1948</v>
      </c>
      <c r="AH629" t="s">
        <v>229</v>
      </c>
      <c r="AI629" t="s">
        <v>229</v>
      </c>
      <c r="AJ629" s="2" t="s">
        <v>229</v>
      </c>
      <c r="AK629" s="2" t="s">
        <v>244</v>
      </c>
      <c r="AL62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2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29" s="2" t="str">
        <f>SUBSTITUTE(SUBSTITUTE(PROPERTIES[[#This Row],[PURCHASECOST_VALUE]], "PURCHASECOST_", ""), "_VALUE", "")</f>
        <v>ELECTRICENGINE</v>
      </c>
      <c r="AO629" s="44" t="b">
        <v>0</v>
      </c>
      <c r="AP629" s="48" t="b">
        <v>0</v>
      </c>
      <c r="AQ629" s="48" t="b">
        <v>0</v>
      </c>
      <c r="AR629" s="48">
        <v>0</v>
      </c>
      <c r="AS629" s="48" t="b">
        <v>0</v>
      </c>
      <c r="AT629" s="7" t="b">
        <v>0</v>
      </c>
      <c r="AU629" s="40" t="str" cm="1">
        <f t="array" ref="AU629">_xlfn.XLOOKUP(PROPERTIES[[#This Row],[VEHIDCODE]],GRAPHICS_PROPERTIES[VEHIDCODE],GRAPHICS_PROPERTIES[TEMPLATE_ID]&amp;GRAPHICS_PROPERTIES[TEMPLATE_AMENDMENT_CODE])</f>
        <v>TPL_03D</v>
      </c>
    </row>
    <row r="630" spans="1:47" x14ac:dyDescent="0.35">
      <c r="A630" s="2" t="s">
        <v>3247</v>
      </c>
      <c r="B630">
        <v>1974</v>
      </c>
      <c r="C630">
        <v>2012</v>
      </c>
      <c r="D630" cm="1">
        <f t="array" ref="D6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0" s="40" t="str">
        <f>_xlfn.XLOOKUP(PROPERTIES[[#This Row],[VEHIDCODE]],CONTROL[VEHIDCODE],CONTROL[ENGLISH])</f>
        <v>TEVZ VL11</v>
      </c>
      <c r="F630" t="s">
        <v>716</v>
      </c>
      <c r="G630" s="40" t="str">
        <f>_xlfn.XLOOKUP(PROPERTIES[[#This Row],[COUNTRY]],COUNTRIES[COUNTRY_DESCRIPTION],COUNTRIES[COUNTRY_LABEL],"")</f>
        <v>RU</v>
      </c>
      <c r="H630" t="str" cm="1">
        <f t="array" ref="H6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0" t="s">
        <v>17</v>
      </c>
      <c r="J630">
        <v>0</v>
      </c>
      <c r="K630">
        <v>8</v>
      </c>
      <c r="M630" t="str" cm="1">
        <f t="array" ref="M6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0">
        <f>_xlfn.XLOOKUP("LOADINGSPEEDDEF_"&amp;PROPERTIES[[#This Row],[LOADINGSPEED]],LOADINGSPEEDDEF[TYPE],LOADINGSPEEDDEF[SPEED])</f>
        <v>20</v>
      </c>
      <c r="O630" cm="1">
        <f t="array" ref="O6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0">
        <f>IF(ISNUMBER(SEARCH("passenger",PROPERTIES[[#This Row],[CARGODEF]])),1,0)</f>
        <v>0</v>
      </c>
      <c r="Q630" s="23">
        <v>184</v>
      </c>
      <c r="R630">
        <v>7190</v>
      </c>
      <c r="S630">
        <v>0</v>
      </c>
      <c r="T630">
        <v>0</v>
      </c>
      <c r="U630">
        <v>0</v>
      </c>
      <c r="V630">
        <v>100</v>
      </c>
      <c r="W630">
        <v>0</v>
      </c>
      <c r="X630">
        <v>0</v>
      </c>
      <c r="Y630">
        <v>0</v>
      </c>
      <c r="Z630" s="20">
        <f>245*2</f>
        <v>490</v>
      </c>
      <c r="AA630" s="19">
        <f>IFERROR(PROPERTIES[[#This Row],[TE_STARTING_KN]]/(PROPERTIES[[#This Row],[WEIGHT]]*9.81),0)</f>
        <v>0.27146212826308558</v>
      </c>
      <c r="AB630" s="19">
        <v>0</v>
      </c>
      <c r="AC630" s="16">
        <f>ROUND(IF(IFERROR(PROPERTIES[[#This Row],[TE_COEFFICIENT_CALC]],0)=0,PROPERTIES[[#This Row],[TE_COEFFICIENT_MANUAL]],PROPERTIES[[#This Row],[TE_COEFFICIENT_CALC]]),3)</f>
        <v>0.27100000000000002</v>
      </c>
      <c r="AD630" s="8" cm="1">
        <f t="array" ref="AD6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0" s="26">
        <v>0</v>
      </c>
      <c r="AF630" s="6">
        <v>8</v>
      </c>
      <c r="AG630" t="s">
        <v>1948</v>
      </c>
      <c r="AH630" t="s">
        <v>229</v>
      </c>
      <c r="AI630" t="s">
        <v>229</v>
      </c>
      <c r="AJ630" s="2" t="s">
        <v>229</v>
      </c>
      <c r="AK630" s="2" t="s">
        <v>244</v>
      </c>
      <c r="AL63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0" s="2" t="str">
        <f>SUBSTITUTE(SUBSTITUTE(PROPERTIES[[#This Row],[PURCHASECOST_VALUE]], "PURCHASECOST_", ""), "_VALUE", "")</f>
        <v>ELECTRICENGINE</v>
      </c>
      <c r="AO630" s="44" t="b">
        <v>0</v>
      </c>
      <c r="AP630" s="48" t="b">
        <v>0</v>
      </c>
      <c r="AQ630" s="48" t="b">
        <v>0</v>
      </c>
      <c r="AR630" s="48">
        <v>0</v>
      </c>
      <c r="AS630" s="48" t="b">
        <v>0</v>
      </c>
      <c r="AT630" s="7" t="b">
        <v>0</v>
      </c>
      <c r="AU630" s="40" t="str" cm="1">
        <f t="array" ref="AU630">_xlfn.XLOOKUP(PROPERTIES[[#This Row],[VEHIDCODE]],GRAPHICS_PROPERTIES[VEHIDCODE],GRAPHICS_PROPERTIES[TEMPLATE_ID]&amp;GRAPHICS_PROPERTIES[TEMPLATE_AMENDMENT_CODE])</f>
        <v>TPL_03D</v>
      </c>
    </row>
    <row r="631" spans="1:47" x14ac:dyDescent="0.35">
      <c r="A631" s="2" t="s">
        <v>3248</v>
      </c>
      <c r="B631">
        <v>1945</v>
      </c>
      <c r="C631">
        <v>1977</v>
      </c>
      <c r="D631" cm="1">
        <f t="array" ref="D6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1" s="40" t="str">
        <f>_xlfn.XLOOKUP(PROPERTIES[[#This Row],[VEHIDCODE]],CONTROL[VEHIDCODE],CONTROL[ENGLISH])</f>
        <v>NEVZ VL22M</v>
      </c>
      <c r="F631" t="s">
        <v>716</v>
      </c>
      <c r="G631" s="40" t="str">
        <f>_xlfn.XLOOKUP(PROPERTIES[[#This Row],[COUNTRY]],COUNTRIES[COUNTRY_DESCRIPTION],COUNTRIES[COUNTRY_LABEL],"")</f>
        <v>RU</v>
      </c>
      <c r="H631" t="str" cm="1">
        <f t="array" ref="H6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1" t="s">
        <v>17</v>
      </c>
      <c r="J631">
        <v>0</v>
      </c>
      <c r="K631">
        <v>8</v>
      </c>
      <c r="L631">
        <v>0</v>
      </c>
      <c r="M631" t="str" cm="1">
        <f t="array" ref="M6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1">
        <f>_xlfn.XLOOKUP("LOADINGSPEEDDEF_"&amp;PROPERTIES[[#This Row],[LOADINGSPEED]],LOADINGSPEEDDEF[TYPE],LOADINGSPEEDDEF[SPEED])</f>
        <v>20</v>
      </c>
      <c r="O631" cm="1">
        <f t="array" ref="O6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1">
        <f>IF(ISNUMBER(SEARCH("passenger",PROPERTIES[[#This Row],[CARGODEF]])),1,0)</f>
        <v>0</v>
      </c>
      <c r="Q631" s="23">
        <v>132</v>
      </c>
      <c r="R631">
        <v>3220</v>
      </c>
      <c r="S631">
        <v>0</v>
      </c>
      <c r="T631">
        <v>0</v>
      </c>
      <c r="U631">
        <v>0</v>
      </c>
      <c r="V631">
        <v>80</v>
      </c>
      <c r="W631">
        <v>0</v>
      </c>
      <c r="X631">
        <v>0</v>
      </c>
      <c r="Y631">
        <v>0</v>
      </c>
      <c r="Z631" s="20">
        <v>0</v>
      </c>
      <c r="AA631" s="19">
        <f>IFERROR(PROPERTIES[[#This Row],[TE_STARTING_KN]]/(PROPERTIES[[#This Row],[WEIGHT]]*9.81),0)</f>
        <v>0</v>
      </c>
      <c r="AB631" s="19">
        <v>0.39</v>
      </c>
      <c r="AC631" s="16">
        <f>ROUND(IF(IFERROR(PROPERTIES[[#This Row],[TE_COEFFICIENT_CALC]],0)=0,PROPERTIES[[#This Row],[TE_COEFFICIENT_MANUAL]],PROPERTIES[[#This Row],[TE_COEFFICIENT_CALC]]),3)</f>
        <v>0.39</v>
      </c>
      <c r="AD631" s="8" cm="1">
        <f t="array" ref="AD6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631" s="26">
        <v>0</v>
      </c>
      <c r="AF631" s="6">
        <v>0</v>
      </c>
      <c r="AG631" t="s">
        <v>1948</v>
      </c>
      <c r="AH631" t="s">
        <v>229</v>
      </c>
      <c r="AI631" t="s">
        <v>229</v>
      </c>
      <c r="AJ631" s="2" t="s">
        <v>229</v>
      </c>
      <c r="AK631" s="2" t="s">
        <v>244</v>
      </c>
      <c r="AL63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1" s="2" t="str">
        <f>SUBSTITUTE(SUBSTITUTE(PROPERTIES[[#This Row],[PURCHASECOST_VALUE]], "PURCHASECOST_", ""), "_VALUE", "")</f>
        <v>ELECTRICENGINE</v>
      </c>
      <c r="AO631" s="44" t="b">
        <v>0</v>
      </c>
      <c r="AP631" s="48" t="b">
        <v>0</v>
      </c>
      <c r="AQ631" s="48" t="b">
        <v>0</v>
      </c>
      <c r="AR631" s="48">
        <v>0</v>
      </c>
      <c r="AS631" s="48" t="b">
        <v>0</v>
      </c>
      <c r="AT631" s="7" t="b">
        <v>0</v>
      </c>
      <c r="AU631" s="40" t="str" cm="1">
        <f t="array" ref="AU631">_xlfn.XLOOKUP(PROPERTIES[[#This Row],[VEHIDCODE]],GRAPHICS_PROPERTIES[VEHIDCODE],GRAPHICS_PROPERTIES[TEMPLATE_ID]&amp;GRAPHICS_PROPERTIES[TEMPLATE_AMENDMENT_CODE])</f>
        <v>TPL_01A</v>
      </c>
    </row>
    <row r="632" spans="1:47" x14ac:dyDescent="0.35">
      <c r="A632" s="2" t="s">
        <v>3249</v>
      </c>
      <c r="B632">
        <v>1995</v>
      </c>
      <c r="C632">
        <v>2001</v>
      </c>
      <c r="D632" cm="1">
        <f t="array" ref="D6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2" s="40" t="str">
        <f>_xlfn.XLOOKUP(PROPERTIES[[#This Row],[VEHIDCODE]],CONTROL[VEHIDCODE],CONTROL[ENGLISH])</f>
        <v>DEVZ DE1</v>
      </c>
      <c r="F632" t="s">
        <v>754</v>
      </c>
      <c r="G632" s="40" t="str">
        <f>_xlfn.XLOOKUP(PROPERTIES[[#This Row],[COUNTRY]],COUNTRIES[COUNTRY_DESCRIPTION],COUNTRIES[COUNTRY_LABEL],"")</f>
        <v>UA</v>
      </c>
      <c r="H632" t="str" cm="1">
        <f t="array" ref="H6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2" t="s">
        <v>17</v>
      </c>
      <c r="J632">
        <v>0</v>
      </c>
      <c r="K632">
        <v>8</v>
      </c>
      <c r="L632">
        <v>0</v>
      </c>
      <c r="M632" t="str" cm="1">
        <f t="array" ref="M6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2">
        <f>_xlfn.XLOOKUP("LOADINGSPEEDDEF_"&amp;PROPERTIES[[#This Row],[LOADINGSPEED]],LOADINGSPEEDDEF[TYPE],LOADINGSPEEDDEF[SPEED])</f>
        <v>20</v>
      </c>
      <c r="O632" t="str" cm="1">
        <f t="array" ref="O6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32">
        <f>IF(ISNUMBER(SEARCH("passenger",PROPERTIES[[#This Row],[CARGODEF]])),1,0)</f>
        <v>0</v>
      </c>
      <c r="Q632" s="23">
        <v>184</v>
      </c>
      <c r="R632">
        <v>8750</v>
      </c>
      <c r="S632">
        <v>0</v>
      </c>
      <c r="T632">
        <v>0</v>
      </c>
      <c r="U632">
        <v>0</v>
      </c>
      <c r="V632">
        <v>100</v>
      </c>
      <c r="W632">
        <v>0</v>
      </c>
      <c r="X632">
        <v>0</v>
      </c>
      <c r="Y632">
        <v>0</v>
      </c>
      <c r="Z632" s="20">
        <v>706</v>
      </c>
      <c r="AA632" s="19">
        <f>IFERROR(PROPERTIES[[#This Row],[TE_STARTING_KN]]/(PROPERTIES[[#This Row],[WEIGHT]]*9.81),0)</f>
        <v>0.39112706643620082</v>
      </c>
      <c r="AB632" s="19">
        <v>0</v>
      </c>
      <c r="AC632" s="16">
        <f>ROUND(IF(IFERROR(PROPERTIES[[#This Row],[TE_COEFFICIENT_CALC]],0)=0,PROPERTIES[[#This Row],[TE_COEFFICIENT_MANUAL]],PROPERTIES[[#This Row],[TE_COEFFICIENT_CALC]]),3)</f>
        <v>0.39100000000000001</v>
      </c>
      <c r="AD632" s="8" cm="1">
        <f t="array" ref="AD6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2" s="26">
        <v>0</v>
      </c>
      <c r="AF632" s="6">
        <v>0</v>
      </c>
      <c r="AG632" t="s">
        <v>236</v>
      </c>
      <c r="AH632" t="s">
        <v>229</v>
      </c>
      <c r="AI632" t="s">
        <v>229</v>
      </c>
      <c r="AJ632" s="2" t="s">
        <v>229</v>
      </c>
      <c r="AK632" s="2" t="s">
        <v>244</v>
      </c>
      <c r="AL63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2" s="2" t="str">
        <f>SUBSTITUTE(SUBSTITUTE(PROPERTIES[[#This Row],[PURCHASECOST_VALUE]], "PURCHASECOST_", ""), "_VALUE", "")</f>
        <v>ELECTRICENGINE</v>
      </c>
      <c r="AO632" s="44" t="b">
        <v>0</v>
      </c>
      <c r="AP632" s="48" t="b">
        <v>0</v>
      </c>
      <c r="AQ632" s="48" t="b">
        <v>0</v>
      </c>
      <c r="AR632" s="48">
        <v>0</v>
      </c>
      <c r="AS632" s="48" t="b">
        <v>0</v>
      </c>
      <c r="AT632" s="7" t="b">
        <v>0</v>
      </c>
      <c r="AU632" s="40" t="str" cm="1">
        <f t="array" ref="AU632">_xlfn.XLOOKUP(PROPERTIES[[#This Row],[VEHIDCODE]],GRAPHICS_PROPERTIES[VEHIDCODE],GRAPHICS_PROPERTIES[TEMPLATE_ID]&amp;GRAPHICS_PROPERTIES[TEMPLATE_AMENDMENT_CODE])</f>
        <v>TPL_03D</v>
      </c>
    </row>
    <row r="633" spans="1:47" x14ac:dyDescent="0.35">
      <c r="A633" s="2" t="s">
        <v>3250</v>
      </c>
      <c r="B633">
        <v>1953</v>
      </c>
      <c r="C633">
        <v>2012</v>
      </c>
      <c r="D633" cm="1">
        <f t="array" ref="D6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3" s="40" t="str">
        <f>_xlfn.XLOOKUP(PROPERTIES[[#This Row],[VEHIDCODE]],CONTROL[VEHIDCODE],CONTROL[ENGLISH])</f>
        <v>Skoda 12E</v>
      </c>
      <c r="F633" t="s">
        <v>716</v>
      </c>
      <c r="G633" s="40" t="str">
        <f>_xlfn.XLOOKUP(PROPERTIES[[#This Row],[COUNTRY]],COUNTRIES[COUNTRY_DESCRIPTION],COUNTRIES[COUNTRY_LABEL],"")</f>
        <v>RU</v>
      </c>
      <c r="H633" t="str" cm="1">
        <f t="array" ref="H6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3" t="s">
        <v>17</v>
      </c>
      <c r="J633">
        <v>0</v>
      </c>
      <c r="K633">
        <v>7</v>
      </c>
      <c r="L633">
        <v>0</v>
      </c>
      <c r="M633" t="str" cm="1">
        <f t="array" ref="M6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3">
        <f>_xlfn.XLOOKUP("LOADINGSPEEDDEF_"&amp;PROPERTIES[[#This Row],[LOADINGSPEED]],LOADINGSPEEDDEF[TYPE],LOADINGSPEEDDEF[SPEED])</f>
        <v>20</v>
      </c>
      <c r="O633" cm="1">
        <f t="array" ref="O6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3">
        <f>IF(ISNUMBER(SEARCH("passenger",PROPERTIES[[#This Row],[CARGODEF]])),1,0)</f>
        <v>0</v>
      </c>
      <c r="Q633" s="23">
        <v>85</v>
      </c>
      <c r="R633">
        <v>3755</v>
      </c>
      <c r="S633">
        <v>0</v>
      </c>
      <c r="T633">
        <v>0</v>
      </c>
      <c r="U633">
        <v>0</v>
      </c>
      <c r="V633">
        <v>120</v>
      </c>
      <c r="W633">
        <v>0</v>
      </c>
      <c r="X633">
        <v>0</v>
      </c>
      <c r="Y633">
        <v>0</v>
      </c>
      <c r="Z633" s="20">
        <v>260</v>
      </c>
      <c r="AA633" s="19">
        <f>IFERROR(PROPERTIES[[#This Row],[TE_STARTING_KN]]/(PROPERTIES[[#This Row],[WEIGHT]]*9.81),0)</f>
        <v>0.31180667985848776</v>
      </c>
      <c r="AB633" s="19">
        <v>0</v>
      </c>
      <c r="AC633" s="16">
        <f>ROUND(IF(IFERROR(PROPERTIES[[#This Row],[TE_COEFFICIENT_CALC]],0)=0,PROPERTIES[[#This Row],[TE_COEFFICIENT_MANUAL]],PROPERTIES[[#This Row],[TE_COEFFICIENT_CALC]]),3)</f>
        <v>0.312</v>
      </c>
      <c r="AD633" s="8" cm="1">
        <f t="array" ref="AD6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633" s="26">
        <v>0</v>
      </c>
      <c r="AF633" s="6">
        <v>0</v>
      </c>
      <c r="AG633" t="s">
        <v>1948</v>
      </c>
      <c r="AH633" t="s">
        <v>229</v>
      </c>
      <c r="AI633" t="s">
        <v>229</v>
      </c>
      <c r="AJ633" s="2" t="s">
        <v>229</v>
      </c>
      <c r="AK633" s="2" t="s">
        <v>244</v>
      </c>
      <c r="AL63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3" s="2" t="str">
        <f>SUBSTITUTE(SUBSTITUTE(PROPERTIES[[#This Row],[PURCHASECOST_VALUE]], "PURCHASECOST_", ""), "_VALUE", "")</f>
        <v>ELECTRICENGINE</v>
      </c>
      <c r="AO633" s="44" t="b">
        <v>0</v>
      </c>
      <c r="AP633" s="48" t="b">
        <v>0</v>
      </c>
      <c r="AQ633" s="48" t="b">
        <v>0</v>
      </c>
      <c r="AR633" s="48">
        <v>0</v>
      </c>
      <c r="AS633" s="48" t="b">
        <v>0</v>
      </c>
      <c r="AT633" s="7" t="b">
        <v>0</v>
      </c>
      <c r="AU633" s="40" t="str" cm="1">
        <f t="array" ref="AU633">_xlfn.XLOOKUP(PROPERTIES[[#This Row],[VEHIDCODE]],GRAPHICS_PROPERTIES[VEHIDCODE],GRAPHICS_PROPERTIES[TEMPLATE_ID]&amp;GRAPHICS_PROPERTIES[TEMPLATE_AMENDMENT_CODE])</f>
        <v>TPL_01A</v>
      </c>
    </row>
    <row r="634" spans="1:47" x14ac:dyDescent="0.35">
      <c r="A634" s="2" t="s">
        <v>3251</v>
      </c>
      <c r="B634">
        <v>1983</v>
      </c>
      <c r="C634">
        <v>2030</v>
      </c>
      <c r="D634" cm="1">
        <f t="array" ref="D6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4" s="40" t="str">
        <f>_xlfn.XLOOKUP(PROPERTIES[[#This Row],[VEHIDCODE]],CONTROL[VEHIDCODE],CONTROL[ENGLISH])</f>
        <v>Skoda 82E</v>
      </c>
      <c r="F634" t="s">
        <v>583</v>
      </c>
      <c r="G634" s="40" t="str">
        <f>_xlfn.XLOOKUP(PROPERTIES[[#This Row],[COUNTRY]],COUNTRIES[COUNTRY_DESCRIPTION],COUNTRIES[COUNTRY_LABEL],"")</f>
        <v>CZ</v>
      </c>
      <c r="H634" t="str" cm="1">
        <f t="array" ref="H6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4" t="s">
        <v>17</v>
      </c>
      <c r="J634">
        <v>0</v>
      </c>
      <c r="K634">
        <v>7</v>
      </c>
      <c r="L634">
        <v>0</v>
      </c>
      <c r="M634" t="str" cm="1">
        <f t="array" ref="M6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4">
        <f>_xlfn.XLOOKUP("LOADINGSPEEDDEF_"&amp;PROPERTIES[[#This Row],[LOADINGSPEED]],LOADINGSPEEDDEF[TYPE],LOADINGSPEEDDEF[SPEED])</f>
        <v>20</v>
      </c>
      <c r="O634" t="str" cm="1">
        <f t="array" ref="O6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34">
        <f>IF(ISNUMBER(SEARCH("passenger",PROPERTIES[[#This Row],[CARGODEF]])),1,0)</f>
        <v>0</v>
      </c>
      <c r="Q634" s="23">
        <v>172</v>
      </c>
      <c r="R634">
        <v>8624</v>
      </c>
      <c r="S634">
        <v>0</v>
      </c>
      <c r="T634">
        <v>0</v>
      </c>
      <c r="U634">
        <v>0</v>
      </c>
      <c r="V634">
        <v>160</v>
      </c>
      <c r="W634">
        <v>0</v>
      </c>
      <c r="X634">
        <v>0</v>
      </c>
      <c r="Y634">
        <v>0</v>
      </c>
      <c r="Z634" s="20">
        <v>320</v>
      </c>
      <c r="AA634" s="19">
        <f>IFERROR(PROPERTIES[[#This Row],[TE_STARTING_KN]]/(PROPERTIES[[#This Row],[WEIGHT]]*9.81),0)</f>
        <v>0.18964985894791739</v>
      </c>
      <c r="AB634" s="19">
        <v>0</v>
      </c>
      <c r="AC634" s="16">
        <f>ROUND(IF(IFERROR(PROPERTIES[[#This Row],[TE_COEFFICIENT_CALC]],0)=0,PROPERTIES[[#This Row],[TE_COEFFICIENT_MANUAL]],PROPERTIES[[#This Row],[TE_COEFFICIENT_CALC]]),3)</f>
        <v>0.19</v>
      </c>
      <c r="AD634" s="8" cm="1">
        <f t="array" ref="AD6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47</v>
      </c>
      <c r="AE634" s="26">
        <v>0</v>
      </c>
      <c r="AF634" s="6">
        <v>0</v>
      </c>
      <c r="AG634" t="s">
        <v>1948</v>
      </c>
      <c r="AH634" t="s">
        <v>229</v>
      </c>
      <c r="AI634" t="s">
        <v>229</v>
      </c>
      <c r="AJ634" s="2" t="s">
        <v>229</v>
      </c>
      <c r="AK634" s="2" t="s">
        <v>244</v>
      </c>
      <c r="AL63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4" s="2" t="str">
        <f>SUBSTITUTE(SUBSTITUTE(PROPERTIES[[#This Row],[PURCHASECOST_VALUE]], "PURCHASECOST_", ""), "_VALUE", "")</f>
        <v>ELECTRICENGINE</v>
      </c>
      <c r="AO634" s="44" t="b">
        <v>0</v>
      </c>
      <c r="AP634" s="48" t="b">
        <v>0</v>
      </c>
      <c r="AQ634" s="48" t="b">
        <v>0</v>
      </c>
      <c r="AR634" s="48">
        <v>0</v>
      </c>
      <c r="AS634" s="48" t="b">
        <v>0</v>
      </c>
      <c r="AT634" s="7" t="b">
        <v>0</v>
      </c>
      <c r="AU634" s="40" t="str" cm="1">
        <f t="array" ref="AU634">_xlfn.XLOOKUP(PROPERTIES[[#This Row],[VEHIDCODE]],GRAPHICS_PROPERTIES[VEHIDCODE],GRAPHICS_PROPERTIES[TEMPLATE_ID]&amp;GRAPHICS_PROPERTIES[TEMPLATE_AMENDMENT_CODE])</f>
        <v>TPL_03D</v>
      </c>
    </row>
    <row r="635" spans="1:47" x14ac:dyDescent="0.35">
      <c r="A635" s="2" t="s">
        <v>3252</v>
      </c>
      <c r="B635">
        <v>1962</v>
      </c>
      <c r="C635">
        <v>1985</v>
      </c>
      <c r="D635" cm="1">
        <f t="array" ref="D6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5" s="40" t="str">
        <f>_xlfn.XLOOKUP(PROPERTIES[[#This Row],[VEHIDCODE]],CONTROL[VEHIDCODE],CONTROL[ENGLISH])</f>
        <v>GE C-C 4400 RFFSA</v>
      </c>
      <c r="F635" t="s">
        <v>558</v>
      </c>
      <c r="G635" s="40" t="str">
        <f>_xlfn.XLOOKUP(PROPERTIES[[#This Row],[COUNTRY]],COUNTRIES[COUNTRY_DESCRIPTION],COUNTRIES[COUNTRY_LABEL],"")</f>
        <v>BR</v>
      </c>
      <c r="H635" t="str" cm="1">
        <f t="array" ref="H6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5" t="s">
        <v>17</v>
      </c>
      <c r="J635">
        <v>0</v>
      </c>
      <c r="K635">
        <v>7</v>
      </c>
      <c r="L635">
        <v>0</v>
      </c>
      <c r="M635" t="str" cm="1">
        <f t="array" ref="M6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5">
        <f>_xlfn.XLOOKUP("LOADINGSPEEDDEF_"&amp;PROPERTIES[[#This Row],[LOADINGSPEED]],LOADINGSPEEDDEF[TYPE],LOADINGSPEEDDEF[SPEED])</f>
        <v>20</v>
      </c>
      <c r="O635" cm="1">
        <f t="array" ref="O6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5">
        <f>IF(ISNUMBER(SEARCH("passenger",PROPERTIES[[#This Row],[CARGODEF]])),1,0)</f>
        <v>0</v>
      </c>
      <c r="Q635" s="23">
        <v>123</v>
      </c>
      <c r="R635">
        <v>4400</v>
      </c>
      <c r="S635">
        <v>0</v>
      </c>
      <c r="T635">
        <v>0</v>
      </c>
      <c r="U635">
        <v>0</v>
      </c>
      <c r="V635">
        <v>117</v>
      </c>
      <c r="W635">
        <v>0</v>
      </c>
      <c r="X635">
        <v>0</v>
      </c>
      <c r="Y635">
        <v>0</v>
      </c>
      <c r="Z635" s="20">
        <v>385</v>
      </c>
      <c r="AA635" s="19">
        <f>IFERROR(PROPERTIES[[#This Row],[TE_STARTING_KN]]/(PROPERTIES[[#This Row],[WEIGHT]]*9.81),0)</f>
        <v>0.31907046899215169</v>
      </c>
      <c r="AB635" s="19">
        <v>0</v>
      </c>
      <c r="AC635" s="16">
        <f>ROUND(IF(IFERROR(PROPERTIES[[#This Row],[TE_COEFFICIENT_CALC]],0)=0,PROPERTIES[[#This Row],[TE_COEFFICIENT_MANUAL]],PROPERTIES[[#This Row],[TE_COEFFICIENT_CALC]]),3)</f>
        <v>0.31900000000000001</v>
      </c>
      <c r="AD635" s="8" cm="1">
        <f t="array" ref="AD6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5" s="26">
        <v>0</v>
      </c>
      <c r="AF635" s="6">
        <v>0</v>
      </c>
      <c r="AG635" t="s">
        <v>237</v>
      </c>
      <c r="AH635" t="s">
        <v>229</v>
      </c>
      <c r="AI635" t="s">
        <v>229</v>
      </c>
      <c r="AJ635" s="2" t="s">
        <v>229</v>
      </c>
      <c r="AK635" s="2" t="s">
        <v>244</v>
      </c>
      <c r="AL63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5" s="2" t="str">
        <f>SUBSTITUTE(SUBSTITUTE(PROPERTIES[[#This Row],[PURCHASECOST_VALUE]], "PURCHASECOST_", ""), "_VALUE", "")</f>
        <v>ELECTRICENGINE</v>
      </c>
      <c r="AO635" s="44" t="b">
        <v>0</v>
      </c>
      <c r="AP635" s="48" t="b">
        <v>0</v>
      </c>
      <c r="AQ635" s="48" t="b">
        <v>0</v>
      </c>
      <c r="AR635" s="48">
        <v>0</v>
      </c>
      <c r="AS635" s="48" t="b">
        <v>0</v>
      </c>
      <c r="AT635" s="7" t="b">
        <v>0</v>
      </c>
      <c r="AU635" s="40" t="str" cm="1">
        <f t="array" ref="AU635">_xlfn.XLOOKUP(PROPERTIES[[#This Row],[VEHIDCODE]],GRAPHICS_PROPERTIES[VEHIDCODE],GRAPHICS_PROPERTIES[TEMPLATE_ID]&amp;GRAPHICS_PROPERTIES[TEMPLATE_AMENDMENT_CODE])</f>
        <v>TPL_03D</v>
      </c>
    </row>
    <row r="636" spans="1:47" x14ac:dyDescent="0.35">
      <c r="A636" s="2" t="s">
        <v>3253</v>
      </c>
      <c r="B636">
        <v>1983</v>
      </c>
      <c r="C636">
        <v>2030</v>
      </c>
      <c r="D636" cm="1">
        <f t="array" ref="D6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6" s="40" t="str">
        <f>_xlfn.XLOOKUP(PROPERTIES[[#This Row],[VEHIDCODE]],CONTROL[VEHIDCODE],CONTROL[ENGLISH])</f>
        <v>NEVZ VL85</v>
      </c>
      <c r="F636" t="s">
        <v>716</v>
      </c>
      <c r="G636" s="40" t="str">
        <f>_xlfn.XLOOKUP(PROPERTIES[[#This Row],[COUNTRY]],COUNTRIES[COUNTRY_DESCRIPTION],COUNTRIES[COUNTRY_LABEL],"")</f>
        <v>RU</v>
      </c>
      <c r="H636" t="str" cm="1">
        <f t="array" ref="H6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6" t="s">
        <v>17</v>
      </c>
      <c r="J636">
        <v>0</v>
      </c>
      <c r="K636">
        <v>8</v>
      </c>
      <c r="M636" t="str" cm="1">
        <f t="array" ref="M6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6">
        <f>_xlfn.XLOOKUP("LOADINGSPEEDDEF_"&amp;PROPERTIES[[#This Row],[LOADINGSPEED]],LOADINGSPEEDDEF[TYPE],LOADINGSPEEDDEF[SPEED])</f>
        <v>20</v>
      </c>
      <c r="O636" t="str" cm="1">
        <f t="array" ref="O6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36">
        <f>IF(ISNUMBER(SEARCH("passenger",PROPERTIES[[#This Row],[CARGODEF]])),1,0)</f>
        <v>0</v>
      </c>
      <c r="Q636" s="23">
        <v>288</v>
      </c>
      <c r="R636">
        <v>13438</v>
      </c>
      <c r="S636">
        <v>0</v>
      </c>
      <c r="T636">
        <v>0</v>
      </c>
      <c r="U636">
        <v>0</v>
      </c>
      <c r="V636">
        <v>110</v>
      </c>
      <c r="W636">
        <v>0</v>
      </c>
      <c r="X636">
        <v>0</v>
      </c>
      <c r="Y636">
        <v>0</v>
      </c>
      <c r="Z636" s="20">
        <v>932</v>
      </c>
      <c r="AA636" s="19">
        <f>IFERROR(PROPERTIES[[#This Row],[TE_STARTING_KN]]/(PROPERTIES[[#This Row],[WEIGHT]]*9.81),0)</f>
        <v>0.32987880847208062</v>
      </c>
      <c r="AB636" s="19">
        <v>0</v>
      </c>
      <c r="AC636" s="16">
        <f>ROUND(IF(IFERROR(PROPERTIES[[#This Row],[TE_COEFFICIENT_CALC]],0)=0,PROPERTIES[[#This Row],[TE_COEFFICIENT_MANUAL]],PROPERTIES[[#This Row],[TE_COEFFICIENT_CALC]]),3)</f>
        <v>0.33</v>
      </c>
      <c r="AD636" s="8" cm="1">
        <f t="array" ref="AD6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47</v>
      </c>
      <c r="AE636" s="26">
        <v>0</v>
      </c>
      <c r="AF636" s="6">
        <v>8</v>
      </c>
      <c r="AG636" t="s">
        <v>1948</v>
      </c>
      <c r="AH636" t="s">
        <v>229</v>
      </c>
      <c r="AI636" t="s">
        <v>229</v>
      </c>
      <c r="AJ636" s="2" t="s">
        <v>229</v>
      </c>
      <c r="AK636" s="2" t="s">
        <v>244</v>
      </c>
      <c r="AL63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6" s="2" t="str">
        <f>SUBSTITUTE(SUBSTITUTE(PROPERTIES[[#This Row],[PURCHASECOST_VALUE]], "PURCHASECOST_", ""), "_VALUE", "")</f>
        <v>ELECTRICENGINE</v>
      </c>
      <c r="AO636" s="44" t="b">
        <v>0</v>
      </c>
      <c r="AP636" s="48" t="b">
        <v>0</v>
      </c>
      <c r="AQ636" s="48" t="b">
        <v>0</v>
      </c>
      <c r="AR636" s="48">
        <v>0</v>
      </c>
      <c r="AS636" s="48" t="b">
        <v>0</v>
      </c>
      <c r="AT636" s="7" t="b">
        <v>0</v>
      </c>
      <c r="AU636" s="40" t="str" cm="1">
        <f t="array" ref="AU636">_xlfn.XLOOKUP(PROPERTIES[[#This Row],[VEHIDCODE]],GRAPHICS_PROPERTIES[VEHIDCODE],GRAPHICS_PROPERTIES[TEMPLATE_ID]&amp;GRAPHICS_PROPERTIES[TEMPLATE_AMENDMENT_CODE])</f>
        <v>TPL_03D</v>
      </c>
    </row>
    <row r="637" spans="1:47" x14ac:dyDescent="0.35">
      <c r="A637" s="2" t="s">
        <v>3254</v>
      </c>
      <c r="B637">
        <v>1963</v>
      </c>
      <c r="C637">
        <v>1990</v>
      </c>
      <c r="D637" cm="1">
        <f t="array" ref="D6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7" s="40" t="str">
        <f>_xlfn.XLOOKUP(PROPERTIES[[#This Row],[VEHIDCODE]],CONTROL[VEHIDCODE],CONTROL[ENGLISH])</f>
        <v>DEVZ VL41</v>
      </c>
      <c r="F637" t="s">
        <v>716</v>
      </c>
      <c r="G637" s="40" t="str">
        <f>_xlfn.XLOOKUP(PROPERTIES[[#This Row],[COUNTRY]],COUNTRIES[COUNTRY_DESCRIPTION],COUNTRIES[COUNTRY_LABEL],"")</f>
        <v>RU</v>
      </c>
      <c r="H637" t="str" cm="1">
        <f t="array" ref="H6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7" t="s">
        <v>17</v>
      </c>
      <c r="J637">
        <v>0</v>
      </c>
      <c r="K637">
        <v>8</v>
      </c>
      <c r="L637">
        <v>0</v>
      </c>
      <c r="M637" t="str" cm="1">
        <f t="array" ref="M6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7">
        <f>_xlfn.XLOOKUP("LOADINGSPEEDDEF_"&amp;PROPERTIES[[#This Row],[LOADINGSPEED]],LOADINGSPEEDDEF[TYPE],LOADINGSPEEDDEF[SPEED])</f>
        <v>20</v>
      </c>
      <c r="O637" cm="1">
        <f t="array" ref="O6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7">
        <f>IF(ISNUMBER(SEARCH("passenger",PROPERTIES[[#This Row],[CARGODEF]])),1,0)</f>
        <v>0</v>
      </c>
      <c r="Q637" s="23">
        <v>92</v>
      </c>
      <c r="R637">
        <v>2280</v>
      </c>
      <c r="S637">
        <v>0</v>
      </c>
      <c r="T637">
        <v>0</v>
      </c>
      <c r="U637">
        <v>0</v>
      </c>
      <c r="V637">
        <v>70</v>
      </c>
      <c r="W637">
        <v>0</v>
      </c>
      <c r="X637">
        <v>0</v>
      </c>
      <c r="Y637">
        <v>0</v>
      </c>
      <c r="Z637" s="20">
        <v>275</v>
      </c>
      <c r="AA637" s="19">
        <f>IFERROR(PROPERTIES[[#This Row],[TE_STARTING_KN]]/(PROPERTIES[[#This Row],[WEIGHT]]*9.81),0)</f>
        <v>0.30470238886672868</v>
      </c>
      <c r="AB637" s="19">
        <v>0</v>
      </c>
      <c r="AC637" s="16">
        <f>ROUND(IF(IFERROR(PROPERTIES[[#This Row],[TE_COEFFICIENT_CALC]],0)=0,PROPERTIES[[#This Row],[TE_COEFFICIENT_MANUAL]],PROPERTIES[[#This Row],[TE_COEFFICIENT_CALC]]),3)</f>
        <v>0.30499999999999999</v>
      </c>
      <c r="AD637" s="8" cm="1">
        <f t="array" ref="AD6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7" s="26">
        <v>0</v>
      </c>
      <c r="AF637" s="6">
        <v>0</v>
      </c>
      <c r="AG637" t="s">
        <v>1948</v>
      </c>
      <c r="AH637" t="s">
        <v>229</v>
      </c>
      <c r="AI637" t="s">
        <v>229</v>
      </c>
      <c r="AJ637" s="2" t="s">
        <v>229</v>
      </c>
      <c r="AK637" s="2" t="s">
        <v>244</v>
      </c>
      <c r="AL63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7" s="2" t="str">
        <f>SUBSTITUTE(SUBSTITUTE(PROPERTIES[[#This Row],[PURCHASECOST_VALUE]], "PURCHASECOST_", ""), "_VALUE", "")</f>
        <v>ELECTRICENGINE</v>
      </c>
      <c r="AO637" s="44" t="b">
        <v>0</v>
      </c>
      <c r="AP637" s="48" t="b">
        <v>0</v>
      </c>
      <c r="AQ637" s="48" t="b">
        <v>0</v>
      </c>
      <c r="AR637" s="48">
        <v>0</v>
      </c>
      <c r="AS637" s="48" t="b">
        <v>0</v>
      </c>
      <c r="AT637" s="7" t="b">
        <v>0</v>
      </c>
      <c r="AU637" s="40" t="str" cm="1">
        <f t="array" ref="AU637">_xlfn.XLOOKUP(PROPERTIES[[#This Row],[VEHIDCODE]],GRAPHICS_PROPERTIES[VEHIDCODE],GRAPHICS_PROPERTIES[TEMPLATE_ID]&amp;GRAPHICS_PROPERTIES[TEMPLATE_AMENDMENT_CODE])</f>
        <v>TPL_01A</v>
      </c>
    </row>
    <row r="638" spans="1:47" x14ac:dyDescent="0.35">
      <c r="A638" s="2" t="s">
        <v>3255</v>
      </c>
      <c r="B638">
        <v>1994</v>
      </c>
      <c r="C638">
        <v>2030</v>
      </c>
      <c r="D638" cm="1">
        <f t="array" ref="D6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8" s="40" t="str">
        <f>_xlfn.XLOOKUP(PROPERTIES[[#This Row],[VEHIDCODE]],CONTROL[VEHIDCODE],CONTROL[ENGLISH])</f>
        <v>CLW WAP-4</v>
      </c>
      <c r="F638" t="s">
        <v>631</v>
      </c>
      <c r="G638" s="40" t="str">
        <f>_xlfn.XLOOKUP(PROPERTIES[[#This Row],[COUNTRY]],COUNTRIES[COUNTRY_DESCRIPTION],COUNTRIES[COUNTRY_LABEL],"")</f>
        <v>IN</v>
      </c>
      <c r="H638" t="str" cm="1">
        <f t="array" ref="H6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8" t="s">
        <v>17</v>
      </c>
      <c r="J638">
        <v>0</v>
      </c>
      <c r="K638">
        <v>8</v>
      </c>
      <c r="L638">
        <v>0</v>
      </c>
      <c r="M638" t="str" cm="1">
        <f t="array" ref="M6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8">
        <f>_xlfn.XLOOKUP("LOADINGSPEEDDEF_"&amp;PROPERTIES[[#This Row],[LOADINGSPEED]],LOADINGSPEEDDEF[TYPE],LOADINGSPEEDDEF[SPEED])</f>
        <v>20</v>
      </c>
      <c r="O638" t="str" cm="1">
        <f t="array" ref="O6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38">
        <f>IF(ISNUMBER(SEARCH("passenger",PROPERTIES[[#This Row],[CARGODEF]])),1,0)</f>
        <v>0</v>
      </c>
      <c r="Q638" s="23">
        <v>113</v>
      </c>
      <c r="R638">
        <v>5350</v>
      </c>
      <c r="S638">
        <v>0</v>
      </c>
      <c r="T638">
        <v>0</v>
      </c>
      <c r="U638">
        <v>0</v>
      </c>
      <c r="V638">
        <v>140</v>
      </c>
      <c r="W638">
        <v>0</v>
      </c>
      <c r="X638">
        <v>0</v>
      </c>
      <c r="Y638">
        <v>0</v>
      </c>
      <c r="Z638" s="20">
        <v>302</v>
      </c>
      <c r="AA638" s="19">
        <f>IFERROR(PROPERTIES[[#This Row],[TE_STARTING_KN]]/(PROPERTIES[[#This Row],[WEIGHT]]*9.81),0)</f>
        <v>0.2724328615373513</v>
      </c>
      <c r="AB638" s="19">
        <v>0</v>
      </c>
      <c r="AC638" s="16">
        <f>ROUND(IF(IFERROR(PROPERTIES[[#This Row],[TE_COEFFICIENT_CALC]],0)=0,PROPERTIES[[#This Row],[TE_COEFFICIENT_MANUAL]],PROPERTIES[[#This Row],[TE_COEFFICIENT_CALC]]),3)</f>
        <v>0.27200000000000002</v>
      </c>
      <c r="AD638" s="8" cm="1">
        <f t="array" ref="AD6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8" s="26">
        <v>0</v>
      </c>
      <c r="AF638" s="6">
        <v>0</v>
      </c>
      <c r="AG638" t="s">
        <v>238</v>
      </c>
      <c r="AH638" t="s">
        <v>229</v>
      </c>
      <c r="AI638" t="s">
        <v>229</v>
      </c>
      <c r="AJ638" s="2" t="s">
        <v>229</v>
      </c>
      <c r="AK638" s="2" t="s">
        <v>244</v>
      </c>
      <c r="AL63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8" s="2" t="str">
        <f>SUBSTITUTE(SUBSTITUTE(PROPERTIES[[#This Row],[PURCHASECOST_VALUE]], "PURCHASECOST_", ""), "_VALUE", "")</f>
        <v>ELECTRICENGINE</v>
      </c>
      <c r="AO638" s="44" t="b">
        <v>0</v>
      </c>
      <c r="AP638" s="48" t="b">
        <v>0</v>
      </c>
      <c r="AQ638" s="48" t="b">
        <v>0</v>
      </c>
      <c r="AR638" s="48">
        <v>0</v>
      </c>
      <c r="AS638" s="48" t="b">
        <v>0</v>
      </c>
      <c r="AT638" s="7" t="b">
        <v>0</v>
      </c>
      <c r="AU638" s="40" t="str" cm="1">
        <f t="array" ref="AU638">_xlfn.XLOOKUP(PROPERTIES[[#This Row],[VEHIDCODE]],GRAPHICS_PROPERTIES[VEHIDCODE],GRAPHICS_PROPERTIES[TEMPLATE_ID]&amp;GRAPHICS_PROPERTIES[TEMPLATE_AMENDMENT_CODE])</f>
        <v>TPL_01A</v>
      </c>
    </row>
    <row r="639" spans="1:47" x14ac:dyDescent="0.35">
      <c r="A639" s="2" t="s">
        <v>3256</v>
      </c>
      <c r="B639">
        <v>1973</v>
      </c>
      <c r="C639">
        <v>1998</v>
      </c>
      <c r="D639" cm="1">
        <f t="array" ref="D6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9" s="40" t="str">
        <f>_xlfn.XLOOKUP(PROPERTIES[[#This Row],[VEHIDCODE]],CONTROL[VEHIDCODE],CONTROL[ENGLISH])</f>
        <v>NEVZ ES40</v>
      </c>
      <c r="F639" t="s">
        <v>597</v>
      </c>
      <c r="G639" s="40" t="str">
        <f>_xlfn.XLOOKUP(PROPERTIES[[#This Row],[COUNTRY]],COUNTRIES[COUNTRY_DESCRIPTION],COUNTRIES[COUNTRY_LABEL],"")</f>
        <v>FI</v>
      </c>
      <c r="H639" t="str" cm="1">
        <f t="array" ref="H6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9" t="s">
        <v>17</v>
      </c>
      <c r="J639">
        <v>0</v>
      </c>
      <c r="K639">
        <v>8</v>
      </c>
      <c r="L639">
        <v>0</v>
      </c>
      <c r="M639" t="str" cm="1">
        <f t="array" ref="M6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9">
        <f>_xlfn.XLOOKUP("LOADINGSPEEDDEF_"&amp;PROPERTIES[[#This Row],[LOADINGSPEED]],LOADINGSPEEDDEF[TYPE],LOADINGSPEEDDEF[SPEED])</f>
        <v>20</v>
      </c>
      <c r="O639" cm="1">
        <f t="array" ref="O6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9">
        <f>IF(ISNUMBER(SEARCH("passenger",PROPERTIES[[#This Row],[CARGODEF]])),1,0)</f>
        <v>0</v>
      </c>
      <c r="Q639" s="23">
        <v>84</v>
      </c>
      <c r="R639">
        <v>4428</v>
      </c>
      <c r="S639">
        <v>0</v>
      </c>
      <c r="T639">
        <v>0</v>
      </c>
      <c r="U639">
        <v>0</v>
      </c>
      <c r="V639">
        <v>140</v>
      </c>
      <c r="W639">
        <v>0</v>
      </c>
      <c r="X639">
        <v>0</v>
      </c>
      <c r="Y639">
        <v>0</v>
      </c>
      <c r="Z639" s="20">
        <v>280</v>
      </c>
      <c r="AA639" s="19">
        <f>IFERROR(PROPERTIES[[#This Row],[TE_STARTING_KN]]/(PROPERTIES[[#This Row],[WEIGHT]]*9.81),0)</f>
        <v>0.33978933061501865</v>
      </c>
      <c r="AB639" s="19">
        <v>0</v>
      </c>
      <c r="AC639" s="16">
        <f>ROUND(IF(IFERROR(PROPERTIES[[#This Row],[TE_COEFFICIENT_CALC]],0)=0,PROPERTIES[[#This Row],[TE_COEFFICIENT_MANUAL]],PROPERTIES[[#This Row],[TE_COEFFICIENT_CALC]]),3)</f>
        <v>0.34</v>
      </c>
      <c r="AD639" s="8" cm="1">
        <f t="array" ref="AD6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9" s="26">
        <v>0</v>
      </c>
      <c r="AF639" s="6">
        <v>0</v>
      </c>
      <c r="AG639" t="s">
        <v>234</v>
      </c>
      <c r="AH639" t="s">
        <v>229</v>
      </c>
      <c r="AI639" t="s">
        <v>229</v>
      </c>
      <c r="AJ639" s="2" t="s">
        <v>229</v>
      </c>
      <c r="AK639" s="2" t="s">
        <v>244</v>
      </c>
      <c r="AL63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9" s="2" t="str">
        <f>SUBSTITUTE(SUBSTITUTE(PROPERTIES[[#This Row],[PURCHASECOST_VALUE]], "PURCHASECOST_", ""), "_VALUE", "")</f>
        <v>ELECTRICENGINE</v>
      </c>
      <c r="AO639" s="44" t="b">
        <v>0</v>
      </c>
      <c r="AP639" s="48" t="b">
        <v>0</v>
      </c>
      <c r="AQ639" s="48" t="b">
        <v>0</v>
      </c>
      <c r="AR639" s="48">
        <v>0</v>
      </c>
      <c r="AS639" s="48" t="b">
        <v>0</v>
      </c>
      <c r="AT639" s="7" t="b">
        <v>0</v>
      </c>
      <c r="AU639" s="40" t="str" cm="1">
        <f t="array" ref="AU639">_xlfn.XLOOKUP(PROPERTIES[[#This Row],[VEHIDCODE]],GRAPHICS_PROPERTIES[VEHIDCODE],GRAPHICS_PROPERTIES[TEMPLATE_ID]&amp;GRAPHICS_PROPERTIES[TEMPLATE_AMENDMENT_CODE])</f>
        <v>TPL_01A</v>
      </c>
    </row>
    <row r="640" spans="1:47" x14ac:dyDescent="0.35">
      <c r="A640" s="2" t="s">
        <v>3257</v>
      </c>
      <c r="B640">
        <v>2004</v>
      </c>
      <c r="D640" cm="1">
        <f t="array" ref="D6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0" s="40" t="str">
        <f>_xlfn.XLOOKUP(PROPERTIES[[#This Row],[VEHIDCODE]],CONTROL[VEHIDCODE],CONTROL[ENGLISH])</f>
        <v>Zuzhou KZ4A</v>
      </c>
      <c r="F640" t="s">
        <v>651</v>
      </c>
      <c r="G640" s="40" t="str">
        <f>_xlfn.XLOOKUP(PROPERTIES[[#This Row],[COUNTRY]],COUNTRIES[COUNTRY_DESCRIPTION],COUNTRIES[COUNTRY_LABEL],"")</f>
        <v>KZ</v>
      </c>
      <c r="H640" t="str" cm="1">
        <f t="array" ref="H6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0" t="s">
        <v>17</v>
      </c>
      <c r="J640">
        <v>0</v>
      </c>
      <c r="K640">
        <v>8</v>
      </c>
      <c r="L640">
        <v>0</v>
      </c>
      <c r="M640" t="str" cm="1">
        <f t="array" ref="M6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40">
        <f>_xlfn.XLOOKUP("LOADINGSPEEDDEF_"&amp;PROPERTIES[[#This Row],[LOADINGSPEED]],LOADINGSPEEDDEF[TYPE],LOADINGSPEEDDEF[SPEED])</f>
        <v>20</v>
      </c>
      <c r="O640" t="str" cm="1">
        <f t="array" ref="O6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0">
        <f>IF(ISNUMBER(SEARCH("passenger",PROPERTIES[[#This Row],[CARGODEF]])),1,0)</f>
        <v>0</v>
      </c>
      <c r="Q640" s="23">
        <v>82</v>
      </c>
      <c r="R640">
        <v>6500</v>
      </c>
      <c r="S640">
        <v>0</v>
      </c>
      <c r="T640">
        <v>0</v>
      </c>
      <c r="U640">
        <v>0</v>
      </c>
      <c r="V640">
        <v>200</v>
      </c>
      <c r="W640">
        <v>0</v>
      </c>
      <c r="X640">
        <v>0</v>
      </c>
      <c r="Y640">
        <v>0</v>
      </c>
      <c r="Z640" s="20">
        <v>264</v>
      </c>
      <c r="AA640" s="19">
        <f>IFERROR(PROPERTIES[[#This Row],[TE_STARTING_KN]]/(PROPERTIES[[#This Row],[WEIGHT]]*9.81),0)</f>
        <v>0.32818676810621317</v>
      </c>
      <c r="AB640" s="19">
        <v>0</v>
      </c>
      <c r="AC640" s="16">
        <f>ROUND(IF(IFERROR(PROPERTIES[[#This Row],[TE_COEFFICIENT_CALC]],0)=0,PROPERTIES[[#This Row],[TE_COEFFICIENT_MANUAL]],PROPERTIES[[#This Row],[TE_COEFFICIENT_CALC]]),3)</f>
        <v>0.32800000000000001</v>
      </c>
      <c r="AD640" s="8" cm="1">
        <f t="array" ref="AD6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40" s="26">
        <v>0</v>
      </c>
      <c r="AF640" s="6">
        <v>0</v>
      </c>
      <c r="AG640" t="s">
        <v>238</v>
      </c>
      <c r="AH640" t="s">
        <v>229</v>
      </c>
      <c r="AI640" t="s">
        <v>229</v>
      </c>
      <c r="AJ640" s="2" t="s">
        <v>229</v>
      </c>
      <c r="AK640" s="2" t="s">
        <v>244</v>
      </c>
      <c r="AL64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4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40" s="2" t="str">
        <f>SUBSTITUTE(SUBSTITUTE(PROPERTIES[[#This Row],[PURCHASECOST_VALUE]], "PURCHASECOST_", ""), "_VALUE", "")</f>
        <v>ELECTRICENGINE</v>
      </c>
      <c r="AO640" s="44" t="b">
        <v>0</v>
      </c>
      <c r="AP640" s="48" t="b">
        <v>0</v>
      </c>
      <c r="AQ640" s="48" t="b">
        <v>0</v>
      </c>
      <c r="AR640" s="48">
        <v>0</v>
      </c>
      <c r="AS640" s="48" t="b">
        <v>0</v>
      </c>
      <c r="AT640" s="7" t="b">
        <v>0</v>
      </c>
      <c r="AU640" s="40" t="str" cm="1">
        <f t="array" ref="AU640">_xlfn.XLOOKUP(PROPERTIES[[#This Row],[VEHIDCODE]],GRAPHICS_PROPERTIES[VEHIDCODE],GRAPHICS_PROPERTIES[TEMPLATE_ID]&amp;GRAPHICS_PROPERTIES[TEMPLATE_AMENDMENT_CODE])</f>
        <v>TPL_01A</v>
      </c>
    </row>
    <row r="641" spans="1:47" x14ac:dyDescent="0.35">
      <c r="A641" s="2" t="s">
        <v>3258</v>
      </c>
      <c r="B641">
        <v>2014</v>
      </c>
      <c r="D641" cm="1">
        <f t="array" ref="D6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1" s="40" t="str">
        <f>_xlfn.XLOOKUP(PROPERTIES[[#This Row],[VEHIDCODE]],CONTROL[VEHIDCODE],CONTROL[ENGLISH])</f>
        <v>Alstom KZ8A</v>
      </c>
      <c r="F641" t="s">
        <v>651</v>
      </c>
      <c r="G641" s="40" t="str">
        <f>_xlfn.XLOOKUP(PROPERTIES[[#This Row],[COUNTRY]],COUNTRIES[COUNTRY_DESCRIPTION],COUNTRIES[COUNTRY_LABEL],"")</f>
        <v>KZ</v>
      </c>
      <c r="H641" t="str" cm="1">
        <f t="array" ref="H6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1" t="s">
        <v>17</v>
      </c>
      <c r="J641">
        <v>0</v>
      </c>
      <c r="K641">
        <v>8</v>
      </c>
      <c r="M641" t="str" cm="1">
        <f t="array" ref="M6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41">
        <f>_xlfn.XLOOKUP("LOADINGSPEEDDEF_"&amp;PROPERTIES[[#This Row],[LOADINGSPEED]],LOADINGSPEEDDEF[TYPE],LOADINGSPEEDDEF[SPEED])</f>
        <v>20</v>
      </c>
      <c r="O641" t="str" cm="1">
        <f t="array" ref="O6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1">
        <f>IF(ISNUMBER(SEARCH("passenger",PROPERTIES[[#This Row],[CARGODEF]])),1,0)</f>
        <v>0</v>
      </c>
      <c r="Q641" s="23">
        <v>200</v>
      </c>
      <c r="R641">
        <v>11800</v>
      </c>
      <c r="S641">
        <v>0</v>
      </c>
      <c r="T641">
        <v>0</v>
      </c>
      <c r="U641">
        <v>0</v>
      </c>
      <c r="V641">
        <v>120</v>
      </c>
      <c r="W641">
        <v>0</v>
      </c>
      <c r="X641">
        <v>0</v>
      </c>
      <c r="Y641">
        <v>0</v>
      </c>
      <c r="Z641" s="20">
        <v>833</v>
      </c>
      <c r="AA641" s="19">
        <f>IFERROR(PROPERTIES[[#This Row],[TE_STARTING_KN]]/(PROPERTIES[[#This Row],[WEIGHT]]*9.81),0)</f>
        <v>0.42456676860346587</v>
      </c>
      <c r="AB641" s="19">
        <v>0</v>
      </c>
      <c r="AC641" s="16">
        <f>ROUND(IF(IFERROR(PROPERTIES[[#This Row],[TE_COEFFICIENT_CALC]],0)=0,PROPERTIES[[#This Row],[TE_COEFFICIENT_MANUAL]],PROPERTIES[[#This Row],[TE_COEFFICIENT_CALC]]),3)</f>
        <v>0.42499999999999999</v>
      </c>
      <c r="AD641" s="8" cm="1">
        <f t="array" ref="AD6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41" s="26">
        <v>0</v>
      </c>
      <c r="AF641" s="6">
        <v>8</v>
      </c>
      <c r="AG641" t="s">
        <v>238</v>
      </c>
      <c r="AH641" t="s">
        <v>229</v>
      </c>
      <c r="AI641" t="s">
        <v>229</v>
      </c>
      <c r="AJ641" s="2" t="s">
        <v>229</v>
      </c>
      <c r="AK641" s="2" t="s">
        <v>244</v>
      </c>
      <c r="AL64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4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41" s="2" t="str">
        <f>SUBSTITUTE(SUBSTITUTE(PROPERTIES[[#This Row],[PURCHASECOST_VALUE]], "PURCHASECOST_", ""), "_VALUE", "")</f>
        <v>ELECTRICENGINE</v>
      </c>
      <c r="AO641" s="44" t="b">
        <v>0</v>
      </c>
      <c r="AP641" s="48" t="b">
        <v>0</v>
      </c>
      <c r="AQ641" s="48" t="b">
        <v>0</v>
      </c>
      <c r="AR641" s="48">
        <v>0</v>
      </c>
      <c r="AS641" s="48" t="b">
        <v>0</v>
      </c>
      <c r="AT641" s="7" t="b">
        <v>0</v>
      </c>
      <c r="AU641" s="40" t="str" cm="1">
        <f t="array" ref="AU641">_xlfn.XLOOKUP(PROPERTIES[[#This Row],[VEHIDCODE]],GRAPHICS_PROPERTIES[VEHIDCODE],GRAPHICS_PROPERTIES[TEMPLATE_ID]&amp;GRAPHICS_PROPERTIES[TEMPLATE_AMENDMENT_CODE])</f>
        <v>TPL_03D</v>
      </c>
    </row>
    <row r="642" spans="1:47" x14ac:dyDescent="0.35">
      <c r="A642" s="2" t="s">
        <v>3259</v>
      </c>
      <c r="B642">
        <v>2011</v>
      </c>
      <c r="D642" cm="1">
        <f t="array" ref="D6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2" s="40" t="str">
        <f>_xlfn.XLOOKUP(PROPERTIES[[#This Row],[VEHIDCODE]],CONTROL[VEHIDCODE],CONTROL[ENGLISH])</f>
        <v>TRTrans/NEVZ EP20</v>
      </c>
      <c r="F642" t="s">
        <v>716</v>
      </c>
      <c r="G642" s="40" t="str">
        <f>_xlfn.XLOOKUP(PROPERTIES[[#This Row],[COUNTRY]],COUNTRIES[COUNTRY_DESCRIPTION],COUNTRIES[COUNTRY_LABEL],"")</f>
        <v>RU</v>
      </c>
      <c r="H642" t="str" cm="1">
        <f t="array" ref="H6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2" t="s">
        <v>17</v>
      </c>
      <c r="J642">
        <v>0</v>
      </c>
      <c r="K642">
        <v>8</v>
      </c>
      <c r="L642">
        <v>0</v>
      </c>
      <c r="M642" t="str" cm="1">
        <f t="array" ref="M6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42">
        <f>_xlfn.XLOOKUP("LOADINGSPEEDDEF_"&amp;PROPERTIES[[#This Row],[LOADINGSPEED]],LOADINGSPEEDDEF[TYPE],LOADINGSPEEDDEF[SPEED])</f>
        <v>20</v>
      </c>
      <c r="O642" t="str" cm="1">
        <f t="array" ref="O6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2">
        <f>IF(ISNUMBER(SEARCH("passenger",PROPERTIES[[#This Row],[CARGODEF]])),1,0)</f>
        <v>0</v>
      </c>
      <c r="Q642" s="23">
        <v>135</v>
      </c>
      <c r="R642">
        <v>9655</v>
      </c>
      <c r="S642">
        <v>0</v>
      </c>
      <c r="T642">
        <v>0</v>
      </c>
      <c r="U642">
        <v>0</v>
      </c>
      <c r="V642">
        <v>200</v>
      </c>
      <c r="W642">
        <v>0</v>
      </c>
      <c r="X642">
        <v>0</v>
      </c>
      <c r="Y642">
        <v>0</v>
      </c>
      <c r="Z642" s="20">
        <v>450</v>
      </c>
      <c r="AA642" s="19">
        <f>IFERROR(PROPERTIES[[#This Row],[TE_STARTING_KN]]/(PROPERTIES[[#This Row],[WEIGHT]]*9.81),0)</f>
        <v>0.33978933061501865</v>
      </c>
      <c r="AB642" s="19">
        <v>0</v>
      </c>
      <c r="AC642" s="16">
        <f>ROUND(IF(IFERROR(PROPERTIES[[#This Row],[TE_COEFFICIENT_CALC]],0)=0,PROPERTIES[[#This Row],[TE_COEFFICIENT_MANUAL]],PROPERTIES[[#This Row],[TE_COEFFICIENT_CALC]]),3)</f>
        <v>0.34</v>
      </c>
      <c r="AD642" s="8" cm="1">
        <f t="array" ref="AD6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42" s="26">
        <v>0</v>
      </c>
      <c r="AF642" s="6">
        <v>0</v>
      </c>
      <c r="AG642" t="s">
        <v>1948</v>
      </c>
      <c r="AH642" t="s">
        <v>229</v>
      </c>
      <c r="AI642" t="s">
        <v>229</v>
      </c>
      <c r="AJ642" s="2" t="s">
        <v>229</v>
      </c>
      <c r="AK642" s="2" t="s">
        <v>244</v>
      </c>
      <c r="AL64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4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42" s="2" t="str">
        <f>SUBSTITUTE(SUBSTITUTE(PROPERTIES[[#This Row],[PURCHASECOST_VALUE]], "PURCHASECOST_", ""), "_VALUE", "")</f>
        <v>ELECTRICENGINE</v>
      </c>
      <c r="AO642" s="44" t="b">
        <v>0</v>
      </c>
      <c r="AP642" s="48" t="b">
        <v>0</v>
      </c>
      <c r="AQ642" s="48" t="b">
        <v>0</v>
      </c>
      <c r="AR642" s="48">
        <v>0</v>
      </c>
      <c r="AS642" s="48" t="b">
        <v>0</v>
      </c>
      <c r="AT642" s="7" t="b">
        <v>0</v>
      </c>
      <c r="AU642" s="40" t="str" cm="1">
        <f t="array" ref="AU642">_xlfn.XLOOKUP(PROPERTIES[[#This Row],[VEHIDCODE]],GRAPHICS_PROPERTIES[VEHIDCODE],GRAPHICS_PROPERTIES[TEMPLATE_ID]&amp;GRAPHICS_PROPERTIES[TEMPLATE_AMENDMENT_CODE])</f>
        <v>TPL_01A</v>
      </c>
    </row>
    <row r="643" spans="1:47" x14ac:dyDescent="0.35">
      <c r="A643" s="2" t="s">
        <v>3260</v>
      </c>
      <c r="B643">
        <v>1955</v>
      </c>
      <c r="C643">
        <v>1981</v>
      </c>
      <c r="D643" cm="1">
        <f t="array" ref="D6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3" s="40" t="str">
        <f>_xlfn.XLOOKUP(PROPERTIES[[#This Row],[VEHIDCODE]],CONTROL[VEHIDCODE],CONTROL[ENGLISH])</f>
        <v>Valmet Dm7</v>
      </c>
      <c r="F643" t="s">
        <v>597</v>
      </c>
      <c r="G643" s="40" t="str">
        <f>_xlfn.XLOOKUP(PROPERTIES[[#This Row],[COUNTRY]],COUNTRIES[COUNTRY_DESCRIPTION],COUNTRIES[COUNTRY_LABEL],"")</f>
        <v>FI</v>
      </c>
      <c r="H643" t="str" cm="1">
        <f t="array" ref="H6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43" t="s">
        <v>15</v>
      </c>
      <c r="J643">
        <v>64</v>
      </c>
      <c r="K643">
        <v>7</v>
      </c>
      <c r="L643">
        <v>0</v>
      </c>
      <c r="M643" t="str" cm="1">
        <f t="array" ref="M6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3">
        <f>_xlfn.XLOOKUP("LOADINGSPEEDDEF_"&amp;PROPERTIES[[#This Row],[LOADINGSPEED]],LOADINGSPEEDDEF[TYPE],LOADINGSPEEDDEF[SPEED])</f>
        <v>60</v>
      </c>
      <c r="O643" cm="1">
        <f t="array" ref="O6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43">
        <f>IF(ISNUMBER(SEARCH("passenger",PROPERTIES[[#This Row],[CARGODEF]])),1,0)</f>
        <v>1</v>
      </c>
      <c r="Q643" s="23">
        <v>18</v>
      </c>
      <c r="R643">
        <v>180</v>
      </c>
      <c r="S643">
        <v>0</v>
      </c>
      <c r="T643">
        <v>0</v>
      </c>
      <c r="U643">
        <v>0</v>
      </c>
      <c r="V643">
        <v>95</v>
      </c>
      <c r="W643">
        <v>0</v>
      </c>
      <c r="X643">
        <v>0</v>
      </c>
      <c r="Y643">
        <v>0</v>
      </c>
      <c r="Z643" s="20">
        <v>29</v>
      </c>
      <c r="AA643" s="19">
        <f>IFERROR(PROPERTIES[[#This Row],[TE_STARTING_KN]]/(PROPERTIES[[#This Row],[WEIGHT]]*9.81),0)</f>
        <v>0.16423150979725903</v>
      </c>
      <c r="AB643" s="19">
        <v>0</v>
      </c>
      <c r="AC643" s="16">
        <f>ROUND(IF(IFERROR(PROPERTIES[[#This Row],[TE_COEFFICIENT_CALC]],0)=0,PROPERTIES[[#This Row],[TE_COEFFICIENT_MANUAL]],PROPERTIES[[#This Row],[TE_COEFFICIENT_CALC]]),3)</f>
        <v>0.16400000000000001</v>
      </c>
      <c r="AD643" s="8" cm="1">
        <f t="array" ref="AD6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43" s="26">
        <v>0</v>
      </c>
      <c r="AF643" s="6">
        <v>0</v>
      </c>
      <c r="AG643" t="s">
        <v>234</v>
      </c>
      <c r="AH643" t="s">
        <v>229</v>
      </c>
      <c r="AI643" t="s">
        <v>229</v>
      </c>
      <c r="AJ643" s="2" t="s">
        <v>229</v>
      </c>
      <c r="AK643" s="2" t="s">
        <v>244</v>
      </c>
      <c r="AL643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643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643" s="2" t="str">
        <f>SUBSTITUTE(SUBSTITUTE(PROPERTIES[[#This Row],[PURCHASECOST_VALUE]], "PURCHASECOST_", ""), "_VALUE", "")</f>
        <v>DIESELRAILBUS</v>
      </c>
      <c r="AO643" s="44" t="b">
        <v>0</v>
      </c>
      <c r="AP643" s="48" t="b">
        <v>0</v>
      </c>
      <c r="AQ643" s="48" t="b">
        <v>0</v>
      </c>
      <c r="AR643" s="48">
        <v>0</v>
      </c>
      <c r="AS643" s="48" t="b">
        <v>0</v>
      </c>
      <c r="AT643" s="7" t="b">
        <v>0</v>
      </c>
      <c r="AU643" s="40" t="str" cm="1">
        <f t="array" ref="AU643">_xlfn.XLOOKUP(PROPERTIES[[#This Row],[VEHIDCODE]],GRAPHICS_PROPERTIES[VEHIDCODE],GRAPHICS_PROPERTIES[TEMPLATE_ID]&amp;GRAPHICS_PROPERTIES[TEMPLATE_AMENDMENT_CODE])</f>
        <v>TPL_01B</v>
      </c>
    </row>
    <row r="644" spans="1:47" x14ac:dyDescent="0.35">
      <c r="A644" s="2" t="s">
        <v>3261</v>
      </c>
      <c r="B644">
        <v>1984</v>
      </c>
      <c r="D644" cm="1">
        <f t="array" ref="D6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4" s="40" t="str">
        <f>_xlfn.XLOOKUP(PROPERTIES[[#This Row],[VEHIDCODE]],CONTROL[VEHIDCODE],CONTROL[ENGLISH])</f>
        <v xml:space="preserve">Vagonka Studenka 91M0 </v>
      </c>
      <c r="F644" t="s">
        <v>716</v>
      </c>
      <c r="G644" s="40" t="str">
        <f>_xlfn.XLOOKUP(PROPERTIES[[#This Row],[COUNTRY]],COUNTRIES[COUNTRY_DESCRIPTION],COUNTRIES[COUNTRY_LABEL],"")</f>
        <v>RU</v>
      </c>
      <c r="H644" t="str" cm="1">
        <f t="array" ref="H6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44" t="s">
        <v>15</v>
      </c>
      <c r="J644">
        <v>67</v>
      </c>
      <c r="K644">
        <v>8</v>
      </c>
      <c r="L644">
        <v>0</v>
      </c>
      <c r="M644" t="str" cm="1">
        <f t="array" ref="M6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4">
        <f>_xlfn.XLOOKUP("LOADINGSPEEDDEF_"&amp;PROPERTIES[[#This Row],[LOADINGSPEED]],LOADINGSPEEDDEF[TYPE],LOADINGSPEEDDEF[SPEED])</f>
        <v>60</v>
      </c>
      <c r="O644" cm="1">
        <f t="array" ref="O6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44">
        <f>IF(ISNUMBER(SEARCH("passenger",PROPERTIES[[#This Row],[CARGODEF]])),1,0)</f>
        <v>1</v>
      </c>
      <c r="Q644" s="23">
        <v>59</v>
      </c>
      <c r="R644">
        <v>990</v>
      </c>
      <c r="S644">
        <v>0</v>
      </c>
      <c r="T644">
        <v>0</v>
      </c>
      <c r="U644">
        <v>0</v>
      </c>
      <c r="V644">
        <v>120</v>
      </c>
      <c r="W644">
        <v>0</v>
      </c>
      <c r="X644">
        <v>0</v>
      </c>
      <c r="Y644">
        <v>0</v>
      </c>
      <c r="Z644" s="20">
        <v>157</v>
      </c>
      <c r="AA644" s="19">
        <f>IFERROR(PROPERTIES[[#This Row],[TE_STARTING_KN]]/(PROPERTIES[[#This Row],[WEIGHT]]*9.81),0)</f>
        <v>0.27125555037232846</v>
      </c>
      <c r="AB644" s="19">
        <v>0</v>
      </c>
      <c r="AC644" s="16">
        <f>ROUND(IF(IFERROR(PROPERTIES[[#This Row],[TE_COEFFICIENT_CALC]],0)=0,PROPERTIES[[#This Row],[TE_COEFFICIENT_MANUAL]],PROPERTIES[[#This Row],[TE_COEFFICIENT_CALC]]),3)</f>
        <v>0.27100000000000002</v>
      </c>
      <c r="AD644" s="8" cm="1">
        <f t="array" ref="AD6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44" s="26">
        <v>0</v>
      </c>
      <c r="AF644" s="6">
        <v>0</v>
      </c>
      <c r="AG644" t="s">
        <v>1948</v>
      </c>
      <c r="AH644" t="s">
        <v>229</v>
      </c>
      <c r="AI644" t="s">
        <v>229</v>
      </c>
      <c r="AJ644" s="2" t="s">
        <v>229</v>
      </c>
      <c r="AK644" s="2" t="s">
        <v>244</v>
      </c>
      <c r="AL644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644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644" s="2" t="str">
        <f>SUBSTITUTE(SUBSTITUTE(PROPERTIES[[#This Row],[PURCHASECOST_VALUE]], "PURCHASECOST_", ""), "_VALUE", "")</f>
        <v>DIESELRAILBUS</v>
      </c>
      <c r="AO644" s="44" t="b">
        <v>0</v>
      </c>
      <c r="AP644" s="48" t="b">
        <v>0</v>
      </c>
      <c r="AQ644" s="48" t="b">
        <v>0</v>
      </c>
      <c r="AR644" s="48">
        <v>0</v>
      </c>
      <c r="AS644" s="48" t="b">
        <v>0</v>
      </c>
      <c r="AT644" s="7" t="b">
        <v>0</v>
      </c>
      <c r="AU644" s="40" t="str" cm="1">
        <f t="array" ref="AU644">_xlfn.XLOOKUP(PROPERTIES[[#This Row],[VEHIDCODE]],GRAPHICS_PROPERTIES[VEHIDCODE],GRAPHICS_PROPERTIES[TEMPLATE_ID]&amp;GRAPHICS_PROPERTIES[TEMPLATE_AMENDMENT_CODE])</f>
        <v>TPL_01B</v>
      </c>
    </row>
    <row r="645" spans="1:47" x14ac:dyDescent="0.35">
      <c r="A645" s="2" t="s">
        <v>3262</v>
      </c>
      <c r="B645">
        <v>1973</v>
      </c>
      <c r="C645">
        <v>1988</v>
      </c>
      <c r="D645" cm="1">
        <f t="array" ref="D6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45" s="40" t="str">
        <f>_xlfn.XLOOKUP(PROPERTIES[[#This Row],[VEHIDCODE]],CONTROL[VEHIDCODE],CONTROL[ENGLISH])</f>
        <v>RVR ER200</v>
      </c>
      <c r="F645" t="s">
        <v>716</v>
      </c>
      <c r="G645" s="40" t="str">
        <f>_xlfn.XLOOKUP(PROPERTIES[[#This Row],[COUNTRY]],COUNTRIES[COUNTRY_DESCRIPTION],COUNTRIES[COUNTRY_LABEL],"")</f>
        <v>RU</v>
      </c>
      <c r="H645" t="str" cm="1">
        <f t="array" ref="H6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5" t="s">
        <v>15</v>
      </c>
      <c r="J645">
        <v>64</v>
      </c>
      <c r="K645">
        <v>8</v>
      </c>
      <c r="M645" t="str" cm="1">
        <f t="array" ref="M6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645">
        <f>_xlfn.XLOOKUP("LOADINGSPEEDDEF_"&amp;PROPERTIES[[#This Row],[LOADINGSPEED]],LOADINGSPEEDDEF[TYPE],LOADINGSPEEDDEF[SPEED])</f>
        <v>20</v>
      </c>
      <c r="O645" cm="1">
        <f t="array" ref="O6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45">
        <f>IF(ISNUMBER(SEARCH("passenger",PROPERTIES[[#This Row],[CARGODEF]])),1,0)</f>
        <v>1</v>
      </c>
      <c r="Q645" s="23">
        <v>49</v>
      </c>
      <c r="R645">
        <v>1280</v>
      </c>
      <c r="S645">
        <v>0</v>
      </c>
      <c r="T645">
        <v>0</v>
      </c>
      <c r="U645">
        <v>0</v>
      </c>
      <c r="V645">
        <v>200</v>
      </c>
      <c r="W645">
        <v>0</v>
      </c>
      <c r="X645">
        <v>0</v>
      </c>
      <c r="Y645">
        <v>0</v>
      </c>
      <c r="Z645" s="20">
        <v>35.6</v>
      </c>
      <c r="AA645" s="19">
        <f>IFERROR(PROPERTIES[[#This Row],[TE_STARTING_KN]]/(PROPERTIES[[#This Row],[WEIGHT]]*9.81),0)</f>
        <v>7.4060205121804071E-2</v>
      </c>
      <c r="AB645" s="19">
        <v>0</v>
      </c>
      <c r="AC645" s="16">
        <f>ROUND(IF(IFERROR(PROPERTIES[[#This Row],[TE_COEFFICIENT_CALC]],0)=0,PROPERTIES[[#This Row],[TE_COEFFICIENT_MANUAL]],PROPERTIES[[#This Row],[TE_COEFFICIENT_CALC]]),3)</f>
        <v>7.3999999999999996E-2</v>
      </c>
      <c r="AD645" s="8" cm="1">
        <f t="array" ref="AD6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45" s="26">
        <v>64</v>
      </c>
      <c r="AF645" s="6">
        <v>8</v>
      </c>
      <c r="AG645" t="s">
        <v>236</v>
      </c>
      <c r="AH645" t="s">
        <v>229</v>
      </c>
      <c r="AI645" t="s">
        <v>229</v>
      </c>
      <c r="AJ645" s="2" t="s">
        <v>229</v>
      </c>
      <c r="AK645" s="2" t="s">
        <v>244</v>
      </c>
      <c r="AL64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4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45" s="2" t="str">
        <f>SUBSTITUTE(SUBSTITUTE(PROPERTIES[[#This Row],[PURCHASECOST_VALUE]], "PURCHASECOST_", ""), "_VALUE", "")</f>
        <v>EMU</v>
      </c>
      <c r="AO645" s="44" t="b">
        <v>0</v>
      </c>
      <c r="AP645" s="48" t="b">
        <v>0</v>
      </c>
      <c r="AQ645" s="48" t="b">
        <v>0</v>
      </c>
      <c r="AR645" s="48">
        <v>0</v>
      </c>
      <c r="AS645" s="48" t="b">
        <v>0</v>
      </c>
      <c r="AT645" s="7" t="b">
        <v>0</v>
      </c>
      <c r="AU645" s="40" t="str" cm="1">
        <f t="array" ref="AU645">_xlfn.XLOOKUP(PROPERTIES[[#This Row],[VEHIDCODE]],GRAPHICS_PROPERTIES[VEHIDCODE],GRAPHICS_PROPERTIES[TEMPLATE_ID]&amp;GRAPHICS_PROPERTIES[TEMPLATE_AMENDMENT_CODE])</f>
        <v>TPL_02D</v>
      </c>
    </row>
    <row r="646" spans="1:47" x14ac:dyDescent="0.35">
      <c r="A646" s="2" t="s">
        <v>3263</v>
      </c>
      <c r="B646">
        <v>1929</v>
      </c>
      <c r="C646">
        <v>2012</v>
      </c>
      <c r="D646" cm="1">
        <f t="array" ref="D6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46" s="40" t="str">
        <f>_xlfn.XLOOKUP(PROPERTIES[[#This Row],[VEHIDCODE]],CONTROL[VEHIDCODE],CONTROL[ENGLISH])</f>
        <v>MMZ 'S'</v>
      </c>
      <c r="F646" t="s">
        <v>716</v>
      </c>
      <c r="G646" s="40" t="str">
        <f>_xlfn.XLOOKUP(PROPERTIES[[#This Row],[COUNTRY]],COUNTRIES[COUNTRY_DESCRIPTION],COUNTRIES[COUNTRY_LABEL],"")</f>
        <v>RU</v>
      </c>
      <c r="H646" t="str" cm="1">
        <f t="array" ref="H6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6" t="s">
        <v>15</v>
      </c>
      <c r="J646">
        <v>110</v>
      </c>
      <c r="K646">
        <v>7</v>
      </c>
      <c r="L646">
        <v>0</v>
      </c>
      <c r="M646" t="str" cm="1">
        <f t="array" ref="M6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6">
        <f>_xlfn.XLOOKUP("LOADINGSPEEDDEF_"&amp;PROPERTIES[[#This Row],[LOADINGSPEED]],LOADINGSPEEDDEF[TYPE],LOADINGSPEEDDEF[SPEED])</f>
        <v>60</v>
      </c>
      <c r="O646" cm="1">
        <f t="array" ref="O6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46">
        <f>IF(ISNUMBER(SEARCH("passenger",PROPERTIES[[#This Row],[CARGODEF]])),1,0)</f>
        <v>1</v>
      </c>
      <c r="Q646" s="23">
        <v>58.9</v>
      </c>
      <c r="R646">
        <f>805*2</f>
        <v>1610</v>
      </c>
      <c r="S646">
        <v>0</v>
      </c>
      <c r="T646">
        <v>0</v>
      </c>
      <c r="U646">
        <v>0</v>
      </c>
      <c r="V646">
        <v>85</v>
      </c>
      <c r="W646">
        <v>0</v>
      </c>
      <c r="X646">
        <v>0</v>
      </c>
      <c r="Y646">
        <v>0</v>
      </c>
      <c r="Z646" s="20">
        <v>145</v>
      </c>
      <c r="AA646" s="19">
        <f>IFERROR(PROPERTIES[[#This Row],[TE_STARTING_KN]]/(PROPERTIES[[#This Row],[WEIGHT]]*9.81),0)</f>
        <v>0.25094797761890175</v>
      </c>
      <c r="AB646" s="19">
        <v>0</v>
      </c>
      <c r="AC646" s="16">
        <f>ROUND(IF(IFERROR(PROPERTIES[[#This Row],[TE_COEFFICIENT_CALC]],0)=0,PROPERTIES[[#This Row],[TE_COEFFICIENT_MANUAL]],PROPERTIES[[#This Row],[TE_COEFFICIENT_CALC]]),3)</f>
        <v>0.251</v>
      </c>
      <c r="AD646" s="8" cm="1">
        <f t="array" ref="AD6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83</v>
      </c>
      <c r="AE646" s="26">
        <v>110</v>
      </c>
      <c r="AF646" s="6">
        <v>7</v>
      </c>
      <c r="AG646" t="s">
        <v>1951</v>
      </c>
      <c r="AH646" t="s">
        <v>229</v>
      </c>
      <c r="AI646" t="s">
        <v>229</v>
      </c>
      <c r="AJ646" s="2" t="s">
        <v>229</v>
      </c>
      <c r="AK646" s="2" t="s">
        <v>244</v>
      </c>
      <c r="AL64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4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46" s="2" t="str">
        <f>SUBSTITUTE(SUBSTITUTE(PROPERTIES[[#This Row],[PURCHASECOST_VALUE]], "PURCHASECOST_", ""), "_VALUE", "")</f>
        <v>EMU</v>
      </c>
      <c r="AO646" s="44" t="b">
        <v>0</v>
      </c>
      <c r="AP646" s="48" t="b">
        <v>0</v>
      </c>
      <c r="AQ646" s="48" t="b">
        <v>0</v>
      </c>
      <c r="AR646" s="48">
        <v>0</v>
      </c>
      <c r="AS646" s="48" t="b">
        <v>0</v>
      </c>
      <c r="AT646" s="7" t="b">
        <v>0</v>
      </c>
      <c r="AU646" s="40" t="str" cm="1">
        <f t="array" ref="AU646">_xlfn.XLOOKUP(PROPERTIES[[#This Row],[VEHIDCODE]],GRAPHICS_PROPERTIES[VEHIDCODE],GRAPHICS_PROPERTIES[TEMPLATE_ID]&amp;GRAPHICS_PROPERTIES[TEMPLATE_AMENDMENT_CODE])</f>
        <v>TPL_02D</v>
      </c>
    </row>
    <row r="647" spans="1:47" x14ac:dyDescent="0.35">
      <c r="A647" s="2" t="s">
        <v>3264</v>
      </c>
      <c r="B647">
        <v>2015</v>
      </c>
      <c r="D647" cm="1">
        <f t="array" ref="D6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47" s="40" t="str">
        <f>_xlfn.XLOOKUP(PROPERTIES[[#This Row],[VEHIDCODE]],CONTROL[VEHIDCODE],CONTROL[ENGLISH])</f>
        <v>Koncar 6112</v>
      </c>
      <c r="F647" t="s">
        <v>624</v>
      </c>
      <c r="G647" s="40" t="str">
        <f>_xlfn.XLOOKUP(PROPERTIES[[#This Row],[COUNTRY]],COUNTRIES[COUNTRY_DESCRIPTION],COUNTRIES[COUNTRY_LABEL],"")</f>
        <v>HR</v>
      </c>
      <c r="H647" t="str" cm="1">
        <f t="array" ref="H6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7" t="s">
        <v>15</v>
      </c>
      <c r="J647">
        <v>60</v>
      </c>
      <c r="K647">
        <v>8</v>
      </c>
      <c r="M647" t="str" cm="1">
        <f t="array" ref="M6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7">
        <f>_xlfn.XLOOKUP("LOADINGSPEEDDEF_"&amp;PROPERTIES[[#This Row],[LOADINGSPEED]],LOADINGSPEEDDEF[TYPE],LOADINGSPEEDDEF[SPEED])</f>
        <v>60</v>
      </c>
      <c r="O647" t="str" cm="1">
        <f t="array" ref="O6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7">
        <f>IF(ISNUMBER(SEARCH("passenger",PROPERTIES[[#This Row],[CARGODEF]])),1,0)</f>
        <v>1</v>
      </c>
      <c r="Q647" s="23">
        <v>43</v>
      </c>
      <c r="R647">
        <v>2700</v>
      </c>
      <c r="S647">
        <v>0</v>
      </c>
      <c r="T647">
        <v>0</v>
      </c>
      <c r="U647">
        <v>0</v>
      </c>
      <c r="V647">
        <v>160</v>
      </c>
      <c r="W647">
        <v>0</v>
      </c>
      <c r="X647">
        <v>0</v>
      </c>
      <c r="Y647">
        <v>0</v>
      </c>
      <c r="Z647" s="20">
        <v>100</v>
      </c>
      <c r="AA647" s="19">
        <f>IFERROR(PROPERTIES[[#This Row],[TE_STARTING_KN]]/(PROPERTIES[[#This Row],[WEIGHT]]*9.81),0)</f>
        <v>0.23706232368489674</v>
      </c>
      <c r="AB647" s="19">
        <v>0</v>
      </c>
      <c r="AC647" s="16">
        <f>ROUND(IF(IFERROR(PROPERTIES[[#This Row],[TE_COEFFICIENT_CALC]],0)=0,PROPERTIES[[#This Row],[TE_COEFFICIENT_MANUAL]],PROPERTIES[[#This Row],[TE_COEFFICIENT_CALC]]),3)</f>
        <v>0.23699999999999999</v>
      </c>
      <c r="AD647" s="8" cm="1">
        <f t="array" ref="AD6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47" s="26">
        <v>60</v>
      </c>
      <c r="AF647" s="6">
        <v>8</v>
      </c>
      <c r="AG647" t="s">
        <v>236</v>
      </c>
      <c r="AH647" t="s">
        <v>229</v>
      </c>
      <c r="AI647" t="s">
        <v>229</v>
      </c>
      <c r="AJ647" s="2" t="s">
        <v>229</v>
      </c>
      <c r="AK647" s="2" t="s">
        <v>244</v>
      </c>
      <c r="AL64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4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47" s="2" t="str">
        <f>SUBSTITUTE(SUBSTITUTE(PROPERTIES[[#This Row],[PURCHASECOST_VALUE]], "PURCHASECOST_", ""), "_VALUE", "")</f>
        <v>EMU</v>
      </c>
      <c r="AO647" s="44" t="b">
        <v>0</v>
      </c>
      <c r="AP647" s="48" t="b">
        <v>0</v>
      </c>
      <c r="AQ647" s="48" t="b">
        <v>0</v>
      </c>
      <c r="AR647" s="48">
        <v>0</v>
      </c>
      <c r="AS647" s="48" t="b">
        <v>0</v>
      </c>
      <c r="AT647" s="7" t="b">
        <v>0</v>
      </c>
      <c r="AU647" s="40" t="str" cm="1">
        <f t="array" ref="AU647">_xlfn.XLOOKUP(PROPERTIES[[#This Row],[VEHIDCODE]],GRAPHICS_PROPERTIES[VEHIDCODE],GRAPHICS_PROPERTIES[TEMPLATE_ID]&amp;GRAPHICS_PROPERTIES[TEMPLATE_AMENDMENT_CODE])</f>
        <v>TPL_02A</v>
      </c>
    </row>
    <row r="648" spans="1:47" x14ac:dyDescent="0.35">
      <c r="A648" s="2" t="s">
        <v>3265</v>
      </c>
      <c r="B648">
        <v>2011</v>
      </c>
      <c r="D648" cm="1">
        <f t="array" ref="D6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48" s="40" t="str">
        <f>_xlfn.XLOOKUP(PROPERTIES[[#This Row],[VEHIDCODE]],CONTROL[VEHIDCODE],CONTROL[ENGLISH])</f>
        <v>Siemens Desiro ES1 'Lastochka'</v>
      </c>
      <c r="F648" t="s">
        <v>716</v>
      </c>
      <c r="G648" s="40" t="str">
        <f>_xlfn.XLOOKUP(PROPERTIES[[#This Row],[COUNTRY]],COUNTRIES[COUNTRY_DESCRIPTION],COUNTRIES[COUNTRY_LABEL],"")</f>
        <v>RU</v>
      </c>
      <c r="H648" t="str" cm="1">
        <f t="array" ref="H6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8" t="s">
        <v>15</v>
      </c>
      <c r="J648">
        <v>67</v>
      </c>
      <c r="K648">
        <v>8</v>
      </c>
      <c r="M648" t="str" cm="1">
        <f t="array" ref="M6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8">
        <f>_xlfn.XLOOKUP("LOADINGSPEEDDEF_"&amp;PROPERTIES[[#This Row],[LOADINGSPEED]],LOADINGSPEEDDEF[TYPE],LOADINGSPEEDDEF[SPEED])</f>
        <v>60</v>
      </c>
      <c r="O648" t="str" cm="1">
        <f t="array" ref="O6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8">
        <f>IF(ISNUMBER(SEARCH("passenger",PROPERTIES[[#This Row],[CARGODEF]])),1,0)</f>
        <v>1</v>
      </c>
      <c r="Q648" s="23">
        <v>56</v>
      </c>
      <c r="R648">
        <v>2700</v>
      </c>
      <c r="S648">
        <v>0</v>
      </c>
      <c r="T648">
        <v>0</v>
      </c>
      <c r="U648">
        <v>0</v>
      </c>
      <c r="V648">
        <v>160</v>
      </c>
      <c r="W648">
        <v>0</v>
      </c>
      <c r="X648">
        <v>0</v>
      </c>
      <c r="Y648">
        <v>0</v>
      </c>
      <c r="Z648" s="20">
        <v>90</v>
      </c>
      <c r="AA648" s="19">
        <f>IFERROR(PROPERTIES[[#This Row],[TE_STARTING_KN]]/(PROPERTIES[[#This Row],[WEIGHT]]*9.81),0)</f>
        <v>0.163826998689384</v>
      </c>
      <c r="AB648" s="19">
        <v>0</v>
      </c>
      <c r="AC648" s="16">
        <f>ROUND(IF(IFERROR(PROPERTIES[[#This Row],[TE_COEFFICIENT_CALC]],0)=0,PROPERTIES[[#This Row],[TE_COEFFICIENT_MANUAL]],PROPERTIES[[#This Row],[TE_COEFFICIENT_CALC]]),3)</f>
        <v>0.16400000000000001</v>
      </c>
      <c r="AD648" s="8" cm="1">
        <f t="array" ref="AD6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48" s="26">
        <v>88</v>
      </c>
      <c r="AF648" s="6">
        <v>8</v>
      </c>
      <c r="AG648" t="s">
        <v>238</v>
      </c>
      <c r="AH648" t="s">
        <v>229</v>
      </c>
      <c r="AI648" t="s">
        <v>229</v>
      </c>
      <c r="AJ648" s="2" t="s">
        <v>229</v>
      </c>
      <c r="AK648" s="2" t="s">
        <v>244</v>
      </c>
      <c r="AL64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4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48" s="2" t="str">
        <f>SUBSTITUTE(SUBSTITUTE(PROPERTIES[[#This Row],[PURCHASECOST_VALUE]], "PURCHASECOST_", ""), "_VALUE", "")</f>
        <v>EMU</v>
      </c>
      <c r="AO648" s="44" t="b">
        <v>0</v>
      </c>
      <c r="AP648" s="48" t="b">
        <v>0</v>
      </c>
      <c r="AQ648" s="48" t="b">
        <v>0</v>
      </c>
      <c r="AR648" s="48">
        <v>0</v>
      </c>
      <c r="AS648" s="48" t="b">
        <v>0</v>
      </c>
      <c r="AT648" s="7" t="b">
        <v>0</v>
      </c>
      <c r="AU648" s="40" t="str" cm="1">
        <f t="array" ref="AU648">_xlfn.XLOOKUP(PROPERTIES[[#This Row],[VEHIDCODE]],GRAPHICS_PROPERTIES[VEHIDCODE],GRAPHICS_PROPERTIES[TEMPLATE_ID]&amp;GRAPHICS_PROPERTIES[TEMPLATE_AMENDMENT_CODE])</f>
        <v>TPL_02D</v>
      </c>
    </row>
    <row r="649" spans="1:47" x14ac:dyDescent="0.35">
      <c r="A649" s="2" t="s">
        <v>74</v>
      </c>
      <c r="B649">
        <v>1900</v>
      </c>
      <c r="D649" cm="1">
        <f t="array" ref="D6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9" s="40" t="str">
        <f>_xlfn.XLOOKUP(PROPERTIES[[#This Row],[VEHIDCODE]],CONTROL[VEHIDCODE],CONTROL[ENGLISH])</f>
        <v>Metro Unit Wagon</v>
      </c>
      <c r="G649" s="40" t="str">
        <f>_xlfn.XLOOKUP(PROPERTIES[[#This Row],[COUNTRY]],COUNTRIES[COUNTRY_DESCRIPTION],COUNTRIES[COUNTRY_LABEL],"")</f>
        <v/>
      </c>
      <c r="H649" t="str" cm="1">
        <f t="array" ref="H6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649" t="s">
        <v>15</v>
      </c>
      <c r="J649">
        <v>1</v>
      </c>
      <c r="K649">
        <v>8</v>
      </c>
      <c r="L649">
        <v>0</v>
      </c>
      <c r="M649" t="str" cm="1">
        <f t="array" ref="M6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649">
        <f>_xlfn.XLOOKUP("LOADINGSPEEDDEF_"&amp;PROPERTIES[[#This Row],[LOADINGSPEED]],LOADINGSPEEDDEF[TYPE],LOADINGSPEEDDEF[SPEED])</f>
        <v>120</v>
      </c>
      <c r="O649" t="str" cm="1">
        <f t="array" ref="O6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9">
        <f>IF(ISNUMBER(SEARCH("passenger",PROPERTIES[[#This Row],[CARGODEF]])),1,0)</f>
        <v>1</v>
      </c>
      <c r="Q649" s="23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 s="20">
        <v>0</v>
      </c>
      <c r="AA649" s="19">
        <f>IFERROR(PROPERTIES[[#This Row],[TE_STARTING_KN]]/(PROPERTIES[[#This Row],[WEIGHT]]*9.81),0)</f>
        <v>0</v>
      </c>
      <c r="AB649" s="19">
        <v>0.3</v>
      </c>
      <c r="AC649" s="16">
        <f>ROUND(IF(IFERROR(PROPERTIES[[#This Row],[TE_COEFFICIENT_CALC]],0)=0,PROPERTIES[[#This Row],[TE_COEFFICIENT_MANUAL]],PROPERTIES[[#This Row],[TE_COEFFICIENT_CALC]]),3)</f>
        <v>0.3</v>
      </c>
      <c r="AD649" s="8" cm="1">
        <f t="array" ref="AD6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49" s="26">
        <v>0</v>
      </c>
      <c r="AF649" s="6">
        <v>0</v>
      </c>
      <c r="AG649" t="s">
        <v>241</v>
      </c>
      <c r="AH649" t="s">
        <v>229</v>
      </c>
      <c r="AI649" t="s">
        <v>229</v>
      </c>
      <c r="AJ649" s="2" t="s">
        <v>229</v>
      </c>
      <c r="AK649" s="2" t="s">
        <v>244</v>
      </c>
      <c r="AL64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64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649" s="2" t="str">
        <f>SUBSTITUTE(SUBSTITUTE(PROPERTIES[[#This Row],[PURCHASECOST_VALUE]], "PURCHASECOST_", ""), "_VALUE", "")</f>
        <v>METRO</v>
      </c>
      <c r="AO649" s="44" t="b">
        <v>0</v>
      </c>
      <c r="AP649" s="48" t="b">
        <v>0</v>
      </c>
      <c r="AQ649" s="48" t="b">
        <v>0</v>
      </c>
      <c r="AR649" s="48">
        <v>0</v>
      </c>
      <c r="AS649" s="48" t="b">
        <v>0</v>
      </c>
      <c r="AT649" s="7" t="b">
        <v>0</v>
      </c>
      <c r="AU649" s="40" t="str" cm="1">
        <f t="array" ref="AU649">_xlfn.XLOOKUP(PROPERTIES[[#This Row],[VEHIDCODE]],GRAPHICS_PROPERTIES[VEHIDCODE],GRAPHICS_PROPERTIES[TEMPLATE_ID]&amp;GRAPHICS_PROPERTIES[TEMPLATE_AMENDMENT_CODE])</f>
        <v>TPL_01F</v>
      </c>
    </row>
    <row r="650" spans="1:47" x14ac:dyDescent="0.35">
      <c r="A650" s="2" t="s">
        <v>73</v>
      </c>
      <c r="B650">
        <v>1900</v>
      </c>
      <c r="D650" cm="1">
        <f t="array" ref="D6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0" s="40" t="str">
        <f>_xlfn.XLOOKUP(PROPERTIES[[#This Row],[VEHIDCODE]],CONTROL[VEHIDCODE],CONTROL[ENGLISH])</f>
        <v>Metro Unit Wagon</v>
      </c>
      <c r="G650" s="40" t="str">
        <f>_xlfn.XLOOKUP(PROPERTIES[[#This Row],[COUNTRY]],COUNTRIES[COUNTRY_DESCRIPTION],COUNTRIES[COUNTRY_LABEL],"")</f>
        <v/>
      </c>
      <c r="H650" t="str" cm="1">
        <f t="array" ref="H6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650" t="s">
        <v>15</v>
      </c>
      <c r="J650">
        <v>1</v>
      </c>
      <c r="K650">
        <v>8</v>
      </c>
      <c r="L650">
        <v>0</v>
      </c>
      <c r="M650" t="str" cm="1">
        <f t="array" ref="M6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650">
        <f>_xlfn.XLOOKUP("LOADINGSPEEDDEF_"&amp;PROPERTIES[[#This Row],[LOADINGSPEED]],LOADINGSPEEDDEF[TYPE],LOADINGSPEEDDEF[SPEED])</f>
        <v>120</v>
      </c>
      <c r="O650" t="str" cm="1">
        <f t="array" ref="O6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0">
        <f>IF(ISNUMBER(SEARCH("passenger",PROPERTIES[[#This Row],[CARGODEF]])),1,0)</f>
        <v>1</v>
      </c>
      <c r="Q650" s="23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s="20">
        <v>0</v>
      </c>
      <c r="AA650" s="19">
        <f>IFERROR(PROPERTIES[[#This Row],[TE_STARTING_KN]]/(PROPERTIES[[#This Row],[WEIGHT]]*9.81),0)</f>
        <v>0</v>
      </c>
      <c r="AB650" s="19">
        <v>0.3</v>
      </c>
      <c r="AC650" s="16">
        <f>ROUND(IF(IFERROR(PROPERTIES[[#This Row],[TE_COEFFICIENT_CALC]],0)=0,PROPERTIES[[#This Row],[TE_COEFFICIENT_MANUAL]],PROPERTIES[[#This Row],[TE_COEFFICIENT_CALC]]),3)</f>
        <v>0.3</v>
      </c>
      <c r="AD650" s="8" cm="1">
        <f t="array" ref="AD6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0" s="26">
        <v>0</v>
      </c>
      <c r="AF650" s="6">
        <v>0</v>
      </c>
      <c r="AG650" t="s">
        <v>241</v>
      </c>
      <c r="AH650" t="s">
        <v>229</v>
      </c>
      <c r="AI650" t="s">
        <v>229</v>
      </c>
      <c r="AJ650" s="2" t="s">
        <v>229</v>
      </c>
      <c r="AK650" s="2" t="s">
        <v>244</v>
      </c>
      <c r="AL65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65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650" s="2" t="str">
        <f>SUBSTITUTE(SUBSTITUTE(PROPERTIES[[#This Row],[PURCHASECOST_VALUE]], "PURCHASECOST_", ""), "_VALUE", "")</f>
        <v>METRO</v>
      </c>
      <c r="AO650" s="44" t="b">
        <v>0</v>
      </c>
      <c r="AP650" s="48" t="b">
        <v>0</v>
      </c>
      <c r="AQ650" s="48" t="b">
        <v>0</v>
      </c>
      <c r="AR650" s="48">
        <v>0</v>
      </c>
      <c r="AS650" s="48" t="b">
        <v>0</v>
      </c>
      <c r="AT650" s="7" t="b">
        <v>0</v>
      </c>
      <c r="AU650" s="40" t="str" cm="1">
        <f t="array" ref="AU650">_xlfn.XLOOKUP(PROPERTIES[[#This Row],[VEHIDCODE]],GRAPHICS_PROPERTIES[VEHIDCODE],GRAPHICS_PROPERTIES[TEMPLATE_ID]&amp;GRAPHICS_PROPERTIES[TEMPLATE_AMENDMENT_CODE])</f>
        <v>TPL_01F</v>
      </c>
    </row>
    <row r="651" spans="1:47" x14ac:dyDescent="0.35">
      <c r="A651" s="2" t="s">
        <v>75</v>
      </c>
      <c r="B651">
        <v>1992</v>
      </c>
      <c r="D651" cm="1">
        <f t="array" ref="D6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1" s="40" t="str">
        <f>_xlfn.XLOOKUP(PROPERTIES[[#This Row],[VEHIDCODE]],CONTROL[VEHIDCODE],CONTROL[ENGLISH])</f>
        <v>Multiple Unit Cargo Wagon</v>
      </c>
      <c r="G651" s="40" t="str">
        <f>_xlfn.XLOOKUP(PROPERTIES[[#This Row],[COUNTRY]],COUNTRIES[COUNTRY_DESCRIPTION],COUNTRIES[COUNTRY_LABEL],"")</f>
        <v/>
      </c>
      <c r="H651" t="str" cm="1">
        <f t="array" ref="H6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51" t="s">
        <v>24</v>
      </c>
      <c r="J651">
        <v>1</v>
      </c>
      <c r="K651">
        <v>8</v>
      </c>
      <c r="L651">
        <v>0</v>
      </c>
      <c r="M651" t="str" cm="1">
        <f t="array" ref="M6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51">
        <f>_xlfn.XLOOKUP("LOADINGSPEEDDEF_"&amp;PROPERTIES[[#This Row],[LOADINGSPEED]],LOADINGSPEEDDEF[TYPE],LOADINGSPEEDDEF[SPEED])</f>
        <v>60</v>
      </c>
      <c r="O651" t="str" cm="1">
        <f t="array" ref="O6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1">
        <f>IF(ISNUMBER(SEARCH("passenger",PROPERTIES[[#This Row],[CARGODEF]])),1,0)</f>
        <v>0</v>
      </c>
      <c r="Q651" s="23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s="20">
        <v>0</v>
      </c>
      <c r="AA651" s="19">
        <f>IFERROR(PROPERTIES[[#This Row],[TE_STARTING_KN]]/(PROPERTIES[[#This Row],[WEIGHT]]*9.81),0)</f>
        <v>0</v>
      </c>
      <c r="AB651" s="19">
        <v>0.3</v>
      </c>
      <c r="AC651" s="16">
        <f>ROUND(IF(IFERROR(PROPERTIES[[#This Row],[TE_COEFFICIENT_CALC]],0)=0,PROPERTIES[[#This Row],[TE_COEFFICIENT_MANUAL]],PROPERTIES[[#This Row],[TE_COEFFICIENT_CALC]]),3)</f>
        <v>0.3</v>
      </c>
      <c r="AD651" s="8" cm="1">
        <f t="array" ref="AD6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1" s="26">
        <v>0</v>
      </c>
      <c r="AF651" s="6">
        <v>0</v>
      </c>
      <c r="AG651" t="s">
        <v>241</v>
      </c>
      <c r="AH651" t="s">
        <v>229</v>
      </c>
      <c r="AI651" t="s">
        <v>229</v>
      </c>
      <c r="AJ651" s="2" t="s">
        <v>229</v>
      </c>
      <c r="AK651" s="2" t="s">
        <v>244</v>
      </c>
      <c r="AL65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65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651" s="2" t="str">
        <f>SUBSTITUTE(SUBSTITUTE(PROPERTIES[[#This Row],[PURCHASECOST_VALUE]], "PURCHASECOST_", ""), "_VALUE", "")</f>
        <v>DMU</v>
      </c>
      <c r="AO651" s="44" t="b">
        <v>0</v>
      </c>
      <c r="AP651" s="48" t="b">
        <v>0</v>
      </c>
      <c r="AQ651" s="48" t="b">
        <v>0</v>
      </c>
      <c r="AR651" s="48">
        <v>0</v>
      </c>
      <c r="AS651" s="48" t="b">
        <v>0</v>
      </c>
      <c r="AT651" s="7" t="b">
        <v>0</v>
      </c>
      <c r="AU651" s="40" t="str" cm="1">
        <f t="array" ref="AU651">_xlfn.XLOOKUP(PROPERTIES[[#This Row],[VEHIDCODE]],GRAPHICS_PROPERTIES[VEHIDCODE],GRAPHICS_PROPERTIES[TEMPLATE_ID]&amp;GRAPHICS_PROPERTIES[TEMPLATE_AMENDMENT_CODE])</f>
        <v>TPL_01F</v>
      </c>
    </row>
    <row r="652" spans="1:47" x14ac:dyDescent="0.35">
      <c r="A652" s="2" t="s">
        <v>76</v>
      </c>
      <c r="B652">
        <v>1992</v>
      </c>
      <c r="D652" cm="1">
        <f t="array" ref="D6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2" s="40" t="str">
        <f>_xlfn.XLOOKUP(PROPERTIES[[#This Row],[VEHIDCODE]],CONTROL[VEHIDCODE],CONTROL[ENGLISH])</f>
        <v>Multiple Unit Cargo Wagon</v>
      </c>
      <c r="G652" s="40" t="str">
        <f>_xlfn.XLOOKUP(PROPERTIES[[#This Row],[COUNTRY]],COUNTRIES[COUNTRY_DESCRIPTION],COUNTRIES[COUNTRY_LABEL],"")</f>
        <v/>
      </c>
      <c r="H652" t="str" cm="1">
        <f t="array" ref="H6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2" t="s">
        <v>24</v>
      </c>
      <c r="J652">
        <v>1</v>
      </c>
      <c r="K652">
        <v>8</v>
      </c>
      <c r="L652">
        <v>0</v>
      </c>
      <c r="M652" t="str" cm="1">
        <f t="array" ref="M6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52">
        <f>_xlfn.XLOOKUP("LOADINGSPEEDDEF_"&amp;PROPERTIES[[#This Row],[LOADINGSPEED]],LOADINGSPEEDDEF[TYPE],LOADINGSPEEDDEF[SPEED])</f>
        <v>60</v>
      </c>
      <c r="O652" t="str" cm="1">
        <f t="array" ref="O6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2">
        <f>IF(ISNUMBER(SEARCH("passenger",PROPERTIES[[#This Row],[CARGODEF]])),1,0)</f>
        <v>0</v>
      </c>
      <c r="Q652" s="23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 s="20">
        <v>0</v>
      </c>
      <c r="AA652" s="19">
        <f>IFERROR(PROPERTIES[[#This Row],[TE_STARTING_KN]]/(PROPERTIES[[#This Row],[WEIGHT]]*9.81),0)</f>
        <v>0</v>
      </c>
      <c r="AB652" s="19">
        <v>0.3</v>
      </c>
      <c r="AC652" s="16">
        <f>ROUND(IF(IFERROR(PROPERTIES[[#This Row],[TE_COEFFICIENT_CALC]],0)=0,PROPERTIES[[#This Row],[TE_COEFFICIENT_MANUAL]],PROPERTIES[[#This Row],[TE_COEFFICIENT_CALC]]),3)</f>
        <v>0.3</v>
      </c>
      <c r="AD652" s="8" cm="1">
        <f t="array" ref="AD6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2" s="26">
        <v>0</v>
      </c>
      <c r="AF652" s="6">
        <v>0</v>
      </c>
      <c r="AG652" t="s">
        <v>241</v>
      </c>
      <c r="AH652" t="s">
        <v>229</v>
      </c>
      <c r="AI652" t="s">
        <v>229</v>
      </c>
      <c r="AJ652" s="2" t="s">
        <v>229</v>
      </c>
      <c r="AK652" s="2" t="s">
        <v>244</v>
      </c>
      <c r="AL65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65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652" s="2" t="str">
        <f>SUBSTITUTE(SUBSTITUTE(PROPERTIES[[#This Row],[PURCHASECOST_VALUE]], "PURCHASECOST_", ""), "_VALUE", "")</f>
        <v>DMU</v>
      </c>
      <c r="AO652" s="44" t="b">
        <v>0</v>
      </c>
      <c r="AP652" s="48" t="b">
        <v>0</v>
      </c>
      <c r="AQ652" s="48" t="b">
        <v>0</v>
      </c>
      <c r="AR652" s="48">
        <v>0</v>
      </c>
      <c r="AS652" s="48" t="b">
        <v>0</v>
      </c>
      <c r="AT652" s="7" t="b">
        <v>0</v>
      </c>
      <c r="AU652" s="40" t="str" cm="1">
        <f t="array" ref="AU652">_xlfn.XLOOKUP(PROPERTIES[[#This Row],[VEHIDCODE]],GRAPHICS_PROPERTIES[VEHIDCODE],GRAPHICS_PROPERTIES[TEMPLATE_ID]&amp;GRAPHICS_PROPERTIES[TEMPLATE_AMENDMENT_CODE])</f>
        <v>TPL_01F</v>
      </c>
    </row>
    <row r="653" spans="1:47" x14ac:dyDescent="0.35">
      <c r="A653" s="2" t="s">
        <v>77</v>
      </c>
      <c r="B653">
        <v>1908</v>
      </c>
      <c r="D653" cm="1">
        <f t="array" ref="D6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3" s="40" t="str">
        <f>_xlfn.XLOOKUP(PROPERTIES[[#This Row],[VEHIDCODE]],CONTROL[VEHIDCODE],CONTROL[ENGLISH])</f>
        <v>Multiple Unit Wagon</v>
      </c>
      <c r="G653" s="40" t="str">
        <f>_xlfn.XLOOKUP(PROPERTIES[[#This Row],[COUNTRY]],COUNTRIES[COUNTRY_DESCRIPTION],COUNTRIES[COUNTRY_LABEL],"")</f>
        <v/>
      </c>
      <c r="H653" t="str" cm="1">
        <f t="array" ref="H6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53" t="s">
        <v>15</v>
      </c>
      <c r="J653">
        <v>1</v>
      </c>
      <c r="K653">
        <v>8</v>
      </c>
      <c r="L653">
        <v>0</v>
      </c>
      <c r="M653" t="str" cm="1">
        <f t="array" ref="M6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53">
        <f>_xlfn.XLOOKUP("LOADINGSPEEDDEF_"&amp;PROPERTIES[[#This Row],[LOADINGSPEED]],LOADINGSPEEDDEF[TYPE],LOADINGSPEEDDEF[SPEED])</f>
        <v>60</v>
      </c>
      <c r="O653" t="str" cm="1">
        <f t="array" ref="O6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3">
        <f>IF(ISNUMBER(SEARCH("passenger",PROPERTIES[[#This Row],[CARGODEF]])),1,0)</f>
        <v>1</v>
      </c>
      <c r="Q653" s="2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s="20">
        <v>0</v>
      </c>
      <c r="AA653" s="19">
        <f>IFERROR(PROPERTIES[[#This Row],[TE_STARTING_KN]]/(PROPERTIES[[#This Row],[WEIGHT]]*9.81),0)</f>
        <v>0</v>
      </c>
      <c r="AB653" s="19">
        <v>0.3</v>
      </c>
      <c r="AC653" s="16">
        <f>ROUND(IF(IFERROR(PROPERTIES[[#This Row],[TE_COEFFICIENT_CALC]],0)=0,PROPERTIES[[#This Row],[TE_COEFFICIENT_MANUAL]],PROPERTIES[[#This Row],[TE_COEFFICIENT_CALC]]),3)</f>
        <v>0.3</v>
      </c>
      <c r="AD653" s="8" cm="1">
        <f t="array" ref="AD6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3" s="26">
        <v>0</v>
      </c>
      <c r="AF653" s="6">
        <v>0</v>
      </c>
      <c r="AG653" t="s">
        <v>241</v>
      </c>
      <c r="AH653" t="s">
        <v>229</v>
      </c>
      <c r="AI653" t="s">
        <v>229</v>
      </c>
      <c r="AJ653" s="2" t="s">
        <v>229</v>
      </c>
      <c r="AK653" s="2" t="s">
        <v>244</v>
      </c>
      <c r="AL65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65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653" s="2" t="str">
        <f>SUBSTITUTE(SUBSTITUTE(PROPERTIES[[#This Row],[PURCHASECOST_VALUE]], "PURCHASECOST_", ""), "_VALUE", "")</f>
        <v>DMU</v>
      </c>
      <c r="AO653" s="44" t="b">
        <v>0</v>
      </c>
      <c r="AP653" s="48" t="b">
        <v>0</v>
      </c>
      <c r="AQ653" s="48" t="b">
        <v>0</v>
      </c>
      <c r="AR653" s="48">
        <v>0</v>
      </c>
      <c r="AS653" s="48" t="b">
        <v>0</v>
      </c>
      <c r="AT653" s="7" t="b">
        <v>0</v>
      </c>
      <c r="AU653" s="40" t="str" cm="1">
        <f t="array" ref="AU653">_xlfn.XLOOKUP(PROPERTIES[[#This Row],[VEHIDCODE]],GRAPHICS_PROPERTIES[VEHIDCODE],GRAPHICS_PROPERTIES[TEMPLATE_ID]&amp;GRAPHICS_PROPERTIES[TEMPLATE_AMENDMENT_CODE])</f>
        <v>TPL_01F</v>
      </c>
    </row>
    <row r="654" spans="1:47" x14ac:dyDescent="0.35">
      <c r="A654" s="2" t="s">
        <v>78</v>
      </c>
      <c r="B654">
        <v>1908</v>
      </c>
      <c r="D654" cm="1">
        <f t="array" ref="D6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4" s="40" t="str">
        <f>_xlfn.XLOOKUP(PROPERTIES[[#This Row],[VEHIDCODE]],CONTROL[VEHIDCODE],CONTROL[ENGLISH])</f>
        <v>Multiple Unit Wagon</v>
      </c>
      <c r="G654" s="40" t="str">
        <f>_xlfn.XLOOKUP(PROPERTIES[[#This Row],[COUNTRY]],COUNTRIES[COUNTRY_DESCRIPTION],COUNTRIES[COUNTRY_LABEL],"")</f>
        <v/>
      </c>
      <c r="H654" t="str" cm="1">
        <f t="array" ref="H6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4" t="s">
        <v>15</v>
      </c>
      <c r="J654">
        <v>1</v>
      </c>
      <c r="K654">
        <v>8</v>
      </c>
      <c r="L654">
        <v>0</v>
      </c>
      <c r="M654" t="str" cm="1">
        <f t="array" ref="M6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54">
        <f>_xlfn.XLOOKUP("LOADINGSPEEDDEF_"&amp;PROPERTIES[[#This Row],[LOADINGSPEED]],LOADINGSPEEDDEF[TYPE],LOADINGSPEEDDEF[SPEED])</f>
        <v>60</v>
      </c>
      <c r="O654" t="str" cm="1">
        <f t="array" ref="O6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4">
        <f>IF(ISNUMBER(SEARCH("passenger",PROPERTIES[[#This Row],[CARGODEF]])),1,0)</f>
        <v>1</v>
      </c>
      <c r="Q654" s="23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s="20">
        <v>0</v>
      </c>
      <c r="AA654" s="19">
        <f>IFERROR(PROPERTIES[[#This Row],[TE_STARTING_KN]]/(PROPERTIES[[#This Row],[WEIGHT]]*9.81),0)</f>
        <v>0</v>
      </c>
      <c r="AB654" s="19">
        <v>0.3</v>
      </c>
      <c r="AC654" s="16">
        <f>ROUND(IF(IFERROR(PROPERTIES[[#This Row],[TE_COEFFICIENT_CALC]],0)=0,PROPERTIES[[#This Row],[TE_COEFFICIENT_MANUAL]],PROPERTIES[[#This Row],[TE_COEFFICIENT_CALC]]),3)</f>
        <v>0.3</v>
      </c>
      <c r="AD654" s="8" cm="1">
        <f t="array" ref="AD6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4" s="26">
        <v>0</v>
      </c>
      <c r="AF654" s="6">
        <v>0</v>
      </c>
      <c r="AG654" t="s">
        <v>241</v>
      </c>
      <c r="AH654" t="s">
        <v>229</v>
      </c>
      <c r="AI654" t="s">
        <v>229</v>
      </c>
      <c r="AJ654" s="2" t="s">
        <v>229</v>
      </c>
      <c r="AK654" s="2" t="s">
        <v>244</v>
      </c>
      <c r="AL65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65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654" s="2" t="str">
        <f>SUBSTITUTE(SUBSTITUTE(PROPERTIES[[#This Row],[PURCHASECOST_VALUE]], "PURCHASECOST_", ""), "_VALUE", "")</f>
        <v>DMU</v>
      </c>
      <c r="AO654" s="44" t="b">
        <v>0</v>
      </c>
      <c r="AP654" s="48" t="b">
        <v>0</v>
      </c>
      <c r="AQ654" s="48" t="b">
        <v>0</v>
      </c>
      <c r="AR654" s="48">
        <v>0</v>
      </c>
      <c r="AS654" s="48" t="b">
        <v>0</v>
      </c>
      <c r="AT654" s="7" t="b">
        <v>0</v>
      </c>
      <c r="AU654" s="40" t="str" cm="1">
        <f t="array" ref="AU654">_xlfn.XLOOKUP(PROPERTIES[[#This Row],[VEHIDCODE]],GRAPHICS_PROPERTIES[VEHIDCODE],GRAPHICS_PROPERTIES[TEMPLATE_ID]&amp;GRAPHICS_PROPERTIES[TEMPLATE_AMENDMENT_CODE])</f>
        <v>TPL_01F</v>
      </c>
    </row>
    <row r="655" spans="1:47" x14ac:dyDescent="0.35">
      <c r="A655" s="2" t="s">
        <v>79</v>
      </c>
      <c r="B655">
        <v>1830</v>
      </c>
      <c r="D655" cm="1">
        <f t="array" ref="D6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5" s="40" t="str">
        <f>_xlfn.XLOOKUP(PROPERTIES[[#This Row],[VEHIDCODE]],CONTROL[VEHIDCODE],CONTROL[ENGLISH])</f>
        <v>1st Gen Flat Wagon</v>
      </c>
      <c r="G655" s="40" t="str">
        <f>_xlfn.XLOOKUP(PROPERTIES[[#This Row],[COUNTRY]],COUNTRIES[COUNTRY_DESCRIPTION],COUNTRIES[COUNTRY_LABEL],"")</f>
        <v/>
      </c>
      <c r="H655" t="str" cm="1">
        <f t="array" ref="H6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5" t="s">
        <v>29</v>
      </c>
      <c r="J655">
        <v>20</v>
      </c>
      <c r="K655">
        <v>4</v>
      </c>
      <c r="L655">
        <v>0</v>
      </c>
      <c r="M655" t="str" cm="1">
        <f t="array" ref="M6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55">
        <f>_xlfn.XLOOKUP("LOADINGSPEEDDEF_"&amp;PROPERTIES[[#This Row],[LOADINGSPEED]],LOADINGSPEEDDEF[TYPE],LOADINGSPEEDDEF[SPEED])</f>
        <v>20</v>
      </c>
      <c r="O655" cm="1">
        <f t="array" ref="O6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55">
        <f>IF(ISNUMBER(SEARCH("passenger",PROPERTIES[[#This Row],[CARGODEF]])),1,0)</f>
        <v>0</v>
      </c>
      <c r="Q655" s="23">
        <v>5</v>
      </c>
      <c r="R655">
        <v>0</v>
      </c>
      <c r="S655">
        <v>0</v>
      </c>
      <c r="T655">
        <v>0</v>
      </c>
      <c r="U655">
        <v>0</v>
      </c>
      <c r="V655">
        <v>55</v>
      </c>
      <c r="W655">
        <v>0</v>
      </c>
      <c r="X655">
        <v>0</v>
      </c>
      <c r="Y655">
        <v>0</v>
      </c>
      <c r="Z655" s="20">
        <v>0</v>
      </c>
      <c r="AA655" s="19">
        <f>IFERROR(PROPERTIES[[#This Row],[TE_STARTING_KN]]/(PROPERTIES[[#This Row],[WEIGHT]]*9.81),0)</f>
        <v>0</v>
      </c>
      <c r="AB655" s="19">
        <v>0.3</v>
      </c>
      <c r="AC655" s="16">
        <f>ROUND(IF(IFERROR(PROPERTIES[[#This Row],[TE_COEFFICIENT_CALC]],0)=0,PROPERTIES[[#This Row],[TE_COEFFICIENT_MANUAL]],PROPERTIES[[#This Row],[TE_COEFFICIENT_CALC]]),3)</f>
        <v>0.3</v>
      </c>
      <c r="AD655" s="8" cm="1">
        <f t="array" ref="AD6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5" s="26">
        <v>0</v>
      </c>
      <c r="AF655" s="6">
        <v>0</v>
      </c>
      <c r="AG655" t="s">
        <v>241</v>
      </c>
      <c r="AH655" t="s">
        <v>229</v>
      </c>
      <c r="AI655" t="s">
        <v>229</v>
      </c>
      <c r="AJ655" s="2" t="s">
        <v>229</v>
      </c>
      <c r="AK655" s="2" t="s">
        <v>244</v>
      </c>
      <c r="AL65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5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55" s="2" t="str">
        <f>SUBSTITUTE(SUBSTITUTE(PROPERTIES[[#This Row],[PURCHASECOST_VALUE]], "PURCHASECOST_", ""), "_VALUE", "")</f>
        <v>WAGON</v>
      </c>
      <c r="AO655" s="44" t="b">
        <v>0</v>
      </c>
      <c r="AP655" s="48" t="b">
        <v>0</v>
      </c>
      <c r="AQ655" s="48" t="b">
        <v>0</v>
      </c>
      <c r="AR655" s="48">
        <v>2</v>
      </c>
      <c r="AS655" s="48" t="b">
        <v>0</v>
      </c>
      <c r="AT655" s="7" t="b">
        <v>0</v>
      </c>
      <c r="AU655" s="40" t="str" cm="1">
        <f t="array" ref="AU655">_xlfn.XLOOKUP(PROPERTIES[[#This Row],[VEHIDCODE]],GRAPHICS_PROPERTIES[VEHIDCODE],GRAPHICS_PROPERTIES[TEMPLATE_ID]&amp;GRAPHICS_PROPERTIES[TEMPLATE_AMENDMENT_CODE])</f>
        <v>TPL_04B</v>
      </c>
    </row>
    <row r="656" spans="1:47" x14ac:dyDescent="0.35">
      <c r="A656" s="2" t="s">
        <v>80</v>
      </c>
      <c r="B656">
        <v>1830</v>
      </c>
      <c r="D656" cm="1">
        <f t="array" ref="D6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6" s="40" t="str">
        <f>_xlfn.XLOOKUP(PROPERTIES[[#This Row],[VEHIDCODE]],CONTROL[VEHIDCODE],CONTROL[ENGLISH])</f>
        <v>1st Gen Wooden Box Van</v>
      </c>
      <c r="G656" s="40" t="str">
        <f>_xlfn.XLOOKUP(PROPERTIES[[#This Row],[COUNTRY]],COUNTRIES[COUNTRY_DESCRIPTION],COUNTRIES[COUNTRY_LABEL],"")</f>
        <v/>
      </c>
      <c r="H656" t="str" cm="1">
        <f t="array" ref="H6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6" t="s">
        <v>25</v>
      </c>
      <c r="J656">
        <v>20</v>
      </c>
      <c r="K656">
        <v>4</v>
      </c>
      <c r="L656">
        <v>0</v>
      </c>
      <c r="M656" t="str" cm="1">
        <f t="array" ref="M6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56">
        <f>_xlfn.XLOOKUP("LOADINGSPEEDDEF_"&amp;PROPERTIES[[#This Row],[LOADINGSPEED]],LOADINGSPEEDDEF[TYPE],LOADINGSPEEDDEF[SPEED])</f>
        <v>20</v>
      </c>
      <c r="O656" cm="1">
        <f t="array" ref="O6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56">
        <f>IF(ISNUMBER(SEARCH("passenger",PROPERTIES[[#This Row],[CARGODEF]])),1,0)</f>
        <v>0</v>
      </c>
      <c r="Q656" s="23">
        <v>6</v>
      </c>
      <c r="R656">
        <v>0</v>
      </c>
      <c r="S656">
        <v>0</v>
      </c>
      <c r="T656">
        <v>0</v>
      </c>
      <c r="U656">
        <v>0</v>
      </c>
      <c r="V656">
        <v>55</v>
      </c>
      <c r="W656">
        <v>0</v>
      </c>
      <c r="X656">
        <v>0</v>
      </c>
      <c r="Y656">
        <v>0</v>
      </c>
      <c r="Z656" s="20">
        <v>0</v>
      </c>
      <c r="AA656" s="19">
        <f>IFERROR(PROPERTIES[[#This Row],[TE_STARTING_KN]]/(PROPERTIES[[#This Row],[WEIGHT]]*9.81),0)</f>
        <v>0</v>
      </c>
      <c r="AB656" s="19">
        <v>0.3</v>
      </c>
      <c r="AC656" s="16">
        <f>ROUND(IF(IFERROR(PROPERTIES[[#This Row],[TE_COEFFICIENT_CALC]],0)=0,PROPERTIES[[#This Row],[TE_COEFFICIENT_MANUAL]],PROPERTIES[[#This Row],[TE_COEFFICIENT_CALC]]),3)</f>
        <v>0.3</v>
      </c>
      <c r="AD656" s="8" cm="1">
        <f t="array" ref="AD6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6" s="26">
        <v>0</v>
      </c>
      <c r="AF656" s="6">
        <v>0</v>
      </c>
      <c r="AG656" t="s">
        <v>241</v>
      </c>
      <c r="AH656" t="s">
        <v>229</v>
      </c>
      <c r="AI656" t="s">
        <v>229</v>
      </c>
      <c r="AJ656" s="2" t="s">
        <v>229</v>
      </c>
      <c r="AK656" s="2" t="s">
        <v>244</v>
      </c>
      <c r="AL65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5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56" s="2" t="str">
        <f>SUBSTITUTE(SUBSTITUTE(PROPERTIES[[#This Row],[PURCHASECOST_VALUE]], "PURCHASECOST_", ""), "_VALUE", "")</f>
        <v>WAGON</v>
      </c>
      <c r="AO656" s="44" t="b">
        <v>0</v>
      </c>
      <c r="AP656" s="48" t="b">
        <v>0</v>
      </c>
      <c r="AQ656" s="48" t="b">
        <v>0</v>
      </c>
      <c r="AR656" s="48">
        <v>2</v>
      </c>
      <c r="AS656" s="48" t="b">
        <v>0</v>
      </c>
      <c r="AT656" s="7" t="b">
        <v>0</v>
      </c>
      <c r="AU656" s="40" t="str" cm="1">
        <f t="array" ref="AU656">_xlfn.XLOOKUP(PROPERTIES[[#This Row],[VEHIDCODE]],GRAPHICS_PROPERTIES[VEHIDCODE],GRAPHICS_PROPERTIES[TEMPLATE_ID]&amp;GRAPHICS_PROPERTIES[TEMPLATE_AMENDMENT_CODE])</f>
        <v>TPL_04B</v>
      </c>
    </row>
    <row r="657" spans="1:47" x14ac:dyDescent="0.35">
      <c r="A657" s="2" t="s">
        <v>81</v>
      </c>
      <c r="B657">
        <v>1830</v>
      </c>
      <c r="D657" cm="1">
        <f t="array" ref="D6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7" s="40" t="str">
        <f>_xlfn.XLOOKUP(PROPERTIES[[#This Row],[VEHIDCODE]],CONTROL[VEHIDCODE],CONTROL[ENGLISH])</f>
        <v>1st Gen Tanker</v>
      </c>
      <c r="G657" s="40" t="str">
        <f>_xlfn.XLOOKUP(PROPERTIES[[#This Row],[COUNTRY]],COUNTRIES[COUNTRY_DESCRIPTION],COUNTRIES[COUNTRY_LABEL],"")</f>
        <v/>
      </c>
      <c r="H657" t="str" cm="1">
        <f t="array" ref="H6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7" t="s">
        <v>35</v>
      </c>
      <c r="J657">
        <v>10</v>
      </c>
      <c r="K657">
        <v>4</v>
      </c>
      <c r="L657">
        <v>0</v>
      </c>
      <c r="M657" t="str" cm="1">
        <f t="array" ref="M6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57">
        <f>_xlfn.XLOOKUP("LOADINGSPEEDDEF_"&amp;PROPERTIES[[#This Row],[LOADINGSPEED]],LOADINGSPEEDDEF[TYPE],LOADINGSPEEDDEF[SPEED])</f>
        <v>20</v>
      </c>
      <c r="O657" cm="1">
        <f t="array" ref="O6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57">
        <f>IF(ISNUMBER(SEARCH("passenger",PROPERTIES[[#This Row],[CARGODEF]])),1,0)</f>
        <v>0</v>
      </c>
      <c r="Q657" s="23">
        <v>7</v>
      </c>
      <c r="R657">
        <v>0</v>
      </c>
      <c r="S657">
        <v>0</v>
      </c>
      <c r="T657">
        <v>0</v>
      </c>
      <c r="U657">
        <v>0</v>
      </c>
      <c r="V657">
        <v>55</v>
      </c>
      <c r="W657">
        <v>0</v>
      </c>
      <c r="X657">
        <v>0</v>
      </c>
      <c r="Y657">
        <v>0</v>
      </c>
      <c r="Z657" s="20">
        <v>0</v>
      </c>
      <c r="AA657" s="19">
        <f>IFERROR(PROPERTIES[[#This Row],[TE_STARTING_KN]]/(PROPERTIES[[#This Row],[WEIGHT]]*9.81),0)</f>
        <v>0</v>
      </c>
      <c r="AB657" s="19">
        <v>0.3</v>
      </c>
      <c r="AC657" s="16">
        <f>ROUND(IF(IFERROR(PROPERTIES[[#This Row],[TE_COEFFICIENT_CALC]],0)=0,PROPERTIES[[#This Row],[TE_COEFFICIENT_MANUAL]],PROPERTIES[[#This Row],[TE_COEFFICIENT_CALC]]),3)</f>
        <v>0.3</v>
      </c>
      <c r="AD657" s="8" cm="1">
        <f t="array" ref="AD6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7" s="26">
        <v>0</v>
      </c>
      <c r="AF657" s="6">
        <v>0</v>
      </c>
      <c r="AG657" t="s">
        <v>241</v>
      </c>
      <c r="AH657" t="s">
        <v>229</v>
      </c>
      <c r="AI657" t="s">
        <v>229</v>
      </c>
      <c r="AJ657" s="2" t="s">
        <v>229</v>
      </c>
      <c r="AK657" s="2" t="s">
        <v>244</v>
      </c>
      <c r="AL65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5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57" s="2" t="str">
        <f>SUBSTITUTE(SUBSTITUTE(PROPERTIES[[#This Row],[PURCHASECOST_VALUE]], "PURCHASECOST_", ""), "_VALUE", "")</f>
        <v>WAGON</v>
      </c>
      <c r="AO657" s="44" t="b">
        <v>0</v>
      </c>
      <c r="AP657" s="48" t="b">
        <v>0</v>
      </c>
      <c r="AQ657" s="48" t="b">
        <v>0</v>
      </c>
      <c r="AR657" s="48">
        <v>2</v>
      </c>
      <c r="AS657" s="48" t="b">
        <v>0</v>
      </c>
      <c r="AT657" s="7" t="b">
        <v>0</v>
      </c>
      <c r="AU657" s="40" t="str" cm="1">
        <f t="array" ref="AU657">_xlfn.XLOOKUP(PROPERTIES[[#This Row],[VEHIDCODE]],GRAPHICS_PROPERTIES[VEHIDCODE],GRAPHICS_PROPERTIES[TEMPLATE_ID]&amp;GRAPHICS_PROPERTIES[TEMPLATE_AMENDMENT_CODE])</f>
        <v>TPL_04B</v>
      </c>
    </row>
    <row r="658" spans="1:47" x14ac:dyDescent="0.35">
      <c r="A658" s="2" t="s">
        <v>82</v>
      </c>
      <c r="B658">
        <v>1830</v>
      </c>
      <c r="D658" cm="1">
        <f t="array" ref="D6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8" s="40" t="str">
        <f>_xlfn.XLOOKUP(PROPERTIES[[#This Row],[VEHIDCODE]],CONTROL[VEHIDCODE],CONTROL[ENGLISH])</f>
        <v>1st Gen Wooden Open Wagon</v>
      </c>
      <c r="G658" s="40" t="str">
        <f>_xlfn.XLOOKUP(PROPERTIES[[#This Row],[COUNTRY]],COUNTRIES[COUNTRY_DESCRIPTION],COUNTRIES[COUNTRY_LABEL],"")</f>
        <v/>
      </c>
      <c r="H658" t="str" cm="1">
        <f t="array" ref="H6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8" t="s">
        <v>3665</v>
      </c>
      <c r="J658">
        <v>18</v>
      </c>
      <c r="K658">
        <v>4</v>
      </c>
      <c r="L658">
        <v>0</v>
      </c>
      <c r="M658" t="str" cm="1">
        <f t="array" ref="M6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58">
        <f>_xlfn.XLOOKUP("LOADINGSPEEDDEF_"&amp;PROPERTIES[[#This Row],[LOADINGSPEED]],LOADINGSPEEDDEF[TYPE],LOADINGSPEEDDEF[SPEED])</f>
        <v>20</v>
      </c>
      <c r="O658" cm="1">
        <f t="array" ref="O6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58">
        <f>IF(ISNUMBER(SEARCH("passenger",PROPERTIES[[#This Row],[CARGODEF]])),1,0)</f>
        <v>0</v>
      </c>
      <c r="Q658" s="23">
        <v>6</v>
      </c>
      <c r="R658">
        <v>0</v>
      </c>
      <c r="S658">
        <v>0</v>
      </c>
      <c r="T658">
        <v>0</v>
      </c>
      <c r="U658">
        <v>0</v>
      </c>
      <c r="V658">
        <v>55</v>
      </c>
      <c r="W658">
        <v>0</v>
      </c>
      <c r="X658">
        <v>0</v>
      </c>
      <c r="Y658">
        <v>0</v>
      </c>
      <c r="Z658" s="20">
        <v>0</v>
      </c>
      <c r="AA658" s="19">
        <f>IFERROR(PROPERTIES[[#This Row],[TE_STARTING_KN]]/(PROPERTIES[[#This Row],[WEIGHT]]*9.81),0)</f>
        <v>0</v>
      </c>
      <c r="AB658" s="19">
        <v>0.3</v>
      </c>
      <c r="AC658" s="16">
        <f>ROUND(IF(IFERROR(PROPERTIES[[#This Row],[TE_COEFFICIENT_CALC]],0)=0,PROPERTIES[[#This Row],[TE_COEFFICIENT_MANUAL]],PROPERTIES[[#This Row],[TE_COEFFICIENT_CALC]]),3)</f>
        <v>0.3</v>
      </c>
      <c r="AD658" s="8" cm="1">
        <f t="array" ref="AD6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8" s="26">
        <v>0</v>
      </c>
      <c r="AF658" s="6">
        <v>0</v>
      </c>
      <c r="AG658" t="s">
        <v>241</v>
      </c>
      <c r="AH658" t="s">
        <v>229</v>
      </c>
      <c r="AI658" t="s">
        <v>229</v>
      </c>
      <c r="AJ658" s="2" t="s">
        <v>229</v>
      </c>
      <c r="AK658" s="2" t="s">
        <v>244</v>
      </c>
      <c r="AL65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5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58" s="2" t="str">
        <f>SUBSTITUTE(SUBSTITUTE(PROPERTIES[[#This Row],[PURCHASECOST_VALUE]], "PURCHASECOST_", ""), "_VALUE", "")</f>
        <v>WAGON</v>
      </c>
      <c r="AO658" s="44" t="b">
        <v>0</v>
      </c>
      <c r="AP658" s="48" t="b">
        <v>0</v>
      </c>
      <c r="AQ658" s="48" t="b">
        <v>0</v>
      </c>
      <c r="AR658" s="48">
        <v>2</v>
      </c>
      <c r="AS658" s="48" t="b">
        <v>1</v>
      </c>
      <c r="AT658" s="7" t="b">
        <v>0</v>
      </c>
      <c r="AU658" s="40" t="str" cm="1">
        <f t="array" ref="AU658">_xlfn.XLOOKUP(PROPERTIES[[#This Row],[VEHIDCODE]],GRAPHICS_PROPERTIES[VEHIDCODE],GRAPHICS_PROPERTIES[TEMPLATE_ID]&amp;GRAPHICS_PROPERTIES[TEMPLATE_AMENDMENT_CODE])</f>
        <v>TPL_04B</v>
      </c>
    </row>
    <row r="659" spans="1:47" x14ac:dyDescent="0.35">
      <c r="A659" s="2" t="s">
        <v>153</v>
      </c>
      <c r="B659">
        <v>1900</v>
      </c>
      <c r="D659" cm="1">
        <f t="array" ref="D6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9" s="40" t="str">
        <f>_xlfn.XLOOKUP(PROPERTIES[[#This Row],[VEHIDCODE]],CONTROL[VEHIDCODE],CONTROL[ENGLISH])</f>
        <v>2nd Gen Flat Wagon</v>
      </c>
      <c r="G659" s="40" t="str">
        <f>_xlfn.XLOOKUP(PROPERTIES[[#This Row],[COUNTRY]],COUNTRIES[COUNTRY_DESCRIPTION],COUNTRIES[COUNTRY_LABEL],"")</f>
        <v/>
      </c>
      <c r="H659" t="str" cm="1">
        <f t="array" ref="H6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9" t="s">
        <v>29</v>
      </c>
      <c r="J659">
        <v>30</v>
      </c>
      <c r="K659">
        <v>5</v>
      </c>
      <c r="L659">
        <v>0</v>
      </c>
      <c r="M659" t="str" cm="1">
        <f t="array" ref="M6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59">
        <f>_xlfn.XLOOKUP("LOADINGSPEEDDEF_"&amp;PROPERTIES[[#This Row],[LOADINGSPEED]],LOADINGSPEEDDEF[TYPE],LOADINGSPEEDDEF[SPEED])</f>
        <v>20</v>
      </c>
      <c r="O659" cm="1">
        <f t="array" ref="O6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59">
        <f>IF(ISNUMBER(SEARCH("passenger",PROPERTIES[[#This Row],[CARGODEF]])),1,0)</f>
        <v>0</v>
      </c>
      <c r="Q659" s="23">
        <v>11</v>
      </c>
      <c r="R659">
        <v>0</v>
      </c>
      <c r="S659">
        <v>0</v>
      </c>
      <c r="T659">
        <v>0</v>
      </c>
      <c r="U659">
        <v>0</v>
      </c>
      <c r="V659">
        <v>70</v>
      </c>
      <c r="W659">
        <v>0</v>
      </c>
      <c r="X659">
        <v>0</v>
      </c>
      <c r="Y659">
        <v>0</v>
      </c>
      <c r="Z659" s="20">
        <v>0</v>
      </c>
      <c r="AA659" s="19">
        <f>IFERROR(PROPERTIES[[#This Row],[TE_STARTING_KN]]/(PROPERTIES[[#This Row],[WEIGHT]]*9.81),0)</f>
        <v>0</v>
      </c>
      <c r="AB659" s="19">
        <v>0.3</v>
      </c>
      <c r="AC659" s="16">
        <f>ROUND(IF(IFERROR(PROPERTIES[[#This Row],[TE_COEFFICIENT_CALC]],0)=0,PROPERTIES[[#This Row],[TE_COEFFICIENT_MANUAL]],PROPERTIES[[#This Row],[TE_COEFFICIENT_CALC]]),3)</f>
        <v>0.3</v>
      </c>
      <c r="AD659" s="8" cm="1">
        <f t="array" ref="AD6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9" s="26">
        <v>0</v>
      </c>
      <c r="AF659" s="6">
        <v>0</v>
      </c>
      <c r="AG659" t="s">
        <v>241</v>
      </c>
      <c r="AH659" t="s">
        <v>229</v>
      </c>
      <c r="AI659" t="s">
        <v>229</v>
      </c>
      <c r="AJ659" s="2" t="s">
        <v>229</v>
      </c>
      <c r="AK659" s="2" t="s">
        <v>244</v>
      </c>
      <c r="AL65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5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59" s="2" t="str">
        <f>SUBSTITUTE(SUBSTITUTE(PROPERTIES[[#This Row],[PURCHASECOST_VALUE]], "PURCHASECOST_", ""), "_VALUE", "")</f>
        <v>WAGON</v>
      </c>
      <c r="AO659" s="44" t="b">
        <v>0</v>
      </c>
      <c r="AP659" s="48" t="b">
        <v>0</v>
      </c>
      <c r="AQ659" s="48" t="b">
        <v>0</v>
      </c>
      <c r="AR659" s="48">
        <v>2</v>
      </c>
      <c r="AS659" s="48" t="b">
        <v>0</v>
      </c>
      <c r="AT659" s="7" t="b">
        <v>0</v>
      </c>
      <c r="AU659" s="40" t="str" cm="1">
        <f t="array" ref="AU659">_xlfn.XLOOKUP(PROPERTIES[[#This Row],[VEHIDCODE]],GRAPHICS_PROPERTIES[VEHIDCODE],GRAPHICS_PROPERTIES[TEMPLATE_ID]&amp;GRAPHICS_PROPERTIES[TEMPLATE_AMENDMENT_CODE])</f>
        <v>TPL_04B</v>
      </c>
    </row>
    <row r="660" spans="1:47" x14ac:dyDescent="0.35">
      <c r="A660" s="2" t="s">
        <v>154</v>
      </c>
      <c r="B660">
        <v>1890</v>
      </c>
      <c r="D660" cm="1">
        <f t="array" ref="D6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0" s="40" t="str">
        <f>_xlfn.XLOOKUP(PROPERTIES[[#This Row],[VEHIDCODE]],CONTROL[VEHIDCODE],CONTROL[ENGLISH])</f>
        <v>2nd Gen Wooden Box Van [Food]</v>
      </c>
      <c r="G660" s="40" t="str">
        <f>_xlfn.XLOOKUP(PROPERTIES[[#This Row],[COUNTRY]],COUNTRIES[COUNTRY_DESCRIPTION],COUNTRIES[COUNTRY_LABEL],"")</f>
        <v/>
      </c>
      <c r="H660" t="str" cm="1">
        <f t="array" ref="H6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0" t="s">
        <v>3672</v>
      </c>
      <c r="J660">
        <v>25</v>
      </c>
      <c r="K660">
        <v>5</v>
      </c>
      <c r="L660">
        <v>0</v>
      </c>
      <c r="M660" t="str" cm="1">
        <f t="array" ref="M6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0">
        <f>_xlfn.XLOOKUP("LOADINGSPEEDDEF_"&amp;PROPERTIES[[#This Row],[LOADINGSPEED]],LOADINGSPEEDDEF[TYPE],LOADINGSPEEDDEF[SPEED])</f>
        <v>20</v>
      </c>
      <c r="O660" cm="1">
        <f t="array" ref="O6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0">
        <f>IF(ISNUMBER(SEARCH("passenger",PROPERTIES[[#This Row],[CARGODEF]])),1,0)</f>
        <v>0</v>
      </c>
      <c r="Q660" s="23">
        <v>12</v>
      </c>
      <c r="R660">
        <v>0</v>
      </c>
      <c r="S660">
        <v>0</v>
      </c>
      <c r="T660">
        <v>0</v>
      </c>
      <c r="U660">
        <v>0</v>
      </c>
      <c r="V660">
        <v>90</v>
      </c>
      <c r="W660">
        <v>0</v>
      </c>
      <c r="X660">
        <v>0</v>
      </c>
      <c r="Y660">
        <v>0</v>
      </c>
      <c r="Z660" s="20">
        <v>0</v>
      </c>
      <c r="AA660" s="19">
        <f>IFERROR(PROPERTIES[[#This Row],[TE_STARTING_KN]]/(PROPERTIES[[#This Row],[WEIGHT]]*9.81),0)</f>
        <v>0</v>
      </c>
      <c r="AB660" s="19">
        <v>0.3</v>
      </c>
      <c r="AC660" s="16">
        <f>ROUND(IF(IFERROR(PROPERTIES[[#This Row],[TE_COEFFICIENT_CALC]],0)=0,PROPERTIES[[#This Row],[TE_COEFFICIENT_MANUAL]],PROPERTIES[[#This Row],[TE_COEFFICIENT_CALC]]),3)</f>
        <v>0.3</v>
      </c>
      <c r="AD660" s="8" cm="1">
        <f t="array" ref="AD6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0" s="26">
        <v>0</v>
      </c>
      <c r="AF660" s="6">
        <v>0</v>
      </c>
      <c r="AG660" t="s">
        <v>241</v>
      </c>
      <c r="AH660" t="s">
        <v>229</v>
      </c>
      <c r="AI660" t="s">
        <v>229</v>
      </c>
      <c r="AJ660" s="2" t="s">
        <v>229</v>
      </c>
      <c r="AK660" s="2" t="s">
        <v>244</v>
      </c>
      <c r="AL66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0" s="2" t="str">
        <f>SUBSTITUTE(SUBSTITUTE(PROPERTIES[[#This Row],[PURCHASECOST_VALUE]], "PURCHASECOST_", ""), "_VALUE", "")</f>
        <v>WAGON</v>
      </c>
      <c r="AO660" s="44" t="b">
        <v>0</v>
      </c>
      <c r="AP660" s="48" t="b">
        <v>0</v>
      </c>
      <c r="AQ660" s="48" t="b">
        <v>0</v>
      </c>
      <c r="AR660" s="48">
        <v>2</v>
      </c>
      <c r="AS660" s="48" t="b">
        <v>0</v>
      </c>
      <c r="AT660" s="7" t="b">
        <v>0</v>
      </c>
      <c r="AU660" s="40" t="str" cm="1">
        <f t="array" ref="AU660">_xlfn.XLOOKUP(PROPERTIES[[#This Row],[VEHIDCODE]],GRAPHICS_PROPERTIES[VEHIDCODE],GRAPHICS_PROPERTIES[TEMPLATE_ID]&amp;GRAPHICS_PROPERTIES[TEMPLATE_AMENDMENT_CODE])</f>
        <v>TPL_04B</v>
      </c>
    </row>
    <row r="661" spans="1:47" x14ac:dyDescent="0.35">
      <c r="A661" s="2" t="s">
        <v>155</v>
      </c>
      <c r="B661">
        <v>1890</v>
      </c>
      <c r="D661" cm="1">
        <f t="array" ref="D6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1" s="40" t="str">
        <f>_xlfn.XLOOKUP(PROPERTIES[[#This Row],[VEHIDCODE]],CONTROL[VEHIDCODE],CONTROL[ENGLISH])</f>
        <v>2nd Gen Wooden Box Van [Non-Food]</v>
      </c>
      <c r="G661" s="40" t="str">
        <f>_xlfn.XLOOKUP(PROPERTIES[[#This Row],[COUNTRY]],COUNTRIES[COUNTRY_DESCRIPTION],COUNTRIES[COUNTRY_LABEL],"")</f>
        <v/>
      </c>
      <c r="H661" t="str" cm="1">
        <f t="array" ref="H6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1" t="s">
        <v>3671</v>
      </c>
      <c r="J661">
        <v>25</v>
      </c>
      <c r="K661">
        <v>5</v>
      </c>
      <c r="L661">
        <v>0</v>
      </c>
      <c r="M661" t="str" cm="1">
        <f t="array" ref="M6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1">
        <f>_xlfn.XLOOKUP("LOADINGSPEEDDEF_"&amp;PROPERTIES[[#This Row],[LOADINGSPEED]],LOADINGSPEEDDEF[TYPE],LOADINGSPEEDDEF[SPEED])</f>
        <v>20</v>
      </c>
      <c r="O661" cm="1">
        <f t="array" ref="O6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1">
        <f>IF(ISNUMBER(SEARCH("passenger",PROPERTIES[[#This Row],[CARGODEF]])),1,0)</f>
        <v>0</v>
      </c>
      <c r="Q661" s="23">
        <v>12</v>
      </c>
      <c r="R661">
        <v>0</v>
      </c>
      <c r="S661">
        <v>0</v>
      </c>
      <c r="T661">
        <v>0</v>
      </c>
      <c r="U661">
        <v>0</v>
      </c>
      <c r="V661">
        <v>90</v>
      </c>
      <c r="W661">
        <v>0</v>
      </c>
      <c r="X661">
        <v>0</v>
      </c>
      <c r="Y661">
        <v>0</v>
      </c>
      <c r="Z661" s="20">
        <v>0</v>
      </c>
      <c r="AA661" s="19">
        <f>IFERROR(PROPERTIES[[#This Row],[TE_STARTING_KN]]/(PROPERTIES[[#This Row],[WEIGHT]]*9.81),0)</f>
        <v>0</v>
      </c>
      <c r="AB661" s="19">
        <v>0.3</v>
      </c>
      <c r="AC661" s="16">
        <f>ROUND(IF(IFERROR(PROPERTIES[[#This Row],[TE_COEFFICIENT_CALC]],0)=0,PROPERTIES[[#This Row],[TE_COEFFICIENT_MANUAL]],PROPERTIES[[#This Row],[TE_COEFFICIENT_CALC]]),3)</f>
        <v>0.3</v>
      </c>
      <c r="AD661" s="8" cm="1">
        <f t="array" ref="AD6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1" s="26">
        <v>0</v>
      </c>
      <c r="AF661" s="6">
        <v>0</v>
      </c>
      <c r="AG661" t="s">
        <v>241</v>
      </c>
      <c r="AH661" t="s">
        <v>229</v>
      </c>
      <c r="AI661" t="s">
        <v>229</v>
      </c>
      <c r="AJ661" s="2" t="s">
        <v>229</v>
      </c>
      <c r="AK661" s="2" t="s">
        <v>244</v>
      </c>
      <c r="AL66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1" s="2" t="str">
        <f>SUBSTITUTE(SUBSTITUTE(PROPERTIES[[#This Row],[PURCHASECOST_VALUE]], "PURCHASECOST_", ""), "_VALUE", "")</f>
        <v>WAGON</v>
      </c>
      <c r="AO661" s="44" t="b">
        <v>0</v>
      </c>
      <c r="AP661" s="48" t="b">
        <v>0</v>
      </c>
      <c r="AQ661" s="48" t="b">
        <v>0</v>
      </c>
      <c r="AR661" s="48">
        <v>2</v>
      </c>
      <c r="AS661" s="48" t="b">
        <v>0</v>
      </c>
      <c r="AT661" s="7" t="b">
        <v>0</v>
      </c>
      <c r="AU661" s="40" t="str" cm="1">
        <f t="array" ref="AU661">_xlfn.XLOOKUP(PROPERTIES[[#This Row],[VEHIDCODE]],GRAPHICS_PROPERTIES[VEHIDCODE],GRAPHICS_PROPERTIES[TEMPLATE_ID]&amp;GRAPHICS_PROPERTIES[TEMPLATE_AMENDMENT_CODE])</f>
        <v>TPL_04B</v>
      </c>
    </row>
    <row r="662" spans="1:47" x14ac:dyDescent="0.35">
      <c r="A662" s="2" t="s">
        <v>156</v>
      </c>
      <c r="B662">
        <v>1900</v>
      </c>
      <c r="D662" cm="1">
        <f t="array" ref="D6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2" s="40" t="str">
        <f>_xlfn.XLOOKUP(PROPERTIES[[#This Row],[VEHIDCODE]],CONTROL[VEHIDCODE],CONTROL[ENGLISH])</f>
        <v>2nd Gen Tanker</v>
      </c>
      <c r="G662" s="40" t="str">
        <f>_xlfn.XLOOKUP(PROPERTIES[[#This Row],[COUNTRY]],COUNTRIES[COUNTRY_DESCRIPTION],COUNTRIES[COUNTRY_LABEL],"")</f>
        <v/>
      </c>
      <c r="H662" t="str" cm="1">
        <f t="array" ref="H6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2" t="s">
        <v>35</v>
      </c>
      <c r="J662">
        <v>20</v>
      </c>
      <c r="K662">
        <v>5</v>
      </c>
      <c r="L662">
        <v>0</v>
      </c>
      <c r="M662" t="str" cm="1">
        <f t="array" ref="M6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2">
        <f>_xlfn.XLOOKUP("LOADINGSPEEDDEF_"&amp;PROPERTIES[[#This Row],[LOADINGSPEED]],LOADINGSPEEDDEF[TYPE],LOADINGSPEEDDEF[SPEED])</f>
        <v>20</v>
      </c>
      <c r="O662" cm="1">
        <f t="array" ref="O6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2">
        <f>IF(ISNUMBER(SEARCH("passenger",PROPERTIES[[#This Row],[CARGODEF]])),1,0)</f>
        <v>0</v>
      </c>
      <c r="Q662" s="23">
        <v>14</v>
      </c>
      <c r="R662">
        <v>0</v>
      </c>
      <c r="S662">
        <v>0</v>
      </c>
      <c r="T662">
        <v>0</v>
      </c>
      <c r="U662">
        <v>0</v>
      </c>
      <c r="V662">
        <v>70</v>
      </c>
      <c r="W662">
        <v>0</v>
      </c>
      <c r="X662">
        <v>0</v>
      </c>
      <c r="Y662">
        <v>0</v>
      </c>
      <c r="Z662" s="20">
        <v>0</v>
      </c>
      <c r="AA662" s="19">
        <f>IFERROR(PROPERTIES[[#This Row],[TE_STARTING_KN]]/(PROPERTIES[[#This Row],[WEIGHT]]*9.81),0)</f>
        <v>0</v>
      </c>
      <c r="AB662" s="19">
        <v>0.3</v>
      </c>
      <c r="AC662" s="16">
        <f>ROUND(IF(IFERROR(PROPERTIES[[#This Row],[TE_COEFFICIENT_CALC]],0)=0,PROPERTIES[[#This Row],[TE_COEFFICIENT_MANUAL]],PROPERTIES[[#This Row],[TE_COEFFICIENT_CALC]]),3)</f>
        <v>0.3</v>
      </c>
      <c r="AD662" s="8" cm="1">
        <f t="array" ref="AD6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2" s="26">
        <v>0</v>
      </c>
      <c r="AF662" s="6">
        <v>0</v>
      </c>
      <c r="AG662" t="s">
        <v>241</v>
      </c>
      <c r="AH662" t="s">
        <v>229</v>
      </c>
      <c r="AI662" t="s">
        <v>229</v>
      </c>
      <c r="AJ662" s="2" t="s">
        <v>229</v>
      </c>
      <c r="AK662" s="2" t="s">
        <v>244</v>
      </c>
      <c r="AL66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2" s="2" t="str">
        <f>SUBSTITUTE(SUBSTITUTE(PROPERTIES[[#This Row],[PURCHASECOST_VALUE]], "PURCHASECOST_", ""), "_VALUE", "")</f>
        <v>WAGON</v>
      </c>
      <c r="AO662" s="44" t="b">
        <v>0</v>
      </c>
      <c r="AP662" s="48" t="b">
        <v>0</v>
      </c>
      <c r="AQ662" s="48" t="b">
        <v>0</v>
      </c>
      <c r="AR662" s="48">
        <v>2</v>
      </c>
      <c r="AS662" s="48" t="b">
        <v>0</v>
      </c>
      <c r="AT662" s="7" t="b">
        <v>0</v>
      </c>
      <c r="AU662" s="40" t="str" cm="1">
        <f t="array" ref="AU662">_xlfn.XLOOKUP(PROPERTIES[[#This Row],[VEHIDCODE]],GRAPHICS_PROPERTIES[VEHIDCODE],GRAPHICS_PROPERTIES[TEMPLATE_ID]&amp;GRAPHICS_PROPERTIES[TEMPLATE_AMENDMENT_CODE])</f>
        <v>TPL_04B</v>
      </c>
    </row>
    <row r="663" spans="1:47" x14ac:dyDescent="0.35">
      <c r="A663" s="2" t="s">
        <v>157</v>
      </c>
      <c r="B663">
        <v>1890</v>
      </c>
      <c r="D663" cm="1">
        <f t="array" ref="D6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3" s="40" t="str">
        <f>_xlfn.XLOOKUP(PROPERTIES[[#This Row],[VEHIDCODE]],CONTROL[VEHIDCODE],CONTROL[ENGLISH])</f>
        <v>2nd Gen Wooden Open Wagon</v>
      </c>
      <c r="G663" s="40" t="str">
        <f>_xlfn.XLOOKUP(PROPERTIES[[#This Row],[COUNTRY]],COUNTRIES[COUNTRY_DESCRIPTION],COUNTRIES[COUNTRY_LABEL],"")</f>
        <v/>
      </c>
      <c r="H663" t="str" cm="1">
        <f t="array" ref="H6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3" t="s">
        <v>3666</v>
      </c>
      <c r="J663">
        <v>26</v>
      </c>
      <c r="K663">
        <v>5</v>
      </c>
      <c r="L663">
        <v>0</v>
      </c>
      <c r="M663" t="str" cm="1">
        <f t="array" ref="M6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3">
        <f>_xlfn.XLOOKUP("LOADINGSPEEDDEF_"&amp;PROPERTIES[[#This Row],[LOADINGSPEED]],LOADINGSPEEDDEF[TYPE],LOADINGSPEEDDEF[SPEED])</f>
        <v>20</v>
      </c>
      <c r="O663" cm="1">
        <f t="array" ref="O6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3">
        <f>IF(ISNUMBER(SEARCH("passenger",PROPERTIES[[#This Row],[CARGODEF]])),1,0)</f>
        <v>0</v>
      </c>
      <c r="Q663" s="23">
        <v>11</v>
      </c>
      <c r="R663">
        <v>0</v>
      </c>
      <c r="S663">
        <v>0</v>
      </c>
      <c r="T663">
        <v>0</v>
      </c>
      <c r="U663">
        <v>0</v>
      </c>
      <c r="V663">
        <v>70</v>
      </c>
      <c r="W663">
        <v>0</v>
      </c>
      <c r="X663">
        <v>0</v>
      </c>
      <c r="Y663">
        <v>0</v>
      </c>
      <c r="Z663" s="20">
        <v>0</v>
      </c>
      <c r="AA663" s="19">
        <f>IFERROR(PROPERTIES[[#This Row],[TE_STARTING_KN]]/(PROPERTIES[[#This Row],[WEIGHT]]*9.81),0)</f>
        <v>0</v>
      </c>
      <c r="AB663" s="19">
        <v>0.3</v>
      </c>
      <c r="AC663" s="16">
        <f>ROUND(IF(IFERROR(PROPERTIES[[#This Row],[TE_COEFFICIENT_CALC]],0)=0,PROPERTIES[[#This Row],[TE_COEFFICIENT_MANUAL]],PROPERTIES[[#This Row],[TE_COEFFICIENT_CALC]]),3)</f>
        <v>0.3</v>
      </c>
      <c r="AD663" s="8" cm="1">
        <f t="array" ref="AD6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3" s="26">
        <v>0</v>
      </c>
      <c r="AF663" s="6">
        <v>0</v>
      </c>
      <c r="AG663" t="s">
        <v>241</v>
      </c>
      <c r="AH663" t="s">
        <v>229</v>
      </c>
      <c r="AI663" t="s">
        <v>229</v>
      </c>
      <c r="AJ663" s="2" t="s">
        <v>229</v>
      </c>
      <c r="AK663" s="2" t="s">
        <v>244</v>
      </c>
      <c r="AL66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3" s="2" t="str">
        <f>SUBSTITUTE(SUBSTITUTE(PROPERTIES[[#This Row],[PURCHASECOST_VALUE]], "PURCHASECOST_", ""), "_VALUE", "")</f>
        <v>WAGON</v>
      </c>
      <c r="AO663" s="44" t="b">
        <v>0</v>
      </c>
      <c r="AP663" s="48" t="b">
        <v>0</v>
      </c>
      <c r="AQ663" s="48" t="b">
        <v>0</v>
      </c>
      <c r="AR663" s="48">
        <v>2</v>
      </c>
      <c r="AS663" s="48" t="b">
        <v>1</v>
      </c>
      <c r="AT663" s="7" t="b">
        <v>0</v>
      </c>
      <c r="AU663" s="40" t="str" cm="1">
        <f t="array" ref="AU663">_xlfn.XLOOKUP(PROPERTIES[[#This Row],[VEHIDCODE]],GRAPHICS_PROPERTIES[VEHIDCODE],GRAPHICS_PROPERTIES[TEMPLATE_ID]&amp;GRAPHICS_PROPERTIES[TEMPLATE_AMENDMENT_CODE])</f>
        <v>TPL_04B</v>
      </c>
    </row>
    <row r="664" spans="1:47" x14ac:dyDescent="0.35">
      <c r="A664" s="2" t="s">
        <v>158</v>
      </c>
      <c r="B664">
        <v>1900</v>
      </c>
      <c r="D664" cm="1">
        <f t="array" ref="D6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4" s="40" t="str">
        <f>_xlfn.XLOOKUP(PROPERTIES[[#This Row],[VEHIDCODE]],CONTROL[VEHIDCODE],CONTROL[ENGLISH])</f>
        <v>2nd Gen Silo</v>
      </c>
      <c r="G664" s="40" t="str">
        <f>_xlfn.XLOOKUP(PROPERTIES[[#This Row],[COUNTRY]],COUNTRIES[COUNTRY_DESCRIPTION],COUNTRIES[COUNTRY_LABEL],"")</f>
        <v/>
      </c>
      <c r="H664" t="str" cm="1">
        <f t="array" ref="H6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4" t="s">
        <v>33</v>
      </c>
      <c r="J664">
        <v>25</v>
      </c>
      <c r="K664">
        <v>5</v>
      </c>
      <c r="L664">
        <v>0</v>
      </c>
      <c r="M664" t="str" cm="1">
        <f t="array" ref="M6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4">
        <f>_xlfn.XLOOKUP("LOADINGSPEEDDEF_"&amp;PROPERTIES[[#This Row],[LOADINGSPEED]],LOADINGSPEEDDEF[TYPE],LOADINGSPEEDDEF[SPEED])</f>
        <v>20</v>
      </c>
      <c r="O664" cm="1">
        <f t="array" ref="O6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4">
        <f>IF(ISNUMBER(SEARCH("passenger",PROPERTIES[[#This Row],[CARGODEF]])),1,0)</f>
        <v>0</v>
      </c>
      <c r="Q664" s="23">
        <v>14</v>
      </c>
      <c r="R664">
        <v>0</v>
      </c>
      <c r="S664">
        <v>0</v>
      </c>
      <c r="T664">
        <v>0</v>
      </c>
      <c r="U664">
        <v>0</v>
      </c>
      <c r="V664">
        <v>70</v>
      </c>
      <c r="W664">
        <v>0</v>
      </c>
      <c r="X664">
        <v>0</v>
      </c>
      <c r="Y664">
        <v>0</v>
      </c>
      <c r="Z664" s="20">
        <v>0</v>
      </c>
      <c r="AA664" s="19">
        <f>IFERROR(PROPERTIES[[#This Row],[TE_STARTING_KN]]/(PROPERTIES[[#This Row],[WEIGHT]]*9.81),0)</f>
        <v>0</v>
      </c>
      <c r="AB664" s="19">
        <v>0.3</v>
      </c>
      <c r="AC664" s="16">
        <f>ROUND(IF(IFERROR(PROPERTIES[[#This Row],[TE_COEFFICIENT_CALC]],0)=0,PROPERTIES[[#This Row],[TE_COEFFICIENT_MANUAL]],PROPERTIES[[#This Row],[TE_COEFFICIENT_CALC]]),3)</f>
        <v>0.3</v>
      </c>
      <c r="AD664" s="8" cm="1">
        <f t="array" ref="AD6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4" s="26">
        <v>0</v>
      </c>
      <c r="AF664" s="6">
        <v>0</v>
      </c>
      <c r="AG664" t="s">
        <v>241</v>
      </c>
      <c r="AH664" t="s">
        <v>229</v>
      </c>
      <c r="AI664" t="s">
        <v>229</v>
      </c>
      <c r="AJ664" s="2" t="s">
        <v>229</v>
      </c>
      <c r="AK664" s="2" t="s">
        <v>244</v>
      </c>
      <c r="AL66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4" s="2" t="str">
        <f>SUBSTITUTE(SUBSTITUTE(PROPERTIES[[#This Row],[PURCHASECOST_VALUE]], "PURCHASECOST_", ""), "_VALUE", "")</f>
        <v>WAGON</v>
      </c>
      <c r="AO664" s="44" t="b">
        <v>0</v>
      </c>
      <c r="AP664" s="48" t="b">
        <v>0</v>
      </c>
      <c r="AQ664" s="48" t="b">
        <v>0</v>
      </c>
      <c r="AR664" s="48">
        <v>2</v>
      </c>
      <c r="AS664" s="48" t="b">
        <v>0</v>
      </c>
      <c r="AT664" s="7" t="b">
        <v>0</v>
      </c>
      <c r="AU664" s="40" t="str" cm="1">
        <f t="array" ref="AU664">_xlfn.XLOOKUP(PROPERTIES[[#This Row],[VEHIDCODE]],GRAPHICS_PROPERTIES[VEHIDCODE],GRAPHICS_PROPERTIES[TEMPLATE_ID]&amp;GRAPHICS_PROPERTIES[TEMPLATE_AMENDMENT_CODE])</f>
        <v>TPL_04B</v>
      </c>
    </row>
    <row r="665" spans="1:47" x14ac:dyDescent="0.35">
      <c r="A665" s="2" t="s">
        <v>159</v>
      </c>
      <c r="B665">
        <v>1890</v>
      </c>
      <c r="D665" cm="1">
        <f t="array" ref="D6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5" s="40" t="str">
        <f>_xlfn.XLOOKUP(PROPERTIES[[#This Row],[VEHIDCODE]],CONTROL[VEHIDCODE],CONTROL[ENGLISH])</f>
        <v>2nd Gen Wooden Hopper</v>
      </c>
      <c r="G665" s="40" t="str">
        <f>_xlfn.XLOOKUP(PROPERTIES[[#This Row],[COUNTRY]],COUNTRIES[COUNTRY_DESCRIPTION],COUNTRIES[COUNTRY_LABEL],"")</f>
        <v/>
      </c>
      <c r="H665" t="str" cm="1">
        <f t="array" ref="H6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5" t="s">
        <v>32</v>
      </c>
      <c r="J665">
        <v>30</v>
      </c>
      <c r="K665">
        <v>5</v>
      </c>
      <c r="L665">
        <v>0</v>
      </c>
      <c r="M665" t="str" cm="1">
        <f t="array" ref="M6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5">
        <f>_xlfn.XLOOKUP("LOADINGSPEEDDEF_"&amp;PROPERTIES[[#This Row],[LOADINGSPEED]],LOADINGSPEEDDEF[TYPE],LOADINGSPEEDDEF[SPEED])</f>
        <v>20</v>
      </c>
      <c r="O665" cm="1">
        <f t="array" ref="O6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5">
        <f>IF(ISNUMBER(SEARCH("passenger",PROPERTIES[[#This Row],[CARGODEF]])),1,0)</f>
        <v>0</v>
      </c>
      <c r="Q665" s="23">
        <v>12</v>
      </c>
      <c r="R665">
        <v>0</v>
      </c>
      <c r="S665">
        <v>0</v>
      </c>
      <c r="T665">
        <v>0</v>
      </c>
      <c r="U665">
        <v>0</v>
      </c>
      <c r="V665">
        <v>70</v>
      </c>
      <c r="W665">
        <v>0</v>
      </c>
      <c r="X665">
        <v>0</v>
      </c>
      <c r="Y665">
        <v>0</v>
      </c>
      <c r="Z665" s="20">
        <v>0</v>
      </c>
      <c r="AA665" s="19">
        <f>IFERROR(PROPERTIES[[#This Row],[TE_STARTING_KN]]/(PROPERTIES[[#This Row],[WEIGHT]]*9.81),0)</f>
        <v>0</v>
      </c>
      <c r="AB665" s="19">
        <v>0.3</v>
      </c>
      <c r="AC665" s="16">
        <f>ROUND(IF(IFERROR(PROPERTIES[[#This Row],[TE_COEFFICIENT_CALC]],0)=0,PROPERTIES[[#This Row],[TE_COEFFICIENT_MANUAL]],PROPERTIES[[#This Row],[TE_COEFFICIENT_CALC]]),3)</f>
        <v>0.3</v>
      </c>
      <c r="AD665" s="8" cm="1">
        <f t="array" ref="AD6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5" s="26">
        <v>0</v>
      </c>
      <c r="AF665" s="6">
        <v>0</v>
      </c>
      <c r="AG665" t="s">
        <v>241</v>
      </c>
      <c r="AH665" t="s">
        <v>229</v>
      </c>
      <c r="AI665" t="s">
        <v>229</v>
      </c>
      <c r="AJ665" s="2" t="s">
        <v>229</v>
      </c>
      <c r="AK665" s="2" t="s">
        <v>244</v>
      </c>
      <c r="AL66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5" s="2" t="str">
        <f>SUBSTITUTE(SUBSTITUTE(PROPERTIES[[#This Row],[PURCHASECOST_VALUE]], "PURCHASECOST_", ""), "_VALUE", "")</f>
        <v>WAGON</v>
      </c>
      <c r="AO665" s="44" t="b">
        <v>0</v>
      </c>
      <c r="AP665" s="48" t="b">
        <v>0</v>
      </c>
      <c r="AQ665" s="48" t="b">
        <v>0</v>
      </c>
      <c r="AR665" s="48">
        <v>2</v>
      </c>
      <c r="AS665" s="48" t="b">
        <v>0</v>
      </c>
      <c r="AT665" s="7" t="b">
        <v>0</v>
      </c>
      <c r="AU665" s="40" t="str" cm="1">
        <f t="array" ref="AU665">_xlfn.XLOOKUP(PROPERTIES[[#This Row],[VEHIDCODE]],GRAPHICS_PROPERTIES[VEHIDCODE],GRAPHICS_PROPERTIES[TEMPLATE_ID]&amp;GRAPHICS_PROPERTIES[TEMPLATE_AMENDMENT_CODE])</f>
        <v>TPL_04B</v>
      </c>
    </row>
    <row r="666" spans="1:47" x14ac:dyDescent="0.35">
      <c r="A666" s="2" t="s">
        <v>160</v>
      </c>
      <c r="B666">
        <v>1930</v>
      </c>
      <c r="D666" cm="1">
        <f t="array" ref="D6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6" s="40" t="str">
        <f>_xlfn.XLOOKUP(PROPERTIES[[#This Row],[VEHIDCODE]],CONTROL[VEHIDCODE],CONTROL[ENGLISH])</f>
        <v>3rd Gen Flat Wagon</v>
      </c>
      <c r="G666" s="40" t="str">
        <f>_xlfn.XLOOKUP(PROPERTIES[[#This Row],[COUNTRY]],COUNTRIES[COUNTRY_DESCRIPTION],COUNTRIES[COUNTRY_LABEL],"")</f>
        <v/>
      </c>
      <c r="H666" t="str" cm="1">
        <f t="array" ref="H6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6" t="s">
        <v>29</v>
      </c>
      <c r="J666">
        <v>40</v>
      </c>
      <c r="K666">
        <v>6</v>
      </c>
      <c r="L666">
        <v>0</v>
      </c>
      <c r="M666" t="str" cm="1">
        <f t="array" ref="M6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6">
        <f>_xlfn.XLOOKUP("LOADINGSPEEDDEF_"&amp;PROPERTIES[[#This Row],[LOADINGSPEED]],LOADINGSPEEDDEF[TYPE],LOADINGSPEEDDEF[SPEED])</f>
        <v>20</v>
      </c>
      <c r="O666" cm="1">
        <f t="array" ref="O6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6">
        <f>IF(ISNUMBER(SEARCH("passenger",PROPERTIES[[#This Row],[CARGODEF]])),1,0)</f>
        <v>0</v>
      </c>
      <c r="Q666" s="23">
        <v>21</v>
      </c>
      <c r="R666">
        <v>0</v>
      </c>
      <c r="S666">
        <v>0</v>
      </c>
      <c r="T666">
        <v>0</v>
      </c>
      <c r="U666">
        <v>0</v>
      </c>
      <c r="V666">
        <v>80</v>
      </c>
      <c r="W666">
        <v>0</v>
      </c>
      <c r="X666">
        <v>0</v>
      </c>
      <c r="Y666">
        <v>0</v>
      </c>
      <c r="Z666" s="20">
        <v>0</v>
      </c>
      <c r="AA666" s="19">
        <f>IFERROR(PROPERTIES[[#This Row],[TE_STARTING_KN]]/(PROPERTIES[[#This Row],[WEIGHT]]*9.81),0)</f>
        <v>0</v>
      </c>
      <c r="AB666" s="19">
        <v>0.3</v>
      </c>
      <c r="AC666" s="16">
        <f>ROUND(IF(IFERROR(PROPERTIES[[#This Row],[TE_COEFFICIENT_CALC]],0)=0,PROPERTIES[[#This Row],[TE_COEFFICIENT_MANUAL]],PROPERTIES[[#This Row],[TE_COEFFICIENT_CALC]]),3)</f>
        <v>0.3</v>
      </c>
      <c r="AD666" s="8" cm="1">
        <f t="array" ref="AD6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6" s="26">
        <v>0</v>
      </c>
      <c r="AF666" s="6">
        <v>0</v>
      </c>
      <c r="AG666" t="s">
        <v>241</v>
      </c>
      <c r="AH666" t="s">
        <v>229</v>
      </c>
      <c r="AI666" t="s">
        <v>229</v>
      </c>
      <c r="AJ666" s="2" t="s">
        <v>229</v>
      </c>
      <c r="AK666" s="2" t="s">
        <v>244</v>
      </c>
      <c r="AL66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6" s="2" t="str">
        <f>SUBSTITUTE(SUBSTITUTE(PROPERTIES[[#This Row],[PURCHASECOST_VALUE]], "PURCHASECOST_", ""), "_VALUE", "")</f>
        <v>WAGON</v>
      </c>
      <c r="AO666" s="44" t="b">
        <v>0</v>
      </c>
      <c r="AP666" s="48" t="b">
        <v>0</v>
      </c>
      <c r="AQ666" s="48" t="b">
        <v>0</v>
      </c>
      <c r="AR666" s="48">
        <v>2</v>
      </c>
      <c r="AS666" s="48" t="b">
        <v>0</v>
      </c>
      <c r="AT666" s="7" t="b">
        <v>0</v>
      </c>
      <c r="AU666" s="40" t="str" cm="1">
        <f t="array" ref="AU666">_xlfn.XLOOKUP(PROPERTIES[[#This Row],[VEHIDCODE]],GRAPHICS_PROPERTIES[VEHIDCODE],GRAPHICS_PROPERTIES[TEMPLATE_ID]&amp;GRAPHICS_PROPERTIES[TEMPLATE_AMENDMENT_CODE])</f>
        <v>TPL_04B</v>
      </c>
    </row>
    <row r="667" spans="1:47" x14ac:dyDescent="0.35">
      <c r="A667" s="2" t="s">
        <v>161</v>
      </c>
      <c r="B667">
        <v>1920</v>
      </c>
      <c r="D667" cm="1">
        <f t="array" ref="D6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7" s="40" t="str">
        <f>_xlfn.XLOOKUP(PROPERTIES[[#This Row],[VEHIDCODE]],CONTROL[VEHIDCODE],CONTROL[ENGLISH])</f>
        <v>3rd Gen Wooden Boxcar [Food]</v>
      </c>
      <c r="G667" s="40" t="str">
        <f>_xlfn.XLOOKUP(PROPERTIES[[#This Row],[COUNTRY]],COUNTRIES[COUNTRY_DESCRIPTION],COUNTRIES[COUNTRY_LABEL],"")</f>
        <v/>
      </c>
      <c r="H667" t="str" cm="1">
        <f t="array" ref="H6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7" t="s">
        <v>3672</v>
      </c>
      <c r="J667">
        <v>40</v>
      </c>
      <c r="K667">
        <v>6</v>
      </c>
      <c r="L667">
        <v>0</v>
      </c>
      <c r="M667" t="str" cm="1">
        <f t="array" ref="M6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7">
        <f>_xlfn.XLOOKUP("LOADINGSPEEDDEF_"&amp;PROPERTIES[[#This Row],[LOADINGSPEED]],LOADINGSPEEDDEF[TYPE],LOADINGSPEEDDEF[SPEED])</f>
        <v>20</v>
      </c>
      <c r="O667" cm="1">
        <f t="array" ref="O6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7">
        <f>IF(ISNUMBER(SEARCH("passenger",PROPERTIES[[#This Row],[CARGODEF]])),1,0)</f>
        <v>0</v>
      </c>
      <c r="Q667" s="23">
        <v>23</v>
      </c>
      <c r="R667">
        <v>0</v>
      </c>
      <c r="S667">
        <v>0</v>
      </c>
      <c r="T667">
        <v>0</v>
      </c>
      <c r="U667">
        <v>0</v>
      </c>
      <c r="V667">
        <v>100</v>
      </c>
      <c r="W667">
        <v>0</v>
      </c>
      <c r="X667">
        <v>0</v>
      </c>
      <c r="Y667">
        <v>0</v>
      </c>
      <c r="Z667" s="20">
        <v>0</v>
      </c>
      <c r="AA667" s="19">
        <f>IFERROR(PROPERTIES[[#This Row],[TE_STARTING_KN]]/(PROPERTIES[[#This Row],[WEIGHT]]*9.81),0)</f>
        <v>0</v>
      </c>
      <c r="AB667" s="19">
        <v>0.3</v>
      </c>
      <c r="AC667" s="16">
        <f>ROUND(IF(IFERROR(PROPERTIES[[#This Row],[TE_COEFFICIENT_CALC]],0)=0,PROPERTIES[[#This Row],[TE_COEFFICIENT_MANUAL]],PROPERTIES[[#This Row],[TE_COEFFICIENT_CALC]]),3)</f>
        <v>0.3</v>
      </c>
      <c r="AD667" s="8" cm="1">
        <f t="array" ref="AD6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7" s="26">
        <v>0</v>
      </c>
      <c r="AF667" s="6">
        <v>0</v>
      </c>
      <c r="AG667" t="s">
        <v>241</v>
      </c>
      <c r="AH667" t="s">
        <v>229</v>
      </c>
      <c r="AI667" t="s">
        <v>229</v>
      </c>
      <c r="AJ667" s="2" t="s">
        <v>229</v>
      </c>
      <c r="AK667" s="2" t="s">
        <v>244</v>
      </c>
      <c r="AL66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7" s="2" t="str">
        <f>SUBSTITUTE(SUBSTITUTE(PROPERTIES[[#This Row],[PURCHASECOST_VALUE]], "PURCHASECOST_", ""), "_VALUE", "")</f>
        <v>WAGON</v>
      </c>
      <c r="AO667" s="44" t="b">
        <v>0</v>
      </c>
      <c r="AP667" s="48" t="b">
        <v>0</v>
      </c>
      <c r="AQ667" s="48" t="b">
        <v>0</v>
      </c>
      <c r="AR667" s="48">
        <v>2</v>
      </c>
      <c r="AS667" s="48" t="b">
        <v>0</v>
      </c>
      <c r="AT667" s="7" t="b">
        <v>0</v>
      </c>
      <c r="AU667" s="40" t="str" cm="1">
        <f t="array" ref="AU667">_xlfn.XLOOKUP(PROPERTIES[[#This Row],[VEHIDCODE]],GRAPHICS_PROPERTIES[VEHIDCODE],GRAPHICS_PROPERTIES[TEMPLATE_ID]&amp;GRAPHICS_PROPERTIES[TEMPLATE_AMENDMENT_CODE])</f>
        <v>TPL_04B</v>
      </c>
    </row>
    <row r="668" spans="1:47" x14ac:dyDescent="0.35">
      <c r="A668" s="2" t="s">
        <v>162</v>
      </c>
      <c r="B668">
        <v>1920</v>
      </c>
      <c r="D668" cm="1">
        <f t="array" ref="D6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8" s="40" t="str">
        <f>_xlfn.XLOOKUP(PROPERTIES[[#This Row],[VEHIDCODE]],CONTROL[VEHIDCODE],CONTROL[ENGLISH])</f>
        <v>3rd Gen Wooden Boxcar [Non-Food]</v>
      </c>
      <c r="G668" s="40" t="str">
        <f>_xlfn.XLOOKUP(PROPERTIES[[#This Row],[COUNTRY]],COUNTRIES[COUNTRY_DESCRIPTION],COUNTRIES[COUNTRY_LABEL],"")</f>
        <v/>
      </c>
      <c r="H668" t="str" cm="1">
        <f t="array" ref="H6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8" t="s">
        <v>3671</v>
      </c>
      <c r="J668">
        <v>40</v>
      </c>
      <c r="K668">
        <v>6</v>
      </c>
      <c r="L668">
        <v>0</v>
      </c>
      <c r="M668" t="str" cm="1">
        <f t="array" ref="M6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8">
        <f>_xlfn.XLOOKUP("LOADINGSPEEDDEF_"&amp;PROPERTIES[[#This Row],[LOADINGSPEED]],LOADINGSPEEDDEF[TYPE],LOADINGSPEEDDEF[SPEED])</f>
        <v>20</v>
      </c>
      <c r="O668" cm="1">
        <f t="array" ref="O6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8">
        <f>IF(ISNUMBER(SEARCH("passenger",PROPERTIES[[#This Row],[CARGODEF]])),1,0)</f>
        <v>0</v>
      </c>
      <c r="Q668" s="23">
        <v>23</v>
      </c>
      <c r="R668">
        <v>0</v>
      </c>
      <c r="S668">
        <v>0</v>
      </c>
      <c r="T668">
        <v>0</v>
      </c>
      <c r="U668">
        <v>0</v>
      </c>
      <c r="V668">
        <v>100</v>
      </c>
      <c r="W668">
        <v>0</v>
      </c>
      <c r="X668">
        <v>0</v>
      </c>
      <c r="Y668">
        <v>0</v>
      </c>
      <c r="Z668" s="20">
        <v>0</v>
      </c>
      <c r="AA668" s="19">
        <f>IFERROR(PROPERTIES[[#This Row],[TE_STARTING_KN]]/(PROPERTIES[[#This Row],[WEIGHT]]*9.81),0)</f>
        <v>0</v>
      </c>
      <c r="AB668" s="19">
        <v>0.3</v>
      </c>
      <c r="AC668" s="16">
        <f>ROUND(IF(IFERROR(PROPERTIES[[#This Row],[TE_COEFFICIENT_CALC]],0)=0,PROPERTIES[[#This Row],[TE_COEFFICIENT_MANUAL]],PROPERTIES[[#This Row],[TE_COEFFICIENT_CALC]]),3)</f>
        <v>0.3</v>
      </c>
      <c r="AD668" s="8" cm="1">
        <f t="array" ref="AD6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8" s="26">
        <v>0</v>
      </c>
      <c r="AF668" s="6">
        <v>0</v>
      </c>
      <c r="AG668" t="s">
        <v>241</v>
      </c>
      <c r="AH668" t="s">
        <v>229</v>
      </c>
      <c r="AI668" t="s">
        <v>229</v>
      </c>
      <c r="AJ668" s="2" t="s">
        <v>229</v>
      </c>
      <c r="AK668" s="2" t="s">
        <v>244</v>
      </c>
      <c r="AL66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8" s="2" t="str">
        <f>SUBSTITUTE(SUBSTITUTE(PROPERTIES[[#This Row],[PURCHASECOST_VALUE]], "PURCHASECOST_", ""), "_VALUE", "")</f>
        <v>WAGON</v>
      </c>
      <c r="AO668" s="44" t="b">
        <v>0</v>
      </c>
      <c r="AP668" s="48" t="b">
        <v>0</v>
      </c>
      <c r="AQ668" s="48" t="b">
        <v>0</v>
      </c>
      <c r="AR668" s="48">
        <v>2</v>
      </c>
      <c r="AS668" s="48" t="b">
        <v>0</v>
      </c>
      <c r="AT668" s="7" t="b">
        <v>0</v>
      </c>
      <c r="AU668" s="40" t="str" cm="1">
        <f t="array" ref="AU668">_xlfn.XLOOKUP(PROPERTIES[[#This Row],[VEHIDCODE]],GRAPHICS_PROPERTIES[VEHIDCODE],GRAPHICS_PROPERTIES[TEMPLATE_ID]&amp;GRAPHICS_PROPERTIES[TEMPLATE_AMENDMENT_CODE])</f>
        <v>TPL_04B</v>
      </c>
    </row>
    <row r="669" spans="1:47" x14ac:dyDescent="0.35">
      <c r="A669" s="2" t="s">
        <v>163</v>
      </c>
      <c r="B669">
        <v>1930</v>
      </c>
      <c r="D669" cm="1">
        <f t="array" ref="D6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9" s="40" t="str">
        <f>_xlfn.XLOOKUP(PROPERTIES[[#This Row],[VEHIDCODE]],CONTROL[VEHIDCODE],CONTROL[ENGLISH])</f>
        <v>3rd Gen Tanker</v>
      </c>
      <c r="G669" s="40" t="str">
        <f>_xlfn.XLOOKUP(PROPERTIES[[#This Row],[COUNTRY]],COUNTRIES[COUNTRY_DESCRIPTION],COUNTRIES[COUNTRY_LABEL],"")</f>
        <v/>
      </c>
      <c r="H669" t="str" cm="1">
        <f t="array" ref="H6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9" t="s">
        <v>35</v>
      </c>
      <c r="J669">
        <v>35</v>
      </c>
      <c r="K669">
        <v>6</v>
      </c>
      <c r="L669">
        <v>0</v>
      </c>
      <c r="M669" t="str" cm="1">
        <f t="array" ref="M6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9">
        <f>_xlfn.XLOOKUP("LOADINGSPEEDDEF_"&amp;PROPERTIES[[#This Row],[LOADINGSPEED]],LOADINGSPEEDDEF[TYPE],LOADINGSPEEDDEF[SPEED])</f>
        <v>20</v>
      </c>
      <c r="O669" cm="1">
        <f t="array" ref="O6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9">
        <f>IF(ISNUMBER(SEARCH("passenger",PROPERTIES[[#This Row],[CARGODEF]])),1,0)</f>
        <v>0</v>
      </c>
      <c r="Q669" s="23">
        <v>20</v>
      </c>
      <c r="R669">
        <v>0</v>
      </c>
      <c r="S669">
        <v>0</v>
      </c>
      <c r="T669">
        <v>0</v>
      </c>
      <c r="U669">
        <v>0</v>
      </c>
      <c r="V669">
        <v>80</v>
      </c>
      <c r="W669">
        <v>0</v>
      </c>
      <c r="X669">
        <v>0</v>
      </c>
      <c r="Y669">
        <v>0</v>
      </c>
      <c r="Z669" s="20">
        <v>0</v>
      </c>
      <c r="AA669" s="19">
        <f>IFERROR(PROPERTIES[[#This Row],[TE_STARTING_KN]]/(PROPERTIES[[#This Row],[WEIGHT]]*9.81),0)</f>
        <v>0</v>
      </c>
      <c r="AB669" s="19">
        <v>0.3</v>
      </c>
      <c r="AC669" s="16">
        <f>ROUND(IF(IFERROR(PROPERTIES[[#This Row],[TE_COEFFICIENT_CALC]],0)=0,PROPERTIES[[#This Row],[TE_COEFFICIENT_MANUAL]],PROPERTIES[[#This Row],[TE_COEFFICIENT_CALC]]),3)</f>
        <v>0.3</v>
      </c>
      <c r="AD669" s="8" cm="1">
        <f t="array" ref="AD6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9" s="26">
        <v>0</v>
      </c>
      <c r="AF669" s="6">
        <v>0</v>
      </c>
      <c r="AG669" t="s">
        <v>241</v>
      </c>
      <c r="AH669" t="s">
        <v>229</v>
      </c>
      <c r="AI669" t="s">
        <v>229</v>
      </c>
      <c r="AJ669" s="2" t="s">
        <v>229</v>
      </c>
      <c r="AK669" s="2" t="s">
        <v>244</v>
      </c>
      <c r="AL66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9" s="2" t="str">
        <f>SUBSTITUTE(SUBSTITUTE(PROPERTIES[[#This Row],[PURCHASECOST_VALUE]], "PURCHASECOST_", ""), "_VALUE", "")</f>
        <v>WAGON</v>
      </c>
      <c r="AO669" s="44" t="b">
        <v>0</v>
      </c>
      <c r="AP669" s="48" t="b">
        <v>0</v>
      </c>
      <c r="AQ669" s="48" t="b">
        <v>0</v>
      </c>
      <c r="AR669" s="48">
        <v>2</v>
      </c>
      <c r="AS669" s="48" t="b">
        <v>0</v>
      </c>
      <c r="AT669" s="7" t="b">
        <v>0</v>
      </c>
      <c r="AU669" s="40" t="str" cm="1">
        <f t="array" ref="AU669">_xlfn.XLOOKUP(PROPERTIES[[#This Row],[VEHIDCODE]],GRAPHICS_PROPERTIES[VEHIDCODE],GRAPHICS_PROPERTIES[TEMPLATE_ID]&amp;GRAPHICS_PROPERTIES[TEMPLATE_AMENDMENT_CODE])</f>
        <v>TPL_04B</v>
      </c>
    </row>
    <row r="670" spans="1:47" x14ac:dyDescent="0.35">
      <c r="A670" s="2" t="s">
        <v>164</v>
      </c>
      <c r="B670">
        <v>1920</v>
      </c>
      <c r="D670" cm="1">
        <f t="array" ref="D6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0" s="40" t="str">
        <f>_xlfn.XLOOKUP(PROPERTIES[[#This Row],[VEHIDCODE]],CONTROL[VEHIDCODE],CONTROL[ENGLISH])</f>
        <v>3rd Gen Open Wagon</v>
      </c>
      <c r="G670" s="40" t="str">
        <f>_xlfn.XLOOKUP(PROPERTIES[[#This Row],[COUNTRY]],COUNTRIES[COUNTRY_DESCRIPTION],COUNTRIES[COUNTRY_LABEL],"")</f>
        <v/>
      </c>
      <c r="H670" t="str" cm="1">
        <f t="array" ref="H6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0" t="s">
        <v>3666</v>
      </c>
      <c r="J670">
        <v>35</v>
      </c>
      <c r="K670">
        <v>6</v>
      </c>
      <c r="L670">
        <v>0</v>
      </c>
      <c r="M670" t="str" cm="1">
        <f t="array" ref="M6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0">
        <f>_xlfn.XLOOKUP("LOADINGSPEEDDEF_"&amp;PROPERTIES[[#This Row],[LOADINGSPEED]],LOADINGSPEEDDEF[TYPE],LOADINGSPEEDDEF[SPEED])</f>
        <v>20</v>
      </c>
      <c r="O670" cm="1">
        <f t="array" ref="O6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0">
        <f>IF(ISNUMBER(SEARCH("passenger",PROPERTIES[[#This Row],[CARGODEF]])),1,0)</f>
        <v>0</v>
      </c>
      <c r="Q670" s="23">
        <v>22</v>
      </c>
      <c r="R670">
        <v>0</v>
      </c>
      <c r="S670">
        <v>0</v>
      </c>
      <c r="T670">
        <v>0</v>
      </c>
      <c r="U670">
        <v>0</v>
      </c>
      <c r="V670">
        <v>80</v>
      </c>
      <c r="W670">
        <v>0</v>
      </c>
      <c r="X670">
        <v>0</v>
      </c>
      <c r="Y670">
        <v>0</v>
      </c>
      <c r="Z670" s="20">
        <v>0</v>
      </c>
      <c r="AA670" s="19">
        <f>IFERROR(PROPERTIES[[#This Row],[TE_STARTING_KN]]/(PROPERTIES[[#This Row],[WEIGHT]]*9.81),0)</f>
        <v>0</v>
      </c>
      <c r="AB670" s="19">
        <v>0.3</v>
      </c>
      <c r="AC670" s="16">
        <f>ROUND(IF(IFERROR(PROPERTIES[[#This Row],[TE_COEFFICIENT_CALC]],0)=0,PROPERTIES[[#This Row],[TE_COEFFICIENT_MANUAL]],PROPERTIES[[#This Row],[TE_COEFFICIENT_CALC]]),3)</f>
        <v>0.3</v>
      </c>
      <c r="AD670" s="8" cm="1">
        <f t="array" ref="AD6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0" s="26">
        <v>0</v>
      </c>
      <c r="AF670" s="6">
        <v>0</v>
      </c>
      <c r="AG670" t="s">
        <v>241</v>
      </c>
      <c r="AH670" t="s">
        <v>229</v>
      </c>
      <c r="AI670" t="s">
        <v>229</v>
      </c>
      <c r="AJ670" s="2" t="s">
        <v>229</v>
      </c>
      <c r="AK670" s="2" t="s">
        <v>244</v>
      </c>
      <c r="AL67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0" s="2" t="str">
        <f>SUBSTITUTE(SUBSTITUTE(PROPERTIES[[#This Row],[PURCHASECOST_VALUE]], "PURCHASECOST_", ""), "_VALUE", "")</f>
        <v>WAGON</v>
      </c>
      <c r="AO670" s="44" t="b">
        <v>0</v>
      </c>
      <c r="AP670" s="48" t="b">
        <v>0</v>
      </c>
      <c r="AQ670" s="48" t="b">
        <v>0</v>
      </c>
      <c r="AR670" s="48">
        <v>2</v>
      </c>
      <c r="AS670" s="48" t="b">
        <v>1</v>
      </c>
      <c r="AT670" s="7" t="b">
        <v>0</v>
      </c>
      <c r="AU670" s="40" t="str" cm="1">
        <f t="array" ref="AU670">_xlfn.XLOOKUP(PROPERTIES[[#This Row],[VEHIDCODE]],GRAPHICS_PROPERTIES[VEHIDCODE],GRAPHICS_PROPERTIES[TEMPLATE_ID]&amp;GRAPHICS_PROPERTIES[TEMPLATE_AMENDMENT_CODE])</f>
        <v>TPL_04B</v>
      </c>
    </row>
    <row r="671" spans="1:47" x14ac:dyDescent="0.35">
      <c r="A671" s="2" t="s">
        <v>165</v>
      </c>
      <c r="B671">
        <v>1930</v>
      </c>
      <c r="D671" cm="1">
        <f t="array" ref="D6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1" s="40" t="str">
        <f>_xlfn.XLOOKUP(PROPERTIES[[#This Row],[VEHIDCODE]],CONTROL[VEHIDCODE],CONTROL[ENGLISH])</f>
        <v>3rd Gen Silo [Food]</v>
      </c>
      <c r="G671" s="40" t="str">
        <f>_xlfn.XLOOKUP(PROPERTIES[[#This Row],[COUNTRY]],COUNTRIES[COUNTRY_DESCRIPTION],COUNTRIES[COUNTRY_LABEL],"")</f>
        <v/>
      </c>
      <c r="H671" t="str" cm="1">
        <f t="array" ref="H6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1" t="s">
        <v>3669</v>
      </c>
      <c r="J671">
        <v>40</v>
      </c>
      <c r="K671">
        <v>6</v>
      </c>
      <c r="L671">
        <v>0</v>
      </c>
      <c r="M671" t="str" cm="1">
        <f t="array" ref="M6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1">
        <f>_xlfn.XLOOKUP("LOADINGSPEEDDEF_"&amp;PROPERTIES[[#This Row],[LOADINGSPEED]],LOADINGSPEEDDEF[TYPE],LOADINGSPEEDDEF[SPEED])</f>
        <v>20</v>
      </c>
      <c r="O671" cm="1">
        <f t="array" ref="O6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1">
        <f>IF(ISNUMBER(SEARCH("passenger",PROPERTIES[[#This Row],[CARGODEF]])),1,0)</f>
        <v>0</v>
      </c>
      <c r="Q671" s="23">
        <v>23</v>
      </c>
      <c r="R671">
        <v>0</v>
      </c>
      <c r="S671">
        <v>0</v>
      </c>
      <c r="T671">
        <v>0</v>
      </c>
      <c r="U671">
        <v>0</v>
      </c>
      <c r="V671">
        <v>80</v>
      </c>
      <c r="W671">
        <v>0</v>
      </c>
      <c r="X671">
        <v>0</v>
      </c>
      <c r="Y671">
        <v>0</v>
      </c>
      <c r="Z671" s="20">
        <v>0</v>
      </c>
      <c r="AA671" s="19">
        <f>IFERROR(PROPERTIES[[#This Row],[TE_STARTING_KN]]/(PROPERTIES[[#This Row],[WEIGHT]]*9.81),0)</f>
        <v>0</v>
      </c>
      <c r="AB671" s="19">
        <v>0.3</v>
      </c>
      <c r="AC671" s="16">
        <f>ROUND(IF(IFERROR(PROPERTIES[[#This Row],[TE_COEFFICIENT_CALC]],0)=0,PROPERTIES[[#This Row],[TE_COEFFICIENT_MANUAL]],PROPERTIES[[#This Row],[TE_COEFFICIENT_CALC]]),3)</f>
        <v>0.3</v>
      </c>
      <c r="AD671" s="8" cm="1">
        <f t="array" ref="AD6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1" s="26">
        <v>0</v>
      </c>
      <c r="AF671" s="6">
        <v>0</v>
      </c>
      <c r="AG671" t="s">
        <v>241</v>
      </c>
      <c r="AH671" t="s">
        <v>229</v>
      </c>
      <c r="AI671" t="s">
        <v>229</v>
      </c>
      <c r="AJ671" s="2" t="s">
        <v>229</v>
      </c>
      <c r="AK671" s="2" t="s">
        <v>244</v>
      </c>
      <c r="AL67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1" s="2" t="str">
        <f>SUBSTITUTE(SUBSTITUTE(PROPERTIES[[#This Row],[PURCHASECOST_VALUE]], "PURCHASECOST_", ""), "_VALUE", "")</f>
        <v>WAGON</v>
      </c>
      <c r="AO671" s="44" t="b">
        <v>0</v>
      </c>
      <c r="AP671" s="48" t="b">
        <v>0</v>
      </c>
      <c r="AQ671" s="48" t="b">
        <v>0</v>
      </c>
      <c r="AR671" s="48">
        <v>2</v>
      </c>
      <c r="AS671" s="48" t="b">
        <v>0</v>
      </c>
      <c r="AT671" s="7" t="b">
        <v>0</v>
      </c>
      <c r="AU671" s="40" t="str" cm="1">
        <f t="array" ref="AU671">_xlfn.XLOOKUP(PROPERTIES[[#This Row],[VEHIDCODE]],GRAPHICS_PROPERTIES[VEHIDCODE],GRAPHICS_PROPERTIES[TEMPLATE_ID]&amp;GRAPHICS_PROPERTIES[TEMPLATE_AMENDMENT_CODE])</f>
        <v>TPL_04B</v>
      </c>
    </row>
    <row r="672" spans="1:47" x14ac:dyDescent="0.35">
      <c r="A672" s="2" t="s">
        <v>166</v>
      </c>
      <c r="B672">
        <v>1930</v>
      </c>
      <c r="D672" cm="1">
        <f t="array" ref="D6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2" s="40" t="str">
        <f>_xlfn.XLOOKUP(PROPERTIES[[#This Row],[VEHIDCODE]],CONTROL[VEHIDCODE],CONTROL[ENGLISH])</f>
        <v>3rd Gen Silo [Non-Food]</v>
      </c>
      <c r="G672" s="40" t="str">
        <f>_xlfn.XLOOKUP(PROPERTIES[[#This Row],[COUNTRY]],COUNTRIES[COUNTRY_DESCRIPTION],COUNTRIES[COUNTRY_LABEL],"")</f>
        <v/>
      </c>
      <c r="H672" t="str" cm="1">
        <f t="array" ref="H6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2" t="s">
        <v>3670</v>
      </c>
      <c r="J672">
        <v>40</v>
      </c>
      <c r="K672">
        <v>6</v>
      </c>
      <c r="L672">
        <v>0</v>
      </c>
      <c r="M672" t="str" cm="1">
        <f t="array" ref="M6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2">
        <f>_xlfn.XLOOKUP("LOADINGSPEEDDEF_"&amp;PROPERTIES[[#This Row],[LOADINGSPEED]],LOADINGSPEEDDEF[TYPE],LOADINGSPEEDDEF[SPEED])</f>
        <v>20</v>
      </c>
      <c r="O672" cm="1">
        <f t="array" ref="O6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2">
        <f>IF(ISNUMBER(SEARCH("passenger",PROPERTIES[[#This Row],[CARGODEF]])),1,0)</f>
        <v>0</v>
      </c>
      <c r="Q672" s="23">
        <v>23</v>
      </c>
      <c r="R672">
        <v>0</v>
      </c>
      <c r="S672">
        <v>0</v>
      </c>
      <c r="T672">
        <v>0</v>
      </c>
      <c r="U672">
        <v>0</v>
      </c>
      <c r="V672">
        <v>80</v>
      </c>
      <c r="W672">
        <v>0</v>
      </c>
      <c r="X672">
        <v>0</v>
      </c>
      <c r="Y672">
        <v>0</v>
      </c>
      <c r="Z672" s="20">
        <v>0</v>
      </c>
      <c r="AA672" s="19">
        <f>IFERROR(PROPERTIES[[#This Row],[TE_STARTING_KN]]/(PROPERTIES[[#This Row],[WEIGHT]]*9.81),0)</f>
        <v>0</v>
      </c>
      <c r="AB672" s="19">
        <v>0.3</v>
      </c>
      <c r="AC672" s="16">
        <f>ROUND(IF(IFERROR(PROPERTIES[[#This Row],[TE_COEFFICIENT_CALC]],0)=0,PROPERTIES[[#This Row],[TE_COEFFICIENT_MANUAL]],PROPERTIES[[#This Row],[TE_COEFFICIENT_CALC]]),3)</f>
        <v>0.3</v>
      </c>
      <c r="AD672" s="8" cm="1">
        <f t="array" ref="AD6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2" s="26">
        <v>0</v>
      </c>
      <c r="AF672" s="6">
        <v>0</v>
      </c>
      <c r="AG672" t="s">
        <v>241</v>
      </c>
      <c r="AH672" t="s">
        <v>229</v>
      </c>
      <c r="AI672" t="s">
        <v>229</v>
      </c>
      <c r="AJ672" s="2" t="s">
        <v>229</v>
      </c>
      <c r="AK672" s="2" t="s">
        <v>244</v>
      </c>
      <c r="AL67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2" s="2" t="str">
        <f>SUBSTITUTE(SUBSTITUTE(PROPERTIES[[#This Row],[PURCHASECOST_VALUE]], "PURCHASECOST_", ""), "_VALUE", "")</f>
        <v>WAGON</v>
      </c>
      <c r="AO672" s="44" t="b">
        <v>0</v>
      </c>
      <c r="AP672" s="48" t="b">
        <v>0</v>
      </c>
      <c r="AQ672" s="48" t="b">
        <v>0</v>
      </c>
      <c r="AR672" s="48">
        <v>2</v>
      </c>
      <c r="AS672" s="48" t="b">
        <v>0</v>
      </c>
      <c r="AT672" s="7" t="b">
        <v>0</v>
      </c>
      <c r="AU672" s="40" t="str" cm="1">
        <f t="array" ref="AU672">_xlfn.XLOOKUP(PROPERTIES[[#This Row],[VEHIDCODE]],GRAPHICS_PROPERTIES[VEHIDCODE],GRAPHICS_PROPERTIES[TEMPLATE_ID]&amp;GRAPHICS_PROPERTIES[TEMPLATE_AMENDMENT_CODE])</f>
        <v>TPL_04B</v>
      </c>
    </row>
    <row r="673" spans="1:47" x14ac:dyDescent="0.35">
      <c r="A673" s="2" t="s">
        <v>167</v>
      </c>
      <c r="B673">
        <v>1920</v>
      </c>
      <c r="D673" cm="1">
        <f t="array" ref="D6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3" s="40" t="str">
        <f>_xlfn.XLOOKUP(PROPERTIES[[#This Row],[VEHIDCODE]],CONTROL[VEHIDCODE],CONTROL[ENGLISH])</f>
        <v>3rd Gen Hopper</v>
      </c>
      <c r="G673" s="40" t="str">
        <f>_xlfn.XLOOKUP(PROPERTIES[[#This Row],[COUNTRY]],COUNTRIES[COUNTRY_DESCRIPTION],COUNTRIES[COUNTRY_LABEL],"")</f>
        <v/>
      </c>
      <c r="H673" t="str" cm="1">
        <f t="array" ref="H6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3" t="s">
        <v>32</v>
      </c>
      <c r="J673">
        <v>40</v>
      </c>
      <c r="K673">
        <v>6</v>
      </c>
      <c r="L673">
        <v>0</v>
      </c>
      <c r="M673" t="str" cm="1">
        <f t="array" ref="M6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3">
        <f>_xlfn.XLOOKUP("LOADINGSPEEDDEF_"&amp;PROPERTIES[[#This Row],[LOADINGSPEED]],LOADINGSPEEDDEF[TYPE],LOADINGSPEEDDEF[SPEED])</f>
        <v>20</v>
      </c>
      <c r="O673" cm="1">
        <f t="array" ref="O6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3">
        <f>IF(ISNUMBER(SEARCH("passenger",PROPERTIES[[#This Row],[CARGODEF]])),1,0)</f>
        <v>0</v>
      </c>
      <c r="Q673" s="23">
        <v>26</v>
      </c>
      <c r="R673">
        <v>0</v>
      </c>
      <c r="S673">
        <v>0</v>
      </c>
      <c r="T673">
        <v>0</v>
      </c>
      <c r="U673">
        <v>0</v>
      </c>
      <c r="V673">
        <v>80</v>
      </c>
      <c r="W673">
        <v>0</v>
      </c>
      <c r="X673">
        <v>0</v>
      </c>
      <c r="Y673">
        <v>0</v>
      </c>
      <c r="Z673" s="20">
        <v>0</v>
      </c>
      <c r="AA673" s="19">
        <f>IFERROR(PROPERTIES[[#This Row],[TE_STARTING_KN]]/(PROPERTIES[[#This Row],[WEIGHT]]*9.81),0)</f>
        <v>0</v>
      </c>
      <c r="AB673" s="19">
        <v>0.3</v>
      </c>
      <c r="AC673" s="16">
        <f>ROUND(IF(IFERROR(PROPERTIES[[#This Row],[TE_COEFFICIENT_CALC]],0)=0,PROPERTIES[[#This Row],[TE_COEFFICIENT_MANUAL]],PROPERTIES[[#This Row],[TE_COEFFICIENT_CALC]]),3)</f>
        <v>0.3</v>
      </c>
      <c r="AD673" s="8" cm="1">
        <f t="array" ref="AD6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3" s="26">
        <v>0</v>
      </c>
      <c r="AF673" s="6">
        <v>0</v>
      </c>
      <c r="AG673" t="s">
        <v>241</v>
      </c>
      <c r="AH673" t="s">
        <v>229</v>
      </c>
      <c r="AI673" t="s">
        <v>229</v>
      </c>
      <c r="AJ673" s="2" t="s">
        <v>229</v>
      </c>
      <c r="AK673" s="2" t="s">
        <v>244</v>
      </c>
      <c r="AL67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3" s="2" t="str">
        <f>SUBSTITUTE(SUBSTITUTE(PROPERTIES[[#This Row],[PURCHASECOST_VALUE]], "PURCHASECOST_", ""), "_VALUE", "")</f>
        <v>WAGON</v>
      </c>
      <c r="AO673" s="44" t="b">
        <v>0</v>
      </c>
      <c r="AP673" s="48" t="b">
        <v>0</v>
      </c>
      <c r="AQ673" s="48" t="b">
        <v>0</v>
      </c>
      <c r="AR673" s="48">
        <v>2</v>
      </c>
      <c r="AS673" s="48" t="b">
        <v>0</v>
      </c>
      <c r="AT673" s="7" t="b">
        <v>0</v>
      </c>
      <c r="AU673" s="40" t="str" cm="1">
        <f t="array" ref="AU673">_xlfn.XLOOKUP(PROPERTIES[[#This Row],[VEHIDCODE]],GRAPHICS_PROPERTIES[VEHIDCODE],GRAPHICS_PROPERTIES[TEMPLATE_ID]&amp;GRAPHICS_PROPERTIES[TEMPLATE_AMENDMENT_CODE])</f>
        <v>TPL_04B</v>
      </c>
    </row>
    <row r="674" spans="1:47" x14ac:dyDescent="0.35">
      <c r="A674" s="2" t="s">
        <v>168</v>
      </c>
      <c r="B674">
        <v>1960</v>
      </c>
      <c r="D674" cm="1">
        <f t="array" ref="D6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4" s="40" t="str">
        <f>_xlfn.XLOOKUP(PROPERTIES[[#This Row],[VEHIDCODE]],CONTROL[VEHIDCODE],CONTROL[ENGLISH])</f>
        <v>4th Gen Flatcar</v>
      </c>
      <c r="G674" s="40" t="str">
        <f>_xlfn.XLOOKUP(PROPERTIES[[#This Row],[COUNTRY]],COUNTRIES[COUNTRY_DESCRIPTION],COUNTRIES[COUNTRY_LABEL],"")</f>
        <v/>
      </c>
      <c r="H674" t="str" cm="1">
        <f t="array" ref="H6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4" t="s">
        <v>29</v>
      </c>
      <c r="J674">
        <v>50</v>
      </c>
      <c r="K674">
        <v>7</v>
      </c>
      <c r="L674">
        <v>0</v>
      </c>
      <c r="M674" t="str" cm="1">
        <f t="array" ref="M6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4">
        <f>_xlfn.XLOOKUP("LOADINGSPEEDDEF_"&amp;PROPERTIES[[#This Row],[LOADINGSPEED]],LOADINGSPEEDDEF[TYPE],LOADINGSPEEDDEF[SPEED])</f>
        <v>20</v>
      </c>
      <c r="O674" cm="1">
        <f t="array" ref="O6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4">
        <f>IF(ISNUMBER(SEARCH("passenger",PROPERTIES[[#This Row],[CARGODEF]])),1,0)</f>
        <v>0</v>
      </c>
      <c r="Q674" s="23">
        <v>25</v>
      </c>
      <c r="R674">
        <v>0</v>
      </c>
      <c r="S674">
        <v>0</v>
      </c>
      <c r="T674">
        <v>0</v>
      </c>
      <c r="U674">
        <v>0</v>
      </c>
      <c r="V674">
        <v>100</v>
      </c>
      <c r="W674">
        <v>0</v>
      </c>
      <c r="X674">
        <v>0</v>
      </c>
      <c r="Y674">
        <v>0</v>
      </c>
      <c r="Z674" s="20">
        <v>0</v>
      </c>
      <c r="AA674" s="19">
        <f>IFERROR(PROPERTIES[[#This Row],[TE_STARTING_KN]]/(PROPERTIES[[#This Row],[WEIGHT]]*9.81),0)</f>
        <v>0</v>
      </c>
      <c r="AB674" s="19">
        <v>0.3</v>
      </c>
      <c r="AC674" s="16">
        <f>ROUND(IF(IFERROR(PROPERTIES[[#This Row],[TE_COEFFICIENT_CALC]],0)=0,PROPERTIES[[#This Row],[TE_COEFFICIENT_MANUAL]],PROPERTIES[[#This Row],[TE_COEFFICIENT_CALC]]),3)</f>
        <v>0.3</v>
      </c>
      <c r="AD674" s="8" cm="1">
        <f t="array" ref="AD6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4" s="26">
        <v>0</v>
      </c>
      <c r="AF674" s="6">
        <v>0</v>
      </c>
      <c r="AG674" t="s">
        <v>241</v>
      </c>
      <c r="AH674" t="s">
        <v>229</v>
      </c>
      <c r="AI674" t="s">
        <v>229</v>
      </c>
      <c r="AJ674" s="2" t="s">
        <v>229</v>
      </c>
      <c r="AK674" s="2" t="s">
        <v>244</v>
      </c>
      <c r="AL67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4" s="2" t="str">
        <f>SUBSTITUTE(SUBSTITUTE(PROPERTIES[[#This Row],[PURCHASECOST_VALUE]], "PURCHASECOST_", ""), "_VALUE", "")</f>
        <v>WAGON</v>
      </c>
      <c r="AO674" s="44" t="b">
        <v>0</v>
      </c>
      <c r="AP674" s="48" t="b">
        <v>0</v>
      </c>
      <c r="AQ674" s="48" t="b">
        <v>0</v>
      </c>
      <c r="AR674" s="48">
        <v>2</v>
      </c>
      <c r="AS674" s="48" t="b">
        <v>0</v>
      </c>
      <c r="AT674" s="7" t="b">
        <v>0</v>
      </c>
      <c r="AU674" s="40" t="str" cm="1">
        <f t="array" ref="AU674">_xlfn.XLOOKUP(PROPERTIES[[#This Row],[VEHIDCODE]],GRAPHICS_PROPERTIES[VEHIDCODE],GRAPHICS_PROPERTIES[TEMPLATE_ID]&amp;GRAPHICS_PROPERTIES[TEMPLATE_AMENDMENT_CODE])</f>
        <v>TPL_04B</v>
      </c>
    </row>
    <row r="675" spans="1:47" x14ac:dyDescent="0.35">
      <c r="A675" s="2" t="s">
        <v>169</v>
      </c>
      <c r="B675">
        <v>1960</v>
      </c>
      <c r="D675" cm="1">
        <f t="array" ref="D6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5" s="40" t="str">
        <f>_xlfn.XLOOKUP(PROPERTIES[[#This Row],[VEHIDCODE]],CONTROL[VEHIDCODE],CONTROL[ENGLISH])</f>
        <v>4th Gen Heavy Flatcar</v>
      </c>
      <c r="G675" s="40" t="str">
        <f>_xlfn.XLOOKUP(PROPERTIES[[#This Row],[COUNTRY]],COUNTRIES[COUNTRY_DESCRIPTION],COUNTRIES[COUNTRY_LABEL],"")</f>
        <v/>
      </c>
      <c r="H675" t="str" cm="1">
        <f t="array" ref="H6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5" t="s">
        <v>31</v>
      </c>
      <c r="J675">
        <v>70</v>
      </c>
      <c r="K675">
        <v>7</v>
      </c>
      <c r="L675">
        <v>0</v>
      </c>
      <c r="M675" t="str" cm="1">
        <f t="array" ref="M6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5">
        <f>_xlfn.XLOOKUP("LOADINGSPEEDDEF_"&amp;PROPERTIES[[#This Row],[LOADINGSPEED]],LOADINGSPEEDDEF[TYPE],LOADINGSPEEDDEF[SPEED])</f>
        <v>20</v>
      </c>
      <c r="O675" cm="1">
        <f t="array" ref="O6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5">
        <f>IF(ISNUMBER(SEARCH("passenger",PROPERTIES[[#This Row],[CARGODEF]])),1,0)</f>
        <v>0</v>
      </c>
      <c r="Q675" s="23">
        <v>30</v>
      </c>
      <c r="R675">
        <v>0</v>
      </c>
      <c r="S675">
        <v>0</v>
      </c>
      <c r="T675">
        <v>0</v>
      </c>
      <c r="U675">
        <v>0</v>
      </c>
      <c r="V675">
        <v>100</v>
      </c>
      <c r="W675">
        <v>0</v>
      </c>
      <c r="X675">
        <v>0</v>
      </c>
      <c r="Y675">
        <v>0</v>
      </c>
      <c r="Z675" s="20">
        <v>0</v>
      </c>
      <c r="AA675" s="19">
        <f>IFERROR(PROPERTIES[[#This Row],[TE_STARTING_KN]]/(PROPERTIES[[#This Row],[WEIGHT]]*9.81),0)</f>
        <v>0</v>
      </c>
      <c r="AB675" s="19">
        <v>0.3</v>
      </c>
      <c r="AC675" s="16">
        <f>ROUND(IF(IFERROR(PROPERTIES[[#This Row],[TE_COEFFICIENT_CALC]],0)=0,PROPERTIES[[#This Row],[TE_COEFFICIENT_MANUAL]],PROPERTIES[[#This Row],[TE_COEFFICIENT_CALC]]),3)</f>
        <v>0.3</v>
      </c>
      <c r="AD675" s="8" cm="1">
        <f t="array" ref="AD6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5" s="26">
        <v>0</v>
      </c>
      <c r="AF675" s="6">
        <v>0</v>
      </c>
      <c r="AG675" t="s">
        <v>241</v>
      </c>
      <c r="AH675" t="s">
        <v>229</v>
      </c>
      <c r="AI675" t="s">
        <v>229</v>
      </c>
      <c r="AJ675" s="2" t="s">
        <v>229</v>
      </c>
      <c r="AK675" s="2" t="s">
        <v>244</v>
      </c>
      <c r="AL67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5" s="2" t="str">
        <f>SUBSTITUTE(SUBSTITUTE(PROPERTIES[[#This Row],[PURCHASECOST_VALUE]], "PURCHASECOST_", ""), "_VALUE", "")</f>
        <v>WAGON</v>
      </c>
      <c r="AO675" s="44" t="b">
        <v>0</v>
      </c>
      <c r="AP675" s="48" t="b">
        <v>0</v>
      </c>
      <c r="AQ675" s="48" t="b">
        <v>0</v>
      </c>
      <c r="AR675" s="48">
        <v>2</v>
      </c>
      <c r="AS675" s="48" t="b">
        <v>0</v>
      </c>
      <c r="AT675" s="7" t="b">
        <v>0</v>
      </c>
      <c r="AU675" s="40" t="str" cm="1">
        <f t="array" ref="AU675">_xlfn.XLOOKUP(PROPERTIES[[#This Row],[VEHIDCODE]],GRAPHICS_PROPERTIES[VEHIDCODE],GRAPHICS_PROPERTIES[TEMPLATE_ID]&amp;GRAPHICS_PROPERTIES[TEMPLATE_AMENDMENT_CODE])</f>
        <v>TPL_04B</v>
      </c>
    </row>
    <row r="676" spans="1:47" x14ac:dyDescent="0.35">
      <c r="A676" s="2" t="s">
        <v>170</v>
      </c>
      <c r="B676">
        <v>1950</v>
      </c>
      <c r="D676" cm="1">
        <f t="array" ref="D6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6" s="40" t="str">
        <f>_xlfn.XLOOKUP(PROPERTIES[[#This Row],[VEHIDCODE]],CONTROL[VEHIDCODE],CONTROL[ENGLISH])</f>
        <v>4th Gen Boxcar [Food]</v>
      </c>
      <c r="G676" s="40" t="str">
        <f>_xlfn.XLOOKUP(PROPERTIES[[#This Row],[COUNTRY]],COUNTRIES[COUNTRY_DESCRIPTION],COUNTRIES[COUNTRY_LABEL],"")</f>
        <v/>
      </c>
      <c r="H676" t="str" cm="1">
        <f t="array" ref="H6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6" t="s">
        <v>3672</v>
      </c>
      <c r="J676">
        <v>42</v>
      </c>
      <c r="K676">
        <v>7</v>
      </c>
      <c r="L676">
        <v>0</v>
      </c>
      <c r="M676" t="str" cm="1">
        <f t="array" ref="M6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6">
        <f>_xlfn.XLOOKUP("LOADINGSPEEDDEF_"&amp;PROPERTIES[[#This Row],[LOADINGSPEED]],LOADINGSPEEDDEF[TYPE],LOADINGSPEEDDEF[SPEED])</f>
        <v>20</v>
      </c>
      <c r="O676" cm="1">
        <f t="array" ref="O6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6">
        <f>IF(ISNUMBER(SEARCH("passenger",PROPERTIES[[#This Row],[CARGODEF]])),1,0)</f>
        <v>0</v>
      </c>
      <c r="Q676" s="23">
        <v>30</v>
      </c>
      <c r="R676">
        <v>0</v>
      </c>
      <c r="S676">
        <v>0</v>
      </c>
      <c r="T676">
        <v>0</v>
      </c>
      <c r="U676">
        <v>0</v>
      </c>
      <c r="V676">
        <v>120</v>
      </c>
      <c r="W676">
        <v>0</v>
      </c>
      <c r="X676">
        <v>0</v>
      </c>
      <c r="Y676">
        <v>0</v>
      </c>
      <c r="Z676" s="20">
        <v>0</v>
      </c>
      <c r="AA676" s="19">
        <f>IFERROR(PROPERTIES[[#This Row],[TE_STARTING_KN]]/(PROPERTIES[[#This Row],[WEIGHT]]*9.81),0)</f>
        <v>0</v>
      </c>
      <c r="AB676" s="19">
        <v>0.3</v>
      </c>
      <c r="AC676" s="16">
        <f>ROUND(IF(IFERROR(PROPERTIES[[#This Row],[TE_COEFFICIENT_CALC]],0)=0,PROPERTIES[[#This Row],[TE_COEFFICIENT_MANUAL]],PROPERTIES[[#This Row],[TE_COEFFICIENT_CALC]]),3)</f>
        <v>0.3</v>
      </c>
      <c r="AD676" s="8" cm="1">
        <f t="array" ref="AD6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6" s="26">
        <v>0</v>
      </c>
      <c r="AF676" s="6">
        <v>0</v>
      </c>
      <c r="AG676" t="s">
        <v>241</v>
      </c>
      <c r="AH676" t="s">
        <v>229</v>
      </c>
      <c r="AI676" t="s">
        <v>229</v>
      </c>
      <c r="AJ676" s="2" t="s">
        <v>229</v>
      </c>
      <c r="AK676" s="2" t="s">
        <v>244</v>
      </c>
      <c r="AL67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6" s="2" t="str">
        <f>SUBSTITUTE(SUBSTITUTE(PROPERTIES[[#This Row],[PURCHASECOST_VALUE]], "PURCHASECOST_", ""), "_VALUE", "")</f>
        <v>WAGON</v>
      </c>
      <c r="AO676" s="44" t="b">
        <v>0</v>
      </c>
      <c r="AP676" s="48" t="b">
        <v>0</v>
      </c>
      <c r="AQ676" s="48" t="b">
        <v>0</v>
      </c>
      <c r="AR676" s="48">
        <v>2</v>
      </c>
      <c r="AS676" s="48" t="b">
        <v>0</v>
      </c>
      <c r="AT676" s="7" t="b">
        <v>0</v>
      </c>
      <c r="AU676" s="40" t="str" cm="1">
        <f t="array" ref="AU676">_xlfn.XLOOKUP(PROPERTIES[[#This Row],[VEHIDCODE]],GRAPHICS_PROPERTIES[VEHIDCODE],GRAPHICS_PROPERTIES[TEMPLATE_ID]&amp;GRAPHICS_PROPERTIES[TEMPLATE_AMENDMENT_CODE])</f>
        <v>TPL_04B</v>
      </c>
    </row>
    <row r="677" spans="1:47" x14ac:dyDescent="0.35">
      <c r="A677" s="2" t="s">
        <v>171</v>
      </c>
      <c r="B677">
        <v>1950</v>
      </c>
      <c r="D677" cm="1">
        <f t="array" ref="D6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7" s="40" t="str">
        <f>_xlfn.XLOOKUP(PROPERTIES[[#This Row],[VEHIDCODE]],CONTROL[VEHIDCODE],CONTROL[ENGLISH])</f>
        <v>4th Gen Boxcar [Non-Food]</v>
      </c>
      <c r="G677" s="40" t="str">
        <f>_xlfn.XLOOKUP(PROPERTIES[[#This Row],[COUNTRY]],COUNTRIES[COUNTRY_DESCRIPTION],COUNTRIES[COUNTRY_LABEL],"")</f>
        <v/>
      </c>
      <c r="H677" t="str" cm="1">
        <f t="array" ref="H6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7" t="s">
        <v>3671</v>
      </c>
      <c r="J677">
        <v>42</v>
      </c>
      <c r="K677">
        <v>7</v>
      </c>
      <c r="L677">
        <v>0</v>
      </c>
      <c r="M677" t="str" cm="1">
        <f t="array" ref="M6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7">
        <f>_xlfn.XLOOKUP("LOADINGSPEEDDEF_"&amp;PROPERTIES[[#This Row],[LOADINGSPEED]],LOADINGSPEEDDEF[TYPE],LOADINGSPEEDDEF[SPEED])</f>
        <v>20</v>
      </c>
      <c r="O677" cm="1">
        <f t="array" ref="O6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7">
        <f>IF(ISNUMBER(SEARCH("passenger",PROPERTIES[[#This Row],[CARGODEF]])),1,0)</f>
        <v>0</v>
      </c>
      <c r="Q677" s="23">
        <v>30</v>
      </c>
      <c r="R677">
        <v>0</v>
      </c>
      <c r="S677">
        <v>0</v>
      </c>
      <c r="T677">
        <v>0</v>
      </c>
      <c r="U677">
        <v>0</v>
      </c>
      <c r="V677">
        <v>120</v>
      </c>
      <c r="W677">
        <v>0</v>
      </c>
      <c r="X677">
        <v>0</v>
      </c>
      <c r="Y677">
        <v>0</v>
      </c>
      <c r="Z677" s="20">
        <v>0</v>
      </c>
      <c r="AA677" s="19">
        <f>IFERROR(PROPERTIES[[#This Row],[TE_STARTING_KN]]/(PROPERTIES[[#This Row],[WEIGHT]]*9.81),0)</f>
        <v>0</v>
      </c>
      <c r="AB677" s="19">
        <v>0.3</v>
      </c>
      <c r="AC677" s="16">
        <f>ROUND(IF(IFERROR(PROPERTIES[[#This Row],[TE_COEFFICIENT_CALC]],0)=0,PROPERTIES[[#This Row],[TE_COEFFICIENT_MANUAL]],PROPERTIES[[#This Row],[TE_COEFFICIENT_CALC]]),3)</f>
        <v>0.3</v>
      </c>
      <c r="AD677" s="8" cm="1">
        <f t="array" ref="AD6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7" s="26">
        <v>0</v>
      </c>
      <c r="AF677" s="6">
        <v>0</v>
      </c>
      <c r="AG677" t="s">
        <v>241</v>
      </c>
      <c r="AH677" t="s">
        <v>229</v>
      </c>
      <c r="AI677" t="s">
        <v>229</v>
      </c>
      <c r="AJ677" s="2" t="s">
        <v>229</v>
      </c>
      <c r="AK677" s="2" t="s">
        <v>244</v>
      </c>
      <c r="AL67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7" s="2" t="str">
        <f>SUBSTITUTE(SUBSTITUTE(PROPERTIES[[#This Row],[PURCHASECOST_VALUE]], "PURCHASECOST_", ""), "_VALUE", "")</f>
        <v>WAGON</v>
      </c>
      <c r="AO677" s="44" t="b">
        <v>0</v>
      </c>
      <c r="AP677" s="48" t="b">
        <v>0</v>
      </c>
      <c r="AQ677" s="48" t="b">
        <v>0</v>
      </c>
      <c r="AR677" s="48">
        <v>2</v>
      </c>
      <c r="AS677" s="48" t="b">
        <v>0</v>
      </c>
      <c r="AT677" s="7" t="b">
        <v>0</v>
      </c>
      <c r="AU677" s="40" t="str" cm="1">
        <f t="array" ref="AU677">_xlfn.XLOOKUP(PROPERTIES[[#This Row],[VEHIDCODE]],GRAPHICS_PROPERTIES[VEHIDCODE],GRAPHICS_PROPERTIES[TEMPLATE_ID]&amp;GRAPHICS_PROPERTIES[TEMPLATE_AMENDMENT_CODE])</f>
        <v>TPL_04B</v>
      </c>
    </row>
    <row r="678" spans="1:47" x14ac:dyDescent="0.35">
      <c r="A678" s="2" t="s">
        <v>172</v>
      </c>
      <c r="B678">
        <v>1950</v>
      </c>
      <c r="D678" cm="1">
        <f t="array" ref="D6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8" s="40" t="str">
        <f>_xlfn.XLOOKUP(PROPERTIES[[#This Row],[VEHIDCODE]],CONTROL[VEHIDCODE],CONTROL[ENGLISH])</f>
        <v>4th Gen Tanker</v>
      </c>
      <c r="G678" s="40" t="str">
        <f>_xlfn.XLOOKUP(PROPERTIES[[#This Row],[COUNTRY]],COUNTRIES[COUNTRY_DESCRIPTION],COUNTRIES[COUNTRY_LABEL],"")</f>
        <v/>
      </c>
      <c r="H678" t="str" cm="1">
        <f t="array" ref="H6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8" t="s">
        <v>35</v>
      </c>
      <c r="J678">
        <v>80</v>
      </c>
      <c r="K678">
        <v>7</v>
      </c>
      <c r="L678">
        <v>0</v>
      </c>
      <c r="M678" t="str" cm="1">
        <f t="array" ref="M6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8">
        <f>_xlfn.XLOOKUP("LOADINGSPEEDDEF_"&amp;PROPERTIES[[#This Row],[LOADINGSPEED]],LOADINGSPEEDDEF[TYPE],LOADINGSPEEDDEF[SPEED])</f>
        <v>20</v>
      </c>
      <c r="O678" cm="1">
        <f t="array" ref="O6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8">
        <f>IF(ISNUMBER(SEARCH("passenger",PROPERTIES[[#This Row],[CARGODEF]])),1,0)</f>
        <v>0</v>
      </c>
      <c r="Q678" s="23">
        <v>22</v>
      </c>
      <c r="R678">
        <v>0</v>
      </c>
      <c r="S678">
        <v>0</v>
      </c>
      <c r="T678">
        <v>0</v>
      </c>
      <c r="U678">
        <v>0</v>
      </c>
      <c r="V678">
        <v>100</v>
      </c>
      <c r="W678">
        <v>0</v>
      </c>
      <c r="X678">
        <v>0</v>
      </c>
      <c r="Y678">
        <v>0</v>
      </c>
      <c r="Z678" s="20">
        <v>0</v>
      </c>
      <c r="AA678" s="19">
        <f>IFERROR(PROPERTIES[[#This Row],[TE_STARTING_KN]]/(PROPERTIES[[#This Row],[WEIGHT]]*9.81),0)</f>
        <v>0</v>
      </c>
      <c r="AB678" s="19">
        <v>0.3</v>
      </c>
      <c r="AC678" s="16">
        <f>ROUND(IF(IFERROR(PROPERTIES[[#This Row],[TE_COEFFICIENT_CALC]],0)=0,PROPERTIES[[#This Row],[TE_COEFFICIENT_MANUAL]],PROPERTIES[[#This Row],[TE_COEFFICIENT_CALC]]),3)</f>
        <v>0.3</v>
      </c>
      <c r="AD678" s="8" cm="1">
        <f t="array" ref="AD6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8" s="26">
        <v>0</v>
      </c>
      <c r="AF678" s="6">
        <v>0</v>
      </c>
      <c r="AG678" t="s">
        <v>241</v>
      </c>
      <c r="AH678" t="s">
        <v>229</v>
      </c>
      <c r="AI678" t="s">
        <v>229</v>
      </c>
      <c r="AJ678" s="2" t="s">
        <v>229</v>
      </c>
      <c r="AK678" s="2" t="s">
        <v>244</v>
      </c>
      <c r="AL67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8" s="2" t="str">
        <f>SUBSTITUTE(SUBSTITUTE(PROPERTIES[[#This Row],[PURCHASECOST_VALUE]], "PURCHASECOST_", ""), "_VALUE", "")</f>
        <v>WAGON</v>
      </c>
      <c r="AO678" s="44" t="b">
        <v>0</v>
      </c>
      <c r="AP678" s="48" t="b">
        <v>0</v>
      </c>
      <c r="AQ678" s="48" t="b">
        <v>0</v>
      </c>
      <c r="AR678" s="48">
        <v>2</v>
      </c>
      <c r="AS678" s="48" t="b">
        <v>0</v>
      </c>
      <c r="AT678" s="7" t="b">
        <v>0</v>
      </c>
      <c r="AU678" s="40" t="str" cm="1">
        <f t="array" ref="AU678">_xlfn.XLOOKUP(PROPERTIES[[#This Row],[VEHIDCODE]],GRAPHICS_PROPERTIES[VEHIDCODE],GRAPHICS_PROPERTIES[TEMPLATE_ID]&amp;GRAPHICS_PROPERTIES[TEMPLATE_AMENDMENT_CODE])</f>
        <v>TPL_04B</v>
      </c>
    </row>
    <row r="679" spans="1:47" x14ac:dyDescent="0.35">
      <c r="A679" s="2" t="s">
        <v>173</v>
      </c>
      <c r="B679">
        <v>1950</v>
      </c>
      <c r="D679" cm="1">
        <f t="array" ref="D6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9" s="40" t="str">
        <f>_xlfn.XLOOKUP(PROPERTIES[[#This Row],[VEHIDCODE]],CONTROL[VEHIDCODE],CONTROL[ENGLISH])</f>
        <v>4th Gen Gondola</v>
      </c>
      <c r="G679" s="40" t="str">
        <f>_xlfn.XLOOKUP(PROPERTIES[[#This Row],[COUNTRY]],COUNTRIES[COUNTRY_DESCRIPTION],COUNTRIES[COUNTRY_LABEL],"")</f>
        <v/>
      </c>
      <c r="H679" t="str" cm="1">
        <f t="array" ref="H6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9" t="s">
        <v>30</v>
      </c>
      <c r="J679">
        <v>55</v>
      </c>
      <c r="K679">
        <v>7</v>
      </c>
      <c r="L679">
        <v>0</v>
      </c>
      <c r="M679" t="str" cm="1">
        <f t="array" ref="M6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9">
        <f>_xlfn.XLOOKUP("LOADINGSPEEDDEF_"&amp;PROPERTIES[[#This Row],[LOADINGSPEED]],LOADINGSPEEDDEF[TYPE],LOADINGSPEEDDEF[SPEED])</f>
        <v>20</v>
      </c>
      <c r="O679" cm="1">
        <f t="array" ref="O6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9">
        <f>IF(ISNUMBER(SEARCH("passenger",PROPERTIES[[#This Row],[CARGODEF]])),1,0)</f>
        <v>0</v>
      </c>
      <c r="Q679" s="23">
        <v>22</v>
      </c>
      <c r="R679">
        <v>0</v>
      </c>
      <c r="S679">
        <v>0</v>
      </c>
      <c r="T679">
        <v>0</v>
      </c>
      <c r="U679">
        <v>0</v>
      </c>
      <c r="V679">
        <v>100</v>
      </c>
      <c r="W679">
        <v>0</v>
      </c>
      <c r="X679">
        <v>0</v>
      </c>
      <c r="Y679">
        <v>0</v>
      </c>
      <c r="Z679" s="20">
        <v>0</v>
      </c>
      <c r="AA679" s="19">
        <f>IFERROR(PROPERTIES[[#This Row],[TE_STARTING_KN]]/(PROPERTIES[[#This Row],[WEIGHT]]*9.81),0)</f>
        <v>0</v>
      </c>
      <c r="AB679" s="19">
        <v>0.3</v>
      </c>
      <c r="AC679" s="16">
        <f>ROUND(IF(IFERROR(PROPERTIES[[#This Row],[TE_COEFFICIENT_CALC]],0)=0,PROPERTIES[[#This Row],[TE_COEFFICIENT_MANUAL]],PROPERTIES[[#This Row],[TE_COEFFICIENT_CALC]]),3)</f>
        <v>0.3</v>
      </c>
      <c r="AD679" s="8" cm="1">
        <f t="array" ref="AD6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9" s="26">
        <v>0</v>
      </c>
      <c r="AF679" s="6">
        <v>0</v>
      </c>
      <c r="AG679" t="s">
        <v>241</v>
      </c>
      <c r="AH679" t="s">
        <v>229</v>
      </c>
      <c r="AI679" t="s">
        <v>229</v>
      </c>
      <c r="AJ679" s="2" t="s">
        <v>229</v>
      </c>
      <c r="AK679" s="2" t="s">
        <v>244</v>
      </c>
      <c r="AL67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9" s="2" t="str">
        <f>SUBSTITUTE(SUBSTITUTE(PROPERTIES[[#This Row],[PURCHASECOST_VALUE]], "PURCHASECOST_", ""), "_VALUE", "")</f>
        <v>WAGON</v>
      </c>
      <c r="AO679" s="44" t="b">
        <v>0</v>
      </c>
      <c r="AP679" s="48" t="b">
        <v>0</v>
      </c>
      <c r="AQ679" s="48" t="b">
        <v>0</v>
      </c>
      <c r="AR679" s="48">
        <v>2</v>
      </c>
      <c r="AS679" s="48" t="b">
        <v>1</v>
      </c>
      <c r="AT679" s="7" t="b">
        <v>0</v>
      </c>
      <c r="AU679" s="40" t="str" cm="1">
        <f t="array" ref="AU679">_xlfn.XLOOKUP(PROPERTIES[[#This Row],[VEHIDCODE]],GRAPHICS_PROPERTIES[VEHIDCODE],GRAPHICS_PROPERTIES[TEMPLATE_ID]&amp;GRAPHICS_PROPERTIES[TEMPLATE_AMENDMENT_CODE])</f>
        <v>TPL_04B</v>
      </c>
    </row>
    <row r="680" spans="1:47" x14ac:dyDescent="0.35">
      <c r="A680" s="2" t="s">
        <v>174</v>
      </c>
      <c r="B680">
        <v>1950</v>
      </c>
      <c r="D680" cm="1">
        <f t="array" ref="D6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0" s="40" t="str">
        <f>_xlfn.XLOOKUP(PROPERTIES[[#This Row],[VEHIDCODE]],CONTROL[VEHIDCODE],CONTROL[ENGLISH])</f>
        <v>4th Gen Silo [Food]</v>
      </c>
      <c r="G680" s="40" t="str">
        <f>_xlfn.XLOOKUP(PROPERTIES[[#This Row],[COUNTRY]],COUNTRIES[COUNTRY_DESCRIPTION],COUNTRIES[COUNTRY_LABEL],"")</f>
        <v/>
      </c>
      <c r="H680" t="str" cm="1">
        <f t="array" ref="H6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0" t="s">
        <v>3669</v>
      </c>
      <c r="J680">
        <v>55</v>
      </c>
      <c r="K680">
        <v>7</v>
      </c>
      <c r="L680">
        <v>0</v>
      </c>
      <c r="M680" t="str" cm="1">
        <f t="array" ref="M6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0">
        <f>_xlfn.XLOOKUP("LOADINGSPEEDDEF_"&amp;PROPERTIES[[#This Row],[LOADINGSPEED]],LOADINGSPEEDDEF[TYPE],LOADINGSPEEDDEF[SPEED])</f>
        <v>20</v>
      </c>
      <c r="O680" cm="1">
        <f t="array" ref="O6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0">
        <f>IF(ISNUMBER(SEARCH("passenger",PROPERTIES[[#This Row],[CARGODEF]])),1,0)</f>
        <v>0</v>
      </c>
      <c r="Q680" s="23">
        <v>25</v>
      </c>
      <c r="R680">
        <v>0</v>
      </c>
      <c r="S680">
        <v>0</v>
      </c>
      <c r="T680">
        <v>0</v>
      </c>
      <c r="U680">
        <v>0</v>
      </c>
      <c r="V680">
        <v>100</v>
      </c>
      <c r="W680">
        <v>0</v>
      </c>
      <c r="X680">
        <v>0</v>
      </c>
      <c r="Y680">
        <v>0</v>
      </c>
      <c r="Z680" s="20">
        <v>0</v>
      </c>
      <c r="AA680" s="19">
        <f>IFERROR(PROPERTIES[[#This Row],[TE_STARTING_KN]]/(PROPERTIES[[#This Row],[WEIGHT]]*9.81),0)</f>
        <v>0</v>
      </c>
      <c r="AB680" s="19">
        <v>0.3</v>
      </c>
      <c r="AC680" s="16">
        <f>ROUND(IF(IFERROR(PROPERTIES[[#This Row],[TE_COEFFICIENT_CALC]],0)=0,PROPERTIES[[#This Row],[TE_COEFFICIENT_MANUAL]],PROPERTIES[[#This Row],[TE_COEFFICIENT_CALC]]),3)</f>
        <v>0.3</v>
      </c>
      <c r="AD680" s="8" cm="1">
        <f t="array" ref="AD6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0" s="26">
        <v>0</v>
      </c>
      <c r="AF680" s="6">
        <v>0</v>
      </c>
      <c r="AG680" t="s">
        <v>241</v>
      </c>
      <c r="AH680" t="s">
        <v>229</v>
      </c>
      <c r="AI680" t="s">
        <v>229</v>
      </c>
      <c r="AJ680" s="2" t="s">
        <v>229</v>
      </c>
      <c r="AK680" s="2" t="s">
        <v>244</v>
      </c>
      <c r="AL68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0" s="2" t="str">
        <f>SUBSTITUTE(SUBSTITUTE(PROPERTIES[[#This Row],[PURCHASECOST_VALUE]], "PURCHASECOST_", ""), "_VALUE", "")</f>
        <v>WAGON</v>
      </c>
      <c r="AO680" s="44" t="b">
        <v>0</v>
      </c>
      <c r="AP680" s="48" t="b">
        <v>0</v>
      </c>
      <c r="AQ680" s="48" t="b">
        <v>0</v>
      </c>
      <c r="AR680" s="48">
        <v>2</v>
      </c>
      <c r="AS680" s="48" t="b">
        <v>0</v>
      </c>
      <c r="AT680" s="7" t="b">
        <v>0</v>
      </c>
      <c r="AU680" s="40" t="str" cm="1">
        <f t="array" ref="AU680">_xlfn.XLOOKUP(PROPERTIES[[#This Row],[VEHIDCODE]],GRAPHICS_PROPERTIES[VEHIDCODE],GRAPHICS_PROPERTIES[TEMPLATE_ID]&amp;GRAPHICS_PROPERTIES[TEMPLATE_AMENDMENT_CODE])</f>
        <v>TPL_04B</v>
      </c>
    </row>
    <row r="681" spans="1:47" x14ac:dyDescent="0.35">
      <c r="A681" s="2" t="s">
        <v>175</v>
      </c>
      <c r="B681">
        <v>1950</v>
      </c>
      <c r="D681" cm="1">
        <f t="array" ref="D6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1" s="40" t="str">
        <f>_xlfn.XLOOKUP(PROPERTIES[[#This Row],[VEHIDCODE]],CONTROL[VEHIDCODE],CONTROL[ENGLISH])</f>
        <v>4th Gen Silo [Non-Food]</v>
      </c>
      <c r="G681" s="40" t="str">
        <f>_xlfn.XLOOKUP(PROPERTIES[[#This Row],[COUNTRY]],COUNTRIES[COUNTRY_DESCRIPTION],COUNTRIES[COUNTRY_LABEL],"")</f>
        <v/>
      </c>
      <c r="H681" t="str" cm="1">
        <f t="array" ref="H6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1" t="s">
        <v>3670</v>
      </c>
      <c r="J681">
        <v>55</v>
      </c>
      <c r="K681">
        <v>7</v>
      </c>
      <c r="L681">
        <v>0</v>
      </c>
      <c r="M681" t="str" cm="1">
        <f t="array" ref="M6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1">
        <f>_xlfn.XLOOKUP("LOADINGSPEEDDEF_"&amp;PROPERTIES[[#This Row],[LOADINGSPEED]],LOADINGSPEEDDEF[TYPE],LOADINGSPEEDDEF[SPEED])</f>
        <v>20</v>
      </c>
      <c r="O681" cm="1">
        <f t="array" ref="O6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1">
        <f>IF(ISNUMBER(SEARCH("passenger",PROPERTIES[[#This Row],[CARGODEF]])),1,0)</f>
        <v>0</v>
      </c>
      <c r="Q681" s="23">
        <v>25</v>
      </c>
      <c r="R681">
        <v>0</v>
      </c>
      <c r="S681">
        <v>0</v>
      </c>
      <c r="T681">
        <v>0</v>
      </c>
      <c r="U681">
        <v>0</v>
      </c>
      <c r="V681">
        <v>100</v>
      </c>
      <c r="W681">
        <v>0</v>
      </c>
      <c r="X681">
        <v>0</v>
      </c>
      <c r="Y681">
        <v>0</v>
      </c>
      <c r="Z681" s="20">
        <v>0</v>
      </c>
      <c r="AA681" s="19">
        <f>IFERROR(PROPERTIES[[#This Row],[TE_STARTING_KN]]/(PROPERTIES[[#This Row],[WEIGHT]]*9.81),0)</f>
        <v>0</v>
      </c>
      <c r="AB681" s="19">
        <v>0.3</v>
      </c>
      <c r="AC681" s="16">
        <f>ROUND(IF(IFERROR(PROPERTIES[[#This Row],[TE_COEFFICIENT_CALC]],0)=0,PROPERTIES[[#This Row],[TE_COEFFICIENT_MANUAL]],PROPERTIES[[#This Row],[TE_COEFFICIENT_CALC]]),3)</f>
        <v>0.3</v>
      </c>
      <c r="AD681" s="8" cm="1">
        <f t="array" ref="AD6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1" s="26">
        <v>0</v>
      </c>
      <c r="AF681" s="6">
        <v>0</v>
      </c>
      <c r="AG681" t="s">
        <v>241</v>
      </c>
      <c r="AH681" t="s">
        <v>229</v>
      </c>
      <c r="AI681" t="s">
        <v>229</v>
      </c>
      <c r="AJ681" s="2" t="s">
        <v>229</v>
      </c>
      <c r="AK681" s="2" t="s">
        <v>244</v>
      </c>
      <c r="AL68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1" s="2" t="str">
        <f>SUBSTITUTE(SUBSTITUTE(PROPERTIES[[#This Row],[PURCHASECOST_VALUE]], "PURCHASECOST_", ""), "_VALUE", "")</f>
        <v>WAGON</v>
      </c>
      <c r="AO681" s="44" t="b">
        <v>0</v>
      </c>
      <c r="AP681" s="48" t="b">
        <v>0</v>
      </c>
      <c r="AQ681" s="48" t="b">
        <v>0</v>
      </c>
      <c r="AR681" s="48">
        <v>2</v>
      </c>
      <c r="AS681" s="48" t="b">
        <v>0</v>
      </c>
      <c r="AT681" s="7" t="b">
        <v>0</v>
      </c>
      <c r="AU681" s="40" t="str" cm="1">
        <f t="array" ref="AU681">_xlfn.XLOOKUP(PROPERTIES[[#This Row],[VEHIDCODE]],GRAPHICS_PROPERTIES[VEHIDCODE],GRAPHICS_PROPERTIES[TEMPLATE_ID]&amp;GRAPHICS_PROPERTIES[TEMPLATE_AMENDMENT_CODE])</f>
        <v>TPL_04B</v>
      </c>
    </row>
    <row r="682" spans="1:47" x14ac:dyDescent="0.35">
      <c r="A682" s="2" t="s">
        <v>176</v>
      </c>
      <c r="B682">
        <v>1960</v>
      </c>
      <c r="D682" cm="1">
        <f t="array" ref="D6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2" s="40" t="str">
        <f>_xlfn.XLOOKUP(PROPERTIES[[#This Row],[VEHIDCODE]],CONTROL[VEHIDCODE],CONTROL[ENGLISH])</f>
        <v>4th Gen Self-discharging Hopper [Food]</v>
      </c>
      <c r="G682" s="40" t="str">
        <f>_xlfn.XLOOKUP(PROPERTIES[[#This Row],[COUNTRY]],COUNTRIES[COUNTRY_DESCRIPTION],COUNTRIES[COUNTRY_LABEL],"")</f>
        <v/>
      </c>
      <c r="H682" t="str" cm="1">
        <f t="array" ref="H6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2" t="s">
        <v>3667</v>
      </c>
      <c r="J682">
        <v>55</v>
      </c>
      <c r="K682">
        <v>7</v>
      </c>
      <c r="L682">
        <v>0</v>
      </c>
      <c r="M682" t="str" cm="1">
        <f t="array" ref="M6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2">
        <f>_xlfn.XLOOKUP("LOADINGSPEEDDEF_"&amp;PROPERTIES[[#This Row],[LOADINGSPEED]],LOADINGSPEEDDEF[TYPE],LOADINGSPEEDDEF[SPEED])</f>
        <v>20</v>
      </c>
      <c r="O682" cm="1">
        <f t="array" ref="O6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2">
        <f>IF(ISNUMBER(SEARCH("passenger",PROPERTIES[[#This Row],[CARGODEF]])),1,0)</f>
        <v>0</v>
      </c>
      <c r="Q682" s="23">
        <v>25</v>
      </c>
      <c r="R682">
        <v>0</v>
      </c>
      <c r="S682">
        <v>0</v>
      </c>
      <c r="T682">
        <v>0</v>
      </c>
      <c r="U682">
        <v>0</v>
      </c>
      <c r="V682">
        <v>100</v>
      </c>
      <c r="W682">
        <v>0</v>
      </c>
      <c r="X682">
        <v>0</v>
      </c>
      <c r="Y682">
        <v>0</v>
      </c>
      <c r="Z682" s="20">
        <v>0</v>
      </c>
      <c r="AA682" s="19">
        <f>IFERROR(PROPERTIES[[#This Row],[TE_STARTING_KN]]/(PROPERTIES[[#This Row],[WEIGHT]]*9.81),0)</f>
        <v>0</v>
      </c>
      <c r="AB682" s="19">
        <v>0.3</v>
      </c>
      <c r="AC682" s="16">
        <f>ROUND(IF(IFERROR(PROPERTIES[[#This Row],[TE_COEFFICIENT_CALC]],0)=0,PROPERTIES[[#This Row],[TE_COEFFICIENT_MANUAL]],PROPERTIES[[#This Row],[TE_COEFFICIENT_CALC]]),3)</f>
        <v>0.3</v>
      </c>
      <c r="AD682" s="8" cm="1">
        <f t="array" ref="AD6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2" s="26">
        <v>0</v>
      </c>
      <c r="AF682" s="6">
        <v>0</v>
      </c>
      <c r="AG682" t="s">
        <v>241</v>
      </c>
      <c r="AH682" t="s">
        <v>229</v>
      </c>
      <c r="AI682" t="s">
        <v>229</v>
      </c>
      <c r="AJ682" s="2" t="s">
        <v>229</v>
      </c>
      <c r="AK682" s="2" t="s">
        <v>244</v>
      </c>
      <c r="AL68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2" s="2" t="str">
        <f>SUBSTITUTE(SUBSTITUTE(PROPERTIES[[#This Row],[PURCHASECOST_VALUE]], "PURCHASECOST_", ""), "_VALUE", "")</f>
        <v>WAGON</v>
      </c>
      <c r="AO682" s="44" t="b">
        <v>0</v>
      </c>
      <c r="AP682" s="48" t="b">
        <v>0</v>
      </c>
      <c r="AQ682" s="48" t="b">
        <v>0</v>
      </c>
      <c r="AR682" s="48">
        <v>2</v>
      </c>
      <c r="AS682" s="48" t="b">
        <v>1</v>
      </c>
      <c r="AT682" s="7" t="b">
        <v>0</v>
      </c>
      <c r="AU682" s="40" t="str" cm="1">
        <f t="array" ref="AU682">_xlfn.XLOOKUP(PROPERTIES[[#This Row],[VEHIDCODE]],GRAPHICS_PROPERTIES[VEHIDCODE],GRAPHICS_PROPERTIES[TEMPLATE_ID]&amp;GRAPHICS_PROPERTIES[TEMPLATE_AMENDMENT_CODE])</f>
        <v>TPL_04B</v>
      </c>
    </row>
    <row r="683" spans="1:47" x14ac:dyDescent="0.35">
      <c r="A683" s="2" t="s">
        <v>177</v>
      </c>
      <c r="B683">
        <v>1960</v>
      </c>
      <c r="D683" cm="1">
        <f t="array" ref="D6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3" s="40" t="str">
        <f>_xlfn.XLOOKUP(PROPERTIES[[#This Row],[VEHIDCODE]],CONTROL[VEHIDCODE],CONTROL[ENGLISH])</f>
        <v>4th Gen Self-discharging Hopper [Non-Food]</v>
      </c>
      <c r="G683" s="40" t="str">
        <f>_xlfn.XLOOKUP(PROPERTIES[[#This Row],[COUNTRY]],COUNTRIES[COUNTRY_DESCRIPTION],COUNTRIES[COUNTRY_LABEL],"")</f>
        <v/>
      </c>
      <c r="H683" t="str" cm="1">
        <f t="array" ref="H6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3" t="s">
        <v>3668</v>
      </c>
      <c r="J683">
        <v>55</v>
      </c>
      <c r="K683">
        <v>7</v>
      </c>
      <c r="L683">
        <v>0</v>
      </c>
      <c r="M683" t="str" cm="1">
        <f t="array" ref="M6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3">
        <f>_xlfn.XLOOKUP("LOADINGSPEEDDEF_"&amp;PROPERTIES[[#This Row],[LOADINGSPEED]],LOADINGSPEEDDEF[TYPE],LOADINGSPEEDDEF[SPEED])</f>
        <v>20</v>
      </c>
      <c r="O683" cm="1">
        <f t="array" ref="O6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3">
        <f>IF(ISNUMBER(SEARCH("passenger",PROPERTIES[[#This Row],[CARGODEF]])),1,0)</f>
        <v>0</v>
      </c>
      <c r="Q683" s="23">
        <v>25</v>
      </c>
      <c r="R683">
        <v>0</v>
      </c>
      <c r="S683">
        <v>0</v>
      </c>
      <c r="T683">
        <v>0</v>
      </c>
      <c r="U683">
        <v>0</v>
      </c>
      <c r="V683">
        <v>100</v>
      </c>
      <c r="W683">
        <v>0</v>
      </c>
      <c r="X683">
        <v>0</v>
      </c>
      <c r="Y683">
        <v>0</v>
      </c>
      <c r="Z683" s="20">
        <v>0</v>
      </c>
      <c r="AA683" s="19">
        <f>IFERROR(PROPERTIES[[#This Row],[TE_STARTING_KN]]/(PROPERTIES[[#This Row],[WEIGHT]]*9.81),0)</f>
        <v>0</v>
      </c>
      <c r="AB683" s="19">
        <v>0.3</v>
      </c>
      <c r="AC683" s="16">
        <f>ROUND(IF(IFERROR(PROPERTIES[[#This Row],[TE_COEFFICIENT_CALC]],0)=0,PROPERTIES[[#This Row],[TE_COEFFICIENT_MANUAL]],PROPERTIES[[#This Row],[TE_COEFFICIENT_CALC]]),3)</f>
        <v>0.3</v>
      </c>
      <c r="AD683" s="8" cm="1">
        <f t="array" ref="AD6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3" s="26">
        <v>0</v>
      </c>
      <c r="AF683" s="6">
        <v>0</v>
      </c>
      <c r="AG683" t="s">
        <v>241</v>
      </c>
      <c r="AH683" t="s">
        <v>229</v>
      </c>
      <c r="AI683" t="s">
        <v>229</v>
      </c>
      <c r="AJ683" s="2" t="s">
        <v>229</v>
      </c>
      <c r="AK683" s="2" t="s">
        <v>244</v>
      </c>
      <c r="AL68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3" s="2" t="str">
        <f>SUBSTITUTE(SUBSTITUTE(PROPERTIES[[#This Row],[PURCHASECOST_VALUE]], "PURCHASECOST_", ""), "_VALUE", "")</f>
        <v>WAGON</v>
      </c>
      <c r="AO683" s="44" t="b">
        <v>0</v>
      </c>
      <c r="AP683" s="48" t="b">
        <v>0</v>
      </c>
      <c r="AQ683" s="48" t="b">
        <v>0</v>
      </c>
      <c r="AR683" s="48">
        <v>2</v>
      </c>
      <c r="AS683" s="48" t="b">
        <v>0</v>
      </c>
      <c r="AT683" s="7" t="b">
        <v>0</v>
      </c>
      <c r="AU683" s="40" t="str" cm="1">
        <f t="array" ref="AU683">_xlfn.XLOOKUP(PROPERTIES[[#This Row],[VEHIDCODE]],GRAPHICS_PROPERTIES[VEHIDCODE],GRAPHICS_PROPERTIES[TEMPLATE_ID]&amp;GRAPHICS_PROPERTIES[TEMPLATE_AMENDMENT_CODE])</f>
        <v>TPL_04B</v>
      </c>
    </row>
    <row r="684" spans="1:47" x14ac:dyDescent="0.35">
      <c r="A684" s="2" t="s">
        <v>178</v>
      </c>
      <c r="B684">
        <v>1960</v>
      </c>
      <c r="D684" cm="1">
        <f t="array" ref="D6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4" s="40" t="str">
        <f>_xlfn.XLOOKUP(PROPERTIES[[#This Row],[VEHIDCODE]],CONTROL[VEHIDCODE],CONTROL[ENGLISH])</f>
        <v>4th Gen Car Transporter</v>
      </c>
      <c r="G684" s="40" t="str">
        <f>_xlfn.XLOOKUP(PROPERTIES[[#This Row],[COUNTRY]],COUNTRIES[COUNTRY_DESCRIPTION],COUNTRIES[COUNTRY_LABEL],"")</f>
        <v/>
      </c>
      <c r="H684" t="str" cm="1">
        <f t="array" ref="H6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4" t="s">
        <v>26</v>
      </c>
      <c r="J684">
        <v>16</v>
      </c>
      <c r="K684">
        <v>7</v>
      </c>
      <c r="L684">
        <v>0</v>
      </c>
      <c r="M684" t="str" cm="1">
        <f t="array" ref="M6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4">
        <f>_xlfn.XLOOKUP("LOADINGSPEEDDEF_"&amp;PROPERTIES[[#This Row],[LOADINGSPEED]],LOADINGSPEEDDEF[TYPE],LOADINGSPEEDDEF[SPEED])</f>
        <v>20</v>
      </c>
      <c r="O684" cm="1">
        <f t="array" ref="O6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4">
        <f>IF(ISNUMBER(SEARCH("passenger",PROPERTIES[[#This Row],[CARGODEF]])),1,0)</f>
        <v>0</v>
      </c>
      <c r="Q684" s="23">
        <v>26</v>
      </c>
      <c r="R684">
        <v>0</v>
      </c>
      <c r="S684">
        <v>0</v>
      </c>
      <c r="T684">
        <v>0</v>
      </c>
      <c r="U684">
        <v>0</v>
      </c>
      <c r="V684">
        <v>100</v>
      </c>
      <c r="W684">
        <v>0</v>
      </c>
      <c r="X684">
        <v>0</v>
      </c>
      <c r="Y684">
        <v>0</v>
      </c>
      <c r="Z684" s="20">
        <v>0</v>
      </c>
      <c r="AA684" s="19">
        <f>IFERROR(PROPERTIES[[#This Row],[TE_STARTING_KN]]/(PROPERTIES[[#This Row],[WEIGHT]]*9.81),0)</f>
        <v>0</v>
      </c>
      <c r="AB684" s="19">
        <v>0.3</v>
      </c>
      <c r="AC684" s="16">
        <f>ROUND(IF(IFERROR(PROPERTIES[[#This Row],[TE_COEFFICIENT_CALC]],0)=0,PROPERTIES[[#This Row],[TE_COEFFICIENT_MANUAL]],PROPERTIES[[#This Row],[TE_COEFFICIENT_CALC]]),3)</f>
        <v>0.3</v>
      </c>
      <c r="AD684" s="8" cm="1">
        <f t="array" ref="AD6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4" s="26">
        <v>0</v>
      </c>
      <c r="AF684" s="6">
        <v>0</v>
      </c>
      <c r="AG684" t="s">
        <v>241</v>
      </c>
      <c r="AH684" t="s">
        <v>229</v>
      </c>
      <c r="AI684" t="s">
        <v>229</v>
      </c>
      <c r="AJ684" s="2" t="s">
        <v>229</v>
      </c>
      <c r="AK684" s="2" t="s">
        <v>244</v>
      </c>
      <c r="AL68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4" s="2" t="str">
        <f>SUBSTITUTE(SUBSTITUTE(PROPERTIES[[#This Row],[PURCHASECOST_VALUE]], "PURCHASECOST_", ""), "_VALUE", "")</f>
        <v>WAGON</v>
      </c>
      <c r="AO684" s="44" t="b">
        <v>0</v>
      </c>
      <c r="AP684" s="48" t="b">
        <v>0</v>
      </c>
      <c r="AQ684" s="48" t="b">
        <v>0</v>
      </c>
      <c r="AR684" s="48">
        <v>2</v>
      </c>
      <c r="AS684" s="48" t="b">
        <v>0</v>
      </c>
      <c r="AT684" s="7" t="b">
        <v>0</v>
      </c>
      <c r="AU684" s="40" t="str" cm="1">
        <f t="array" ref="AU684">_xlfn.XLOOKUP(PROPERTIES[[#This Row],[VEHIDCODE]],GRAPHICS_PROPERTIES[VEHIDCODE],GRAPHICS_PROPERTIES[TEMPLATE_ID]&amp;GRAPHICS_PROPERTIES[TEMPLATE_AMENDMENT_CODE])</f>
        <v>TPL_04B</v>
      </c>
    </row>
    <row r="685" spans="1:47" x14ac:dyDescent="0.35">
      <c r="A685" s="2" t="s">
        <v>179</v>
      </c>
      <c r="B685">
        <v>1960</v>
      </c>
      <c r="D685" cm="1">
        <f t="array" ref="D6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5" s="40" t="str">
        <f>_xlfn.XLOOKUP(PROPERTIES[[#This Row],[VEHIDCODE]],CONTROL[VEHIDCODE],CONTROL[ENGLISH])</f>
        <v>4th Gen Container Carrier</v>
      </c>
      <c r="G685" s="40" t="str">
        <f>_xlfn.XLOOKUP(PROPERTIES[[#This Row],[COUNTRY]],COUNTRIES[COUNTRY_DESCRIPTION],COUNTRIES[COUNTRY_LABEL],"")</f>
        <v/>
      </c>
      <c r="H685" t="str" cm="1">
        <f t="array" ref="H6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5" t="s">
        <v>24</v>
      </c>
      <c r="J685">
        <v>37</v>
      </c>
      <c r="K685">
        <v>7</v>
      </c>
      <c r="L685">
        <v>0</v>
      </c>
      <c r="M685" t="str" cm="1">
        <f t="array" ref="M6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5">
        <f>_xlfn.XLOOKUP("LOADINGSPEEDDEF_"&amp;PROPERTIES[[#This Row],[LOADINGSPEED]],LOADINGSPEEDDEF[TYPE],LOADINGSPEEDDEF[SPEED])</f>
        <v>20</v>
      </c>
      <c r="O685" cm="1">
        <f t="array" ref="O6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5">
        <f>IF(ISNUMBER(SEARCH("passenger",PROPERTIES[[#This Row],[CARGODEF]])),1,0)</f>
        <v>0</v>
      </c>
      <c r="Q685" s="23">
        <v>19</v>
      </c>
      <c r="R685">
        <v>0</v>
      </c>
      <c r="S685">
        <v>0</v>
      </c>
      <c r="T685">
        <v>0</v>
      </c>
      <c r="U685">
        <v>0</v>
      </c>
      <c r="V685">
        <v>120</v>
      </c>
      <c r="W685">
        <v>0</v>
      </c>
      <c r="X685">
        <v>0</v>
      </c>
      <c r="Y685">
        <v>0</v>
      </c>
      <c r="Z685" s="20">
        <v>0</v>
      </c>
      <c r="AA685" s="19">
        <f>IFERROR(PROPERTIES[[#This Row],[TE_STARTING_KN]]/(PROPERTIES[[#This Row],[WEIGHT]]*9.81),0)</f>
        <v>0</v>
      </c>
      <c r="AB685" s="19">
        <v>0.3</v>
      </c>
      <c r="AC685" s="16">
        <f>ROUND(IF(IFERROR(PROPERTIES[[#This Row],[TE_COEFFICIENT_CALC]],0)=0,PROPERTIES[[#This Row],[TE_COEFFICIENT_MANUAL]],PROPERTIES[[#This Row],[TE_COEFFICIENT_CALC]]),3)</f>
        <v>0.3</v>
      </c>
      <c r="AD685" s="8" cm="1">
        <f t="array" ref="AD6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5" s="26">
        <v>0</v>
      </c>
      <c r="AF685" s="6">
        <v>0</v>
      </c>
      <c r="AG685" t="s">
        <v>241</v>
      </c>
      <c r="AH685" t="s">
        <v>229</v>
      </c>
      <c r="AI685" t="s">
        <v>229</v>
      </c>
      <c r="AJ685" s="2" t="s">
        <v>229</v>
      </c>
      <c r="AK685" s="2" t="s">
        <v>244</v>
      </c>
      <c r="AL68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5" s="2" t="str">
        <f>SUBSTITUTE(SUBSTITUTE(PROPERTIES[[#This Row],[PURCHASECOST_VALUE]], "PURCHASECOST_", ""), "_VALUE", "")</f>
        <v>WAGON</v>
      </c>
      <c r="AO685" s="44" t="b">
        <v>0</v>
      </c>
      <c r="AP685" s="48" t="b">
        <v>0</v>
      </c>
      <c r="AQ685" s="48" t="b">
        <v>0</v>
      </c>
      <c r="AR685" s="48">
        <v>2</v>
      </c>
      <c r="AS685" s="48" t="b">
        <v>0</v>
      </c>
      <c r="AT685" s="7" t="b">
        <v>0</v>
      </c>
      <c r="AU685" s="40" t="str" cm="1">
        <f t="array" ref="AU685">_xlfn.XLOOKUP(PROPERTIES[[#This Row],[VEHIDCODE]],GRAPHICS_PROPERTIES[VEHIDCODE],GRAPHICS_PROPERTIES[TEMPLATE_ID]&amp;GRAPHICS_PROPERTIES[TEMPLATE_AMENDMENT_CODE])</f>
        <v>TPL_04B</v>
      </c>
    </row>
    <row r="686" spans="1:47" x14ac:dyDescent="0.35">
      <c r="A686" s="2" t="s">
        <v>180</v>
      </c>
      <c r="B686">
        <v>1950</v>
      </c>
      <c r="D686" cm="1">
        <f t="array" ref="D6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6" s="40" t="str">
        <f>_xlfn.XLOOKUP(PROPERTIES[[#This Row],[VEHIDCODE]],CONTROL[VEHIDCODE],CONTROL[ENGLISH])</f>
        <v>4th Gen Centerbeam Flatcar</v>
      </c>
      <c r="G686" s="40" t="str">
        <f>_xlfn.XLOOKUP(PROPERTIES[[#This Row],[COUNTRY]],COUNTRIES[COUNTRY_DESCRIPTION],COUNTRIES[COUNTRY_LABEL],"")</f>
        <v/>
      </c>
      <c r="H686" t="str" cm="1">
        <f t="array" ref="H6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6" t="s">
        <v>27</v>
      </c>
      <c r="J686">
        <v>45</v>
      </c>
      <c r="K686">
        <v>7</v>
      </c>
      <c r="L686">
        <v>0</v>
      </c>
      <c r="M686" t="str" cm="1">
        <f t="array" ref="M6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6">
        <f>_xlfn.XLOOKUP("LOADINGSPEEDDEF_"&amp;PROPERTIES[[#This Row],[LOADINGSPEED]],LOADINGSPEEDDEF[TYPE],LOADINGSPEEDDEF[SPEED])</f>
        <v>20</v>
      </c>
      <c r="O686" cm="1">
        <f t="array" ref="O6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6">
        <f>IF(ISNUMBER(SEARCH("passenger",PROPERTIES[[#This Row],[CARGODEF]])),1,0)</f>
        <v>0</v>
      </c>
      <c r="Q686" s="23">
        <v>42</v>
      </c>
      <c r="R686">
        <v>0</v>
      </c>
      <c r="S686">
        <v>0</v>
      </c>
      <c r="T686">
        <v>0</v>
      </c>
      <c r="U686">
        <v>0</v>
      </c>
      <c r="V686">
        <v>100</v>
      </c>
      <c r="W686">
        <v>0</v>
      </c>
      <c r="X686">
        <v>0</v>
      </c>
      <c r="Y686">
        <v>0</v>
      </c>
      <c r="Z686" s="20">
        <v>0</v>
      </c>
      <c r="AA686" s="19">
        <f>IFERROR(PROPERTIES[[#This Row],[TE_STARTING_KN]]/(PROPERTIES[[#This Row],[WEIGHT]]*9.81),0)</f>
        <v>0</v>
      </c>
      <c r="AB686" s="19">
        <v>0.3</v>
      </c>
      <c r="AC686" s="16">
        <f>ROUND(IF(IFERROR(PROPERTIES[[#This Row],[TE_COEFFICIENT_CALC]],0)=0,PROPERTIES[[#This Row],[TE_COEFFICIENT_MANUAL]],PROPERTIES[[#This Row],[TE_COEFFICIENT_CALC]]),3)</f>
        <v>0.3</v>
      </c>
      <c r="AD686" s="8" cm="1">
        <f t="array" ref="AD6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6" s="26">
        <v>0</v>
      </c>
      <c r="AF686" s="6">
        <v>0</v>
      </c>
      <c r="AG686" t="s">
        <v>241</v>
      </c>
      <c r="AH686" t="s">
        <v>229</v>
      </c>
      <c r="AI686" t="s">
        <v>229</v>
      </c>
      <c r="AJ686" s="2" t="s">
        <v>229</v>
      </c>
      <c r="AK686" s="2" t="s">
        <v>244</v>
      </c>
      <c r="AL68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6" s="2" t="str">
        <f>SUBSTITUTE(SUBSTITUTE(PROPERTIES[[#This Row],[PURCHASECOST_VALUE]], "PURCHASECOST_", ""), "_VALUE", "")</f>
        <v>WAGON</v>
      </c>
      <c r="AO686" s="44" t="b">
        <v>0</v>
      </c>
      <c r="AP686" s="48" t="b">
        <v>0</v>
      </c>
      <c r="AQ686" s="48" t="b">
        <v>0</v>
      </c>
      <c r="AR686" s="48">
        <v>2</v>
      </c>
      <c r="AS686" s="48" t="b">
        <v>0</v>
      </c>
      <c r="AT686" s="7" t="b">
        <v>0</v>
      </c>
      <c r="AU686" s="40" t="str" cm="1">
        <f t="array" ref="AU686">_xlfn.XLOOKUP(PROPERTIES[[#This Row],[VEHIDCODE]],GRAPHICS_PROPERTIES[VEHIDCODE],GRAPHICS_PROPERTIES[TEMPLATE_ID]&amp;GRAPHICS_PROPERTIES[TEMPLATE_AMENDMENT_CODE])</f>
        <v>TPL_04B</v>
      </c>
    </row>
    <row r="687" spans="1:47" x14ac:dyDescent="0.35">
      <c r="A687" s="2" t="s">
        <v>181</v>
      </c>
      <c r="B687">
        <v>1990</v>
      </c>
      <c r="D687" cm="1">
        <f t="array" ref="D6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7" s="40" t="str">
        <f>_xlfn.XLOOKUP(PROPERTIES[[#This Row],[VEHIDCODE]],CONTROL[VEHIDCODE],CONTROL[ENGLISH])</f>
        <v>5th Gen Flatcar</v>
      </c>
      <c r="G687" s="40" t="str">
        <f>_xlfn.XLOOKUP(PROPERTIES[[#This Row],[COUNTRY]],COUNTRIES[COUNTRY_DESCRIPTION],COUNTRIES[COUNTRY_LABEL],"")</f>
        <v/>
      </c>
      <c r="H687" t="str" cm="1">
        <f t="array" ref="H6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7" t="s">
        <v>29</v>
      </c>
      <c r="J687">
        <v>60</v>
      </c>
      <c r="K687">
        <v>8</v>
      </c>
      <c r="L687">
        <v>0</v>
      </c>
      <c r="M687" t="str" cm="1">
        <f t="array" ref="M6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7">
        <f>_xlfn.XLOOKUP("LOADINGSPEEDDEF_"&amp;PROPERTIES[[#This Row],[LOADINGSPEED]],LOADINGSPEEDDEF[TYPE],LOADINGSPEEDDEF[SPEED])</f>
        <v>20</v>
      </c>
      <c r="O687" t="str" cm="1">
        <f t="array" ref="O6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87">
        <f>IF(ISNUMBER(SEARCH("passenger",PROPERTIES[[#This Row],[CARGODEF]])),1,0)</f>
        <v>0</v>
      </c>
      <c r="Q687" s="23">
        <v>23</v>
      </c>
      <c r="R687">
        <v>0</v>
      </c>
      <c r="S687">
        <v>0</v>
      </c>
      <c r="T687">
        <v>0</v>
      </c>
      <c r="U687">
        <v>0</v>
      </c>
      <c r="V687">
        <v>120</v>
      </c>
      <c r="W687">
        <v>0</v>
      </c>
      <c r="X687">
        <v>0</v>
      </c>
      <c r="Y687">
        <v>0</v>
      </c>
      <c r="Z687" s="20">
        <v>0</v>
      </c>
      <c r="AA687" s="19">
        <f>IFERROR(PROPERTIES[[#This Row],[TE_STARTING_KN]]/(PROPERTIES[[#This Row],[WEIGHT]]*9.81),0)</f>
        <v>0</v>
      </c>
      <c r="AB687" s="19">
        <v>0.3</v>
      </c>
      <c r="AC687" s="16">
        <f>ROUND(IF(IFERROR(PROPERTIES[[#This Row],[TE_COEFFICIENT_CALC]],0)=0,PROPERTIES[[#This Row],[TE_COEFFICIENT_MANUAL]],PROPERTIES[[#This Row],[TE_COEFFICIENT_CALC]]),3)</f>
        <v>0.3</v>
      </c>
      <c r="AD687" s="8" cm="1">
        <f t="array" ref="AD6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7" s="26">
        <v>0</v>
      </c>
      <c r="AF687" s="6">
        <v>0</v>
      </c>
      <c r="AG687" t="s">
        <v>241</v>
      </c>
      <c r="AH687" t="s">
        <v>229</v>
      </c>
      <c r="AI687" t="s">
        <v>229</v>
      </c>
      <c r="AJ687" s="2" t="s">
        <v>229</v>
      </c>
      <c r="AK687" s="2" t="s">
        <v>244</v>
      </c>
      <c r="AL68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7" s="2" t="str">
        <f>SUBSTITUTE(SUBSTITUTE(PROPERTIES[[#This Row],[PURCHASECOST_VALUE]], "PURCHASECOST_", ""), "_VALUE", "")</f>
        <v>WAGON</v>
      </c>
      <c r="AO687" s="44" t="b">
        <v>0</v>
      </c>
      <c r="AP687" s="48" t="b">
        <v>0</v>
      </c>
      <c r="AQ687" s="48" t="b">
        <v>0</v>
      </c>
      <c r="AR687" s="48">
        <v>2</v>
      </c>
      <c r="AS687" s="48" t="b">
        <v>0</v>
      </c>
      <c r="AT687" s="7" t="b">
        <v>0</v>
      </c>
      <c r="AU687" s="40" t="str" cm="1">
        <f t="array" ref="AU687">_xlfn.XLOOKUP(PROPERTIES[[#This Row],[VEHIDCODE]],GRAPHICS_PROPERTIES[VEHIDCODE],GRAPHICS_PROPERTIES[TEMPLATE_ID]&amp;GRAPHICS_PROPERTIES[TEMPLATE_AMENDMENT_CODE])</f>
        <v>TPL_04B</v>
      </c>
    </row>
    <row r="688" spans="1:47" x14ac:dyDescent="0.35">
      <c r="A688" s="2" t="s">
        <v>182</v>
      </c>
      <c r="B688">
        <v>2000</v>
      </c>
      <c r="D688" cm="1">
        <f t="array" ref="D6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8" s="40" t="str">
        <f>_xlfn.XLOOKUP(PROPERTIES[[#This Row],[VEHIDCODE]],CONTROL[VEHIDCODE],CONTROL[ENGLISH])</f>
        <v>5th Gen Heavy Flatcar</v>
      </c>
      <c r="G688" s="40" t="str">
        <f>_xlfn.XLOOKUP(PROPERTIES[[#This Row],[COUNTRY]],COUNTRIES[COUNTRY_DESCRIPTION],COUNTRIES[COUNTRY_LABEL],"")</f>
        <v/>
      </c>
      <c r="H688" t="str" cm="1">
        <f t="array" ref="H6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8" t="s">
        <v>31</v>
      </c>
      <c r="J688">
        <v>84</v>
      </c>
      <c r="K688">
        <v>8</v>
      </c>
      <c r="L688">
        <v>0</v>
      </c>
      <c r="M688" t="str" cm="1">
        <f t="array" ref="M6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8">
        <f>_xlfn.XLOOKUP("LOADINGSPEEDDEF_"&amp;PROPERTIES[[#This Row],[LOADINGSPEED]],LOADINGSPEEDDEF[TYPE],LOADINGSPEEDDEF[SPEED])</f>
        <v>20</v>
      </c>
      <c r="O688" t="str" cm="1">
        <f t="array" ref="O6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88">
        <f>IF(ISNUMBER(SEARCH("passenger",PROPERTIES[[#This Row],[CARGODEF]])),1,0)</f>
        <v>0</v>
      </c>
      <c r="Q688" s="23">
        <v>42</v>
      </c>
      <c r="R688">
        <v>0</v>
      </c>
      <c r="S688">
        <v>0</v>
      </c>
      <c r="T688">
        <v>0</v>
      </c>
      <c r="U688">
        <v>0</v>
      </c>
      <c r="V688">
        <v>100</v>
      </c>
      <c r="W688">
        <v>0</v>
      </c>
      <c r="X688">
        <v>0</v>
      </c>
      <c r="Y688">
        <v>0</v>
      </c>
      <c r="Z688" s="20">
        <v>0</v>
      </c>
      <c r="AA688" s="19">
        <f>IFERROR(PROPERTIES[[#This Row],[TE_STARTING_KN]]/(PROPERTIES[[#This Row],[WEIGHT]]*9.81),0)</f>
        <v>0</v>
      </c>
      <c r="AB688" s="19">
        <v>0.3</v>
      </c>
      <c r="AC688" s="16">
        <f>ROUND(IF(IFERROR(PROPERTIES[[#This Row],[TE_COEFFICIENT_CALC]],0)=0,PROPERTIES[[#This Row],[TE_COEFFICIENT_MANUAL]],PROPERTIES[[#This Row],[TE_COEFFICIENT_CALC]]),3)</f>
        <v>0.3</v>
      </c>
      <c r="AD688" s="8" cm="1">
        <f t="array" ref="AD6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8" s="26">
        <v>0</v>
      </c>
      <c r="AF688" s="6">
        <v>0</v>
      </c>
      <c r="AG688" t="s">
        <v>241</v>
      </c>
      <c r="AH688" t="s">
        <v>229</v>
      </c>
      <c r="AI688" t="s">
        <v>229</v>
      </c>
      <c r="AJ688" s="2" t="s">
        <v>229</v>
      </c>
      <c r="AK688" s="2" t="s">
        <v>244</v>
      </c>
      <c r="AL68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8" s="2" t="str">
        <f>SUBSTITUTE(SUBSTITUTE(PROPERTIES[[#This Row],[PURCHASECOST_VALUE]], "PURCHASECOST_", ""), "_VALUE", "")</f>
        <v>WAGON</v>
      </c>
      <c r="AO688" s="44" t="b">
        <v>0</v>
      </c>
      <c r="AP688" s="48" t="b">
        <v>0</v>
      </c>
      <c r="AQ688" s="48" t="b">
        <v>0</v>
      </c>
      <c r="AR688" s="48">
        <v>2</v>
      </c>
      <c r="AS688" s="48" t="b">
        <v>0</v>
      </c>
      <c r="AT688" s="7" t="b">
        <v>0</v>
      </c>
      <c r="AU688" s="40" t="str" cm="1">
        <f t="array" ref="AU688">_xlfn.XLOOKUP(PROPERTIES[[#This Row],[VEHIDCODE]],GRAPHICS_PROPERTIES[VEHIDCODE],GRAPHICS_PROPERTIES[TEMPLATE_ID]&amp;GRAPHICS_PROPERTIES[TEMPLATE_AMENDMENT_CODE])</f>
        <v>TPL_04B</v>
      </c>
    </row>
    <row r="689" spans="1:47" x14ac:dyDescent="0.35">
      <c r="A689" s="2" t="s">
        <v>183</v>
      </c>
      <c r="B689">
        <v>1990</v>
      </c>
      <c r="D689" cm="1">
        <f t="array" ref="D6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9" s="40" t="str">
        <f>_xlfn.XLOOKUP(PROPERTIES[[#This Row],[VEHIDCODE]],CONTROL[VEHIDCODE],CONTROL[ENGLISH])</f>
        <v>5th Gen Boxcar [Food]</v>
      </c>
      <c r="G689" s="40" t="str">
        <f>_xlfn.XLOOKUP(PROPERTIES[[#This Row],[COUNTRY]],COUNTRIES[COUNTRY_DESCRIPTION],COUNTRIES[COUNTRY_LABEL],"")</f>
        <v/>
      </c>
      <c r="H689" t="str" cm="1">
        <f t="array" ref="H6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9" t="s">
        <v>3672</v>
      </c>
      <c r="J689">
        <v>63</v>
      </c>
      <c r="K689">
        <v>8</v>
      </c>
      <c r="L689">
        <v>0</v>
      </c>
      <c r="M689" t="str" cm="1">
        <f t="array" ref="M6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9">
        <f>_xlfn.XLOOKUP("LOADINGSPEEDDEF_"&amp;PROPERTIES[[#This Row],[LOADINGSPEED]],LOADINGSPEEDDEF[TYPE],LOADINGSPEEDDEF[SPEED])</f>
        <v>20</v>
      </c>
      <c r="O689" t="str" cm="1">
        <f t="array" ref="O6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89">
        <f>IF(ISNUMBER(SEARCH("passenger",PROPERTIES[[#This Row],[CARGODEF]])),1,0)</f>
        <v>0</v>
      </c>
      <c r="Q689" s="23">
        <v>27</v>
      </c>
      <c r="R689">
        <v>0</v>
      </c>
      <c r="S689">
        <v>0</v>
      </c>
      <c r="T689">
        <v>0</v>
      </c>
      <c r="U689">
        <v>0</v>
      </c>
      <c r="V689">
        <v>120</v>
      </c>
      <c r="W689">
        <v>0</v>
      </c>
      <c r="X689">
        <v>0</v>
      </c>
      <c r="Y689">
        <v>0</v>
      </c>
      <c r="Z689" s="20">
        <v>0</v>
      </c>
      <c r="AA689" s="19">
        <f>IFERROR(PROPERTIES[[#This Row],[TE_STARTING_KN]]/(PROPERTIES[[#This Row],[WEIGHT]]*9.81),0)</f>
        <v>0</v>
      </c>
      <c r="AB689" s="19">
        <v>0.3</v>
      </c>
      <c r="AC689" s="16">
        <f>ROUND(IF(IFERROR(PROPERTIES[[#This Row],[TE_COEFFICIENT_CALC]],0)=0,PROPERTIES[[#This Row],[TE_COEFFICIENT_MANUAL]],PROPERTIES[[#This Row],[TE_COEFFICIENT_CALC]]),3)</f>
        <v>0.3</v>
      </c>
      <c r="AD689" s="8" cm="1">
        <f t="array" ref="AD6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9" s="26">
        <v>0</v>
      </c>
      <c r="AF689" s="6">
        <v>0</v>
      </c>
      <c r="AG689" t="s">
        <v>241</v>
      </c>
      <c r="AH689" t="s">
        <v>229</v>
      </c>
      <c r="AI689" t="s">
        <v>229</v>
      </c>
      <c r="AJ689" s="2" t="s">
        <v>229</v>
      </c>
      <c r="AK689" s="2" t="s">
        <v>244</v>
      </c>
      <c r="AL68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9" s="2" t="str">
        <f>SUBSTITUTE(SUBSTITUTE(PROPERTIES[[#This Row],[PURCHASECOST_VALUE]], "PURCHASECOST_", ""), "_VALUE", "")</f>
        <v>WAGON</v>
      </c>
      <c r="AO689" s="44" t="b">
        <v>0</v>
      </c>
      <c r="AP689" s="48" t="b">
        <v>0</v>
      </c>
      <c r="AQ689" s="48" t="b">
        <v>0</v>
      </c>
      <c r="AR689" s="48">
        <v>2</v>
      </c>
      <c r="AS689" s="48" t="b">
        <v>0</v>
      </c>
      <c r="AT689" s="7" t="b">
        <v>0</v>
      </c>
      <c r="AU689" s="40" t="str" cm="1">
        <f t="array" ref="AU689">_xlfn.XLOOKUP(PROPERTIES[[#This Row],[VEHIDCODE]],GRAPHICS_PROPERTIES[VEHIDCODE],GRAPHICS_PROPERTIES[TEMPLATE_ID]&amp;GRAPHICS_PROPERTIES[TEMPLATE_AMENDMENT_CODE])</f>
        <v>TPL_04B</v>
      </c>
    </row>
    <row r="690" spans="1:47" x14ac:dyDescent="0.35">
      <c r="A690" s="2" t="s">
        <v>184</v>
      </c>
      <c r="B690">
        <v>1990</v>
      </c>
      <c r="D690" cm="1">
        <f t="array" ref="D6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0" s="40" t="str">
        <f>_xlfn.XLOOKUP(PROPERTIES[[#This Row],[VEHIDCODE]],CONTROL[VEHIDCODE],CONTROL[ENGLISH])</f>
        <v>5th Gen Boxcar [Non-Food]</v>
      </c>
      <c r="G690" s="40" t="str">
        <f>_xlfn.XLOOKUP(PROPERTIES[[#This Row],[COUNTRY]],COUNTRIES[COUNTRY_DESCRIPTION],COUNTRIES[COUNTRY_LABEL],"")</f>
        <v/>
      </c>
      <c r="H690" t="str" cm="1">
        <f t="array" ref="H6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0" t="s">
        <v>3671</v>
      </c>
      <c r="J690">
        <v>63</v>
      </c>
      <c r="K690">
        <v>8</v>
      </c>
      <c r="L690">
        <v>0</v>
      </c>
      <c r="M690" t="str" cm="1">
        <f t="array" ref="M6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0">
        <f>_xlfn.XLOOKUP("LOADINGSPEEDDEF_"&amp;PROPERTIES[[#This Row],[LOADINGSPEED]],LOADINGSPEEDDEF[TYPE],LOADINGSPEEDDEF[SPEED])</f>
        <v>20</v>
      </c>
      <c r="O690" t="str" cm="1">
        <f t="array" ref="O6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0">
        <f>IF(ISNUMBER(SEARCH("passenger",PROPERTIES[[#This Row],[CARGODEF]])),1,0)</f>
        <v>0</v>
      </c>
      <c r="Q690" s="23">
        <v>27</v>
      </c>
      <c r="R690">
        <v>0</v>
      </c>
      <c r="S690">
        <v>0</v>
      </c>
      <c r="T690">
        <v>0</v>
      </c>
      <c r="U690">
        <v>0</v>
      </c>
      <c r="V690">
        <v>120</v>
      </c>
      <c r="W690">
        <v>0</v>
      </c>
      <c r="X690">
        <v>0</v>
      </c>
      <c r="Y690">
        <v>0</v>
      </c>
      <c r="Z690" s="20">
        <v>0</v>
      </c>
      <c r="AA690" s="19">
        <f>IFERROR(PROPERTIES[[#This Row],[TE_STARTING_KN]]/(PROPERTIES[[#This Row],[WEIGHT]]*9.81),0)</f>
        <v>0</v>
      </c>
      <c r="AB690" s="19">
        <v>0.3</v>
      </c>
      <c r="AC690" s="16">
        <f>ROUND(IF(IFERROR(PROPERTIES[[#This Row],[TE_COEFFICIENT_CALC]],0)=0,PROPERTIES[[#This Row],[TE_COEFFICIENT_MANUAL]],PROPERTIES[[#This Row],[TE_COEFFICIENT_CALC]]),3)</f>
        <v>0.3</v>
      </c>
      <c r="AD690" s="8" cm="1">
        <f t="array" ref="AD6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0" s="26">
        <v>0</v>
      </c>
      <c r="AF690" s="6">
        <v>0</v>
      </c>
      <c r="AG690" t="s">
        <v>241</v>
      </c>
      <c r="AH690" t="s">
        <v>229</v>
      </c>
      <c r="AI690" t="s">
        <v>229</v>
      </c>
      <c r="AJ690" s="2" t="s">
        <v>229</v>
      </c>
      <c r="AK690" s="2" t="s">
        <v>244</v>
      </c>
      <c r="AL69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0" s="2" t="str">
        <f>SUBSTITUTE(SUBSTITUTE(PROPERTIES[[#This Row],[PURCHASECOST_VALUE]], "PURCHASECOST_", ""), "_VALUE", "")</f>
        <v>WAGON</v>
      </c>
      <c r="AO690" s="44" t="b">
        <v>0</v>
      </c>
      <c r="AP690" s="48" t="b">
        <v>0</v>
      </c>
      <c r="AQ690" s="48" t="b">
        <v>0</v>
      </c>
      <c r="AR690" s="48">
        <v>2</v>
      </c>
      <c r="AS690" s="48" t="b">
        <v>0</v>
      </c>
      <c r="AT690" s="7" t="b">
        <v>0</v>
      </c>
      <c r="AU690" s="40" t="str" cm="1">
        <f t="array" ref="AU690">_xlfn.XLOOKUP(PROPERTIES[[#This Row],[VEHIDCODE]],GRAPHICS_PROPERTIES[VEHIDCODE],GRAPHICS_PROPERTIES[TEMPLATE_ID]&amp;GRAPHICS_PROPERTIES[TEMPLATE_AMENDMENT_CODE])</f>
        <v>TPL_04B</v>
      </c>
    </row>
    <row r="691" spans="1:47" x14ac:dyDescent="0.35">
      <c r="A691" s="2" t="s">
        <v>185</v>
      </c>
      <c r="B691">
        <v>2000</v>
      </c>
      <c r="D691" cm="1">
        <f t="array" ref="D6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1" s="40" t="str">
        <f>_xlfn.XLOOKUP(PROPERTIES[[#This Row],[VEHIDCODE]],CONTROL[VEHIDCODE],CONTROL[ENGLISH])</f>
        <v>5th Gen Tanker</v>
      </c>
      <c r="G691" s="40" t="str">
        <f>_xlfn.XLOOKUP(PROPERTIES[[#This Row],[COUNTRY]],COUNTRIES[COUNTRY_DESCRIPTION],COUNTRIES[COUNTRY_LABEL],"")</f>
        <v/>
      </c>
      <c r="H691" t="str" cm="1">
        <f t="array" ref="H6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1" t="s">
        <v>35</v>
      </c>
      <c r="J691">
        <v>95</v>
      </c>
      <c r="K691">
        <v>8</v>
      </c>
      <c r="L691">
        <v>0</v>
      </c>
      <c r="M691" t="str" cm="1">
        <f t="array" ref="M6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1">
        <f>_xlfn.XLOOKUP("LOADINGSPEEDDEF_"&amp;PROPERTIES[[#This Row],[LOADINGSPEED]],LOADINGSPEEDDEF[TYPE],LOADINGSPEEDDEF[SPEED])</f>
        <v>20</v>
      </c>
      <c r="O691" t="str" cm="1">
        <f t="array" ref="O6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1">
        <f>IF(ISNUMBER(SEARCH("passenger",PROPERTIES[[#This Row],[CARGODEF]])),1,0)</f>
        <v>0</v>
      </c>
      <c r="Q691" s="23">
        <v>24</v>
      </c>
      <c r="R691">
        <v>0</v>
      </c>
      <c r="S691">
        <v>0</v>
      </c>
      <c r="T691">
        <v>0</v>
      </c>
      <c r="U691">
        <v>0</v>
      </c>
      <c r="V691">
        <v>120</v>
      </c>
      <c r="W691">
        <v>0</v>
      </c>
      <c r="X691">
        <v>0</v>
      </c>
      <c r="Y691">
        <v>0</v>
      </c>
      <c r="Z691" s="20">
        <v>0</v>
      </c>
      <c r="AA691" s="19">
        <f>IFERROR(PROPERTIES[[#This Row],[TE_STARTING_KN]]/(PROPERTIES[[#This Row],[WEIGHT]]*9.81),0)</f>
        <v>0</v>
      </c>
      <c r="AB691" s="19">
        <v>0.3</v>
      </c>
      <c r="AC691" s="16">
        <f>ROUND(IF(IFERROR(PROPERTIES[[#This Row],[TE_COEFFICIENT_CALC]],0)=0,PROPERTIES[[#This Row],[TE_COEFFICIENT_MANUAL]],PROPERTIES[[#This Row],[TE_COEFFICIENT_CALC]]),3)</f>
        <v>0.3</v>
      </c>
      <c r="AD691" s="8" cm="1">
        <f t="array" ref="AD6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1" s="26">
        <v>0</v>
      </c>
      <c r="AF691" s="6">
        <v>0</v>
      </c>
      <c r="AG691" t="s">
        <v>241</v>
      </c>
      <c r="AH691" t="s">
        <v>229</v>
      </c>
      <c r="AI691" t="s">
        <v>229</v>
      </c>
      <c r="AJ691" s="2" t="s">
        <v>229</v>
      </c>
      <c r="AK691" s="2" t="s">
        <v>244</v>
      </c>
      <c r="AL69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1" s="2" t="str">
        <f>SUBSTITUTE(SUBSTITUTE(PROPERTIES[[#This Row],[PURCHASECOST_VALUE]], "PURCHASECOST_", ""), "_VALUE", "")</f>
        <v>WAGON</v>
      </c>
      <c r="AO691" s="44" t="b">
        <v>0</v>
      </c>
      <c r="AP691" s="48" t="b">
        <v>0</v>
      </c>
      <c r="AQ691" s="48" t="b">
        <v>0</v>
      </c>
      <c r="AR691" s="48">
        <v>2</v>
      </c>
      <c r="AS691" s="48" t="b">
        <v>0</v>
      </c>
      <c r="AT691" s="7" t="b">
        <v>0</v>
      </c>
      <c r="AU691" s="40" t="str" cm="1">
        <f t="array" ref="AU691">_xlfn.XLOOKUP(PROPERTIES[[#This Row],[VEHIDCODE]],GRAPHICS_PROPERTIES[VEHIDCODE],GRAPHICS_PROPERTIES[TEMPLATE_ID]&amp;GRAPHICS_PROPERTIES[TEMPLATE_AMENDMENT_CODE])</f>
        <v>TPL_04B</v>
      </c>
    </row>
    <row r="692" spans="1:47" x14ac:dyDescent="0.35">
      <c r="A692" s="2" t="s">
        <v>186</v>
      </c>
      <c r="B692">
        <v>1990</v>
      </c>
      <c r="D692" cm="1">
        <f t="array" ref="D6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2" s="40" t="str">
        <f>_xlfn.XLOOKUP(PROPERTIES[[#This Row],[VEHIDCODE]],CONTROL[VEHIDCODE],CONTROL[ENGLISH])</f>
        <v>5th Gen Gondola</v>
      </c>
      <c r="G692" s="40" t="str">
        <f>_xlfn.XLOOKUP(PROPERTIES[[#This Row],[COUNTRY]],COUNTRIES[COUNTRY_DESCRIPTION],COUNTRIES[COUNTRY_LABEL],"")</f>
        <v/>
      </c>
      <c r="H692" t="str" cm="1">
        <f t="array" ref="H6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2" t="s">
        <v>30</v>
      </c>
      <c r="J692">
        <v>65</v>
      </c>
      <c r="K692">
        <v>8</v>
      </c>
      <c r="L692">
        <v>0</v>
      </c>
      <c r="M692" t="str" cm="1">
        <f t="array" ref="M6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2">
        <f>_xlfn.XLOOKUP("LOADINGSPEEDDEF_"&amp;PROPERTIES[[#This Row],[LOADINGSPEED]],LOADINGSPEEDDEF[TYPE],LOADINGSPEEDDEF[SPEED])</f>
        <v>20</v>
      </c>
      <c r="O692" t="str" cm="1">
        <f t="array" ref="O6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2">
        <f>IF(ISNUMBER(SEARCH("passenger",PROPERTIES[[#This Row],[CARGODEF]])),1,0)</f>
        <v>0</v>
      </c>
      <c r="Q692" s="23">
        <v>22</v>
      </c>
      <c r="R692">
        <v>0</v>
      </c>
      <c r="S692">
        <v>0</v>
      </c>
      <c r="T692">
        <v>0</v>
      </c>
      <c r="U692">
        <v>0</v>
      </c>
      <c r="V692">
        <v>120</v>
      </c>
      <c r="W692">
        <v>0</v>
      </c>
      <c r="X692">
        <v>0</v>
      </c>
      <c r="Y692">
        <v>0</v>
      </c>
      <c r="Z692" s="20">
        <v>0</v>
      </c>
      <c r="AA692" s="19">
        <f>IFERROR(PROPERTIES[[#This Row],[TE_STARTING_KN]]/(PROPERTIES[[#This Row],[WEIGHT]]*9.81),0)</f>
        <v>0</v>
      </c>
      <c r="AB692" s="19">
        <v>0.3</v>
      </c>
      <c r="AC692" s="16">
        <f>ROUND(IF(IFERROR(PROPERTIES[[#This Row],[TE_COEFFICIENT_CALC]],0)=0,PROPERTIES[[#This Row],[TE_COEFFICIENT_MANUAL]],PROPERTIES[[#This Row],[TE_COEFFICIENT_CALC]]),3)</f>
        <v>0.3</v>
      </c>
      <c r="AD692" s="8" cm="1">
        <f t="array" ref="AD6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2" s="26">
        <v>0</v>
      </c>
      <c r="AF692" s="6">
        <v>0</v>
      </c>
      <c r="AG692" t="s">
        <v>241</v>
      </c>
      <c r="AH692" t="s">
        <v>229</v>
      </c>
      <c r="AI692" t="s">
        <v>229</v>
      </c>
      <c r="AJ692" s="2" t="s">
        <v>229</v>
      </c>
      <c r="AK692" s="2" t="s">
        <v>244</v>
      </c>
      <c r="AL69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2" s="2" t="str">
        <f>SUBSTITUTE(SUBSTITUTE(PROPERTIES[[#This Row],[PURCHASECOST_VALUE]], "PURCHASECOST_", ""), "_VALUE", "")</f>
        <v>WAGON</v>
      </c>
      <c r="AO692" s="44" t="b">
        <v>0</v>
      </c>
      <c r="AP692" s="48" t="b">
        <v>0</v>
      </c>
      <c r="AQ692" s="48" t="b">
        <v>0</v>
      </c>
      <c r="AR692" s="48">
        <v>2</v>
      </c>
      <c r="AS692" s="48" t="b">
        <v>1</v>
      </c>
      <c r="AT692" s="7" t="b">
        <v>0</v>
      </c>
      <c r="AU692" s="40" t="str" cm="1">
        <f t="array" ref="AU692">_xlfn.XLOOKUP(PROPERTIES[[#This Row],[VEHIDCODE]],GRAPHICS_PROPERTIES[VEHIDCODE],GRAPHICS_PROPERTIES[TEMPLATE_ID]&amp;GRAPHICS_PROPERTIES[TEMPLATE_AMENDMENT_CODE])</f>
        <v>TPL_04B</v>
      </c>
    </row>
    <row r="693" spans="1:47" x14ac:dyDescent="0.35">
      <c r="A693" s="2" t="s">
        <v>187</v>
      </c>
      <c r="B693">
        <v>2000</v>
      </c>
      <c r="D693" cm="1">
        <f t="array" ref="D6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3" s="40" t="str">
        <f>_xlfn.XLOOKUP(PROPERTIES[[#This Row],[VEHIDCODE]],CONTROL[VEHIDCODE],CONTROL[ENGLISH])</f>
        <v>5th Gen Silo [Food]</v>
      </c>
      <c r="G693" s="40" t="str">
        <f>_xlfn.XLOOKUP(PROPERTIES[[#This Row],[COUNTRY]],COUNTRIES[COUNTRY_DESCRIPTION],COUNTRIES[COUNTRY_LABEL],"")</f>
        <v/>
      </c>
      <c r="H693" t="str" cm="1">
        <f t="array" ref="H6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3" t="s">
        <v>3669</v>
      </c>
      <c r="J693">
        <v>65</v>
      </c>
      <c r="K693">
        <v>8</v>
      </c>
      <c r="L693">
        <v>0</v>
      </c>
      <c r="M693" t="str" cm="1">
        <f t="array" ref="M6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3">
        <f>_xlfn.XLOOKUP("LOADINGSPEEDDEF_"&amp;PROPERTIES[[#This Row],[LOADINGSPEED]],LOADINGSPEEDDEF[TYPE],LOADINGSPEEDDEF[SPEED])</f>
        <v>20</v>
      </c>
      <c r="O693" t="str" cm="1">
        <f t="array" ref="O6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3">
        <f>IF(ISNUMBER(SEARCH("passenger",PROPERTIES[[#This Row],[CARGODEF]])),1,0)</f>
        <v>0</v>
      </c>
      <c r="Q693" s="23">
        <v>27</v>
      </c>
      <c r="R693">
        <v>0</v>
      </c>
      <c r="S693">
        <v>0</v>
      </c>
      <c r="T693">
        <v>0</v>
      </c>
      <c r="U693">
        <v>0</v>
      </c>
      <c r="V693">
        <v>120</v>
      </c>
      <c r="W693">
        <v>0</v>
      </c>
      <c r="X693">
        <v>0</v>
      </c>
      <c r="Y693">
        <v>0</v>
      </c>
      <c r="Z693" s="20">
        <v>0</v>
      </c>
      <c r="AA693" s="19">
        <f>IFERROR(PROPERTIES[[#This Row],[TE_STARTING_KN]]/(PROPERTIES[[#This Row],[WEIGHT]]*9.81),0)</f>
        <v>0</v>
      </c>
      <c r="AB693" s="19">
        <v>0.3</v>
      </c>
      <c r="AC693" s="16">
        <f>ROUND(IF(IFERROR(PROPERTIES[[#This Row],[TE_COEFFICIENT_CALC]],0)=0,PROPERTIES[[#This Row],[TE_COEFFICIENT_MANUAL]],PROPERTIES[[#This Row],[TE_COEFFICIENT_CALC]]),3)</f>
        <v>0.3</v>
      </c>
      <c r="AD693" s="8" cm="1">
        <f t="array" ref="AD6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3" s="26">
        <v>0</v>
      </c>
      <c r="AF693" s="6">
        <v>0</v>
      </c>
      <c r="AG693" t="s">
        <v>241</v>
      </c>
      <c r="AH693" t="s">
        <v>229</v>
      </c>
      <c r="AI693" t="s">
        <v>229</v>
      </c>
      <c r="AJ693" s="2" t="s">
        <v>229</v>
      </c>
      <c r="AK693" s="2" t="s">
        <v>244</v>
      </c>
      <c r="AL69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3" s="2" t="str">
        <f>SUBSTITUTE(SUBSTITUTE(PROPERTIES[[#This Row],[PURCHASECOST_VALUE]], "PURCHASECOST_", ""), "_VALUE", "")</f>
        <v>WAGON</v>
      </c>
      <c r="AO693" s="44" t="b">
        <v>0</v>
      </c>
      <c r="AP693" s="48" t="b">
        <v>0</v>
      </c>
      <c r="AQ693" s="48" t="b">
        <v>0</v>
      </c>
      <c r="AR693" s="48">
        <v>2</v>
      </c>
      <c r="AS693" s="48" t="b">
        <v>0</v>
      </c>
      <c r="AT693" s="7" t="b">
        <v>0</v>
      </c>
      <c r="AU693" s="40" t="str" cm="1">
        <f t="array" ref="AU693">_xlfn.XLOOKUP(PROPERTIES[[#This Row],[VEHIDCODE]],GRAPHICS_PROPERTIES[VEHIDCODE],GRAPHICS_PROPERTIES[TEMPLATE_ID]&amp;GRAPHICS_PROPERTIES[TEMPLATE_AMENDMENT_CODE])</f>
        <v>TPL_04B</v>
      </c>
    </row>
    <row r="694" spans="1:47" x14ac:dyDescent="0.35">
      <c r="A694" s="2" t="s">
        <v>188</v>
      </c>
      <c r="B694">
        <v>2000</v>
      </c>
      <c r="D694" cm="1">
        <f t="array" ref="D6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4" s="40" t="str">
        <f>_xlfn.XLOOKUP(PROPERTIES[[#This Row],[VEHIDCODE]],CONTROL[VEHIDCODE],CONTROL[ENGLISH])</f>
        <v>5th Gen Silo [Non-Food]</v>
      </c>
      <c r="G694" s="40" t="str">
        <f>_xlfn.XLOOKUP(PROPERTIES[[#This Row],[COUNTRY]],COUNTRIES[COUNTRY_DESCRIPTION],COUNTRIES[COUNTRY_LABEL],"")</f>
        <v/>
      </c>
      <c r="H694" t="str" cm="1">
        <f t="array" ref="H6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4" t="s">
        <v>3670</v>
      </c>
      <c r="J694">
        <v>65</v>
      </c>
      <c r="K694">
        <v>8</v>
      </c>
      <c r="L694">
        <v>0</v>
      </c>
      <c r="M694" t="str" cm="1">
        <f t="array" ref="M6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4">
        <f>_xlfn.XLOOKUP("LOADINGSPEEDDEF_"&amp;PROPERTIES[[#This Row],[LOADINGSPEED]],LOADINGSPEEDDEF[TYPE],LOADINGSPEEDDEF[SPEED])</f>
        <v>20</v>
      </c>
      <c r="O694" t="str" cm="1">
        <f t="array" ref="O6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4">
        <f>IF(ISNUMBER(SEARCH("passenger",PROPERTIES[[#This Row],[CARGODEF]])),1,0)</f>
        <v>0</v>
      </c>
      <c r="Q694" s="23">
        <v>27</v>
      </c>
      <c r="R694">
        <v>0</v>
      </c>
      <c r="S694">
        <v>0</v>
      </c>
      <c r="T694">
        <v>0</v>
      </c>
      <c r="U694">
        <v>0</v>
      </c>
      <c r="V694">
        <v>120</v>
      </c>
      <c r="W694">
        <v>0</v>
      </c>
      <c r="X694">
        <v>0</v>
      </c>
      <c r="Y694">
        <v>0</v>
      </c>
      <c r="Z694" s="20">
        <v>0</v>
      </c>
      <c r="AA694" s="19">
        <f>IFERROR(PROPERTIES[[#This Row],[TE_STARTING_KN]]/(PROPERTIES[[#This Row],[WEIGHT]]*9.81),0)</f>
        <v>0</v>
      </c>
      <c r="AB694" s="19">
        <v>0.3</v>
      </c>
      <c r="AC694" s="16">
        <f>ROUND(IF(IFERROR(PROPERTIES[[#This Row],[TE_COEFFICIENT_CALC]],0)=0,PROPERTIES[[#This Row],[TE_COEFFICIENT_MANUAL]],PROPERTIES[[#This Row],[TE_COEFFICIENT_CALC]]),3)</f>
        <v>0.3</v>
      </c>
      <c r="AD694" s="8" cm="1">
        <f t="array" ref="AD6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4" s="26">
        <v>0</v>
      </c>
      <c r="AF694" s="6">
        <v>0</v>
      </c>
      <c r="AG694" t="s">
        <v>241</v>
      </c>
      <c r="AH694" t="s">
        <v>229</v>
      </c>
      <c r="AI694" t="s">
        <v>229</v>
      </c>
      <c r="AJ694" s="2" t="s">
        <v>229</v>
      </c>
      <c r="AK694" s="2" t="s">
        <v>244</v>
      </c>
      <c r="AL69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4" s="2" t="str">
        <f>SUBSTITUTE(SUBSTITUTE(PROPERTIES[[#This Row],[PURCHASECOST_VALUE]], "PURCHASECOST_", ""), "_VALUE", "")</f>
        <v>WAGON</v>
      </c>
      <c r="AO694" s="44" t="b">
        <v>0</v>
      </c>
      <c r="AP694" s="48" t="b">
        <v>0</v>
      </c>
      <c r="AQ694" s="48" t="b">
        <v>0</v>
      </c>
      <c r="AR694" s="48">
        <v>2</v>
      </c>
      <c r="AS694" s="48" t="b">
        <v>0</v>
      </c>
      <c r="AT694" s="7" t="b">
        <v>0</v>
      </c>
      <c r="AU694" s="40" t="str" cm="1">
        <f t="array" ref="AU694">_xlfn.XLOOKUP(PROPERTIES[[#This Row],[VEHIDCODE]],GRAPHICS_PROPERTIES[VEHIDCODE],GRAPHICS_PROPERTIES[TEMPLATE_ID]&amp;GRAPHICS_PROPERTIES[TEMPLATE_AMENDMENT_CODE])</f>
        <v>TPL_04B</v>
      </c>
    </row>
    <row r="695" spans="1:47" x14ac:dyDescent="0.35">
      <c r="A695" s="2" t="s">
        <v>189</v>
      </c>
      <c r="B695">
        <v>2000</v>
      </c>
      <c r="D695" cm="1">
        <f t="array" ref="D6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5" s="40" t="str">
        <f>_xlfn.XLOOKUP(PROPERTIES[[#This Row],[VEHIDCODE]],CONTROL[VEHIDCODE],CONTROL[ENGLISH])</f>
        <v>5th Gen Self-discharging Hopper [Food]</v>
      </c>
      <c r="G695" s="40" t="str">
        <f>_xlfn.XLOOKUP(PROPERTIES[[#This Row],[COUNTRY]],COUNTRIES[COUNTRY_DESCRIPTION],COUNTRIES[COUNTRY_LABEL],"")</f>
        <v/>
      </c>
      <c r="H695" t="str" cm="1">
        <f t="array" ref="H6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5" t="s">
        <v>3667</v>
      </c>
      <c r="J695">
        <v>65</v>
      </c>
      <c r="K695">
        <v>8</v>
      </c>
      <c r="L695">
        <v>0</v>
      </c>
      <c r="M695" t="str" cm="1">
        <f t="array" ref="M6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5">
        <f>_xlfn.XLOOKUP("LOADINGSPEEDDEF_"&amp;PROPERTIES[[#This Row],[LOADINGSPEED]],LOADINGSPEEDDEF[TYPE],LOADINGSPEEDDEF[SPEED])</f>
        <v>20</v>
      </c>
      <c r="O695" t="str" cm="1">
        <f t="array" ref="O6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5">
        <f>IF(ISNUMBER(SEARCH("passenger",PROPERTIES[[#This Row],[CARGODEF]])),1,0)</f>
        <v>0</v>
      </c>
      <c r="Q695" s="23">
        <v>26</v>
      </c>
      <c r="R695">
        <v>0</v>
      </c>
      <c r="S695">
        <v>0</v>
      </c>
      <c r="T695">
        <v>0</v>
      </c>
      <c r="U695">
        <v>0</v>
      </c>
      <c r="V695">
        <v>120</v>
      </c>
      <c r="W695">
        <v>0</v>
      </c>
      <c r="X695">
        <v>0</v>
      </c>
      <c r="Y695">
        <v>0</v>
      </c>
      <c r="Z695" s="20">
        <v>0</v>
      </c>
      <c r="AA695" s="19">
        <f>IFERROR(PROPERTIES[[#This Row],[TE_STARTING_KN]]/(PROPERTIES[[#This Row],[WEIGHT]]*9.81),0)</f>
        <v>0</v>
      </c>
      <c r="AB695" s="19">
        <v>0.3</v>
      </c>
      <c r="AC695" s="16">
        <f>ROUND(IF(IFERROR(PROPERTIES[[#This Row],[TE_COEFFICIENT_CALC]],0)=0,PROPERTIES[[#This Row],[TE_COEFFICIENT_MANUAL]],PROPERTIES[[#This Row],[TE_COEFFICIENT_CALC]]),3)</f>
        <v>0.3</v>
      </c>
      <c r="AD695" s="8" cm="1">
        <f t="array" ref="AD6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5" s="26">
        <v>0</v>
      </c>
      <c r="AF695" s="6">
        <v>0</v>
      </c>
      <c r="AG695" t="s">
        <v>241</v>
      </c>
      <c r="AH695" t="s">
        <v>229</v>
      </c>
      <c r="AI695" t="s">
        <v>229</v>
      </c>
      <c r="AJ695" s="2" t="s">
        <v>229</v>
      </c>
      <c r="AK695" s="2" t="s">
        <v>244</v>
      </c>
      <c r="AL69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5" s="2" t="str">
        <f>SUBSTITUTE(SUBSTITUTE(PROPERTIES[[#This Row],[PURCHASECOST_VALUE]], "PURCHASECOST_", ""), "_VALUE", "")</f>
        <v>WAGON</v>
      </c>
      <c r="AO695" s="44" t="b">
        <v>0</v>
      </c>
      <c r="AP695" s="48" t="b">
        <v>0</v>
      </c>
      <c r="AQ695" s="48" t="b">
        <v>0</v>
      </c>
      <c r="AR695" s="48">
        <v>2</v>
      </c>
      <c r="AS695" s="48" t="b">
        <v>1</v>
      </c>
      <c r="AT695" s="7" t="b">
        <v>0</v>
      </c>
      <c r="AU695" s="40" t="str" cm="1">
        <f t="array" ref="AU695">_xlfn.XLOOKUP(PROPERTIES[[#This Row],[VEHIDCODE]],GRAPHICS_PROPERTIES[VEHIDCODE],GRAPHICS_PROPERTIES[TEMPLATE_ID]&amp;GRAPHICS_PROPERTIES[TEMPLATE_AMENDMENT_CODE])</f>
        <v>TPL_04B</v>
      </c>
    </row>
    <row r="696" spans="1:47" x14ac:dyDescent="0.35">
      <c r="A696" s="2" t="s">
        <v>190</v>
      </c>
      <c r="B696">
        <v>2000</v>
      </c>
      <c r="D696" cm="1">
        <f t="array" ref="D6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6" s="40" t="str">
        <f>_xlfn.XLOOKUP(PROPERTIES[[#This Row],[VEHIDCODE]],CONTROL[VEHIDCODE],CONTROL[ENGLISH])</f>
        <v>5th Gen Self-discharging Hopper [Non-Food]</v>
      </c>
      <c r="G696" s="40" t="str">
        <f>_xlfn.XLOOKUP(PROPERTIES[[#This Row],[COUNTRY]],COUNTRIES[COUNTRY_DESCRIPTION],COUNTRIES[COUNTRY_LABEL],"")</f>
        <v/>
      </c>
      <c r="H696" t="str" cm="1">
        <f t="array" ref="H6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6" t="s">
        <v>3668</v>
      </c>
      <c r="J696">
        <v>65</v>
      </c>
      <c r="K696">
        <v>8</v>
      </c>
      <c r="L696">
        <v>0</v>
      </c>
      <c r="M696" t="str" cm="1">
        <f t="array" ref="M6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6">
        <f>_xlfn.XLOOKUP("LOADINGSPEEDDEF_"&amp;PROPERTIES[[#This Row],[LOADINGSPEED]],LOADINGSPEEDDEF[TYPE],LOADINGSPEEDDEF[SPEED])</f>
        <v>20</v>
      </c>
      <c r="O696" t="str" cm="1">
        <f t="array" ref="O6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6">
        <f>IF(ISNUMBER(SEARCH("passenger",PROPERTIES[[#This Row],[CARGODEF]])),1,0)</f>
        <v>0</v>
      </c>
      <c r="Q696" s="23">
        <v>26</v>
      </c>
      <c r="R696">
        <v>0</v>
      </c>
      <c r="S696">
        <v>0</v>
      </c>
      <c r="T696">
        <v>0</v>
      </c>
      <c r="U696">
        <v>0</v>
      </c>
      <c r="V696">
        <v>120</v>
      </c>
      <c r="W696">
        <v>0</v>
      </c>
      <c r="X696">
        <v>0</v>
      </c>
      <c r="Y696">
        <v>0</v>
      </c>
      <c r="Z696" s="20">
        <v>0</v>
      </c>
      <c r="AA696" s="19">
        <f>IFERROR(PROPERTIES[[#This Row],[TE_STARTING_KN]]/(PROPERTIES[[#This Row],[WEIGHT]]*9.81),0)</f>
        <v>0</v>
      </c>
      <c r="AB696" s="19">
        <v>0.3</v>
      </c>
      <c r="AC696" s="16">
        <f>ROUND(IF(IFERROR(PROPERTIES[[#This Row],[TE_COEFFICIENT_CALC]],0)=0,PROPERTIES[[#This Row],[TE_COEFFICIENT_MANUAL]],PROPERTIES[[#This Row],[TE_COEFFICIENT_CALC]]),3)</f>
        <v>0.3</v>
      </c>
      <c r="AD696" s="8" cm="1">
        <f t="array" ref="AD6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6" s="26">
        <v>0</v>
      </c>
      <c r="AF696" s="6">
        <v>0</v>
      </c>
      <c r="AG696" t="s">
        <v>241</v>
      </c>
      <c r="AH696" t="s">
        <v>229</v>
      </c>
      <c r="AI696" t="s">
        <v>229</v>
      </c>
      <c r="AJ696" s="2" t="s">
        <v>229</v>
      </c>
      <c r="AK696" s="2" t="s">
        <v>244</v>
      </c>
      <c r="AL69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6" s="2" t="str">
        <f>SUBSTITUTE(SUBSTITUTE(PROPERTIES[[#This Row],[PURCHASECOST_VALUE]], "PURCHASECOST_", ""), "_VALUE", "")</f>
        <v>WAGON</v>
      </c>
      <c r="AO696" s="44" t="b">
        <v>0</v>
      </c>
      <c r="AP696" s="48" t="b">
        <v>0</v>
      </c>
      <c r="AQ696" s="48" t="b">
        <v>0</v>
      </c>
      <c r="AR696" s="48">
        <v>2</v>
      </c>
      <c r="AS696" s="48" t="b">
        <v>0</v>
      </c>
      <c r="AT696" s="7" t="b">
        <v>0</v>
      </c>
      <c r="AU696" s="40" t="str" cm="1">
        <f t="array" ref="AU696">_xlfn.XLOOKUP(PROPERTIES[[#This Row],[VEHIDCODE]],GRAPHICS_PROPERTIES[VEHIDCODE],GRAPHICS_PROPERTIES[TEMPLATE_ID]&amp;GRAPHICS_PROPERTIES[TEMPLATE_AMENDMENT_CODE])</f>
        <v>TPL_04B</v>
      </c>
    </row>
    <row r="697" spans="1:47" x14ac:dyDescent="0.35">
      <c r="A697" s="2" t="s">
        <v>191</v>
      </c>
      <c r="B697">
        <v>2000</v>
      </c>
      <c r="D697" cm="1">
        <f t="array" ref="D6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7" s="40" t="str">
        <f>_xlfn.XLOOKUP(PROPERTIES[[#This Row],[VEHIDCODE]],CONTROL[VEHIDCODE],CONTROL[ENGLISH])</f>
        <v>5th Gen Car Transporter</v>
      </c>
      <c r="G697" s="40" t="str">
        <f>_xlfn.XLOOKUP(PROPERTIES[[#This Row],[COUNTRY]],COUNTRIES[COUNTRY_DESCRIPTION],COUNTRIES[COUNTRY_LABEL],"")</f>
        <v/>
      </c>
      <c r="H697" t="str" cm="1">
        <f t="array" ref="H6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7" t="s">
        <v>26</v>
      </c>
      <c r="J697">
        <v>16</v>
      </c>
      <c r="K697">
        <v>8</v>
      </c>
      <c r="L697">
        <v>0</v>
      </c>
      <c r="M697" t="str" cm="1">
        <f t="array" ref="M6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7">
        <f>_xlfn.XLOOKUP("LOADINGSPEEDDEF_"&amp;PROPERTIES[[#This Row],[LOADINGSPEED]],LOADINGSPEEDDEF[TYPE],LOADINGSPEEDDEF[SPEED])</f>
        <v>20</v>
      </c>
      <c r="O697" t="str" cm="1">
        <f t="array" ref="O6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7">
        <f>IF(ISNUMBER(SEARCH("passenger",PROPERTIES[[#This Row],[CARGODEF]])),1,0)</f>
        <v>0</v>
      </c>
      <c r="Q697" s="23">
        <v>28</v>
      </c>
      <c r="R697">
        <v>0</v>
      </c>
      <c r="S697">
        <v>0</v>
      </c>
      <c r="T697">
        <v>0</v>
      </c>
      <c r="U697">
        <v>0</v>
      </c>
      <c r="V697">
        <v>160</v>
      </c>
      <c r="W697">
        <v>0</v>
      </c>
      <c r="X697">
        <v>0</v>
      </c>
      <c r="Y697">
        <v>0</v>
      </c>
      <c r="Z697" s="20">
        <v>0</v>
      </c>
      <c r="AA697" s="19">
        <f>IFERROR(PROPERTIES[[#This Row],[TE_STARTING_KN]]/(PROPERTIES[[#This Row],[WEIGHT]]*9.81),0)</f>
        <v>0</v>
      </c>
      <c r="AB697" s="19">
        <v>0.3</v>
      </c>
      <c r="AC697" s="16">
        <f>ROUND(IF(IFERROR(PROPERTIES[[#This Row],[TE_COEFFICIENT_CALC]],0)=0,PROPERTIES[[#This Row],[TE_COEFFICIENT_MANUAL]],PROPERTIES[[#This Row],[TE_COEFFICIENT_CALC]]),3)</f>
        <v>0.3</v>
      </c>
      <c r="AD697" s="8" cm="1">
        <f t="array" ref="AD6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7" s="26">
        <v>0</v>
      </c>
      <c r="AF697" s="6">
        <v>0</v>
      </c>
      <c r="AG697" t="s">
        <v>241</v>
      </c>
      <c r="AH697" t="s">
        <v>229</v>
      </c>
      <c r="AI697" t="s">
        <v>229</v>
      </c>
      <c r="AJ697" s="2" t="s">
        <v>229</v>
      </c>
      <c r="AK697" s="2" t="s">
        <v>244</v>
      </c>
      <c r="AL69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7" s="2" t="str">
        <f>SUBSTITUTE(SUBSTITUTE(PROPERTIES[[#This Row],[PURCHASECOST_VALUE]], "PURCHASECOST_", ""), "_VALUE", "")</f>
        <v>WAGON</v>
      </c>
      <c r="AO697" s="44" t="b">
        <v>0</v>
      </c>
      <c r="AP697" s="48" t="b">
        <v>0</v>
      </c>
      <c r="AQ697" s="48" t="b">
        <v>0</v>
      </c>
      <c r="AR697" s="48">
        <v>2</v>
      </c>
      <c r="AS697" s="48" t="b">
        <v>0</v>
      </c>
      <c r="AT697" s="7" t="b">
        <v>0</v>
      </c>
      <c r="AU697" s="40" t="str" cm="1">
        <f t="array" ref="AU697">_xlfn.XLOOKUP(PROPERTIES[[#This Row],[VEHIDCODE]],GRAPHICS_PROPERTIES[VEHIDCODE],GRAPHICS_PROPERTIES[TEMPLATE_ID]&amp;GRAPHICS_PROPERTIES[TEMPLATE_AMENDMENT_CODE])</f>
        <v>TPL_04B</v>
      </c>
    </row>
    <row r="698" spans="1:47" x14ac:dyDescent="0.35">
      <c r="A698" s="2" t="s">
        <v>192</v>
      </c>
      <c r="B698">
        <v>1990</v>
      </c>
      <c r="D698" cm="1">
        <f t="array" ref="D6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8" s="40" t="str">
        <f>_xlfn.XLOOKUP(PROPERTIES[[#This Row],[VEHIDCODE]],CONTROL[VEHIDCODE],CONTROL[ENGLISH])</f>
        <v>5th Gen Container Carrier</v>
      </c>
      <c r="G698" s="40" t="str">
        <f>_xlfn.XLOOKUP(PROPERTIES[[#This Row],[COUNTRY]],COUNTRIES[COUNTRY_DESCRIPTION],COUNTRIES[COUNTRY_LABEL],"")</f>
        <v/>
      </c>
      <c r="H698" t="str" cm="1">
        <f t="array" ref="H6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8" t="s">
        <v>24</v>
      </c>
      <c r="J698">
        <v>50</v>
      </c>
      <c r="K698">
        <v>8</v>
      </c>
      <c r="L698">
        <v>0</v>
      </c>
      <c r="M698" t="str" cm="1">
        <f t="array" ref="M6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8">
        <f>_xlfn.XLOOKUP("LOADINGSPEEDDEF_"&amp;PROPERTIES[[#This Row],[LOADINGSPEED]],LOADINGSPEEDDEF[TYPE],LOADINGSPEEDDEF[SPEED])</f>
        <v>20</v>
      </c>
      <c r="O698" t="str" cm="1">
        <f t="array" ref="O6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8">
        <f>IF(ISNUMBER(SEARCH("passenger",PROPERTIES[[#This Row],[CARGODEF]])),1,0)</f>
        <v>0</v>
      </c>
      <c r="Q698" s="23">
        <v>22</v>
      </c>
      <c r="R698">
        <v>0</v>
      </c>
      <c r="S698">
        <v>0</v>
      </c>
      <c r="T698">
        <v>0</v>
      </c>
      <c r="U698">
        <v>0</v>
      </c>
      <c r="V698">
        <v>160</v>
      </c>
      <c r="W698">
        <v>0</v>
      </c>
      <c r="X698">
        <v>0</v>
      </c>
      <c r="Y698">
        <v>0</v>
      </c>
      <c r="Z698" s="20">
        <v>0</v>
      </c>
      <c r="AA698" s="19">
        <f>IFERROR(PROPERTIES[[#This Row],[TE_STARTING_KN]]/(PROPERTIES[[#This Row],[WEIGHT]]*9.81),0)</f>
        <v>0</v>
      </c>
      <c r="AB698" s="19">
        <v>0.3</v>
      </c>
      <c r="AC698" s="16">
        <f>ROUND(IF(IFERROR(PROPERTIES[[#This Row],[TE_COEFFICIENT_CALC]],0)=0,PROPERTIES[[#This Row],[TE_COEFFICIENT_MANUAL]],PROPERTIES[[#This Row],[TE_COEFFICIENT_CALC]]),3)</f>
        <v>0.3</v>
      </c>
      <c r="AD698" s="8" cm="1">
        <f t="array" ref="AD6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8" s="26">
        <v>0</v>
      </c>
      <c r="AF698" s="6">
        <v>0</v>
      </c>
      <c r="AG698" t="s">
        <v>241</v>
      </c>
      <c r="AH698" t="s">
        <v>229</v>
      </c>
      <c r="AI698" t="s">
        <v>229</v>
      </c>
      <c r="AJ698" s="2" t="s">
        <v>229</v>
      </c>
      <c r="AK698" s="2" t="s">
        <v>244</v>
      </c>
      <c r="AL69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8" s="2" t="str">
        <f>SUBSTITUTE(SUBSTITUTE(PROPERTIES[[#This Row],[PURCHASECOST_VALUE]], "PURCHASECOST_", ""), "_VALUE", "")</f>
        <v>WAGON</v>
      </c>
      <c r="AO698" s="44" t="b">
        <v>0</v>
      </c>
      <c r="AP698" s="48" t="b">
        <v>0</v>
      </c>
      <c r="AQ698" s="48" t="b">
        <v>0</v>
      </c>
      <c r="AR698" s="48">
        <v>2</v>
      </c>
      <c r="AS698" s="48" t="b">
        <v>0</v>
      </c>
      <c r="AT698" s="7" t="b">
        <v>0</v>
      </c>
      <c r="AU698" s="40" t="str" cm="1">
        <f t="array" ref="AU698">_xlfn.XLOOKUP(PROPERTIES[[#This Row],[VEHIDCODE]],GRAPHICS_PROPERTIES[VEHIDCODE],GRAPHICS_PROPERTIES[TEMPLATE_ID]&amp;GRAPHICS_PROPERTIES[TEMPLATE_AMENDMENT_CODE])</f>
        <v>TPL_04B</v>
      </c>
    </row>
    <row r="699" spans="1:47" x14ac:dyDescent="0.35">
      <c r="A699" s="2" t="s">
        <v>193</v>
      </c>
      <c r="B699">
        <v>1990</v>
      </c>
      <c r="D699" cm="1">
        <f t="array" ref="D6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9" s="40" t="str">
        <f>_xlfn.XLOOKUP(PROPERTIES[[#This Row],[VEHIDCODE]],CONTROL[VEHIDCODE],CONTROL[ENGLISH])</f>
        <v>5th Gen Centerbeam Flatcar</v>
      </c>
      <c r="G699" s="40" t="str">
        <f>_xlfn.XLOOKUP(PROPERTIES[[#This Row],[COUNTRY]],COUNTRIES[COUNTRY_DESCRIPTION],COUNTRIES[COUNTRY_LABEL],"")</f>
        <v/>
      </c>
      <c r="H699" t="str" cm="1">
        <f t="array" ref="H6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9" t="s">
        <v>27</v>
      </c>
      <c r="J699">
        <v>55</v>
      </c>
      <c r="K699">
        <v>8</v>
      </c>
      <c r="L699">
        <v>0</v>
      </c>
      <c r="M699" t="str" cm="1">
        <f t="array" ref="M6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9">
        <f>_xlfn.XLOOKUP("LOADINGSPEEDDEF_"&amp;PROPERTIES[[#This Row],[LOADINGSPEED]],LOADINGSPEEDDEF[TYPE],LOADINGSPEEDDEF[SPEED])</f>
        <v>20</v>
      </c>
      <c r="O699" t="str" cm="1">
        <f t="array" ref="O6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9">
        <f>IF(ISNUMBER(SEARCH("passenger",PROPERTIES[[#This Row],[CARGODEF]])),1,0)</f>
        <v>0</v>
      </c>
      <c r="Q699" s="23">
        <v>40</v>
      </c>
      <c r="R699">
        <v>0</v>
      </c>
      <c r="S699">
        <v>0</v>
      </c>
      <c r="T699">
        <v>0</v>
      </c>
      <c r="U699">
        <v>0</v>
      </c>
      <c r="V699">
        <v>120</v>
      </c>
      <c r="W699">
        <v>0</v>
      </c>
      <c r="X699">
        <v>0</v>
      </c>
      <c r="Y699">
        <v>0</v>
      </c>
      <c r="Z699" s="20">
        <v>0</v>
      </c>
      <c r="AA699" s="19">
        <f>IFERROR(PROPERTIES[[#This Row],[TE_STARTING_KN]]/(PROPERTIES[[#This Row],[WEIGHT]]*9.81),0)</f>
        <v>0</v>
      </c>
      <c r="AB699" s="19">
        <v>0.3</v>
      </c>
      <c r="AC699" s="16">
        <f>ROUND(IF(IFERROR(PROPERTIES[[#This Row],[TE_COEFFICIENT_CALC]],0)=0,PROPERTIES[[#This Row],[TE_COEFFICIENT_MANUAL]],PROPERTIES[[#This Row],[TE_COEFFICIENT_CALC]]),3)</f>
        <v>0.3</v>
      </c>
      <c r="AD699" s="8" cm="1">
        <f t="array" ref="AD6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9" s="26">
        <v>0</v>
      </c>
      <c r="AF699" s="6">
        <v>0</v>
      </c>
      <c r="AG699" t="s">
        <v>241</v>
      </c>
      <c r="AH699" t="s">
        <v>229</v>
      </c>
      <c r="AI699" t="s">
        <v>229</v>
      </c>
      <c r="AJ699" s="2" t="s">
        <v>229</v>
      </c>
      <c r="AK699" s="2" t="s">
        <v>244</v>
      </c>
      <c r="AL69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9" s="2" t="str">
        <f>SUBSTITUTE(SUBSTITUTE(PROPERTIES[[#This Row],[PURCHASECOST_VALUE]], "PURCHASECOST_", ""), "_VALUE", "")</f>
        <v>WAGON</v>
      </c>
      <c r="AO699" s="44" t="b">
        <v>0</v>
      </c>
      <c r="AP699" s="48" t="b">
        <v>0</v>
      </c>
      <c r="AQ699" s="48" t="b">
        <v>0</v>
      </c>
      <c r="AR699" s="48">
        <v>2</v>
      </c>
      <c r="AS699" s="48" t="b">
        <v>0</v>
      </c>
      <c r="AT699" s="7" t="b">
        <v>0</v>
      </c>
      <c r="AU699" s="40" t="str" cm="1">
        <f t="array" ref="AU699">_xlfn.XLOOKUP(PROPERTIES[[#This Row],[VEHIDCODE]],GRAPHICS_PROPERTIES[VEHIDCODE],GRAPHICS_PROPERTIES[TEMPLATE_ID]&amp;GRAPHICS_PROPERTIES[TEMPLATE_AMENDMENT_CODE])</f>
        <v>TPL_04B</v>
      </c>
    </row>
    <row r="700" spans="1:47" x14ac:dyDescent="0.35">
      <c r="A700" s="2" t="s">
        <v>194</v>
      </c>
      <c r="B700">
        <v>1980</v>
      </c>
      <c r="D700" cm="1">
        <f t="array" ref="D7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0" s="40" t="str">
        <f>_xlfn.XLOOKUP(PROPERTIES[[#This Row],[VEHIDCODE]],CONTROL[VEHIDCODE],CONTROL[ENGLISH])</f>
        <v>5th Gen Container Doublestack</v>
      </c>
      <c r="G700" s="40" t="str">
        <f>_xlfn.XLOOKUP(PROPERTIES[[#This Row],[COUNTRY]],COUNTRIES[COUNTRY_DESCRIPTION],COUNTRIES[COUNTRY_LABEL],"")</f>
        <v/>
      </c>
      <c r="H700" t="str" cm="1">
        <f t="array" ref="H7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0" t="s">
        <v>28</v>
      </c>
      <c r="J700">
        <v>65</v>
      </c>
      <c r="K700">
        <v>8</v>
      </c>
      <c r="L700">
        <v>0</v>
      </c>
      <c r="M700" t="str" cm="1">
        <f t="array" ref="M7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0">
        <f>_xlfn.XLOOKUP("LOADINGSPEEDDEF_"&amp;PROPERTIES[[#This Row],[LOADINGSPEED]],LOADINGSPEEDDEF[TYPE],LOADINGSPEEDDEF[SPEED])</f>
        <v>20</v>
      </c>
      <c r="O700" cm="1">
        <f t="array" ref="O7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00">
        <f>IF(ISNUMBER(SEARCH("passenger",PROPERTIES[[#This Row],[CARGODEF]])),1,0)</f>
        <v>0</v>
      </c>
      <c r="Q700" s="23">
        <v>25</v>
      </c>
      <c r="R700">
        <v>0</v>
      </c>
      <c r="S700">
        <v>0</v>
      </c>
      <c r="T700">
        <v>0</v>
      </c>
      <c r="U700">
        <v>0</v>
      </c>
      <c r="V700">
        <v>120</v>
      </c>
      <c r="W700">
        <v>0</v>
      </c>
      <c r="X700">
        <v>0</v>
      </c>
      <c r="Y700">
        <v>0</v>
      </c>
      <c r="Z700" s="20">
        <v>0</v>
      </c>
      <c r="AA700" s="19">
        <f>IFERROR(PROPERTIES[[#This Row],[TE_STARTING_KN]]/(PROPERTIES[[#This Row],[WEIGHT]]*9.81),0)</f>
        <v>0</v>
      </c>
      <c r="AB700" s="19">
        <v>0.3</v>
      </c>
      <c r="AC700" s="16">
        <f>ROUND(IF(IFERROR(PROPERTIES[[#This Row],[TE_COEFFICIENT_CALC]],0)=0,PROPERTIES[[#This Row],[TE_COEFFICIENT_MANUAL]],PROPERTIES[[#This Row],[TE_COEFFICIENT_CALC]]),3)</f>
        <v>0.3</v>
      </c>
      <c r="AD700" s="8" cm="1">
        <f t="array" ref="AD7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0" s="26">
        <v>0</v>
      </c>
      <c r="AF700" s="6">
        <v>0</v>
      </c>
      <c r="AG700" t="s">
        <v>241</v>
      </c>
      <c r="AH700" t="s">
        <v>229</v>
      </c>
      <c r="AI700" t="s">
        <v>229</v>
      </c>
      <c r="AJ700" s="2" t="s">
        <v>229</v>
      </c>
      <c r="AK700" s="2" t="s">
        <v>244</v>
      </c>
      <c r="AL70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0" s="2" t="str">
        <f>SUBSTITUTE(SUBSTITUTE(PROPERTIES[[#This Row],[PURCHASECOST_VALUE]], "PURCHASECOST_", ""), "_VALUE", "")</f>
        <v>WAGON</v>
      </c>
      <c r="AO700" s="44" t="b">
        <v>0</v>
      </c>
      <c r="AP700" s="48" t="b">
        <v>0</v>
      </c>
      <c r="AQ700" s="48" t="b">
        <v>0</v>
      </c>
      <c r="AR700" s="48">
        <v>2</v>
      </c>
      <c r="AS700" s="48" t="b">
        <v>0</v>
      </c>
      <c r="AT700" s="7" t="b">
        <v>0</v>
      </c>
      <c r="AU700" s="40" t="str" cm="1">
        <f t="array" ref="AU700">_xlfn.XLOOKUP(PROPERTIES[[#This Row],[VEHIDCODE]],GRAPHICS_PROPERTIES[VEHIDCODE],GRAPHICS_PROPERTIES[TEMPLATE_ID]&amp;GRAPHICS_PROPERTIES[TEMPLATE_AMENDMENT_CODE])</f>
        <v>TPL_04B</v>
      </c>
    </row>
    <row r="701" spans="1:47" x14ac:dyDescent="0.35">
      <c r="A701" s="2" t="s">
        <v>195</v>
      </c>
      <c r="B701">
        <v>1990</v>
      </c>
      <c r="D701" cm="1">
        <f t="array" ref="D7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1" s="40" t="str">
        <f>_xlfn.XLOOKUP(PROPERTIES[[#This Row],[VEHIDCODE]],CONTROL[VEHIDCODE],CONTROL[ENGLISH])</f>
        <v>5th Gen Superheavy Flatcar</v>
      </c>
      <c r="G701" s="40" t="str">
        <f>_xlfn.XLOOKUP(PROPERTIES[[#This Row],[COUNTRY]],COUNTRIES[COUNTRY_DESCRIPTION],COUNTRIES[COUNTRY_LABEL],"")</f>
        <v/>
      </c>
      <c r="H701" t="str" cm="1">
        <f t="array" ref="H7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1" t="s">
        <v>34</v>
      </c>
      <c r="J701">
        <v>150</v>
      </c>
      <c r="K701">
        <v>4</v>
      </c>
      <c r="L701">
        <v>0</v>
      </c>
      <c r="M701" t="str" cm="1">
        <f t="array" ref="M7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1">
        <f>_xlfn.XLOOKUP("LOADINGSPEEDDEF_"&amp;PROPERTIES[[#This Row],[LOADINGSPEED]],LOADINGSPEEDDEF[TYPE],LOADINGSPEEDDEF[SPEED])</f>
        <v>20</v>
      </c>
      <c r="O701" t="str" cm="1">
        <f t="array" ref="O7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1">
        <f>IF(ISNUMBER(SEARCH("passenger",PROPERTIES[[#This Row],[CARGODEF]])),1,0)</f>
        <v>0</v>
      </c>
      <c r="Q701" s="23">
        <v>50</v>
      </c>
      <c r="R701">
        <v>0</v>
      </c>
      <c r="S701">
        <v>0</v>
      </c>
      <c r="T701">
        <v>0</v>
      </c>
      <c r="U701">
        <v>0</v>
      </c>
      <c r="V701">
        <v>100</v>
      </c>
      <c r="W701">
        <v>0</v>
      </c>
      <c r="X701">
        <v>0</v>
      </c>
      <c r="Y701">
        <v>0</v>
      </c>
      <c r="Z701" s="20">
        <v>0</v>
      </c>
      <c r="AA701" s="19">
        <f>IFERROR(PROPERTIES[[#This Row],[TE_STARTING_KN]]/(PROPERTIES[[#This Row],[WEIGHT]]*9.81),0)</f>
        <v>0</v>
      </c>
      <c r="AB701" s="19">
        <v>0.3</v>
      </c>
      <c r="AC701" s="16">
        <f>ROUND(IF(IFERROR(PROPERTIES[[#This Row],[TE_COEFFICIENT_CALC]],0)=0,PROPERTIES[[#This Row],[TE_COEFFICIENT_MANUAL]],PROPERTIES[[#This Row],[TE_COEFFICIENT_CALC]]),3)</f>
        <v>0.3</v>
      </c>
      <c r="AD701" s="8" cm="1">
        <f t="array" ref="AD7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1" s="26">
        <v>0</v>
      </c>
      <c r="AF701" s="6">
        <v>0</v>
      </c>
      <c r="AG701" t="s">
        <v>241</v>
      </c>
      <c r="AH701" t="s">
        <v>229</v>
      </c>
      <c r="AI701" t="s">
        <v>229</v>
      </c>
      <c r="AJ701" s="2" t="s">
        <v>229</v>
      </c>
      <c r="AK701" s="2" t="s">
        <v>244</v>
      </c>
      <c r="AL70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1" s="2" t="str">
        <f>SUBSTITUTE(SUBSTITUTE(PROPERTIES[[#This Row],[PURCHASECOST_VALUE]], "PURCHASECOST_", ""), "_VALUE", "")</f>
        <v>WAGON</v>
      </c>
      <c r="AO701" s="44" t="b">
        <v>0</v>
      </c>
      <c r="AP701" s="48" t="b">
        <v>0</v>
      </c>
      <c r="AQ701" s="48" t="b">
        <v>0</v>
      </c>
      <c r="AR701" s="48">
        <v>0</v>
      </c>
      <c r="AS701" s="48" t="b">
        <v>0</v>
      </c>
      <c r="AT701" s="7" t="b">
        <v>0</v>
      </c>
      <c r="AU701" s="40" t="str" cm="1">
        <f t="array" ref="AU701">_xlfn.XLOOKUP(PROPERTIES[[#This Row],[VEHIDCODE]],GRAPHICS_PROPERTIES[VEHIDCODE],GRAPHICS_PROPERTIES[TEMPLATE_ID]&amp;GRAPHICS_PROPERTIES[TEMPLATE_AMENDMENT_CODE])</f>
        <v>TPL_25A</v>
      </c>
    </row>
    <row r="702" spans="1:47" x14ac:dyDescent="0.35">
      <c r="A702" s="2" t="s">
        <v>196</v>
      </c>
      <c r="B702">
        <v>2010</v>
      </c>
      <c r="D702" cm="1">
        <f t="array" ref="D7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2" s="40" t="str">
        <f>_xlfn.XLOOKUP(PROPERTIES[[#This Row],[VEHIDCODE]],CONTROL[VEHIDCODE],CONTROL[ENGLISH])</f>
        <v>6th Gen Flatcar</v>
      </c>
      <c r="G702" s="40" t="str">
        <f>_xlfn.XLOOKUP(PROPERTIES[[#This Row],[COUNTRY]],COUNTRIES[COUNTRY_DESCRIPTION],COUNTRIES[COUNTRY_LABEL],"")</f>
        <v/>
      </c>
      <c r="H702" t="str" cm="1">
        <f t="array" ref="H7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2" t="s">
        <v>29</v>
      </c>
      <c r="J702">
        <v>72</v>
      </c>
      <c r="K702">
        <v>8</v>
      </c>
      <c r="L702">
        <v>0</v>
      </c>
      <c r="M702" t="str" cm="1">
        <f t="array" ref="M7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2">
        <f>_xlfn.XLOOKUP("LOADINGSPEEDDEF_"&amp;PROPERTIES[[#This Row],[LOADINGSPEED]],LOADINGSPEEDDEF[TYPE],LOADINGSPEEDDEF[SPEED])</f>
        <v>20</v>
      </c>
      <c r="O702" t="str" cm="1">
        <f t="array" ref="O7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2">
        <f>IF(ISNUMBER(SEARCH("passenger",PROPERTIES[[#This Row],[CARGODEF]])),1,0)</f>
        <v>0</v>
      </c>
      <c r="Q702" s="23">
        <v>23</v>
      </c>
      <c r="R702">
        <v>0</v>
      </c>
      <c r="S702">
        <v>0</v>
      </c>
      <c r="T702">
        <v>0</v>
      </c>
      <c r="U702">
        <v>0</v>
      </c>
      <c r="V702">
        <v>160</v>
      </c>
      <c r="W702">
        <v>0</v>
      </c>
      <c r="X702">
        <v>0</v>
      </c>
      <c r="Y702">
        <v>0</v>
      </c>
      <c r="Z702" s="20">
        <v>0</v>
      </c>
      <c r="AA702" s="19">
        <f>IFERROR(PROPERTIES[[#This Row],[TE_STARTING_KN]]/(PROPERTIES[[#This Row],[WEIGHT]]*9.81),0)</f>
        <v>0</v>
      </c>
      <c r="AB702" s="19">
        <v>0.3</v>
      </c>
      <c r="AC702" s="16">
        <f>ROUND(IF(IFERROR(PROPERTIES[[#This Row],[TE_COEFFICIENT_CALC]],0)=0,PROPERTIES[[#This Row],[TE_COEFFICIENT_MANUAL]],PROPERTIES[[#This Row],[TE_COEFFICIENT_CALC]]),3)</f>
        <v>0.3</v>
      </c>
      <c r="AD702" s="8" cm="1">
        <f t="array" ref="AD7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2" s="26">
        <v>0</v>
      </c>
      <c r="AF702" s="6">
        <v>0</v>
      </c>
      <c r="AG702" t="s">
        <v>241</v>
      </c>
      <c r="AH702" t="s">
        <v>229</v>
      </c>
      <c r="AI702" t="s">
        <v>229</v>
      </c>
      <c r="AJ702" s="2" t="s">
        <v>229</v>
      </c>
      <c r="AK702" s="2" t="s">
        <v>244</v>
      </c>
      <c r="AL70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2" s="2" t="str">
        <f>SUBSTITUTE(SUBSTITUTE(PROPERTIES[[#This Row],[PURCHASECOST_VALUE]], "PURCHASECOST_", ""), "_VALUE", "")</f>
        <v>WAGON</v>
      </c>
      <c r="AO702" s="44" t="b">
        <v>0</v>
      </c>
      <c r="AP702" s="48" t="b">
        <v>0</v>
      </c>
      <c r="AQ702" s="48" t="b">
        <v>0</v>
      </c>
      <c r="AR702" s="48">
        <v>2</v>
      </c>
      <c r="AS702" s="48" t="b">
        <v>0</v>
      </c>
      <c r="AT702" s="7" t="b">
        <v>0</v>
      </c>
      <c r="AU702" s="40" t="str" cm="1">
        <f t="array" ref="AU702">_xlfn.XLOOKUP(PROPERTIES[[#This Row],[VEHIDCODE]],GRAPHICS_PROPERTIES[VEHIDCODE],GRAPHICS_PROPERTIES[TEMPLATE_ID]&amp;GRAPHICS_PROPERTIES[TEMPLATE_AMENDMENT_CODE])</f>
        <v>TPL_04B</v>
      </c>
    </row>
    <row r="703" spans="1:47" x14ac:dyDescent="0.35">
      <c r="A703" s="2" t="s">
        <v>197</v>
      </c>
      <c r="B703">
        <v>2020</v>
      </c>
      <c r="D703" cm="1">
        <f t="array" ref="D7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3" s="40" t="str">
        <f>_xlfn.XLOOKUP(PROPERTIES[[#This Row],[VEHIDCODE]],CONTROL[VEHIDCODE],CONTROL[ENGLISH])</f>
        <v>6th Gen Heavy Flatcar</v>
      </c>
      <c r="G703" s="40" t="str">
        <f>_xlfn.XLOOKUP(PROPERTIES[[#This Row],[COUNTRY]],COUNTRIES[COUNTRY_DESCRIPTION],COUNTRIES[COUNTRY_LABEL],"")</f>
        <v/>
      </c>
      <c r="H703" t="str" cm="1">
        <f t="array" ref="H7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3" t="s">
        <v>31</v>
      </c>
      <c r="J703">
        <v>96</v>
      </c>
      <c r="K703">
        <v>8</v>
      </c>
      <c r="L703">
        <v>0</v>
      </c>
      <c r="M703" t="str" cm="1">
        <f t="array" ref="M7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3">
        <f>_xlfn.XLOOKUP("LOADINGSPEEDDEF_"&amp;PROPERTIES[[#This Row],[LOADINGSPEED]],LOADINGSPEEDDEF[TYPE],LOADINGSPEEDDEF[SPEED])</f>
        <v>20</v>
      </c>
      <c r="O703" t="str" cm="1">
        <f t="array" ref="O7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3">
        <f>IF(ISNUMBER(SEARCH("passenger",PROPERTIES[[#This Row],[CARGODEF]])),1,0)</f>
        <v>0</v>
      </c>
      <c r="Q703" s="23">
        <v>42</v>
      </c>
      <c r="R703">
        <v>0</v>
      </c>
      <c r="S703">
        <v>0</v>
      </c>
      <c r="T703">
        <v>0</v>
      </c>
      <c r="U703">
        <v>0</v>
      </c>
      <c r="V703">
        <v>140</v>
      </c>
      <c r="W703">
        <v>0</v>
      </c>
      <c r="X703">
        <v>0</v>
      </c>
      <c r="Y703">
        <v>0</v>
      </c>
      <c r="Z703" s="20">
        <v>0</v>
      </c>
      <c r="AA703" s="19">
        <f>IFERROR(PROPERTIES[[#This Row],[TE_STARTING_KN]]/(PROPERTIES[[#This Row],[WEIGHT]]*9.81),0)</f>
        <v>0</v>
      </c>
      <c r="AB703" s="19">
        <v>0.3</v>
      </c>
      <c r="AC703" s="16">
        <f>ROUND(IF(IFERROR(PROPERTIES[[#This Row],[TE_COEFFICIENT_CALC]],0)=0,PROPERTIES[[#This Row],[TE_COEFFICIENT_MANUAL]],PROPERTIES[[#This Row],[TE_COEFFICIENT_CALC]]),3)</f>
        <v>0.3</v>
      </c>
      <c r="AD703" s="8" cm="1">
        <f t="array" ref="AD7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3" s="26">
        <v>0</v>
      </c>
      <c r="AF703" s="6">
        <v>0</v>
      </c>
      <c r="AG703" t="s">
        <v>241</v>
      </c>
      <c r="AH703" t="s">
        <v>229</v>
      </c>
      <c r="AI703" t="s">
        <v>229</v>
      </c>
      <c r="AJ703" s="2" t="s">
        <v>229</v>
      </c>
      <c r="AK703" s="2" t="s">
        <v>244</v>
      </c>
      <c r="AL70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3" s="2" t="str">
        <f>SUBSTITUTE(SUBSTITUTE(PROPERTIES[[#This Row],[PURCHASECOST_VALUE]], "PURCHASECOST_", ""), "_VALUE", "")</f>
        <v>WAGON</v>
      </c>
      <c r="AO703" s="44" t="b">
        <v>0</v>
      </c>
      <c r="AP703" s="48" t="b">
        <v>0</v>
      </c>
      <c r="AQ703" s="48" t="b">
        <v>0</v>
      </c>
      <c r="AR703" s="48">
        <v>2</v>
      </c>
      <c r="AS703" s="48" t="b">
        <v>0</v>
      </c>
      <c r="AT703" s="7" t="b">
        <v>0</v>
      </c>
      <c r="AU703" s="40" t="str" cm="1">
        <f t="array" ref="AU703">_xlfn.XLOOKUP(PROPERTIES[[#This Row],[VEHIDCODE]],GRAPHICS_PROPERTIES[VEHIDCODE],GRAPHICS_PROPERTIES[TEMPLATE_ID]&amp;GRAPHICS_PROPERTIES[TEMPLATE_AMENDMENT_CODE])</f>
        <v>TPL_04B</v>
      </c>
    </row>
    <row r="704" spans="1:47" x14ac:dyDescent="0.35">
      <c r="A704" s="2" t="s">
        <v>198</v>
      </c>
      <c r="B704">
        <v>2010</v>
      </c>
      <c r="D704" cm="1">
        <f t="array" ref="D7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4" s="40" t="str">
        <f>_xlfn.XLOOKUP(PROPERTIES[[#This Row],[VEHIDCODE]],CONTROL[VEHIDCODE],CONTROL[ENGLISH])</f>
        <v>6th Gen Boxcar [Food]</v>
      </c>
      <c r="G704" s="40" t="str">
        <f>_xlfn.XLOOKUP(PROPERTIES[[#This Row],[COUNTRY]],COUNTRIES[COUNTRY_DESCRIPTION],COUNTRIES[COUNTRY_LABEL],"")</f>
        <v/>
      </c>
      <c r="H704" t="str" cm="1">
        <f t="array" ref="H7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4" t="s">
        <v>3672</v>
      </c>
      <c r="J704">
        <v>74</v>
      </c>
      <c r="K704">
        <v>8</v>
      </c>
      <c r="L704">
        <v>0</v>
      </c>
      <c r="M704" t="str" cm="1">
        <f t="array" ref="M7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4">
        <f>_xlfn.XLOOKUP("LOADINGSPEEDDEF_"&amp;PROPERTIES[[#This Row],[LOADINGSPEED]],LOADINGSPEEDDEF[TYPE],LOADINGSPEEDDEF[SPEED])</f>
        <v>20</v>
      </c>
      <c r="O704" t="str" cm="1">
        <f t="array" ref="O7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4">
        <f>IF(ISNUMBER(SEARCH("passenger",PROPERTIES[[#This Row],[CARGODEF]])),1,0)</f>
        <v>0</v>
      </c>
      <c r="Q704" s="23">
        <v>27</v>
      </c>
      <c r="R704">
        <v>0</v>
      </c>
      <c r="S704">
        <v>0</v>
      </c>
      <c r="T704">
        <v>0</v>
      </c>
      <c r="U704">
        <v>0</v>
      </c>
      <c r="V704">
        <v>160</v>
      </c>
      <c r="W704">
        <v>0</v>
      </c>
      <c r="X704">
        <v>0</v>
      </c>
      <c r="Y704">
        <v>0</v>
      </c>
      <c r="Z704" s="20">
        <v>0</v>
      </c>
      <c r="AA704" s="19">
        <f>IFERROR(PROPERTIES[[#This Row],[TE_STARTING_KN]]/(PROPERTIES[[#This Row],[WEIGHT]]*9.81),0)</f>
        <v>0</v>
      </c>
      <c r="AB704" s="19">
        <v>0.3</v>
      </c>
      <c r="AC704" s="16">
        <f>ROUND(IF(IFERROR(PROPERTIES[[#This Row],[TE_COEFFICIENT_CALC]],0)=0,PROPERTIES[[#This Row],[TE_COEFFICIENT_MANUAL]],PROPERTIES[[#This Row],[TE_COEFFICIENT_CALC]]),3)</f>
        <v>0.3</v>
      </c>
      <c r="AD704" s="8" cm="1">
        <f t="array" ref="AD7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4" s="26">
        <v>0</v>
      </c>
      <c r="AF704" s="6">
        <v>0</v>
      </c>
      <c r="AG704" t="s">
        <v>241</v>
      </c>
      <c r="AH704" t="s">
        <v>229</v>
      </c>
      <c r="AI704" t="s">
        <v>229</v>
      </c>
      <c r="AJ704" s="2" t="s">
        <v>229</v>
      </c>
      <c r="AK704" s="2" t="s">
        <v>244</v>
      </c>
      <c r="AL70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4" s="2" t="str">
        <f>SUBSTITUTE(SUBSTITUTE(PROPERTIES[[#This Row],[PURCHASECOST_VALUE]], "PURCHASECOST_", ""), "_VALUE", "")</f>
        <v>WAGON</v>
      </c>
      <c r="AO704" s="44" t="b">
        <v>0</v>
      </c>
      <c r="AP704" s="48" t="b">
        <v>0</v>
      </c>
      <c r="AQ704" s="48" t="b">
        <v>0</v>
      </c>
      <c r="AR704" s="48">
        <v>2</v>
      </c>
      <c r="AS704" s="48" t="b">
        <v>0</v>
      </c>
      <c r="AT704" s="7" t="b">
        <v>0</v>
      </c>
      <c r="AU704" s="40" t="str" cm="1">
        <f t="array" ref="AU704">_xlfn.XLOOKUP(PROPERTIES[[#This Row],[VEHIDCODE]],GRAPHICS_PROPERTIES[VEHIDCODE],GRAPHICS_PROPERTIES[TEMPLATE_ID]&amp;GRAPHICS_PROPERTIES[TEMPLATE_AMENDMENT_CODE])</f>
        <v>TPL_04B</v>
      </c>
    </row>
    <row r="705" spans="1:47" x14ac:dyDescent="0.35">
      <c r="A705" s="2" t="s">
        <v>199</v>
      </c>
      <c r="B705">
        <v>2010</v>
      </c>
      <c r="D705" cm="1">
        <f t="array" ref="D7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5" s="40" t="str">
        <f>_xlfn.XLOOKUP(PROPERTIES[[#This Row],[VEHIDCODE]],CONTROL[VEHIDCODE],CONTROL[ENGLISH])</f>
        <v>6th Gen Boxcar [Non-Food]</v>
      </c>
      <c r="G705" s="40" t="str">
        <f>_xlfn.XLOOKUP(PROPERTIES[[#This Row],[COUNTRY]],COUNTRIES[COUNTRY_DESCRIPTION],COUNTRIES[COUNTRY_LABEL],"")</f>
        <v/>
      </c>
      <c r="H705" t="str" cm="1">
        <f t="array" ref="H7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5" t="s">
        <v>3671</v>
      </c>
      <c r="J705">
        <v>74</v>
      </c>
      <c r="K705">
        <v>8</v>
      </c>
      <c r="L705">
        <v>0</v>
      </c>
      <c r="M705" t="str" cm="1">
        <f t="array" ref="M7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5">
        <f>_xlfn.XLOOKUP("LOADINGSPEEDDEF_"&amp;PROPERTIES[[#This Row],[LOADINGSPEED]],LOADINGSPEEDDEF[TYPE],LOADINGSPEEDDEF[SPEED])</f>
        <v>20</v>
      </c>
      <c r="O705" t="str" cm="1">
        <f t="array" ref="O7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5">
        <f>IF(ISNUMBER(SEARCH("passenger",PROPERTIES[[#This Row],[CARGODEF]])),1,0)</f>
        <v>0</v>
      </c>
      <c r="Q705" s="23">
        <v>27</v>
      </c>
      <c r="R705">
        <v>0</v>
      </c>
      <c r="S705">
        <v>0</v>
      </c>
      <c r="T705">
        <v>0</v>
      </c>
      <c r="U705">
        <v>0</v>
      </c>
      <c r="V705">
        <v>160</v>
      </c>
      <c r="W705">
        <v>0</v>
      </c>
      <c r="X705">
        <v>0</v>
      </c>
      <c r="Y705">
        <v>0</v>
      </c>
      <c r="Z705" s="20">
        <v>0</v>
      </c>
      <c r="AA705" s="19">
        <f>IFERROR(PROPERTIES[[#This Row],[TE_STARTING_KN]]/(PROPERTIES[[#This Row],[WEIGHT]]*9.81),0)</f>
        <v>0</v>
      </c>
      <c r="AB705" s="19">
        <v>0.3</v>
      </c>
      <c r="AC705" s="16">
        <f>ROUND(IF(IFERROR(PROPERTIES[[#This Row],[TE_COEFFICIENT_CALC]],0)=0,PROPERTIES[[#This Row],[TE_COEFFICIENT_MANUAL]],PROPERTIES[[#This Row],[TE_COEFFICIENT_CALC]]),3)</f>
        <v>0.3</v>
      </c>
      <c r="AD705" s="8" cm="1">
        <f t="array" ref="AD7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5" s="26">
        <v>0</v>
      </c>
      <c r="AF705" s="6">
        <v>0</v>
      </c>
      <c r="AG705" t="s">
        <v>241</v>
      </c>
      <c r="AH705" t="s">
        <v>229</v>
      </c>
      <c r="AI705" t="s">
        <v>229</v>
      </c>
      <c r="AJ705" s="2" t="s">
        <v>229</v>
      </c>
      <c r="AK705" s="2" t="s">
        <v>244</v>
      </c>
      <c r="AL70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5" s="2" t="str">
        <f>SUBSTITUTE(SUBSTITUTE(PROPERTIES[[#This Row],[PURCHASECOST_VALUE]], "PURCHASECOST_", ""), "_VALUE", "")</f>
        <v>WAGON</v>
      </c>
      <c r="AO705" s="44" t="b">
        <v>0</v>
      </c>
      <c r="AP705" s="48" t="b">
        <v>0</v>
      </c>
      <c r="AQ705" s="48" t="b">
        <v>0</v>
      </c>
      <c r="AR705" s="48">
        <v>2</v>
      </c>
      <c r="AS705" s="48" t="b">
        <v>0</v>
      </c>
      <c r="AT705" s="7" t="b">
        <v>0</v>
      </c>
      <c r="AU705" s="40" t="str" cm="1">
        <f t="array" ref="AU705">_xlfn.XLOOKUP(PROPERTIES[[#This Row],[VEHIDCODE]],GRAPHICS_PROPERTIES[VEHIDCODE],GRAPHICS_PROPERTIES[TEMPLATE_ID]&amp;GRAPHICS_PROPERTIES[TEMPLATE_AMENDMENT_CODE])</f>
        <v>TPL_04B</v>
      </c>
    </row>
    <row r="706" spans="1:47" x14ac:dyDescent="0.35">
      <c r="A706" s="2" t="s">
        <v>200</v>
      </c>
      <c r="B706">
        <v>2020</v>
      </c>
      <c r="D706" cm="1">
        <f t="array" ref="D7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6" s="40" t="str">
        <f>_xlfn.XLOOKUP(PROPERTIES[[#This Row],[VEHIDCODE]],CONTROL[VEHIDCODE],CONTROL[ENGLISH])</f>
        <v>6th Gen Tanker</v>
      </c>
      <c r="G706" s="40" t="str">
        <f>_xlfn.XLOOKUP(PROPERTIES[[#This Row],[COUNTRY]],COUNTRIES[COUNTRY_DESCRIPTION],COUNTRIES[COUNTRY_LABEL],"")</f>
        <v/>
      </c>
      <c r="H706" t="str" cm="1">
        <f t="array" ref="H7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6" t="s">
        <v>35</v>
      </c>
      <c r="J706">
        <v>105</v>
      </c>
      <c r="K706">
        <v>8</v>
      </c>
      <c r="L706">
        <v>0</v>
      </c>
      <c r="M706" t="str" cm="1">
        <f t="array" ref="M7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6">
        <f>_xlfn.XLOOKUP("LOADINGSPEEDDEF_"&amp;PROPERTIES[[#This Row],[LOADINGSPEED]],LOADINGSPEEDDEF[TYPE],LOADINGSPEEDDEF[SPEED])</f>
        <v>20</v>
      </c>
      <c r="O706" t="str" cm="1">
        <f t="array" ref="O7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6">
        <f>IF(ISNUMBER(SEARCH("passenger",PROPERTIES[[#This Row],[CARGODEF]])),1,0)</f>
        <v>0</v>
      </c>
      <c r="Q706" s="23">
        <v>24</v>
      </c>
      <c r="R706">
        <v>0</v>
      </c>
      <c r="S706">
        <v>0</v>
      </c>
      <c r="T706">
        <v>0</v>
      </c>
      <c r="U706">
        <v>0</v>
      </c>
      <c r="V706">
        <v>160</v>
      </c>
      <c r="W706">
        <v>0</v>
      </c>
      <c r="X706">
        <v>0</v>
      </c>
      <c r="Y706">
        <v>0</v>
      </c>
      <c r="Z706" s="20">
        <v>0</v>
      </c>
      <c r="AA706" s="19">
        <f>IFERROR(PROPERTIES[[#This Row],[TE_STARTING_KN]]/(PROPERTIES[[#This Row],[WEIGHT]]*9.81),0)</f>
        <v>0</v>
      </c>
      <c r="AB706" s="19">
        <v>0.3</v>
      </c>
      <c r="AC706" s="16">
        <f>ROUND(IF(IFERROR(PROPERTIES[[#This Row],[TE_COEFFICIENT_CALC]],0)=0,PROPERTIES[[#This Row],[TE_COEFFICIENT_MANUAL]],PROPERTIES[[#This Row],[TE_COEFFICIENT_CALC]]),3)</f>
        <v>0.3</v>
      </c>
      <c r="AD706" s="8" cm="1">
        <f t="array" ref="AD7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6" s="26">
        <v>0</v>
      </c>
      <c r="AF706" s="6">
        <v>0</v>
      </c>
      <c r="AG706" t="s">
        <v>241</v>
      </c>
      <c r="AH706" t="s">
        <v>229</v>
      </c>
      <c r="AI706" t="s">
        <v>229</v>
      </c>
      <c r="AJ706" s="2" t="s">
        <v>229</v>
      </c>
      <c r="AK706" s="2" t="s">
        <v>244</v>
      </c>
      <c r="AL70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6" s="2" t="str">
        <f>SUBSTITUTE(SUBSTITUTE(PROPERTIES[[#This Row],[PURCHASECOST_VALUE]], "PURCHASECOST_", ""), "_VALUE", "")</f>
        <v>WAGON</v>
      </c>
      <c r="AO706" s="44" t="b">
        <v>0</v>
      </c>
      <c r="AP706" s="48" t="b">
        <v>0</v>
      </c>
      <c r="AQ706" s="48" t="b">
        <v>0</v>
      </c>
      <c r="AR706" s="48">
        <v>2</v>
      </c>
      <c r="AS706" s="48" t="b">
        <v>0</v>
      </c>
      <c r="AT706" s="7" t="b">
        <v>0</v>
      </c>
      <c r="AU706" s="40" t="str" cm="1">
        <f t="array" ref="AU706">_xlfn.XLOOKUP(PROPERTIES[[#This Row],[VEHIDCODE]],GRAPHICS_PROPERTIES[VEHIDCODE],GRAPHICS_PROPERTIES[TEMPLATE_ID]&amp;GRAPHICS_PROPERTIES[TEMPLATE_AMENDMENT_CODE])</f>
        <v>TPL_04B</v>
      </c>
    </row>
    <row r="707" spans="1:47" x14ac:dyDescent="0.35">
      <c r="A707" s="2" t="s">
        <v>201</v>
      </c>
      <c r="B707">
        <v>2010</v>
      </c>
      <c r="D707" cm="1">
        <f t="array" ref="D7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7" s="40" t="str">
        <f>_xlfn.XLOOKUP(PROPERTIES[[#This Row],[VEHIDCODE]],CONTROL[VEHIDCODE],CONTROL[ENGLISH])</f>
        <v>6th Gen Gondola</v>
      </c>
      <c r="G707" s="40" t="str">
        <f>_xlfn.XLOOKUP(PROPERTIES[[#This Row],[COUNTRY]],COUNTRIES[COUNTRY_DESCRIPTION],COUNTRIES[COUNTRY_LABEL],"")</f>
        <v/>
      </c>
      <c r="H707" t="str" cm="1">
        <f t="array" ref="H7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7" t="s">
        <v>30</v>
      </c>
      <c r="J707">
        <v>75</v>
      </c>
      <c r="K707">
        <v>8</v>
      </c>
      <c r="L707">
        <v>0</v>
      </c>
      <c r="M707" t="str" cm="1">
        <f t="array" ref="M7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7">
        <f>_xlfn.XLOOKUP("LOADINGSPEEDDEF_"&amp;PROPERTIES[[#This Row],[LOADINGSPEED]],LOADINGSPEEDDEF[TYPE],LOADINGSPEEDDEF[SPEED])</f>
        <v>20</v>
      </c>
      <c r="O707" t="str" cm="1">
        <f t="array" ref="O7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7">
        <f>IF(ISNUMBER(SEARCH("passenger",PROPERTIES[[#This Row],[CARGODEF]])),1,0)</f>
        <v>0</v>
      </c>
      <c r="Q707" s="23">
        <v>22</v>
      </c>
      <c r="R707">
        <v>0</v>
      </c>
      <c r="S707">
        <v>0</v>
      </c>
      <c r="T707">
        <v>0</v>
      </c>
      <c r="U707">
        <v>0</v>
      </c>
      <c r="V707">
        <v>160</v>
      </c>
      <c r="W707">
        <v>0</v>
      </c>
      <c r="X707">
        <v>0</v>
      </c>
      <c r="Y707">
        <v>0</v>
      </c>
      <c r="Z707" s="20">
        <v>0</v>
      </c>
      <c r="AA707" s="19">
        <f>IFERROR(PROPERTIES[[#This Row],[TE_STARTING_KN]]/(PROPERTIES[[#This Row],[WEIGHT]]*9.81),0)</f>
        <v>0</v>
      </c>
      <c r="AB707" s="19">
        <v>0.3</v>
      </c>
      <c r="AC707" s="16">
        <f>ROUND(IF(IFERROR(PROPERTIES[[#This Row],[TE_COEFFICIENT_CALC]],0)=0,PROPERTIES[[#This Row],[TE_COEFFICIENT_MANUAL]],PROPERTIES[[#This Row],[TE_COEFFICIENT_CALC]]),3)</f>
        <v>0.3</v>
      </c>
      <c r="AD707" s="8" cm="1">
        <f t="array" ref="AD7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7" s="26">
        <v>0</v>
      </c>
      <c r="AF707" s="6">
        <v>0</v>
      </c>
      <c r="AG707" t="s">
        <v>241</v>
      </c>
      <c r="AH707" t="s">
        <v>229</v>
      </c>
      <c r="AI707" t="s">
        <v>229</v>
      </c>
      <c r="AJ707" s="2" t="s">
        <v>229</v>
      </c>
      <c r="AK707" s="2" t="s">
        <v>244</v>
      </c>
      <c r="AL70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7" s="2" t="str">
        <f>SUBSTITUTE(SUBSTITUTE(PROPERTIES[[#This Row],[PURCHASECOST_VALUE]], "PURCHASECOST_", ""), "_VALUE", "")</f>
        <v>WAGON</v>
      </c>
      <c r="AO707" s="44" t="b">
        <v>0</v>
      </c>
      <c r="AP707" s="48" t="b">
        <v>0</v>
      </c>
      <c r="AQ707" s="48" t="b">
        <v>0</v>
      </c>
      <c r="AR707" s="48">
        <v>2</v>
      </c>
      <c r="AS707" s="48" t="b">
        <v>1</v>
      </c>
      <c r="AT707" s="7" t="b">
        <v>0</v>
      </c>
      <c r="AU707" s="40" t="str" cm="1">
        <f t="array" ref="AU707">_xlfn.XLOOKUP(PROPERTIES[[#This Row],[VEHIDCODE]],GRAPHICS_PROPERTIES[VEHIDCODE],GRAPHICS_PROPERTIES[TEMPLATE_ID]&amp;GRAPHICS_PROPERTIES[TEMPLATE_AMENDMENT_CODE])</f>
        <v>TPL_04B</v>
      </c>
    </row>
    <row r="708" spans="1:47" x14ac:dyDescent="0.35">
      <c r="A708" s="2" t="s">
        <v>202</v>
      </c>
      <c r="B708">
        <v>2020</v>
      </c>
      <c r="D708" cm="1">
        <f t="array" ref="D7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8" s="40" t="str">
        <f>_xlfn.XLOOKUP(PROPERTIES[[#This Row],[VEHIDCODE]],CONTROL[VEHIDCODE],CONTROL[ENGLISH])</f>
        <v>6th Gen Silo [Food]</v>
      </c>
      <c r="G708" s="40" t="str">
        <f>_xlfn.XLOOKUP(PROPERTIES[[#This Row],[COUNTRY]],COUNTRIES[COUNTRY_DESCRIPTION],COUNTRIES[COUNTRY_LABEL],"")</f>
        <v/>
      </c>
      <c r="H708" t="str" cm="1">
        <f t="array" ref="H7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8" t="s">
        <v>3669</v>
      </c>
      <c r="J708">
        <v>75</v>
      </c>
      <c r="K708">
        <v>8</v>
      </c>
      <c r="L708">
        <v>0</v>
      </c>
      <c r="M708" t="str" cm="1">
        <f t="array" ref="M7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8">
        <f>_xlfn.XLOOKUP("LOADINGSPEEDDEF_"&amp;PROPERTIES[[#This Row],[LOADINGSPEED]],LOADINGSPEEDDEF[TYPE],LOADINGSPEEDDEF[SPEED])</f>
        <v>20</v>
      </c>
      <c r="O708" t="str" cm="1">
        <f t="array" ref="O7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8">
        <f>IF(ISNUMBER(SEARCH("passenger",PROPERTIES[[#This Row],[CARGODEF]])),1,0)</f>
        <v>0</v>
      </c>
      <c r="Q708" s="23">
        <v>27</v>
      </c>
      <c r="R708">
        <v>0</v>
      </c>
      <c r="S708">
        <v>0</v>
      </c>
      <c r="T708">
        <v>0</v>
      </c>
      <c r="U708">
        <v>0</v>
      </c>
      <c r="V708">
        <v>160</v>
      </c>
      <c r="W708">
        <v>0</v>
      </c>
      <c r="X708">
        <v>0</v>
      </c>
      <c r="Y708">
        <v>0</v>
      </c>
      <c r="Z708" s="20">
        <v>0</v>
      </c>
      <c r="AA708" s="19">
        <f>IFERROR(PROPERTIES[[#This Row],[TE_STARTING_KN]]/(PROPERTIES[[#This Row],[WEIGHT]]*9.81),0)</f>
        <v>0</v>
      </c>
      <c r="AB708" s="19">
        <v>0.3</v>
      </c>
      <c r="AC708" s="16">
        <f>ROUND(IF(IFERROR(PROPERTIES[[#This Row],[TE_COEFFICIENT_CALC]],0)=0,PROPERTIES[[#This Row],[TE_COEFFICIENT_MANUAL]],PROPERTIES[[#This Row],[TE_COEFFICIENT_CALC]]),3)</f>
        <v>0.3</v>
      </c>
      <c r="AD708" s="8" cm="1">
        <f t="array" ref="AD7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8" s="26">
        <v>0</v>
      </c>
      <c r="AF708" s="6">
        <v>0</v>
      </c>
      <c r="AG708" t="s">
        <v>241</v>
      </c>
      <c r="AH708" t="s">
        <v>229</v>
      </c>
      <c r="AI708" t="s">
        <v>229</v>
      </c>
      <c r="AJ708" s="2" t="s">
        <v>229</v>
      </c>
      <c r="AK708" s="2" t="s">
        <v>244</v>
      </c>
      <c r="AL70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8" s="2" t="str">
        <f>SUBSTITUTE(SUBSTITUTE(PROPERTIES[[#This Row],[PURCHASECOST_VALUE]], "PURCHASECOST_", ""), "_VALUE", "")</f>
        <v>WAGON</v>
      </c>
      <c r="AO708" s="44" t="b">
        <v>0</v>
      </c>
      <c r="AP708" s="48" t="b">
        <v>0</v>
      </c>
      <c r="AQ708" s="48" t="b">
        <v>0</v>
      </c>
      <c r="AR708" s="48">
        <v>2</v>
      </c>
      <c r="AS708" s="48" t="b">
        <v>0</v>
      </c>
      <c r="AT708" s="7" t="b">
        <v>0</v>
      </c>
      <c r="AU708" s="40" t="str" cm="1">
        <f t="array" ref="AU708">_xlfn.XLOOKUP(PROPERTIES[[#This Row],[VEHIDCODE]],GRAPHICS_PROPERTIES[VEHIDCODE],GRAPHICS_PROPERTIES[TEMPLATE_ID]&amp;GRAPHICS_PROPERTIES[TEMPLATE_AMENDMENT_CODE])</f>
        <v>TPL_04B</v>
      </c>
    </row>
    <row r="709" spans="1:47" x14ac:dyDescent="0.35">
      <c r="A709" s="2" t="s">
        <v>203</v>
      </c>
      <c r="B709">
        <v>2020</v>
      </c>
      <c r="D709" cm="1">
        <f t="array" ref="D7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9" s="40" t="str">
        <f>_xlfn.XLOOKUP(PROPERTIES[[#This Row],[VEHIDCODE]],CONTROL[VEHIDCODE],CONTROL[ENGLISH])</f>
        <v>6th Gen Silo [Non-Food]</v>
      </c>
      <c r="G709" s="40" t="str">
        <f>_xlfn.XLOOKUP(PROPERTIES[[#This Row],[COUNTRY]],COUNTRIES[COUNTRY_DESCRIPTION],COUNTRIES[COUNTRY_LABEL],"")</f>
        <v/>
      </c>
      <c r="H709" t="str" cm="1">
        <f t="array" ref="H7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9" t="s">
        <v>3670</v>
      </c>
      <c r="J709">
        <v>75</v>
      </c>
      <c r="K709">
        <v>8</v>
      </c>
      <c r="L709">
        <v>0</v>
      </c>
      <c r="M709" t="str" cm="1">
        <f t="array" ref="M7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9">
        <f>_xlfn.XLOOKUP("LOADINGSPEEDDEF_"&amp;PROPERTIES[[#This Row],[LOADINGSPEED]],LOADINGSPEEDDEF[TYPE],LOADINGSPEEDDEF[SPEED])</f>
        <v>20</v>
      </c>
      <c r="O709" t="str" cm="1">
        <f t="array" ref="O7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9">
        <f>IF(ISNUMBER(SEARCH("passenger",PROPERTIES[[#This Row],[CARGODEF]])),1,0)</f>
        <v>0</v>
      </c>
      <c r="Q709" s="23">
        <v>27</v>
      </c>
      <c r="R709">
        <v>0</v>
      </c>
      <c r="S709">
        <v>0</v>
      </c>
      <c r="T709">
        <v>0</v>
      </c>
      <c r="U709">
        <v>0</v>
      </c>
      <c r="V709">
        <v>160</v>
      </c>
      <c r="W709">
        <v>0</v>
      </c>
      <c r="X709">
        <v>0</v>
      </c>
      <c r="Y709">
        <v>0</v>
      </c>
      <c r="Z709" s="20">
        <v>0</v>
      </c>
      <c r="AA709" s="19">
        <f>IFERROR(PROPERTIES[[#This Row],[TE_STARTING_KN]]/(PROPERTIES[[#This Row],[WEIGHT]]*9.81),0)</f>
        <v>0</v>
      </c>
      <c r="AB709" s="19">
        <v>0.3</v>
      </c>
      <c r="AC709" s="16">
        <f>ROUND(IF(IFERROR(PROPERTIES[[#This Row],[TE_COEFFICIENT_CALC]],0)=0,PROPERTIES[[#This Row],[TE_COEFFICIENT_MANUAL]],PROPERTIES[[#This Row],[TE_COEFFICIENT_CALC]]),3)</f>
        <v>0.3</v>
      </c>
      <c r="AD709" s="8" cm="1">
        <f t="array" ref="AD7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9" s="26">
        <v>0</v>
      </c>
      <c r="AF709" s="6">
        <v>0</v>
      </c>
      <c r="AG709" t="s">
        <v>241</v>
      </c>
      <c r="AH709" t="s">
        <v>229</v>
      </c>
      <c r="AI709" t="s">
        <v>229</v>
      </c>
      <c r="AJ709" s="2" t="s">
        <v>229</v>
      </c>
      <c r="AK709" s="2" t="s">
        <v>244</v>
      </c>
      <c r="AL70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9" s="2" t="str">
        <f>SUBSTITUTE(SUBSTITUTE(PROPERTIES[[#This Row],[PURCHASECOST_VALUE]], "PURCHASECOST_", ""), "_VALUE", "")</f>
        <v>WAGON</v>
      </c>
      <c r="AO709" s="44" t="b">
        <v>0</v>
      </c>
      <c r="AP709" s="48" t="b">
        <v>0</v>
      </c>
      <c r="AQ709" s="48" t="b">
        <v>0</v>
      </c>
      <c r="AR709" s="48">
        <v>2</v>
      </c>
      <c r="AS709" s="48" t="b">
        <v>0</v>
      </c>
      <c r="AT709" s="7" t="b">
        <v>0</v>
      </c>
      <c r="AU709" s="40" t="str" cm="1">
        <f t="array" ref="AU709">_xlfn.XLOOKUP(PROPERTIES[[#This Row],[VEHIDCODE]],GRAPHICS_PROPERTIES[VEHIDCODE],GRAPHICS_PROPERTIES[TEMPLATE_ID]&amp;GRAPHICS_PROPERTIES[TEMPLATE_AMENDMENT_CODE])</f>
        <v>TPL_04B</v>
      </c>
    </row>
    <row r="710" spans="1:47" x14ac:dyDescent="0.35">
      <c r="A710" s="2" t="s">
        <v>204</v>
      </c>
      <c r="B710">
        <v>2020</v>
      </c>
      <c r="D710" cm="1">
        <f t="array" ref="D7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0" s="40" t="str">
        <f>_xlfn.XLOOKUP(PROPERTIES[[#This Row],[VEHIDCODE]],CONTROL[VEHIDCODE],CONTROL[ENGLISH])</f>
        <v>6th Gen Self-discharging Hopper [Food]</v>
      </c>
      <c r="G710" s="40" t="str">
        <f>_xlfn.XLOOKUP(PROPERTIES[[#This Row],[COUNTRY]],COUNTRIES[COUNTRY_DESCRIPTION],COUNTRIES[COUNTRY_LABEL],"")</f>
        <v/>
      </c>
      <c r="H710" t="str" cm="1">
        <f t="array" ref="H7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0" t="s">
        <v>3667</v>
      </c>
      <c r="J710">
        <v>75</v>
      </c>
      <c r="K710">
        <v>8</v>
      </c>
      <c r="L710">
        <v>0</v>
      </c>
      <c r="M710" t="str" cm="1">
        <f t="array" ref="M7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0">
        <f>_xlfn.XLOOKUP("LOADINGSPEEDDEF_"&amp;PROPERTIES[[#This Row],[LOADINGSPEED]],LOADINGSPEEDDEF[TYPE],LOADINGSPEEDDEF[SPEED])</f>
        <v>20</v>
      </c>
      <c r="O710" t="str" cm="1">
        <f t="array" ref="O7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0">
        <f>IF(ISNUMBER(SEARCH("passenger",PROPERTIES[[#This Row],[CARGODEF]])),1,0)</f>
        <v>0</v>
      </c>
      <c r="Q710" s="23">
        <v>26</v>
      </c>
      <c r="R710">
        <v>0</v>
      </c>
      <c r="S710">
        <v>0</v>
      </c>
      <c r="T710">
        <v>0</v>
      </c>
      <c r="U710">
        <v>0</v>
      </c>
      <c r="V710">
        <v>160</v>
      </c>
      <c r="W710">
        <v>0</v>
      </c>
      <c r="X710">
        <v>0</v>
      </c>
      <c r="Y710">
        <v>0</v>
      </c>
      <c r="Z710" s="20">
        <v>0</v>
      </c>
      <c r="AA710" s="19">
        <f>IFERROR(PROPERTIES[[#This Row],[TE_STARTING_KN]]/(PROPERTIES[[#This Row],[WEIGHT]]*9.81),0)</f>
        <v>0</v>
      </c>
      <c r="AB710" s="19">
        <v>0.3</v>
      </c>
      <c r="AC710" s="16">
        <f>ROUND(IF(IFERROR(PROPERTIES[[#This Row],[TE_COEFFICIENT_CALC]],0)=0,PROPERTIES[[#This Row],[TE_COEFFICIENT_MANUAL]],PROPERTIES[[#This Row],[TE_COEFFICIENT_CALC]]),3)</f>
        <v>0.3</v>
      </c>
      <c r="AD710" s="8" cm="1">
        <f t="array" ref="AD7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0" s="26">
        <v>0</v>
      </c>
      <c r="AF710" s="6">
        <v>0</v>
      </c>
      <c r="AG710" t="s">
        <v>241</v>
      </c>
      <c r="AH710" t="s">
        <v>229</v>
      </c>
      <c r="AI710" t="s">
        <v>229</v>
      </c>
      <c r="AJ710" s="2" t="s">
        <v>229</v>
      </c>
      <c r="AK710" s="2" t="s">
        <v>244</v>
      </c>
      <c r="AL71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0" s="2" t="str">
        <f>SUBSTITUTE(SUBSTITUTE(PROPERTIES[[#This Row],[PURCHASECOST_VALUE]], "PURCHASECOST_", ""), "_VALUE", "")</f>
        <v>WAGON</v>
      </c>
      <c r="AO710" s="44" t="b">
        <v>0</v>
      </c>
      <c r="AP710" s="48" t="b">
        <v>0</v>
      </c>
      <c r="AQ710" s="48" t="b">
        <v>0</v>
      </c>
      <c r="AR710" s="48">
        <v>2</v>
      </c>
      <c r="AS710" s="48" t="b">
        <v>1</v>
      </c>
      <c r="AT710" s="7" t="b">
        <v>0</v>
      </c>
      <c r="AU710" s="40" t="str" cm="1">
        <f t="array" ref="AU710">_xlfn.XLOOKUP(PROPERTIES[[#This Row],[VEHIDCODE]],GRAPHICS_PROPERTIES[VEHIDCODE],GRAPHICS_PROPERTIES[TEMPLATE_ID]&amp;GRAPHICS_PROPERTIES[TEMPLATE_AMENDMENT_CODE])</f>
        <v>TPL_04B</v>
      </c>
    </row>
    <row r="711" spans="1:47" x14ac:dyDescent="0.35">
      <c r="A711" s="2" t="s">
        <v>205</v>
      </c>
      <c r="B711">
        <v>2020</v>
      </c>
      <c r="D711" cm="1">
        <f t="array" ref="D7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1" s="40" t="str">
        <f>_xlfn.XLOOKUP(PROPERTIES[[#This Row],[VEHIDCODE]],CONTROL[VEHIDCODE],CONTROL[ENGLISH])</f>
        <v>6th Gen Self-discharging Hopper [Non-Food]</v>
      </c>
      <c r="G711" s="40" t="str">
        <f>_xlfn.XLOOKUP(PROPERTIES[[#This Row],[COUNTRY]],COUNTRIES[COUNTRY_DESCRIPTION],COUNTRIES[COUNTRY_LABEL],"")</f>
        <v/>
      </c>
      <c r="H711" t="str" cm="1">
        <f t="array" ref="H7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1" t="s">
        <v>3668</v>
      </c>
      <c r="J711">
        <v>75</v>
      </c>
      <c r="K711">
        <v>8</v>
      </c>
      <c r="L711">
        <v>0</v>
      </c>
      <c r="M711" t="str" cm="1">
        <f t="array" ref="M7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1">
        <f>_xlfn.XLOOKUP("LOADINGSPEEDDEF_"&amp;PROPERTIES[[#This Row],[LOADINGSPEED]],LOADINGSPEEDDEF[TYPE],LOADINGSPEEDDEF[SPEED])</f>
        <v>20</v>
      </c>
      <c r="O711" t="str" cm="1">
        <f t="array" ref="O7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1">
        <f>IF(ISNUMBER(SEARCH("passenger",PROPERTIES[[#This Row],[CARGODEF]])),1,0)</f>
        <v>0</v>
      </c>
      <c r="Q711" s="23">
        <v>26</v>
      </c>
      <c r="R711">
        <v>0</v>
      </c>
      <c r="S711">
        <v>0</v>
      </c>
      <c r="T711">
        <v>0</v>
      </c>
      <c r="U711">
        <v>0</v>
      </c>
      <c r="V711">
        <v>160</v>
      </c>
      <c r="W711">
        <v>0</v>
      </c>
      <c r="X711">
        <v>0</v>
      </c>
      <c r="Y711">
        <v>0</v>
      </c>
      <c r="Z711" s="20">
        <v>0</v>
      </c>
      <c r="AA711" s="19">
        <f>IFERROR(PROPERTIES[[#This Row],[TE_STARTING_KN]]/(PROPERTIES[[#This Row],[WEIGHT]]*9.81),0)</f>
        <v>0</v>
      </c>
      <c r="AB711" s="19">
        <v>0.3</v>
      </c>
      <c r="AC711" s="16">
        <f>ROUND(IF(IFERROR(PROPERTIES[[#This Row],[TE_COEFFICIENT_CALC]],0)=0,PROPERTIES[[#This Row],[TE_COEFFICIENT_MANUAL]],PROPERTIES[[#This Row],[TE_COEFFICIENT_CALC]]),3)</f>
        <v>0.3</v>
      </c>
      <c r="AD711" s="8" cm="1">
        <f t="array" ref="AD7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1" s="26">
        <v>0</v>
      </c>
      <c r="AF711" s="6">
        <v>0</v>
      </c>
      <c r="AG711" t="s">
        <v>241</v>
      </c>
      <c r="AH711" t="s">
        <v>229</v>
      </c>
      <c r="AI711" t="s">
        <v>229</v>
      </c>
      <c r="AJ711" s="2" t="s">
        <v>229</v>
      </c>
      <c r="AK711" s="2" t="s">
        <v>244</v>
      </c>
      <c r="AL71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1" s="2" t="str">
        <f>SUBSTITUTE(SUBSTITUTE(PROPERTIES[[#This Row],[PURCHASECOST_VALUE]], "PURCHASECOST_", ""), "_VALUE", "")</f>
        <v>WAGON</v>
      </c>
      <c r="AO711" s="44" t="b">
        <v>0</v>
      </c>
      <c r="AP711" s="48" t="b">
        <v>0</v>
      </c>
      <c r="AQ711" s="48" t="b">
        <v>0</v>
      </c>
      <c r="AR711" s="48">
        <v>2</v>
      </c>
      <c r="AS711" s="48" t="b">
        <v>0</v>
      </c>
      <c r="AT711" s="7" t="b">
        <v>0</v>
      </c>
      <c r="AU711" s="40" t="str" cm="1">
        <f t="array" ref="AU711">_xlfn.XLOOKUP(PROPERTIES[[#This Row],[VEHIDCODE]],GRAPHICS_PROPERTIES[VEHIDCODE],GRAPHICS_PROPERTIES[TEMPLATE_ID]&amp;GRAPHICS_PROPERTIES[TEMPLATE_AMENDMENT_CODE])</f>
        <v>TPL_04B</v>
      </c>
    </row>
    <row r="712" spans="1:47" x14ac:dyDescent="0.35">
      <c r="A712" s="2" t="s">
        <v>206</v>
      </c>
      <c r="B712">
        <v>2020</v>
      </c>
      <c r="D712" cm="1">
        <f t="array" ref="D7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2" s="40" t="str">
        <f>_xlfn.XLOOKUP(PROPERTIES[[#This Row],[VEHIDCODE]],CONTROL[VEHIDCODE],CONTROL[ENGLISH])</f>
        <v>6th Gen Car Transporter</v>
      </c>
      <c r="G712" s="40" t="str">
        <f>_xlfn.XLOOKUP(PROPERTIES[[#This Row],[COUNTRY]],COUNTRIES[COUNTRY_DESCRIPTION],COUNTRIES[COUNTRY_LABEL],"")</f>
        <v/>
      </c>
      <c r="H712" t="str" cm="1">
        <f t="array" ref="H7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2" t="s">
        <v>26</v>
      </c>
      <c r="J712">
        <v>20</v>
      </c>
      <c r="K712">
        <v>8</v>
      </c>
      <c r="L712">
        <v>0</v>
      </c>
      <c r="M712" t="str" cm="1">
        <f t="array" ref="M7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2">
        <f>_xlfn.XLOOKUP("LOADINGSPEEDDEF_"&amp;PROPERTIES[[#This Row],[LOADINGSPEED]],LOADINGSPEEDDEF[TYPE],LOADINGSPEEDDEF[SPEED])</f>
        <v>20</v>
      </c>
      <c r="O712" t="str" cm="1">
        <f t="array" ref="O7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2">
        <f>IF(ISNUMBER(SEARCH("passenger",PROPERTIES[[#This Row],[CARGODEF]])),1,0)</f>
        <v>0</v>
      </c>
      <c r="Q712" s="23">
        <v>28</v>
      </c>
      <c r="R712">
        <v>0</v>
      </c>
      <c r="S712">
        <v>0</v>
      </c>
      <c r="T712">
        <v>0</v>
      </c>
      <c r="U712">
        <v>0</v>
      </c>
      <c r="V712">
        <v>160</v>
      </c>
      <c r="W712">
        <v>0</v>
      </c>
      <c r="X712">
        <v>0</v>
      </c>
      <c r="Y712">
        <v>0</v>
      </c>
      <c r="Z712" s="20">
        <v>0</v>
      </c>
      <c r="AA712" s="19">
        <f>IFERROR(PROPERTIES[[#This Row],[TE_STARTING_KN]]/(PROPERTIES[[#This Row],[WEIGHT]]*9.81),0)</f>
        <v>0</v>
      </c>
      <c r="AB712" s="19">
        <v>0.3</v>
      </c>
      <c r="AC712" s="16">
        <f>ROUND(IF(IFERROR(PROPERTIES[[#This Row],[TE_COEFFICIENT_CALC]],0)=0,PROPERTIES[[#This Row],[TE_COEFFICIENT_MANUAL]],PROPERTIES[[#This Row],[TE_COEFFICIENT_CALC]]),3)</f>
        <v>0.3</v>
      </c>
      <c r="AD712" s="8" cm="1">
        <f t="array" ref="AD7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2" s="26">
        <v>0</v>
      </c>
      <c r="AF712" s="6">
        <v>0</v>
      </c>
      <c r="AG712" t="s">
        <v>241</v>
      </c>
      <c r="AH712" t="s">
        <v>229</v>
      </c>
      <c r="AI712" t="s">
        <v>229</v>
      </c>
      <c r="AJ712" s="2" t="s">
        <v>229</v>
      </c>
      <c r="AK712" s="2" t="s">
        <v>244</v>
      </c>
      <c r="AL71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2" s="2" t="str">
        <f>SUBSTITUTE(SUBSTITUTE(PROPERTIES[[#This Row],[PURCHASECOST_VALUE]], "PURCHASECOST_", ""), "_VALUE", "")</f>
        <v>WAGON</v>
      </c>
      <c r="AO712" s="44" t="b">
        <v>0</v>
      </c>
      <c r="AP712" s="48" t="b">
        <v>0</v>
      </c>
      <c r="AQ712" s="48" t="b">
        <v>0</v>
      </c>
      <c r="AR712" s="48">
        <v>2</v>
      </c>
      <c r="AS712" s="48" t="b">
        <v>0</v>
      </c>
      <c r="AT712" s="7" t="b">
        <v>0</v>
      </c>
      <c r="AU712" s="40" t="str" cm="1">
        <f t="array" ref="AU712">_xlfn.XLOOKUP(PROPERTIES[[#This Row],[VEHIDCODE]],GRAPHICS_PROPERTIES[VEHIDCODE],GRAPHICS_PROPERTIES[TEMPLATE_ID]&amp;GRAPHICS_PROPERTIES[TEMPLATE_AMENDMENT_CODE])</f>
        <v>TPL_04B</v>
      </c>
    </row>
    <row r="713" spans="1:47" x14ac:dyDescent="0.35">
      <c r="A713" s="2" t="s">
        <v>207</v>
      </c>
      <c r="B713">
        <v>2010</v>
      </c>
      <c r="D713" cm="1">
        <f t="array" ref="D7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3" s="40" t="str">
        <f>_xlfn.XLOOKUP(PROPERTIES[[#This Row],[VEHIDCODE]],CONTROL[VEHIDCODE],CONTROL[ENGLISH])</f>
        <v>6th Gen Container Carrier</v>
      </c>
      <c r="G713" s="40" t="str">
        <f>_xlfn.XLOOKUP(PROPERTIES[[#This Row],[COUNTRY]],COUNTRIES[COUNTRY_DESCRIPTION],COUNTRIES[COUNTRY_LABEL],"")</f>
        <v/>
      </c>
      <c r="H713" t="str" cm="1">
        <f t="array" ref="H7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3" t="s">
        <v>24</v>
      </c>
      <c r="J713">
        <v>60</v>
      </c>
      <c r="K713">
        <v>8</v>
      </c>
      <c r="L713">
        <v>0</v>
      </c>
      <c r="M713" t="str" cm="1">
        <f t="array" ref="M7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3">
        <f>_xlfn.XLOOKUP("LOADINGSPEEDDEF_"&amp;PROPERTIES[[#This Row],[LOADINGSPEED]],LOADINGSPEEDDEF[TYPE],LOADINGSPEEDDEF[SPEED])</f>
        <v>20</v>
      </c>
      <c r="O713" t="str" cm="1">
        <f t="array" ref="O7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3">
        <f>IF(ISNUMBER(SEARCH("passenger",PROPERTIES[[#This Row],[CARGODEF]])),1,0)</f>
        <v>0</v>
      </c>
      <c r="Q713" s="23">
        <v>22</v>
      </c>
      <c r="R713">
        <v>0</v>
      </c>
      <c r="S713">
        <v>0</v>
      </c>
      <c r="T713">
        <v>0</v>
      </c>
      <c r="U713">
        <v>0</v>
      </c>
      <c r="V713">
        <v>160</v>
      </c>
      <c r="W713">
        <v>0</v>
      </c>
      <c r="X713">
        <v>0</v>
      </c>
      <c r="Y713">
        <v>0</v>
      </c>
      <c r="Z713" s="20">
        <v>0</v>
      </c>
      <c r="AA713" s="19">
        <f>IFERROR(PROPERTIES[[#This Row],[TE_STARTING_KN]]/(PROPERTIES[[#This Row],[WEIGHT]]*9.81),0)</f>
        <v>0</v>
      </c>
      <c r="AB713" s="19">
        <v>0.3</v>
      </c>
      <c r="AC713" s="16">
        <f>ROUND(IF(IFERROR(PROPERTIES[[#This Row],[TE_COEFFICIENT_CALC]],0)=0,PROPERTIES[[#This Row],[TE_COEFFICIENT_MANUAL]],PROPERTIES[[#This Row],[TE_COEFFICIENT_CALC]]),3)</f>
        <v>0.3</v>
      </c>
      <c r="AD713" s="8" cm="1">
        <f t="array" ref="AD7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3" s="26">
        <v>0</v>
      </c>
      <c r="AF713" s="6">
        <v>0</v>
      </c>
      <c r="AG713" t="s">
        <v>241</v>
      </c>
      <c r="AH713" t="s">
        <v>229</v>
      </c>
      <c r="AI713" t="s">
        <v>229</v>
      </c>
      <c r="AJ713" s="2" t="s">
        <v>229</v>
      </c>
      <c r="AK713" s="2" t="s">
        <v>244</v>
      </c>
      <c r="AL71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3" s="2" t="str">
        <f>SUBSTITUTE(SUBSTITUTE(PROPERTIES[[#This Row],[PURCHASECOST_VALUE]], "PURCHASECOST_", ""), "_VALUE", "")</f>
        <v>WAGON</v>
      </c>
      <c r="AO713" s="44" t="b">
        <v>0</v>
      </c>
      <c r="AP713" s="48" t="b">
        <v>0</v>
      </c>
      <c r="AQ713" s="48" t="b">
        <v>0</v>
      </c>
      <c r="AR713" s="48">
        <v>2</v>
      </c>
      <c r="AS713" s="48" t="b">
        <v>0</v>
      </c>
      <c r="AT713" s="7" t="b">
        <v>0</v>
      </c>
      <c r="AU713" s="40" t="str" cm="1">
        <f t="array" ref="AU713">_xlfn.XLOOKUP(PROPERTIES[[#This Row],[VEHIDCODE]],GRAPHICS_PROPERTIES[VEHIDCODE],GRAPHICS_PROPERTIES[TEMPLATE_ID]&amp;GRAPHICS_PROPERTIES[TEMPLATE_AMENDMENT_CODE])</f>
        <v>TPL_04B</v>
      </c>
    </row>
    <row r="714" spans="1:47" x14ac:dyDescent="0.35">
      <c r="A714" s="2" t="s">
        <v>208</v>
      </c>
      <c r="B714">
        <v>2010</v>
      </c>
      <c r="D714" cm="1">
        <f t="array" ref="D7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4" s="40" t="str">
        <f>_xlfn.XLOOKUP(PROPERTIES[[#This Row],[VEHIDCODE]],CONTROL[VEHIDCODE],CONTROL[ENGLISH])</f>
        <v>6th Gen Centerbeam Flatcar</v>
      </c>
      <c r="G714" s="40" t="str">
        <f>_xlfn.XLOOKUP(PROPERTIES[[#This Row],[COUNTRY]],COUNTRIES[COUNTRY_DESCRIPTION],COUNTRIES[COUNTRY_LABEL],"")</f>
        <v/>
      </c>
      <c r="H714" t="str" cm="1">
        <f t="array" ref="H7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4" t="s">
        <v>27</v>
      </c>
      <c r="J714">
        <v>65</v>
      </c>
      <c r="K714">
        <v>8</v>
      </c>
      <c r="L714">
        <v>0</v>
      </c>
      <c r="M714" t="str" cm="1">
        <f t="array" ref="M7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4">
        <f>_xlfn.XLOOKUP("LOADINGSPEEDDEF_"&amp;PROPERTIES[[#This Row],[LOADINGSPEED]],LOADINGSPEEDDEF[TYPE],LOADINGSPEEDDEF[SPEED])</f>
        <v>20</v>
      </c>
      <c r="O714" t="str" cm="1">
        <f t="array" ref="O7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4">
        <f>IF(ISNUMBER(SEARCH("passenger",PROPERTIES[[#This Row],[CARGODEF]])),1,0)</f>
        <v>0</v>
      </c>
      <c r="Q714" s="23">
        <v>40</v>
      </c>
      <c r="R714">
        <v>0</v>
      </c>
      <c r="S714">
        <v>0</v>
      </c>
      <c r="T714">
        <v>0</v>
      </c>
      <c r="U714">
        <v>0</v>
      </c>
      <c r="V714">
        <v>160</v>
      </c>
      <c r="W714">
        <v>0</v>
      </c>
      <c r="X714">
        <v>0</v>
      </c>
      <c r="Y714">
        <v>0</v>
      </c>
      <c r="Z714" s="20">
        <v>0</v>
      </c>
      <c r="AA714" s="19">
        <f>IFERROR(PROPERTIES[[#This Row],[TE_STARTING_KN]]/(PROPERTIES[[#This Row],[WEIGHT]]*9.81),0)</f>
        <v>0</v>
      </c>
      <c r="AB714" s="19">
        <v>0.3</v>
      </c>
      <c r="AC714" s="16">
        <f>ROUND(IF(IFERROR(PROPERTIES[[#This Row],[TE_COEFFICIENT_CALC]],0)=0,PROPERTIES[[#This Row],[TE_COEFFICIENT_MANUAL]],PROPERTIES[[#This Row],[TE_COEFFICIENT_CALC]]),3)</f>
        <v>0.3</v>
      </c>
      <c r="AD714" s="8" cm="1">
        <f t="array" ref="AD7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4" s="26">
        <v>0</v>
      </c>
      <c r="AF714" s="6">
        <v>0</v>
      </c>
      <c r="AG714" t="s">
        <v>241</v>
      </c>
      <c r="AH714" t="s">
        <v>229</v>
      </c>
      <c r="AI714" t="s">
        <v>229</v>
      </c>
      <c r="AJ714" s="2" t="s">
        <v>229</v>
      </c>
      <c r="AK714" s="2" t="s">
        <v>244</v>
      </c>
      <c r="AL71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4" s="2" t="str">
        <f>SUBSTITUTE(SUBSTITUTE(PROPERTIES[[#This Row],[PURCHASECOST_VALUE]], "PURCHASECOST_", ""), "_VALUE", "")</f>
        <v>WAGON</v>
      </c>
      <c r="AO714" s="44" t="b">
        <v>0</v>
      </c>
      <c r="AP714" s="48" t="b">
        <v>0</v>
      </c>
      <c r="AQ714" s="48" t="b">
        <v>0</v>
      </c>
      <c r="AR714" s="48">
        <v>2</v>
      </c>
      <c r="AS714" s="48" t="b">
        <v>0</v>
      </c>
      <c r="AT714" s="7" t="b">
        <v>0</v>
      </c>
      <c r="AU714" s="40" t="str" cm="1">
        <f t="array" ref="AU714">_xlfn.XLOOKUP(PROPERTIES[[#This Row],[VEHIDCODE]],GRAPHICS_PROPERTIES[VEHIDCODE],GRAPHICS_PROPERTIES[TEMPLATE_ID]&amp;GRAPHICS_PROPERTIES[TEMPLATE_AMENDMENT_CODE])</f>
        <v>TPL_04B</v>
      </c>
    </row>
    <row r="715" spans="1:47" x14ac:dyDescent="0.35">
      <c r="A715" s="2" t="s">
        <v>209</v>
      </c>
      <c r="B715">
        <v>2000</v>
      </c>
      <c r="D715" cm="1">
        <f t="array" ref="D7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5" s="40" t="str">
        <f>_xlfn.XLOOKUP(PROPERTIES[[#This Row],[VEHIDCODE]],CONTROL[VEHIDCODE],CONTROL[ENGLISH])</f>
        <v>6th Gen Container Doublestack</v>
      </c>
      <c r="G715" s="40" t="str">
        <f>_xlfn.XLOOKUP(PROPERTIES[[#This Row],[COUNTRY]],COUNTRIES[COUNTRY_DESCRIPTION],COUNTRIES[COUNTRY_LABEL],"")</f>
        <v/>
      </c>
      <c r="H715" t="str" cm="1">
        <f t="array" ref="H7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5" t="s">
        <v>28</v>
      </c>
      <c r="J715">
        <v>75</v>
      </c>
      <c r="K715">
        <v>8</v>
      </c>
      <c r="L715">
        <v>0</v>
      </c>
      <c r="M715" t="str" cm="1">
        <f t="array" ref="M7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5">
        <f>_xlfn.XLOOKUP("LOADINGSPEEDDEF_"&amp;PROPERTIES[[#This Row],[LOADINGSPEED]],LOADINGSPEEDDEF[TYPE],LOADINGSPEEDDEF[SPEED])</f>
        <v>20</v>
      </c>
      <c r="O715" t="str" cm="1">
        <f t="array" ref="O7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5">
        <f>IF(ISNUMBER(SEARCH("passenger",PROPERTIES[[#This Row],[CARGODEF]])),1,0)</f>
        <v>0</v>
      </c>
      <c r="Q715" s="23">
        <v>25</v>
      </c>
      <c r="R715">
        <v>0</v>
      </c>
      <c r="S715">
        <v>0</v>
      </c>
      <c r="T715">
        <v>0</v>
      </c>
      <c r="U715">
        <v>0</v>
      </c>
      <c r="V715">
        <v>160</v>
      </c>
      <c r="W715">
        <v>0</v>
      </c>
      <c r="X715">
        <v>0</v>
      </c>
      <c r="Y715">
        <v>0</v>
      </c>
      <c r="Z715" s="20">
        <v>0</v>
      </c>
      <c r="AA715" s="19">
        <f>IFERROR(PROPERTIES[[#This Row],[TE_STARTING_KN]]/(PROPERTIES[[#This Row],[WEIGHT]]*9.81),0)</f>
        <v>0</v>
      </c>
      <c r="AB715" s="19">
        <v>0.3</v>
      </c>
      <c r="AC715" s="16">
        <f>ROUND(IF(IFERROR(PROPERTIES[[#This Row],[TE_COEFFICIENT_CALC]],0)=0,PROPERTIES[[#This Row],[TE_COEFFICIENT_MANUAL]],PROPERTIES[[#This Row],[TE_COEFFICIENT_CALC]]),3)</f>
        <v>0.3</v>
      </c>
      <c r="AD715" s="8" cm="1">
        <f t="array" ref="AD7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5" s="26">
        <v>0</v>
      </c>
      <c r="AF715" s="6">
        <v>0</v>
      </c>
      <c r="AG715" t="s">
        <v>241</v>
      </c>
      <c r="AH715" t="s">
        <v>229</v>
      </c>
      <c r="AI715" t="s">
        <v>229</v>
      </c>
      <c r="AJ715" s="2" t="s">
        <v>229</v>
      </c>
      <c r="AK715" s="2" t="s">
        <v>244</v>
      </c>
      <c r="AL71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5" s="2" t="str">
        <f>SUBSTITUTE(SUBSTITUTE(PROPERTIES[[#This Row],[PURCHASECOST_VALUE]], "PURCHASECOST_", ""), "_VALUE", "")</f>
        <v>WAGON</v>
      </c>
      <c r="AO715" s="44" t="b">
        <v>0</v>
      </c>
      <c r="AP715" s="48" t="b">
        <v>0</v>
      </c>
      <c r="AQ715" s="48" t="b">
        <v>0</v>
      </c>
      <c r="AR715" s="48">
        <v>2</v>
      </c>
      <c r="AS715" s="48" t="b">
        <v>0</v>
      </c>
      <c r="AT715" s="7" t="b">
        <v>0</v>
      </c>
      <c r="AU715" s="40" t="str" cm="1">
        <f t="array" ref="AU715">_xlfn.XLOOKUP(PROPERTIES[[#This Row],[VEHIDCODE]],GRAPHICS_PROPERTIES[VEHIDCODE],GRAPHICS_PROPERTIES[TEMPLATE_ID]&amp;GRAPHICS_PROPERTIES[TEMPLATE_AMENDMENT_CODE])</f>
        <v>TPL_04B</v>
      </c>
    </row>
    <row r="716" spans="1:47" x14ac:dyDescent="0.35">
      <c r="A716" s="2" t="s">
        <v>210</v>
      </c>
      <c r="B716">
        <v>2010</v>
      </c>
      <c r="D716" cm="1">
        <f t="array" ref="D7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6" s="40" t="str">
        <f>_xlfn.XLOOKUP(PROPERTIES[[#This Row],[VEHIDCODE]],CONTROL[VEHIDCODE],CONTROL[ENGLISH])</f>
        <v>6th Gen Superheavy Flatcar</v>
      </c>
      <c r="G716" s="40" t="str">
        <f>_xlfn.XLOOKUP(PROPERTIES[[#This Row],[COUNTRY]],COUNTRIES[COUNTRY_DESCRIPTION],COUNTRIES[COUNTRY_LABEL],"")</f>
        <v/>
      </c>
      <c r="H716" t="str" cm="1">
        <f t="array" ref="H7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6" t="s">
        <v>34</v>
      </c>
      <c r="J716">
        <v>195</v>
      </c>
      <c r="K716">
        <v>4</v>
      </c>
      <c r="L716">
        <v>0</v>
      </c>
      <c r="M716" t="str" cm="1">
        <f t="array" ref="M7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6">
        <f>_xlfn.XLOOKUP("LOADINGSPEEDDEF_"&amp;PROPERTIES[[#This Row],[LOADINGSPEED]],LOADINGSPEEDDEF[TYPE],LOADINGSPEEDDEF[SPEED])</f>
        <v>20</v>
      </c>
      <c r="O716" t="str" cm="1">
        <f t="array" ref="O7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6">
        <f>IF(ISNUMBER(SEARCH("passenger",PROPERTIES[[#This Row],[CARGODEF]])),1,0)</f>
        <v>0</v>
      </c>
      <c r="Q716" s="23">
        <v>50</v>
      </c>
      <c r="R716">
        <v>0</v>
      </c>
      <c r="S716">
        <v>0</v>
      </c>
      <c r="T716">
        <v>0</v>
      </c>
      <c r="U716">
        <v>0</v>
      </c>
      <c r="V716">
        <v>140</v>
      </c>
      <c r="W716">
        <v>0</v>
      </c>
      <c r="X716">
        <v>0</v>
      </c>
      <c r="Y716">
        <v>0</v>
      </c>
      <c r="Z716" s="20">
        <v>0</v>
      </c>
      <c r="AA716" s="19">
        <f>IFERROR(PROPERTIES[[#This Row],[TE_STARTING_KN]]/(PROPERTIES[[#This Row],[WEIGHT]]*9.81),0)</f>
        <v>0</v>
      </c>
      <c r="AB716" s="19">
        <v>0.3</v>
      </c>
      <c r="AC716" s="16">
        <f>ROUND(IF(IFERROR(PROPERTIES[[#This Row],[TE_COEFFICIENT_CALC]],0)=0,PROPERTIES[[#This Row],[TE_COEFFICIENT_MANUAL]],PROPERTIES[[#This Row],[TE_COEFFICIENT_CALC]]),3)</f>
        <v>0.3</v>
      </c>
      <c r="AD716" s="8" cm="1">
        <f t="array" ref="AD7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6" s="26">
        <v>0</v>
      </c>
      <c r="AF716" s="6">
        <v>0</v>
      </c>
      <c r="AG716" t="s">
        <v>241</v>
      </c>
      <c r="AH716" t="s">
        <v>229</v>
      </c>
      <c r="AI716" t="s">
        <v>229</v>
      </c>
      <c r="AJ716" s="2" t="s">
        <v>229</v>
      </c>
      <c r="AK716" s="2" t="s">
        <v>244</v>
      </c>
      <c r="AL71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6" s="2" t="str">
        <f>SUBSTITUTE(SUBSTITUTE(PROPERTIES[[#This Row],[PURCHASECOST_VALUE]], "PURCHASECOST_", ""), "_VALUE", "")</f>
        <v>WAGON</v>
      </c>
      <c r="AO716" s="44" t="b">
        <v>0</v>
      </c>
      <c r="AP716" s="48" t="b">
        <v>0</v>
      </c>
      <c r="AQ716" s="48" t="b">
        <v>0</v>
      </c>
      <c r="AR716" s="48">
        <v>0</v>
      </c>
      <c r="AS716" s="48" t="b">
        <v>0</v>
      </c>
      <c r="AT716" s="7" t="b">
        <v>0</v>
      </c>
      <c r="AU716" s="40" t="str" cm="1">
        <f t="array" ref="AU716">_xlfn.XLOOKUP(PROPERTIES[[#This Row],[VEHIDCODE]],GRAPHICS_PROPERTIES[VEHIDCODE],GRAPHICS_PROPERTIES[TEMPLATE_ID]&amp;GRAPHICS_PROPERTIES[TEMPLATE_AMENDMENT_CODE])</f>
        <v>TPL_25A</v>
      </c>
    </row>
    <row r="717" spans="1:47" x14ac:dyDescent="0.35">
      <c r="A717" s="2" t="s">
        <v>225</v>
      </c>
      <c r="B717">
        <v>1660</v>
      </c>
      <c r="D717" cm="1">
        <f t="array" ref="D7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7" s="40" t="str">
        <f>_xlfn.XLOOKUP(PROPERTIES[[#This Row],[VEHIDCODE]],CONTROL[VEHIDCODE],CONTROL[ENGLISH])</f>
        <v>Service Car [European Style]</v>
      </c>
      <c r="G717" s="40" t="str">
        <f>_xlfn.XLOOKUP(PROPERTIES[[#This Row],[COUNTRY]],COUNTRIES[COUNTRY_DESCRIPTION],COUNTRIES[COUNTRY_LABEL],"")</f>
        <v/>
      </c>
      <c r="H717" t="str" cm="1">
        <f t="array" ref="H7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7" t="s">
        <v>17</v>
      </c>
      <c r="J717">
        <v>0</v>
      </c>
      <c r="K717">
        <v>5</v>
      </c>
      <c r="L717">
        <v>0</v>
      </c>
      <c r="M717" t="str" cm="1">
        <f t="array" ref="M7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7">
        <f>_xlfn.XLOOKUP("LOADINGSPEEDDEF_"&amp;PROPERTIES[[#This Row],[LOADINGSPEED]],LOADINGSPEEDDEF[TYPE],LOADINGSPEEDDEF[SPEED])</f>
        <v>20</v>
      </c>
      <c r="O717" cm="1">
        <f t="array" ref="O7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17">
        <f>IF(ISNUMBER(SEARCH("passenger",PROPERTIES[[#This Row],[CARGODEF]])),1,0)</f>
        <v>0</v>
      </c>
      <c r="Q717" s="23">
        <v>15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 s="20">
        <v>0</v>
      </c>
      <c r="AA717" s="19">
        <f>IFERROR(PROPERTIES[[#This Row],[TE_STARTING_KN]]/(PROPERTIES[[#This Row],[WEIGHT]]*9.81),0)</f>
        <v>0</v>
      </c>
      <c r="AB717" s="19">
        <v>0.3</v>
      </c>
      <c r="AC717" s="16">
        <f>ROUND(IF(IFERROR(PROPERTIES[[#This Row],[TE_COEFFICIENT_CALC]],0)=0,PROPERTIES[[#This Row],[TE_COEFFICIENT_MANUAL]],PROPERTIES[[#This Row],[TE_COEFFICIENT_CALC]]),3)</f>
        <v>0.3</v>
      </c>
      <c r="AD717" s="8" cm="1">
        <f t="array" ref="AD7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7" s="26">
        <v>0</v>
      </c>
      <c r="AF717" s="6">
        <v>0</v>
      </c>
      <c r="AG717" t="s">
        <v>241</v>
      </c>
      <c r="AH717" t="s">
        <v>229</v>
      </c>
      <c r="AI717" t="s">
        <v>229</v>
      </c>
      <c r="AJ717" s="2" t="s">
        <v>229</v>
      </c>
      <c r="AK717" s="2" t="s">
        <v>244</v>
      </c>
      <c r="AL71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7" s="2" t="str">
        <f>SUBSTITUTE(SUBSTITUTE(PROPERTIES[[#This Row],[PURCHASECOST_VALUE]], "PURCHASECOST_", ""), "_VALUE", "")</f>
        <v>WAGON</v>
      </c>
      <c r="AO717" s="44" t="b">
        <v>0</v>
      </c>
      <c r="AP717" s="48" t="b">
        <v>0</v>
      </c>
      <c r="AQ717" s="48" t="b">
        <v>0</v>
      </c>
      <c r="AR717" s="48">
        <v>0</v>
      </c>
      <c r="AS717" s="48" t="b">
        <v>0</v>
      </c>
      <c r="AT717" s="7" t="b">
        <v>0</v>
      </c>
      <c r="AU717" s="40" t="str" cm="1">
        <f t="array" ref="AU717">_xlfn.XLOOKUP(PROPERTIES[[#This Row],[VEHIDCODE]],GRAPHICS_PROPERTIES[VEHIDCODE],GRAPHICS_PROPERTIES[TEMPLATE_ID]&amp;GRAPHICS_PROPERTIES[TEMPLATE_AMENDMENT_CODE])</f>
        <v>TPL_04A</v>
      </c>
    </row>
    <row r="718" spans="1:47" x14ac:dyDescent="0.35">
      <c r="A718" s="2" t="s">
        <v>226</v>
      </c>
      <c r="B718">
        <v>1660</v>
      </c>
      <c r="D718" cm="1">
        <f t="array" ref="D7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8" s="40" t="str">
        <f>_xlfn.XLOOKUP(PROPERTIES[[#This Row],[VEHIDCODE]],CONTROL[VEHIDCODE],CONTROL[ENGLISH])</f>
        <v>Service Car [American Style]</v>
      </c>
      <c r="G718" s="40" t="str">
        <f>_xlfn.XLOOKUP(PROPERTIES[[#This Row],[COUNTRY]],COUNTRIES[COUNTRY_DESCRIPTION],COUNTRIES[COUNTRY_LABEL],"")</f>
        <v/>
      </c>
      <c r="H718" t="str" cm="1">
        <f t="array" ref="H7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8" t="s">
        <v>17</v>
      </c>
      <c r="J718">
        <v>0</v>
      </c>
      <c r="K718">
        <v>5</v>
      </c>
      <c r="L718">
        <v>0</v>
      </c>
      <c r="M718" t="str" cm="1">
        <f t="array" ref="M7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8">
        <f>_xlfn.XLOOKUP("LOADINGSPEEDDEF_"&amp;PROPERTIES[[#This Row],[LOADINGSPEED]],LOADINGSPEEDDEF[TYPE],LOADINGSPEEDDEF[SPEED])</f>
        <v>20</v>
      </c>
      <c r="O718" cm="1">
        <f t="array" ref="O7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18">
        <f>IF(ISNUMBER(SEARCH("passenger",PROPERTIES[[#This Row],[CARGODEF]])),1,0)</f>
        <v>0</v>
      </c>
      <c r="Q718" s="23">
        <v>15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 s="20">
        <v>0</v>
      </c>
      <c r="AA718" s="19">
        <f>IFERROR(PROPERTIES[[#This Row],[TE_STARTING_KN]]/(PROPERTIES[[#This Row],[WEIGHT]]*9.81),0)</f>
        <v>0</v>
      </c>
      <c r="AB718" s="19">
        <v>0.3</v>
      </c>
      <c r="AC718" s="16">
        <f>ROUND(IF(IFERROR(PROPERTIES[[#This Row],[TE_COEFFICIENT_CALC]],0)=0,PROPERTIES[[#This Row],[TE_COEFFICIENT_MANUAL]],PROPERTIES[[#This Row],[TE_COEFFICIENT_CALC]]),3)</f>
        <v>0.3</v>
      </c>
      <c r="AD718" s="8" cm="1">
        <f t="array" ref="AD7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8" s="26">
        <v>0</v>
      </c>
      <c r="AF718" s="6">
        <v>0</v>
      </c>
      <c r="AG718" t="s">
        <v>241</v>
      </c>
      <c r="AH718" t="s">
        <v>229</v>
      </c>
      <c r="AI718" t="s">
        <v>229</v>
      </c>
      <c r="AJ718" s="2" t="s">
        <v>229</v>
      </c>
      <c r="AK718" s="2" t="s">
        <v>244</v>
      </c>
      <c r="AL71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8" s="2" t="str">
        <f>SUBSTITUTE(SUBSTITUTE(PROPERTIES[[#This Row],[PURCHASECOST_VALUE]], "PURCHASECOST_", ""), "_VALUE", "")</f>
        <v>WAGON</v>
      </c>
      <c r="AO718" s="44" t="b">
        <v>0</v>
      </c>
      <c r="AP718" s="48" t="b">
        <v>0</v>
      </c>
      <c r="AQ718" s="48" t="b">
        <v>0</v>
      </c>
      <c r="AR718" s="48">
        <v>0</v>
      </c>
      <c r="AS718" s="48" t="b">
        <v>0</v>
      </c>
      <c r="AT718" s="7" t="b">
        <v>0</v>
      </c>
      <c r="AU718" s="40" t="str" cm="1">
        <f t="array" ref="AU718">_xlfn.XLOOKUP(PROPERTIES[[#This Row],[VEHIDCODE]],GRAPHICS_PROPERTIES[VEHIDCODE],GRAPHICS_PROPERTIES[TEMPLATE_ID]&amp;GRAPHICS_PROPERTIES[TEMPLATE_AMENDMENT_CODE])</f>
        <v>TPL_04A</v>
      </c>
    </row>
    <row r="719" spans="1:47" x14ac:dyDescent="0.35">
      <c r="A719" s="2" t="s">
        <v>83</v>
      </c>
      <c r="B719">
        <v>1830</v>
      </c>
      <c r="D719" cm="1">
        <f t="array" ref="D7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9" s="40" t="str">
        <f>_xlfn.XLOOKUP(PROPERTIES[[#This Row],[VEHIDCODE]],CONTROL[VEHIDCODE],CONTROL[ENGLISH])</f>
        <v>Wooden 2-axle Compartment Coach</v>
      </c>
      <c r="G719" s="40" t="str">
        <f>_xlfn.XLOOKUP(PROPERTIES[[#This Row],[COUNTRY]],COUNTRIES[COUNTRY_DESCRIPTION],COUNTRIES[COUNTRY_LABEL],"")</f>
        <v/>
      </c>
      <c r="H719" t="str" cm="1">
        <f t="array" ref="H7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9" t="s">
        <v>22</v>
      </c>
      <c r="J719">
        <v>20</v>
      </c>
      <c r="K719">
        <v>4</v>
      </c>
      <c r="L719">
        <v>0</v>
      </c>
      <c r="M719" t="str" cm="1">
        <f t="array" ref="M7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19">
        <f>_xlfn.XLOOKUP("LOADINGSPEEDDEF_"&amp;PROPERTIES[[#This Row],[LOADINGSPEED]],LOADINGSPEEDDEF[TYPE],LOADINGSPEEDDEF[SPEED])</f>
        <v>60</v>
      </c>
      <c r="O719" cm="1">
        <f t="array" ref="O7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19">
        <f>IF(ISNUMBER(SEARCH("passenger",PROPERTIES[[#This Row],[CARGODEF]])),1,0)</f>
        <v>1</v>
      </c>
      <c r="Q719" s="23">
        <v>5</v>
      </c>
      <c r="R719">
        <v>0</v>
      </c>
      <c r="S719">
        <v>0</v>
      </c>
      <c r="T719">
        <v>0</v>
      </c>
      <c r="U719">
        <v>0</v>
      </c>
      <c r="V719">
        <v>40</v>
      </c>
      <c r="W719">
        <v>0</v>
      </c>
      <c r="X719">
        <v>0</v>
      </c>
      <c r="Y719">
        <v>0</v>
      </c>
      <c r="Z719" s="20">
        <v>0</v>
      </c>
      <c r="AA719" s="19">
        <f>IFERROR(PROPERTIES[[#This Row],[TE_STARTING_KN]]/(PROPERTIES[[#This Row],[WEIGHT]]*9.81),0)</f>
        <v>0</v>
      </c>
      <c r="AB719" s="19">
        <v>0.3</v>
      </c>
      <c r="AC719" s="16">
        <f>ROUND(IF(IFERROR(PROPERTIES[[#This Row],[TE_COEFFICIENT_CALC]],0)=0,PROPERTIES[[#This Row],[TE_COEFFICIENT_MANUAL]],PROPERTIES[[#This Row],[TE_COEFFICIENT_CALC]]),3)</f>
        <v>0.3</v>
      </c>
      <c r="AD719" s="8" cm="1">
        <f t="array" ref="AD7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9" s="26">
        <v>0</v>
      </c>
      <c r="AF719" s="6">
        <v>0</v>
      </c>
      <c r="AG719" t="s">
        <v>1945</v>
      </c>
      <c r="AH719" t="s">
        <v>232</v>
      </c>
      <c r="AI719" t="s">
        <v>229</v>
      </c>
      <c r="AJ719" s="2" t="s">
        <v>229</v>
      </c>
      <c r="AK719" s="2" t="s">
        <v>244</v>
      </c>
      <c r="AL71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1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19" s="2" t="str">
        <f>SUBSTITUTE(SUBSTITUTE(PROPERTIES[[#This Row],[PURCHASECOST_VALUE]], "PURCHASECOST_", ""), "_VALUE", "")</f>
        <v>COACH</v>
      </c>
      <c r="AO719" s="44" t="b">
        <v>0</v>
      </c>
      <c r="AP719" s="48" t="b">
        <v>0</v>
      </c>
      <c r="AQ719" s="48" t="b">
        <v>0</v>
      </c>
      <c r="AR719" s="48">
        <v>0</v>
      </c>
      <c r="AS719" s="48" t="b">
        <v>0</v>
      </c>
      <c r="AT719" s="7" t="b">
        <v>0</v>
      </c>
      <c r="AU719" s="40" t="str" cm="1">
        <f t="array" ref="AU719">_xlfn.XLOOKUP(PROPERTIES[[#This Row],[VEHIDCODE]],GRAPHICS_PROPERTIES[VEHIDCODE],GRAPHICS_PROPERTIES[TEMPLATE_ID]&amp;GRAPHICS_PROPERTIES[TEMPLATE_AMENDMENT_CODE])</f>
        <v>TPL_04A</v>
      </c>
    </row>
    <row r="720" spans="1:47" x14ac:dyDescent="0.35">
      <c r="A720" s="2" t="s">
        <v>84</v>
      </c>
      <c r="B720">
        <v>1830</v>
      </c>
      <c r="D720" cm="1">
        <f t="array" ref="D7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0" s="40" t="str">
        <f>_xlfn.XLOOKUP(PROPERTIES[[#This Row],[VEHIDCODE]],CONTROL[VEHIDCODE],CONTROL[ENGLISH])</f>
        <v>Wooden 2-axle Regional Coach</v>
      </c>
      <c r="G720" s="40" t="str">
        <f>_xlfn.XLOOKUP(PROPERTIES[[#This Row],[COUNTRY]],COUNTRIES[COUNTRY_DESCRIPTION],COUNTRIES[COUNTRY_LABEL],"")</f>
        <v/>
      </c>
      <c r="H720" t="str" cm="1">
        <f t="array" ref="H7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0" t="s">
        <v>22</v>
      </c>
      <c r="J720">
        <v>45</v>
      </c>
      <c r="K720">
        <v>4</v>
      </c>
      <c r="L720">
        <v>0</v>
      </c>
      <c r="M720" t="str" cm="1">
        <f t="array" ref="M7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20">
        <f>_xlfn.XLOOKUP("LOADINGSPEEDDEF_"&amp;PROPERTIES[[#This Row],[LOADINGSPEED]],LOADINGSPEEDDEF[TYPE],LOADINGSPEEDDEF[SPEED])</f>
        <v>60</v>
      </c>
      <c r="O720" cm="1">
        <f t="array" ref="O7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0">
        <f>IF(ISNUMBER(SEARCH("passenger",PROPERTIES[[#This Row],[CARGODEF]])),1,0)</f>
        <v>1</v>
      </c>
      <c r="Q720" s="23">
        <v>8</v>
      </c>
      <c r="R720">
        <v>0</v>
      </c>
      <c r="S720">
        <v>0</v>
      </c>
      <c r="T720">
        <v>0</v>
      </c>
      <c r="U720">
        <v>0</v>
      </c>
      <c r="V720">
        <v>65</v>
      </c>
      <c r="W720">
        <v>0</v>
      </c>
      <c r="X720">
        <v>0</v>
      </c>
      <c r="Y720">
        <v>0</v>
      </c>
      <c r="Z720" s="20">
        <v>0</v>
      </c>
      <c r="AA720" s="19">
        <f>IFERROR(PROPERTIES[[#This Row],[TE_STARTING_KN]]/(PROPERTIES[[#This Row],[WEIGHT]]*9.81),0)</f>
        <v>0</v>
      </c>
      <c r="AB720" s="19">
        <v>0.3</v>
      </c>
      <c r="AC720" s="16">
        <f>ROUND(IF(IFERROR(PROPERTIES[[#This Row],[TE_COEFFICIENT_CALC]],0)=0,PROPERTIES[[#This Row],[TE_COEFFICIENT_MANUAL]],PROPERTIES[[#This Row],[TE_COEFFICIENT_CALC]]),3)</f>
        <v>0.3</v>
      </c>
      <c r="AD720" s="8" cm="1">
        <f t="array" ref="AD7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0" s="26">
        <v>0</v>
      </c>
      <c r="AF720" s="6">
        <v>0</v>
      </c>
      <c r="AG720" t="s">
        <v>241</v>
      </c>
      <c r="AH720" t="s">
        <v>229</v>
      </c>
      <c r="AI720" t="s">
        <v>229</v>
      </c>
      <c r="AJ720" s="2" t="s">
        <v>229</v>
      </c>
      <c r="AK720" s="2" t="s">
        <v>244</v>
      </c>
      <c r="AL72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0" s="2" t="str">
        <f>SUBSTITUTE(SUBSTITUTE(PROPERTIES[[#This Row],[PURCHASECOST_VALUE]], "PURCHASECOST_", ""), "_VALUE", "")</f>
        <v>COACH</v>
      </c>
      <c r="AO720" s="44" t="b">
        <v>0</v>
      </c>
      <c r="AP720" s="48" t="b">
        <v>0</v>
      </c>
      <c r="AQ720" s="48" t="b">
        <v>0</v>
      </c>
      <c r="AR720" s="48">
        <v>0</v>
      </c>
      <c r="AS720" s="48" t="b">
        <v>0</v>
      </c>
      <c r="AT720" s="7" t="b">
        <v>0</v>
      </c>
      <c r="AU720" s="40" t="str" cm="1">
        <f t="array" ref="AU720">_xlfn.XLOOKUP(PROPERTIES[[#This Row],[VEHIDCODE]],GRAPHICS_PROPERTIES[VEHIDCODE],GRAPHICS_PROPERTIES[TEMPLATE_ID]&amp;GRAPHICS_PROPERTIES[TEMPLATE_AMENDMENT_CODE])</f>
        <v>TPL_04A</v>
      </c>
    </row>
    <row r="721" spans="1:47" x14ac:dyDescent="0.35">
      <c r="A721" s="2" t="s">
        <v>85</v>
      </c>
      <c r="B721">
        <v>1830</v>
      </c>
      <c r="D721" cm="1">
        <f t="array" ref="D7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1" s="40" t="str">
        <f>_xlfn.XLOOKUP(PROPERTIES[[#This Row],[VEHIDCODE]],CONTROL[VEHIDCODE],CONTROL[ENGLISH])</f>
        <v>Wooden 2-axle Mail Coach</v>
      </c>
      <c r="G721" s="40" t="str">
        <f>_xlfn.XLOOKUP(PROPERTIES[[#This Row],[COUNTRY]],COUNTRIES[COUNTRY_DESCRIPTION],COUNTRIES[COUNTRY_LABEL],"")</f>
        <v/>
      </c>
      <c r="H721" t="str" cm="1">
        <f t="array" ref="H7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1" t="s">
        <v>36</v>
      </c>
      <c r="J721">
        <v>12</v>
      </c>
      <c r="K721">
        <v>4</v>
      </c>
      <c r="L721">
        <v>0</v>
      </c>
      <c r="M721" t="str" cm="1">
        <f t="array" ref="M7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21">
        <f>_xlfn.XLOOKUP("LOADINGSPEEDDEF_"&amp;PROPERTIES[[#This Row],[LOADINGSPEED]],LOADINGSPEEDDEF[TYPE],LOADINGSPEEDDEF[SPEED])</f>
        <v>15</v>
      </c>
      <c r="O721" cm="1">
        <f t="array" ref="O7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1">
        <f>IF(ISNUMBER(SEARCH("passenger",PROPERTIES[[#This Row],[CARGODEF]])),1,0)</f>
        <v>0</v>
      </c>
      <c r="Q721" s="23">
        <v>5</v>
      </c>
      <c r="R721">
        <v>0</v>
      </c>
      <c r="S721">
        <v>0</v>
      </c>
      <c r="T721">
        <v>0</v>
      </c>
      <c r="U721">
        <v>0</v>
      </c>
      <c r="V721">
        <v>45</v>
      </c>
      <c r="W721">
        <v>0</v>
      </c>
      <c r="X721">
        <v>0</v>
      </c>
      <c r="Y721">
        <v>0</v>
      </c>
      <c r="Z721" s="20">
        <v>0</v>
      </c>
      <c r="AA721" s="19">
        <f>IFERROR(PROPERTIES[[#This Row],[TE_STARTING_KN]]/(PROPERTIES[[#This Row],[WEIGHT]]*9.81),0)</f>
        <v>0</v>
      </c>
      <c r="AB721" s="19">
        <v>0.3</v>
      </c>
      <c r="AC721" s="16">
        <f>ROUND(IF(IFERROR(PROPERTIES[[#This Row],[TE_COEFFICIENT_CALC]],0)=0,PROPERTIES[[#This Row],[TE_COEFFICIENT_MANUAL]],PROPERTIES[[#This Row],[TE_COEFFICIENT_CALC]]),3)</f>
        <v>0.3</v>
      </c>
      <c r="AD721" s="8" cm="1">
        <f t="array" ref="AD7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1" s="26">
        <v>0</v>
      </c>
      <c r="AF721" s="6">
        <v>0</v>
      </c>
      <c r="AG721" t="s">
        <v>241</v>
      </c>
      <c r="AH721" t="s">
        <v>229</v>
      </c>
      <c r="AI721" t="s">
        <v>229</v>
      </c>
      <c r="AJ721" s="2" t="s">
        <v>229</v>
      </c>
      <c r="AK721" s="2" t="s">
        <v>244</v>
      </c>
      <c r="AL72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1" s="2" t="str">
        <f>SUBSTITUTE(SUBSTITUTE(PROPERTIES[[#This Row],[PURCHASECOST_VALUE]], "PURCHASECOST_", ""), "_VALUE", "")</f>
        <v>COACH</v>
      </c>
      <c r="AO721" s="44" t="b">
        <v>0</v>
      </c>
      <c r="AP721" s="48" t="b">
        <v>0</v>
      </c>
      <c r="AQ721" s="48" t="b">
        <v>0</v>
      </c>
      <c r="AR721" s="48">
        <v>0</v>
      </c>
      <c r="AS721" s="48" t="b">
        <v>0</v>
      </c>
      <c r="AT721" s="7" t="b">
        <v>0</v>
      </c>
      <c r="AU721" s="40" t="str" cm="1">
        <f t="array" ref="AU721">_xlfn.XLOOKUP(PROPERTIES[[#This Row],[VEHIDCODE]],GRAPHICS_PROPERTIES[VEHIDCODE],GRAPHICS_PROPERTIES[TEMPLATE_ID]&amp;GRAPHICS_PROPERTIES[TEMPLATE_AMENDMENT_CODE])</f>
        <v>TPL_04A</v>
      </c>
    </row>
    <row r="722" spans="1:47" x14ac:dyDescent="0.35">
      <c r="A722" s="2" t="s">
        <v>86</v>
      </c>
      <c r="B722">
        <v>1840</v>
      </c>
      <c r="D722" cm="1">
        <f t="array" ref="D7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2" s="40" t="str">
        <f>_xlfn.XLOOKUP(PROPERTIES[[#This Row],[VEHIDCODE]],CONTROL[VEHIDCODE],CONTROL[ENGLISH])</f>
        <v>Clerestory Compartment Coach</v>
      </c>
      <c r="G722" s="40" t="str">
        <f>_xlfn.XLOOKUP(PROPERTIES[[#This Row],[COUNTRY]],COUNTRIES[COUNTRY_DESCRIPTION],COUNTRIES[COUNTRY_LABEL],"")</f>
        <v/>
      </c>
      <c r="H722" t="str" cm="1">
        <f t="array" ref="H7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2" t="s">
        <v>22</v>
      </c>
      <c r="J722">
        <v>30</v>
      </c>
      <c r="K722">
        <v>6</v>
      </c>
      <c r="L722">
        <v>0</v>
      </c>
      <c r="M722" t="str" cm="1">
        <f t="array" ref="M7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22">
        <f>_xlfn.XLOOKUP("LOADINGSPEEDDEF_"&amp;PROPERTIES[[#This Row],[LOADINGSPEED]],LOADINGSPEEDDEF[TYPE],LOADINGSPEEDDEF[SPEED])</f>
        <v>60</v>
      </c>
      <c r="O722" cm="1">
        <f t="array" ref="O7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2">
        <f>IF(ISNUMBER(SEARCH("passenger",PROPERTIES[[#This Row],[CARGODEF]])),1,0)</f>
        <v>1</v>
      </c>
      <c r="Q722" s="23">
        <v>12</v>
      </c>
      <c r="R722">
        <v>0</v>
      </c>
      <c r="S722">
        <v>0</v>
      </c>
      <c r="T722">
        <v>0</v>
      </c>
      <c r="U722">
        <v>0</v>
      </c>
      <c r="V722">
        <v>80</v>
      </c>
      <c r="W722">
        <v>0</v>
      </c>
      <c r="X722">
        <v>0</v>
      </c>
      <c r="Y722">
        <v>0</v>
      </c>
      <c r="Z722" s="20">
        <v>0</v>
      </c>
      <c r="AA722" s="19">
        <f>IFERROR(PROPERTIES[[#This Row],[TE_STARTING_KN]]/(PROPERTIES[[#This Row],[WEIGHT]]*9.81),0)</f>
        <v>0</v>
      </c>
      <c r="AB722" s="19">
        <v>0.3</v>
      </c>
      <c r="AC722" s="16">
        <f>ROUND(IF(IFERROR(PROPERTIES[[#This Row],[TE_COEFFICIENT_CALC]],0)=0,PROPERTIES[[#This Row],[TE_COEFFICIENT_MANUAL]],PROPERTIES[[#This Row],[TE_COEFFICIENT_CALC]]),3)</f>
        <v>0.3</v>
      </c>
      <c r="AD722" s="8" cm="1">
        <f t="array" ref="AD7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2" s="26">
        <v>0</v>
      </c>
      <c r="AF722" s="6">
        <v>0</v>
      </c>
      <c r="AG722" t="s">
        <v>1945</v>
      </c>
      <c r="AH722" t="s">
        <v>232</v>
      </c>
      <c r="AI722" t="s">
        <v>229</v>
      </c>
      <c r="AJ722" s="2" t="s">
        <v>229</v>
      </c>
      <c r="AK722" s="2" t="s">
        <v>244</v>
      </c>
      <c r="AL72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2" s="2" t="str">
        <f>SUBSTITUTE(SUBSTITUTE(PROPERTIES[[#This Row],[PURCHASECOST_VALUE]], "PURCHASECOST_", ""), "_VALUE", "")</f>
        <v>COACH</v>
      </c>
      <c r="AO722" s="44" t="b">
        <v>0</v>
      </c>
      <c r="AP722" s="48" t="b">
        <v>0</v>
      </c>
      <c r="AQ722" s="48" t="b">
        <v>0</v>
      </c>
      <c r="AR722" s="48">
        <v>0</v>
      </c>
      <c r="AS722" s="48" t="b">
        <v>0</v>
      </c>
      <c r="AT722" s="7" t="b">
        <v>0</v>
      </c>
      <c r="AU722" s="40" t="str" cm="1">
        <f t="array" ref="AU722">_xlfn.XLOOKUP(PROPERTIES[[#This Row],[VEHIDCODE]],GRAPHICS_PROPERTIES[VEHIDCODE],GRAPHICS_PROPERTIES[TEMPLATE_ID]&amp;GRAPHICS_PROPERTIES[TEMPLATE_AMENDMENT_CODE])</f>
        <v>TPL_04A</v>
      </c>
    </row>
    <row r="723" spans="1:47" x14ac:dyDescent="0.35">
      <c r="A723" s="2" t="s">
        <v>87</v>
      </c>
      <c r="B723">
        <v>1840</v>
      </c>
      <c r="D723" cm="1">
        <f t="array" ref="D7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3" s="40" t="str">
        <f>_xlfn.XLOOKUP(PROPERTIES[[#This Row],[VEHIDCODE]],CONTROL[VEHIDCODE],CONTROL[ENGLISH])</f>
        <v>Clerestory Regional Coach</v>
      </c>
      <c r="G723" s="40" t="str">
        <f>_xlfn.XLOOKUP(PROPERTIES[[#This Row],[COUNTRY]],COUNTRIES[COUNTRY_DESCRIPTION],COUNTRIES[COUNTRY_LABEL],"")</f>
        <v/>
      </c>
      <c r="H723" t="str" cm="1">
        <f t="array" ref="H7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3" t="s">
        <v>22</v>
      </c>
      <c r="J723">
        <v>65</v>
      </c>
      <c r="K723">
        <v>6</v>
      </c>
      <c r="L723">
        <v>0</v>
      </c>
      <c r="M723" t="str" cm="1">
        <f t="array" ref="M7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23">
        <f>_xlfn.XLOOKUP("LOADINGSPEEDDEF_"&amp;PROPERTIES[[#This Row],[LOADINGSPEED]],LOADINGSPEEDDEF[TYPE],LOADINGSPEEDDEF[SPEED])</f>
        <v>60</v>
      </c>
      <c r="O723" cm="1">
        <f t="array" ref="O7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3">
        <f>IF(ISNUMBER(SEARCH("passenger",PROPERTIES[[#This Row],[CARGODEF]])),1,0)</f>
        <v>1</v>
      </c>
      <c r="Q723" s="23">
        <v>15</v>
      </c>
      <c r="R723">
        <v>0</v>
      </c>
      <c r="S723">
        <v>0</v>
      </c>
      <c r="T723">
        <v>0</v>
      </c>
      <c r="U723">
        <v>0</v>
      </c>
      <c r="V723">
        <v>70</v>
      </c>
      <c r="W723">
        <v>0</v>
      </c>
      <c r="X723">
        <v>0</v>
      </c>
      <c r="Y723">
        <v>0</v>
      </c>
      <c r="Z723" s="20">
        <v>0</v>
      </c>
      <c r="AA723" s="19">
        <f>IFERROR(PROPERTIES[[#This Row],[TE_STARTING_KN]]/(PROPERTIES[[#This Row],[WEIGHT]]*9.81),0)</f>
        <v>0</v>
      </c>
      <c r="AB723" s="19">
        <v>0.3</v>
      </c>
      <c r="AC723" s="16">
        <f>ROUND(IF(IFERROR(PROPERTIES[[#This Row],[TE_COEFFICIENT_CALC]],0)=0,PROPERTIES[[#This Row],[TE_COEFFICIENT_MANUAL]],PROPERTIES[[#This Row],[TE_COEFFICIENT_CALC]]),3)</f>
        <v>0.3</v>
      </c>
      <c r="AD723" s="8" cm="1">
        <f t="array" ref="AD7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3" s="26">
        <v>0</v>
      </c>
      <c r="AF723" s="6">
        <v>0</v>
      </c>
      <c r="AG723" t="s">
        <v>241</v>
      </c>
      <c r="AH723" t="s">
        <v>229</v>
      </c>
      <c r="AI723" t="s">
        <v>229</v>
      </c>
      <c r="AJ723" s="2" t="s">
        <v>229</v>
      </c>
      <c r="AK723" s="2" t="s">
        <v>244</v>
      </c>
      <c r="AL72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3" s="2" t="str">
        <f>SUBSTITUTE(SUBSTITUTE(PROPERTIES[[#This Row],[PURCHASECOST_VALUE]], "PURCHASECOST_", ""), "_VALUE", "")</f>
        <v>COACH</v>
      </c>
      <c r="AO723" s="44" t="b">
        <v>0</v>
      </c>
      <c r="AP723" s="48" t="b">
        <v>0</v>
      </c>
      <c r="AQ723" s="48" t="b">
        <v>0</v>
      </c>
      <c r="AR723" s="48">
        <v>0</v>
      </c>
      <c r="AS723" s="48" t="b">
        <v>0</v>
      </c>
      <c r="AT723" s="7" t="b">
        <v>0</v>
      </c>
      <c r="AU723" s="40" t="str" cm="1">
        <f t="array" ref="AU723">_xlfn.XLOOKUP(PROPERTIES[[#This Row],[VEHIDCODE]],GRAPHICS_PROPERTIES[VEHIDCODE],GRAPHICS_PROPERTIES[TEMPLATE_ID]&amp;GRAPHICS_PROPERTIES[TEMPLATE_AMENDMENT_CODE])</f>
        <v>TPL_04A</v>
      </c>
    </row>
    <row r="724" spans="1:47" x14ac:dyDescent="0.35">
      <c r="A724" s="2" t="s">
        <v>88</v>
      </c>
      <c r="B724">
        <v>1840</v>
      </c>
      <c r="D724" cm="1">
        <f t="array" ref="D7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4" s="40" t="str">
        <f>_xlfn.XLOOKUP(PROPERTIES[[#This Row],[VEHIDCODE]],CONTROL[VEHIDCODE],CONTROL[ENGLISH])</f>
        <v>Clerestory Mail Coach</v>
      </c>
      <c r="G724" s="40" t="str">
        <f>_xlfn.XLOOKUP(PROPERTIES[[#This Row],[COUNTRY]],COUNTRIES[COUNTRY_DESCRIPTION],COUNTRIES[COUNTRY_LABEL],"")</f>
        <v/>
      </c>
      <c r="H724" t="str" cm="1">
        <f t="array" ref="H7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4" t="s">
        <v>36</v>
      </c>
      <c r="J724">
        <v>28</v>
      </c>
      <c r="K724">
        <v>6</v>
      </c>
      <c r="L724">
        <v>0</v>
      </c>
      <c r="M724" t="str" cm="1">
        <f t="array" ref="M7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24">
        <f>_xlfn.XLOOKUP("LOADINGSPEEDDEF_"&amp;PROPERTIES[[#This Row],[LOADINGSPEED]],LOADINGSPEEDDEF[TYPE],LOADINGSPEEDDEF[SPEED])</f>
        <v>15</v>
      </c>
      <c r="O724" cm="1">
        <f t="array" ref="O7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4">
        <f>IF(ISNUMBER(SEARCH("passenger",PROPERTIES[[#This Row],[CARGODEF]])),1,0)</f>
        <v>0</v>
      </c>
      <c r="Q724" s="23">
        <v>13.5</v>
      </c>
      <c r="R724">
        <v>0</v>
      </c>
      <c r="S724">
        <v>0</v>
      </c>
      <c r="T724">
        <v>0</v>
      </c>
      <c r="U724">
        <v>0</v>
      </c>
      <c r="V724">
        <v>80</v>
      </c>
      <c r="W724">
        <v>0</v>
      </c>
      <c r="X724">
        <v>0</v>
      </c>
      <c r="Y724">
        <v>0</v>
      </c>
      <c r="Z724" s="20">
        <v>0</v>
      </c>
      <c r="AA724" s="19">
        <f>IFERROR(PROPERTIES[[#This Row],[TE_STARTING_KN]]/(PROPERTIES[[#This Row],[WEIGHT]]*9.81),0)</f>
        <v>0</v>
      </c>
      <c r="AB724" s="19">
        <v>0.3</v>
      </c>
      <c r="AC724" s="16">
        <f>ROUND(IF(IFERROR(PROPERTIES[[#This Row],[TE_COEFFICIENT_CALC]],0)=0,PROPERTIES[[#This Row],[TE_COEFFICIENT_MANUAL]],PROPERTIES[[#This Row],[TE_COEFFICIENT_CALC]]),3)</f>
        <v>0.3</v>
      </c>
      <c r="AD724" s="8" cm="1">
        <f t="array" ref="AD7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4" s="26">
        <v>0</v>
      </c>
      <c r="AF724" s="6">
        <v>0</v>
      </c>
      <c r="AG724" t="s">
        <v>241</v>
      </c>
      <c r="AH724" t="s">
        <v>229</v>
      </c>
      <c r="AI724" t="s">
        <v>229</v>
      </c>
      <c r="AJ724" s="2" t="s">
        <v>229</v>
      </c>
      <c r="AK724" s="2" t="s">
        <v>244</v>
      </c>
      <c r="AL72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4" s="2" t="str">
        <f>SUBSTITUTE(SUBSTITUTE(PROPERTIES[[#This Row],[PURCHASECOST_VALUE]], "PURCHASECOST_", ""), "_VALUE", "")</f>
        <v>COACH</v>
      </c>
      <c r="AO724" s="44" t="b">
        <v>0</v>
      </c>
      <c r="AP724" s="48" t="b">
        <v>0</v>
      </c>
      <c r="AQ724" s="48" t="b">
        <v>0</v>
      </c>
      <c r="AR724" s="48">
        <v>0</v>
      </c>
      <c r="AS724" s="48" t="b">
        <v>0</v>
      </c>
      <c r="AT724" s="7" t="b">
        <v>0</v>
      </c>
      <c r="AU724" s="40" t="str" cm="1">
        <f t="array" ref="AU724">_xlfn.XLOOKUP(PROPERTIES[[#This Row],[VEHIDCODE]],GRAPHICS_PROPERTIES[VEHIDCODE],GRAPHICS_PROPERTIES[TEMPLATE_ID]&amp;GRAPHICS_PROPERTIES[TEMPLATE_AMENDMENT_CODE])</f>
        <v>TPL_04A</v>
      </c>
    </row>
    <row r="725" spans="1:47" x14ac:dyDescent="0.35">
      <c r="A725" s="2" t="s">
        <v>89</v>
      </c>
      <c r="B725">
        <v>1850</v>
      </c>
      <c r="D725" cm="1">
        <f t="array" ref="D7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5" s="40" t="str">
        <f>_xlfn.XLOOKUP(PROPERTIES[[#This Row],[VEHIDCODE]],CONTROL[VEHIDCODE],CONTROL[ENGLISH])</f>
        <v>Wooden 3-axle Compartment Coach</v>
      </c>
      <c r="G725" s="40" t="str">
        <f>_xlfn.XLOOKUP(PROPERTIES[[#This Row],[COUNTRY]],COUNTRIES[COUNTRY_DESCRIPTION],COUNTRIES[COUNTRY_LABEL],"")</f>
        <v/>
      </c>
      <c r="H725" t="str" cm="1">
        <f t="array" ref="H7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5" t="s">
        <v>22</v>
      </c>
      <c r="J725">
        <v>40</v>
      </c>
      <c r="K725">
        <v>5</v>
      </c>
      <c r="L725">
        <v>0</v>
      </c>
      <c r="M725" t="str" cm="1">
        <f t="array" ref="M7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25">
        <f>_xlfn.XLOOKUP("LOADINGSPEEDDEF_"&amp;PROPERTIES[[#This Row],[LOADINGSPEED]],LOADINGSPEEDDEF[TYPE],LOADINGSPEEDDEF[SPEED])</f>
        <v>60</v>
      </c>
      <c r="O725" cm="1">
        <f t="array" ref="O7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5">
        <f>IF(ISNUMBER(SEARCH("passenger",PROPERTIES[[#This Row],[CARGODEF]])),1,0)</f>
        <v>1</v>
      </c>
      <c r="Q725" s="23">
        <v>16.5</v>
      </c>
      <c r="R725">
        <v>0</v>
      </c>
      <c r="S725">
        <v>0</v>
      </c>
      <c r="T725">
        <v>0</v>
      </c>
      <c r="U725">
        <v>0</v>
      </c>
      <c r="V725">
        <v>90</v>
      </c>
      <c r="W725">
        <v>0</v>
      </c>
      <c r="X725">
        <v>0</v>
      </c>
      <c r="Y725">
        <v>0</v>
      </c>
      <c r="Z725" s="20">
        <v>0</v>
      </c>
      <c r="AA725" s="19">
        <f>IFERROR(PROPERTIES[[#This Row],[TE_STARTING_KN]]/(PROPERTIES[[#This Row],[WEIGHT]]*9.81),0)</f>
        <v>0</v>
      </c>
      <c r="AB725" s="19">
        <v>0.3</v>
      </c>
      <c r="AC725" s="16">
        <f>ROUND(IF(IFERROR(PROPERTIES[[#This Row],[TE_COEFFICIENT_CALC]],0)=0,PROPERTIES[[#This Row],[TE_COEFFICIENT_MANUAL]],PROPERTIES[[#This Row],[TE_COEFFICIENT_CALC]]),3)</f>
        <v>0.3</v>
      </c>
      <c r="AD725" s="8" cm="1">
        <f t="array" ref="AD7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5" s="26">
        <v>0</v>
      </c>
      <c r="AF725" s="6">
        <v>0</v>
      </c>
      <c r="AG725" t="s">
        <v>1945</v>
      </c>
      <c r="AH725" t="s">
        <v>232</v>
      </c>
      <c r="AI725" t="s">
        <v>229</v>
      </c>
      <c r="AJ725" s="2" t="s">
        <v>229</v>
      </c>
      <c r="AK725" s="2" t="s">
        <v>244</v>
      </c>
      <c r="AL72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5" s="2" t="str">
        <f>SUBSTITUTE(SUBSTITUTE(PROPERTIES[[#This Row],[PURCHASECOST_VALUE]], "PURCHASECOST_", ""), "_VALUE", "")</f>
        <v>COACH</v>
      </c>
      <c r="AO725" s="44" t="b">
        <v>0</v>
      </c>
      <c r="AP725" s="48" t="b">
        <v>0</v>
      </c>
      <c r="AQ725" s="48" t="b">
        <v>0</v>
      </c>
      <c r="AR725" s="48">
        <v>0</v>
      </c>
      <c r="AS725" s="48" t="b">
        <v>0</v>
      </c>
      <c r="AT725" s="7" t="b">
        <v>0</v>
      </c>
      <c r="AU725" s="40" t="str" cm="1">
        <f t="array" ref="AU725">_xlfn.XLOOKUP(PROPERTIES[[#This Row],[VEHIDCODE]],GRAPHICS_PROPERTIES[VEHIDCODE],GRAPHICS_PROPERTIES[TEMPLATE_ID]&amp;GRAPHICS_PROPERTIES[TEMPLATE_AMENDMENT_CODE])</f>
        <v>TPL_04A</v>
      </c>
    </row>
    <row r="726" spans="1:47" x14ac:dyDescent="0.35">
      <c r="A726" s="2" t="s">
        <v>90</v>
      </c>
      <c r="B726">
        <v>1850</v>
      </c>
      <c r="D726" cm="1">
        <f t="array" ref="D7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6" s="40" t="str">
        <f>_xlfn.XLOOKUP(PROPERTIES[[#This Row],[VEHIDCODE]],CONTROL[VEHIDCODE],CONTROL[ENGLISH])</f>
        <v>Wooden 3-axle Regional Coach</v>
      </c>
      <c r="G726" s="40" t="str">
        <f>_xlfn.XLOOKUP(PROPERTIES[[#This Row],[COUNTRY]],COUNTRIES[COUNTRY_DESCRIPTION],COUNTRIES[COUNTRY_LABEL],"")</f>
        <v/>
      </c>
      <c r="H726" t="str" cm="1">
        <f t="array" ref="H7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6" t="s">
        <v>22</v>
      </c>
      <c r="J726">
        <v>80</v>
      </c>
      <c r="K726">
        <v>5</v>
      </c>
      <c r="L726">
        <v>0</v>
      </c>
      <c r="M726" t="str" cm="1">
        <f t="array" ref="M7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26">
        <f>_xlfn.XLOOKUP("LOADINGSPEEDDEF_"&amp;PROPERTIES[[#This Row],[LOADINGSPEED]],LOADINGSPEEDDEF[TYPE],LOADINGSPEEDDEF[SPEED])</f>
        <v>60</v>
      </c>
      <c r="O726" cm="1">
        <f t="array" ref="O7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6">
        <f>IF(ISNUMBER(SEARCH("passenger",PROPERTIES[[#This Row],[CARGODEF]])),1,0)</f>
        <v>1</v>
      </c>
      <c r="Q726" s="23">
        <v>18.5</v>
      </c>
      <c r="R726">
        <v>0</v>
      </c>
      <c r="S726">
        <v>0</v>
      </c>
      <c r="T726">
        <v>0</v>
      </c>
      <c r="U726">
        <v>0</v>
      </c>
      <c r="V726">
        <v>80</v>
      </c>
      <c r="W726">
        <v>0</v>
      </c>
      <c r="X726">
        <v>0</v>
      </c>
      <c r="Y726">
        <v>0</v>
      </c>
      <c r="Z726" s="20">
        <v>0</v>
      </c>
      <c r="AA726" s="19">
        <f>IFERROR(PROPERTIES[[#This Row],[TE_STARTING_KN]]/(PROPERTIES[[#This Row],[WEIGHT]]*9.81),0)</f>
        <v>0</v>
      </c>
      <c r="AB726" s="19">
        <v>0.3</v>
      </c>
      <c r="AC726" s="16">
        <f>ROUND(IF(IFERROR(PROPERTIES[[#This Row],[TE_COEFFICIENT_CALC]],0)=0,PROPERTIES[[#This Row],[TE_COEFFICIENT_MANUAL]],PROPERTIES[[#This Row],[TE_COEFFICIENT_CALC]]),3)</f>
        <v>0.3</v>
      </c>
      <c r="AD726" s="8" cm="1">
        <f t="array" ref="AD7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6" s="26">
        <v>0</v>
      </c>
      <c r="AF726" s="6">
        <v>0</v>
      </c>
      <c r="AG726" t="s">
        <v>1945</v>
      </c>
      <c r="AH726" t="s">
        <v>232</v>
      </c>
      <c r="AI726" t="s">
        <v>229</v>
      </c>
      <c r="AJ726" s="2" t="s">
        <v>229</v>
      </c>
      <c r="AK726" s="2" t="s">
        <v>244</v>
      </c>
      <c r="AL72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6" s="2" t="str">
        <f>SUBSTITUTE(SUBSTITUTE(PROPERTIES[[#This Row],[PURCHASECOST_VALUE]], "PURCHASECOST_", ""), "_VALUE", "")</f>
        <v>COACH</v>
      </c>
      <c r="AO726" s="44" t="b">
        <v>0</v>
      </c>
      <c r="AP726" s="48" t="b">
        <v>0</v>
      </c>
      <c r="AQ726" s="48" t="b">
        <v>0</v>
      </c>
      <c r="AR726" s="48">
        <v>0</v>
      </c>
      <c r="AS726" s="48" t="b">
        <v>0</v>
      </c>
      <c r="AT726" s="7" t="b">
        <v>0</v>
      </c>
      <c r="AU726" s="40" t="str" cm="1">
        <f t="array" ref="AU726">_xlfn.XLOOKUP(PROPERTIES[[#This Row],[VEHIDCODE]],GRAPHICS_PROPERTIES[VEHIDCODE],GRAPHICS_PROPERTIES[TEMPLATE_ID]&amp;GRAPHICS_PROPERTIES[TEMPLATE_AMENDMENT_CODE])</f>
        <v>TPL_04A</v>
      </c>
    </row>
    <row r="727" spans="1:47" x14ac:dyDescent="0.35">
      <c r="A727" s="2" t="s">
        <v>91</v>
      </c>
      <c r="B727">
        <v>1850</v>
      </c>
      <c r="D727" cm="1">
        <f t="array" ref="D7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7" s="40" t="str">
        <f>_xlfn.XLOOKUP(PROPERTIES[[#This Row],[VEHIDCODE]],CONTROL[VEHIDCODE],CONTROL[ENGLISH])</f>
        <v>Wooden 3-axle Mail Coach</v>
      </c>
      <c r="G727" s="40" t="str">
        <f>_xlfn.XLOOKUP(PROPERTIES[[#This Row],[COUNTRY]],COUNTRIES[COUNTRY_DESCRIPTION],COUNTRIES[COUNTRY_LABEL],"")</f>
        <v/>
      </c>
      <c r="H727" t="str" cm="1">
        <f t="array" ref="H7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7" t="s">
        <v>36</v>
      </c>
      <c r="J727">
        <v>42</v>
      </c>
      <c r="K727">
        <v>5</v>
      </c>
      <c r="L727">
        <v>0</v>
      </c>
      <c r="M727" t="str" cm="1">
        <f t="array" ref="M7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27">
        <f>_xlfn.XLOOKUP("LOADINGSPEEDDEF_"&amp;PROPERTIES[[#This Row],[LOADINGSPEED]],LOADINGSPEEDDEF[TYPE],LOADINGSPEEDDEF[SPEED])</f>
        <v>15</v>
      </c>
      <c r="O727" cm="1">
        <f t="array" ref="O7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7">
        <f>IF(ISNUMBER(SEARCH("passenger",PROPERTIES[[#This Row],[CARGODEF]])),1,0)</f>
        <v>0</v>
      </c>
      <c r="Q727" s="23">
        <v>17.5</v>
      </c>
      <c r="R727">
        <v>0</v>
      </c>
      <c r="S727">
        <v>0</v>
      </c>
      <c r="T727">
        <v>0</v>
      </c>
      <c r="U727">
        <v>0</v>
      </c>
      <c r="V727">
        <v>95</v>
      </c>
      <c r="W727">
        <v>0</v>
      </c>
      <c r="X727">
        <v>0</v>
      </c>
      <c r="Y727">
        <v>0</v>
      </c>
      <c r="Z727" s="20">
        <v>0</v>
      </c>
      <c r="AA727" s="19">
        <f>IFERROR(PROPERTIES[[#This Row],[TE_STARTING_KN]]/(PROPERTIES[[#This Row],[WEIGHT]]*9.81),0)</f>
        <v>0</v>
      </c>
      <c r="AB727" s="19">
        <v>0.3</v>
      </c>
      <c r="AC727" s="16">
        <f>ROUND(IF(IFERROR(PROPERTIES[[#This Row],[TE_COEFFICIENT_CALC]],0)=0,PROPERTIES[[#This Row],[TE_COEFFICIENT_MANUAL]],PROPERTIES[[#This Row],[TE_COEFFICIENT_CALC]]),3)</f>
        <v>0.3</v>
      </c>
      <c r="AD727" s="8" cm="1">
        <f t="array" ref="AD7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7" s="26">
        <v>0</v>
      </c>
      <c r="AF727" s="6">
        <v>0</v>
      </c>
      <c r="AG727" t="s">
        <v>1945</v>
      </c>
      <c r="AH727" t="s">
        <v>232</v>
      </c>
      <c r="AI727" t="s">
        <v>229</v>
      </c>
      <c r="AJ727" s="2" t="s">
        <v>229</v>
      </c>
      <c r="AK727" s="2" t="s">
        <v>244</v>
      </c>
      <c r="AL72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7" s="2" t="str">
        <f>SUBSTITUTE(SUBSTITUTE(PROPERTIES[[#This Row],[PURCHASECOST_VALUE]], "PURCHASECOST_", ""), "_VALUE", "")</f>
        <v>COACH</v>
      </c>
      <c r="AO727" s="44" t="b">
        <v>0</v>
      </c>
      <c r="AP727" s="48" t="b">
        <v>0</v>
      </c>
      <c r="AQ727" s="48" t="b">
        <v>0</v>
      </c>
      <c r="AR727" s="48">
        <v>0</v>
      </c>
      <c r="AS727" s="48" t="b">
        <v>0</v>
      </c>
      <c r="AT727" s="7" t="b">
        <v>0</v>
      </c>
      <c r="AU727" s="40" t="str" cm="1">
        <f t="array" ref="AU727">_xlfn.XLOOKUP(PROPERTIES[[#This Row],[VEHIDCODE]],GRAPHICS_PROPERTIES[VEHIDCODE],GRAPHICS_PROPERTIES[TEMPLATE_ID]&amp;GRAPHICS_PROPERTIES[TEMPLATE_AMENDMENT_CODE])</f>
        <v>TPL_04A</v>
      </c>
    </row>
    <row r="728" spans="1:47" x14ac:dyDescent="0.35">
      <c r="A728" s="2" t="s">
        <v>92</v>
      </c>
      <c r="B728">
        <v>1900</v>
      </c>
      <c r="D728" cm="1">
        <f t="array" ref="D7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8" s="40" t="str">
        <f>_xlfn.XLOOKUP(PROPERTIES[[#This Row],[VEHIDCODE]],CONTROL[VEHIDCODE],CONTROL[ENGLISH])</f>
        <v>Heavyweight Intercity Coach</v>
      </c>
      <c r="G728" s="40" t="str">
        <f>_xlfn.XLOOKUP(PROPERTIES[[#This Row],[COUNTRY]],COUNTRIES[COUNTRY_DESCRIPTION],COUNTRIES[COUNTRY_LABEL],"")</f>
        <v/>
      </c>
      <c r="H728" t="str" cm="1">
        <f t="array" ref="H7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8" t="s">
        <v>22</v>
      </c>
      <c r="J728">
        <v>56</v>
      </c>
      <c r="K728">
        <v>8</v>
      </c>
      <c r="L728">
        <v>0</v>
      </c>
      <c r="M728" t="str" cm="1">
        <f t="array" ref="M7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28">
        <f>_xlfn.XLOOKUP("LOADINGSPEEDDEF_"&amp;PROPERTIES[[#This Row],[LOADINGSPEED]],LOADINGSPEEDDEF[TYPE],LOADINGSPEEDDEF[SPEED])</f>
        <v>20</v>
      </c>
      <c r="O728" cm="1">
        <f t="array" ref="O7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8">
        <f>IF(ISNUMBER(SEARCH("passenger",PROPERTIES[[#This Row],[CARGODEF]])),1,0)</f>
        <v>1</v>
      </c>
      <c r="Q728" s="23">
        <v>60</v>
      </c>
      <c r="R728">
        <v>0</v>
      </c>
      <c r="S728">
        <v>0</v>
      </c>
      <c r="T728">
        <v>0</v>
      </c>
      <c r="U728">
        <v>0</v>
      </c>
      <c r="V728">
        <v>180</v>
      </c>
      <c r="W728">
        <v>0</v>
      </c>
      <c r="X728">
        <v>0</v>
      </c>
      <c r="Y728">
        <v>0</v>
      </c>
      <c r="Z728" s="20">
        <v>0</v>
      </c>
      <c r="AA728" s="19">
        <f>IFERROR(PROPERTIES[[#This Row],[TE_STARTING_KN]]/(PROPERTIES[[#This Row],[WEIGHT]]*9.81),0)</f>
        <v>0</v>
      </c>
      <c r="AB728" s="19">
        <v>0.3</v>
      </c>
      <c r="AC728" s="16">
        <f>ROUND(IF(IFERROR(PROPERTIES[[#This Row],[TE_COEFFICIENT_CALC]],0)=0,PROPERTIES[[#This Row],[TE_COEFFICIENT_MANUAL]],PROPERTIES[[#This Row],[TE_COEFFICIENT_CALC]]),3)</f>
        <v>0.3</v>
      </c>
      <c r="AD728" s="8" cm="1">
        <f t="array" ref="AD7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8" s="26">
        <v>0</v>
      </c>
      <c r="AF728" s="6">
        <v>0</v>
      </c>
      <c r="AG728" t="s">
        <v>240</v>
      </c>
      <c r="AH728" t="s">
        <v>232</v>
      </c>
      <c r="AI728" t="s">
        <v>229</v>
      </c>
      <c r="AJ728" s="2" t="s">
        <v>229</v>
      </c>
      <c r="AK728" s="2" t="s">
        <v>244</v>
      </c>
      <c r="AL72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8" s="2" t="str">
        <f>SUBSTITUTE(SUBSTITUTE(PROPERTIES[[#This Row],[PURCHASECOST_VALUE]], "PURCHASECOST_", ""), "_VALUE", "")</f>
        <v>COACH</v>
      </c>
      <c r="AO728" s="44" t="b">
        <v>0</v>
      </c>
      <c r="AP728" s="48" t="b">
        <v>0</v>
      </c>
      <c r="AQ728" s="48" t="b">
        <v>0</v>
      </c>
      <c r="AR728" s="48">
        <v>0</v>
      </c>
      <c r="AS728" s="48" t="b">
        <v>0</v>
      </c>
      <c r="AT728" s="7" t="b">
        <v>0</v>
      </c>
      <c r="AU728" s="40" t="str" cm="1">
        <f t="array" ref="AU728">_xlfn.XLOOKUP(PROPERTIES[[#This Row],[VEHIDCODE]],GRAPHICS_PROPERTIES[VEHIDCODE],GRAPHICS_PROPERTIES[TEMPLATE_ID]&amp;GRAPHICS_PROPERTIES[TEMPLATE_AMENDMENT_CODE])</f>
        <v>TPL_04S</v>
      </c>
    </row>
    <row r="729" spans="1:47" x14ac:dyDescent="0.35">
      <c r="A729" s="2" t="s">
        <v>93</v>
      </c>
      <c r="B729">
        <v>1900</v>
      </c>
      <c r="D729" cm="1">
        <f t="array" ref="D7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9" s="40" t="str">
        <f>_xlfn.XLOOKUP(PROPERTIES[[#This Row],[VEHIDCODE]],CONTROL[VEHIDCODE],CONTROL[ENGLISH])</f>
        <v>Heavyweight Mail Coach</v>
      </c>
      <c r="G729" s="40" t="str">
        <f>_xlfn.XLOOKUP(PROPERTIES[[#This Row],[COUNTRY]],COUNTRIES[COUNTRY_DESCRIPTION],COUNTRIES[COUNTRY_LABEL],"")</f>
        <v/>
      </c>
      <c r="H729" t="str" cm="1">
        <f t="array" ref="H7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9" t="s">
        <v>36</v>
      </c>
      <c r="J729">
        <v>75</v>
      </c>
      <c r="K729">
        <v>8</v>
      </c>
      <c r="L729">
        <v>0</v>
      </c>
      <c r="M729" t="str" cm="1">
        <f t="array" ref="M7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29">
        <f>_xlfn.XLOOKUP("LOADINGSPEEDDEF_"&amp;PROPERTIES[[#This Row],[LOADINGSPEED]],LOADINGSPEEDDEF[TYPE],LOADINGSPEEDDEF[SPEED])</f>
        <v>15</v>
      </c>
      <c r="O729" cm="1">
        <f t="array" ref="O7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9">
        <f>IF(ISNUMBER(SEARCH("passenger",PROPERTIES[[#This Row],[CARGODEF]])),1,0)</f>
        <v>0</v>
      </c>
      <c r="Q729" s="23">
        <v>58</v>
      </c>
      <c r="R729">
        <v>0</v>
      </c>
      <c r="S729">
        <v>0</v>
      </c>
      <c r="T729">
        <v>0</v>
      </c>
      <c r="U729">
        <v>0</v>
      </c>
      <c r="V729">
        <v>180</v>
      </c>
      <c r="W729">
        <v>0</v>
      </c>
      <c r="X729">
        <v>0</v>
      </c>
      <c r="Y729">
        <v>0</v>
      </c>
      <c r="Z729" s="20">
        <v>0</v>
      </c>
      <c r="AA729" s="19">
        <f>IFERROR(PROPERTIES[[#This Row],[TE_STARTING_KN]]/(PROPERTIES[[#This Row],[WEIGHT]]*9.81),0)</f>
        <v>0</v>
      </c>
      <c r="AB729" s="19">
        <v>0.3</v>
      </c>
      <c r="AC729" s="16">
        <f>ROUND(IF(IFERROR(PROPERTIES[[#This Row],[TE_COEFFICIENT_CALC]],0)=0,PROPERTIES[[#This Row],[TE_COEFFICIENT_MANUAL]],PROPERTIES[[#This Row],[TE_COEFFICIENT_CALC]]),3)</f>
        <v>0.3</v>
      </c>
      <c r="AD729" s="8" cm="1">
        <f t="array" ref="AD7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9" s="26">
        <v>0</v>
      </c>
      <c r="AF729" s="6">
        <v>0</v>
      </c>
      <c r="AG729" t="s">
        <v>240</v>
      </c>
      <c r="AH729" t="s">
        <v>232</v>
      </c>
      <c r="AI729" t="s">
        <v>229</v>
      </c>
      <c r="AJ729" s="2" t="s">
        <v>229</v>
      </c>
      <c r="AK729" s="2" t="s">
        <v>244</v>
      </c>
      <c r="AL72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9" s="2" t="str">
        <f>SUBSTITUTE(SUBSTITUTE(PROPERTIES[[#This Row],[PURCHASECOST_VALUE]], "PURCHASECOST_", ""), "_VALUE", "")</f>
        <v>COACH</v>
      </c>
      <c r="AO729" s="44" t="b">
        <v>0</v>
      </c>
      <c r="AP729" s="48" t="b">
        <v>0</v>
      </c>
      <c r="AQ729" s="48" t="b">
        <v>0</v>
      </c>
      <c r="AR729" s="48">
        <v>0</v>
      </c>
      <c r="AS729" s="48" t="b">
        <v>0</v>
      </c>
      <c r="AT729" s="7" t="b">
        <v>0</v>
      </c>
      <c r="AU729" s="40" t="str" cm="1">
        <f t="array" ref="AU729">_xlfn.XLOOKUP(PROPERTIES[[#This Row],[VEHIDCODE]],GRAPHICS_PROPERTIES[VEHIDCODE],GRAPHICS_PROPERTIES[TEMPLATE_ID]&amp;GRAPHICS_PROPERTIES[TEMPLATE_AMENDMENT_CODE])</f>
        <v>TPL_04A</v>
      </c>
    </row>
    <row r="730" spans="1:47" x14ac:dyDescent="0.35">
      <c r="A730" s="2" t="s">
        <v>94</v>
      </c>
      <c r="B730">
        <v>1910</v>
      </c>
      <c r="D730" cm="1">
        <f t="array" ref="D7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0" s="40" t="str">
        <f>_xlfn.XLOOKUP(PROPERTIES[[#This Row],[VEHIDCODE]],CONTROL[VEHIDCODE],CONTROL[ENGLISH])</f>
        <v>Steel Intercity Coach</v>
      </c>
      <c r="G730" s="40" t="str">
        <f>_xlfn.XLOOKUP(PROPERTIES[[#This Row],[COUNTRY]],COUNTRIES[COUNTRY_DESCRIPTION],COUNTRIES[COUNTRY_LABEL],"")</f>
        <v/>
      </c>
      <c r="H730" t="str" cm="1">
        <f t="array" ref="H7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0" t="s">
        <v>22</v>
      </c>
      <c r="J730">
        <v>80</v>
      </c>
      <c r="K730">
        <v>7</v>
      </c>
      <c r="L730">
        <v>0</v>
      </c>
      <c r="M730" t="str" cm="1">
        <f t="array" ref="M7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0">
        <f>_xlfn.XLOOKUP("LOADINGSPEEDDEF_"&amp;PROPERTIES[[#This Row],[LOADINGSPEED]],LOADINGSPEEDDEF[TYPE],LOADINGSPEEDDEF[SPEED])</f>
        <v>60</v>
      </c>
      <c r="O730" cm="1">
        <f t="array" ref="O7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0">
        <f>IF(ISNUMBER(SEARCH("passenger",PROPERTIES[[#This Row],[CARGODEF]])),1,0)</f>
        <v>1</v>
      </c>
      <c r="Q730" s="23">
        <v>48</v>
      </c>
      <c r="R730">
        <v>0</v>
      </c>
      <c r="S730">
        <v>0</v>
      </c>
      <c r="T730">
        <v>0</v>
      </c>
      <c r="U730">
        <v>0</v>
      </c>
      <c r="V730">
        <v>120</v>
      </c>
      <c r="W730">
        <v>0</v>
      </c>
      <c r="X730">
        <v>0</v>
      </c>
      <c r="Y730">
        <v>0</v>
      </c>
      <c r="Z730" s="20">
        <v>0</v>
      </c>
      <c r="AA730" s="19">
        <f>IFERROR(PROPERTIES[[#This Row],[TE_STARTING_KN]]/(PROPERTIES[[#This Row],[WEIGHT]]*9.81),0)</f>
        <v>0</v>
      </c>
      <c r="AB730" s="19">
        <v>0.3</v>
      </c>
      <c r="AC730" s="16">
        <f>ROUND(IF(IFERROR(PROPERTIES[[#This Row],[TE_COEFFICIENT_CALC]],0)=0,PROPERTIES[[#This Row],[TE_COEFFICIENT_MANUAL]],PROPERTIES[[#This Row],[TE_COEFFICIENT_CALC]]),3)</f>
        <v>0.3</v>
      </c>
      <c r="AD730" s="8" cm="1">
        <f t="array" ref="AD7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0" s="26">
        <v>0</v>
      </c>
      <c r="AF730" s="6">
        <v>0</v>
      </c>
      <c r="AG730" t="s">
        <v>1945</v>
      </c>
      <c r="AH730" t="s">
        <v>232</v>
      </c>
      <c r="AI730" t="s">
        <v>229</v>
      </c>
      <c r="AJ730" s="2" t="s">
        <v>229</v>
      </c>
      <c r="AK730" s="2" t="s">
        <v>244</v>
      </c>
      <c r="AL73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0" s="2" t="str">
        <f>SUBSTITUTE(SUBSTITUTE(PROPERTIES[[#This Row],[PURCHASECOST_VALUE]], "PURCHASECOST_", ""), "_VALUE", "")</f>
        <v>COACH</v>
      </c>
      <c r="AO730" s="44" t="b">
        <v>0</v>
      </c>
      <c r="AP730" s="48" t="b">
        <v>0</v>
      </c>
      <c r="AQ730" s="48" t="b">
        <v>0</v>
      </c>
      <c r="AR730" s="48">
        <v>0</v>
      </c>
      <c r="AS730" s="48" t="b">
        <v>0</v>
      </c>
      <c r="AT730" s="7" t="b">
        <v>0</v>
      </c>
      <c r="AU730" s="40" t="str" cm="1">
        <f t="array" ref="AU730">_xlfn.XLOOKUP(PROPERTIES[[#This Row],[VEHIDCODE]],GRAPHICS_PROPERTIES[VEHIDCODE],GRAPHICS_PROPERTIES[TEMPLATE_ID]&amp;GRAPHICS_PROPERTIES[TEMPLATE_AMENDMENT_CODE])</f>
        <v>TPL_04A</v>
      </c>
    </row>
    <row r="731" spans="1:47" x14ac:dyDescent="0.35">
      <c r="A731" s="2" t="s">
        <v>95</v>
      </c>
      <c r="B731">
        <v>1910</v>
      </c>
      <c r="D731" cm="1">
        <f t="array" ref="D7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1" s="40" t="str">
        <f>_xlfn.XLOOKUP(PROPERTIES[[#This Row],[VEHIDCODE]],CONTROL[VEHIDCODE],CONTROL[ENGLISH])</f>
        <v>Steel Compartment Coach</v>
      </c>
      <c r="G731" s="40" t="str">
        <f>_xlfn.XLOOKUP(PROPERTIES[[#This Row],[COUNTRY]],COUNTRIES[COUNTRY_DESCRIPTION],COUNTRIES[COUNTRY_LABEL],"")</f>
        <v/>
      </c>
      <c r="H731" t="str" cm="1">
        <f t="array" ref="H7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1" t="s">
        <v>22</v>
      </c>
      <c r="J731">
        <v>60</v>
      </c>
      <c r="K731">
        <v>7</v>
      </c>
      <c r="L731">
        <v>0</v>
      </c>
      <c r="M731" t="str" cm="1">
        <f t="array" ref="M7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1">
        <f>_xlfn.XLOOKUP("LOADINGSPEEDDEF_"&amp;PROPERTIES[[#This Row],[LOADINGSPEED]],LOADINGSPEEDDEF[TYPE],LOADINGSPEEDDEF[SPEED])</f>
        <v>60</v>
      </c>
      <c r="O731" cm="1">
        <f t="array" ref="O7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1">
        <f>IF(ISNUMBER(SEARCH("passenger",PROPERTIES[[#This Row],[CARGODEF]])),1,0)</f>
        <v>1</v>
      </c>
      <c r="Q731" s="23">
        <v>40</v>
      </c>
      <c r="R731">
        <v>0</v>
      </c>
      <c r="S731">
        <v>0</v>
      </c>
      <c r="T731">
        <v>0</v>
      </c>
      <c r="U731">
        <v>0</v>
      </c>
      <c r="V731">
        <v>120</v>
      </c>
      <c r="W731">
        <v>0</v>
      </c>
      <c r="X731">
        <v>0</v>
      </c>
      <c r="Y731">
        <v>0</v>
      </c>
      <c r="Z731" s="20">
        <v>0</v>
      </c>
      <c r="AA731" s="19">
        <f>IFERROR(PROPERTIES[[#This Row],[TE_STARTING_KN]]/(PROPERTIES[[#This Row],[WEIGHT]]*9.81),0)</f>
        <v>0</v>
      </c>
      <c r="AB731" s="19">
        <v>0.3</v>
      </c>
      <c r="AC731" s="16">
        <f>ROUND(IF(IFERROR(PROPERTIES[[#This Row],[TE_COEFFICIENT_CALC]],0)=0,PROPERTIES[[#This Row],[TE_COEFFICIENT_MANUAL]],PROPERTIES[[#This Row],[TE_COEFFICIENT_CALC]]),3)</f>
        <v>0.3</v>
      </c>
      <c r="AD731" s="8" cm="1">
        <f t="array" ref="AD7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1" s="26">
        <v>0</v>
      </c>
      <c r="AF731" s="6">
        <v>0</v>
      </c>
      <c r="AG731" t="s">
        <v>1945</v>
      </c>
      <c r="AH731" t="s">
        <v>232</v>
      </c>
      <c r="AI731" t="s">
        <v>229</v>
      </c>
      <c r="AJ731" s="2" t="s">
        <v>229</v>
      </c>
      <c r="AK731" s="2" t="s">
        <v>244</v>
      </c>
      <c r="AL73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1" s="2" t="str">
        <f>SUBSTITUTE(SUBSTITUTE(PROPERTIES[[#This Row],[PURCHASECOST_VALUE]], "PURCHASECOST_", ""), "_VALUE", "")</f>
        <v>COACH</v>
      </c>
      <c r="AO731" s="44" t="b">
        <v>0</v>
      </c>
      <c r="AP731" s="48" t="b">
        <v>0</v>
      </c>
      <c r="AQ731" s="48" t="b">
        <v>0</v>
      </c>
      <c r="AR731" s="48">
        <v>0</v>
      </c>
      <c r="AS731" s="48" t="b">
        <v>0</v>
      </c>
      <c r="AT731" s="7" t="b">
        <v>0</v>
      </c>
      <c r="AU731" s="40" t="str" cm="1">
        <f t="array" ref="AU731">_xlfn.XLOOKUP(PROPERTIES[[#This Row],[VEHIDCODE]],GRAPHICS_PROPERTIES[VEHIDCODE],GRAPHICS_PROPERTIES[TEMPLATE_ID]&amp;GRAPHICS_PROPERTIES[TEMPLATE_AMENDMENT_CODE])</f>
        <v>TPL_04A</v>
      </c>
    </row>
    <row r="732" spans="1:47" x14ac:dyDescent="0.35">
      <c r="A732" s="2" t="s">
        <v>96</v>
      </c>
      <c r="B732">
        <v>1910</v>
      </c>
      <c r="D732" cm="1">
        <f t="array" ref="D7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2" s="40" t="str">
        <f>_xlfn.XLOOKUP(PROPERTIES[[#This Row],[VEHIDCODE]],CONTROL[VEHIDCODE],CONTROL[ENGLISH])</f>
        <v>Steel Regional Coach</v>
      </c>
      <c r="G732" s="40" t="str">
        <f>_xlfn.XLOOKUP(PROPERTIES[[#This Row],[COUNTRY]],COUNTRIES[COUNTRY_DESCRIPTION],COUNTRIES[COUNTRY_LABEL],"")</f>
        <v/>
      </c>
      <c r="H732" t="str" cm="1">
        <f t="array" ref="H7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2" t="s">
        <v>22</v>
      </c>
      <c r="J732">
        <v>120</v>
      </c>
      <c r="K732">
        <v>7</v>
      </c>
      <c r="L732">
        <v>0</v>
      </c>
      <c r="M732" t="str" cm="1">
        <f t="array" ref="M7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2">
        <f>_xlfn.XLOOKUP("LOADINGSPEEDDEF_"&amp;PROPERTIES[[#This Row],[LOADINGSPEED]],LOADINGSPEEDDEF[TYPE],LOADINGSPEEDDEF[SPEED])</f>
        <v>60</v>
      </c>
      <c r="O732" cm="1">
        <f t="array" ref="O7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2">
        <f>IF(ISNUMBER(SEARCH("passenger",PROPERTIES[[#This Row],[CARGODEF]])),1,0)</f>
        <v>1</v>
      </c>
      <c r="Q732" s="23">
        <v>40</v>
      </c>
      <c r="R732">
        <v>0</v>
      </c>
      <c r="S732">
        <v>0</v>
      </c>
      <c r="T732">
        <v>0</v>
      </c>
      <c r="U732">
        <v>0</v>
      </c>
      <c r="V732">
        <v>100</v>
      </c>
      <c r="W732">
        <v>0</v>
      </c>
      <c r="X732">
        <v>0</v>
      </c>
      <c r="Y732">
        <v>0</v>
      </c>
      <c r="Z732" s="20">
        <v>0</v>
      </c>
      <c r="AA732" s="19">
        <f>IFERROR(PROPERTIES[[#This Row],[TE_STARTING_KN]]/(PROPERTIES[[#This Row],[WEIGHT]]*9.81),0)</f>
        <v>0</v>
      </c>
      <c r="AB732" s="19">
        <v>0.3</v>
      </c>
      <c r="AC732" s="16">
        <f>ROUND(IF(IFERROR(PROPERTIES[[#This Row],[TE_COEFFICIENT_CALC]],0)=0,PROPERTIES[[#This Row],[TE_COEFFICIENT_MANUAL]],PROPERTIES[[#This Row],[TE_COEFFICIENT_CALC]]),3)</f>
        <v>0.3</v>
      </c>
      <c r="AD732" s="8" cm="1">
        <f t="array" ref="AD7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2" s="26">
        <v>0</v>
      </c>
      <c r="AF732" s="6">
        <v>0</v>
      </c>
      <c r="AG732" t="s">
        <v>1945</v>
      </c>
      <c r="AH732" t="s">
        <v>232</v>
      </c>
      <c r="AI732" t="s">
        <v>229</v>
      </c>
      <c r="AJ732" s="2" t="s">
        <v>229</v>
      </c>
      <c r="AK732" s="2" t="s">
        <v>244</v>
      </c>
      <c r="AL73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2" s="2" t="str">
        <f>SUBSTITUTE(SUBSTITUTE(PROPERTIES[[#This Row],[PURCHASECOST_VALUE]], "PURCHASECOST_", ""), "_VALUE", "")</f>
        <v>COACH</v>
      </c>
      <c r="AO732" s="44" t="b">
        <v>0</v>
      </c>
      <c r="AP732" s="48" t="b">
        <v>0</v>
      </c>
      <c r="AQ732" s="48" t="b">
        <v>0</v>
      </c>
      <c r="AR732" s="48">
        <v>0</v>
      </c>
      <c r="AS732" s="48" t="b">
        <v>0</v>
      </c>
      <c r="AT732" s="7" t="b">
        <v>0</v>
      </c>
      <c r="AU732" s="40" t="str" cm="1">
        <f t="array" ref="AU732">_xlfn.XLOOKUP(PROPERTIES[[#This Row],[VEHIDCODE]],GRAPHICS_PROPERTIES[VEHIDCODE],GRAPHICS_PROPERTIES[TEMPLATE_ID]&amp;GRAPHICS_PROPERTIES[TEMPLATE_AMENDMENT_CODE])</f>
        <v>TPL_04A</v>
      </c>
    </row>
    <row r="733" spans="1:47" x14ac:dyDescent="0.35">
      <c r="A733" s="2" t="s">
        <v>97</v>
      </c>
      <c r="B733">
        <v>1910</v>
      </c>
      <c r="D733" cm="1">
        <f t="array" ref="D7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3" s="40" t="str">
        <f>_xlfn.XLOOKUP(PROPERTIES[[#This Row],[VEHIDCODE]],CONTROL[VEHIDCODE],CONTROL[ENGLISH])</f>
        <v>Steel Mail Coach</v>
      </c>
      <c r="G733" s="40" t="str">
        <f>_xlfn.XLOOKUP(PROPERTIES[[#This Row],[COUNTRY]],COUNTRIES[COUNTRY_DESCRIPTION],COUNTRIES[COUNTRY_LABEL],"")</f>
        <v/>
      </c>
      <c r="H733" t="str" cm="1">
        <f t="array" ref="H7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3" t="s">
        <v>36</v>
      </c>
      <c r="J733">
        <v>60</v>
      </c>
      <c r="K733">
        <v>7</v>
      </c>
      <c r="L733">
        <v>0</v>
      </c>
      <c r="M733" t="str" cm="1">
        <f t="array" ref="M7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33">
        <f>_xlfn.XLOOKUP("LOADINGSPEEDDEF_"&amp;PROPERTIES[[#This Row],[LOADINGSPEED]],LOADINGSPEEDDEF[TYPE],LOADINGSPEEDDEF[SPEED])</f>
        <v>15</v>
      </c>
      <c r="O733" cm="1">
        <f t="array" ref="O7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3">
        <f>IF(ISNUMBER(SEARCH("passenger",PROPERTIES[[#This Row],[CARGODEF]])),1,0)</f>
        <v>0</v>
      </c>
      <c r="Q733" s="23">
        <v>44</v>
      </c>
      <c r="R733">
        <v>0</v>
      </c>
      <c r="S733">
        <v>0</v>
      </c>
      <c r="T733">
        <v>0</v>
      </c>
      <c r="U733">
        <v>0</v>
      </c>
      <c r="V733">
        <v>120</v>
      </c>
      <c r="W733">
        <v>0</v>
      </c>
      <c r="X733">
        <v>0</v>
      </c>
      <c r="Y733">
        <v>0</v>
      </c>
      <c r="Z733" s="20">
        <v>0</v>
      </c>
      <c r="AA733" s="19">
        <f>IFERROR(PROPERTIES[[#This Row],[TE_STARTING_KN]]/(PROPERTIES[[#This Row],[WEIGHT]]*9.81),0)</f>
        <v>0</v>
      </c>
      <c r="AB733" s="19">
        <v>0.3</v>
      </c>
      <c r="AC733" s="16">
        <f>ROUND(IF(IFERROR(PROPERTIES[[#This Row],[TE_COEFFICIENT_CALC]],0)=0,PROPERTIES[[#This Row],[TE_COEFFICIENT_MANUAL]],PROPERTIES[[#This Row],[TE_COEFFICIENT_CALC]]),3)</f>
        <v>0.3</v>
      </c>
      <c r="AD733" s="8" cm="1">
        <f t="array" ref="AD7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3" s="26">
        <v>0</v>
      </c>
      <c r="AF733" s="6">
        <v>0</v>
      </c>
      <c r="AG733" t="s">
        <v>1945</v>
      </c>
      <c r="AH733" t="s">
        <v>232</v>
      </c>
      <c r="AI733" t="s">
        <v>229</v>
      </c>
      <c r="AJ733" s="2" t="s">
        <v>229</v>
      </c>
      <c r="AK733" s="2" t="s">
        <v>244</v>
      </c>
      <c r="AL73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3" s="2" t="str">
        <f>SUBSTITUTE(SUBSTITUTE(PROPERTIES[[#This Row],[PURCHASECOST_VALUE]], "PURCHASECOST_", ""), "_VALUE", "")</f>
        <v>COACH</v>
      </c>
      <c r="AO733" s="44" t="b">
        <v>0</v>
      </c>
      <c r="AP733" s="48" t="b">
        <v>0</v>
      </c>
      <c r="AQ733" s="48" t="b">
        <v>0</v>
      </c>
      <c r="AR733" s="48">
        <v>0</v>
      </c>
      <c r="AS733" s="48" t="b">
        <v>0</v>
      </c>
      <c r="AT733" s="7" t="b">
        <v>0</v>
      </c>
      <c r="AU733" s="40" t="str" cm="1">
        <f t="array" ref="AU733">_xlfn.XLOOKUP(PROPERTIES[[#This Row],[VEHIDCODE]],GRAPHICS_PROPERTIES[VEHIDCODE],GRAPHICS_PROPERTIES[TEMPLATE_ID]&amp;GRAPHICS_PROPERTIES[TEMPLATE_AMENDMENT_CODE])</f>
        <v>TPL_04A</v>
      </c>
    </row>
    <row r="734" spans="1:47" x14ac:dyDescent="0.35">
      <c r="A734" s="2" t="s">
        <v>98</v>
      </c>
      <c r="B734">
        <v>1920</v>
      </c>
      <c r="D734" cm="1">
        <f t="array" ref="D7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4" s="40" t="str">
        <f>_xlfn.XLOOKUP(PROPERTIES[[#This Row],[VEHIDCODE]],CONTROL[VEHIDCODE],CONTROL[ENGLISH])</f>
        <v>Steel 2-axle Compartment Coach</v>
      </c>
      <c r="G734" s="40" t="str">
        <f>_xlfn.XLOOKUP(PROPERTIES[[#This Row],[COUNTRY]],COUNTRIES[COUNTRY_DESCRIPTION],COUNTRIES[COUNTRY_LABEL],"")</f>
        <v/>
      </c>
      <c r="H734" t="str" cm="1">
        <f t="array" ref="H7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4" t="s">
        <v>22</v>
      </c>
      <c r="J734">
        <v>45</v>
      </c>
      <c r="K734">
        <v>5</v>
      </c>
      <c r="L734">
        <v>0</v>
      </c>
      <c r="M734" t="str" cm="1">
        <f t="array" ref="M7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4">
        <f>_xlfn.XLOOKUP("LOADINGSPEEDDEF_"&amp;PROPERTIES[[#This Row],[LOADINGSPEED]],LOADINGSPEEDDEF[TYPE],LOADINGSPEEDDEF[SPEED])</f>
        <v>60</v>
      </c>
      <c r="O734" cm="1">
        <f t="array" ref="O7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4">
        <f>IF(ISNUMBER(SEARCH("passenger",PROPERTIES[[#This Row],[CARGODEF]])),1,0)</f>
        <v>1</v>
      </c>
      <c r="Q734" s="23">
        <v>21</v>
      </c>
      <c r="R734">
        <v>0</v>
      </c>
      <c r="S734">
        <v>0</v>
      </c>
      <c r="T734">
        <v>0</v>
      </c>
      <c r="U734">
        <v>0</v>
      </c>
      <c r="V734">
        <v>90</v>
      </c>
      <c r="W734">
        <v>0</v>
      </c>
      <c r="X734">
        <v>0</v>
      </c>
      <c r="Y734">
        <v>0</v>
      </c>
      <c r="Z734" s="20">
        <v>0</v>
      </c>
      <c r="AA734" s="19">
        <f>IFERROR(PROPERTIES[[#This Row],[TE_STARTING_KN]]/(PROPERTIES[[#This Row],[WEIGHT]]*9.81),0)</f>
        <v>0</v>
      </c>
      <c r="AB734" s="19">
        <v>0.3</v>
      </c>
      <c r="AC734" s="16">
        <f>ROUND(IF(IFERROR(PROPERTIES[[#This Row],[TE_COEFFICIENT_CALC]],0)=0,PROPERTIES[[#This Row],[TE_COEFFICIENT_MANUAL]],PROPERTIES[[#This Row],[TE_COEFFICIENT_CALC]]),3)</f>
        <v>0.3</v>
      </c>
      <c r="AD734" s="8" cm="1">
        <f t="array" ref="AD7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4" s="26">
        <v>0</v>
      </c>
      <c r="AF734" s="6">
        <v>0</v>
      </c>
      <c r="AG734" t="s">
        <v>1945</v>
      </c>
      <c r="AH734" t="s">
        <v>232</v>
      </c>
      <c r="AI734" t="s">
        <v>229</v>
      </c>
      <c r="AJ734" s="2" t="s">
        <v>229</v>
      </c>
      <c r="AK734" s="2" t="s">
        <v>244</v>
      </c>
      <c r="AL73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4" s="2" t="str">
        <f>SUBSTITUTE(SUBSTITUTE(PROPERTIES[[#This Row],[PURCHASECOST_VALUE]], "PURCHASECOST_", ""), "_VALUE", "")</f>
        <v>COACH</v>
      </c>
      <c r="AO734" s="44" t="b">
        <v>0</v>
      </c>
      <c r="AP734" s="48" t="b">
        <v>0</v>
      </c>
      <c r="AQ734" s="48" t="b">
        <v>0</v>
      </c>
      <c r="AR734" s="48">
        <v>0</v>
      </c>
      <c r="AS734" s="48" t="b">
        <v>0</v>
      </c>
      <c r="AT734" s="7" t="b">
        <v>0</v>
      </c>
      <c r="AU734" s="40" t="str" cm="1">
        <f t="array" ref="AU734">_xlfn.XLOOKUP(PROPERTIES[[#This Row],[VEHIDCODE]],GRAPHICS_PROPERTIES[VEHIDCODE],GRAPHICS_PROPERTIES[TEMPLATE_ID]&amp;GRAPHICS_PROPERTIES[TEMPLATE_AMENDMENT_CODE])</f>
        <v>TPL_04A</v>
      </c>
    </row>
    <row r="735" spans="1:47" x14ac:dyDescent="0.35">
      <c r="A735" s="2" t="s">
        <v>99</v>
      </c>
      <c r="B735">
        <v>1920</v>
      </c>
      <c r="D735" cm="1">
        <f t="array" ref="D7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5" s="40" t="str">
        <f>_xlfn.XLOOKUP(PROPERTIES[[#This Row],[VEHIDCODE]],CONTROL[VEHIDCODE],CONTROL[ENGLISH])</f>
        <v>Steel 2-axle Regional Coach</v>
      </c>
      <c r="G735" s="40" t="str">
        <f>_xlfn.XLOOKUP(PROPERTIES[[#This Row],[COUNTRY]],COUNTRIES[COUNTRY_DESCRIPTION],COUNTRIES[COUNTRY_LABEL],"")</f>
        <v/>
      </c>
      <c r="H735" t="str" cm="1">
        <f t="array" ref="H7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5" t="s">
        <v>22</v>
      </c>
      <c r="J735">
        <v>90</v>
      </c>
      <c r="K735">
        <v>5</v>
      </c>
      <c r="L735">
        <v>0</v>
      </c>
      <c r="M735" t="str" cm="1">
        <f t="array" ref="M7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5">
        <f>_xlfn.XLOOKUP("LOADINGSPEEDDEF_"&amp;PROPERTIES[[#This Row],[LOADINGSPEED]],LOADINGSPEEDDEF[TYPE],LOADINGSPEEDDEF[SPEED])</f>
        <v>60</v>
      </c>
      <c r="O735" cm="1">
        <f t="array" ref="O7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5">
        <f>IF(ISNUMBER(SEARCH("passenger",PROPERTIES[[#This Row],[CARGODEF]])),1,0)</f>
        <v>1</v>
      </c>
      <c r="Q735" s="23">
        <v>22</v>
      </c>
      <c r="R735">
        <v>0</v>
      </c>
      <c r="S735">
        <v>0</v>
      </c>
      <c r="T735">
        <v>0</v>
      </c>
      <c r="U735">
        <v>0</v>
      </c>
      <c r="V735">
        <v>90</v>
      </c>
      <c r="W735">
        <v>0</v>
      </c>
      <c r="X735">
        <v>0</v>
      </c>
      <c r="Y735">
        <v>0</v>
      </c>
      <c r="Z735" s="20">
        <v>0</v>
      </c>
      <c r="AA735" s="19">
        <f>IFERROR(PROPERTIES[[#This Row],[TE_STARTING_KN]]/(PROPERTIES[[#This Row],[WEIGHT]]*9.81),0)</f>
        <v>0</v>
      </c>
      <c r="AB735" s="19">
        <v>0.3</v>
      </c>
      <c r="AC735" s="16">
        <f>ROUND(IF(IFERROR(PROPERTIES[[#This Row],[TE_COEFFICIENT_CALC]],0)=0,PROPERTIES[[#This Row],[TE_COEFFICIENT_MANUAL]],PROPERTIES[[#This Row],[TE_COEFFICIENT_CALC]]),3)</f>
        <v>0.3</v>
      </c>
      <c r="AD735" s="8" cm="1">
        <f t="array" ref="AD7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5" s="26">
        <v>0</v>
      </c>
      <c r="AF735" s="6">
        <v>0</v>
      </c>
      <c r="AG735" t="s">
        <v>241</v>
      </c>
      <c r="AH735" t="s">
        <v>229</v>
      </c>
      <c r="AI735" t="s">
        <v>229</v>
      </c>
      <c r="AJ735" s="2" t="s">
        <v>229</v>
      </c>
      <c r="AK735" s="2" t="s">
        <v>244</v>
      </c>
      <c r="AL73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5" s="2" t="str">
        <f>SUBSTITUTE(SUBSTITUTE(PROPERTIES[[#This Row],[PURCHASECOST_VALUE]], "PURCHASECOST_", ""), "_VALUE", "")</f>
        <v>COACH</v>
      </c>
      <c r="AO735" s="44" t="b">
        <v>0</v>
      </c>
      <c r="AP735" s="48" t="b">
        <v>0</v>
      </c>
      <c r="AQ735" s="48" t="b">
        <v>0</v>
      </c>
      <c r="AR735" s="48">
        <v>0</v>
      </c>
      <c r="AS735" s="48" t="b">
        <v>0</v>
      </c>
      <c r="AT735" s="7" t="b">
        <v>0</v>
      </c>
      <c r="AU735" s="40" t="str" cm="1">
        <f t="array" ref="AU735">_xlfn.XLOOKUP(PROPERTIES[[#This Row],[VEHIDCODE]],GRAPHICS_PROPERTIES[VEHIDCODE],GRAPHICS_PROPERTIES[TEMPLATE_ID]&amp;GRAPHICS_PROPERTIES[TEMPLATE_AMENDMENT_CODE])</f>
        <v>TPL_04A</v>
      </c>
    </row>
    <row r="736" spans="1:47" x14ac:dyDescent="0.35">
      <c r="A736" s="2" t="s">
        <v>100</v>
      </c>
      <c r="B736">
        <v>1920</v>
      </c>
      <c r="D736" cm="1">
        <f t="array" ref="D7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6" s="40" t="str">
        <f>_xlfn.XLOOKUP(PROPERTIES[[#This Row],[VEHIDCODE]],CONTROL[VEHIDCODE],CONTROL[ENGLISH])</f>
        <v>Steel 2-axle Mail Coach</v>
      </c>
      <c r="G736" s="40" t="str">
        <f>_xlfn.XLOOKUP(PROPERTIES[[#This Row],[COUNTRY]],COUNTRIES[COUNTRY_DESCRIPTION],COUNTRIES[COUNTRY_LABEL],"")</f>
        <v/>
      </c>
      <c r="H736" t="str" cm="1">
        <f t="array" ref="H7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6" t="s">
        <v>36</v>
      </c>
      <c r="J736">
        <v>32</v>
      </c>
      <c r="K736">
        <v>5</v>
      </c>
      <c r="L736">
        <v>0</v>
      </c>
      <c r="M736" t="str" cm="1">
        <f t="array" ref="M7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36">
        <f>_xlfn.XLOOKUP("LOADINGSPEEDDEF_"&amp;PROPERTIES[[#This Row],[LOADINGSPEED]],LOADINGSPEEDDEF[TYPE],LOADINGSPEEDDEF[SPEED])</f>
        <v>15</v>
      </c>
      <c r="O736" cm="1">
        <f t="array" ref="O7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6">
        <f>IF(ISNUMBER(SEARCH("passenger",PROPERTIES[[#This Row],[CARGODEF]])),1,0)</f>
        <v>0</v>
      </c>
      <c r="Q736" s="23">
        <v>19.5</v>
      </c>
      <c r="R736">
        <v>0</v>
      </c>
      <c r="S736">
        <v>0</v>
      </c>
      <c r="T736">
        <v>0</v>
      </c>
      <c r="U736">
        <v>0</v>
      </c>
      <c r="V736">
        <v>90</v>
      </c>
      <c r="W736">
        <v>0</v>
      </c>
      <c r="X736">
        <v>0</v>
      </c>
      <c r="Y736">
        <v>0</v>
      </c>
      <c r="Z736" s="20">
        <v>0</v>
      </c>
      <c r="AA736" s="19">
        <f>IFERROR(PROPERTIES[[#This Row],[TE_STARTING_KN]]/(PROPERTIES[[#This Row],[WEIGHT]]*9.81),0)</f>
        <v>0</v>
      </c>
      <c r="AB736" s="19">
        <v>0.3</v>
      </c>
      <c r="AC736" s="16">
        <f>ROUND(IF(IFERROR(PROPERTIES[[#This Row],[TE_COEFFICIENT_CALC]],0)=0,PROPERTIES[[#This Row],[TE_COEFFICIENT_MANUAL]],PROPERTIES[[#This Row],[TE_COEFFICIENT_CALC]]),3)</f>
        <v>0.3</v>
      </c>
      <c r="AD736" s="8" cm="1">
        <f t="array" ref="AD7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6" s="26">
        <v>0</v>
      </c>
      <c r="AF736" s="6">
        <v>0</v>
      </c>
      <c r="AG736" t="s">
        <v>241</v>
      </c>
      <c r="AH736" t="s">
        <v>229</v>
      </c>
      <c r="AI736" t="s">
        <v>229</v>
      </c>
      <c r="AJ736" s="2" t="s">
        <v>229</v>
      </c>
      <c r="AK736" s="2" t="s">
        <v>244</v>
      </c>
      <c r="AL73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6" s="2" t="str">
        <f>SUBSTITUTE(SUBSTITUTE(PROPERTIES[[#This Row],[PURCHASECOST_VALUE]], "PURCHASECOST_", ""), "_VALUE", "")</f>
        <v>COACH</v>
      </c>
      <c r="AO736" s="44" t="b">
        <v>0</v>
      </c>
      <c r="AP736" s="48" t="b">
        <v>0</v>
      </c>
      <c r="AQ736" s="48" t="b">
        <v>0</v>
      </c>
      <c r="AR736" s="48">
        <v>0</v>
      </c>
      <c r="AS736" s="48" t="b">
        <v>0</v>
      </c>
      <c r="AT736" s="7" t="b">
        <v>0</v>
      </c>
      <c r="AU736" s="40" t="str" cm="1">
        <f t="array" ref="AU736">_xlfn.XLOOKUP(PROPERTIES[[#This Row],[VEHIDCODE]],GRAPHICS_PROPERTIES[VEHIDCODE],GRAPHICS_PROPERTIES[TEMPLATE_ID]&amp;GRAPHICS_PROPERTIES[TEMPLATE_AMENDMENT_CODE])</f>
        <v>TPL_04A</v>
      </c>
    </row>
    <row r="737" spans="1:47" x14ac:dyDescent="0.35">
      <c r="A737" s="2" t="s">
        <v>101</v>
      </c>
      <c r="B737">
        <v>1920</v>
      </c>
      <c r="D737" cm="1">
        <f t="array" ref="D7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7" s="40" t="str">
        <f>_xlfn.XLOOKUP(PROPERTIES[[#This Row],[VEHIDCODE]],CONTROL[VEHIDCODE],CONTROL[ENGLISH])</f>
        <v>Steel 3-axle Compartment Coach</v>
      </c>
      <c r="G737" s="40" t="str">
        <f>_xlfn.XLOOKUP(PROPERTIES[[#This Row],[COUNTRY]],COUNTRIES[COUNTRY_DESCRIPTION],COUNTRIES[COUNTRY_LABEL],"")</f>
        <v/>
      </c>
      <c r="H737" t="str" cm="1">
        <f t="array" ref="H7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7" t="s">
        <v>22</v>
      </c>
      <c r="J737">
        <v>62</v>
      </c>
      <c r="K737">
        <v>6</v>
      </c>
      <c r="L737">
        <v>0</v>
      </c>
      <c r="M737" t="str" cm="1">
        <f t="array" ref="M7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7">
        <f>_xlfn.XLOOKUP("LOADINGSPEEDDEF_"&amp;PROPERTIES[[#This Row],[LOADINGSPEED]],LOADINGSPEEDDEF[TYPE],LOADINGSPEEDDEF[SPEED])</f>
        <v>60</v>
      </c>
      <c r="O737" cm="1">
        <f t="array" ref="O7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7">
        <f>IF(ISNUMBER(SEARCH("passenger",PROPERTIES[[#This Row],[CARGODEF]])),1,0)</f>
        <v>1</v>
      </c>
      <c r="Q737" s="23">
        <v>27</v>
      </c>
      <c r="R737">
        <v>0</v>
      </c>
      <c r="S737">
        <v>0</v>
      </c>
      <c r="T737">
        <v>0</v>
      </c>
      <c r="U737">
        <v>0</v>
      </c>
      <c r="V737">
        <v>90</v>
      </c>
      <c r="W737">
        <v>0</v>
      </c>
      <c r="X737">
        <v>0</v>
      </c>
      <c r="Y737">
        <v>0</v>
      </c>
      <c r="Z737" s="20">
        <v>0</v>
      </c>
      <c r="AA737" s="19">
        <f>IFERROR(PROPERTIES[[#This Row],[TE_STARTING_KN]]/(PROPERTIES[[#This Row],[WEIGHT]]*9.81),0)</f>
        <v>0</v>
      </c>
      <c r="AB737" s="19">
        <v>0.3</v>
      </c>
      <c r="AC737" s="16">
        <f>ROUND(IF(IFERROR(PROPERTIES[[#This Row],[TE_COEFFICIENT_CALC]],0)=0,PROPERTIES[[#This Row],[TE_COEFFICIENT_MANUAL]],PROPERTIES[[#This Row],[TE_COEFFICIENT_CALC]]),3)</f>
        <v>0.3</v>
      </c>
      <c r="AD737" s="8" cm="1">
        <f t="array" ref="AD7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7" s="26">
        <v>0</v>
      </c>
      <c r="AF737" s="6">
        <v>0</v>
      </c>
      <c r="AG737" t="s">
        <v>1945</v>
      </c>
      <c r="AH737" t="s">
        <v>232</v>
      </c>
      <c r="AI737" t="s">
        <v>229</v>
      </c>
      <c r="AJ737" s="2" t="s">
        <v>229</v>
      </c>
      <c r="AK737" s="2" t="s">
        <v>244</v>
      </c>
      <c r="AL73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7" s="2" t="str">
        <f>SUBSTITUTE(SUBSTITUTE(PROPERTIES[[#This Row],[PURCHASECOST_VALUE]], "PURCHASECOST_", ""), "_VALUE", "")</f>
        <v>COACH</v>
      </c>
      <c r="AO737" s="44" t="b">
        <v>0</v>
      </c>
      <c r="AP737" s="48" t="b">
        <v>0</v>
      </c>
      <c r="AQ737" s="48" t="b">
        <v>0</v>
      </c>
      <c r="AR737" s="48">
        <v>0</v>
      </c>
      <c r="AS737" s="48" t="b">
        <v>0</v>
      </c>
      <c r="AT737" s="7" t="b">
        <v>0</v>
      </c>
      <c r="AU737" s="40" t="str" cm="1">
        <f t="array" ref="AU737">_xlfn.XLOOKUP(PROPERTIES[[#This Row],[VEHIDCODE]],GRAPHICS_PROPERTIES[VEHIDCODE],GRAPHICS_PROPERTIES[TEMPLATE_ID]&amp;GRAPHICS_PROPERTIES[TEMPLATE_AMENDMENT_CODE])</f>
        <v>TPL_04A</v>
      </c>
    </row>
    <row r="738" spans="1:47" x14ac:dyDescent="0.35">
      <c r="A738" s="2" t="s">
        <v>102</v>
      </c>
      <c r="B738">
        <v>1920</v>
      </c>
      <c r="D738" cm="1">
        <f t="array" ref="D7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8" s="40" t="str">
        <f>_xlfn.XLOOKUP(PROPERTIES[[#This Row],[VEHIDCODE]],CONTROL[VEHIDCODE],CONTROL[ENGLISH])</f>
        <v>Steel 3-axle Regional Coach</v>
      </c>
      <c r="G738" s="40" t="str">
        <f>_xlfn.XLOOKUP(PROPERTIES[[#This Row],[COUNTRY]],COUNTRIES[COUNTRY_DESCRIPTION],COUNTRIES[COUNTRY_LABEL],"")</f>
        <v/>
      </c>
      <c r="H738" t="str" cm="1">
        <f t="array" ref="H7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8" t="s">
        <v>22</v>
      </c>
      <c r="J738">
        <v>100</v>
      </c>
      <c r="K738">
        <v>6</v>
      </c>
      <c r="L738">
        <v>0</v>
      </c>
      <c r="M738" t="str" cm="1">
        <f t="array" ref="M7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8">
        <f>_xlfn.XLOOKUP("LOADINGSPEEDDEF_"&amp;PROPERTIES[[#This Row],[LOADINGSPEED]],LOADINGSPEEDDEF[TYPE],LOADINGSPEEDDEF[SPEED])</f>
        <v>60</v>
      </c>
      <c r="O738" cm="1">
        <f t="array" ref="O7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8">
        <f>IF(ISNUMBER(SEARCH("passenger",PROPERTIES[[#This Row],[CARGODEF]])),1,0)</f>
        <v>1</v>
      </c>
      <c r="Q738" s="23">
        <v>30</v>
      </c>
      <c r="R738">
        <v>0</v>
      </c>
      <c r="S738">
        <v>0</v>
      </c>
      <c r="T738">
        <v>0</v>
      </c>
      <c r="U738">
        <v>0</v>
      </c>
      <c r="V738">
        <v>90</v>
      </c>
      <c r="W738">
        <v>0</v>
      </c>
      <c r="X738">
        <v>0</v>
      </c>
      <c r="Y738">
        <v>0</v>
      </c>
      <c r="Z738" s="20">
        <v>0</v>
      </c>
      <c r="AA738" s="19">
        <f>IFERROR(PROPERTIES[[#This Row],[TE_STARTING_KN]]/(PROPERTIES[[#This Row],[WEIGHT]]*9.81),0)</f>
        <v>0</v>
      </c>
      <c r="AB738" s="19">
        <v>0.3</v>
      </c>
      <c r="AC738" s="16">
        <f>ROUND(IF(IFERROR(PROPERTIES[[#This Row],[TE_COEFFICIENT_CALC]],0)=0,PROPERTIES[[#This Row],[TE_COEFFICIENT_MANUAL]],PROPERTIES[[#This Row],[TE_COEFFICIENT_CALC]]),3)</f>
        <v>0.3</v>
      </c>
      <c r="AD738" s="8" cm="1">
        <f t="array" ref="AD7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8" s="26">
        <v>0</v>
      </c>
      <c r="AF738" s="6">
        <v>0</v>
      </c>
      <c r="AG738" t="s">
        <v>1945</v>
      </c>
      <c r="AH738" t="s">
        <v>232</v>
      </c>
      <c r="AI738" t="s">
        <v>229</v>
      </c>
      <c r="AJ738" s="2" t="s">
        <v>229</v>
      </c>
      <c r="AK738" s="2" t="s">
        <v>244</v>
      </c>
      <c r="AL73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8" s="2" t="str">
        <f>SUBSTITUTE(SUBSTITUTE(PROPERTIES[[#This Row],[PURCHASECOST_VALUE]], "PURCHASECOST_", ""), "_VALUE", "")</f>
        <v>COACH</v>
      </c>
      <c r="AO738" s="44" t="b">
        <v>0</v>
      </c>
      <c r="AP738" s="48" t="b">
        <v>0</v>
      </c>
      <c r="AQ738" s="48" t="b">
        <v>0</v>
      </c>
      <c r="AR738" s="48">
        <v>0</v>
      </c>
      <c r="AS738" s="48" t="b">
        <v>0</v>
      </c>
      <c r="AT738" s="7" t="b">
        <v>0</v>
      </c>
      <c r="AU738" s="40" t="str" cm="1">
        <f t="array" ref="AU738">_xlfn.XLOOKUP(PROPERTIES[[#This Row],[VEHIDCODE]],GRAPHICS_PROPERTIES[VEHIDCODE],GRAPHICS_PROPERTIES[TEMPLATE_ID]&amp;GRAPHICS_PROPERTIES[TEMPLATE_AMENDMENT_CODE])</f>
        <v>TPL_04A</v>
      </c>
    </row>
    <row r="739" spans="1:47" x14ac:dyDescent="0.35">
      <c r="A739" s="2" t="s">
        <v>103</v>
      </c>
      <c r="B739">
        <v>1920</v>
      </c>
      <c r="D739" cm="1">
        <f t="array" ref="D7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9" s="40" t="str">
        <f>_xlfn.XLOOKUP(PROPERTIES[[#This Row],[VEHIDCODE]],CONTROL[VEHIDCODE],CONTROL[ENGLISH])</f>
        <v>Steel 3-axle Mail Coach</v>
      </c>
      <c r="G739" s="40" t="str">
        <f>_xlfn.XLOOKUP(PROPERTIES[[#This Row],[COUNTRY]],COUNTRIES[COUNTRY_DESCRIPTION],COUNTRIES[COUNTRY_LABEL],"")</f>
        <v/>
      </c>
      <c r="H739" t="str" cm="1">
        <f t="array" ref="H7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9" t="s">
        <v>36</v>
      </c>
      <c r="J739">
        <v>42</v>
      </c>
      <c r="K739">
        <v>6</v>
      </c>
      <c r="L739">
        <v>0</v>
      </c>
      <c r="M739" t="str" cm="1">
        <f t="array" ref="M7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39">
        <f>_xlfn.XLOOKUP("LOADINGSPEEDDEF_"&amp;PROPERTIES[[#This Row],[LOADINGSPEED]],LOADINGSPEEDDEF[TYPE],LOADINGSPEEDDEF[SPEED])</f>
        <v>15</v>
      </c>
      <c r="O739" cm="1">
        <f t="array" ref="O7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9">
        <f>IF(ISNUMBER(SEARCH("passenger",PROPERTIES[[#This Row],[CARGODEF]])),1,0)</f>
        <v>0</v>
      </c>
      <c r="Q739" s="23">
        <v>27.5</v>
      </c>
      <c r="R739">
        <v>0</v>
      </c>
      <c r="S739">
        <v>0</v>
      </c>
      <c r="T739">
        <v>0</v>
      </c>
      <c r="U739">
        <v>0</v>
      </c>
      <c r="V739">
        <v>90</v>
      </c>
      <c r="W739">
        <v>0</v>
      </c>
      <c r="X739">
        <v>0</v>
      </c>
      <c r="Y739">
        <v>0</v>
      </c>
      <c r="Z739" s="20">
        <v>0</v>
      </c>
      <c r="AA739" s="19">
        <f>IFERROR(PROPERTIES[[#This Row],[TE_STARTING_KN]]/(PROPERTIES[[#This Row],[WEIGHT]]*9.81),0)</f>
        <v>0</v>
      </c>
      <c r="AB739" s="19">
        <v>0.3</v>
      </c>
      <c r="AC739" s="16">
        <f>ROUND(IF(IFERROR(PROPERTIES[[#This Row],[TE_COEFFICIENT_CALC]],0)=0,PROPERTIES[[#This Row],[TE_COEFFICIENT_MANUAL]],PROPERTIES[[#This Row],[TE_COEFFICIENT_CALC]]),3)</f>
        <v>0.3</v>
      </c>
      <c r="AD739" s="8" cm="1">
        <f t="array" ref="AD7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9" s="26">
        <v>0</v>
      </c>
      <c r="AF739" s="6">
        <v>0</v>
      </c>
      <c r="AG739" t="s">
        <v>1945</v>
      </c>
      <c r="AH739" t="s">
        <v>232</v>
      </c>
      <c r="AI739" t="s">
        <v>229</v>
      </c>
      <c r="AJ739" s="2" t="s">
        <v>229</v>
      </c>
      <c r="AK739" s="2" t="s">
        <v>244</v>
      </c>
      <c r="AL73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9" s="2" t="str">
        <f>SUBSTITUTE(SUBSTITUTE(PROPERTIES[[#This Row],[PURCHASECOST_VALUE]], "PURCHASECOST_", ""), "_VALUE", "")</f>
        <v>COACH</v>
      </c>
      <c r="AO739" s="44" t="b">
        <v>0</v>
      </c>
      <c r="AP739" s="48" t="b">
        <v>0</v>
      </c>
      <c r="AQ739" s="48" t="b">
        <v>0</v>
      </c>
      <c r="AR739" s="48">
        <v>0</v>
      </c>
      <c r="AS739" s="48" t="b">
        <v>0</v>
      </c>
      <c r="AT739" s="7" t="b">
        <v>0</v>
      </c>
      <c r="AU739" s="40" t="str" cm="1">
        <f t="array" ref="AU739">_xlfn.XLOOKUP(PROPERTIES[[#This Row],[VEHIDCODE]],GRAPHICS_PROPERTIES[VEHIDCODE],GRAPHICS_PROPERTIES[TEMPLATE_ID]&amp;GRAPHICS_PROPERTIES[TEMPLATE_AMENDMENT_CODE])</f>
        <v>TPL_04A</v>
      </c>
    </row>
    <row r="740" spans="1:47" x14ac:dyDescent="0.35">
      <c r="A740" s="2" t="s">
        <v>104</v>
      </c>
      <c r="B740">
        <v>1930</v>
      </c>
      <c r="D740" cm="1">
        <f t="array" ref="D7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0" s="40" t="str">
        <f>_xlfn.XLOOKUP(PROPERTIES[[#This Row],[VEHIDCODE]],CONTROL[VEHIDCODE],CONTROL[ENGLISH])</f>
        <v>Lightweight Intercity Coach</v>
      </c>
      <c r="G740" s="40" t="str">
        <f>_xlfn.XLOOKUP(PROPERTIES[[#This Row],[COUNTRY]],COUNTRIES[COUNTRY_DESCRIPTION],COUNTRIES[COUNTRY_LABEL],"")</f>
        <v/>
      </c>
      <c r="H740" t="str" cm="1">
        <f t="array" ref="H7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0" t="s">
        <v>22</v>
      </c>
      <c r="J740">
        <v>70</v>
      </c>
      <c r="K740">
        <v>8</v>
      </c>
      <c r="L740">
        <v>0</v>
      </c>
      <c r="M740" t="str" cm="1">
        <f t="array" ref="M7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0">
        <f>_xlfn.XLOOKUP("LOADINGSPEEDDEF_"&amp;PROPERTIES[[#This Row],[LOADINGSPEED]],LOADINGSPEEDDEF[TYPE],LOADINGSPEEDDEF[SPEED])</f>
        <v>60</v>
      </c>
      <c r="O740" cm="1">
        <f t="array" ref="O7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0">
        <f>IF(ISNUMBER(SEARCH("passenger",PROPERTIES[[#This Row],[CARGODEF]])),1,0)</f>
        <v>1</v>
      </c>
      <c r="Q740" s="23">
        <v>34</v>
      </c>
      <c r="R740">
        <v>0</v>
      </c>
      <c r="S740">
        <v>0</v>
      </c>
      <c r="T740">
        <v>0</v>
      </c>
      <c r="U740">
        <v>0</v>
      </c>
      <c r="V740">
        <v>160</v>
      </c>
      <c r="W740">
        <v>0</v>
      </c>
      <c r="X740">
        <v>0</v>
      </c>
      <c r="Y740">
        <v>0</v>
      </c>
      <c r="Z740" s="20">
        <v>0</v>
      </c>
      <c r="AA740" s="19">
        <f>IFERROR(PROPERTIES[[#This Row],[TE_STARTING_KN]]/(PROPERTIES[[#This Row],[WEIGHT]]*9.81),0)</f>
        <v>0</v>
      </c>
      <c r="AB740" s="19">
        <v>0.3</v>
      </c>
      <c r="AC740" s="16">
        <f>ROUND(IF(IFERROR(PROPERTIES[[#This Row],[TE_COEFFICIENT_CALC]],0)=0,PROPERTIES[[#This Row],[TE_COEFFICIENT_MANUAL]],PROPERTIES[[#This Row],[TE_COEFFICIENT_CALC]]),3)</f>
        <v>0.3</v>
      </c>
      <c r="AD740" s="8" cm="1">
        <f t="array" ref="AD7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0" s="26">
        <v>0</v>
      </c>
      <c r="AF740" s="6">
        <v>0</v>
      </c>
      <c r="AG740" t="s">
        <v>1947</v>
      </c>
      <c r="AH740" t="s">
        <v>240</v>
      </c>
      <c r="AI740" t="s">
        <v>229</v>
      </c>
      <c r="AJ740" s="2" t="s">
        <v>229</v>
      </c>
      <c r="AK740" s="2" t="s">
        <v>244</v>
      </c>
      <c r="AL74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0" s="2" t="str">
        <f>SUBSTITUTE(SUBSTITUTE(PROPERTIES[[#This Row],[PURCHASECOST_VALUE]], "PURCHASECOST_", ""), "_VALUE", "")</f>
        <v>COACH</v>
      </c>
      <c r="AO740" s="44" t="b">
        <v>0</v>
      </c>
      <c r="AP740" s="48" t="b">
        <v>0</v>
      </c>
      <c r="AQ740" s="48" t="b">
        <v>0</v>
      </c>
      <c r="AR740" s="48">
        <v>0</v>
      </c>
      <c r="AS740" s="48" t="b">
        <v>0</v>
      </c>
      <c r="AT740" s="7" t="b">
        <v>0</v>
      </c>
      <c r="AU740" s="40" t="str" cm="1">
        <f t="array" ref="AU740">_xlfn.XLOOKUP(PROPERTIES[[#This Row],[VEHIDCODE]],GRAPHICS_PROPERTIES[VEHIDCODE],GRAPHICS_PROPERTIES[TEMPLATE_ID]&amp;GRAPHICS_PROPERTIES[TEMPLATE_AMENDMENT_CODE])</f>
        <v>TPL_04S</v>
      </c>
    </row>
    <row r="741" spans="1:47" x14ac:dyDescent="0.35">
      <c r="A741" s="2" t="s">
        <v>105</v>
      </c>
      <c r="B741">
        <v>1930</v>
      </c>
      <c r="D741" cm="1">
        <f t="array" ref="D7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1" s="40" t="str">
        <f>_xlfn.XLOOKUP(PROPERTIES[[#This Row],[VEHIDCODE]],CONTROL[VEHIDCODE],CONTROL[ENGLISH])</f>
        <v>Lightweight Regional Coach</v>
      </c>
      <c r="G741" s="40" t="str">
        <f>_xlfn.XLOOKUP(PROPERTIES[[#This Row],[COUNTRY]],COUNTRIES[COUNTRY_DESCRIPTION],COUNTRIES[COUNTRY_LABEL],"")</f>
        <v/>
      </c>
      <c r="H741" t="str" cm="1">
        <f t="array" ref="H7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1" t="s">
        <v>22</v>
      </c>
      <c r="J741">
        <v>95</v>
      </c>
      <c r="K741">
        <v>8</v>
      </c>
      <c r="L741">
        <v>0</v>
      </c>
      <c r="M741" t="str" cm="1">
        <f t="array" ref="M7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1">
        <f>_xlfn.XLOOKUP("LOADINGSPEEDDEF_"&amp;PROPERTIES[[#This Row],[LOADINGSPEED]],LOADINGSPEEDDEF[TYPE],LOADINGSPEEDDEF[SPEED])</f>
        <v>60</v>
      </c>
      <c r="O741" cm="1">
        <f t="array" ref="O7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1">
        <f>IF(ISNUMBER(SEARCH("passenger",PROPERTIES[[#This Row],[CARGODEF]])),1,0)</f>
        <v>1</v>
      </c>
      <c r="Q741" s="23">
        <v>32</v>
      </c>
      <c r="R741">
        <v>0</v>
      </c>
      <c r="S741">
        <v>0</v>
      </c>
      <c r="T741">
        <v>0</v>
      </c>
      <c r="U741">
        <v>0</v>
      </c>
      <c r="V741">
        <v>160</v>
      </c>
      <c r="W741">
        <v>0</v>
      </c>
      <c r="X741">
        <v>0</v>
      </c>
      <c r="Y741">
        <v>0</v>
      </c>
      <c r="Z741" s="20">
        <v>0</v>
      </c>
      <c r="AA741" s="19">
        <f>IFERROR(PROPERTIES[[#This Row],[TE_STARTING_KN]]/(PROPERTIES[[#This Row],[WEIGHT]]*9.81),0)</f>
        <v>0</v>
      </c>
      <c r="AB741" s="19">
        <v>0.3</v>
      </c>
      <c r="AC741" s="16">
        <f>ROUND(IF(IFERROR(PROPERTIES[[#This Row],[TE_COEFFICIENT_CALC]],0)=0,PROPERTIES[[#This Row],[TE_COEFFICIENT_MANUAL]],PROPERTIES[[#This Row],[TE_COEFFICIENT_CALC]]),3)</f>
        <v>0.3</v>
      </c>
      <c r="AD741" s="8" cm="1">
        <f t="array" ref="AD7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1" s="26">
        <v>0</v>
      </c>
      <c r="AF741" s="6">
        <v>0</v>
      </c>
      <c r="AG741" t="s">
        <v>1947</v>
      </c>
      <c r="AH741" t="s">
        <v>240</v>
      </c>
      <c r="AI741" t="s">
        <v>229</v>
      </c>
      <c r="AJ741" s="2" t="s">
        <v>229</v>
      </c>
      <c r="AK741" s="2" t="s">
        <v>244</v>
      </c>
      <c r="AL74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1" s="2" t="str">
        <f>SUBSTITUTE(SUBSTITUTE(PROPERTIES[[#This Row],[PURCHASECOST_VALUE]], "PURCHASECOST_", ""), "_VALUE", "")</f>
        <v>COACH</v>
      </c>
      <c r="AO741" s="44" t="b">
        <v>0</v>
      </c>
      <c r="AP741" s="48" t="b">
        <v>0</v>
      </c>
      <c r="AQ741" s="48" t="b">
        <v>0</v>
      </c>
      <c r="AR741" s="48">
        <v>0</v>
      </c>
      <c r="AS741" s="48" t="b">
        <v>0</v>
      </c>
      <c r="AT741" s="7" t="b">
        <v>0</v>
      </c>
      <c r="AU741" s="40" t="str" cm="1">
        <f t="array" ref="AU741">_xlfn.XLOOKUP(PROPERTIES[[#This Row],[VEHIDCODE]],GRAPHICS_PROPERTIES[VEHIDCODE],GRAPHICS_PROPERTIES[TEMPLATE_ID]&amp;GRAPHICS_PROPERTIES[TEMPLATE_AMENDMENT_CODE])</f>
        <v>TPL_04A</v>
      </c>
    </row>
    <row r="742" spans="1:47" x14ac:dyDescent="0.35">
      <c r="A742" s="2" t="s">
        <v>106</v>
      </c>
      <c r="B742">
        <v>1930</v>
      </c>
      <c r="D742" cm="1">
        <f t="array" ref="D7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2" s="40" t="str">
        <f>_xlfn.XLOOKUP(PROPERTIES[[#This Row],[VEHIDCODE]],CONTROL[VEHIDCODE],CONTROL[ENGLISH])</f>
        <v>Lightweight Mail Coach</v>
      </c>
      <c r="G742" s="40" t="str">
        <f>_xlfn.XLOOKUP(PROPERTIES[[#This Row],[COUNTRY]],COUNTRIES[COUNTRY_DESCRIPTION],COUNTRIES[COUNTRY_LABEL],"")</f>
        <v/>
      </c>
      <c r="H742" t="str" cm="1">
        <f t="array" ref="H7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2" t="s">
        <v>36</v>
      </c>
      <c r="J742">
        <v>75</v>
      </c>
      <c r="K742">
        <v>8</v>
      </c>
      <c r="L742">
        <v>0</v>
      </c>
      <c r="M742" t="str" cm="1">
        <f t="array" ref="M7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42">
        <f>_xlfn.XLOOKUP("LOADINGSPEEDDEF_"&amp;PROPERTIES[[#This Row],[LOADINGSPEED]],LOADINGSPEEDDEF[TYPE],LOADINGSPEEDDEF[SPEED])</f>
        <v>15</v>
      </c>
      <c r="O742" cm="1">
        <f t="array" ref="O7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2">
        <f>IF(ISNUMBER(SEARCH("passenger",PROPERTIES[[#This Row],[CARGODEF]])),1,0)</f>
        <v>0</v>
      </c>
      <c r="Q742" s="23">
        <v>34</v>
      </c>
      <c r="R742">
        <v>0</v>
      </c>
      <c r="S742">
        <v>0</v>
      </c>
      <c r="T742">
        <v>0</v>
      </c>
      <c r="U742">
        <v>0</v>
      </c>
      <c r="V742">
        <v>160</v>
      </c>
      <c r="W742">
        <v>0</v>
      </c>
      <c r="X742">
        <v>0</v>
      </c>
      <c r="Y742">
        <v>0</v>
      </c>
      <c r="Z742" s="20">
        <v>0</v>
      </c>
      <c r="AA742" s="19">
        <f>IFERROR(PROPERTIES[[#This Row],[TE_STARTING_KN]]/(PROPERTIES[[#This Row],[WEIGHT]]*9.81),0)</f>
        <v>0</v>
      </c>
      <c r="AB742" s="19">
        <v>0.3</v>
      </c>
      <c r="AC742" s="16">
        <f>ROUND(IF(IFERROR(PROPERTIES[[#This Row],[TE_COEFFICIENT_CALC]],0)=0,PROPERTIES[[#This Row],[TE_COEFFICIENT_MANUAL]],PROPERTIES[[#This Row],[TE_COEFFICIENT_CALC]]),3)</f>
        <v>0.3</v>
      </c>
      <c r="AD742" s="8" cm="1">
        <f t="array" ref="AD7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2" s="26">
        <v>0</v>
      </c>
      <c r="AF742" s="6">
        <v>0</v>
      </c>
      <c r="AG742" t="s">
        <v>1947</v>
      </c>
      <c r="AH742" t="s">
        <v>240</v>
      </c>
      <c r="AI742" t="s">
        <v>229</v>
      </c>
      <c r="AJ742" s="2" t="s">
        <v>229</v>
      </c>
      <c r="AK742" s="2" t="s">
        <v>244</v>
      </c>
      <c r="AL74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2" s="2" t="str">
        <f>SUBSTITUTE(SUBSTITUTE(PROPERTIES[[#This Row],[PURCHASECOST_VALUE]], "PURCHASECOST_", ""), "_VALUE", "")</f>
        <v>COACH</v>
      </c>
      <c r="AO742" s="44" t="b">
        <v>0</v>
      </c>
      <c r="AP742" s="48" t="b">
        <v>0</v>
      </c>
      <c r="AQ742" s="48" t="b">
        <v>0</v>
      </c>
      <c r="AR742" s="48">
        <v>0</v>
      </c>
      <c r="AS742" s="48" t="b">
        <v>0</v>
      </c>
      <c r="AT742" s="7" t="b">
        <v>0</v>
      </c>
      <c r="AU742" s="40" t="str" cm="1">
        <f t="array" ref="AU742">_xlfn.XLOOKUP(PROPERTIES[[#This Row],[VEHIDCODE]],GRAPHICS_PROPERTIES[VEHIDCODE],GRAPHICS_PROPERTIES[TEMPLATE_ID]&amp;GRAPHICS_PROPERTIES[TEMPLATE_AMENDMENT_CODE])</f>
        <v>TPL_04A</v>
      </c>
    </row>
    <row r="743" spans="1:47" x14ac:dyDescent="0.35">
      <c r="A743" s="2" t="s">
        <v>107</v>
      </c>
      <c r="B743">
        <v>1940</v>
      </c>
      <c r="D743" cm="1">
        <f t="array" ref="D7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3" s="40" t="str">
        <f>_xlfn.XLOOKUP(PROPERTIES[[#This Row],[VEHIDCODE]],CONTROL[VEHIDCODE],CONTROL[ENGLISH])</f>
        <v>Streamlined Intercity Coach</v>
      </c>
      <c r="G743" s="40" t="str">
        <f>_xlfn.XLOOKUP(PROPERTIES[[#This Row],[COUNTRY]],COUNTRIES[COUNTRY_DESCRIPTION],COUNTRIES[COUNTRY_LABEL],"")</f>
        <v/>
      </c>
      <c r="H743" t="str" cm="1">
        <f t="array" ref="H7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3" t="s">
        <v>22</v>
      </c>
      <c r="J743">
        <v>75</v>
      </c>
      <c r="K743">
        <v>8</v>
      </c>
      <c r="L743">
        <v>0</v>
      </c>
      <c r="M743" t="str" cm="1">
        <f t="array" ref="M7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3">
        <f>_xlfn.XLOOKUP("LOADINGSPEEDDEF_"&amp;PROPERTIES[[#This Row],[LOADINGSPEED]],LOADINGSPEEDDEF[TYPE],LOADINGSPEEDDEF[SPEED])</f>
        <v>60</v>
      </c>
      <c r="O743" cm="1">
        <f t="array" ref="O7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3">
        <f>IF(ISNUMBER(SEARCH("passenger",PROPERTIES[[#This Row],[CARGODEF]])),1,0)</f>
        <v>1</v>
      </c>
      <c r="Q743" s="23">
        <v>30</v>
      </c>
      <c r="R743">
        <v>0</v>
      </c>
      <c r="S743">
        <v>0</v>
      </c>
      <c r="T743">
        <v>0</v>
      </c>
      <c r="U743">
        <v>0</v>
      </c>
      <c r="V743">
        <v>160</v>
      </c>
      <c r="W743">
        <v>0</v>
      </c>
      <c r="X743">
        <v>0</v>
      </c>
      <c r="Y743">
        <v>0</v>
      </c>
      <c r="Z743" s="20">
        <v>0</v>
      </c>
      <c r="AA743" s="19">
        <f>IFERROR(PROPERTIES[[#This Row],[TE_STARTING_KN]]/(PROPERTIES[[#This Row],[WEIGHT]]*9.81),0)</f>
        <v>0</v>
      </c>
      <c r="AB743" s="19">
        <v>0.3</v>
      </c>
      <c r="AC743" s="16">
        <f>ROUND(IF(IFERROR(PROPERTIES[[#This Row],[TE_COEFFICIENT_CALC]],0)=0,PROPERTIES[[#This Row],[TE_COEFFICIENT_MANUAL]],PROPERTIES[[#This Row],[TE_COEFFICIENT_CALC]]),3)</f>
        <v>0.3</v>
      </c>
      <c r="AD743" s="8" cm="1">
        <f t="array" ref="AD7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3" s="26">
        <v>0</v>
      </c>
      <c r="AF743" s="6">
        <v>0</v>
      </c>
      <c r="AG743" t="s">
        <v>1945</v>
      </c>
      <c r="AH743" t="s">
        <v>232</v>
      </c>
      <c r="AI743" t="s">
        <v>229</v>
      </c>
      <c r="AJ743" s="2" t="s">
        <v>229</v>
      </c>
      <c r="AK743" s="2" t="s">
        <v>244</v>
      </c>
      <c r="AL74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3" s="2" t="str">
        <f>SUBSTITUTE(SUBSTITUTE(PROPERTIES[[#This Row],[PURCHASECOST_VALUE]], "PURCHASECOST_", ""), "_VALUE", "")</f>
        <v>COACH</v>
      </c>
      <c r="AO743" s="44" t="b">
        <v>0</v>
      </c>
      <c r="AP743" s="48" t="b">
        <v>0</v>
      </c>
      <c r="AQ743" s="48" t="b">
        <v>0</v>
      </c>
      <c r="AR743" s="48">
        <v>0</v>
      </c>
      <c r="AS743" s="48" t="b">
        <v>0</v>
      </c>
      <c r="AT743" s="7" t="b">
        <v>0</v>
      </c>
      <c r="AU743" s="40" t="str" cm="1">
        <f t="array" ref="AU743">_xlfn.XLOOKUP(PROPERTIES[[#This Row],[VEHIDCODE]],GRAPHICS_PROPERTIES[VEHIDCODE],GRAPHICS_PROPERTIES[TEMPLATE_ID]&amp;GRAPHICS_PROPERTIES[TEMPLATE_AMENDMENT_CODE])</f>
        <v>TPL_04S</v>
      </c>
    </row>
    <row r="744" spans="1:47" x14ac:dyDescent="0.35">
      <c r="A744" s="2" t="s">
        <v>108</v>
      </c>
      <c r="B744">
        <v>1940</v>
      </c>
      <c r="D744" cm="1">
        <f t="array" ref="D7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4" s="40" t="str">
        <f>_xlfn.XLOOKUP(PROPERTIES[[#This Row],[VEHIDCODE]],CONTROL[VEHIDCODE],CONTROL[ENGLISH])</f>
        <v>Streamlined Regional Coach</v>
      </c>
      <c r="G744" s="40" t="str">
        <f>_xlfn.XLOOKUP(PROPERTIES[[#This Row],[COUNTRY]],COUNTRIES[COUNTRY_DESCRIPTION],COUNTRIES[COUNTRY_LABEL],"")</f>
        <v/>
      </c>
      <c r="H744" t="str" cm="1">
        <f t="array" ref="H7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4" t="s">
        <v>22</v>
      </c>
      <c r="J744">
        <v>150</v>
      </c>
      <c r="K744">
        <v>8</v>
      </c>
      <c r="L744">
        <v>0</v>
      </c>
      <c r="M744" t="str" cm="1">
        <f t="array" ref="M7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4">
        <f>_xlfn.XLOOKUP("LOADINGSPEEDDEF_"&amp;PROPERTIES[[#This Row],[LOADINGSPEED]],LOADINGSPEEDDEF[TYPE],LOADINGSPEEDDEF[SPEED])</f>
        <v>60</v>
      </c>
      <c r="O744" cm="1">
        <f t="array" ref="O7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4">
        <f>IF(ISNUMBER(SEARCH("passenger",PROPERTIES[[#This Row],[CARGODEF]])),1,0)</f>
        <v>1</v>
      </c>
      <c r="Q744" s="23">
        <v>25</v>
      </c>
      <c r="R744">
        <v>0</v>
      </c>
      <c r="S744">
        <v>0</v>
      </c>
      <c r="T744">
        <v>0</v>
      </c>
      <c r="U744">
        <v>0</v>
      </c>
      <c r="V744">
        <v>120</v>
      </c>
      <c r="W744">
        <v>0</v>
      </c>
      <c r="X744">
        <v>0</v>
      </c>
      <c r="Y744">
        <v>0</v>
      </c>
      <c r="Z744" s="20">
        <v>0</v>
      </c>
      <c r="AA744" s="19">
        <f>IFERROR(PROPERTIES[[#This Row],[TE_STARTING_KN]]/(PROPERTIES[[#This Row],[WEIGHT]]*9.81),0)</f>
        <v>0</v>
      </c>
      <c r="AB744" s="19">
        <v>0.3</v>
      </c>
      <c r="AC744" s="16">
        <f>ROUND(IF(IFERROR(PROPERTIES[[#This Row],[TE_COEFFICIENT_CALC]],0)=0,PROPERTIES[[#This Row],[TE_COEFFICIENT_MANUAL]],PROPERTIES[[#This Row],[TE_COEFFICIENT_CALC]]),3)</f>
        <v>0.3</v>
      </c>
      <c r="AD744" s="8" cm="1">
        <f t="array" ref="AD7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4" s="26">
        <v>0</v>
      </c>
      <c r="AF744" s="6">
        <v>0</v>
      </c>
      <c r="AG744" t="s">
        <v>240</v>
      </c>
      <c r="AH744" t="s">
        <v>232</v>
      </c>
      <c r="AI744" t="s">
        <v>229</v>
      </c>
      <c r="AJ744" s="2" t="s">
        <v>229</v>
      </c>
      <c r="AK744" s="2" t="s">
        <v>244</v>
      </c>
      <c r="AL74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4" s="2" t="str">
        <f>SUBSTITUTE(SUBSTITUTE(PROPERTIES[[#This Row],[PURCHASECOST_VALUE]], "PURCHASECOST_", ""), "_VALUE", "")</f>
        <v>COACH</v>
      </c>
      <c r="AO744" s="44" t="b">
        <v>0</v>
      </c>
      <c r="AP744" s="48" t="b">
        <v>0</v>
      </c>
      <c r="AQ744" s="48" t="b">
        <v>0</v>
      </c>
      <c r="AR744" s="48">
        <v>0</v>
      </c>
      <c r="AS744" s="48" t="b">
        <v>0</v>
      </c>
      <c r="AT744" s="7" t="b">
        <v>0</v>
      </c>
      <c r="AU744" s="40" t="str" cm="1">
        <f t="array" ref="AU744">_xlfn.XLOOKUP(PROPERTIES[[#This Row],[VEHIDCODE]],GRAPHICS_PROPERTIES[VEHIDCODE],GRAPHICS_PROPERTIES[TEMPLATE_ID]&amp;GRAPHICS_PROPERTIES[TEMPLATE_AMENDMENT_CODE])</f>
        <v>TPL_04S</v>
      </c>
    </row>
    <row r="745" spans="1:47" x14ac:dyDescent="0.35">
      <c r="A745" s="2" t="s">
        <v>109</v>
      </c>
      <c r="B745">
        <v>1940</v>
      </c>
      <c r="D745" cm="1">
        <f t="array" ref="D7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5" s="40" t="str">
        <f>_xlfn.XLOOKUP(PROPERTIES[[#This Row],[VEHIDCODE]],CONTROL[VEHIDCODE],CONTROL[ENGLISH])</f>
        <v>Streamlined Mail Coach</v>
      </c>
      <c r="G745" s="40" t="str">
        <f>_xlfn.XLOOKUP(PROPERTIES[[#This Row],[COUNTRY]],COUNTRIES[COUNTRY_DESCRIPTION],COUNTRIES[COUNTRY_LABEL],"")</f>
        <v/>
      </c>
      <c r="H745" t="str" cm="1">
        <f t="array" ref="H7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5" t="s">
        <v>36</v>
      </c>
      <c r="J745">
        <v>80</v>
      </c>
      <c r="K745">
        <v>8</v>
      </c>
      <c r="L745">
        <v>0</v>
      </c>
      <c r="M745" t="str" cm="1">
        <f t="array" ref="M7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45">
        <f>_xlfn.XLOOKUP("LOADINGSPEEDDEF_"&amp;PROPERTIES[[#This Row],[LOADINGSPEED]],LOADINGSPEEDDEF[TYPE],LOADINGSPEEDDEF[SPEED])</f>
        <v>15</v>
      </c>
      <c r="O745" cm="1">
        <f t="array" ref="O7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5">
        <f>IF(ISNUMBER(SEARCH("passenger",PROPERTIES[[#This Row],[CARGODEF]])),1,0)</f>
        <v>0</v>
      </c>
      <c r="Q745" s="23">
        <v>24</v>
      </c>
      <c r="R745">
        <v>0</v>
      </c>
      <c r="S745">
        <v>0</v>
      </c>
      <c r="T745">
        <v>0</v>
      </c>
      <c r="U745">
        <v>0</v>
      </c>
      <c r="V745">
        <v>160</v>
      </c>
      <c r="W745">
        <v>0</v>
      </c>
      <c r="X745">
        <v>0</v>
      </c>
      <c r="Y745">
        <v>0</v>
      </c>
      <c r="Z745" s="20">
        <v>0</v>
      </c>
      <c r="AA745" s="19">
        <f>IFERROR(PROPERTIES[[#This Row],[TE_STARTING_KN]]/(PROPERTIES[[#This Row],[WEIGHT]]*9.81),0)</f>
        <v>0</v>
      </c>
      <c r="AB745" s="19">
        <v>0.3</v>
      </c>
      <c r="AC745" s="16">
        <f>ROUND(IF(IFERROR(PROPERTIES[[#This Row],[TE_COEFFICIENT_CALC]],0)=0,PROPERTIES[[#This Row],[TE_COEFFICIENT_MANUAL]],PROPERTIES[[#This Row],[TE_COEFFICIENT_CALC]]),3)</f>
        <v>0.3</v>
      </c>
      <c r="AD745" s="8" cm="1">
        <f t="array" ref="AD7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5" s="26">
        <v>0</v>
      </c>
      <c r="AF745" s="6">
        <v>0</v>
      </c>
      <c r="AG745" t="s">
        <v>240</v>
      </c>
      <c r="AH745" t="s">
        <v>232</v>
      </c>
      <c r="AI745" t="s">
        <v>229</v>
      </c>
      <c r="AJ745" s="2" t="s">
        <v>229</v>
      </c>
      <c r="AK745" s="2" t="s">
        <v>244</v>
      </c>
      <c r="AL74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5" s="2" t="str">
        <f>SUBSTITUTE(SUBSTITUTE(PROPERTIES[[#This Row],[PURCHASECOST_VALUE]], "PURCHASECOST_", ""), "_VALUE", "")</f>
        <v>COACH</v>
      </c>
      <c r="AO745" s="44" t="b">
        <v>0</v>
      </c>
      <c r="AP745" s="48" t="b">
        <v>0</v>
      </c>
      <c r="AQ745" s="48" t="b">
        <v>0</v>
      </c>
      <c r="AR745" s="48">
        <v>0</v>
      </c>
      <c r="AS745" s="48" t="b">
        <v>0</v>
      </c>
      <c r="AT745" s="7" t="b">
        <v>0</v>
      </c>
      <c r="AU745" s="40" t="str" cm="1">
        <f t="array" ref="AU745">_xlfn.XLOOKUP(PROPERTIES[[#This Row],[VEHIDCODE]],GRAPHICS_PROPERTIES[VEHIDCODE],GRAPHICS_PROPERTIES[TEMPLATE_ID]&amp;GRAPHICS_PROPERTIES[TEMPLATE_AMENDMENT_CODE])</f>
        <v>TPL_04S</v>
      </c>
    </row>
    <row r="746" spans="1:47" x14ac:dyDescent="0.35">
      <c r="A746" s="2" t="s">
        <v>110</v>
      </c>
      <c r="B746">
        <v>1950</v>
      </c>
      <c r="D746" cm="1">
        <f t="array" ref="D7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6" s="40" t="str">
        <f>_xlfn.XLOOKUP(PROPERTIES[[#This Row],[VEHIDCODE]],CONTROL[VEHIDCODE],CONTROL[ENGLISH])</f>
        <v>Gallery Car</v>
      </c>
      <c r="G746" s="40" t="str">
        <f>_xlfn.XLOOKUP(PROPERTIES[[#This Row],[COUNTRY]],COUNTRIES[COUNTRY_DESCRIPTION],COUNTRIES[COUNTRY_LABEL],"")</f>
        <v/>
      </c>
      <c r="H746" t="str" cm="1">
        <f t="array" ref="H7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6" t="s">
        <v>22</v>
      </c>
      <c r="J746">
        <v>170</v>
      </c>
      <c r="K746">
        <v>8</v>
      </c>
      <c r="L746">
        <v>0</v>
      </c>
      <c r="M746" t="str" cm="1">
        <f t="array" ref="M7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6">
        <f>_xlfn.XLOOKUP("LOADINGSPEEDDEF_"&amp;PROPERTIES[[#This Row],[LOADINGSPEED]],LOADINGSPEEDDEF[TYPE],LOADINGSPEEDDEF[SPEED])</f>
        <v>60</v>
      </c>
      <c r="O746" cm="1">
        <f t="array" ref="O7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6">
        <f>IF(ISNUMBER(SEARCH("passenger",PROPERTIES[[#This Row],[CARGODEF]])),1,0)</f>
        <v>1</v>
      </c>
      <c r="Q746" s="23">
        <v>75</v>
      </c>
      <c r="R746">
        <v>0</v>
      </c>
      <c r="S746">
        <v>0</v>
      </c>
      <c r="T746">
        <v>0</v>
      </c>
      <c r="U746">
        <v>0</v>
      </c>
      <c r="V746">
        <v>130</v>
      </c>
      <c r="W746">
        <v>0</v>
      </c>
      <c r="X746">
        <v>0</v>
      </c>
      <c r="Y746">
        <v>0</v>
      </c>
      <c r="Z746" s="20">
        <v>0</v>
      </c>
      <c r="AA746" s="19">
        <f>IFERROR(PROPERTIES[[#This Row],[TE_STARTING_KN]]/(PROPERTIES[[#This Row],[WEIGHT]]*9.81),0)</f>
        <v>0</v>
      </c>
      <c r="AB746" s="19">
        <v>0.3</v>
      </c>
      <c r="AC746" s="16">
        <f>ROUND(IF(IFERROR(PROPERTIES[[#This Row],[TE_COEFFICIENT_CALC]],0)=0,PROPERTIES[[#This Row],[TE_COEFFICIENT_MANUAL]],PROPERTIES[[#This Row],[TE_COEFFICIENT_CALC]]),3)</f>
        <v>0.3</v>
      </c>
      <c r="AD746" s="8" cm="1">
        <f t="array" ref="AD7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6" s="26">
        <v>0</v>
      </c>
      <c r="AF746" s="6">
        <v>0</v>
      </c>
      <c r="AG746" t="s">
        <v>240</v>
      </c>
      <c r="AH746" t="s">
        <v>232</v>
      </c>
      <c r="AI746" t="s">
        <v>229</v>
      </c>
      <c r="AJ746" s="2" t="s">
        <v>229</v>
      </c>
      <c r="AK746" s="2" t="s">
        <v>244</v>
      </c>
      <c r="AL74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6" s="2" t="str">
        <f>SUBSTITUTE(SUBSTITUTE(PROPERTIES[[#This Row],[PURCHASECOST_VALUE]], "PURCHASECOST_", ""), "_VALUE", "")</f>
        <v>COACH</v>
      </c>
      <c r="AO746" s="44" t="b">
        <v>0</v>
      </c>
      <c r="AP746" s="48" t="b">
        <v>1</v>
      </c>
      <c r="AQ746" s="48" t="b">
        <v>0</v>
      </c>
      <c r="AR746" s="48">
        <v>0</v>
      </c>
      <c r="AS746" s="48" t="b">
        <v>0</v>
      </c>
      <c r="AT746" s="7" t="b">
        <v>0</v>
      </c>
      <c r="AU746" s="40" t="str" cm="1">
        <f t="array" ref="AU746">_xlfn.XLOOKUP(PROPERTIES[[#This Row],[VEHIDCODE]],GRAPHICS_PROPERTIES[VEHIDCODE],GRAPHICS_PROPERTIES[TEMPLATE_ID]&amp;GRAPHICS_PROPERTIES[TEMPLATE_AMENDMENT_CODE])</f>
        <v>TPL_04A</v>
      </c>
    </row>
    <row r="747" spans="1:47" x14ac:dyDescent="0.35">
      <c r="A747" s="2" t="s">
        <v>111</v>
      </c>
      <c r="B747">
        <v>1950</v>
      </c>
      <c r="D747" cm="1">
        <f t="array" ref="D7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7" s="40" t="str">
        <f>_xlfn.XLOOKUP(PROPERTIES[[#This Row],[VEHIDCODE]],CONTROL[VEHIDCODE],CONTROL[ENGLISH])</f>
        <v>Mk1 Intercity Coach</v>
      </c>
      <c r="G747" s="40" t="str">
        <f>_xlfn.XLOOKUP(PROPERTIES[[#This Row],[COUNTRY]],COUNTRIES[COUNTRY_DESCRIPTION],COUNTRIES[COUNTRY_LABEL],"")</f>
        <v/>
      </c>
      <c r="H747" t="str" cm="1">
        <f t="array" ref="H7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7" t="s">
        <v>22</v>
      </c>
      <c r="J747">
        <v>72</v>
      </c>
      <c r="K747">
        <v>7</v>
      </c>
      <c r="L747">
        <v>0</v>
      </c>
      <c r="M747" t="str" cm="1">
        <f t="array" ref="M7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7">
        <f>_xlfn.XLOOKUP("LOADINGSPEEDDEF_"&amp;PROPERTIES[[#This Row],[LOADINGSPEED]],LOADINGSPEEDDEF[TYPE],LOADINGSPEEDDEF[SPEED])</f>
        <v>60</v>
      </c>
      <c r="O747" cm="1">
        <f t="array" ref="O7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7">
        <f>IF(ISNUMBER(SEARCH("passenger",PROPERTIES[[#This Row],[CARGODEF]])),1,0)</f>
        <v>1</v>
      </c>
      <c r="Q747" s="23">
        <v>35</v>
      </c>
      <c r="R747">
        <v>0</v>
      </c>
      <c r="S747">
        <v>0</v>
      </c>
      <c r="T747">
        <v>0</v>
      </c>
      <c r="U747">
        <v>0</v>
      </c>
      <c r="V747">
        <v>145</v>
      </c>
      <c r="W747">
        <v>0</v>
      </c>
      <c r="X747">
        <v>0</v>
      </c>
      <c r="Y747">
        <v>0</v>
      </c>
      <c r="Z747" s="20">
        <v>0</v>
      </c>
      <c r="AA747" s="19">
        <f>IFERROR(PROPERTIES[[#This Row],[TE_STARTING_KN]]/(PROPERTIES[[#This Row],[WEIGHT]]*9.81),0)</f>
        <v>0</v>
      </c>
      <c r="AB747" s="19">
        <v>0.3</v>
      </c>
      <c r="AC747" s="16">
        <f>ROUND(IF(IFERROR(PROPERTIES[[#This Row],[TE_COEFFICIENT_CALC]],0)=0,PROPERTIES[[#This Row],[TE_COEFFICIENT_MANUAL]],PROPERTIES[[#This Row],[TE_COEFFICIENT_CALC]]),3)</f>
        <v>0.3</v>
      </c>
      <c r="AD747" s="8" cm="1">
        <f t="array" ref="AD7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7" s="26">
        <v>0</v>
      </c>
      <c r="AF747" s="6">
        <v>0</v>
      </c>
      <c r="AG747" t="s">
        <v>1945</v>
      </c>
      <c r="AH747" t="s">
        <v>229</v>
      </c>
      <c r="AI747" t="s">
        <v>229</v>
      </c>
      <c r="AJ747" s="2" t="s">
        <v>229</v>
      </c>
      <c r="AK747" s="2" t="s">
        <v>244</v>
      </c>
      <c r="AL74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7" s="2" t="str">
        <f>SUBSTITUTE(SUBSTITUTE(PROPERTIES[[#This Row],[PURCHASECOST_VALUE]], "PURCHASECOST_", ""), "_VALUE", "")</f>
        <v>COACH</v>
      </c>
      <c r="AO747" s="44" t="b">
        <v>0</v>
      </c>
      <c r="AP747" s="48" t="b">
        <v>0</v>
      </c>
      <c r="AQ747" s="48" t="b">
        <v>0</v>
      </c>
      <c r="AR747" s="48">
        <v>0</v>
      </c>
      <c r="AS747" s="48" t="b">
        <v>0</v>
      </c>
      <c r="AT747" s="7" t="b">
        <v>0</v>
      </c>
      <c r="AU747" s="40" t="str" cm="1">
        <f t="array" ref="AU747">_xlfn.XLOOKUP(PROPERTIES[[#This Row],[VEHIDCODE]],GRAPHICS_PROPERTIES[VEHIDCODE],GRAPHICS_PROPERTIES[TEMPLATE_ID]&amp;GRAPHICS_PROPERTIES[TEMPLATE_AMENDMENT_CODE])</f>
        <v>TPL_04A</v>
      </c>
    </row>
    <row r="748" spans="1:47" x14ac:dyDescent="0.35">
      <c r="A748" s="2" t="s">
        <v>112</v>
      </c>
      <c r="B748">
        <v>1950</v>
      </c>
      <c r="D748" cm="1">
        <f t="array" ref="D7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8" s="40" t="str">
        <f>_xlfn.XLOOKUP(PROPERTIES[[#This Row],[VEHIDCODE]],CONTROL[VEHIDCODE],CONTROL[ENGLISH])</f>
        <v>Mk1 Regional Coach</v>
      </c>
      <c r="G748" s="40" t="str">
        <f>_xlfn.XLOOKUP(PROPERTIES[[#This Row],[COUNTRY]],COUNTRIES[COUNTRY_DESCRIPTION],COUNTRIES[COUNTRY_LABEL],"")</f>
        <v/>
      </c>
      <c r="H748" t="str" cm="1">
        <f t="array" ref="H7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8" t="s">
        <v>22</v>
      </c>
      <c r="J748">
        <v>150</v>
      </c>
      <c r="K748">
        <v>7</v>
      </c>
      <c r="L748">
        <v>0</v>
      </c>
      <c r="M748" t="str" cm="1">
        <f t="array" ref="M7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8">
        <f>_xlfn.XLOOKUP("LOADINGSPEEDDEF_"&amp;PROPERTIES[[#This Row],[LOADINGSPEED]],LOADINGSPEEDDEF[TYPE],LOADINGSPEEDDEF[SPEED])</f>
        <v>60</v>
      </c>
      <c r="O748" cm="1">
        <f t="array" ref="O7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8">
        <f>IF(ISNUMBER(SEARCH("passenger",PROPERTIES[[#This Row],[CARGODEF]])),1,0)</f>
        <v>1</v>
      </c>
      <c r="Q748" s="23">
        <v>31</v>
      </c>
      <c r="R748">
        <v>0</v>
      </c>
      <c r="S748">
        <v>0</v>
      </c>
      <c r="T748">
        <v>0</v>
      </c>
      <c r="U748">
        <v>0</v>
      </c>
      <c r="V748">
        <v>120</v>
      </c>
      <c r="W748">
        <v>0</v>
      </c>
      <c r="X748">
        <v>0</v>
      </c>
      <c r="Y748">
        <v>0</v>
      </c>
      <c r="Z748" s="20">
        <v>0</v>
      </c>
      <c r="AA748" s="19">
        <f>IFERROR(PROPERTIES[[#This Row],[TE_STARTING_KN]]/(PROPERTIES[[#This Row],[WEIGHT]]*9.81),0)</f>
        <v>0</v>
      </c>
      <c r="AB748" s="19">
        <v>0.3</v>
      </c>
      <c r="AC748" s="16">
        <f>ROUND(IF(IFERROR(PROPERTIES[[#This Row],[TE_COEFFICIENT_CALC]],0)=0,PROPERTIES[[#This Row],[TE_COEFFICIENT_MANUAL]],PROPERTIES[[#This Row],[TE_COEFFICIENT_CALC]]),3)</f>
        <v>0.3</v>
      </c>
      <c r="AD748" s="8" cm="1">
        <f t="array" ref="AD7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8" s="26">
        <v>0</v>
      </c>
      <c r="AF748" s="6">
        <v>0</v>
      </c>
      <c r="AG748" t="s">
        <v>1945</v>
      </c>
      <c r="AH748" t="s">
        <v>229</v>
      </c>
      <c r="AI748" t="s">
        <v>229</v>
      </c>
      <c r="AJ748" s="2" t="s">
        <v>229</v>
      </c>
      <c r="AK748" s="2" t="s">
        <v>244</v>
      </c>
      <c r="AL74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8" s="2" t="str">
        <f>SUBSTITUTE(SUBSTITUTE(PROPERTIES[[#This Row],[PURCHASECOST_VALUE]], "PURCHASECOST_", ""), "_VALUE", "")</f>
        <v>COACH</v>
      </c>
      <c r="AO748" s="44" t="b">
        <v>0</v>
      </c>
      <c r="AP748" s="48" t="b">
        <v>0</v>
      </c>
      <c r="AQ748" s="48" t="b">
        <v>0</v>
      </c>
      <c r="AR748" s="48">
        <v>0</v>
      </c>
      <c r="AS748" s="48" t="b">
        <v>0</v>
      </c>
      <c r="AT748" s="7" t="b">
        <v>0</v>
      </c>
      <c r="AU748" s="40" t="str" cm="1">
        <f t="array" ref="AU748">_xlfn.XLOOKUP(PROPERTIES[[#This Row],[VEHIDCODE]],GRAPHICS_PROPERTIES[VEHIDCODE],GRAPHICS_PROPERTIES[TEMPLATE_ID]&amp;GRAPHICS_PROPERTIES[TEMPLATE_AMENDMENT_CODE])</f>
        <v>TPL_04A</v>
      </c>
    </row>
    <row r="749" spans="1:47" x14ac:dyDescent="0.35">
      <c r="A749" s="2" t="s">
        <v>113</v>
      </c>
      <c r="B749">
        <v>1950</v>
      </c>
      <c r="D749" cm="1">
        <f t="array" ref="D7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9" s="40" t="str">
        <f>_xlfn.XLOOKUP(PROPERTIES[[#This Row],[VEHIDCODE]],CONTROL[VEHIDCODE],CONTROL[ENGLISH])</f>
        <v>Mk1 Mail Coach</v>
      </c>
      <c r="G749" s="40" t="str">
        <f>_xlfn.XLOOKUP(PROPERTIES[[#This Row],[COUNTRY]],COUNTRIES[COUNTRY_DESCRIPTION],COUNTRIES[COUNTRY_LABEL],"")</f>
        <v/>
      </c>
      <c r="H749" t="str" cm="1">
        <f t="array" ref="H7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9" t="s">
        <v>36</v>
      </c>
      <c r="J749">
        <v>80</v>
      </c>
      <c r="K749">
        <v>7</v>
      </c>
      <c r="L749">
        <v>0</v>
      </c>
      <c r="M749" t="str" cm="1">
        <f t="array" ref="M7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49">
        <f>_xlfn.XLOOKUP("LOADINGSPEEDDEF_"&amp;PROPERTIES[[#This Row],[LOADINGSPEED]],LOADINGSPEEDDEF[TYPE],LOADINGSPEEDDEF[SPEED])</f>
        <v>15</v>
      </c>
      <c r="O749" cm="1">
        <f t="array" ref="O7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9">
        <f>IF(ISNUMBER(SEARCH("passenger",PROPERTIES[[#This Row],[CARGODEF]])),1,0)</f>
        <v>0</v>
      </c>
      <c r="Q749" s="23">
        <v>34</v>
      </c>
      <c r="R749">
        <v>0</v>
      </c>
      <c r="S749">
        <v>0</v>
      </c>
      <c r="T749">
        <v>0</v>
      </c>
      <c r="U749">
        <v>0</v>
      </c>
      <c r="V749">
        <v>145</v>
      </c>
      <c r="W749">
        <v>0</v>
      </c>
      <c r="X749">
        <v>0</v>
      </c>
      <c r="Y749">
        <v>0</v>
      </c>
      <c r="Z749" s="20">
        <v>0</v>
      </c>
      <c r="AA749" s="19">
        <f>IFERROR(PROPERTIES[[#This Row],[TE_STARTING_KN]]/(PROPERTIES[[#This Row],[WEIGHT]]*9.81),0)</f>
        <v>0</v>
      </c>
      <c r="AB749" s="19">
        <v>0.3</v>
      </c>
      <c r="AC749" s="16">
        <f>ROUND(IF(IFERROR(PROPERTIES[[#This Row],[TE_COEFFICIENT_CALC]],0)=0,PROPERTIES[[#This Row],[TE_COEFFICIENT_MANUAL]],PROPERTIES[[#This Row],[TE_COEFFICIENT_CALC]]),3)</f>
        <v>0.3</v>
      </c>
      <c r="AD749" s="8" cm="1">
        <f t="array" ref="AD7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9" s="26">
        <v>0</v>
      </c>
      <c r="AF749" s="6">
        <v>0</v>
      </c>
      <c r="AG749" t="s">
        <v>1945</v>
      </c>
      <c r="AH749" t="s">
        <v>229</v>
      </c>
      <c r="AI749" t="s">
        <v>229</v>
      </c>
      <c r="AJ749" s="2" t="s">
        <v>229</v>
      </c>
      <c r="AK749" s="2" t="s">
        <v>244</v>
      </c>
      <c r="AL74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9" s="2" t="str">
        <f>SUBSTITUTE(SUBSTITUTE(PROPERTIES[[#This Row],[PURCHASECOST_VALUE]], "PURCHASECOST_", ""), "_VALUE", "")</f>
        <v>COACH</v>
      </c>
      <c r="AO749" s="44" t="b">
        <v>0</v>
      </c>
      <c r="AP749" s="48" t="b">
        <v>0</v>
      </c>
      <c r="AQ749" s="48" t="b">
        <v>0</v>
      </c>
      <c r="AR749" s="48">
        <v>0</v>
      </c>
      <c r="AS749" s="48" t="b">
        <v>0</v>
      </c>
      <c r="AT749" s="7" t="b">
        <v>0</v>
      </c>
      <c r="AU749" s="40" t="str" cm="1">
        <f t="array" ref="AU749">_xlfn.XLOOKUP(PROPERTIES[[#This Row],[VEHIDCODE]],GRAPHICS_PROPERTIES[VEHIDCODE],GRAPHICS_PROPERTIES[TEMPLATE_ID]&amp;GRAPHICS_PROPERTIES[TEMPLATE_AMENDMENT_CODE])</f>
        <v>TPL_04A</v>
      </c>
    </row>
    <row r="750" spans="1:47" x14ac:dyDescent="0.35">
      <c r="A750" s="2" t="s">
        <v>114</v>
      </c>
      <c r="B750">
        <v>1950</v>
      </c>
      <c r="D750" cm="1">
        <f t="array" ref="D7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0" s="40" t="str">
        <f>_xlfn.XLOOKUP(PROPERTIES[[#This Row],[VEHIDCODE]],CONTROL[VEHIDCODE],CONTROL[ENGLISH])</f>
        <v>UIC-X Intercity Coach</v>
      </c>
      <c r="G750" s="40" t="str">
        <f>_xlfn.XLOOKUP(PROPERTIES[[#This Row],[COUNTRY]],COUNTRIES[COUNTRY_DESCRIPTION],COUNTRIES[COUNTRY_LABEL],"")</f>
        <v/>
      </c>
      <c r="H750" t="str" cm="1">
        <f t="array" ref="H7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0" t="s">
        <v>22</v>
      </c>
      <c r="J750">
        <v>72</v>
      </c>
      <c r="K750">
        <v>8</v>
      </c>
      <c r="L750">
        <v>0</v>
      </c>
      <c r="M750" t="str" cm="1">
        <f t="array" ref="M7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0">
        <f>_xlfn.XLOOKUP("LOADINGSPEEDDEF_"&amp;PROPERTIES[[#This Row],[LOADINGSPEED]],LOADINGSPEEDDEF[TYPE],LOADINGSPEEDDEF[SPEED])</f>
        <v>60</v>
      </c>
      <c r="O750" cm="1">
        <f t="array" ref="O7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0">
        <f>IF(ISNUMBER(SEARCH("passenger",PROPERTIES[[#This Row],[CARGODEF]])),1,0)</f>
        <v>1</v>
      </c>
      <c r="Q750" s="23">
        <v>42</v>
      </c>
      <c r="R750">
        <v>0</v>
      </c>
      <c r="S750">
        <v>0</v>
      </c>
      <c r="T750">
        <v>0</v>
      </c>
      <c r="U750">
        <v>0</v>
      </c>
      <c r="V750">
        <v>160</v>
      </c>
      <c r="W750">
        <v>0</v>
      </c>
      <c r="X750">
        <v>0</v>
      </c>
      <c r="Y750">
        <v>0</v>
      </c>
      <c r="Z750" s="20">
        <v>0</v>
      </c>
      <c r="AA750" s="19">
        <f>IFERROR(PROPERTIES[[#This Row],[TE_STARTING_KN]]/(PROPERTIES[[#This Row],[WEIGHT]]*9.81),0)</f>
        <v>0</v>
      </c>
      <c r="AB750" s="19">
        <v>0.3</v>
      </c>
      <c r="AC750" s="16">
        <f>ROUND(IF(IFERROR(PROPERTIES[[#This Row],[TE_COEFFICIENT_CALC]],0)=0,PROPERTIES[[#This Row],[TE_COEFFICIENT_MANUAL]],PROPERTIES[[#This Row],[TE_COEFFICIENT_CALC]]),3)</f>
        <v>0.3</v>
      </c>
      <c r="AD750" s="8" cm="1">
        <f t="array" ref="AD7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0" s="26">
        <v>0</v>
      </c>
      <c r="AF750" s="6">
        <v>0</v>
      </c>
      <c r="AG750" t="s">
        <v>1945</v>
      </c>
      <c r="AH750" t="s">
        <v>229</v>
      </c>
      <c r="AI750" t="s">
        <v>229</v>
      </c>
      <c r="AJ750" s="2" t="s">
        <v>229</v>
      </c>
      <c r="AK750" s="2" t="s">
        <v>244</v>
      </c>
      <c r="AL75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0" s="2" t="str">
        <f>SUBSTITUTE(SUBSTITUTE(PROPERTIES[[#This Row],[PURCHASECOST_VALUE]], "PURCHASECOST_", ""), "_VALUE", "")</f>
        <v>COACH</v>
      </c>
      <c r="AO750" s="44" t="b">
        <v>0</v>
      </c>
      <c r="AP750" s="48" t="b">
        <v>0</v>
      </c>
      <c r="AQ750" s="48" t="b">
        <v>0</v>
      </c>
      <c r="AR750" s="48">
        <v>0</v>
      </c>
      <c r="AS750" s="48" t="b">
        <v>0</v>
      </c>
      <c r="AT750" s="7" t="b">
        <v>0</v>
      </c>
      <c r="AU750" s="40" t="str" cm="1">
        <f t="array" ref="AU750">_xlfn.XLOOKUP(PROPERTIES[[#This Row],[VEHIDCODE]],GRAPHICS_PROPERTIES[VEHIDCODE],GRAPHICS_PROPERTIES[TEMPLATE_ID]&amp;GRAPHICS_PROPERTIES[TEMPLATE_AMENDMENT_CODE])</f>
        <v>TPL_04A</v>
      </c>
    </row>
    <row r="751" spans="1:47" x14ac:dyDescent="0.35">
      <c r="A751" s="2" t="s">
        <v>115</v>
      </c>
      <c r="B751">
        <v>1950</v>
      </c>
      <c r="D751" cm="1">
        <f t="array" ref="D7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1" s="40" t="str">
        <f>_xlfn.XLOOKUP(PROPERTIES[[#This Row],[VEHIDCODE]],CONTROL[VEHIDCODE],CONTROL[ENGLISH])</f>
        <v>TEE Intercity Coach</v>
      </c>
      <c r="G751" s="40" t="str">
        <f>_xlfn.XLOOKUP(PROPERTIES[[#This Row],[COUNTRY]],COUNTRIES[COUNTRY_DESCRIPTION],COUNTRIES[COUNTRY_LABEL],"")</f>
        <v/>
      </c>
      <c r="H751" t="str" cm="1">
        <f t="array" ref="H7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1" t="s">
        <v>22</v>
      </c>
      <c r="J751">
        <v>48</v>
      </c>
      <c r="K751">
        <v>8</v>
      </c>
      <c r="L751">
        <v>0</v>
      </c>
      <c r="M751" t="str" cm="1">
        <f t="array" ref="M7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1">
        <f>_xlfn.XLOOKUP("LOADINGSPEEDDEF_"&amp;PROPERTIES[[#This Row],[LOADINGSPEED]],LOADINGSPEEDDEF[TYPE],LOADINGSPEEDDEF[SPEED])</f>
        <v>60</v>
      </c>
      <c r="O751" cm="1">
        <f t="array" ref="O7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1">
        <f>IF(ISNUMBER(SEARCH("passenger",PROPERTIES[[#This Row],[CARGODEF]])),1,0)</f>
        <v>1</v>
      </c>
      <c r="Q751" s="23">
        <v>48</v>
      </c>
      <c r="R751">
        <v>0</v>
      </c>
      <c r="S751">
        <v>0</v>
      </c>
      <c r="T751">
        <v>0</v>
      </c>
      <c r="U751">
        <v>0</v>
      </c>
      <c r="V751">
        <v>160</v>
      </c>
      <c r="W751">
        <v>0</v>
      </c>
      <c r="X751">
        <v>0</v>
      </c>
      <c r="Y751">
        <v>0</v>
      </c>
      <c r="Z751" s="20">
        <v>0</v>
      </c>
      <c r="AA751" s="19">
        <f>IFERROR(PROPERTIES[[#This Row],[TE_STARTING_KN]]/(PROPERTIES[[#This Row],[WEIGHT]]*9.81),0)</f>
        <v>0</v>
      </c>
      <c r="AB751" s="19">
        <v>0.3</v>
      </c>
      <c r="AC751" s="16">
        <f>ROUND(IF(IFERROR(PROPERTIES[[#This Row],[TE_COEFFICIENT_CALC]],0)=0,PROPERTIES[[#This Row],[TE_COEFFICIENT_MANUAL]],PROPERTIES[[#This Row],[TE_COEFFICIENT_CALC]]),3)</f>
        <v>0.3</v>
      </c>
      <c r="AD751" s="8" cm="1">
        <f t="array" ref="AD7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1" s="26">
        <v>0</v>
      </c>
      <c r="AF751" s="6">
        <v>0</v>
      </c>
      <c r="AG751" t="s">
        <v>239</v>
      </c>
      <c r="AH751" t="s">
        <v>229</v>
      </c>
      <c r="AI751" t="s">
        <v>229</v>
      </c>
      <c r="AJ751" s="2" t="s">
        <v>229</v>
      </c>
      <c r="AK751" s="2" t="s">
        <v>244</v>
      </c>
      <c r="AL75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1" s="2" t="str">
        <f>SUBSTITUTE(SUBSTITUTE(PROPERTIES[[#This Row],[PURCHASECOST_VALUE]], "PURCHASECOST_", ""), "_VALUE", "")</f>
        <v>COACH</v>
      </c>
      <c r="AO751" s="44" t="b">
        <v>0</v>
      </c>
      <c r="AP751" s="48" t="b">
        <v>0</v>
      </c>
      <c r="AQ751" s="48" t="b">
        <v>0</v>
      </c>
      <c r="AR751" s="48">
        <v>0</v>
      </c>
      <c r="AS751" s="48" t="b">
        <v>0</v>
      </c>
      <c r="AT751" s="7" t="b">
        <v>0</v>
      </c>
      <c r="AU751" s="40" t="str" cm="1">
        <f t="array" ref="AU751">_xlfn.XLOOKUP(PROPERTIES[[#This Row],[VEHIDCODE]],GRAPHICS_PROPERTIES[VEHIDCODE],GRAPHICS_PROPERTIES[TEMPLATE_ID]&amp;GRAPHICS_PROPERTIES[TEMPLATE_AMENDMENT_CODE])</f>
        <v>TPL_04A</v>
      </c>
    </row>
    <row r="752" spans="1:47" x14ac:dyDescent="0.35">
      <c r="A752" s="2" t="s">
        <v>116</v>
      </c>
      <c r="B752">
        <v>1950</v>
      </c>
      <c r="D752" cm="1">
        <f t="array" ref="D7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2" s="40" t="str">
        <f>_xlfn.XLOOKUP(PROPERTIES[[#This Row],[VEHIDCODE]],CONTROL[VEHIDCODE],CONTROL[ENGLISH])</f>
        <v>UIC-X Regional Coach</v>
      </c>
      <c r="G752" s="40" t="str">
        <f>_xlfn.XLOOKUP(PROPERTIES[[#This Row],[COUNTRY]],COUNTRIES[COUNTRY_DESCRIPTION],COUNTRIES[COUNTRY_LABEL],"")</f>
        <v/>
      </c>
      <c r="H752" t="str" cm="1">
        <f t="array" ref="H7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2" t="s">
        <v>22</v>
      </c>
      <c r="J752">
        <v>175</v>
      </c>
      <c r="K752">
        <v>8</v>
      </c>
      <c r="L752">
        <v>0</v>
      </c>
      <c r="M752" t="str" cm="1">
        <f t="array" ref="M7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2">
        <f>_xlfn.XLOOKUP("LOADINGSPEEDDEF_"&amp;PROPERTIES[[#This Row],[LOADINGSPEED]],LOADINGSPEEDDEF[TYPE],LOADINGSPEEDDEF[SPEED])</f>
        <v>60</v>
      </c>
      <c r="O752" cm="1">
        <f t="array" ref="O7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2">
        <f>IF(ISNUMBER(SEARCH("passenger",PROPERTIES[[#This Row],[CARGODEF]])),1,0)</f>
        <v>1</v>
      </c>
      <c r="Q752" s="23">
        <v>35</v>
      </c>
      <c r="R752">
        <v>0</v>
      </c>
      <c r="S752">
        <v>0</v>
      </c>
      <c r="T752">
        <v>0</v>
      </c>
      <c r="U752">
        <v>0</v>
      </c>
      <c r="V752">
        <v>140</v>
      </c>
      <c r="W752">
        <v>0</v>
      </c>
      <c r="X752">
        <v>0</v>
      </c>
      <c r="Y752">
        <v>0</v>
      </c>
      <c r="Z752" s="20">
        <v>0</v>
      </c>
      <c r="AA752" s="19">
        <f>IFERROR(PROPERTIES[[#This Row],[TE_STARTING_KN]]/(PROPERTIES[[#This Row],[WEIGHT]]*9.81),0)</f>
        <v>0</v>
      </c>
      <c r="AB752" s="19">
        <v>0.3</v>
      </c>
      <c r="AC752" s="16">
        <f>ROUND(IF(IFERROR(PROPERTIES[[#This Row],[TE_COEFFICIENT_CALC]],0)=0,PROPERTIES[[#This Row],[TE_COEFFICIENT_MANUAL]],PROPERTIES[[#This Row],[TE_COEFFICIENT_CALC]]),3)</f>
        <v>0.3</v>
      </c>
      <c r="AD752" s="8" cm="1">
        <f t="array" ref="AD7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2" s="26">
        <v>0</v>
      </c>
      <c r="AF752" s="6">
        <v>0</v>
      </c>
      <c r="AG752" t="s">
        <v>1945</v>
      </c>
      <c r="AH752" t="s">
        <v>229</v>
      </c>
      <c r="AI752" t="s">
        <v>229</v>
      </c>
      <c r="AJ752" s="2" t="s">
        <v>229</v>
      </c>
      <c r="AK752" s="2" t="s">
        <v>244</v>
      </c>
      <c r="AL75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2" s="2" t="str">
        <f>SUBSTITUTE(SUBSTITUTE(PROPERTIES[[#This Row],[PURCHASECOST_VALUE]], "PURCHASECOST_", ""), "_VALUE", "")</f>
        <v>COACH</v>
      </c>
      <c r="AO752" s="44" t="b">
        <v>0</v>
      </c>
      <c r="AP752" s="48" t="b">
        <v>1</v>
      </c>
      <c r="AQ752" s="48" t="b">
        <v>0</v>
      </c>
      <c r="AR752" s="48">
        <v>0</v>
      </c>
      <c r="AS752" s="48" t="b">
        <v>0</v>
      </c>
      <c r="AT752" s="7" t="b">
        <v>0</v>
      </c>
      <c r="AU752" s="40" t="str" cm="1">
        <f t="array" ref="AU752">_xlfn.XLOOKUP(PROPERTIES[[#This Row],[VEHIDCODE]],GRAPHICS_PROPERTIES[VEHIDCODE],GRAPHICS_PROPERTIES[TEMPLATE_ID]&amp;GRAPHICS_PROPERTIES[TEMPLATE_AMENDMENT_CODE])</f>
        <v>TPL_04A</v>
      </c>
    </row>
    <row r="753" spans="1:47" x14ac:dyDescent="0.35">
      <c r="A753" s="2" t="s">
        <v>117</v>
      </c>
      <c r="B753">
        <v>1950</v>
      </c>
      <c r="D753" cm="1">
        <f t="array" ref="D7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3" s="40" t="str">
        <f>_xlfn.XLOOKUP(PROPERTIES[[#This Row],[VEHIDCODE]],CONTROL[VEHIDCODE],CONTROL[ENGLISH])</f>
        <v>'Umbauwagen' Local Coach</v>
      </c>
      <c r="G753" s="40" t="str">
        <f>_xlfn.XLOOKUP(PROPERTIES[[#This Row],[COUNTRY]],COUNTRIES[COUNTRY_DESCRIPTION],COUNTRIES[COUNTRY_LABEL],"")</f>
        <v/>
      </c>
      <c r="H753" t="str" cm="1">
        <f t="array" ref="H7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3" t="s">
        <v>22</v>
      </c>
      <c r="J753">
        <v>72</v>
      </c>
      <c r="K753">
        <v>7</v>
      </c>
      <c r="L753">
        <v>0</v>
      </c>
      <c r="M753" t="str" cm="1">
        <f t="array" ref="M7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3">
        <f>_xlfn.XLOOKUP("LOADINGSPEEDDEF_"&amp;PROPERTIES[[#This Row],[LOADINGSPEED]],LOADINGSPEEDDEF[TYPE],LOADINGSPEEDDEF[SPEED])</f>
        <v>60</v>
      </c>
      <c r="O753" cm="1">
        <f t="array" ref="O7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3">
        <f>IF(ISNUMBER(SEARCH("passenger",PROPERTIES[[#This Row],[CARGODEF]])),1,0)</f>
        <v>1</v>
      </c>
      <c r="Q753" s="23">
        <v>30</v>
      </c>
      <c r="R753">
        <v>0</v>
      </c>
      <c r="S753">
        <v>0</v>
      </c>
      <c r="T753">
        <v>0</v>
      </c>
      <c r="U753">
        <v>0</v>
      </c>
      <c r="V753">
        <v>100</v>
      </c>
      <c r="W753">
        <v>0</v>
      </c>
      <c r="X753">
        <v>0</v>
      </c>
      <c r="Y753">
        <v>0</v>
      </c>
      <c r="Z753" s="20">
        <v>0</v>
      </c>
      <c r="AA753" s="19">
        <f>IFERROR(PROPERTIES[[#This Row],[TE_STARTING_KN]]/(PROPERTIES[[#This Row],[WEIGHT]]*9.81),0)</f>
        <v>0</v>
      </c>
      <c r="AB753" s="19">
        <v>0.3</v>
      </c>
      <c r="AC753" s="16">
        <f>ROUND(IF(IFERROR(PROPERTIES[[#This Row],[TE_COEFFICIENT_CALC]],0)=0,PROPERTIES[[#This Row],[TE_COEFFICIENT_MANUAL]],PROPERTIES[[#This Row],[TE_COEFFICIENT_CALC]]),3)</f>
        <v>0.3</v>
      </c>
      <c r="AD753" s="8" cm="1">
        <f t="array" ref="AD7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3" s="26">
        <v>0</v>
      </c>
      <c r="AF753" s="6">
        <v>0</v>
      </c>
      <c r="AG753" t="s">
        <v>1945</v>
      </c>
      <c r="AH753" t="s">
        <v>229</v>
      </c>
      <c r="AI753" t="s">
        <v>229</v>
      </c>
      <c r="AJ753" s="2" t="s">
        <v>229</v>
      </c>
      <c r="AK753" s="2" t="s">
        <v>244</v>
      </c>
      <c r="AL75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3" s="2" t="str">
        <f>SUBSTITUTE(SUBSTITUTE(PROPERTIES[[#This Row],[PURCHASECOST_VALUE]], "PURCHASECOST_", ""), "_VALUE", "")</f>
        <v>COACH</v>
      </c>
      <c r="AO753" s="44" t="b">
        <v>0</v>
      </c>
      <c r="AP753" s="48" t="b">
        <v>0</v>
      </c>
      <c r="AQ753" s="48" t="b">
        <v>0</v>
      </c>
      <c r="AR753" s="48">
        <v>0</v>
      </c>
      <c r="AS753" s="48" t="b">
        <v>0</v>
      </c>
      <c r="AT753" s="7" t="b">
        <v>0</v>
      </c>
      <c r="AU753" s="40" t="str" cm="1">
        <f t="array" ref="AU753">_xlfn.XLOOKUP(PROPERTIES[[#This Row],[VEHIDCODE]],GRAPHICS_PROPERTIES[VEHIDCODE],GRAPHICS_PROPERTIES[TEMPLATE_ID]&amp;GRAPHICS_PROPERTIES[TEMPLATE_AMENDMENT_CODE])</f>
        <v>TPL_04A</v>
      </c>
    </row>
    <row r="754" spans="1:47" x14ac:dyDescent="0.35">
      <c r="A754" s="2" t="s">
        <v>3601</v>
      </c>
      <c r="B754">
        <v>1974</v>
      </c>
      <c r="D754" cm="1">
        <f t="array" ref="D7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4" s="40" t="str">
        <f>_xlfn.XLOOKUP(PROPERTIES[[#This Row],[VEHIDCODE]],CONTROL[VEHIDCODE],CONTROL[ENGLISH])</f>
        <v>Goerlitz Double Decker Coach</v>
      </c>
      <c r="G754" s="40" t="str">
        <f>_xlfn.XLOOKUP(PROPERTIES[[#This Row],[COUNTRY]],COUNTRIES[COUNTRY_DESCRIPTION],COUNTRIES[COUNTRY_LABEL],"")</f>
        <v/>
      </c>
      <c r="H754" t="str" cm="1">
        <f t="array" ref="H7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4" t="s">
        <v>22</v>
      </c>
      <c r="J754">
        <v>340</v>
      </c>
      <c r="K754">
        <v>8</v>
      </c>
      <c r="L754">
        <v>0</v>
      </c>
      <c r="M754" t="str" cm="1">
        <f t="array" ref="M7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4">
        <f>_xlfn.XLOOKUP("LOADINGSPEEDDEF_"&amp;PROPERTIES[[#This Row],[LOADINGSPEED]],LOADINGSPEEDDEF[TYPE],LOADINGSPEEDDEF[SPEED])</f>
        <v>60</v>
      </c>
      <c r="O754" cm="1">
        <f t="array" ref="O7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4">
        <f>IF(ISNUMBER(SEARCH("passenger",PROPERTIES[[#This Row],[CARGODEF]])),1,0)</f>
        <v>1</v>
      </c>
      <c r="Q754" s="23">
        <f>85/2</f>
        <v>42.5</v>
      </c>
      <c r="R754">
        <v>0</v>
      </c>
      <c r="S754">
        <v>0</v>
      </c>
      <c r="T754">
        <v>0</v>
      </c>
      <c r="U754">
        <v>0</v>
      </c>
      <c r="V754">
        <v>160</v>
      </c>
      <c r="W754">
        <v>0</v>
      </c>
      <c r="X754">
        <v>0</v>
      </c>
      <c r="Y754">
        <v>0</v>
      </c>
      <c r="Z754" s="20">
        <v>0</v>
      </c>
      <c r="AA754" s="19">
        <f>IFERROR(PROPERTIES[[#This Row],[TE_STARTING_KN]]/(PROPERTIES[[#This Row],[WEIGHT]]*9.81),0)</f>
        <v>0</v>
      </c>
      <c r="AB754" s="19">
        <v>0.3</v>
      </c>
      <c r="AC754" s="16">
        <f>ROUND(IF(IFERROR(PROPERTIES[[#This Row],[TE_COEFFICIENT_CALC]],0)=0,PROPERTIES[[#This Row],[TE_COEFFICIENT_MANUAL]],PROPERTIES[[#This Row],[TE_COEFFICIENT_CALC]]),3)</f>
        <v>0.3</v>
      </c>
      <c r="AD754" s="8" cm="1">
        <f t="array" ref="AD7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4" s="26">
        <v>0</v>
      </c>
      <c r="AF754" s="6">
        <v>0</v>
      </c>
      <c r="AG754" t="s">
        <v>1945</v>
      </c>
      <c r="AH754" t="s">
        <v>229</v>
      </c>
      <c r="AI754" t="s">
        <v>229</v>
      </c>
      <c r="AJ754" s="2" t="s">
        <v>229</v>
      </c>
      <c r="AK754" s="2" t="s">
        <v>244</v>
      </c>
      <c r="AL75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4" s="2" t="str">
        <f>SUBSTITUTE(SUBSTITUTE(PROPERTIES[[#This Row],[PURCHASECOST_VALUE]], "PURCHASECOST_", ""), "_VALUE", "")</f>
        <v>COACH</v>
      </c>
      <c r="AO754" s="44" t="b">
        <v>0</v>
      </c>
      <c r="AP754" s="48" t="b">
        <v>1</v>
      </c>
      <c r="AQ754" s="48" t="b">
        <v>0</v>
      </c>
      <c r="AR754" s="48">
        <v>0</v>
      </c>
      <c r="AS754" s="48" t="b">
        <v>0</v>
      </c>
      <c r="AT754" s="7" t="b">
        <v>0</v>
      </c>
      <c r="AU754" s="40" t="str" cm="1">
        <f t="array" ref="AU754">_xlfn.XLOOKUP(PROPERTIES[[#This Row],[VEHIDCODE]],GRAPHICS_PROPERTIES[VEHIDCODE],GRAPHICS_PROPERTIES[TEMPLATE_ID]&amp;GRAPHICS_PROPERTIES[TEMPLATE_AMENDMENT_CODE])</f>
        <v>TPL_04A</v>
      </c>
    </row>
    <row r="755" spans="1:47" x14ac:dyDescent="0.35">
      <c r="A755" s="2" t="s">
        <v>118</v>
      </c>
      <c r="B755">
        <v>1950</v>
      </c>
      <c r="D755" cm="1">
        <f t="array" ref="D7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5" s="40" t="str">
        <f>_xlfn.XLOOKUP(PROPERTIES[[#This Row],[VEHIDCODE]],CONTROL[VEHIDCODE],CONTROL[ENGLISH])</f>
        <v>UIC-X Mail Coach</v>
      </c>
      <c r="G755" s="40" t="str">
        <f>_xlfn.XLOOKUP(PROPERTIES[[#This Row],[COUNTRY]],COUNTRIES[COUNTRY_DESCRIPTION],COUNTRIES[COUNTRY_LABEL],"")</f>
        <v/>
      </c>
      <c r="H755" t="str" cm="1">
        <f t="array" ref="H7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5" t="s">
        <v>36</v>
      </c>
      <c r="J755">
        <v>120</v>
      </c>
      <c r="K755">
        <v>8</v>
      </c>
      <c r="L755">
        <v>0</v>
      </c>
      <c r="M755" t="str" cm="1">
        <f t="array" ref="M7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55">
        <f>_xlfn.XLOOKUP("LOADINGSPEEDDEF_"&amp;PROPERTIES[[#This Row],[LOADINGSPEED]],LOADINGSPEEDDEF[TYPE],LOADINGSPEEDDEF[SPEED])</f>
        <v>15</v>
      </c>
      <c r="O755" cm="1">
        <f t="array" ref="O7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5">
        <f>IF(ISNUMBER(SEARCH("passenger",PROPERTIES[[#This Row],[CARGODEF]])),1,0)</f>
        <v>0</v>
      </c>
      <c r="Q755" s="23">
        <v>40</v>
      </c>
      <c r="R755">
        <v>0</v>
      </c>
      <c r="S755">
        <v>0</v>
      </c>
      <c r="T755">
        <v>0</v>
      </c>
      <c r="U755">
        <v>0</v>
      </c>
      <c r="V755">
        <v>160</v>
      </c>
      <c r="W755">
        <v>0</v>
      </c>
      <c r="X755">
        <v>0</v>
      </c>
      <c r="Y755">
        <v>0</v>
      </c>
      <c r="Z755" s="20">
        <v>0</v>
      </c>
      <c r="AA755" s="19">
        <f>IFERROR(PROPERTIES[[#This Row],[TE_STARTING_KN]]/(PROPERTIES[[#This Row],[WEIGHT]]*9.81),0)</f>
        <v>0</v>
      </c>
      <c r="AB755" s="19">
        <v>0.3</v>
      </c>
      <c r="AC755" s="16">
        <f>ROUND(IF(IFERROR(PROPERTIES[[#This Row],[TE_COEFFICIENT_CALC]],0)=0,PROPERTIES[[#This Row],[TE_COEFFICIENT_MANUAL]],PROPERTIES[[#This Row],[TE_COEFFICIENT_CALC]]),3)</f>
        <v>0.3</v>
      </c>
      <c r="AD755" s="8" cm="1">
        <f t="array" ref="AD7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5" s="26">
        <v>0</v>
      </c>
      <c r="AF755" s="6">
        <v>0</v>
      </c>
      <c r="AG755" t="s">
        <v>1945</v>
      </c>
      <c r="AH755" t="s">
        <v>229</v>
      </c>
      <c r="AI755" t="s">
        <v>229</v>
      </c>
      <c r="AJ755" s="2" t="s">
        <v>229</v>
      </c>
      <c r="AK755" s="2" t="s">
        <v>244</v>
      </c>
      <c r="AL75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5" s="2" t="str">
        <f>SUBSTITUTE(SUBSTITUTE(PROPERTIES[[#This Row],[PURCHASECOST_VALUE]], "PURCHASECOST_", ""), "_VALUE", "")</f>
        <v>COACH</v>
      </c>
      <c r="AO755" s="44" t="b">
        <v>0</v>
      </c>
      <c r="AP755" s="48" t="b">
        <v>0</v>
      </c>
      <c r="AQ755" s="48" t="b">
        <v>0</v>
      </c>
      <c r="AR755" s="48">
        <v>0</v>
      </c>
      <c r="AS755" s="48" t="b">
        <v>0</v>
      </c>
      <c r="AT755" s="7" t="b">
        <v>0</v>
      </c>
      <c r="AU755" s="40" t="str" cm="1">
        <f t="array" ref="AU755">_xlfn.XLOOKUP(PROPERTIES[[#This Row],[VEHIDCODE]],GRAPHICS_PROPERTIES[VEHIDCODE],GRAPHICS_PROPERTIES[TEMPLATE_ID]&amp;GRAPHICS_PROPERTIES[TEMPLATE_AMENDMENT_CODE])</f>
        <v>TPL_04A</v>
      </c>
    </row>
    <row r="756" spans="1:47" x14ac:dyDescent="0.35">
      <c r="A756" s="2" t="s">
        <v>119</v>
      </c>
      <c r="B756">
        <v>1950</v>
      </c>
      <c r="D756" cm="1">
        <f t="array" ref="D7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6" s="40" t="str">
        <f>_xlfn.XLOOKUP(PROPERTIES[[#This Row],[VEHIDCODE]],CONTROL[VEHIDCODE],CONTROL[ENGLISH])</f>
        <v>Indian Intercity Coach</v>
      </c>
      <c r="G756" s="40" t="str">
        <f>_xlfn.XLOOKUP(PROPERTIES[[#This Row],[COUNTRY]],COUNTRIES[COUNTRY_DESCRIPTION],COUNTRIES[COUNTRY_LABEL],"")</f>
        <v/>
      </c>
      <c r="H756" t="str" cm="1">
        <f t="array" ref="H7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6" t="s">
        <v>22</v>
      </c>
      <c r="J756">
        <v>108</v>
      </c>
      <c r="K756">
        <v>8</v>
      </c>
      <c r="L756">
        <v>0</v>
      </c>
      <c r="M756" t="str" cm="1">
        <f t="array" ref="M7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6">
        <f>_xlfn.XLOOKUP("LOADINGSPEEDDEF_"&amp;PROPERTIES[[#This Row],[LOADINGSPEED]],LOADINGSPEEDDEF[TYPE],LOADINGSPEEDDEF[SPEED])</f>
        <v>60</v>
      </c>
      <c r="O756" cm="1">
        <f t="array" ref="O7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6">
        <f>IF(ISNUMBER(SEARCH("passenger",PROPERTIES[[#This Row],[CARGODEF]])),1,0)</f>
        <v>1</v>
      </c>
      <c r="Q756" s="23">
        <v>42</v>
      </c>
      <c r="R756">
        <v>0</v>
      </c>
      <c r="S756">
        <v>0</v>
      </c>
      <c r="T756">
        <v>0</v>
      </c>
      <c r="U756">
        <v>0</v>
      </c>
      <c r="V756">
        <v>130</v>
      </c>
      <c r="W756">
        <v>0</v>
      </c>
      <c r="X756">
        <v>0</v>
      </c>
      <c r="Y756">
        <v>0</v>
      </c>
      <c r="Z756" s="20">
        <v>0</v>
      </c>
      <c r="AA756" s="19">
        <f>IFERROR(PROPERTIES[[#This Row],[TE_STARTING_KN]]/(PROPERTIES[[#This Row],[WEIGHT]]*9.81),0)</f>
        <v>0</v>
      </c>
      <c r="AB756" s="19">
        <v>0.3</v>
      </c>
      <c r="AC756" s="16">
        <f>ROUND(IF(IFERROR(PROPERTIES[[#This Row],[TE_COEFFICIENT_CALC]],0)=0,PROPERTIES[[#This Row],[TE_COEFFICIENT_MANUAL]],PROPERTIES[[#This Row],[TE_COEFFICIENT_CALC]]),3)</f>
        <v>0.3</v>
      </c>
      <c r="AD756" s="8" cm="1">
        <f t="array" ref="AD7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6" s="26">
        <v>0</v>
      </c>
      <c r="AF756" s="6">
        <v>0</v>
      </c>
      <c r="AG756" t="s">
        <v>238</v>
      </c>
      <c r="AH756" t="s">
        <v>229</v>
      </c>
      <c r="AI756" t="s">
        <v>229</v>
      </c>
      <c r="AJ756" s="2" t="s">
        <v>229</v>
      </c>
      <c r="AK756" s="2" t="s">
        <v>244</v>
      </c>
      <c r="AL75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6" s="2" t="str">
        <f>SUBSTITUTE(SUBSTITUTE(PROPERTIES[[#This Row],[PURCHASECOST_VALUE]], "PURCHASECOST_", ""), "_VALUE", "")</f>
        <v>COACH</v>
      </c>
      <c r="AO756" s="44" t="b">
        <v>0</v>
      </c>
      <c r="AP756" s="48" t="b">
        <v>0</v>
      </c>
      <c r="AQ756" s="48" t="b">
        <v>0</v>
      </c>
      <c r="AR756" s="48">
        <v>0</v>
      </c>
      <c r="AS756" s="48" t="b">
        <v>0</v>
      </c>
      <c r="AT756" s="7" t="b">
        <v>0</v>
      </c>
      <c r="AU756" s="40" t="str" cm="1">
        <f t="array" ref="AU756">_xlfn.XLOOKUP(PROPERTIES[[#This Row],[VEHIDCODE]],GRAPHICS_PROPERTIES[VEHIDCODE],GRAPHICS_PROPERTIES[TEMPLATE_ID]&amp;GRAPHICS_PROPERTIES[TEMPLATE_AMENDMENT_CODE])</f>
        <v>TPL_04A</v>
      </c>
    </row>
    <row r="757" spans="1:47" x14ac:dyDescent="0.35">
      <c r="A757" s="2" t="s">
        <v>120</v>
      </c>
      <c r="B757">
        <v>1950</v>
      </c>
      <c r="D757" cm="1">
        <f t="array" ref="D7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7" s="40" t="str">
        <f>_xlfn.XLOOKUP(PROPERTIES[[#This Row],[VEHIDCODE]],CONTROL[VEHIDCODE],CONTROL[ENGLISH])</f>
        <v>Indian Local Coach</v>
      </c>
      <c r="G757" s="40" t="str">
        <f>_xlfn.XLOOKUP(PROPERTIES[[#This Row],[COUNTRY]],COUNTRIES[COUNTRY_DESCRIPTION],COUNTRIES[COUNTRY_LABEL],"")</f>
        <v/>
      </c>
      <c r="H757" t="str" cm="1">
        <f t="array" ref="H7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7" t="s">
        <v>22</v>
      </c>
      <c r="J757">
        <v>210</v>
      </c>
      <c r="K757">
        <v>8</v>
      </c>
      <c r="L757">
        <v>0</v>
      </c>
      <c r="M757" t="str" cm="1">
        <f t="array" ref="M7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7">
        <f>_xlfn.XLOOKUP("LOADINGSPEEDDEF_"&amp;PROPERTIES[[#This Row],[LOADINGSPEED]],LOADINGSPEEDDEF[TYPE],LOADINGSPEEDDEF[SPEED])</f>
        <v>60</v>
      </c>
      <c r="O757" cm="1">
        <f t="array" ref="O7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7">
        <f>IF(ISNUMBER(SEARCH("passenger",PROPERTIES[[#This Row],[CARGODEF]])),1,0)</f>
        <v>1</v>
      </c>
      <c r="Q757" s="23">
        <v>39</v>
      </c>
      <c r="R757">
        <v>0</v>
      </c>
      <c r="S757">
        <v>0</v>
      </c>
      <c r="T757">
        <v>0</v>
      </c>
      <c r="U757">
        <v>0</v>
      </c>
      <c r="V757">
        <v>110</v>
      </c>
      <c r="W757">
        <v>0</v>
      </c>
      <c r="X757">
        <v>0</v>
      </c>
      <c r="Y757">
        <v>0</v>
      </c>
      <c r="Z757" s="20">
        <v>0</v>
      </c>
      <c r="AA757" s="19">
        <f>IFERROR(PROPERTIES[[#This Row],[TE_STARTING_KN]]/(PROPERTIES[[#This Row],[WEIGHT]]*9.81),0)</f>
        <v>0</v>
      </c>
      <c r="AB757" s="19">
        <v>0.3</v>
      </c>
      <c r="AC757" s="16">
        <f>ROUND(IF(IFERROR(PROPERTIES[[#This Row],[TE_COEFFICIENT_CALC]],0)=0,PROPERTIES[[#This Row],[TE_COEFFICIENT_MANUAL]],PROPERTIES[[#This Row],[TE_COEFFICIENT_CALC]]),3)</f>
        <v>0.3</v>
      </c>
      <c r="AD757" s="8" cm="1">
        <f t="array" ref="AD7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7" s="26">
        <v>0</v>
      </c>
      <c r="AF757" s="6">
        <v>0</v>
      </c>
      <c r="AG757" t="s">
        <v>238</v>
      </c>
      <c r="AH757" t="s">
        <v>229</v>
      </c>
      <c r="AI757" t="s">
        <v>229</v>
      </c>
      <c r="AJ757" s="2" t="s">
        <v>229</v>
      </c>
      <c r="AK757" s="2" t="s">
        <v>244</v>
      </c>
      <c r="AL75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7" s="2" t="str">
        <f>SUBSTITUTE(SUBSTITUTE(PROPERTIES[[#This Row],[PURCHASECOST_VALUE]], "PURCHASECOST_", ""), "_VALUE", "")</f>
        <v>COACH</v>
      </c>
      <c r="AO757" s="44" t="b">
        <v>0</v>
      </c>
      <c r="AP757" s="48" t="b">
        <v>0</v>
      </c>
      <c r="AQ757" s="48" t="b">
        <v>0</v>
      </c>
      <c r="AR757" s="48">
        <v>2</v>
      </c>
      <c r="AS757" s="48" t="b">
        <v>0</v>
      </c>
      <c r="AT757" s="7" t="b">
        <v>0</v>
      </c>
      <c r="AU757" s="40" t="str" cm="1">
        <f t="array" ref="AU757">_xlfn.XLOOKUP(PROPERTIES[[#This Row],[VEHIDCODE]],GRAPHICS_PROPERTIES[VEHIDCODE],GRAPHICS_PROPERTIES[TEMPLATE_ID]&amp;GRAPHICS_PROPERTIES[TEMPLATE_AMENDMENT_CODE])</f>
        <v>TPL_04B</v>
      </c>
    </row>
    <row r="758" spans="1:47" x14ac:dyDescent="0.35">
      <c r="A758" s="2" t="s">
        <v>121</v>
      </c>
      <c r="B758">
        <v>1950</v>
      </c>
      <c r="D758" cm="1">
        <f t="array" ref="D7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8" s="40" t="str">
        <f>_xlfn.XLOOKUP(PROPERTIES[[#This Row],[VEHIDCODE]],CONTROL[VEHIDCODE],CONTROL[ENGLISH])</f>
        <v>Indian Regional Coach</v>
      </c>
      <c r="G758" s="40" t="str">
        <f>_xlfn.XLOOKUP(PROPERTIES[[#This Row],[COUNTRY]],COUNTRIES[COUNTRY_DESCRIPTION],COUNTRIES[COUNTRY_LABEL],"")</f>
        <v/>
      </c>
      <c r="H758" t="str" cm="1">
        <f t="array" ref="H7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8" t="s">
        <v>22</v>
      </c>
      <c r="J758">
        <v>140</v>
      </c>
      <c r="K758">
        <v>8</v>
      </c>
      <c r="L758">
        <v>0</v>
      </c>
      <c r="M758" t="str" cm="1">
        <f t="array" ref="M7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8">
        <f>_xlfn.XLOOKUP("LOADINGSPEEDDEF_"&amp;PROPERTIES[[#This Row],[LOADINGSPEED]],LOADINGSPEEDDEF[TYPE],LOADINGSPEEDDEF[SPEED])</f>
        <v>60</v>
      </c>
      <c r="O758" cm="1">
        <f t="array" ref="O7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8">
        <f>IF(ISNUMBER(SEARCH("passenger",PROPERTIES[[#This Row],[CARGODEF]])),1,0)</f>
        <v>1</v>
      </c>
      <c r="Q758" s="23">
        <v>37.5</v>
      </c>
      <c r="R758">
        <v>0</v>
      </c>
      <c r="S758">
        <v>0</v>
      </c>
      <c r="T758">
        <v>0</v>
      </c>
      <c r="U758">
        <v>0</v>
      </c>
      <c r="V758">
        <v>110</v>
      </c>
      <c r="W758">
        <v>0</v>
      </c>
      <c r="X758">
        <v>0</v>
      </c>
      <c r="Y758">
        <v>0</v>
      </c>
      <c r="Z758" s="20">
        <v>0</v>
      </c>
      <c r="AA758" s="19">
        <f>IFERROR(PROPERTIES[[#This Row],[TE_STARTING_KN]]/(PROPERTIES[[#This Row],[WEIGHT]]*9.81),0)</f>
        <v>0</v>
      </c>
      <c r="AB758" s="19">
        <v>0.3</v>
      </c>
      <c r="AC758" s="16">
        <f>ROUND(IF(IFERROR(PROPERTIES[[#This Row],[TE_COEFFICIENT_CALC]],0)=0,PROPERTIES[[#This Row],[TE_COEFFICIENT_MANUAL]],PROPERTIES[[#This Row],[TE_COEFFICIENT_CALC]]),3)</f>
        <v>0.3</v>
      </c>
      <c r="AD758" s="8" cm="1">
        <f t="array" ref="AD7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8" s="26">
        <v>0</v>
      </c>
      <c r="AF758" s="6">
        <v>0</v>
      </c>
      <c r="AG758" t="s">
        <v>238</v>
      </c>
      <c r="AH758" t="s">
        <v>229</v>
      </c>
      <c r="AI758" t="s">
        <v>229</v>
      </c>
      <c r="AJ758" s="2" t="s">
        <v>229</v>
      </c>
      <c r="AK758" s="2" t="s">
        <v>244</v>
      </c>
      <c r="AL75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8" s="2" t="str">
        <f>SUBSTITUTE(SUBSTITUTE(PROPERTIES[[#This Row],[PURCHASECOST_VALUE]], "PURCHASECOST_", ""), "_VALUE", "")</f>
        <v>COACH</v>
      </c>
      <c r="AO758" s="44" t="b">
        <v>0</v>
      </c>
      <c r="AP758" s="48" t="b">
        <v>0</v>
      </c>
      <c r="AQ758" s="48" t="b">
        <v>0</v>
      </c>
      <c r="AR758" s="48">
        <v>2</v>
      </c>
      <c r="AS758" s="48" t="b">
        <v>0</v>
      </c>
      <c r="AT758" s="7" t="b">
        <v>0</v>
      </c>
      <c r="AU758" s="40" t="str" cm="1">
        <f t="array" ref="AU758">_xlfn.XLOOKUP(PROPERTIES[[#This Row],[VEHIDCODE]],GRAPHICS_PROPERTIES[VEHIDCODE],GRAPHICS_PROPERTIES[TEMPLATE_ID]&amp;GRAPHICS_PROPERTIES[TEMPLATE_AMENDMENT_CODE])</f>
        <v>TPL_04B</v>
      </c>
    </row>
    <row r="759" spans="1:47" x14ac:dyDescent="0.35">
      <c r="A759" s="2" t="s">
        <v>122</v>
      </c>
      <c r="B759">
        <v>1950</v>
      </c>
      <c r="D759" cm="1">
        <f t="array" ref="D7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9" s="40" t="str">
        <f>_xlfn.XLOOKUP(PROPERTIES[[#This Row],[VEHIDCODE]],CONTROL[VEHIDCODE],CONTROL[ENGLISH])</f>
        <v>Indian Mail Coach</v>
      </c>
      <c r="G759" s="40" t="str">
        <f>_xlfn.XLOOKUP(PROPERTIES[[#This Row],[COUNTRY]],COUNTRIES[COUNTRY_DESCRIPTION],COUNTRIES[COUNTRY_LABEL],"")</f>
        <v/>
      </c>
      <c r="H759" t="str" cm="1">
        <f t="array" ref="H7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9" t="s">
        <v>36</v>
      </c>
      <c r="J759">
        <v>100</v>
      </c>
      <c r="K759">
        <v>8</v>
      </c>
      <c r="L759">
        <v>0</v>
      </c>
      <c r="M759" t="str" cm="1">
        <f t="array" ref="M7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59">
        <f>_xlfn.XLOOKUP("LOADINGSPEEDDEF_"&amp;PROPERTIES[[#This Row],[LOADINGSPEED]],LOADINGSPEEDDEF[TYPE],LOADINGSPEEDDEF[SPEED])</f>
        <v>15</v>
      </c>
      <c r="O759" cm="1">
        <f t="array" ref="O7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9">
        <f>IF(ISNUMBER(SEARCH("passenger",PROPERTIES[[#This Row],[CARGODEF]])),1,0)</f>
        <v>0</v>
      </c>
      <c r="Q759" s="23">
        <v>38</v>
      </c>
      <c r="R759">
        <v>0</v>
      </c>
      <c r="S759">
        <v>0</v>
      </c>
      <c r="T759">
        <v>0</v>
      </c>
      <c r="U759">
        <v>0</v>
      </c>
      <c r="V759">
        <v>110</v>
      </c>
      <c r="W759">
        <v>0</v>
      </c>
      <c r="X759">
        <v>0</v>
      </c>
      <c r="Y759">
        <v>0</v>
      </c>
      <c r="Z759" s="20">
        <v>0</v>
      </c>
      <c r="AA759" s="19">
        <f>IFERROR(PROPERTIES[[#This Row],[TE_STARTING_KN]]/(PROPERTIES[[#This Row],[WEIGHT]]*9.81),0)</f>
        <v>0</v>
      </c>
      <c r="AB759" s="19">
        <v>0.3</v>
      </c>
      <c r="AC759" s="16">
        <f>ROUND(IF(IFERROR(PROPERTIES[[#This Row],[TE_COEFFICIENT_CALC]],0)=0,PROPERTIES[[#This Row],[TE_COEFFICIENT_MANUAL]],PROPERTIES[[#This Row],[TE_COEFFICIENT_CALC]]),3)</f>
        <v>0.3</v>
      </c>
      <c r="AD759" s="8" cm="1">
        <f t="array" ref="AD7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9" s="26">
        <v>0</v>
      </c>
      <c r="AF759" s="6">
        <v>0</v>
      </c>
      <c r="AG759" t="s">
        <v>238</v>
      </c>
      <c r="AH759" t="s">
        <v>229</v>
      </c>
      <c r="AI759" t="s">
        <v>229</v>
      </c>
      <c r="AJ759" s="2" t="s">
        <v>229</v>
      </c>
      <c r="AK759" s="2" t="s">
        <v>244</v>
      </c>
      <c r="AL75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9" s="2" t="str">
        <f>SUBSTITUTE(SUBSTITUTE(PROPERTIES[[#This Row],[PURCHASECOST_VALUE]], "PURCHASECOST_", ""), "_VALUE", "")</f>
        <v>COACH</v>
      </c>
      <c r="AO759" s="44" t="b">
        <v>0</v>
      </c>
      <c r="AP759" s="48" t="b">
        <v>0</v>
      </c>
      <c r="AQ759" s="48" t="b">
        <v>0</v>
      </c>
      <c r="AR759" s="48">
        <v>0</v>
      </c>
      <c r="AS759" s="48" t="b">
        <v>0</v>
      </c>
      <c r="AT759" s="7" t="b">
        <v>0</v>
      </c>
      <c r="AU759" s="40" t="str" cm="1">
        <f t="array" ref="AU759">_xlfn.XLOOKUP(PROPERTIES[[#This Row],[VEHIDCODE]],GRAPHICS_PROPERTIES[VEHIDCODE],GRAPHICS_PROPERTIES[TEMPLATE_ID]&amp;GRAPHICS_PROPERTIES[TEMPLATE_AMENDMENT_CODE])</f>
        <v>TPL_04A</v>
      </c>
    </row>
    <row r="760" spans="1:47" x14ac:dyDescent="0.35">
      <c r="A760" s="2" t="s">
        <v>123</v>
      </c>
      <c r="B760">
        <v>1970</v>
      </c>
      <c r="D760" cm="1">
        <f t="array" ref="D7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0" s="40" t="str">
        <f>_xlfn.XLOOKUP(PROPERTIES[[#This Row],[VEHIDCODE]],CONTROL[VEHIDCODE],CONTROL[ENGLISH])</f>
        <v>Eurofima Coach</v>
      </c>
      <c r="G760" s="40" t="str">
        <f>_xlfn.XLOOKUP(PROPERTIES[[#This Row],[COUNTRY]],COUNTRIES[COUNTRY_DESCRIPTION],COUNTRIES[COUNTRY_LABEL],"")</f>
        <v/>
      </c>
      <c r="H760" t="str" cm="1">
        <f t="array" ref="H7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0" t="s">
        <v>22</v>
      </c>
      <c r="J760">
        <v>66</v>
      </c>
      <c r="K760">
        <v>8</v>
      </c>
      <c r="L760">
        <v>0</v>
      </c>
      <c r="M760" t="str" cm="1">
        <f t="array" ref="M7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60">
        <f>_xlfn.XLOOKUP("LOADINGSPEEDDEF_"&amp;PROPERTIES[[#This Row],[LOADINGSPEED]],LOADINGSPEEDDEF[TYPE],LOADINGSPEEDDEF[SPEED])</f>
        <v>20</v>
      </c>
      <c r="O760" cm="1">
        <f t="array" ref="O7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0">
        <f>IF(ISNUMBER(SEARCH("passenger",PROPERTIES[[#This Row],[CARGODEF]])),1,0)</f>
        <v>1</v>
      </c>
      <c r="Q760" s="23">
        <v>42</v>
      </c>
      <c r="R760">
        <v>0</v>
      </c>
      <c r="S760">
        <v>0</v>
      </c>
      <c r="T760">
        <v>0</v>
      </c>
      <c r="U760">
        <v>0</v>
      </c>
      <c r="V760">
        <v>200</v>
      </c>
      <c r="W760">
        <v>0</v>
      </c>
      <c r="X760">
        <v>0</v>
      </c>
      <c r="Y760">
        <v>0</v>
      </c>
      <c r="Z760" s="20">
        <v>0</v>
      </c>
      <c r="AA760" s="19">
        <f>IFERROR(PROPERTIES[[#This Row],[TE_STARTING_KN]]/(PROPERTIES[[#This Row],[WEIGHT]]*9.81),0)</f>
        <v>0</v>
      </c>
      <c r="AB760" s="19">
        <v>0.3</v>
      </c>
      <c r="AC760" s="16">
        <f>ROUND(IF(IFERROR(PROPERTIES[[#This Row],[TE_COEFFICIENT_CALC]],0)=0,PROPERTIES[[#This Row],[TE_COEFFICIENT_MANUAL]],PROPERTIES[[#This Row],[TE_COEFFICIENT_CALC]]),3)</f>
        <v>0.3</v>
      </c>
      <c r="AD760" s="8" cm="1">
        <f t="array" ref="AD7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0" s="26">
        <v>0</v>
      </c>
      <c r="AF760" s="6">
        <v>0</v>
      </c>
      <c r="AG760" t="s">
        <v>1945</v>
      </c>
      <c r="AH760" t="s">
        <v>229</v>
      </c>
      <c r="AI760" t="s">
        <v>229</v>
      </c>
      <c r="AJ760" s="2" t="s">
        <v>229</v>
      </c>
      <c r="AK760" s="2" t="s">
        <v>244</v>
      </c>
      <c r="AL76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0" s="2" t="str">
        <f>SUBSTITUTE(SUBSTITUTE(PROPERTIES[[#This Row],[PURCHASECOST_VALUE]], "PURCHASECOST_", ""), "_VALUE", "")</f>
        <v>COACH</v>
      </c>
      <c r="AO760" s="44" t="b">
        <v>0</v>
      </c>
      <c r="AP760" s="48" t="b">
        <v>0</v>
      </c>
      <c r="AQ760" s="48" t="b">
        <v>0</v>
      </c>
      <c r="AR760" s="48">
        <v>0</v>
      </c>
      <c r="AS760" s="48" t="b">
        <v>0</v>
      </c>
      <c r="AT760" s="7" t="b">
        <v>0</v>
      </c>
      <c r="AU760" s="40" t="str" cm="1">
        <f t="array" ref="AU760">_xlfn.XLOOKUP(PROPERTIES[[#This Row],[VEHIDCODE]],GRAPHICS_PROPERTIES[VEHIDCODE],GRAPHICS_PROPERTIES[TEMPLATE_ID]&amp;GRAPHICS_PROPERTIES[TEMPLATE_AMENDMENT_CODE])</f>
        <v>TPL_04A</v>
      </c>
    </row>
    <row r="761" spans="1:47" x14ac:dyDescent="0.35">
      <c r="A761" s="2" t="s">
        <v>124</v>
      </c>
      <c r="B761">
        <v>1970</v>
      </c>
      <c r="D761" cm="1">
        <f t="array" ref="D7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1" s="40" t="str">
        <f>_xlfn.XLOOKUP(PROPERTIES[[#This Row],[VEHIDCODE]],CONTROL[VEHIDCODE],CONTROL[ENGLISH])</f>
        <v>InterRegio Coach</v>
      </c>
      <c r="G761" s="40" t="str">
        <f>_xlfn.XLOOKUP(PROPERTIES[[#This Row],[COUNTRY]],COUNTRIES[COUNTRY_DESCRIPTION],COUNTRIES[COUNTRY_LABEL],"")</f>
        <v/>
      </c>
      <c r="H761" t="str" cm="1">
        <f t="array" ref="H7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1" t="s">
        <v>22</v>
      </c>
      <c r="J761">
        <v>78</v>
      </c>
      <c r="K761">
        <v>8</v>
      </c>
      <c r="L761">
        <v>0</v>
      </c>
      <c r="M761" t="str" cm="1">
        <f t="array" ref="M7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61">
        <f>_xlfn.XLOOKUP("LOADINGSPEEDDEF_"&amp;PROPERTIES[[#This Row],[LOADINGSPEED]],LOADINGSPEEDDEF[TYPE],LOADINGSPEEDDEF[SPEED])</f>
        <v>20</v>
      </c>
      <c r="O761" cm="1">
        <f t="array" ref="O7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1">
        <f>IF(ISNUMBER(SEARCH("passenger",PROPERTIES[[#This Row],[CARGODEF]])),1,0)</f>
        <v>1</v>
      </c>
      <c r="Q761" s="23">
        <v>40</v>
      </c>
      <c r="R761">
        <v>0</v>
      </c>
      <c r="S761">
        <v>0</v>
      </c>
      <c r="T761">
        <v>0</v>
      </c>
      <c r="U761">
        <v>0</v>
      </c>
      <c r="V761">
        <v>200</v>
      </c>
      <c r="W761">
        <v>0</v>
      </c>
      <c r="X761">
        <v>0</v>
      </c>
      <c r="Y761">
        <v>0</v>
      </c>
      <c r="Z761" s="20">
        <v>0</v>
      </c>
      <c r="AA761" s="19">
        <f>IFERROR(PROPERTIES[[#This Row],[TE_STARTING_KN]]/(PROPERTIES[[#This Row],[WEIGHT]]*9.81),0)</f>
        <v>0</v>
      </c>
      <c r="AB761" s="19">
        <v>0.3</v>
      </c>
      <c r="AC761" s="16">
        <f>ROUND(IF(IFERROR(PROPERTIES[[#This Row],[TE_COEFFICIENT_CALC]],0)=0,PROPERTIES[[#This Row],[TE_COEFFICIENT_MANUAL]],PROPERTIES[[#This Row],[TE_COEFFICIENT_CALC]]),3)</f>
        <v>0.3</v>
      </c>
      <c r="AD761" s="8" cm="1">
        <f t="array" ref="AD7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1" s="26">
        <v>0</v>
      </c>
      <c r="AF761" s="6">
        <v>0</v>
      </c>
      <c r="AG761" t="s">
        <v>1945</v>
      </c>
      <c r="AH761" t="s">
        <v>229</v>
      </c>
      <c r="AI761" t="s">
        <v>229</v>
      </c>
      <c r="AJ761" s="2" t="s">
        <v>229</v>
      </c>
      <c r="AK761" s="2" t="s">
        <v>244</v>
      </c>
      <c r="AL76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1" s="2" t="str">
        <f>SUBSTITUTE(SUBSTITUTE(PROPERTIES[[#This Row],[PURCHASECOST_VALUE]], "PURCHASECOST_", ""), "_VALUE", "")</f>
        <v>COACH</v>
      </c>
      <c r="AO761" s="44" t="b">
        <v>0</v>
      </c>
      <c r="AP761" s="48" t="b">
        <v>0</v>
      </c>
      <c r="AQ761" s="48" t="b">
        <v>0</v>
      </c>
      <c r="AR761" s="48">
        <v>0</v>
      </c>
      <c r="AS761" s="48" t="b">
        <v>0</v>
      </c>
      <c r="AT761" s="7" t="b">
        <v>0</v>
      </c>
      <c r="AU761" s="40" t="str" cm="1">
        <f t="array" ref="AU761">_xlfn.XLOOKUP(PROPERTIES[[#This Row],[VEHIDCODE]],GRAPHICS_PROPERTIES[VEHIDCODE],GRAPHICS_PROPERTIES[TEMPLATE_ID]&amp;GRAPHICS_PROPERTIES[TEMPLATE_AMENDMENT_CODE])</f>
        <v>TPL_04A</v>
      </c>
    </row>
    <row r="762" spans="1:47" x14ac:dyDescent="0.35">
      <c r="A762" s="2" t="s">
        <v>125</v>
      </c>
      <c r="B762">
        <v>1960</v>
      </c>
      <c r="D762" cm="1">
        <f t="array" ref="D7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2" s="40" t="str">
        <f>_xlfn.XLOOKUP(PROPERTIES[[#This Row],[VEHIDCODE]],CONTROL[VEHIDCODE],CONTROL[ENGLISH])</f>
        <v>'Silberling' Commuter Coach</v>
      </c>
      <c r="G762" s="40" t="str">
        <f>_xlfn.XLOOKUP(PROPERTIES[[#This Row],[COUNTRY]],COUNTRIES[COUNTRY_DESCRIPTION],COUNTRIES[COUNTRY_LABEL],"")</f>
        <v/>
      </c>
      <c r="H762" t="str" cm="1">
        <f t="array" ref="H7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2" t="s">
        <v>22</v>
      </c>
      <c r="J762">
        <v>190</v>
      </c>
      <c r="K762">
        <v>8</v>
      </c>
      <c r="L762">
        <v>0</v>
      </c>
      <c r="M762" t="str" cm="1">
        <f t="array" ref="M7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2">
        <f>_xlfn.XLOOKUP("LOADINGSPEEDDEF_"&amp;PROPERTIES[[#This Row],[LOADINGSPEED]],LOADINGSPEEDDEF[TYPE],LOADINGSPEEDDEF[SPEED])</f>
        <v>60</v>
      </c>
      <c r="O762" cm="1">
        <f t="array" ref="O7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2">
        <f>IF(ISNUMBER(SEARCH("passenger",PROPERTIES[[#This Row],[CARGODEF]])),1,0)</f>
        <v>1</v>
      </c>
      <c r="Q762" s="23">
        <v>31</v>
      </c>
      <c r="R762">
        <v>0</v>
      </c>
      <c r="S762">
        <v>0</v>
      </c>
      <c r="T762">
        <v>0</v>
      </c>
      <c r="U762">
        <v>0</v>
      </c>
      <c r="V762">
        <v>140</v>
      </c>
      <c r="W762">
        <v>0</v>
      </c>
      <c r="X762">
        <v>0</v>
      </c>
      <c r="Y762">
        <v>0</v>
      </c>
      <c r="Z762" s="20">
        <v>0</v>
      </c>
      <c r="AA762" s="19">
        <f>IFERROR(PROPERTIES[[#This Row],[TE_STARTING_KN]]/(PROPERTIES[[#This Row],[WEIGHT]]*9.81),0)</f>
        <v>0</v>
      </c>
      <c r="AB762" s="19">
        <v>0.3</v>
      </c>
      <c r="AC762" s="16">
        <f>ROUND(IF(IFERROR(PROPERTIES[[#This Row],[TE_COEFFICIENT_CALC]],0)=0,PROPERTIES[[#This Row],[TE_COEFFICIENT_MANUAL]],PROPERTIES[[#This Row],[TE_COEFFICIENT_CALC]]),3)</f>
        <v>0.3</v>
      </c>
      <c r="AD762" s="8" cm="1">
        <f t="array" ref="AD7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2" s="26">
        <v>0</v>
      </c>
      <c r="AF762" s="6">
        <v>0</v>
      </c>
      <c r="AG762" t="s">
        <v>1945</v>
      </c>
      <c r="AH762" t="s">
        <v>229</v>
      </c>
      <c r="AI762" t="s">
        <v>229</v>
      </c>
      <c r="AJ762" s="2" t="s">
        <v>229</v>
      </c>
      <c r="AK762" s="2" t="s">
        <v>244</v>
      </c>
      <c r="AL76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2" s="2" t="str">
        <f>SUBSTITUTE(SUBSTITUTE(PROPERTIES[[#This Row],[PURCHASECOST_VALUE]], "PURCHASECOST_", ""), "_VALUE", "")</f>
        <v>COACH</v>
      </c>
      <c r="AO762" s="44" t="b">
        <v>0</v>
      </c>
      <c r="AP762" s="48" t="b">
        <v>1</v>
      </c>
      <c r="AQ762" s="48" t="b">
        <v>0</v>
      </c>
      <c r="AR762" s="48">
        <v>0</v>
      </c>
      <c r="AS762" s="48" t="b">
        <v>0</v>
      </c>
      <c r="AT762" s="7" t="b">
        <v>0</v>
      </c>
      <c r="AU762" s="40" t="str" cm="1">
        <f t="array" ref="AU762">_xlfn.XLOOKUP(PROPERTIES[[#This Row],[VEHIDCODE]],GRAPHICS_PROPERTIES[VEHIDCODE],GRAPHICS_PROPERTIES[TEMPLATE_ID]&amp;GRAPHICS_PROPERTIES[TEMPLATE_AMENDMENT_CODE])</f>
        <v>TPL_04A</v>
      </c>
    </row>
    <row r="763" spans="1:47" x14ac:dyDescent="0.35">
      <c r="A763" s="2" t="s">
        <v>126</v>
      </c>
      <c r="B763">
        <v>1970</v>
      </c>
      <c r="D763" cm="1">
        <f t="array" ref="D7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3" s="40" t="str">
        <f>_xlfn.XLOOKUP(PROPERTIES[[#This Row],[VEHIDCODE]],CONTROL[VEHIDCODE],CONTROL[ENGLISH])</f>
        <v>Eurofima Mail Coach</v>
      </c>
      <c r="G763" s="40" t="str">
        <f>_xlfn.XLOOKUP(PROPERTIES[[#This Row],[COUNTRY]],COUNTRIES[COUNTRY_DESCRIPTION],COUNTRIES[COUNTRY_LABEL],"")</f>
        <v/>
      </c>
      <c r="H763" t="str" cm="1">
        <f t="array" ref="H7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3" t="s">
        <v>36</v>
      </c>
      <c r="J763">
        <v>130</v>
      </c>
      <c r="K763">
        <v>8</v>
      </c>
      <c r="L763">
        <v>0</v>
      </c>
      <c r="M763" t="str" cm="1">
        <f t="array" ref="M7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63">
        <f>_xlfn.XLOOKUP("LOADINGSPEEDDEF_"&amp;PROPERTIES[[#This Row],[LOADINGSPEED]],LOADINGSPEEDDEF[TYPE],LOADINGSPEEDDEF[SPEED])</f>
        <v>15</v>
      </c>
      <c r="O763" cm="1">
        <f t="array" ref="O7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3">
        <f>IF(ISNUMBER(SEARCH("passenger",PROPERTIES[[#This Row],[CARGODEF]])),1,0)</f>
        <v>0</v>
      </c>
      <c r="Q763" s="23">
        <v>40</v>
      </c>
      <c r="R763">
        <v>0</v>
      </c>
      <c r="S763">
        <v>0</v>
      </c>
      <c r="T763">
        <v>0</v>
      </c>
      <c r="U763">
        <v>0</v>
      </c>
      <c r="V763">
        <v>200</v>
      </c>
      <c r="W763">
        <v>0</v>
      </c>
      <c r="X763">
        <v>0</v>
      </c>
      <c r="Y763">
        <v>0</v>
      </c>
      <c r="Z763" s="20">
        <v>0</v>
      </c>
      <c r="AA763" s="19">
        <f>IFERROR(PROPERTIES[[#This Row],[TE_STARTING_KN]]/(PROPERTIES[[#This Row],[WEIGHT]]*9.81),0)</f>
        <v>0</v>
      </c>
      <c r="AB763" s="19">
        <v>0.3</v>
      </c>
      <c r="AC763" s="16">
        <f>ROUND(IF(IFERROR(PROPERTIES[[#This Row],[TE_COEFFICIENT_CALC]],0)=0,PROPERTIES[[#This Row],[TE_COEFFICIENT_MANUAL]],PROPERTIES[[#This Row],[TE_COEFFICIENT_CALC]]),3)</f>
        <v>0.3</v>
      </c>
      <c r="AD763" s="8" cm="1">
        <f t="array" ref="AD7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3" s="26">
        <v>0</v>
      </c>
      <c r="AF763" s="6">
        <v>0</v>
      </c>
      <c r="AG763" t="s">
        <v>1945</v>
      </c>
      <c r="AH763" t="s">
        <v>229</v>
      </c>
      <c r="AI763" t="s">
        <v>229</v>
      </c>
      <c r="AJ763" s="2" t="s">
        <v>229</v>
      </c>
      <c r="AK763" s="2" t="s">
        <v>244</v>
      </c>
      <c r="AL76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3" s="2" t="str">
        <f>SUBSTITUTE(SUBSTITUTE(PROPERTIES[[#This Row],[PURCHASECOST_VALUE]], "PURCHASECOST_", ""), "_VALUE", "")</f>
        <v>COACH</v>
      </c>
      <c r="AO763" s="44" t="b">
        <v>0</v>
      </c>
      <c r="AP763" s="48" t="b">
        <v>0</v>
      </c>
      <c r="AQ763" s="48" t="b">
        <v>0</v>
      </c>
      <c r="AR763" s="48">
        <v>0</v>
      </c>
      <c r="AS763" s="48" t="b">
        <v>0</v>
      </c>
      <c r="AT763" s="7" t="b">
        <v>0</v>
      </c>
      <c r="AU763" s="40" t="str" cm="1">
        <f t="array" ref="AU763">_xlfn.XLOOKUP(PROPERTIES[[#This Row],[VEHIDCODE]],GRAPHICS_PROPERTIES[VEHIDCODE],GRAPHICS_PROPERTIES[TEMPLATE_ID]&amp;GRAPHICS_PROPERTIES[TEMPLATE_AMENDMENT_CODE])</f>
        <v>TPL_04A</v>
      </c>
    </row>
    <row r="764" spans="1:47" x14ac:dyDescent="0.35">
      <c r="A764" s="2" t="s">
        <v>127</v>
      </c>
      <c r="B764">
        <v>1970</v>
      </c>
      <c r="D764" cm="1">
        <f t="array" ref="D7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4" s="40" t="str">
        <f>_xlfn.XLOOKUP(PROPERTIES[[#This Row],[VEHIDCODE]],CONTROL[VEHIDCODE],CONTROL[ENGLISH])</f>
        <v>Double Decker Coach</v>
      </c>
      <c r="G764" s="40" t="str">
        <f>_xlfn.XLOOKUP(PROPERTIES[[#This Row],[COUNTRY]],COUNTRIES[COUNTRY_DESCRIPTION],COUNTRIES[COUNTRY_LABEL],"")</f>
        <v/>
      </c>
      <c r="H764" t="str" cm="1">
        <f t="array" ref="H7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4" t="s">
        <v>22</v>
      </c>
      <c r="J764">
        <v>170</v>
      </c>
      <c r="K764">
        <v>8</v>
      </c>
      <c r="L764">
        <v>0</v>
      </c>
      <c r="M764" t="str" cm="1">
        <f t="array" ref="M7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4">
        <f>_xlfn.XLOOKUP("LOADINGSPEEDDEF_"&amp;PROPERTIES[[#This Row],[LOADINGSPEED]],LOADINGSPEEDDEF[TYPE],LOADINGSPEEDDEF[SPEED])</f>
        <v>60</v>
      </c>
      <c r="O764" cm="1">
        <f t="array" ref="O7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4">
        <f>IF(ISNUMBER(SEARCH("passenger",PROPERTIES[[#This Row],[CARGODEF]])),1,0)</f>
        <v>1</v>
      </c>
      <c r="Q764" s="23">
        <v>50</v>
      </c>
      <c r="R764">
        <v>0</v>
      </c>
      <c r="S764">
        <v>0</v>
      </c>
      <c r="T764">
        <v>0</v>
      </c>
      <c r="U764">
        <v>0</v>
      </c>
      <c r="V764">
        <v>140</v>
      </c>
      <c r="W764">
        <v>0</v>
      </c>
      <c r="X764">
        <v>0</v>
      </c>
      <c r="Y764">
        <v>0</v>
      </c>
      <c r="Z764" s="20">
        <v>0</v>
      </c>
      <c r="AA764" s="19">
        <f>IFERROR(PROPERTIES[[#This Row],[TE_STARTING_KN]]/(PROPERTIES[[#This Row],[WEIGHT]]*9.81),0)</f>
        <v>0</v>
      </c>
      <c r="AB764" s="19">
        <v>0.3</v>
      </c>
      <c r="AC764" s="16">
        <f>ROUND(IF(IFERROR(PROPERTIES[[#This Row],[TE_COEFFICIENT_CALC]],0)=0,PROPERTIES[[#This Row],[TE_COEFFICIENT_MANUAL]],PROPERTIES[[#This Row],[TE_COEFFICIENT_CALC]]),3)</f>
        <v>0.3</v>
      </c>
      <c r="AD764" s="8" cm="1">
        <f t="array" ref="AD7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4" s="26">
        <v>0</v>
      </c>
      <c r="AF764" s="6">
        <v>0</v>
      </c>
      <c r="AG764" t="s">
        <v>239</v>
      </c>
      <c r="AH764" t="s">
        <v>238</v>
      </c>
      <c r="AI764" t="s">
        <v>229</v>
      </c>
      <c r="AJ764" s="2" t="s">
        <v>229</v>
      </c>
      <c r="AK764" s="2" t="s">
        <v>244</v>
      </c>
      <c r="AL76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4" s="2" t="str">
        <f>SUBSTITUTE(SUBSTITUTE(PROPERTIES[[#This Row],[PURCHASECOST_VALUE]], "PURCHASECOST_", ""), "_VALUE", "")</f>
        <v>COACH</v>
      </c>
      <c r="AO764" s="44" t="b">
        <v>0</v>
      </c>
      <c r="AP764" s="48" t="b">
        <v>1</v>
      </c>
      <c r="AQ764" s="48" t="b">
        <v>0</v>
      </c>
      <c r="AR764" s="48">
        <v>0</v>
      </c>
      <c r="AS764" s="48" t="b">
        <v>0</v>
      </c>
      <c r="AT764" s="7" t="b">
        <v>0</v>
      </c>
      <c r="AU764" s="40" t="str" cm="1">
        <f t="array" ref="AU764">_xlfn.XLOOKUP(PROPERTIES[[#This Row],[VEHIDCODE]],GRAPHICS_PROPERTIES[VEHIDCODE],GRAPHICS_PROPERTIES[TEMPLATE_ID]&amp;GRAPHICS_PROPERTIES[TEMPLATE_AMENDMENT_CODE])</f>
        <v>TPL_04A</v>
      </c>
    </row>
    <row r="765" spans="1:47" x14ac:dyDescent="0.35">
      <c r="A765" s="2" t="s">
        <v>128</v>
      </c>
      <c r="B765">
        <v>1960</v>
      </c>
      <c r="D765" cm="1">
        <f t="array" ref="D7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5" s="40" t="str">
        <f>_xlfn.XLOOKUP(PROPERTIES[[#This Row],[VEHIDCODE]],CONTROL[VEHIDCODE],CONTROL[ENGLISH])</f>
        <v>Russian Intercity Sleeper Coach</v>
      </c>
      <c r="G765" s="40" t="str">
        <f>_xlfn.XLOOKUP(PROPERTIES[[#This Row],[COUNTRY]],COUNTRIES[COUNTRY_DESCRIPTION],COUNTRIES[COUNTRY_LABEL],"")</f>
        <v/>
      </c>
      <c r="H765" t="str" cm="1">
        <f t="array" ref="H7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5" t="s">
        <v>22</v>
      </c>
      <c r="J765">
        <v>54</v>
      </c>
      <c r="K765">
        <v>8</v>
      </c>
      <c r="L765">
        <v>0</v>
      </c>
      <c r="M765" t="str" cm="1">
        <f t="array" ref="M7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5">
        <f>_xlfn.XLOOKUP("LOADINGSPEEDDEF_"&amp;PROPERTIES[[#This Row],[LOADINGSPEED]],LOADINGSPEEDDEF[TYPE],LOADINGSPEEDDEF[SPEED])</f>
        <v>60</v>
      </c>
      <c r="O765" cm="1">
        <f t="array" ref="O7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5">
        <f>IF(ISNUMBER(SEARCH("passenger",PROPERTIES[[#This Row],[CARGODEF]])),1,0)</f>
        <v>1</v>
      </c>
      <c r="Q765" s="23">
        <v>58</v>
      </c>
      <c r="R765">
        <v>0</v>
      </c>
      <c r="S765">
        <v>0</v>
      </c>
      <c r="T765">
        <v>0</v>
      </c>
      <c r="U765">
        <v>0</v>
      </c>
      <c r="V765">
        <v>120</v>
      </c>
      <c r="W765">
        <v>0</v>
      </c>
      <c r="X765">
        <v>0</v>
      </c>
      <c r="Y765">
        <v>0</v>
      </c>
      <c r="Z765" s="20">
        <v>0</v>
      </c>
      <c r="AA765" s="19">
        <f>IFERROR(PROPERTIES[[#This Row],[TE_STARTING_KN]]/(PROPERTIES[[#This Row],[WEIGHT]]*9.81),0)</f>
        <v>0</v>
      </c>
      <c r="AB765" s="19">
        <v>0.3</v>
      </c>
      <c r="AC765" s="16">
        <f>ROUND(IF(IFERROR(PROPERTIES[[#This Row],[TE_COEFFICIENT_CALC]],0)=0,PROPERTIES[[#This Row],[TE_COEFFICIENT_MANUAL]],PROPERTIES[[#This Row],[TE_COEFFICIENT_CALC]]),3)</f>
        <v>0.3</v>
      </c>
      <c r="AD765" s="8" cm="1">
        <f t="array" ref="AD7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5" s="26">
        <v>0</v>
      </c>
      <c r="AF765" s="6">
        <v>0</v>
      </c>
      <c r="AG765" t="s">
        <v>239</v>
      </c>
      <c r="AH765" t="s">
        <v>238</v>
      </c>
      <c r="AI765" t="s">
        <v>229</v>
      </c>
      <c r="AJ765" s="2" t="s">
        <v>229</v>
      </c>
      <c r="AK765" s="2" t="s">
        <v>244</v>
      </c>
      <c r="AL76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5" s="2" t="str">
        <f>SUBSTITUTE(SUBSTITUTE(PROPERTIES[[#This Row],[PURCHASECOST_VALUE]], "PURCHASECOST_", ""), "_VALUE", "")</f>
        <v>COACH</v>
      </c>
      <c r="AO765" s="44" t="b">
        <v>0</v>
      </c>
      <c r="AP765" s="48" t="b">
        <v>0</v>
      </c>
      <c r="AQ765" s="48" t="b">
        <v>0</v>
      </c>
      <c r="AR765" s="48">
        <v>0</v>
      </c>
      <c r="AS765" s="48" t="b">
        <v>0</v>
      </c>
      <c r="AT765" s="7" t="b">
        <v>0</v>
      </c>
      <c r="AU765" s="40" t="str" cm="1">
        <f t="array" ref="AU765">_xlfn.XLOOKUP(PROPERTIES[[#This Row],[VEHIDCODE]],GRAPHICS_PROPERTIES[VEHIDCODE],GRAPHICS_PROPERTIES[TEMPLATE_ID]&amp;GRAPHICS_PROPERTIES[TEMPLATE_AMENDMENT_CODE])</f>
        <v>TPL_04A</v>
      </c>
    </row>
    <row r="766" spans="1:47" x14ac:dyDescent="0.35">
      <c r="A766" s="2" t="s">
        <v>129</v>
      </c>
      <c r="B766">
        <v>1960</v>
      </c>
      <c r="D766" cm="1">
        <f t="array" ref="D7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6" s="40" t="str">
        <f>_xlfn.XLOOKUP(PROPERTIES[[#This Row],[VEHIDCODE]],CONTROL[VEHIDCODE],CONTROL[ENGLISH])</f>
        <v>Russian Regional Coach</v>
      </c>
      <c r="G766" s="40" t="str">
        <f>_xlfn.XLOOKUP(PROPERTIES[[#This Row],[COUNTRY]],COUNTRIES[COUNTRY_DESCRIPTION],COUNTRIES[COUNTRY_LABEL],"")</f>
        <v/>
      </c>
      <c r="H766" t="str" cm="1">
        <f t="array" ref="H7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6" t="s">
        <v>22</v>
      </c>
      <c r="J766">
        <v>220</v>
      </c>
      <c r="K766">
        <v>8</v>
      </c>
      <c r="L766">
        <v>0</v>
      </c>
      <c r="M766" t="str" cm="1">
        <f t="array" ref="M7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6">
        <f>_xlfn.XLOOKUP("LOADINGSPEEDDEF_"&amp;PROPERTIES[[#This Row],[LOADINGSPEED]],LOADINGSPEEDDEF[TYPE],LOADINGSPEEDDEF[SPEED])</f>
        <v>60</v>
      </c>
      <c r="O766" cm="1">
        <f t="array" ref="O7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6">
        <f>IF(ISNUMBER(SEARCH("passenger",PROPERTIES[[#This Row],[CARGODEF]])),1,0)</f>
        <v>1</v>
      </c>
      <c r="Q766" s="23">
        <v>45</v>
      </c>
      <c r="R766">
        <v>0</v>
      </c>
      <c r="S766">
        <v>0</v>
      </c>
      <c r="T766">
        <v>0</v>
      </c>
      <c r="U766">
        <v>0</v>
      </c>
      <c r="V766">
        <v>130</v>
      </c>
      <c r="W766">
        <v>0</v>
      </c>
      <c r="X766">
        <v>0</v>
      </c>
      <c r="Y766">
        <v>0</v>
      </c>
      <c r="Z766" s="20">
        <v>0</v>
      </c>
      <c r="AA766" s="19">
        <f>IFERROR(PROPERTIES[[#This Row],[TE_STARTING_KN]]/(PROPERTIES[[#This Row],[WEIGHT]]*9.81),0)</f>
        <v>0</v>
      </c>
      <c r="AB766" s="19">
        <v>0.3</v>
      </c>
      <c r="AC766" s="16">
        <f>ROUND(IF(IFERROR(PROPERTIES[[#This Row],[TE_COEFFICIENT_CALC]],0)=0,PROPERTIES[[#This Row],[TE_COEFFICIENT_MANUAL]],PROPERTIES[[#This Row],[TE_COEFFICIENT_CALC]]),3)</f>
        <v>0.3</v>
      </c>
      <c r="AD766" s="8" cm="1">
        <f t="array" ref="AD7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6" s="26">
        <v>0</v>
      </c>
      <c r="AF766" s="6">
        <v>0</v>
      </c>
      <c r="AG766" t="s">
        <v>239</v>
      </c>
      <c r="AH766" t="s">
        <v>238</v>
      </c>
      <c r="AI766" t="s">
        <v>229</v>
      </c>
      <c r="AJ766" s="2" t="s">
        <v>229</v>
      </c>
      <c r="AK766" s="2" t="s">
        <v>244</v>
      </c>
      <c r="AL76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6" s="2" t="str">
        <f>SUBSTITUTE(SUBSTITUTE(PROPERTIES[[#This Row],[PURCHASECOST_VALUE]], "PURCHASECOST_", ""), "_VALUE", "")</f>
        <v>COACH</v>
      </c>
      <c r="AO766" s="44" t="b">
        <v>0</v>
      </c>
      <c r="AP766" s="48" t="b">
        <v>0</v>
      </c>
      <c r="AQ766" s="48" t="b">
        <v>0</v>
      </c>
      <c r="AR766" s="48">
        <v>0</v>
      </c>
      <c r="AS766" s="48" t="b">
        <v>0</v>
      </c>
      <c r="AT766" s="7" t="b">
        <v>0</v>
      </c>
      <c r="AU766" s="40" t="str" cm="1">
        <f t="array" ref="AU766">_xlfn.XLOOKUP(PROPERTIES[[#This Row],[VEHIDCODE]],GRAPHICS_PROPERTIES[VEHIDCODE],GRAPHICS_PROPERTIES[TEMPLATE_ID]&amp;GRAPHICS_PROPERTIES[TEMPLATE_AMENDMENT_CODE])</f>
        <v>TPL_04A</v>
      </c>
    </row>
    <row r="767" spans="1:47" x14ac:dyDescent="0.35">
      <c r="A767" s="2" t="s">
        <v>130</v>
      </c>
      <c r="B767">
        <v>1960</v>
      </c>
      <c r="D767" cm="1">
        <f t="array" ref="D7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7" s="40" t="str">
        <f>_xlfn.XLOOKUP(PROPERTIES[[#This Row],[VEHIDCODE]],CONTROL[VEHIDCODE],CONTROL[ENGLISH])</f>
        <v>Russian Mail Coach</v>
      </c>
      <c r="G767" s="40" t="str">
        <f>_xlfn.XLOOKUP(PROPERTIES[[#This Row],[COUNTRY]],COUNTRIES[COUNTRY_DESCRIPTION],COUNTRIES[COUNTRY_LABEL],"")</f>
        <v/>
      </c>
      <c r="H767" t="str" cm="1">
        <f t="array" ref="H7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7" t="s">
        <v>36</v>
      </c>
      <c r="J767">
        <v>150</v>
      </c>
      <c r="K767">
        <v>8</v>
      </c>
      <c r="L767">
        <v>0</v>
      </c>
      <c r="M767" t="str" cm="1">
        <f t="array" ref="M7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67">
        <f>_xlfn.XLOOKUP("LOADINGSPEEDDEF_"&amp;PROPERTIES[[#This Row],[LOADINGSPEED]],LOADINGSPEEDDEF[TYPE],LOADINGSPEEDDEF[SPEED])</f>
        <v>15</v>
      </c>
      <c r="O767" cm="1">
        <f t="array" ref="O7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7">
        <f>IF(ISNUMBER(SEARCH("passenger",PROPERTIES[[#This Row],[CARGODEF]])),1,0)</f>
        <v>0</v>
      </c>
      <c r="Q767" s="23">
        <v>52</v>
      </c>
      <c r="R767">
        <v>0</v>
      </c>
      <c r="S767">
        <v>0</v>
      </c>
      <c r="T767">
        <v>0</v>
      </c>
      <c r="U767">
        <v>0</v>
      </c>
      <c r="V767">
        <v>160</v>
      </c>
      <c r="W767">
        <v>0</v>
      </c>
      <c r="X767">
        <v>0</v>
      </c>
      <c r="Y767">
        <v>0</v>
      </c>
      <c r="Z767" s="20">
        <v>0</v>
      </c>
      <c r="AA767" s="19">
        <f>IFERROR(PROPERTIES[[#This Row],[TE_STARTING_KN]]/(PROPERTIES[[#This Row],[WEIGHT]]*9.81),0)</f>
        <v>0</v>
      </c>
      <c r="AB767" s="19">
        <v>0.3</v>
      </c>
      <c r="AC767" s="16">
        <f>ROUND(IF(IFERROR(PROPERTIES[[#This Row],[TE_COEFFICIENT_CALC]],0)=0,PROPERTIES[[#This Row],[TE_COEFFICIENT_MANUAL]],PROPERTIES[[#This Row],[TE_COEFFICIENT_CALC]]),3)</f>
        <v>0.3</v>
      </c>
      <c r="AD767" s="8" cm="1">
        <f t="array" ref="AD7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7" s="26">
        <v>0</v>
      </c>
      <c r="AF767" s="6">
        <v>0</v>
      </c>
      <c r="AG767" t="s">
        <v>239</v>
      </c>
      <c r="AH767" t="s">
        <v>238</v>
      </c>
      <c r="AI767" t="s">
        <v>229</v>
      </c>
      <c r="AJ767" s="2" t="s">
        <v>229</v>
      </c>
      <c r="AK767" s="2" t="s">
        <v>244</v>
      </c>
      <c r="AL76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7" s="2" t="str">
        <f>SUBSTITUTE(SUBSTITUTE(PROPERTIES[[#This Row],[PURCHASECOST_VALUE]], "PURCHASECOST_", ""), "_VALUE", "")</f>
        <v>COACH</v>
      </c>
      <c r="AO767" s="44" t="b">
        <v>0</v>
      </c>
      <c r="AP767" s="48" t="b">
        <v>0</v>
      </c>
      <c r="AQ767" s="48" t="b">
        <v>0</v>
      </c>
      <c r="AR767" s="48">
        <v>0</v>
      </c>
      <c r="AS767" s="48" t="b">
        <v>0</v>
      </c>
      <c r="AT767" s="7" t="b">
        <v>0</v>
      </c>
      <c r="AU767" s="40" t="str" cm="1">
        <f t="array" ref="AU767">_xlfn.XLOOKUP(PROPERTIES[[#This Row],[VEHIDCODE]],GRAPHICS_PROPERTIES[VEHIDCODE],GRAPHICS_PROPERTIES[TEMPLATE_ID]&amp;GRAPHICS_PROPERTIES[TEMPLATE_AMENDMENT_CODE])</f>
        <v>TPL_04A</v>
      </c>
    </row>
    <row r="768" spans="1:47" x14ac:dyDescent="0.35">
      <c r="A768" s="2" t="s">
        <v>131</v>
      </c>
      <c r="B768">
        <v>1980</v>
      </c>
      <c r="D768" cm="1">
        <f t="array" ref="D7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8" s="40" t="str">
        <f>_xlfn.XLOOKUP(PROPERTIES[[#This Row],[VEHIDCODE]],CONTROL[VEHIDCODE],CONTROL[ENGLISH])</f>
        <v>Superliner Coach</v>
      </c>
      <c r="G768" s="40" t="str">
        <f>_xlfn.XLOOKUP(PROPERTIES[[#This Row],[COUNTRY]],COUNTRIES[COUNTRY_DESCRIPTION],COUNTRIES[COUNTRY_LABEL],"")</f>
        <v/>
      </c>
      <c r="H768" t="str" cm="1">
        <f t="array" ref="H7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8" t="s">
        <v>22</v>
      </c>
      <c r="J768">
        <v>78</v>
      </c>
      <c r="K768">
        <v>8</v>
      </c>
      <c r="L768">
        <v>0</v>
      </c>
      <c r="M768" t="str" cm="1">
        <f t="array" ref="M7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8">
        <f>_xlfn.XLOOKUP("LOADINGSPEEDDEF_"&amp;PROPERTIES[[#This Row],[LOADINGSPEED]],LOADINGSPEEDDEF[TYPE],LOADINGSPEEDDEF[SPEED])</f>
        <v>60</v>
      </c>
      <c r="O768" cm="1">
        <f t="array" ref="O7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8">
        <f>IF(ISNUMBER(SEARCH("passenger",PROPERTIES[[#This Row],[CARGODEF]])),1,0)</f>
        <v>1</v>
      </c>
      <c r="Q768" s="23">
        <v>71</v>
      </c>
      <c r="R768">
        <v>0</v>
      </c>
      <c r="S768">
        <v>0</v>
      </c>
      <c r="T768">
        <v>0</v>
      </c>
      <c r="U768">
        <v>0</v>
      </c>
      <c r="V768">
        <v>160</v>
      </c>
      <c r="W768">
        <v>0</v>
      </c>
      <c r="X768">
        <v>0</v>
      </c>
      <c r="Y768">
        <v>0</v>
      </c>
      <c r="Z768" s="20">
        <v>0</v>
      </c>
      <c r="AA768" s="19">
        <f>IFERROR(PROPERTIES[[#This Row],[TE_STARTING_KN]]/(PROPERTIES[[#This Row],[WEIGHT]]*9.81),0)</f>
        <v>0</v>
      </c>
      <c r="AB768" s="19">
        <v>0.3</v>
      </c>
      <c r="AC768" s="16">
        <f>ROUND(IF(IFERROR(PROPERTIES[[#This Row],[TE_COEFFICIENT_CALC]],0)=0,PROPERTIES[[#This Row],[TE_COEFFICIENT_MANUAL]],PROPERTIES[[#This Row],[TE_COEFFICIENT_CALC]]),3)</f>
        <v>0.3</v>
      </c>
      <c r="AD768" s="8" cm="1">
        <f t="array" ref="AD7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8" s="26">
        <v>0</v>
      </c>
      <c r="AF768" s="6">
        <v>0</v>
      </c>
      <c r="AG768" t="s">
        <v>240</v>
      </c>
      <c r="AH768" t="s">
        <v>232</v>
      </c>
      <c r="AI768" t="s">
        <v>229</v>
      </c>
      <c r="AJ768" s="2" t="s">
        <v>229</v>
      </c>
      <c r="AK768" s="2" t="s">
        <v>244</v>
      </c>
      <c r="AL76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8" s="2" t="str">
        <f>SUBSTITUTE(SUBSTITUTE(PROPERTIES[[#This Row],[PURCHASECOST_VALUE]], "PURCHASECOST_", ""), "_VALUE", "")</f>
        <v>COACH</v>
      </c>
      <c r="AO768" s="44" t="b">
        <v>0</v>
      </c>
      <c r="AP768" s="48" t="b">
        <v>0</v>
      </c>
      <c r="AQ768" s="48" t="b">
        <v>0</v>
      </c>
      <c r="AR768" s="48">
        <v>0</v>
      </c>
      <c r="AS768" s="48" t="b">
        <v>0</v>
      </c>
      <c r="AT768" s="7" t="b">
        <v>0</v>
      </c>
      <c r="AU768" s="40" t="str" cm="1">
        <f t="array" ref="AU768">_xlfn.XLOOKUP(PROPERTIES[[#This Row],[VEHIDCODE]],GRAPHICS_PROPERTIES[VEHIDCODE],GRAPHICS_PROPERTIES[TEMPLATE_ID]&amp;GRAPHICS_PROPERTIES[TEMPLATE_AMENDMENT_CODE])</f>
        <v>TPL_04A</v>
      </c>
    </row>
    <row r="769" spans="1:47" x14ac:dyDescent="0.35">
      <c r="A769" s="2" t="s">
        <v>132</v>
      </c>
      <c r="B769">
        <v>1990</v>
      </c>
      <c r="D769" cm="1">
        <f t="array" ref="D7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9" s="40" t="str">
        <f>_xlfn.XLOOKUP(PROPERTIES[[#This Row],[VEHIDCODE]],CONTROL[VEHIDCODE],CONTROL[ENGLISH])</f>
        <v>Superliner California</v>
      </c>
      <c r="G769" s="40" t="str">
        <f>_xlfn.XLOOKUP(PROPERTIES[[#This Row],[COUNTRY]],COUNTRIES[COUNTRY_DESCRIPTION],COUNTRIES[COUNTRY_LABEL],"")</f>
        <v/>
      </c>
      <c r="H769" t="str" cm="1">
        <f t="array" ref="H7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9" t="s">
        <v>22</v>
      </c>
      <c r="J769">
        <v>94</v>
      </c>
      <c r="K769">
        <v>8</v>
      </c>
      <c r="L769">
        <v>0</v>
      </c>
      <c r="M769" t="str" cm="1">
        <f t="array" ref="M7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9">
        <f>_xlfn.XLOOKUP("LOADINGSPEEDDEF_"&amp;PROPERTIES[[#This Row],[LOADINGSPEED]],LOADINGSPEEDDEF[TYPE],LOADINGSPEEDDEF[SPEED])</f>
        <v>60</v>
      </c>
      <c r="O769" t="str" cm="1">
        <f t="array" ref="O7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69">
        <f>IF(ISNUMBER(SEARCH("passenger",PROPERTIES[[#This Row],[CARGODEF]])),1,0)</f>
        <v>1</v>
      </c>
      <c r="Q769" s="23">
        <v>68</v>
      </c>
      <c r="R769">
        <v>0</v>
      </c>
      <c r="S769">
        <v>0</v>
      </c>
      <c r="T769">
        <v>0</v>
      </c>
      <c r="U769">
        <v>0</v>
      </c>
      <c r="V769">
        <v>160</v>
      </c>
      <c r="W769">
        <v>0</v>
      </c>
      <c r="X769">
        <v>0</v>
      </c>
      <c r="Y769">
        <v>0</v>
      </c>
      <c r="Z769" s="20">
        <v>0</v>
      </c>
      <c r="AA769" s="19">
        <f>IFERROR(PROPERTIES[[#This Row],[TE_STARTING_KN]]/(PROPERTIES[[#This Row],[WEIGHT]]*9.81),0)</f>
        <v>0</v>
      </c>
      <c r="AB769" s="19">
        <v>0.3</v>
      </c>
      <c r="AC769" s="16">
        <f>ROUND(IF(IFERROR(PROPERTIES[[#This Row],[TE_COEFFICIENT_CALC]],0)=0,PROPERTIES[[#This Row],[TE_COEFFICIENT_MANUAL]],PROPERTIES[[#This Row],[TE_COEFFICIENT_CALC]]),3)</f>
        <v>0.3</v>
      </c>
      <c r="AD769" s="8" cm="1">
        <f t="array" ref="AD7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9" s="26">
        <v>0</v>
      </c>
      <c r="AF769" s="6">
        <v>0</v>
      </c>
      <c r="AG769" t="s">
        <v>240</v>
      </c>
      <c r="AH769" t="s">
        <v>232</v>
      </c>
      <c r="AI769" t="s">
        <v>229</v>
      </c>
      <c r="AJ769" s="2" t="s">
        <v>229</v>
      </c>
      <c r="AK769" s="2" t="s">
        <v>244</v>
      </c>
      <c r="AL76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9" s="2" t="str">
        <f>SUBSTITUTE(SUBSTITUTE(PROPERTIES[[#This Row],[PURCHASECOST_VALUE]], "PURCHASECOST_", ""), "_VALUE", "")</f>
        <v>COACH</v>
      </c>
      <c r="AO769" s="44" t="b">
        <v>0</v>
      </c>
      <c r="AP769" s="48" t="b">
        <v>1</v>
      </c>
      <c r="AQ769" s="48" t="b">
        <v>0</v>
      </c>
      <c r="AR769" s="48">
        <v>0</v>
      </c>
      <c r="AS769" s="48" t="b">
        <v>0</v>
      </c>
      <c r="AT769" s="7" t="b">
        <v>0</v>
      </c>
      <c r="AU769" s="40" t="str" cm="1">
        <f t="array" ref="AU769">_xlfn.XLOOKUP(PROPERTIES[[#This Row],[VEHIDCODE]],GRAPHICS_PROPERTIES[VEHIDCODE],GRAPHICS_PROPERTIES[TEMPLATE_ID]&amp;GRAPHICS_PROPERTIES[TEMPLATE_AMENDMENT_CODE])</f>
        <v>TPL_04A</v>
      </c>
    </row>
    <row r="770" spans="1:47" x14ac:dyDescent="0.35">
      <c r="A770" s="2" t="s">
        <v>133</v>
      </c>
      <c r="B770">
        <v>1970</v>
      </c>
      <c r="D770" cm="1">
        <f t="array" ref="D7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0" s="40" t="str">
        <f>_xlfn.XLOOKUP(PROPERTIES[[#This Row],[VEHIDCODE]],CONTROL[VEHIDCODE],CONTROL[ENGLISH])</f>
        <v>Amfleet Regional Coach</v>
      </c>
      <c r="G770" s="40" t="str">
        <f>_xlfn.XLOOKUP(PROPERTIES[[#This Row],[COUNTRY]],COUNTRIES[COUNTRY_DESCRIPTION],COUNTRIES[COUNTRY_LABEL],"")</f>
        <v/>
      </c>
      <c r="H770" t="str" cm="1">
        <f t="array" ref="H7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0" t="s">
        <v>22</v>
      </c>
      <c r="J770">
        <v>84</v>
      </c>
      <c r="K770">
        <v>8</v>
      </c>
      <c r="L770">
        <v>0</v>
      </c>
      <c r="M770" t="str" cm="1">
        <f t="array" ref="M7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0">
        <f>_xlfn.XLOOKUP("LOADINGSPEEDDEF_"&amp;PROPERTIES[[#This Row],[LOADINGSPEED]],LOADINGSPEEDDEF[TYPE],LOADINGSPEEDDEF[SPEED])</f>
        <v>20</v>
      </c>
      <c r="O770" cm="1">
        <f t="array" ref="O7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0">
        <f>IF(ISNUMBER(SEARCH("passenger",PROPERTIES[[#This Row],[CARGODEF]])),1,0)</f>
        <v>1</v>
      </c>
      <c r="Q770" s="23">
        <v>48</v>
      </c>
      <c r="R770">
        <v>0</v>
      </c>
      <c r="S770">
        <v>0</v>
      </c>
      <c r="T770">
        <v>0</v>
      </c>
      <c r="U770">
        <v>0</v>
      </c>
      <c r="V770">
        <v>200</v>
      </c>
      <c r="W770">
        <v>0</v>
      </c>
      <c r="X770">
        <v>0</v>
      </c>
      <c r="Y770">
        <v>0</v>
      </c>
      <c r="Z770" s="20">
        <v>0</v>
      </c>
      <c r="AA770" s="19">
        <f>IFERROR(PROPERTIES[[#This Row],[TE_STARTING_KN]]/(PROPERTIES[[#This Row],[WEIGHT]]*9.81),0)</f>
        <v>0</v>
      </c>
      <c r="AB770" s="19">
        <v>0.3</v>
      </c>
      <c r="AC770" s="16">
        <f>ROUND(IF(IFERROR(PROPERTIES[[#This Row],[TE_COEFFICIENT_CALC]],0)=0,PROPERTIES[[#This Row],[TE_COEFFICIENT_MANUAL]],PROPERTIES[[#This Row],[TE_COEFFICIENT_CALC]]),3)</f>
        <v>0.3</v>
      </c>
      <c r="AD770" s="8" cm="1">
        <f t="array" ref="AD7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0" s="26">
        <v>0</v>
      </c>
      <c r="AF770" s="6">
        <v>0</v>
      </c>
      <c r="AG770" t="s">
        <v>240</v>
      </c>
      <c r="AH770" t="s">
        <v>232</v>
      </c>
      <c r="AI770" t="s">
        <v>229</v>
      </c>
      <c r="AJ770" s="2" t="s">
        <v>229</v>
      </c>
      <c r="AK770" s="2" t="s">
        <v>244</v>
      </c>
      <c r="AL77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0" s="2" t="str">
        <f>SUBSTITUTE(SUBSTITUTE(PROPERTIES[[#This Row],[PURCHASECOST_VALUE]], "PURCHASECOST_", ""), "_VALUE", "")</f>
        <v>COACH</v>
      </c>
      <c r="AO770" s="44" t="b">
        <v>0</v>
      </c>
      <c r="AP770" s="48" t="b">
        <v>1</v>
      </c>
      <c r="AQ770" s="48" t="b">
        <v>0</v>
      </c>
      <c r="AR770" s="48">
        <v>0</v>
      </c>
      <c r="AS770" s="48" t="b">
        <v>0</v>
      </c>
      <c r="AT770" s="7" t="b">
        <v>0</v>
      </c>
      <c r="AU770" s="40" t="str" cm="1">
        <f t="array" ref="AU770">_xlfn.XLOOKUP(PROPERTIES[[#This Row],[VEHIDCODE]],GRAPHICS_PROPERTIES[VEHIDCODE],GRAPHICS_PROPERTIES[TEMPLATE_ID]&amp;GRAPHICS_PROPERTIES[TEMPLATE_AMENDMENT_CODE])</f>
        <v>TPL_04A</v>
      </c>
    </row>
    <row r="771" spans="1:47" x14ac:dyDescent="0.35">
      <c r="A771" s="2" t="s">
        <v>134</v>
      </c>
      <c r="B771">
        <v>1970</v>
      </c>
      <c r="D771" cm="1">
        <f t="array" ref="D7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1" s="40" t="str">
        <f>_xlfn.XLOOKUP(PROPERTIES[[#This Row],[VEHIDCODE]],CONTROL[VEHIDCODE],CONTROL[ENGLISH])</f>
        <v>Amfleet Intercity Coach</v>
      </c>
      <c r="G771" s="40" t="str">
        <f>_xlfn.XLOOKUP(PROPERTIES[[#This Row],[COUNTRY]],COUNTRIES[COUNTRY_DESCRIPTION],COUNTRIES[COUNTRY_LABEL],"")</f>
        <v/>
      </c>
      <c r="H771" t="str" cm="1">
        <f t="array" ref="H7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1" t="s">
        <v>22</v>
      </c>
      <c r="J771">
        <v>62</v>
      </c>
      <c r="K771">
        <v>8</v>
      </c>
      <c r="L771">
        <v>0</v>
      </c>
      <c r="M771" t="str" cm="1">
        <f t="array" ref="M7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1">
        <f>_xlfn.XLOOKUP("LOADINGSPEEDDEF_"&amp;PROPERTIES[[#This Row],[LOADINGSPEED]],LOADINGSPEEDDEF[TYPE],LOADINGSPEEDDEF[SPEED])</f>
        <v>20</v>
      </c>
      <c r="O771" cm="1">
        <f t="array" ref="O7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1">
        <f>IF(ISNUMBER(SEARCH("passenger",PROPERTIES[[#This Row],[CARGODEF]])),1,0)</f>
        <v>1</v>
      </c>
      <c r="Q771" s="23">
        <v>49</v>
      </c>
      <c r="R771">
        <v>0</v>
      </c>
      <c r="S771">
        <v>0</v>
      </c>
      <c r="T771">
        <v>0</v>
      </c>
      <c r="U771">
        <v>0</v>
      </c>
      <c r="V771">
        <v>200</v>
      </c>
      <c r="W771">
        <v>0</v>
      </c>
      <c r="X771">
        <v>0</v>
      </c>
      <c r="Y771">
        <v>0</v>
      </c>
      <c r="Z771" s="20">
        <v>0</v>
      </c>
      <c r="AA771" s="19">
        <f>IFERROR(PROPERTIES[[#This Row],[TE_STARTING_KN]]/(PROPERTIES[[#This Row],[WEIGHT]]*9.81),0)</f>
        <v>0</v>
      </c>
      <c r="AB771" s="19">
        <v>0.3</v>
      </c>
      <c r="AC771" s="16">
        <f>ROUND(IF(IFERROR(PROPERTIES[[#This Row],[TE_COEFFICIENT_CALC]],0)=0,PROPERTIES[[#This Row],[TE_COEFFICIENT_MANUAL]],PROPERTIES[[#This Row],[TE_COEFFICIENT_CALC]]),3)</f>
        <v>0.3</v>
      </c>
      <c r="AD771" s="8" cm="1">
        <f t="array" ref="AD7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1" s="26">
        <v>0</v>
      </c>
      <c r="AF771" s="6">
        <v>0</v>
      </c>
      <c r="AG771" t="s">
        <v>240</v>
      </c>
      <c r="AH771" t="s">
        <v>232</v>
      </c>
      <c r="AI771" t="s">
        <v>229</v>
      </c>
      <c r="AJ771" s="2" t="s">
        <v>229</v>
      </c>
      <c r="AK771" s="2" t="s">
        <v>244</v>
      </c>
      <c r="AL77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1" s="2" t="str">
        <f>SUBSTITUTE(SUBSTITUTE(PROPERTIES[[#This Row],[PURCHASECOST_VALUE]], "PURCHASECOST_", ""), "_VALUE", "")</f>
        <v>COACH</v>
      </c>
      <c r="AO771" s="44" t="b">
        <v>0</v>
      </c>
      <c r="AP771" s="48" t="b">
        <v>0</v>
      </c>
      <c r="AQ771" s="48" t="b">
        <v>0</v>
      </c>
      <c r="AR771" s="48">
        <v>0</v>
      </c>
      <c r="AS771" s="48" t="b">
        <v>0</v>
      </c>
      <c r="AT771" s="7" t="b">
        <v>0</v>
      </c>
      <c r="AU771" s="40" t="str" cm="1">
        <f t="array" ref="AU771">_xlfn.XLOOKUP(PROPERTIES[[#This Row],[VEHIDCODE]],GRAPHICS_PROPERTIES[VEHIDCODE],GRAPHICS_PROPERTIES[TEMPLATE_ID]&amp;GRAPHICS_PROPERTIES[TEMPLATE_AMENDMENT_CODE])</f>
        <v>TPL_04A</v>
      </c>
    </row>
    <row r="772" spans="1:47" x14ac:dyDescent="0.35">
      <c r="A772" s="2" t="s">
        <v>135</v>
      </c>
      <c r="B772">
        <v>1970</v>
      </c>
      <c r="D772" cm="1">
        <f t="array" ref="D7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2" s="40" t="str">
        <f>_xlfn.XLOOKUP(PROPERTIES[[#This Row],[VEHIDCODE]],CONTROL[VEHIDCODE],CONTROL[ENGLISH])</f>
        <v>Comet Commuter Coach</v>
      </c>
      <c r="G772" s="40" t="str">
        <f>_xlfn.XLOOKUP(PROPERTIES[[#This Row],[COUNTRY]],COUNTRIES[COUNTRY_DESCRIPTION],COUNTRIES[COUNTRY_LABEL],"")</f>
        <v/>
      </c>
      <c r="H772" t="str" cm="1">
        <f t="array" ref="H7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2" t="s">
        <v>22</v>
      </c>
      <c r="J772">
        <v>117</v>
      </c>
      <c r="K772">
        <v>8</v>
      </c>
      <c r="L772">
        <v>0</v>
      </c>
      <c r="M772" t="str" cm="1">
        <f t="array" ref="M7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72">
        <f>_xlfn.XLOOKUP("LOADINGSPEEDDEF_"&amp;PROPERTIES[[#This Row],[LOADINGSPEED]],LOADINGSPEEDDEF[TYPE],LOADINGSPEEDDEF[SPEED])</f>
        <v>60</v>
      </c>
      <c r="O772" cm="1">
        <f t="array" ref="O7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2">
        <f>IF(ISNUMBER(SEARCH("passenger",PROPERTIES[[#This Row],[CARGODEF]])),1,0)</f>
        <v>1</v>
      </c>
      <c r="Q772" s="23">
        <v>42</v>
      </c>
      <c r="R772">
        <v>0</v>
      </c>
      <c r="S772">
        <v>0</v>
      </c>
      <c r="T772">
        <v>0</v>
      </c>
      <c r="U772">
        <v>0</v>
      </c>
      <c r="V772">
        <v>160</v>
      </c>
      <c r="W772">
        <v>0</v>
      </c>
      <c r="X772">
        <v>0</v>
      </c>
      <c r="Y772">
        <v>0</v>
      </c>
      <c r="Z772" s="20">
        <v>0</v>
      </c>
      <c r="AA772" s="19">
        <f>IFERROR(PROPERTIES[[#This Row],[TE_STARTING_KN]]/(PROPERTIES[[#This Row],[WEIGHT]]*9.81),0)</f>
        <v>0</v>
      </c>
      <c r="AB772" s="19">
        <v>0.3</v>
      </c>
      <c r="AC772" s="16">
        <f>ROUND(IF(IFERROR(PROPERTIES[[#This Row],[TE_COEFFICIENT_CALC]],0)=0,PROPERTIES[[#This Row],[TE_COEFFICIENT_MANUAL]],PROPERTIES[[#This Row],[TE_COEFFICIENT_CALC]]),3)</f>
        <v>0.3</v>
      </c>
      <c r="AD772" s="8" cm="1">
        <f t="array" ref="AD7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2" s="26">
        <v>0</v>
      </c>
      <c r="AF772" s="6">
        <v>0</v>
      </c>
      <c r="AG772" t="s">
        <v>240</v>
      </c>
      <c r="AH772" t="s">
        <v>232</v>
      </c>
      <c r="AI772" t="s">
        <v>229</v>
      </c>
      <c r="AJ772" s="2" t="s">
        <v>229</v>
      </c>
      <c r="AK772" s="2" t="s">
        <v>244</v>
      </c>
      <c r="AL77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2" s="2" t="str">
        <f>SUBSTITUTE(SUBSTITUTE(PROPERTIES[[#This Row],[PURCHASECOST_VALUE]], "PURCHASECOST_", ""), "_VALUE", "")</f>
        <v>COACH</v>
      </c>
      <c r="AO772" s="44" t="b">
        <v>0</v>
      </c>
      <c r="AP772" s="48" t="b">
        <v>1</v>
      </c>
      <c r="AQ772" s="48" t="b">
        <v>0</v>
      </c>
      <c r="AR772" s="48">
        <v>0</v>
      </c>
      <c r="AS772" s="48" t="b">
        <v>0</v>
      </c>
      <c r="AT772" s="7" t="b">
        <v>0</v>
      </c>
      <c r="AU772" s="40" t="str" cm="1">
        <f t="array" ref="AU772">_xlfn.XLOOKUP(PROPERTIES[[#This Row],[VEHIDCODE]],GRAPHICS_PROPERTIES[VEHIDCODE],GRAPHICS_PROPERTIES[TEMPLATE_ID]&amp;GRAPHICS_PROPERTIES[TEMPLATE_AMENDMENT_CODE])</f>
        <v>TPL_04A</v>
      </c>
    </row>
    <row r="773" spans="1:47" x14ac:dyDescent="0.35">
      <c r="A773" s="2" t="s">
        <v>136</v>
      </c>
      <c r="B773">
        <v>1970</v>
      </c>
      <c r="D773" cm="1">
        <f t="array" ref="D7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3" s="40" t="str">
        <f>_xlfn.XLOOKUP(PROPERTIES[[#This Row],[VEHIDCODE]],CONTROL[VEHIDCODE],CONTROL[ENGLISH])</f>
        <v>Horizon Regional Coach</v>
      </c>
      <c r="G773" s="40" t="str">
        <f>_xlfn.XLOOKUP(PROPERTIES[[#This Row],[COUNTRY]],COUNTRIES[COUNTRY_DESCRIPTION],COUNTRIES[COUNTRY_LABEL],"")</f>
        <v/>
      </c>
      <c r="H773" t="str" cm="1">
        <f t="array" ref="H7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3" t="s">
        <v>22</v>
      </c>
      <c r="J773">
        <v>72</v>
      </c>
      <c r="K773">
        <v>8</v>
      </c>
      <c r="L773">
        <v>0</v>
      </c>
      <c r="M773" t="str" cm="1">
        <f t="array" ref="M7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3">
        <f>_xlfn.XLOOKUP("LOADINGSPEEDDEF_"&amp;PROPERTIES[[#This Row],[LOADINGSPEED]],LOADINGSPEEDDEF[TYPE],LOADINGSPEEDDEF[SPEED])</f>
        <v>20</v>
      </c>
      <c r="O773" cm="1">
        <f t="array" ref="O7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3">
        <f>IF(ISNUMBER(SEARCH("passenger",PROPERTIES[[#This Row],[CARGODEF]])),1,0)</f>
        <v>1</v>
      </c>
      <c r="Q773" s="23">
        <v>43</v>
      </c>
      <c r="R773">
        <v>0</v>
      </c>
      <c r="S773">
        <v>0</v>
      </c>
      <c r="T773">
        <v>0</v>
      </c>
      <c r="U773">
        <v>0</v>
      </c>
      <c r="V773">
        <v>200</v>
      </c>
      <c r="W773">
        <v>0</v>
      </c>
      <c r="X773">
        <v>0</v>
      </c>
      <c r="Y773">
        <v>0</v>
      </c>
      <c r="Z773" s="20">
        <v>0</v>
      </c>
      <c r="AA773" s="19">
        <f>IFERROR(PROPERTIES[[#This Row],[TE_STARTING_KN]]/(PROPERTIES[[#This Row],[WEIGHT]]*9.81),0)</f>
        <v>0</v>
      </c>
      <c r="AB773" s="19">
        <v>0.3</v>
      </c>
      <c r="AC773" s="16">
        <f>ROUND(IF(IFERROR(PROPERTIES[[#This Row],[TE_COEFFICIENT_CALC]],0)=0,PROPERTIES[[#This Row],[TE_COEFFICIENT_MANUAL]],PROPERTIES[[#This Row],[TE_COEFFICIENT_CALC]]),3)</f>
        <v>0.3</v>
      </c>
      <c r="AD773" s="8" cm="1">
        <f t="array" ref="AD7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3" s="26">
        <v>0</v>
      </c>
      <c r="AF773" s="6">
        <v>0</v>
      </c>
      <c r="AG773" t="s">
        <v>240</v>
      </c>
      <c r="AH773" t="s">
        <v>232</v>
      </c>
      <c r="AI773" t="s">
        <v>229</v>
      </c>
      <c r="AJ773" s="2" t="s">
        <v>229</v>
      </c>
      <c r="AK773" s="2" t="s">
        <v>244</v>
      </c>
      <c r="AL77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3" s="2" t="str">
        <f>SUBSTITUTE(SUBSTITUTE(PROPERTIES[[#This Row],[PURCHASECOST_VALUE]], "PURCHASECOST_", ""), "_VALUE", "")</f>
        <v>COACH</v>
      </c>
      <c r="AO773" s="44" t="b">
        <v>0</v>
      </c>
      <c r="AP773" s="48" t="b">
        <v>0</v>
      </c>
      <c r="AQ773" s="48" t="b">
        <v>0</v>
      </c>
      <c r="AR773" s="48">
        <v>0</v>
      </c>
      <c r="AS773" s="48" t="b">
        <v>0</v>
      </c>
      <c r="AT773" s="7" t="b">
        <v>0</v>
      </c>
      <c r="AU773" s="40" t="str" cm="1">
        <f t="array" ref="AU773">_xlfn.XLOOKUP(PROPERTIES[[#This Row],[VEHIDCODE]],GRAPHICS_PROPERTIES[VEHIDCODE],GRAPHICS_PROPERTIES[TEMPLATE_ID]&amp;GRAPHICS_PROPERTIES[TEMPLATE_AMENDMENT_CODE])</f>
        <v>TPL_04A</v>
      </c>
    </row>
    <row r="774" spans="1:47" x14ac:dyDescent="0.35">
      <c r="A774" s="2" t="s">
        <v>137</v>
      </c>
      <c r="B774">
        <v>1970</v>
      </c>
      <c r="D774" cm="1">
        <f t="array" ref="D7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4" s="40" t="str">
        <f>_xlfn.XLOOKUP(PROPERTIES[[#This Row],[VEHIDCODE]],CONTROL[VEHIDCODE],CONTROL[ENGLISH])</f>
        <v>Horizon Baggage Coach</v>
      </c>
      <c r="G774" s="40" t="str">
        <f>_xlfn.XLOOKUP(PROPERTIES[[#This Row],[COUNTRY]],COUNTRIES[COUNTRY_DESCRIPTION],COUNTRIES[COUNTRY_LABEL],"")</f>
        <v/>
      </c>
      <c r="H774" t="str" cm="1">
        <f t="array" ref="H7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4" t="s">
        <v>36</v>
      </c>
      <c r="J774">
        <v>160</v>
      </c>
      <c r="K774">
        <v>8</v>
      </c>
      <c r="L774">
        <v>0</v>
      </c>
      <c r="M774" t="str" cm="1">
        <f t="array" ref="M7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74">
        <f>_xlfn.XLOOKUP("LOADINGSPEEDDEF_"&amp;PROPERTIES[[#This Row],[LOADINGSPEED]],LOADINGSPEEDDEF[TYPE],LOADINGSPEEDDEF[SPEED])</f>
        <v>15</v>
      </c>
      <c r="O774" cm="1">
        <f t="array" ref="O7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4">
        <f>IF(ISNUMBER(SEARCH("passenger",PROPERTIES[[#This Row],[CARGODEF]])),1,0)</f>
        <v>0</v>
      </c>
      <c r="Q774" s="23">
        <v>42</v>
      </c>
      <c r="R774">
        <v>0</v>
      </c>
      <c r="S774">
        <v>0</v>
      </c>
      <c r="T774">
        <v>0</v>
      </c>
      <c r="U774">
        <v>0</v>
      </c>
      <c r="V774">
        <v>200</v>
      </c>
      <c r="W774">
        <v>0</v>
      </c>
      <c r="X774">
        <v>0</v>
      </c>
      <c r="Y774">
        <v>0</v>
      </c>
      <c r="Z774" s="20">
        <v>0</v>
      </c>
      <c r="AA774" s="19">
        <f>IFERROR(PROPERTIES[[#This Row],[TE_STARTING_KN]]/(PROPERTIES[[#This Row],[WEIGHT]]*9.81),0)</f>
        <v>0</v>
      </c>
      <c r="AB774" s="19">
        <v>0.3</v>
      </c>
      <c r="AC774" s="16">
        <f>ROUND(IF(IFERROR(PROPERTIES[[#This Row],[TE_COEFFICIENT_CALC]],0)=0,PROPERTIES[[#This Row],[TE_COEFFICIENT_MANUAL]],PROPERTIES[[#This Row],[TE_COEFFICIENT_CALC]]),3)</f>
        <v>0.3</v>
      </c>
      <c r="AD774" s="8" cm="1">
        <f t="array" ref="AD7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4" s="26">
        <v>0</v>
      </c>
      <c r="AF774" s="6">
        <v>0</v>
      </c>
      <c r="AG774" t="s">
        <v>240</v>
      </c>
      <c r="AH774" t="s">
        <v>232</v>
      </c>
      <c r="AI774" t="s">
        <v>229</v>
      </c>
      <c r="AJ774" s="2" t="s">
        <v>229</v>
      </c>
      <c r="AK774" s="2" t="s">
        <v>244</v>
      </c>
      <c r="AL77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4" s="2" t="str">
        <f>SUBSTITUTE(SUBSTITUTE(PROPERTIES[[#This Row],[PURCHASECOST_VALUE]], "PURCHASECOST_", ""), "_VALUE", "")</f>
        <v>COACH</v>
      </c>
      <c r="AO774" s="44" t="b">
        <v>0</v>
      </c>
      <c r="AP774" s="48" t="b">
        <v>0</v>
      </c>
      <c r="AQ774" s="48" t="b">
        <v>0</v>
      </c>
      <c r="AR774" s="48">
        <v>0</v>
      </c>
      <c r="AS774" s="48" t="b">
        <v>0</v>
      </c>
      <c r="AT774" s="7" t="b">
        <v>0</v>
      </c>
      <c r="AU774" s="40" t="str" cm="1">
        <f t="array" ref="AU774">_xlfn.XLOOKUP(PROPERTIES[[#This Row],[VEHIDCODE]],GRAPHICS_PROPERTIES[VEHIDCODE],GRAPHICS_PROPERTIES[TEMPLATE_ID]&amp;GRAPHICS_PROPERTIES[TEMPLATE_AMENDMENT_CODE])</f>
        <v>TPL_04A</v>
      </c>
    </row>
    <row r="775" spans="1:47" x14ac:dyDescent="0.35">
      <c r="A775" s="2" t="s">
        <v>138</v>
      </c>
      <c r="B775">
        <v>1970</v>
      </c>
      <c r="D775" cm="1">
        <f t="array" ref="D7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5" s="40" t="str">
        <f>_xlfn.XLOOKUP(PROPERTIES[[#This Row],[VEHIDCODE]],CONTROL[VEHIDCODE],CONTROL[ENGLISH])</f>
        <v>Bombardier Bi-level</v>
      </c>
      <c r="G775" s="40" t="str">
        <f>_xlfn.XLOOKUP(PROPERTIES[[#This Row],[COUNTRY]],COUNTRIES[COUNTRY_DESCRIPTION],COUNTRIES[COUNTRY_LABEL],"")</f>
        <v/>
      </c>
      <c r="H775" t="str" cm="1">
        <f t="array" ref="H7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5" t="s">
        <v>22</v>
      </c>
      <c r="J775">
        <f>160+200</f>
        <v>360</v>
      </c>
      <c r="K775">
        <v>8</v>
      </c>
      <c r="L775">
        <v>0</v>
      </c>
      <c r="M775" t="str" cm="1">
        <f t="array" ref="M7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75">
        <f>_xlfn.XLOOKUP("LOADINGSPEEDDEF_"&amp;PROPERTIES[[#This Row],[LOADINGSPEED]],LOADINGSPEEDDEF[TYPE],LOADINGSPEEDDEF[SPEED])</f>
        <v>60</v>
      </c>
      <c r="O775" cm="1">
        <f t="array" ref="O7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5">
        <f>IF(ISNUMBER(SEARCH("passenger",PROPERTIES[[#This Row],[CARGODEF]])),1,0)</f>
        <v>1</v>
      </c>
      <c r="Q775" s="23">
        <v>54</v>
      </c>
      <c r="R775">
        <v>0</v>
      </c>
      <c r="S775">
        <v>0</v>
      </c>
      <c r="T775">
        <v>0</v>
      </c>
      <c r="U775">
        <v>0</v>
      </c>
      <c r="V775">
        <v>160</v>
      </c>
      <c r="W775">
        <v>0</v>
      </c>
      <c r="X775">
        <v>0</v>
      </c>
      <c r="Y775">
        <v>0</v>
      </c>
      <c r="Z775" s="20">
        <v>0</v>
      </c>
      <c r="AA775" s="19">
        <f>IFERROR(PROPERTIES[[#This Row],[TE_STARTING_KN]]/(PROPERTIES[[#This Row],[WEIGHT]]*9.81),0)</f>
        <v>0</v>
      </c>
      <c r="AB775" s="19">
        <v>0.3</v>
      </c>
      <c r="AC775" s="16">
        <f>ROUND(IF(IFERROR(PROPERTIES[[#This Row],[TE_COEFFICIENT_CALC]],0)=0,PROPERTIES[[#This Row],[TE_COEFFICIENT_MANUAL]],PROPERTIES[[#This Row],[TE_COEFFICIENT_CALC]]),3)</f>
        <v>0.3</v>
      </c>
      <c r="AD775" s="8" cm="1">
        <f t="array" ref="AD7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5" s="26">
        <v>0</v>
      </c>
      <c r="AF775" s="6">
        <v>0</v>
      </c>
      <c r="AG775" t="s">
        <v>240</v>
      </c>
      <c r="AH775" t="s">
        <v>232</v>
      </c>
      <c r="AI775" t="s">
        <v>229</v>
      </c>
      <c r="AJ775" s="2" t="s">
        <v>229</v>
      </c>
      <c r="AK775" s="2" t="s">
        <v>244</v>
      </c>
      <c r="AL77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5" s="2" t="str">
        <f>SUBSTITUTE(SUBSTITUTE(PROPERTIES[[#This Row],[PURCHASECOST_VALUE]], "PURCHASECOST_", ""), "_VALUE", "")</f>
        <v>COACH</v>
      </c>
      <c r="AO775" s="44" t="b">
        <v>0</v>
      </c>
      <c r="AP775" s="48" t="b">
        <v>1</v>
      </c>
      <c r="AQ775" s="48" t="b">
        <v>0</v>
      </c>
      <c r="AR775" s="48">
        <v>0</v>
      </c>
      <c r="AS775" s="48" t="b">
        <v>0</v>
      </c>
      <c r="AT775" s="7" t="b">
        <v>0</v>
      </c>
      <c r="AU775" s="40" t="str" cm="1">
        <f t="array" ref="AU775">_xlfn.XLOOKUP(PROPERTIES[[#This Row],[VEHIDCODE]],GRAPHICS_PROPERTIES[VEHIDCODE],GRAPHICS_PROPERTIES[TEMPLATE_ID]&amp;GRAPHICS_PROPERTIES[TEMPLATE_AMENDMENT_CODE])</f>
        <v>TPL_04A</v>
      </c>
    </row>
    <row r="776" spans="1:47" x14ac:dyDescent="0.35">
      <c r="A776" s="2" t="s">
        <v>139</v>
      </c>
      <c r="B776">
        <v>2000</v>
      </c>
      <c r="D776" cm="1">
        <f t="array" ref="D7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6" s="40" t="str">
        <f>_xlfn.XLOOKUP(PROPERTIES[[#This Row],[VEHIDCODE]],CONTROL[VEHIDCODE],CONTROL[ENGLISH])</f>
        <v>High Speed Coach</v>
      </c>
      <c r="G776" s="40" t="str">
        <f>_xlfn.XLOOKUP(PROPERTIES[[#This Row],[COUNTRY]],COUNTRIES[COUNTRY_DESCRIPTION],COUNTRIES[COUNTRY_LABEL],"")</f>
        <v/>
      </c>
      <c r="H776" t="str" cm="1">
        <f t="array" ref="H7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6" t="s">
        <v>22</v>
      </c>
      <c r="J776">
        <v>80</v>
      </c>
      <c r="K776">
        <v>8</v>
      </c>
      <c r="L776">
        <v>0</v>
      </c>
      <c r="M776" t="str" cm="1">
        <f t="array" ref="M7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6">
        <f>_xlfn.XLOOKUP("LOADINGSPEEDDEF_"&amp;PROPERTIES[[#This Row],[LOADINGSPEED]],LOADINGSPEEDDEF[TYPE],LOADINGSPEEDDEF[SPEED])</f>
        <v>20</v>
      </c>
      <c r="O776" t="str" cm="1">
        <f t="array" ref="O7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76">
        <f>IF(ISNUMBER(SEARCH("passenger",PROPERTIES[[#This Row],[CARGODEF]])),1,0)</f>
        <v>1</v>
      </c>
      <c r="Q776" s="23">
        <v>52</v>
      </c>
      <c r="R776">
        <v>0</v>
      </c>
      <c r="S776">
        <v>0</v>
      </c>
      <c r="T776">
        <v>0</v>
      </c>
      <c r="U776">
        <v>0</v>
      </c>
      <c r="V776">
        <v>250</v>
      </c>
      <c r="W776">
        <v>0</v>
      </c>
      <c r="X776">
        <v>0</v>
      </c>
      <c r="Y776">
        <v>0</v>
      </c>
      <c r="Z776" s="20">
        <v>0</v>
      </c>
      <c r="AA776" s="19">
        <f>IFERROR(PROPERTIES[[#This Row],[TE_STARTING_KN]]/(PROPERTIES[[#This Row],[WEIGHT]]*9.81),0)</f>
        <v>0</v>
      </c>
      <c r="AB776" s="19">
        <v>0.3</v>
      </c>
      <c r="AC776" s="16">
        <f>ROUND(IF(IFERROR(PROPERTIES[[#This Row],[TE_COEFFICIENT_CALC]],0)=0,PROPERTIES[[#This Row],[TE_COEFFICIENT_MANUAL]],PROPERTIES[[#This Row],[TE_COEFFICIENT_CALC]]),3)</f>
        <v>0.3</v>
      </c>
      <c r="AD776" s="8" cm="1">
        <f t="array" ref="AD7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6" s="26">
        <v>0</v>
      </c>
      <c r="AF776" s="6">
        <v>0</v>
      </c>
      <c r="AG776" t="s">
        <v>241</v>
      </c>
      <c r="AH776" t="s">
        <v>229</v>
      </c>
      <c r="AI776" t="s">
        <v>229</v>
      </c>
      <c r="AJ776" s="2" t="s">
        <v>229</v>
      </c>
      <c r="AK776" s="2" t="s">
        <v>244</v>
      </c>
      <c r="AL77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6" s="2" t="str">
        <f>SUBSTITUTE(SUBSTITUTE(PROPERTIES[[#This Row],[PURCHASECOST_VALUE]], "PURCHASECOST_", ""), "_VALUE", "")</f>
        <v>COACH</v>
      </c>
      <c r="AO776" s="44" t="b">
        <v>0</v>
      </c>
      <c r="AP776" s="48" t="b">
        <v>1</v>
      </c>
      <c r="AQ776" s="48" t="b">
        <v>0</v>
      </c>
      <c r="AR776" s="48">
        <v>0</v>
      </c>
      <c r="AS776" s="48" t="b">
        <v>0</v>
      </c>
      <c r="AT776" s="7" t="b">
        <v>0</v>
      </c>
      <c r="AU776" s="40" t="str" cm="1">
        <f t="array" ref="AU776">_xlfn.XLOOKUP(PROPERTIES[[#This Row],[VEHIDCODE]],GRAPHICS_PROPERTIES[VEHIDCODE],GRAPHICS_PROPERTIES[TEMPLATE_ID]&amp;GRAPHICS_PROPERTIES[TEMPLATE_AMENDMENT_CODE])</f>
        <v>TPL_04A</v>
      </c>
    </row>
    <row r="777" spans="1:47" x14ac:dyDescent="0.35">
      <c r="A777" s="2" t="s">
        <v>140</v>
      </c>
      <c r="B777">
        <v>2000</v>
      </c>
      <c r="D777" cm="1">
        <f t="array" ref="D7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7" s="40" t="str">
        <f>_xlfn.XLOOKUP(PROPERTIES[[#This Row],[VEHIDCODE]],CONTROL[VEHIDCODE],CONTROL[ENGLISH])</f>
        <v>Modern Regional Coach</v>
      </c>
      <c r="G777" s="40" t="str">
        <f>_xlfn.XLOOKUP(PROPERTIES[[#This Row],[COUNTRY]],COUNTRIES[COUNTRY_DESCRIPTION],COUNTRIES[COUNTRY_LABEL],"")</f>
        <v/>
      </c>
      <c r="H777" t="str" cm="1">
        <f t="array" ref="H7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7" t="s">
        <v>22</v>
      </c>
      <c r="J777">
        <v>160</v>
      </c>
      <c r="K777">
        <v>8</v>
      </c>
      <c r="L777">
        <v>0</v>
      </c>
      <c r="M777" t="str" cm="1">
        <f t="array" ref="M7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7">
        <f>_xlfn.XLOOKUP("LOADINGSPEEDDEF_"&amp;PROPERTIES[[#This Row],[LOADINGSPEED]],LOADINGSPEEDDEF[TYPE],LOADINGSPEEDDEF[SPEED])</f>
        <v>20</v>
      </c>
      <c r="O777" t="str" cm="1">
        <f t="array" ref="O7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77">
        <f>IF(ISNUMBER(SEARCH("passenger",PROPERTIES[[#This Row],[CARGODEF]])),1,0)</f>
        <v>1</v>
      </c>
      <c r="Q777" s="23">
        <v>50</v>
      </c>
      <c r="R777">
        <v>0</v>
      </c>
      <c r="S777">
        <v>0</v>
      </c>
      <c r="T777">
        <v>0</v>
      </c>
      <c r="U777">
        <v>0</v>
      </c>
      <c r="V777">
        <v>200</v>
      </c>
      <c r="W777">
        <v>0</v>
      </c>
      <c r="X777">
        <v>0</v>
      </c>
      <c r="Y777">
        <v>0</v>
      </c>
      <c r="Z777" s="20">
        <v>0</v>
      </c>
      <c r="AA777" s="19">
        <f>IFERROR(PROPERTIES[[#This Row],[TE_STARTING_KN]]/(PROPERTIES[[#This Row],[WEIGHT]]*9.81),0)</f>
        <v>0</v>
      </c>
      <c r="AB777" s="19">
        <v>0.3</v>
      </c>
      <c r="AC777" s="16">
        <f>ROUND(IF(IFERROR(PROPERTIES[[#This Row],[TE_COEFFICIENT_CALC]],0)=0,PROPERTIES[[#This Row],[TE_COEFFICIENT_MANUAL]],PROPERTIES[[#This Row],[TE_COEFFICIENT_CALC]]),3)</f>
        <v>0.3</v>
      </c>
      <c r="AD777" s="8" cm="1">
        <f t="array" ref="AD7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7" s="26">
        <v>0</v>
      </c>
      <c r="AF777" s="6">
        <v>0</v>
      </c>
      <c r="AG777" t="s">
        <v>241</v>
      </c>
      <c r="AH777" t="s">
        <v>229</v>
      </c>
      <c r="AI777" t="s">
        <v>229</v>
      </c>
      <c r="AJ777" s="2" t="s">
        <v>229</v>
      </c>
      <c r="AK777" s="2" t="s">
        <v>244</v>
      </c>
      <c r="AL77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7" s="2" t="str">
        <f>SUBSTITUTE(SUBSTITUTE(PROPERTIES[[#This Row],[PURCHASECOST_VALUE]], "PURCHASECOST_", ""), "_VALUE", "")</f>
        <v>COACH</v>
      </c>
      <c r="AO777" s="44" t="b">
        <v>0</v>
      </c>
      <c r="AP777" s="48" t="b">
        <v>1</v>
      </c>
      <c r="AQ777" s="48" t="b">
        <v>0</v>
      </c>
      <c r="AR777" s="48">
        <v>0</v>
      </c>
      <c r="AS777" s="48" t="b">
        <v>0</v>
      </c>
      <c r="AT777" s="7" t="b">
        <v>0</v>
      </c>
      <c r="AU777" s="40" t="str" cm="1">
        <f t="array" ref="AU777">_xlfn.XLOOKUP(PROPERTIES[[#This Row],[VEHIDCODE]],GRAPHICS_PROPERTIES[VEHIDCODE],GRAPHICS_PROPERTIES[TEMPLATE_ID]&amp;GRAPHICS_PROPERTIES[TEMPLATE_AMENDMENT_CODE])</f>
        <v>TPL_04A</v>
      </c>
    </row>
    <row r="778" spans="1:47" x14ac:dyDescent="0.35">
      <c r="A778" s="2" t="s">
        <v>141</v>
      </c>
      <c r="B778">
        <v>2000</v>
      </c>
      <c r="D778" cm="1">
        <f t="array" ref="D7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8" s="40" t="str">
        <f>_xlfn.XLOOKUP(PROPERTIES[[#This Row],[VEHIDCODE]],CONTROL[VEHIDCODE],CONTROL[ENGLISH])</f>
        <v>Modern Commuter Coach</v>
      </c>
      <c r="G778" s="40" t="str">
        <f>_xlfn.XLOOKUP(PROPERTIES[[#This Row],[COUNTRY]],COUNTRIES[COUNTRY_DESCRIPTION],COUNTRIES[COUNTRY_LABEL],"")</f>
        <v/>
      </c>
      <c r="H778" t="str" cm="1">
        <f t="array" ref="H7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8" t="s">
        <v>22</v>
      </c>
      <c r="J778">
        <v>220</v>
      </c>
      <c r="K778">
        <v>8</v>
      </c>
      <c r="L778">
        <v>0</v>
      </c>
      <c r="M778" t="str" cm="1">
        <f t="array" ref="M7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8">
        <f>_xlfn.XLOOKUP("LOADINGSPEEDDEF_"&amp;PROPERTIES[[#This Row],[LOADINGSPEED]],LOADINGSPEEDDEF[TYPE],LOADINGSPEEDDEF[SPEED])</f>
        <v>20</v>
      </c>
      <c r="O778" t="str" cm="1">
        <f t="array" ref="O7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78">
        <f>IF(ISNUMBER(SEARCH("passenger",PROPERTIES[[#This Row],[CARGODEF]])),1,0)</f>
        <v>1</v>
      </c>
      <c r="Q778" s="23">
        <v>48</v>
      </c>
      <c r="R778">
        <v>0</v>
      </c>
      <c r="S778">
        <v>0</v>
      </c>
      <c r="T778">
        <v>0</v>
      </c>
      <c r="U778">
        <v>0</v>
      </c>
      <c r="V778">
        <v>200</v>
      </c>
      <c r="W778">
        <v>0</v>
      </c>
      <c r="X778">
        <v>0</v>
      </c>
      <c r="Y778">
        <v>0</v>
      </c>
      <c r="Z778" s="20">
        <v>0</v>
      </c>
      <c r="AA778" s="19">
        <f>IFERROR(PROPERTIES[[#This Row],[TE_STARTING_KN]]/(PROPERTIES[[#This Row],[WEIGHT]]*9.81),0)</f>
        <v>0</v>
      </c>
      <c r="AB778" s="19">
        <v>0.3</v>
      </c>
      <c r="AC778" s="16">
        <f>ROUND(IF(IFERROR(PROPERTIES[[#This Row],[TE_COEFFICIENT_CALC]],0)=0,PROPERTIES[[#This Row],[TE_COEFFICIENT_MANUAL]],PROPERTIES[[#This Row],[TE_COEFFICIENT_CALC]]),3)</f>
        <v>0.3</v>
      </c>
      <c r="AD778" s="8" cm="1">
        <f t="array" ref="AD7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8" s="26">
        <v>0</v>
      </c>
      <c r="AF778" s="6">
        <v>0</v>
      </c>
      <c r="AG778" t="s">
        <v>241</v>
      </c>
      <c r="AH778" t="s">
        <v>229</v>
      </c>
      <c r="AI778" t="s">
        <v>229</v>
      </c>
      <c r="AJ778" s="2" t="s">
        <v>229</v>
      </c>
      <c r="AK778" s="2" t="s">
        <v>244</v>
      </c>
      <c r="AL77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8" s="2" t="str">
        <f>SUBSTITUTE(SUBSTITUTE(PROPERTIES[[#This Row],[PURCHASECOST_VALUE]], "PURCHASECOST_", ""), "_VALUE", "")</f>
        <v>COACH</v>
      </c>
      <c r="AO778" s="44" t="b">
        <v>0</v>
      </c>
      <c r="AP778" s="48" t="b">
        <v>1</v>
      </c>
      <c r="AQ778" s="48" t="b">
        <v>0</v>
      </c>
      <c r="AR778" s="48">
        <v>0</v>
      </c>
      <c r="AS778" s="48" t="b">
        <v>0</v>
      </c>
      <c r="AT778" s="7" t="b">
        <v>0</v>
      </c>
      <c r="AU778" s="40" t="str" cm="1">
        <f t="array" ref="AU778">_xlfn.XLOOKUP(PROPERTIES[[#This Row],[VEHIDCODE]],GRAPHICS_PROPERTIES[VEHIDCODE],GRAPHICS_PROPERTIES[TEMPLATE_ID]&amp;GRAPHICS_PROPERTIES[TEMPLATE_AMENDMENT_CODE])</f>
        <v>TPL_04A</v>
      </c>
    </row>
    <row r="779" spans="1:47" x14ac:dyDescent="0.35">
      <c r="A779" s="2" t="s">
        <v>142</v>
      </c>
      <c r="B779">
        <v>2000</v>
      </c>
      <c r="D779" cm="1">
        <f t="array" ref="D7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9" s="40" t="str">
        <f>_xlfn.XLOOKUP(PROPERTIES[[#This Row],[VEHIDCODE]],CONTROL[VEHIDCODE],CONTROL[ENGLISH])</f>
        <v xml:space="preserve">Modern Double Decker Coach </v>
      </c>
      <c r="G779" s="40" t="str">
        <f>_xlfn.XLOOKUP(PROPERTIES[[#This Row],[COUNTRY]],COUNTRIES[COUNTRY_DESCRIPTION],COUNTRIES[COUNTRY_LABEL],"")</f>
        <v/>
      </c>
      <c r="H779" t="str" cm="1">
        <f t="array" ref="H7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9" t="s">
        <v>22</v>
      </c>
      <c r="J779">
        <f>120+140</f>
        <v>260</v>
      </c>
      <c r="K779">
        <v>8</v>
      </c>
      <c r="L779">
        <v>0</v>
      </c>
      <c r="M779" t="str" cm="1">
        <f t="array" ref="M7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79">
        <f>_xlfn.XLOOKUP("LOADINGSPEEDDEF_"&amp;PROPERTIES[[#This Row],[LOADINGSPEED]],LOADINGSPEEDDEF[TYPE],LOADINGSPEEDDEF[SPEED])</f>
        <v>60</v>
      </c>
      <c r="O779" t="str" cm="1">
        <f t="array" ref="O7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79">
        <f>IF(ISNUMBER(SEARCH("passenger",PROPERTIES[[#This Row],[CARGODEF]])),1,0)</f>
        <v>1</v>
      </c>
      <c r="Q779" s="23">
        <v>55</v>
      </c>
      <c r="R779">
        <v>0</v>
      </c>
      <c r="S779">
        <v>0</v>
      </c>
      <c r="T779">
        <v>0</v>
      </c>
      <c r="U779">
        <v>0</v>
      </c>
      <c r="V779">
        <v>160</v>
      </c>
      <c r="W779">
        <v>0</v>
      </c>
      <c r="X779">
        <v>0</v>
      </c>
      <c r="Y779">
        <v>0</v>
      </c>
      <c r="Z779" s="20">
        <v>0</v>
      </c>
      <c r="AA779" s="19">
        <f>IFERROR(PROPERTIES[[#This Row],[TE_STARTING_KN]]/(PROPERTIES[[#This Row],[WEIGHT]]*9.81),0)</f>
        <v>0</v>
      </c>
      <c r="AB779" s="19">
        <v>0.3</v>
      </c>
      <c r="AC779" s="16">
        <f>ROUND(IF(IFERROR(PROPERTIES[[#This Row],[TE_COEFFICIENT_CALC]],0)=0,PROPERTIES[[#This Row],[TE_COEFFICIENT_MANUAL]],PROPERTIES[[#This Row],[TE_COEFFICIENT_CALC]]),3)</f>
        <v>0.3</v>
      </c>
      <c r="AD779" s="8" cm="1">
        <f t="array" ref="AD7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9" s="26">
        <v>0</v>
      </c>
      <c r="AF779" s="6">
        <v>0</v>
      </c>
      <c r="AG779" t="s">
        <v>241</v>
      </c>
      <c r="AH779" t="s">
        <v>229</v>
      </c>
      <c r="AI779" t="s">
        <v>229</v>
      </c>
      <c r="AJ779" s="2" t="s">
        <v>229</v>
      </c>
      <c r="AK779" s="2" t="s">
        <v>244</v>
      </c>
      <c r="AL77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9" s="2" t="str">
        <f>SUBSTITUTE(SUBSTITUTE(PROPERTIES[[#This Row],[PURCHASECOST_VALUE]], "PURCHASECOST_", ""), "_VALUE", "")</f>
        <v>COACH</v>
      </c>
      <c r="AO779" s="44" t="b">
        <v>0</v>
      </c>
      <c r="AP779" s="48" t="b">
        <v>1</v>
      </c>
      <c r="AQ779" s="48" t="b">
        <v>0</v>
      </c>
      <c r="AR779" s="48">
        <v>0</v>
      </c>
      <c r="AS779" s="48" t="b">
        <v>0</v>
      </c>
      <c r="AT779" s="7" t="b">
        <v>0</v>
      </c>
      <c r="AU779" s="40" t="str" cm="1">
        <f t="array" ref="AU779">_xlfn.XLOOKUP(PROPERTIES[[#This Row],[VEHIDCODE]],GRAPHICS_PROPERTIES[VEHIDCODE],GRAPHICS_PROPERTIES[TEMPLATE_ID]&amp;GRAPHICS_PROPERTIES[TEMPLATE_AMENDMENT_CODE])</f>
        <v>TPL_04A</v>
      </c>
    </row>
    <row r="780" spans="1:47" x14ac:dyDescent="0.35">
      <c r="A780" s="2" t="s">
        <v>143</v>
      </c>
      <c r="B780">
        <v>2000</v>
      </c>
      <c r="D780" cm="1">
        <f t="array" ref="D7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0" s="40" t="str">
        <f>_xlfn.XLOOKUP(PROPERTIES[[#This Row],[VEHIDCODE]],CONTROL[VEHIDCODE],CONTROL[ENGLISH])</f>
        <v>High Speed Double Decker</v>
      </c>
      <c r="G780" s="40" t="str">
        <f>_xlfn.XLOOKUP(PROPERTIES[[#This Row],[COUNTRY]],COUNTRIES[COUNTRY_DESCRIPTION],COUNTRIES[COUNTRY_LABEL],"")</f>
        <v/>
      </c>
      <c r="H780" t="str" cm="1">
        <f t="array" ref="H7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0" t="s">
        <v>22</v>
      </c>
      <c r="J780">
        <v>140</v>
      </c>
      <c r="K780">
        <v>8</v>
      </c>
      <c r="L780">
        <v>0</v>
      </c>
      <c r="M780" t="str" cm="1">
        <f t="array" ref="M7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0">
        <f>_xlfn.XLOOKUP("LOADINGSPEEDDEF_"&amp;PROPERTIES[[#This Row],[LOADINGSPEED]],LOADINGSPEEDDEF[TYPE],LOADINGSPEEDDEF[SPEED])</f>
        <v>20</v>
      </c>
      <c r="O780" t="str" cm="1">
        <f t="array" ref="O7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0">
        <f>IF(ISNUMBER(SEARCH("passenger",PROPERTIES[[#This Row],[CARGODEF]])),1,0)</f>
        <v>1</v>
      </c>
      <c r="Q780" s="23">
        <v>50</v>
      </c>
      <c r="R780">
        <v>0</v>
      </c>
      <c r="S780">
        <v>0</v>
      </c>
      <c r="T780">
        <v>0</v>
      </c>
      <c r="U780">
        <v>0</v>
      </c>
      <c r="V780">
        <v>200</v>
      </c>
      <c r="W780">
        <v>0</v>
      </c>
      <c r="X780">
        <v>0</v>
      </c>
      <c r="Y780">
        <v>0</v>
      </c>
      <c r="Z780" s="20">
        <v>0</v>
      </c>
      <c r="AA780" s="19">
        <f>IFERROR(PROPERTIES[[#This Row],[TE_STARTING_KN]]/(PROPERTIES[[#This Row],[WEIGHT]]*9.81),0)</f>
        <v>0</v>
      </c>
      <c r="AB780" s="19">
        <v>0.3</v>
      </c>
      <c r="AC780" s="16">
        <f>ROUND(IF(IFERROR(PROPERTIES[[#This Row],[TE_COEFFICIENT_CALC]],0)=0,PROPERTIES[[#This Row],[TE_COEFFICIENT_MANUAL]],PROPERTIES[[#This Row],[TE_COEFFICIENT_CALC]]),3)</f>
        <v>0.3</v>
      </c>
      <c r="AD780" s="8" cm="1">
        <f t="array" ref="AD7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0" s="26">
        <v>0</v>
      </c>
      <c r="AF780" s="6">
        <v>0</v>
      </c>
      <c r="AG780" t="s">
        <v>241</v>
      </c>
      <c r="AH780" t="s">
        <v>229</v>
      </c>
      <c r="AI780" t="s">
        <v>229</v>
      </c>
      <c r="AJ780" s="2" t="s">
        <v>229</v>
      </c>
      <c r="AK780" s="2" t="s">
        <v>244</v>
      </c>
      <c r="AL78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0" s="2" t="str">
        <f>SUBSTITUTE(SUBSTITUTE(PROPERTIES[[#This Row],[PURCHASECOST_VALUE]], "PURCHASECOST_", ""), "_VALUE", "")</f>
        <v>COACH</v>
      </c>
      <c r="AO780" s="44" t="b">
        <v>0</v>
      </c>
      <c r="AP780" s="48" t="b">
        <v>1</v>
      </c>
      <c r="AQ780" s="48" t="b">
        <v>0</v>
      </c>
      <c r="AR780" s="48">
        <v>0</v>
      </c>
      <c r="AS780" s="48" t="b">
        <v>0</v>
      </c>
      <c r="AT780" s="7" t="b">
        <v>0</v>
      </c>
      <c r="AU780" s="40" t="str" cm="1">
        <f t="array" ref="AU780">_xlfn.XLOOKUP(PROPERTIES[[#This Row],[VEHIDCODE]],GRAPHICS_PROPERTIES[VEHIDCODE],GRAPHICS_PROPERTIES[TEMPLATE_ID]&amp;GRAPHICS_PROPERTIES[TEMPLATE_AMENDMENT_CODE])</f>
        <v>TPL_04A</v>
      </c>
    </row>
    <row r="781" spans="1:47" x14ac:dyDescent="0.35">
      <c r="A781" s="2" t="s">
        <v>144</v>
      </c>
      <c r="B781">
        <v>2000</v>
      </c>
      <c r="D781" cm="1">
        <f t="array" ref="D7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1" s="40" t="str">
        <f>_xlfn.XLOOKUP(PROPERTIES[[#This Row],[VEHIDCODE]],CONTROL[VEHIDCODE],CONTROL[ENGLISH])</f>
        <v>High Speed Mail Coach</v>
      </c>
      <c r="G781" s="40" t="str">
        <f>_xlfn.XLOOKUP(PROPERTIES[[#This Row],[COUNTRY]],COUNTRIES[COUNTRY_DESCRIPTION],COUNTRIES[COUNTRY_LABEL],"")</f>
        <v/>
      </c>
      <c r="H781" t="str" cm="1">
        <f t="array" ref="H7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1" t="s">
        <v>36</v>
      </c>
      <c r="J781">
        <v>180</v>
      </c>
      <c r="K781">
        <v>8</v>
      </c>
      <c r="L781">
        <v>0</v>
      </c>
      <c r="M781" t="str" cm="1">
        <f t="array" ref="M7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81">
        <f>_xlfn.XLOOKUP("LOADINGSPEEDDEF_"&amp;PROPERTIES[[#This Row],[LOADINGSPEED]],LOADINGSPEEDDEF[TYPE],LOADINGSPEEDDEF[SPEED])</f>
        <v>15</v>
      </c>
      <c r="O781" t="str" cm="1">
        <f t="array" ref="O7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1">
        <f>IF(ISNUMBER(SEARCH("passenger",PROPERTIES[[#This Row],[CARGODEF]])),1,0)</f>
        <v>0</v>
      </c>
      <c r="Q781" s="23">
        <v>50</v>
      </c>
      <c r="R781">
        <v>0</v>
      </c>
      <c r="S781">
        <v>0</v>
      </c>
      <c r="T781">
        <v>0</v>
      </c>
      <c r="U781">
        <v>0</v>
      </c>
      <c r="V781">
        <v>250</v>
      </c>
      <c r="W781">
        <v>0</v>
      </c>
      <c r="X781">
        <v>0</v>
      </c>
      <c r="Y781">
        <v>0</v>
      </c>
      <c r="Z781" s="20">
        <v>0</v>
      </c>
      <c r="AA781" s="19">
        <f>IFERROR(PROPERTIES[[#This Row],[TE_STARTING_KN]]/(PROPERTIES[[#This Row],[WEIGHT]]*9.81),0)</f>
        <v>0</v>
      </c>
      <c r="AB781" s="19">
        <v>0.3</v>
      </c>
      <c r="AC781" s="16">
        <f>ROUND(IF(IFERROR(PROPERTIES[[#This Row],[TE_COEFFICIENT_CALC]],0)=0,PROPERTIES[[#This Row],[TE_COEFFICIENT_MANUAL]],PROPERTIES[[#This Row],[TE_COEFFICIENT_CALC]]),3)</f>
        <v>0.3</v>
      </c>
      <c r="AD781" s="8" cm="1">
        <f t="array" ref="AD7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1" s="26">
        <v>0</v>
      </c>
      <c r="AF781" s="6">
        <v>0</v>
      </c>
      <c r="AG781" t="s">
        <v>241</v>
      </c>
      <c r="AH781" t="s">
        <v>229</v>
      </c>
      <c r="AI781" t="s">
        <v>229</v>
      </c>
      <c r="AJ781" s="2" t="s">
        <v>229</v>
      </c>
      <c r="AK781" s="2" t="s">
        <v>244</v>
      </c>
      <c r="AL78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1" s="2" t="str">
        <f>SUBSTITUTE(SUBSTITUTE(PROPERTIES[[#This Row],[PURCHASECOST_VALUE]], "PURCHASECOST_", ""), "_VALUE", "")</f>
        <v>COACH</v>
      </c>
      <c r="AO781" s="44" t="b">
        <v>0</v>
      </c>
      <c r="AP781" s="48" t="b">
        <v>1</v>
      </c>
      <c r="AQ781" s="48" t="b">
        <v>0</v>
      </c>
      <c r="AR781" s="48">
        <v>0</v>
      </c>
      <c r="AS781" s="48" t="b">
        <v>0</v>
      </c>
      <c r="AT781" s="7" t="b">
        <v>0</v>
      </c>
      <c r="AU781" s="40" t="str" cm="1">
        <f t="array" ref="AU781">_xlfn.XLOOKUP(PROPERTIES[[#This Row],[VEHIDCODE]],GRAPHICS_PROPERTIES[VEHIDCODE],GRAPHICS_PROPERTIES[TEMPLATE_ID]&amp;GRAPHICS_PROPERTIES[TEMPLATE_AMENDMENT_CODE])</f>
        <v>TPL_04A</v>
      </c>
    </row>
    <row r="782" spans="1:47" x14ac:dyDescent="0.35">
      <c r="A782" s="2" t="s">
        <v>145</v>
      </c>
      <c r="B782">
        <v>1980</v>
      </c>
      <c r="D782" cm="1">
        <f t="array" ref="D7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2" s="40" t="str">
        <f>_xlfn.XLOOKUP(PROPERTIES[[#This Row],[VEHIDCODE]],CONTROL[VEHIDCODE],CONTROL[ENGLISH])</f>
        <v>Talgo Pendular</v>
      </c>
      <c r="G782" s="40" t="str">
        <f>_xlfn.XLOOKUP(PROPERTIES[[#This Row],[COUNTRY]],COUNTRIES[COUNTRY_DESCRIPTION],COUNTRIES[COUNTRY_LABEL],"")</f>
        <v/>
      </c>
      <c r="H782" t="str" cm="1">
        <f t="array" ref="H7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2" t="s">
        <v>22</v>
      </c>
      <c r="J782">
        <v>40</v>
      </c>
      <c r="K782">
        <v>6</v>
      </c>
      <c r="L782">
        <v>0</v>
      </c>
      <c r="M782" t="str" cm="1">
        <f t="array" ref="M7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2">
        <f>_xlfn.XLOOKUP("LOADINGSPEEDDEF_"&amp;PROPERTIES[[#This Row],[LOADINGSPEED]],LOADINGSPEEDDEF[TYPE],LOADINGSPEEDDEF[SPEED])</f>
        <v>20</v>
      </c>
      <c r="O782" cm="1">
        <f t="array" ref="O7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82">
        <f>IF(ISNUMBER(SEARCH("passenger",PROPERTIES[[#This Row],[CARGODEF]])),1,0)</f>
        <v>1</v>
      </c>
      <c r="Q782" s="23">
        <v>15</v>
      </c>
      <c r="R782">
        <v>0</v>
      </c>
      <c r="S782">
        <v>0</v>
      </c>
      <c r="T782">
        <v>0</v>
      </c>
      <c r="U782">
        <v>0</v>
      </c>
      <c r="V782">
        <v>200</v>
      </c>
      <c r="W782">
        <v>0</v>
      </c>
      <c r="X782">
        <v>0</v>
      </c>
      <c r="Y782">
        <v>0</v>
      </c>
      <c r="Z782" s="20">
        <v>0</v>
      </c>
      <c r="AA782" s="19">
        <f>IFERROR(PROPERTIES[[#This Row],[TE_STARTING_KN]]/(PROPERTIES[[#This Row],[WEIGHT]]*9.81),0)</f>
        <v>0</v>
      </c>
      <c r="AB782" s="19">
        <v>0.3</v>
      </c>
      <c r="AC782" s="16">
        <f>ROUND(IF(IFERROR(PROPERTIES[[#This Row],[TE_COEFFICIENT_CALC]],0)=0,PROPERTIES[[#This Row],[TE_COEFFICIENT_MANUAL]],PROPERTIES[[#This Row],[TE_COEFFICIENT_CALC]]),3)</f>
        <v>0.3</v>
      </c>
      <c r="AD782" s="8" cm="1">
        <f t="array" ref="AD7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2" s="26">
        <v>0</v>
      </c>
      <c r="AF782" s="6">
        <v>0</v>
      </c>
      <c r="AG782" t="s">
        <v>241</v>
      </c>
      <c r="AH782" t="s">
        <v>229</v>
      </c>
      <c r="AI782" t="s">
        <v>229</v>
      </c>
      <c r="AJ782" s="2" t="s">
        <v>229</v>
      </c>
      <c r="AK782" s="2" t="s">
        <v>244</v>
      </c>
      <c r="AL78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2" s="2" t="str">
        <f>SUBSTITUTE(SUBSTITUTE(PROPERTIES[[#This Row],[PURCHASECOST_VALUE]], "PURCHASECOST_", ""), "_VALUE", "")</f>
        <v>COACH</v>
      </c>
      <c r="AO782" s="44" t="b">
        <v>0</v>
      </c>
      <c r="AP782" s="48" t="b">
        <v>0</v>
      </c>
      <c r="AQ782" s="48" t="b">
        <v>1</v>
      </c>
      <c r="AR782" s="48">
        <v>0</v>
      </c>
      <c r="AS782" s="48" t="b">
        <v>0</v>
      </c>
      <c r="AT782" s="7" t="b">
        <v>0</v>
      </c>
      <c r="AU782" s="40" t="str" cm="1">
        <f t="array" ref="AU782">_xlfn.XLOOKUP(PROPERTIES[[#This Row],[VEHIDCODE]],GRAPHICS_PROPERTIES[VEHIDCODE],GRAPHICS_PROPERTIES[TEMPLATE_ID]&amp;GRAPHICS_PROPERTIES[TEMPLATE_AMENDMENT_CODE])</f>
        <v>TPL_04S</v>
      </c>
    </row>
    <row r="783" spans="1:47" x14ac:dyDescent="0.35">
      <c r="A783" s="2" t="s">
        <v>146</v>
      </c>
      <c r="B783">
        <v>1980</v>
      </c>
      <c r="D783" cm="1">
        <f t="array" ref="D7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3" s="40" t="str">
        <f>_xlfn.XLOOKUP(PROPERTIES[[#This Row],[VEHIDCODE]],CONTROL[VEHIDCODE],CONTROL[ENGLISH])</f>
        <v>Talgo Pendular Mail</v>
      </c>
      <c r="G783" s="40" t="str">
        <f>_xlfn.XLOOKUP(PROPERTIES[[#This Row],[COUNTRY]],COUNTRIES[COUNTRY_DESCRIPTION],COUNTRIES[COUNTRY_LABEL],"")</f>
        <v/>
      </c>
      <c r="H783" t="str" cm="1">
        <f t="array" ref="H7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3" t="s">
        <v>36</v>
      </c>
      <c r="J783">
        <v>60</v>
      </c>
      <c r="K783">
        <v>6</v>
      </c>
      <c r="L783">
        <v>0</v>
      </c>
      <c r="M783" t="str" cm="1">
        <f t="array" ref="M7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83">
        <f>_xlfn.XLOOKUP("LOADINGSPEEDDEF_"&amp;PROPERTIES[[#This Row],[LOADINGSPEED]],LOADINGSPEEDDEF[TYPE],LOADINGSPEEDDEF[SPEED])</f>
        <v>15</v>
      </c>
      <c r="O783" cm="1">
        <f t="array" ref="O7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83">
        <f>IF(ISNUMBER(SEARCH("passenger",PROPERTIES[[#This Row],[CARGODEF]])),1,0)</f>
        <v>0</v>
      </c>
      <c r="Q783" s="23">
        <v>18</v>
      </c>
      <c r="R783">
        <v>0</v>
      </c>
      <c r="S783">
        <v>0</v>
      </c>
      <c r="T783">
        <v>0</v>
      </c>
      <c r="U783">
        <v>0</v>
      </c>
      <c r="V783">
        <v>200</v>
      </c>
      <c r="W783">
        <v>0</v>
      </c>
      <c r="X783">
        <v>0</v>
      </c>
      <c r="Y783">
        <v>0</v>
      </c>
      <c r="Z783" s="20">
        <v>0</v>
      </c>
      <c r="AA783" s="19">
        <f>IFERROR(PROPERTIES[[#This Row],[TE_STARTING_KN]]/(PROPERTIES[[#This Row],[WEIGHT]]*9.81),0)</f>
        <v>0</v>
      </c>
      <c r="AB783" s="19">
        <v>0.3</v>
      </c>
      <c r="AC783" s="16">
        <f>ROUND(IF(IFERROR(PROPERTIES[[#This Row],[TE_COEFFICIENT_CALC]],0)=0,PROPERTIES[[#This Row],[TE_COEFFICIENT_MANUAL]],PROPERTIES[[#This Row],[TE_COEFFICIENT_CALC]]),3)</f>
        <v>0.3</v>
      </c>
      <c r="AD783" s="8" cm="1">
        <f t="array" ref="AD7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3" s="26">
        <v>0</v>
      </c>
      <c r="AF783" s="6">
        <v>0</v>
      </c>
      <c r="AG783" t="s">
        <v>241</v>
      </c>
      <c r="AH783" t="s">
        <v>229</v>
      </c>
      <c r="AI783" t="s">
        <v>229</v>
      </c>
      <c r="AJ783" s="2" t="s">
        <v>229</v>
      </c>
      <c r="AK783" s="2" t="s">
        <v>244</v>
      </c>
      <c r="AL78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3" s="2" t="str">
        <f>SUBSTITUTE(SUBSTITUTE(PROPERTIES[[#This Row],[PURCHASECOST_VALUE]], "PURCHASECOST_", ""), "_VALUE", "")</f>
        <v>COACH</v>
      </c>
      <c r="AO783" s="44" t="b">
        <v>0</v>
      </c>
      <c r="AP783" s="48" t="b">
        <v>0</v>
      </c>
      <c r="AQ783" s="48" t="b">
        <v>1</v>
      </c>
      <c r="AR783" s="48">
        <v>0</v>
      </c>
      <c r="AS783" s="48" t="b">
        <v>0</v>
      </c>
      <c r="AT783" s="7" t="b">
        <v>0</v>
      </c>
      <c r="AU783" s="40" t="str" cm="1">
        <f t="array" ref="AU783">_xlfn.XLOOKUP(PROPERTIES[[#This Row],[VEHIDCODE]],GRAPHICS_PROPERTIES[VEHIDCODE],GRAPHICS_PROPERTIES[TEMPLATE_ID]&amp;GRAPHICS_PROPERTIES[TEMPLATE_AMENDMENT_CODE])</f>
        <v>TPL_04S</v>
      </c>
    </row>
    <row r="784" spans="1:47" x14ac:dyDescent="0.35">
      <c r="A784" s="2" t="s">
        <v>147</v>
      </c>
      <c r="B784">
        <v>2030</v>
      </c>
      <c r="D784" cm="1">
        <f t="array" ref="D7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4" s="40" t="str">
        <f>_xlfn.XLOOKUP(PROPERTIES[[#This Row],[VEHIDCODE]],CONTROL[VEHIDCODE],CONTROL[ENGLISH])</f>
        <v>Grand Voyager Coach</v>
      </c>
      <c r="G784" s="40" t="str">
        <f>_xlfn.XLOOKUP(PROPERTIES[[#This Row],[COUNTRY]],COUNTRIES[COUNTRY_DESCRIPTION],COUNTRIES[COUNTRY_LABEL],"")</f>
        <v/>
      </c>
      <c r="H784" t="str" cm="1">
        <f t="array" ref="H7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4" t="s">
        <v>22</v>
      </c>
      <c r="J784">
        <v>64</v>
      </c>
      <c r="K784">
        <v>8</v>
      </c>
      <c r="L784">
        <v>0</v>
      </c>
      <c r="M784" t="str" cm="1">
        <f t="array" ref="M7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4">
        <f>_xlfn.XLOOKUP("LOADINGSPEEDDEF_"&amp;PROPERTIES[[#This Row],[LOADINGSPEED]],LOADINGSPEEDDEF[TYPE],LOADINGSPEEDDEF[SPEED])</f>
        <v>20</v>
      </c>
      <c r="O784" t="str" cm="1">
        <f t="array" ref="O7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4">
        <f>IF(ISNUMBER(SEARCH("passenger",PROPERTIES[[#This Row],[CARGODEF]])),1,0)</f>
        <v>1</v>
      </c>
      <c r="Q784" s="23">
        <v>30</v>
      </c>
      <c r="R784">
        <v>0</v>
      </c>
      <c r="S784">
        <v>0</v>
      </c>
      <c r="T784">
        <v>0</v>
      </c>
      <c r="U784">
        <v>0</v>
      </c>
      <c r="V784">
        <v>350</v>
      </c>
      <c r="W784">
        <v>0</v>
      </c>
      <c r="X784">
        <v>0</v>
      </c>
      <c r="Y784">
        <v>0</v>
      </c>
      <c r="Z784" s="20">
        <v>0</v>
      </c>
      <c r="AA784" s="19">
        <f>IFERROR(PROPERTIES[[#This Row],[TE_STARTING_KN]]/(PROPERTIES[[#This Row],[WEIGHT]]*9.81),0)</f>
        <v>0</v>
      </c>
      <c r="AB784" s="19">
        <v>0.3</v>
      </c>
      <c r="AC784" s="16">
        <f>ROUND(IF(IFERROR(PROPERTIES[[#This Row],[TE_COEFFICIENT_CALC]],0)=0,PROPERTIES[[#This Row],[TE_COEFFICIENT_MANUAL]],PROPERTIES[[#This Row],[TE_COEFFICIENT_CALC]]),3)</f>
        <v>0.3</v>
      </c>
      <c r="AD784" s="8" cm="1">
        <f t="array" ref="AD7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4" s="26">
        <v>0</v>
      </c>
      <c r="AF784" s="6">
        <v>0</v>
      </c>
      <c r="AG784" t="s">
        <v>241</v>
      </c>
      <c r="AH784" t="s">
        <v>229</v>
      </c>
      <c r="AI784" t="s">
        <v>229</v>
      </c>
      <c r="AJ784" s="2" t="s">
        <v>229</v>
      </c>
      <c r="AK784" s="2" t="s">
        <v>244</v>
      </c>
      <c r="AL78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4" s="2" t="str">
        <f>SUBSTITUTE(SUBSTITUTE(PROPERTIES[[#This Row],[PURCHASECOST_VALUE]], "PURCHASECOST_", ""), "_VALUE", "")</f>
        <v>COACH</v>
      </c>
      <c r="AO784" s="44" t="b">
        <v>0</v>
      </c>
      <c r="AP784" s="48" t="b">
        <v>0</v>
      </c>
      <c r="AQ784" s="48" t="b">
        <v>0</v>
      </c>
      <c r="AR784" s="48">
        <v>0</v>
      </c>
      <c r="AS784" s="48" t="b">
        <v>0</v>
      </c>
      <c r="AT784" s="7" t="b">
        <v>0</v>
      </c>
      <c r="AU784" s="40" t="str" cm="1">
        <f t="array" ref="AU784">_xlfn.XLOOKUP(PROPERTIES[[#This Row],[VEHIDCODE]],GRAPHICS_PROPERTIES[VEHIDCODE],GRAPHICS_PROPERTIES[TEMPLATE_ID]&amp;GRAPHICS_PROPERTIES[TEMPLATE_AMENDMENT_CODE])</f>
        <v>TPL_04A</v>
      </c>
    </row>
    <row r="785" spans="1:47" x14ac:dyDescent="0.35">
      <c r="A785" s="2" t="s">
        <v>148</v>
      </c>
      <c r="B785">
        <v>2030</v>
      </c>
      <c r="D785" cm="1">
        <f t="array" ref="D7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5" s="40" t="str">
        <f>_xlfn.XLOOKUP(PROPERTIES[[#This Row],[VEHIDCODE]],CONTROL[VEHIDCODE],CONTROL[ENGLISH])</f>
        <v>Grand Regio Coach</v>
      </c>
      <c r="G785" s="40" t="str">
        <f>_xlfn.XLOOKUP(PROPERTIES[[#This Row],[COUNTRY]],COUNTRIES[COUNTRY_DESCRIPTION],COUNTRIES[COUNTRY_LABEL],"")</f>
        <v/>
      </c>
      <c r="H785" t="str" cm="1">
        <f t="array" ref="H7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5" t="s">
        <v>22</v>
      </c>
      <c r="J785">
        <f>120+160</f>
        <v>280</v>
      </c>
      <c r="K785">
        <v>8</v>
      </c>
      <c r="L785">
        <v>0</v>
      </c>
      <c r="M785" t="str" cm="1">
        <f t="array" ref="M7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5">
        <f>_xlfn.XLOOKUP("LOADINGSPEEDDEF_"&amp;PROPERTIES[[#This Row],[LOADINGSPEED]],LOADINGSPEEDDEF[TYPE],LOADINGSPEEDDEF[SPEED])</f>
        <v>20</v>
      </c>
      <c r="O785" t="str" cm="1">
        <f t="array" ref="O7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5">
        <f>IF(ISNUMBER(SEARCH("passenger",PROPERTIES[[#This Row],[CARGODEF]])),1,0)</f>
        <v>1</v>
      </c>
      <c r="Q785" s="23">
        <v>36</v>
      </c>
      <c r="R785">
        <v>0</v>
      </c>
      <c r="S785">
        <v>0</v>
      </c>
      <c r="T785">
        <v>0</v>
      </c>
      <c r="U785">
        <v>0</v>
      </c>
      <c r="V785">
        <v>230</v>
      </c>
      <c r="W785">
        <v>0</v>
      </c>
      <c r="X785">
        <v>0</v>
      </c>
      <c r="Y785">
        <v>0</v>
      </c>
      <c r="Z785" s="20">
        <v>0</v>
      </c>
      <c r="AA785" s="19">
        <f>IFERROR(PROPERTIES[[#This Row],[TE_STARTING_KN]]/(PROPERTIES[[#This Row],[WEIGHT]]*9.81),0)</f>
        <v>0</v>
      </c>
      <c r="AB785" s="19">
        <v>0.3</v>
      </c>
      <c r="AC785" s="16">
        <f>ROUND(IF(IFERROR(PROPERTIES[[#This Row],[TE_COEFFICIENT_CALC]],0)=0,PROPERTIES[[#This Row],[TE_COEFFICIENT_MANUAL]],PROPERTIES[[#This Row],[TE_COEFFICIENT_CALC]]),3)</f>
        <v>0.3</v>
      </c>
      <c r="AD785" s="8" cm="1">
        <f t="array" ref="AD7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5" s="26">
        <v>0</v>
      </c>
      <c r="AF785" s="6">
        <v>0</v>
      </c>
      <c r="AG785" t="s">
        <v>241</v>
      </c>
      <c r="AH785" t="s">
        <v>229</v>
      </c>
      <c r="AI785" t="s">
        <v>229</v>
      </c>
      <c r="AJ785" s="2" t="s">
        <v>229</v>
      </c>
      <c r="AK785" s="2" t="s">
        <v>244</v>
      </c>
      <c r="AL78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5" s="2" t="str">
        <f>SUBSTITUTE(SUBSTITUTE(PROPERTIES[[#This Row],[PURCHASECOST_VALUE]], "PURCHASECOST_", ""), "_VALUE", "")</f>
        <v>COACH</v>
      </c>
      <c r="AO785" s="44" t="b">
        <v>0</v>
      </c>
      <c r="AP785" s="48" t="b">
        <v>0</v>
      </c>
      <c r="AQ785" s="48" t="b">
        <v>0</v>
      </c>
      <c r="AR785" s="48">
        <v>0</v>
      </c>
      <c r="AS785" s="48" t="b">
        <v>0</v>
      </c>
      <c r="AT785" s="7" t="b">
        <v>0</v>
      </c>
      <c r="AU785" s="40" t="str" cm="1">
        <f t="array" ref="AU785">_xlfn.XLOOKUP(PROPERTIES[[#This Row],[VEHIDCODE]],GRAPHICS_PROPERTIES[VEHIDCODE],GRAPHICS_PROPERTIES[TEMPLATE_ID]&amp;GRAPHICS_PROPERTIES[TEMPLATE_AMENDMENT_CODE])</f>
        <v>TPL_04A</v>
      </c>
    </row>
    <row r="786" spans="1:47" x14ac:dyDescent="0.35">
      <c r="A786" s="2" t="s">
        <v>149</v>
      </c>
      <c r="B786">
        <v>2030</v>
      </c>
      <c r="D786" cm="1">
        <f t="array" ref="D7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6" s="40" t="str">
        <f>_xlfn.XLOOKUP(PROPERTIES[[#This Row],[VEHIDCODE]],CONTROL[VEHIDCODE],CONTROL[ENGLISH])</f>
        <v>Metropolis Coach</v>
      </c>
      <c r="G786" s="40" t="str">
        <f>_xlfn.XLOOKUP(PROPERTIES[[#This Row],[COUNTRY]],COUNTRIES[COUNTRY_DESCRIPTION],COUNTRIES[COUNTRY_LABEL],"")</f>
        <v/>
      </c>
      <c r="H786" t="str" cm="1">
        <f t="array" ref="H7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6" t="s">
        <v>22</v>
      </c>
      <c r="J786">
        <f>60+290</f>
        <v>350</v>
      </c>
      <c r="K786">
        <v>8</v>
      </c>
      <c r="L786">
        <v>0</v>
      </c>
      <c r="M786" t="str" cm="1">
        <f t="array" ref="M7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86">
        <f>_xlfn.XLOOKUP("LOADINGSPEEDDEF_"&amp;PROPERTIES[[#This Row],[LOADINGSPEED]],LOADINGSPEEDDEF[TYPE],LOADINGSPEEDDEF[SPEED])</f>
        <v>60</v>
      </c>
      <c r="O786" t="str" cm="1">
        <f t="array" ref="O7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6">
        <f>IF(ISNUMBER(SEARCH("passenger",PROPERTIES[[#This Row],[CARGODEF]])),1,0)</f>
        <v>1</v>
      </c>
      <c r="Q786" s="23">
        <v>33</v>
      </c>
      <c r="R786">
        <v>0</v>
      </c>
      <c r="S786">
        <v>0</v>
      </c>
      <c r="T786">
        <v>0</v>
      </c>
      <c r="U786">
        <v>0</v>
      </c>
      <c r="V786">
        <v>140</v>
      </c>
      <c r="W786">
        <v>0</v>
      </c>
      <c r="X786">
        <v>0</v>
      </c>
      <c r="Y786">
        <v>0</v>
      </c>
      <c r="Z786" s="20">
        <v>0</v>
      </c>
      <c r="AA786" s="19">
        <f>IFERROR(PROPERTIES[[#This Row],[TE_STARTING_KN]]/(PROPERTIES[[#This Row],[WEIGHT]]*9.81),0)</f>
        <v>0</v>
      </c>
      <c r="AB786" s="19">
        <v>0.3</v>
      </c>
      <c r="AC786" s="16">
        <f>ROUND(IF(IFERROR(PROPERTIES[[#This Row],[TE_COEFFICIENT_CALC]],0)=0,PROPERTIES[[#This Row],[TE_COEFFICIENT_MANUAL]],PROPERTIES[[#This Row],[TE_COEFFICIENT_CALC]]),3)</f>
        <v>0.3</v>
      </c>
      <c r="AD786" s="8" cm="1">
        <f t="array" ref="AD7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6" s="26">
        <v>0</v>
      </c>
      <c r="AF786" s="6">
        <v>0</v>
      </c>
      <c r="AG786" t="s">
        <v>241</v>
      </c>
      <c r="AH786" t="s">
        <v>229</v>
      </c>
      <c r="AI786" t="s">
        <v>229</v>
      </c>
      <c r="AJ786" s="2" t="s">
        <v>229</v>
      </c>
      <c r="AK786" s="2" t="s">
        <v>244</v>
      </c>
      <c r="AL78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6" s="2" t="str">
        <f>SUBSTITUTE(SUBSTITUTE(PROPERTIES[[#This Row],[PURCHASECOST_VALUE]], "PURCHASECOST_", ""), "_VALUE", "")</f>
        <v>COACH</v>
      </c>
      <c r="AO786" s="44" t="b">
        <v>0</v>
      </c>
      <c r="AP786" s="48" t="b">
        <v>0</v>
      </c>
      <c r="AQ786" s="48" t="b">
        <v>0</v>
      </c>
      <c r="AR786" s="48">
        <v>0</v>
      </c>
      <c r="AS786" s="48" t="b">
        <v>0</v>
      </c>
      <c r="AT786" s="7" t="b">
        <v>0</v>
      </c>
      <c r="AU786" s="40" t="str" cm="1">
        <f t="array" ref="AU786">_xlfn.XLOOKUP(PROPERTIES[[#This Row],[VEHIDCODE]],GRAPHICS_PROPERTIES[VEHIDCODE],GRAPHICS_PROPERTIES[TEMPLATE_ID]&amp;GRAPHICS_PROPERTIES[TEMPLATE_AMENDMENT_CODE])</f>
        <v>TPL_04A</v>
      </c>
    </row>
    <row r="787" spans="1:47" x14ac:dyDescent="0.35">
      <c r="A787" s="2" t="s">
        <v>150</v>
      </c>
      <c r="B787">
        <v>2030</v>
      </c>
      <c r="D787" cm="1">
        <f t="array" ref="D7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7" s="40" t="str">
        <f>_xlfn.XLOOKUP(PROPERTIES[[#This Row],[VEHIDCODE]],CONTROL[VEHIDCODE],CONTROL[ENGLISH])</f>
        <v>Speedmail Coach</v>
      </c>
      <c r="G787" s="40" t="str">
        <f>_xlfn.XLOOKUP(PROPERTIES[[#This Row],[COUNTRY]],COUNTRIES[COUNTRY_DESCRIPTION],COUNTRIES[COUNTRY_LABEL],"")</f>
        <v/>
      </c>
      <c r="H787" t="str" cm="1">
        <f t="array" ref="H7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7" t="s">
        <v>36</v>
      </c>
      <c r="J787">
        <v>255</v>
      </c>
      <c r="K787">
        <v>8</v>
      </c>
      <c r="L787">
        <v>0</v>
      </c>
      <c r="M787" t="str" cm="1">
        <f t="array" ref="M7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87">
        <f>_xlfn.XLOOKUP("LOADINGSPEEDDEF_"&amp;PROPERTIES[[#This Row],[LOADINGSPEED]],LOADINGSPEEDDEF[TYPE],LOADINGSPEEDDEF[SPEED])</f>
        <v>15</v>
      </c>
      <c r="O787" t="str" cm="1">
        <f t="array" ref="O7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7">
        <f>IF(ISNUMBER(SEARCH("passenger",PROPERTIES[[#This Row],[CARGODEF]])),1,0)</f>
        <v>0</v>
      </c>
      <c r="Q787" s="23">
        <v>32</v>
      </c>
      <c r="R787">
        <v>0</v>
      </c>
      <c r="S787">
        <v>0</v>
      </c>
      <c r="T787">
        <v>0</v>
      </c>
      <c r="U787">
        <v>0</v>
      </c>
      <c r="V787">
        <v>350</v>
      </c>
      <c r="W787">
        <v>0</v>
      </c>
      <c r="X787">
        <v>0</v>
      </c>
      <c r="Y787">
        <v>0</v>
      </c>
      <c r="Z787" s="20">
        <v>0</v>
      </c>
      <c r="AA787" s="19">
        <f>IFERROR(PROPERTIES[[#This Row],[TE_STARTING_KN]]/(PROPERTIES[[#This Row],[WEIGHT]]*9.81),0)</f>
        <v>0</v>
      </c>
      <c r="AB787" s="19">
        <v>0.3</v>
      </c>
      <c r="AC787" s="16">
        <f>ROUND(IF(IFERROR(PROPERTIES[[#This Row],[TE_COEFFICIENT_CALC]],0)=0,PROPERTIES[[#This Row],[TE_COEFFICIENT_MANUAL]],PROPERTIES[[#This Row],[TE_COEFFICIENT_CALC]]),3)</f>
        <v>0.3</v>
      </c>
      <c r="AD787" s="8" cm="1">
        <f t="array" ref="AD7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7" s="26">
        <v>0</v>
      </c>
      <c r="AF787" s="6">
        <v>0</v>
      </c>
      <c r="AG787" t="s">
        <v>241</v>
      </c>
      <c r="AH787" t="s">
        <v>229</v>
      </c>
      <c r="AI787" t="s">
        <v>229</v>
      </c>
      <c r="AJ787" s="2" t="s">
        <v>229</v>
      </c>
      <c r="AK787" s="2" t="s">
        <v>244</v>
      </c>
      <c r="AL78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7" s="2" t="str">
        <f>SUBSTITUTE(SUBSTITUTE(PROPERTIES[[#This Row],[PURCHASECOST_VALUE]], "PURCHASECOST_", ""), "_VALUE", "")</f>
        <v>COACH</v>
      </c>
      <c r="AO787" s="44" t="b">
        <v>0</v>
      </c>
      <c r="AP787" s="48" t="b">
        <v>0</v>
      </c>
      <c r="AQ787" s="48" t="b">
        <v>0</v>
      </c>
      <c r="AR787" s="48">
        <v>0</v>
      </c>
      <c r="AS787" s="48" t="b">
        <v>0</v>
      </c>
      <c r="AT787" s="7" t="b">
        <v>0</v>
      </c>
      <c r="AU787" s="40" t="str" cm="1">
        <f t="array" ref="AU787">_xlfn.XLOOKUP(PROPERTIES[[#This Row],[VEHIDCODE]],GRAPHICS_PROPERTIES[VEHIDCODE],GRAPHICS_PROPERTIES[TEMPLATE_ID]&amp;GRAPHICS_PROPERTIES[TEMPLATE_AMENDMENT_CODE])</f>
        <v>TPL_04A</v>
      </c>
    </row>
    <row r="788" spans="1:47" x14ac:dyDescent="0.35">
      <c r="A788" s="2" t="s">
        <v>151</v>
      </c>
      <c r="B788">
        <v>2030</v>
      </c>
      <c r="D788" cm="1">
        <f t="array" ref="D7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8" s="40" t="str">
        <f>_xlfn.XLOOKUP(PROPERTIES[[#This Row],[VEHIDCODE]],CONTROL[VEHIDCODE],CONTROL[ENGLISH])</f>
        <v>Super Regio Coach</v>
      </c>
      <c r="G788" s="40" t="str">
        <f>_xlfn.XLOOKUP(PROPERTIES[[#This Row],[COUNTRY]],COUNTRIES[COUNTRY_DESCRIPTION],COUNTRIES[COUNTRY_LABEL],"")</f>
        <v/>
      </c>
      <c r="H788" t="str" cm="1">
        <f t="array" ref="H7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8" t="s">
        <v>22</v>
      </c>
      <c r="J788">
        <f>180+220</f>
        <v>400</v>
      </c>
      <c r="K788">
        <v>8</v>
      </c>
      <c r="L788">
        <v>0</v>
      </c>
      <c r="M788" t="str" cm="1">
        <f t="array" ref="M7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8">
        <f>_xlfn.XLOOKUP("LOADINGSPEEDDEF_"&amp;PROPERTIES[[#This Row],[LOADINGSPEED]],LOADINGSPEEDDEF[TYPE],LOADINGSPEEDDEF[SPEED])</f>
        <v>20</v>
      </c>
      <c r="O788" t="str" cm="1">
        <f t="array" ref="O7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8">
        <f>IF(ISNUMBER(SEARCH("passenger",PROPERTIES[[#This Row],[CARGODEF]])),1,0)</f>
        <v>1</v>
      </c>
      <c r="Q788" s="23">
        <v>44</v>
      </c>
      <c r="R788">
        <v>0</v>
      </c>
      <c r="S788">
        <v>0</v>
      </c>
      <c r="T788">
        <v>0</v>
      </c>
      <c r="U788">
        <v>0</v>
      </c>
      <c r="V788">
        <v>200</v>
      </c>
      <c r="W788">
        <v>0</v>
      </c>
      <c r="X788">
        <v>0</v>
      </c>
      <c r="Y788">
        <v>0</v>
      </c>
      <c r="Z788" s="20">
        <v>0</v>
      </c>
      <c r="AA788" s="19">
        <f>IFERROR(PROPERTIES[[#This Row],[TE_STARTING_KN]]/(PROPERTIES[[#This Row],[WEIGHT]]*9.81),0)</f>
        <v>0</v>
      </c>
      <c r="AB788" s="19">
        <v>0.3</v>
      </c>
      <c r="AC788" s="16">
        <f>ROUND(IF(IFERROR(PROPERTIES[[#This Row],[TE_COEFFICIENT_CALC]],0)=0,PROPERTIES[[#This Row],[TE_COEFFICIENT_MANUAL]],PROPERTIES[[#This Row],[TE_COEFFICIENT_CALC]]),3)</f>
        <v>0.3</v>
      </c>
      <c r="AD788" s="8" cm="1">
        <f t="array" ref="AD7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8" s="26">
        <v>0</v>
      </c>
      <c r="AF788" s="6">
        <v>0</v>
      </c>
      <c r="AG788" t="s">
        <v>241</v>
      </c>
      <c r="AH788" t="s">
        <v>229</v>
      </c>
      <c r="AI788" t="s">
        <v>229</v>
      </c>
      <c r="AJ788" s="2" t="s">
        <v>229</v>
      </c>
      <c r="AK788" s="2" t="s">
        <v>244</v>
      </c>
      <c r="AL78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8" s="2" t="str">
        <f>SUBSTITUTE(SUBSTITUTE(PROPERTIES[[#This Row],[PURCHASECOST_VALUE]], "PURCHASECOST_", ""), "_VALUE", "")</f>
        <v>COACH</v>
      </c>
      <c r="AO788" s="44" t="b">
        <v>0</v>
      </c>
      <c r="AP788" s="48" t="b">
        <v>0</v>
      </c>
      <c r="AQ788" s="48" t="b">
        <v>0</v>
      </c>
      <c r="AR788" s="48">
        <v>0</v>
      </c>
      <c r="AS788" s="48" t="b">
        <v>0</v>
      </c>
      <c r="AT788" s="7" t="b">
        <v>0</v>
      </c>
      <c r="AU788" s="40" t="str" cm="1">
        <f t="array" ref="AU788">_xlfn.XLOOKUP(PROPERTIES[[#This Row],[VEHIDCODE]],GRAPHICS_PROPERTIES[VEHIDCODE],GRAPHICS_PROPERTIES[TEMPLATE_ID]&amp;GRAPHICS_PROPERTIES[TEMPLATE_AMENDMENT_CODE])</f>
        <v>TPL_04A</v>
      </c>
    </row>
    <row r="789" spans="1:47" x14ac:dyDescent="0.35">
      <c r="A789" s="2" t="s">
        <v>152</v>
      </c>
      <c r="B789">
        <v>2030</v>
      </c>
      <c r="D789" cm="1">
        <f t="array" ref="D7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9" s="40" t="str">
        <f>_xlfn.XLOOKUP(PROPERTIES[[#This Row],[VEHIDCODE]],CONTROL[VEHIDCODE],CONTROL[ENGLISH])</f>
        <v>Super Voyager Coach</v>
      </c>
      <c r="G789" s="40" t="str">
        <f>_xlfn.XLOOKUP(PROPERTIES[[#This Row],[COUNTRY]],COUNTRIES[COUNTRY_DESCRIPTION],COUNTRIES[COUNTRY_LABEL],"")</f>
        <v/>
      </c>
      <c r="H789" t="str" cm="1">
        <f t="array" ref="H7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9" t="s">
        <v>22</v>
      </c>
      <c r="J789">
        <v>120</v>
      </c>
      <c r="K789">
        <v>8</v>
      </c>
      <c r="L789">
        <v>0</v>
      </c>
      <c r="M789" t="str" cm="1">
        <f t="array" ref="M7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9">
        <f>_xlfn.XLOOKUP("LOADINGSPEEDDEF_"&amp;PROPERTIES[[#This Row],[LOADINGSPEED]],LOADINGSPEEDDEF[TYPE],LOADINGSPEEDDEF[SPEED])</f>
        <v>20</v>
      </c>
      <c r="O789" t="str" cm="1">
        <f t="array" ref="O7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9">
        <f>IF(ISNUMBER(SEARCH("passenger",PROPERTIES[[#This Row],[CARGODEF]])),1,0)</f>
        <v>1</v>
      </c>
      <c r="Q789" s="23">
        <v>42</v>
      </c>
      <c r="R789">
        <v>0</v>
      </c>
      <c r="S789">
        <v>0</v>
      </c>
      <c r="T789">
        <v>0</v>
      </c>
      <c r="U789">
        <v>0</v>
      </c>
      <c r="V789">
        <v>350</v>
      </c>
      <c r="W789">
        <v>0</v>
      </c>
      <c r="X789">
        <v>0</v>
      </c>
      <c r="Y789">
        <v>0</v>
      </c>
      <c r="Z789" s="20">
        <v>0</v>
      </c>
      <c r="AA789" s="19">
        <f>IFERROR(PROPERTIES[[#This Row],[TE_STARTING_KN]]/(PROPERTIES[[#This Row],[WEIGHT]]*9.81),0)</f>
        <v>0</v>
      </c>
      <c r="AB789" s="19">
        <v>0.3</v>
      </c>
      <c r="AC789" s="16">
        <f>ROUND(IF(IFERROR(PROPERTIES[[#This Row],[TE_COEFFICIENT_CALC]],0)=0,PROPERTIES[[#This Row],[TE_COEFFICIENT_MANUAL]],PROPERTIES[[#This Row],[TE_COEFFICIENT_CALC]]),3)</f>
        <v>0.3</v>
      </c>
      <c r="AD789" s="8" cm="1">
        <f t="array" ref="AD7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9" s="26">
        <v>0</v>
      </c>
      <c r="AF789" s="6">
        <v>0</v>
      </c>
      <c r="AG789" t="s">
        <v>241</v>
      </c>
      <c r="AH789" t="s">
        <v>229</v>
      </c>
      <c r="AI789" t="s">
        <v>229</v>
      </c>
      <c r="AJ789" s="2" t="s">
        <v>229</v>
      </c>
      <c r="AK789" s="2" t="s">
        <v>244</v>
      </c>
      <c r="AL78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9" s="2" t="str">
        <f>SUBSTITUTE(SUBSTITUTE(PROPERTIES[[#This Row],[PURCHASECOST_VALUE]], "PURCHASECOST_", ""), "_VALUE", "")</f>
        <v>COACH</v>
      </c>
      <c r="AO789" s="44" t="b">
        <v>0</v>
      </c>
      <c r="AP789" s="48" t="b">
        <v>0</v>
      </c>
      <c r="AQ789" s="48" t="b">
        <v>1</v>
      </c>
      <c r="AR789" s="48">
        <v>0</v>
      </c>
      <c r="AS789" s="48" t="b">
        <v>0</v>
      </c>
      <c r="AT789" s="7" t="b">
        <v>0</v>
      </c>
      <c r="AU789" s="40" t="str" cm="1">
        <f t="array" ref="AU789">_xlfn.XLOOKUP(PROPERTIES[[#This Row],[VEHIDCODE]],GRAPHICS_PROPERTIES[VEHIDCODE],GRAPHICS_PROPERTIES[TEMPLATE_ID]&amp;GRAPHICS_PROPERTIES[TEMPLATE_AMENDMENT_CODE])</f>
        <v>TPL_04A</v>
      </c>
    </row>
    <row r="790" spans="1:47" x14ac:dyDescent="0.35">
      <c r="A790" s="2" t="s">
        <v>3266</v>
      </c>
      <c r="B790">
        <v>1978</v>
      </c>
      <c r="D790" cm="1">
        <f t="array" ref="D7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0" s="40" t="str">
        <f>_xlfn.XLOOKUP(PROPERTIES[[#This Row],[VEHIDCODE]],CONTROL[VEHIDCODE],CONTROL[ENGLISH])</f>
        <v>Alsthom AD30B</v>
      </c>
      <c r="F790" t="s">
        <v>1029</v>
      </c>
      <c r="G790" s="40" t="str">
        <f>_xlfn.XLOOKUP(PROPERTIES[[#This Row],[COUNTRY]],COUNTRIES[COUNTRY_DESCRIPTION],COUNTRIES[COUNTRY_LABEL],"")</f>
        <v>GA</v>
      </c>
      <c r="H790" t="str" cm="1">
        <f t="array" ref="H7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90" t="s">
        <v>17</v>
      </c>
      <c r="J790">
        <v>0</v>
      </c>
      <c r="K790">
        <v>8</v>
      </c>
      <c r="L790">
        <v>0</v>
      </c>
      <c r="M790" t="str" cm="1">
        <f t="array" ref="M7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0">
        <f>_xlfn.XLOOKUP("LOADINGSPEEDDEF_"&amp;PROPERTIES[[#This Row],[LOADINGSPEED]],LOADINGSPEEDDEF[TYPE],LOADINGSPEEDDEF[SPEED])</f>
        <v>20</v>
      </c>
      <c r="O790" cm="1">
        <f t="array" ref="O7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0">
        <f>IF(ISNUMBER(SEARCH("passenger",PROPERTIES[[#This Row],[CARGODEF]])),1,0)</f>
        <v>0</v>
      </c>
      <c r="Q790" s="23">
        <v>110</v>
      </c>
      <c r="R790">
        <v>3000</v>
      </c>
      <c r="S790">
        <v>0</v>
      </c>
      <c r="T790">
        <v>0</v>
      </c>
      <c r="U790">
        <v>0</v>
      </c>
      <c r="V790">
        <v>80</v>
      </c>
      <c r="W790">
        <v>0</v>
      </c>
      <c r="X790">
        <v>0</v>
      </c>
      <c r="Y790">
        <v>0</v>
      </c>
      <c r="Z790" s="20">
        <v>320</v>
      </c>
      <c r="AA790" s="19">
        <f>IFERROR(PROPERTIES[[#This Row],[TE_STARTING_KN]]/(PROPERTIES[[#This Row],[WEIGHT]]*9.81),0)</f>
        <v>0.2965434158094708</v>
      </c>
      <c r="AB790" s="19">
        <v>0</v>
      </c>
      <c r="AC790" s="16">
        <f>ROUND(IF(IFERROR(PROPERTIES[[#This Row],[TE_COEFFICIENT_CALC]],0)=0,PROPERTIES[[#This Row],[TE_COEFFICIENT_MANUAL]],PROPERTIES[[#This Row],[TE_COEFFICIENT_CALC]]),3)</f>
        <v>0.29699999999999999</v>
      </c>
      <c r="AD790" s="8" cm="1">
        <f t="array" ref="AD7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790" s="26">
        <v>0</v>
      </c>
      <c r="AF790" s="6">
        <v>0</v>
      </c>
      <c r="AG790" t="s">
        <v>233</v>
      </c>
      <c r="AH790" t="s">
        <v>229</v>
      </c>
      <c r="AI790" t="s">
        <v>229</v>
      </c>
      <c r="AJ790" s="2" t="s">
        <v>229</v>
      </c>
      <c r="AK790" s="2" t="s">
        <v>244</v>
      </c>
      <c r="AL79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79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790" s="2" t="str">
        <f>SUBSTITUTE(SUBSTITUTE(PROPERTIES[[#This Row],[PURCHASECOST_VALUE]], "PURCHASECOST_", ""), "_VALUE", "")</f>
        <v>DIESELENGINE</v>
      </c>
      <c r="AO790" s="44" t="b">
        <v>0</v>
      </c>
      <c r="AP790" s="48" t="b">
        <v>0</v>
      </c>
      <c r="AQ790" s="48" t="b">
        <v>0</v>
      </c>
      <c r="AR790" s="48">
        <v>0</v>
      </c>
      <c r="AS790" s="48" t="b">
        <v>0</v>
      </c>
      <c r="AT790" s="7" t="b">
        <v>0</v>
      </c>
      <c r="AU790" s="40" t="str" cm="1">
        <f t="array" ref="AU790">_xlfn.XLOOKUP(PROPERTIES[[#This Row],[VEHIDCODE]],GRAPHICS_PROPERTIES[VEHIDCODE],GRAPHICS_PROPERTIES[TEMPLATE_ID]&amp;GRAPHICS_PROPERTIES[TEMPLATE_AMENDMENT_CODE])</f>
        <v>TPL_01A</v>
      </c>
    </row>
    <row r="791" spans="1:47" x14ac:dyDescent="0.35">
      <c r="A791" s="2" t="s">
        <v>3267</v>
      </c>
      <c r="B791">
        <v>1917</v>
      </c>
      <c r="C791">
        <v>1955</v>
      </c>
      <c r="D791" cm="1">
        <f t="array" ref="D7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1" s="40" t="str">
        <f>_xlfn.XLOOKUP(PROPERTIES[[#This Row],[VEHIDCODE]],CONTROL[VEHIDCODE],CONTROL[ENGLISH])</f>
        <v>Porter 2-8-2 Class 200 'Katanga Mikado'</v>
      </c>
      <c r="F791" t="s">
        <v>567</v>
      </c>
      <c r="G791" s="40" t="str">
        <f>_xlfn.XLOOKUP(PROPERTIES[[#This Row],[COUNTRY]],COUNTRIES[COUNTRY_DESCRIPTION],COUNTRIES[COUNTRY_LABEL],"")</f>
        <v>CD</v>
      </c>
      <c r="H791" t="str" cm="1">
        <f t="array" ref="H7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1" t="s">
        <v>17</v>
      </c>
      <c r="J791">
        <v>0</v>
      </c>
      <c r="K791">
        <v>7</v>
      </c>
      <c r="L791">
        <v>0</v>
      </c>
      <c r="M791" t="str" cm="1">
        <f t="array" ref="M7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1">
        <f>_xlfn.XLOOKUP("LOADINGSPEEDDEF_"&amp;PROPERTIES[[#This Row],[LOADINGSPEED]],LOADINGSPEEDDEF[TYPE],LOADINGSPEEDDEF[SPEED])</f>
        <v>20</v>
      </c>
      <c r="O791" cm="1">
        <f t="array" ref="O7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1">
        <f>IF(ISNUMBER(SEARCH("passenger",PROPERTIES[[#This Row],[CARGODEF]])),1,0)</f>
        <v>0</v>
      </c>
      <c r="Q791" s="23">
        <v>67</v>
      </c>
      <c r="R791">
        <v>950</v>
      </c>
      <c r="S791">
        <v>0</v>
      </c>
      <c r="T791">
        <v>0</v>
      </c>
      <c r="U791">
        <v>0</v>
      </c>
      <c r="V791">
        <v>55</v>
      </c>
      <c r="W791">
        <v>0</v>
      </c>
      <c r="X791">
        <v>0</v>
      </c>
      <c r="Y791">
        <v>0</v>
      </c>
      <c r="Z791" s="20">
        <v>143.31725222</v>
      </c>
      <c r="AA791" s="19">
        <f>IFERROR(PROPERTIES[[#This Row],[TE_STARTING_KN]]/(PROPERTIES[[#This Row],[WEIGHT]]*9.81),0)</f>
        <v>0.21804928297351164</v>
      </c>
      <c r="AB791" s="19">
        <v>0</v>
      </c>
      <c r="AC791" s="16">
        <f>ROUND(IF(IFERROR(PROPERTIES[[#This Row],[TE_COEFFICIENT_CALC]],0)=0,PROPERTIES[[#This Row],[TE_COEFFICIENT_MANUAL]],PROPERTIES[[#This Row],[TE_COEFFICIENT_CALC]]),3)</f>
        <v>0.218</v>
      </c>
      <c r="AD791" s="8" cm="1">
        <f t="array" ref="AD7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38</v>
      </c>
      <c r="AE791" s="26">
        <v>0</v>
      </c>
      <c r="AF791" s="6">
        <v>5</v>
      </c>
      <c r="AG791" t="s">
        <v>233</v>
      </c>
      <c r="AH791" t="s">
        <v>229</v>
      </c>
      <c r="AI791" t="s">
        <v>229</v>
      </c>
      <c r="AJ791" s="2" t="s">
        <v>229</v>
      </c>
      <c r="AK791" s="2" t="s">
        <v>244</v>
      </c>
      <c r="AL79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9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91" s="2" t="str">
        <f>SUBSTITUTE(SUBSTITUTE(PROPERTIES[[#This Row],[PURCHASECOST_VALUE]], "PURCHASECOST_", ""), "_VALUE", "")</f>
        <v>STEAMENGINE</v>
      </c>
      <c r="AO791" s="44" t="b">
        <v>0</v>
      </c>
      <c r="AP791" s="48" t="b">
        <v>0</v>
      </c>
      <c r="AQ791" s="48" t="b">
        <v>0</v>
      </c>
      <c r="AR791" s="48">
        <v>0</v>
      </c>
      <c r="AS791" s="48" t="b">
        <v>0</v>
      </c>
      <c r="AT791" s="7" t="b">
        <v>0</v>
      </c>
      <c r="AU791" s="40" t="str" cm="1">
        <f t="array" ref="AU791">_xlfn.XLOOKUP(PROPERTIES[[#This Row],[VEHIDCODE]],GRAPHICS_PROPERTIES[VEHIDCODE],GRAPHICS_PROPERTIES[TEMPLATE_ID]&amp;GRAPHICS_PROPERTIES[TEMPLATE_AMENDMENT_CODE])</f>
        <v>TPL_03A</v>
      </c>
    </row>
    <row r="792" spans="1:47" x14ac:dyDescent="0.35">
      <c r="A792" s="2" t="s">
        <v>3268</v>
      </c>
      <c r="B792">
        <v>2003</v>
      </c>
      <c r="C792">
        <v>2030</v>
      </c>
      <c r="D792" cm="1">
        <f t="array" ref="D7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792" s="40" t="str">
        <f>_xlfn.XLOOKUP(PROPERTIES[[#This Row],[VEHIDCODE]],CONTROL[VEHIDCODE],CONTROL[ENGLISH])</f>
        <v>Kawasaki/Nippon Sharyo/Toshiba M250</v>
      </c>
      <c r="F792" t="s">
        <v>640</v>
      </c>
      <c r="G792" s="40" t="str">
        <f>_xlfn.XLOOKUP(PROPERTIES[[#This Row],[COUNTRY]],COUNTRIES[COUNTRY_DESCRIPTION],COUNTRIES[COUNTRY_LABEL],"")</f>
        <v>JP</v>
      </c>
      <c r="H792" t="str" cm="1">
        <f t="array" ref="H7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792" t="s">
        <v>24</v>
      </c>
      <c r="J792">
        <v>60</v>
      </c>
      <c r="K792">
        <v>8</v>
      </c>
      <c r="M792" t="str" cm="1">
        <f t="array" ref="M7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2">
        <f>_xlfn.XLOOKUP("LOADINGSPEEDDEF_"&amp;PROPERTIES[[#This Row],[LOADINGSPEED]],LOADINGSPEEDDEF[TYPE],LOADINGSPEEDDEF[SPEED])</f>
        <v>20</v>
      </c>
      <c r="O792" t="str" cm="1">
        <f t="array" ref="O7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92">
        <f>IF(ISNUMBER(SEARCH("passenger",PROPERTIES[[#This Row],[CARGODEF]])),1,0)</f>
        <v>0</v>
      </c>
      <c r="Q792" s="23">
        <f>51/2</f>
        <v>25.5</v>
      </c>
      <c r="R792">
        <v>2360</v>
      </c>
      <c r="S792">
        <v>0</v>
      </c>
      <c r="T792">
        <v>0</v>
      </c>
      <c r="U792">
        <v>0</v>
      </c>
      <c r="V792">
        <v>140</v>
      </c>
      <c r="W792">
        <v>0</v>
      </c>
      <c r="X792">
        <v>0</v>
      </c>
      <c r="Y792">
        <v>0</v>
      </c>
      <c r="Z792" s="20">
        <f>98/2</f>
        <v>49</v>
      </c>
      <c r="AA792" s="19">
        <f>IFERROR(PROPERTIES[[#This Row],[TE_STARTING_KN]]/(PROPERTIES[[#This Row],[WEIGHT]]*9.81),0)</f>
        <v>0.19587855529571666</v>
      </c>
      <c r="AB792" s="19">
        <v>0</v>
      </c>
      <c r="AC792" s="16">
        <f>ROUND(IF(IFERROR(PROPERTIES[[#This Row],[TE_COEFFICIENT_CALC]],0)=0,PROPERTIES[[#This Row],[TE_COEFFICIENT_MANUAL]],PROPERTIES[[#This Row],[TE_COEFFICIENT_CALC]]),3)</f>
        <v>0.19600000000000001</v>
      </c>
      <c r="AD792" s="8" cm="1">
        <f t="array" ref="AD7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792" s="26">
        <v>60</v>
      </c>
      <c r="AF792" s="6">
        <v>8</v>
      </c>
      <c r="AG792" t="s">
        <v>238</v>
      </c>
      <c r="AH792" t="s">
        <v>229</v>
      </c>
      <c r="AI792" t="s">
        <v>229</v>
      </c>
      <c r="AJ792" s="2" t="s">
        <v>229</v>
      </c>
      <c r="AK792" s="7" t="s">
        <v>244</v>
      </c>
      <c r="AL79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79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792" s="2" t="str">
        <f>SUBSTITUTE(SUBSTITUTE(PROPERTIES[[#This Row],[PURCHASECOST_VALUE]], "PURCHASECOST_", ""), "_VALUE", "")</f>
        <v>EMU</v>
      </c>
      <c r="AO792" s="44" t="b">
        <v>0</v>
      </c>
      <c r="AP792" s="48" t="b">
        <v>0</v>
      </c>
      <c r="AQ792" s="48" t="b">
        <v>0</v>
      </c>
      <c r="AR792" s="48">
        <v>0</v>
      </c>
      <c r="AS792" s="48" t="b">
        <v>0</v>
      </c>
      <c r="AT792" s="7" t="b">
        <v>0</v>
      </c>
      <c r="AU792" s="40" t="str" cm="1">
        <f t="array" ref="AU792">_xlfn.XLOOKUP(PROPERTIES[[#This Row],[VEHIDCODE]],GRAPHICS_PROPERTIES[VEHIDCODE],GRAPHICS_PROPERTIES[TEMPLATE_ID]&amp;GRAPHICS_PROPERTIES[TEMPLATE_AMENDMENT_CODE])</f>
        <v>TPL_42B</v>
      </c>
    </row>
    <row r="793" spans="1:47" x14ac:dyDescent="0.35">
      <c r="A793" s="2" t="s">
        <v>3269</v>
      </c>
      <c r="B793">
        <v>1880</v>
      </c>
      <c r="C793">
        <v>1900</v>
      </c>
      <c r="D793" cm="1">
        <f t="array" ref="D7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3" s="40" t="str">
        <f>_xlfn.XLOOKUP(PROPERTIES[[#This Row],[VEHIDCODE]],CONTROL[VEHIDCODE],CONTROL[ENGLISH])</f>
        <v>Esslingen/MAN/Hohenzollern 'Thomas'</v>
      </c>
      <c r="F793" t="s">
        <v>584</v>
      </c>
      <c r="G793" s="40" t="str">
        <f>_xlfn.XLOOKUP(PROPERTIES[[#This Row],[COUNTRY]],COUNTRIES[COUNTRY_DESCRIPTION],COUNTRIES[COUNTRY_LABEL],"")</f>
        <v>DE</v>
      </c>
      <c r="H793" t="str" cm="1">
        <f t="array" ref="H7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3" t="s">
        <v>15</v>
      </c>
      <c r="J793">
        <v>80</v>
      </c>
      <c r="K793">
        <v>6</v>
      </c>
      <c r="L793">
        <v>0</v>
      </c>
      <c r="M793" t="str" cm="1">
        <f t="array" ref="M7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93">
        <f>_xlfn.XLOOKUP("LOADINGSPEEDDEF_"&amp;PROPERTIES[[#This Row],[LOADINGSPEED]],LOADINGSPEEDDEF[TYPE],LOADINGSPEEDDEF[SPEED])</f>
        <v>60</v>
      </c>
      <c r="O793" cm="1">
        <f t="array" ref="O7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3">
        <f>IF(ISNUMBER(SEARCH("passenger",PROPERTIES[[#This Row],[CARGODEF]])),1,0)</f>
        <v>1</v>
      </c>
      <c r="Q793" s="23">
        <v>29</v>
      </c>
      <c r="R793">
        <v>99</v>
      </c>
      <c r="S793">
        <v>0</v>
      </c>
      <c r="T793">
        <v>0</v>
      </c>
      <c r="U793">
        <v>0</v>
      </c>
      <c r="V793">
        <f>INT(25*1.62)</f>
        <v>40</v>
      </c>
      <c r="W793">
        <v>0</v>
      </c>
      <c r="X793">
        <v>0</v>
      </c>
      <c r="Y793">
        <v>0</v>
      </c>
      <c r="Z793" s="20">
        <v>13.4</v>
      </c>
      <c r="AA793" s="19">
        <f>IFERROR(PROPERTIES[[#This Row],[TE_STARTING_KN]]/(PROPERTIES[[#This Row],[WEIGHT]]*9.81),0)</f>
        <v>4.7101831347323278E-2</v>
      </c>
      <c r="AB793" s="19">
        <v>0</v>
      </c>
      <c r="AC793" s="16">
        <f>ROUND(IF(IFERROR(PROPERTIES[[#This Row],[TE_COEFFICIENT_CALC]],0)=0,PROPERTIES[[#This Row],[TE_COEFFICIENT_MANUAL]],PROPERTIES[[#This Row],[TE_COEFFICIENT_CALC]]),3)</f>
        <v>4.7E-2</v>
      </c>
      <c r="AD793" s="8" cm="1">
        <f t="array" ref="AD7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93" s="26">
        <v>0</v>
      </c>
      <c r="AF793" s="6">
        <v>0</v>
      </c>
      <c r="AG793" t="s">
        <v>1950</v>
      </c>
      <c r="AH793" t="s">
        <v>229</v>
      </c>
      <c r="AI793" t="s">
        <v>229</v>
      </c>
      <c r="AJ793" s="2" t="s">
        <v>229</v>
      </c>
      <c r="AK793" s="2" t="s">
        <v>244</v>
      </c>
      <c r="AL793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793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793" s="2" t="str">
        <f>SUBSTITUTE(SUBSTITUTE(PROPERTIES[[#This Row],[PURCHASECOST_VALUE]], "PURCHASECOST_", ""), "_VALUE", "")</f>
        <v>STEAMRAILBUS</v>
      </c>
      <c r="AO793" s="44" t="b">
        <v>0</v>
      </c>
      <c r="AP793" s="48" t="b">
        <v>0</v>
      </c>
      <c r="AQ793" s="48" t="b">
        <v>0</v>
      </c>
      <c r="AR793" s="48">
        <v>0</v>
      </c>
      <c r="AS793" s="48" t="b">
        <v>0</v>
      </c>
      <c r="AT793" s="7" t="b">
        <v>0</v>
      </c>
      <c r="AU793" s="40" t="str" cm="1">
        <f t="array" ref="AU793">_xlfn.XLOOKUP(PROPERTIES[[#This Row],[VEHIDCODE]],GRAPHICS_PROPERTIES[VEHIDCODE],GRAPHICS_PROPERTIES[TEMPLATE_ID]&amp;GRAPHICS_PROPERTIES[TEMPLATE_AMENDMENT_CODE])</f>
        <v>TPL_03C</v>
      </c>
    </row>
    <row r="794" spans="1:47" x14ac:dyDescent="0.35">
      <c r="A794" s="2" t="s">
        <v>3270</v>
      </c>
      <c r="B794">
        <v>1905</v>
      </c>
      <c r="C794">
        <v>1908</v>
      </c>
      <c r="D794" cm="1">
        <f t="array" ref="D7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4" s="40" t="str">
        <f>_xlfn.XLOOKUP(PROPERTIES[[#This Row],[VEHIDCODE]],CONTROL[VEHIDCODE],CONTROL[ENGLISH])</f>
        <v>Komarek NOLB 30-33</v>
      </c>
      <c r="F794" t="s">
        <v>540</v>
      </c>
      <c r="G794" s="40" t="str">
        <f>_xlfn.XLOOKUP(PROPERTIES[[#This Row],[COUNTRY]],COUNTRIES[COUNTRY_DESCRIPTION],COUNTRIES[COUNTRY_LABEL],"")</f>
        <v>AT</v>
      </c>
      <c r="H794" t="str" cm="1">
        <f t="array" ref="H7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4" t="s">
        <v>15</v>
      </c>
      <c r="J794">
        <v>30</v>
      </c>
      <c r="K794">
        <v>5</v>
      </c>
      <c r="L794">
        <v>0</v>
      </c>
      <c r="M794" t="str" cm="1">
        <f t="array" ref="M7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94">
        <f>_xlfn.XLOOKUP("LOADINGSPEEDDEF_"&amp;PROPERTIES[[#This Row],[LOADINGSPEED]],LOADINGSPEEDDEF[TYPE],LOADINGSPEEDDEF[SPEED])</f>
        <v>60</v>
      </c>
      <c r="O794" cm="1">
        <f t="array" ref="O7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4">
        <f>IF(ISNUMBER(SEARCH("passenger",PROPERTIES[[#This Row],[CARGODEF]])),1,0)</f>
        <v>1</v>
      </c>
      <c r="Q794" s="23">
        <v>24</v>
      </c>
      <c r="R794">
        <v>150</v>
      </c>
      <c r="S794">
        <v>0</v>
      </c>
      <c r="T794">
        <v>0</v>
      </c>
      <c r="U794">
        <v>0</v>
      </c>
      <c r="V794">
        <v>40</v>
      </c>
      <c r="W794">
        <v>0</v>
      </c>
      <c r="X794">
        <v>0</v>
      </c>
      <c r="Y794">
        <v>0</v>
      </c>
      <c r="Z794" s="20">
        <v>23.3576116216</v>
      </c>
      <c r="AA794" s="19">
        <f>IFERROR(PROPERTIES[[#This Row],[TE_STARTING_KN]]/(PROPERTIES[[#This Row],[WEIGHT]]*9.81),0)</f>
        <v>9.920834022086307E-2</v>
      </c>
      <c r="AB794" s="19">
        <v>0</v>
      </c>
      <c r="AC794" s="16">
        <f>ROUND(IF(IFERROR(PROPERTIES[[#This Row],[TE_COEFFICIENT_CALC]],0)=0,PROPERTIES[[#This Row],[TE_COEFFICIENT_MANUAL]],PROPERTIES[[#This Row],[TE_COEFFICIENT_CALC]]),3)</f>
        <v>9.9000000000000005E-2</v>
      </c>
      <c r="AD794" s="8" cm="1">
        <f t="array" ref="AD7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94" s="26">
        <v>0</v>
      </c>
      <c r="AF794" s="6">
        <v>0</v>
      </c>
      <c r="AG794" t="s">
        <v>230</v>
      </c>
      <c r="AH794" t="s">
        <v>229</v>
      </c>
      <c r="AI794" t="s">
        <v>229</v>
      </c>
      <c r="AJ794" s="2" t="s">
        <v>229</v>
      </c>
      <c r="AK794" s="7" t="s">
        <v>244</v>
      </c>
      <c r="AL794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794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794" s="2" t="str">
        <f>SUBSTITUTE(SUBSTITUTE(PROPERTIES[[#This Row],[PURCHASECOST_VALUE]], "PURCHASECOST_", ""), "_VALUE", "")</f>
        <v>STEAMRAILBUS</v>
      </c>
      <c r="AO794" s="44" t="b">
        <v>0</v>
      </c>
      <c r="AP794" s="48" t="b">
        <v>0</v>
      </c>
      <c r="AQ794" s="48" t="b">
        <v>0</v>
      </c>
      <c r="AR794" s="48">
        <v>0</v>
      </c>
      <c r="AS794" s="48" t="b">
        <v>0</v>
      </c>
      <c r="AT794" s="7" t="b">
        <v>0</v>
      </c>
      <c r="AU794" s="40" t="str" cm="1">
        <f t="array" ref="AU794">_xlfn.XLOOKUP(PROPERTIES[[#This Row],[VEHIDCODE]],GRAPHICS_PROPERTIES[VEHIDCODE],GRAPHICS_PROPERTIES[TEMPLATE_ID]&amp;GRAPHICS_PROPERTIES[TEMPLATE_AMENDMENT_CODE])</f>
        <v>TPL_01B</v>
      </c>
    </row>
    <row r="795" spans="1:47" x14ac:dyDescent="0.35">
      <c r="A795" t="s">
        <v>3271</v>
      </c>
      <c r="B795">
        <v>1923</v>
      </c>
      <c r="D795" cm="1">
        <f t="array" ref="D7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5" s="40" t="str">
        <f>_xlfn.XLOOKUP(PROPERTIES[[#This Row],[VEHIDCODE]],CONTROL[VEHIDCODE],CONTROL[ENGLISH])</f>
        <v>Henschel 4-4-2 19906</v>
      </c>
      <c r="F795" t="s">
        <v>685</v>
      </c>
      <c r="G795" s="40" t="str">
        <f>_xlfn.XLOOKUP(PROPERTIES[[#This Row],[COUNTRY]],COUNTRIES[COUNTRY_DESCRIPTION],COUNTRIES[COUNTRY_LABEL],"")</f>
        <v>MZ</v>
      </c>
      <c r="H795" t="str" cm="1">
        <f t="array" ref="H7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5" t="s">
        <v>17</v>
      </c>
      <c r="J795">
        <v>0</v>
      </c>
      <c r="K795">
        <v>6</v>
      </c>
      <c r="L795">
        <v>0</v>
      </c>
      <c r="M795" t="str" cm="1">
        <f t="array" ref="M7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5">
        <f>_xlfn.XLOOKUP("LOADINGSPEEDDEF_"&amp;PROPERTIES[[#This Row],[LOADINGSPEED]],LOADINGSPEEDDEF[TYPE],LOADINGSPEEDDEF[SPEED])</f>
        <v>20</v>
      </c>
      <c r="O795" cm="1">
        <f t="array" ref="O7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5">
        <f>IF(ISNUMBER(SEARCH("passenger",PROPERTIES[[#This Row],[CARGODEF]])),1,0)</f>
        <v>0</v>
      </c>
      <c r="Q795" s="23">
        <v>101</v>
      </c>
      <c r="R795">
        <v>1207</v>
      </c>
      <c r="S795">
        <v>0</v>
      </c>
      <c r="T795">
        <v>0</v>
      </c>
      <c r="U795">
        <v>0</v>
      </c>
      <c r="V795">
        <v>96</v>
      </c>
      <c r="W795">
        <v>0</v>
      </c>
      <c r="X795">
        <v>0</v>
      </c>
      <c r="Y795">
        <v>0</v>
      </c>
      <c r="Z795" s="20">
        <v>103</v>
      </c>
      <c r="AA795" s="19">
        <f>IFERROR(PROPERTIES[[#This Row],[TE_STARTING_KN]]/(PROPERTIES[[#This Row],[WEIGHT]]*9.81),0)</f>
        <v>0.10395534966340671</v>
      </c>
      <c r="AB795" s="19">
        <v>0</v>
      </c>
      <c r="AC795" s="16">
        <f>ROUND(IF(IFERROR(PROPERTIES[[#This Row],[TE_COEFFICIENT_CALC]],0)=0,PROPERTIES[[#This Row],[TE_COEFFICIENT_MANUAL]],PROPERTIES[[#This Row],[TE_COEFFICIENT_CALC]]),3)</f>
        <v>0.104</v>
      </c>
      <c r="AD795" s="8" cm="1">
        <f t="array" ref="AD7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95" s="26">
        <v>0</v>
      </c>
      <c r="AF795" s="6">
        <v>5</v>
      </c>
      <c r="AG795" t="s">
        <v>233</v>
      </c>
      <c r="AH795" t="s">
        <v>229</v>
      </c>
      <c r="AI795" t="s">
        <v>229</v>
      </c>
      <c r="AJ795" s="2" t="s">
        <v>229</v>
      </c>
      <c r="AK795" s="2" t="s">
        <v>244</v>
      </c>
      <c r="AL79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9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95" s="2" t="str">
        <f>SUBSTITUTE(SUBSTITUTE(PROPERTIES[[#This Row],[PURCHASECOST_VALUE]], "PURCHASECOST_", ""), "_VALUE", "")</f>
        <v>STEAMENGINE</v>
      </c>
      <c r="AO795" s="44" t="b">
        <v>0</v>
      </c>
      <c r="AP795" s="48" t="b">
        <v>0</v>
      </c>
      <c r="AQ795" s="48" t="b">
        <v>0</v>
      </c>
      <c r="AR795" s="48">
        <v>0</v>
      </c>
      <c r="AS795" s="48" t="b">
        <v>0</v>
      </c>
      <c r="AT795" s="7" t="b">
        <v>0</v>
      </c>
      <c r="AU795" s="40" t="str" cm="1">
        <f t="array" ref="AU795">_xlfn.XLOOKUP(PROPERTIES[[#This Row],[VEHIDCODE]],GRAPHICS_PROPERTIES[VEHIDCODE],GRAPHICS_PROPERTIES[TEMPLATE_ID]&amp;GRAPHICS_PROPERTIES[TEMPLATE_AMENDMENT_CODE])</f>
        <v>TPL_03A</v>
      </c>
    </row>
    <row r="796" spans="1:47" x14ac:dyDescent="0.35">
      <c r="A796" t="s">
        <v>3446</v>
      </c>
      <c r="B796">
        <v>1930</v>
      </c>
      <c r="D796" cm="1">
        <f t="array" ref="D7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6" s="40" t="str">
        <f>_xlfn.XLOOKUP(PROPERTIES[[#This Row],[VEHIDCODE]],CONTROL[VEHIDCODE],CONTROL[ENGLISH])</f>
        <v>Haine-Saint-Pierre 2-6-0+0-6-2T 'Golwe'</v>
      </c>
      <c r="F796" t="s">
        <v>571</v>
      </c>
      <c r="G796" s="40" t="str">
        <f>_xlfn.XLOOKUP(PROPERTIES[[#This Row],[COUNTRY]],COUNTRIES[COUNTRY_DESCRIPTION],COUNTRIES[COUNTRY_LABEL],"")</f>
        <v>CI</v>
      </c>
      <c r="H796" t="str" cm="1">
        <f t="array" ref="H7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6" t="s">
        <v>17</v>
      </c>
      <c r="J796">
        <v>0</v>
      </c>
      <c r="K796">
        <v>7</v>
      </c>
      <c r="L796">
        <v>0</v>
      </c>
      <c r="M796" t="str" cm="1">
        <f t="array" ref="M7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6">
        <f>_xlfn.XLOOKUP("LOADINGSPEEDDEF_"&amp;PROPERTIES[[#This Row],[LOADINGSPEED]],LOADINGSPEEDDEF[TYPE],LOADINGSPEEDDEF[SPEED])</f>
        <v>20</v>
      </c>
      <c r="O796" cm="1">
        <f t="array" ref="O7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6">
        <f>IF(ISNUMBER(SEARCH("passenger",PROPERTIES[[#This Row],[CARGODEF]])),1,0)</f>
        <v>0</v>
      </c>
      <c r="Q796" s="23">
        <v>96</v>
      </c>
      <c r="R796">
        <v>939</v>
      </c>
      <c r="S796">
        <v>0</v>
      </c>
      <c r="T796">
        <v>0</v>
      </c>
      <c r="U796">
        <v>0</v>
      </c>
      <c r="V796">
        <v>40</v>
      </c>
      <c r="W796">
        <v>0</v>
      </c>
      <c r="X796">
        <v>0</v>
      </c>
      <c r="Y796">
        <v>0</v>
      </c>
      <c r="Z796" s="20">
        <v>166</v>
      </c>
      <c r="AA796" s="20">
        <f>IFERROR(PROPERTIES[[#This Row],[TE_STARTING_KN]]/(PROPERTIES[[#This Row],[WEIGHT]]*9.81),0)</f>
        <v>0.17626571525654094</v>
      </c>
      <c r="AB796" s="20">
        <v>0</v>
      </c>
      <c r="AC796" s="16">
        <f>ROUND(IF(IFERROR(PROPERTIES[[#This Row],[TE_COEFFICIENT_CALC]],0)=0,PROPERTIES[[#This Row],[TE_COEFFICIENT_MANUAL]],PROPERTIES[[#This Row],[TE_COEFFICIENT_CALC]]),3)</f>
        <v>0.17599999999999999</v>
      </c>
      <c r="AD796" s="8" cm="1">
        <f t="array" ref="AD7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96" s="26">
        <v>0</v>
      </c>
      <c r="AF796" s="6">
        <v>4</v>
      </c>
      <c r="AG796" t="s">
        <v>233</v>
      </c>
      <c r="AH796" t="s">
        <v>229</v>
      </c>
      <c r="AI796" t="s">
        <v>229</v>
      </c>
      <c r="AJ796" s="2" t="s">
        <v>229</v>
      </c>
      <c r="AK796" s="2" t="s">
        <v>244</v>
      </c>
      <c r="AL79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9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96" s="2" t="str">
        <f>SUBSTITUTE(SUBSTITUTE(PROPERTIES[[#This Row],[PURCHASECOST_VALUE]], "PURCHASECOST_", ""), "_VALUE", "")</f>
        <v>STEAMENGINE</v>
      </c>
      <c r="AO796" s="44" t="b">
        <v>0</v>
      </c>
      <c r="AP796" s="48" t="b">
        <v>0</v>
      </c>
      <c r="AQ796" s="48" t="b">
        <v>0</v>
      </c>
      <c r="AR796" s="48">
        <v>0</v>
      </c>
      <c r="AS796" s="48" t="b">
        <v>0</v>
      </c>
      <c r="AT796" s="7" t="b">
        <v>0</v>
      </c>
      <c r="AU796" s="40" t="str" cm="1">
        <f t="array" ref="AU796">_xlfn.XLOOKUP(PROPERTIES[[#This Row],[VEHIDCODE]],GRAPHICS_PROPERTIES[VEHIDCODE],GRAPHICS_PROPERTIES[TEMPLATE_ID]&amp;GRAPHICS_PROPERTIES[TEMPLATE_AMENDMENT_CODE])</f>
        <v>TPL_03A</v>
      </c>
    </row>
    <row r="797" spans="1:47" x14ac:dyDescent="0.35">
      <c r="A797" t="s">
        <v>3272</v>
      </c>
      <c r="B797">
        <v>1959</v>
      </c>
      <c r="D797" cm="1">
        <f t="array" ref="D7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7" s="40" t="str">
        <f>_xlfn.XLOOKUP(PROPERTIES[[#This Row],[VEHIDCODE]],CONTROL[VEHIDCODE],CONTROL[ENGLISH])</f>
        <v>Henschel EMD TT12</v>
      </c>
      <c r="F797" t="s">
        <v>608</v>
      </c>
      <c r="G797" s="40" t="str">
        <f>_xlfn.XLOOKUP(PROPERTIES[[#This Row],[COUNTRY]],COUNTRIES[COUNTRY_DESCRIPTION],COUNTRIES[COUNTRY_LABEL],"")</f>
        <v>GH</v>
      </c>
      <c r="H797" t="str" cm="1">
        <f t="array" ref="H7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97" t="s">
        <v>17</v>
      </c>
      <c r="J797">
        <v>0</v>
      </c>
      <c r="K797">
        <v>8</v>
      </c>
      <c r="L797">
        <v>0</v>
      </c>
      <c r="M797" t="str" cm="1">
        <f t="array" ref="M7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7">
        <f>_xlfn.XLOOKUP("LOADINGSPEEDDEF_"&amp;PROPERTIES[[#This Row],[LOADINGSPEED]],LOADINGSPEEDDEF[TYPE],LOADINGSPEEDDEF[SPEED])</f>
        <v>20</v>
      </c>
      <c r="O797" cm="1">
        <f t="array" ref="O7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7">
        <f>IF(ISNUMBER(SEARCH("passenger",PROPERTIES[[#This Row],[CARGODEF]])),1,0)</f>
        <v>0</v>
      </c>
      <c r="Q797" s="23">
        <v>83</v>
      </c>
      <c r="R797">
        <v>1425</v>
      </c>
      <c r="S797">
        <v>0</v>
      </c>
      <c r="T797">
        <v>0</v>
      </c>
      <c r="U797">
        <v>0</v>
      </c>
      <c r="V797">
        <v>100</v>
      </c>
      <c r="W797">
        <v>0</v>
      </c>
      <c r="X797">
        <v>0</v>
      </c>
      <c r="Y797">
        <v>0</v>
      </c>
      <c r="Z797" s="20">
        <v>240</v>
      </c>
      <c r="AA797" s="20">
        <f>IFERROR(PROPERTIES[[#This Row],[TE_STARTING_KN]]/(PROPERTIES[[#This Row],[WEIGHT]]*9.81),0)</f>
        <v>0.29475700969013668</v>
      </c>
      <c r="AB797" s="20">
        <v>0</v>
      </c>
      <c r="AC797" s="16">
        <f>ROUND(IF(IFERROR(PROPERTIES[[#This Row],[TE_COEFFICIENT_CALC]],0)=0,PROPERTIES[[#This Row],[TE_COEFFICIENT_MANUAL]],PROPERTIES[[#This Row],[TE_COEFFICIENT_CALC]]),3)</f>
        <v>0.29499999999999998</v>
      </c>
      <c r="AD797" s="8" cm="1">
        <f t="array" ref="AD7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797" s="36">
        <v>0</v>
      </c>
      <c r="AF797" s="29">
        <v>0</v>
      </c>
      <c r="AG797" t="s">
        <v>233</v>
      </c>
      <c r="AH797" t="s">
        <v>229</v>
      </c>
      <c r="AI797" t="s">
        <v>229</v>
      </c>
      <c r="AJ797" s="2" t="s">
        <v>229</v>
      </c>
      <c r="AK797" s="28" t="s">
        <v>244</v>
      </c>
      <c r="AL79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79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797" s="2" t="str">
        <f>SUBSTITUTE(SUBSTITUTE(PROPERTIES[[#This Row],[PURCHASECOST_VALUE]], "PURCHASECOST_", ""), "_VALUE", "")</f>
        <v>DIESELENGINE</v>
      </c>
      <c r="AO797" s="44" t="b">
        <v>0</v>
      </c>
      <c r="AP797" s="48" t="b">
        <v>0</v>
      </c>
      <c r="AQ797" s="48" t="b">
        <v>0</v>
      </c>
      <c r="AR797" s="48">
        <v>0</v>
      </c>
      <c r="AS797" s="48" t="b">
        <v>0</v>
      </c>
      <c r="AT797" s="7" t="b">
        <v>0</v>
      </c>
      <c r="AU797" s="40" t="str" cm="1">
        <f t="array" ref="AU797">_xlfn.XLOOKUP(PROPERTIES[[#This Row],[VEHIDCODE]],GRAPHICS_PROPERTIES[VEHIDCODE],GRAPHICS_PROPERTIES[TEMPLATE_ID]&amp;GRAPHICS_PROPERTIES[TEMPLATE_AMENDMENT_CODE])</f>
        <v>TPL_16A</v>
      </c>
    </row>
    <row r="798" spans="1:47" x14ac:dyDescent="0.35">
      <c r="A798" s="2" t="s">
        <v>3273</v>
      </c>
      <c r="B798">
        <v>1962</v>
      </c>
      <c r="D798" cm="1">
        <f t="array" ref="D7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8" s="40" t="str">
        <f>_xlfn.XLOOKUP(PROPERTIES[[#This Row],[VEHIDCODE]],CONTROL[VEHIDCODE],CONTROL[ENGLISH])</f>
        <v>Henschel GE G16</v>
      </c>
      <c r="F798" t="s">
        <v>657</v>
      </c>
      <c r="G798" s="40" t="str">
        <f>_xlfn.XLOOKUP(PROPERTIES[[#This Row],[COUNTRY]],COUNTRIES[COUNTRY_DESCRIPTION],COUNTRIES[COUNTRY_LABEL],"")</f>
        <v>LR</v>
      </c>
      <c r="H798" t="str" cm="1">
        <f t="array" ref="H7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98" t="s">
        <v>17</v>
      </c>
      <c r="J798">
        <v>0</v>
      </c>
      <c r="K798">
        <v>8</v>
      </c>
      <c r="M798" t="str" cm="1">
        <f t="array" ref="M7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8">
        <f>_xlfn.XLOOKUP("LOADINGSPEEDDEF_"&amp;PROPERTIES[[#This Row],[LOADINGSPEED]],LOADINGSPEEDDEF[TYPE],LOADINGSPEEDDEF[SPEED])</f>
        <v>20</v>
      </c>
      <c r="O798" cm="1">
        <f t="array" ref="O7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8">
        <f>IF(ISNUMBER(SEARCH("passenger",PROPERTIES[[#This Row],[CARGODEF]])),1,0)</f>
        <v>0</v>
      </c>
      <c r="Q798" s="23">
        <v>176</v>
      </c>
      <c r="R798">
        <v>1950</v>
      </c>
      <c r="S798">
        <v>0</v>
      </c>
      <c r="T798">
        <v>0</v>
      </c>
      <c r="U798">
        <v>0</v>
      </c>
      <c r="V798">
        <v>105</v>
      </c>
      <c r="W798">
        <v>0</v>
      </c>
      <c r="X798">
        <v>0</v>
      </c>
      <c r="Y798">
        <v>0</v>
      </c>
      <c r="Z798" s="20">
        <v>512</v>
      </c>
      <c r="AA798" s="20">
        <f>IFERROR(PROPERTIES[[#This Row],[TE_STARTING_KN]]/(PROPERTIES[[#This Row],[WEIGHT]]*9.81),0)</f>
        <v>0.2965434158094708</v>
      </c>
      <c r="AB798" s="20">
        <v>0</v>
      </c>
      <c r="AC798" s="16">
        <f>ROUND(IF(IFERROR(PROPERTIES[[#This Row],[TE_COEFFICIENT_CALC]],0)=0,PROPERTIES[[#This Row],[TE_COEFFICIENT_MANUAL]],PROPERTIES[[#This Row],[TE_COEFFICIENT_CALC]]),3)</f>
        <v>0.29699999999999999</v>
      </c>
      <c r="AD798" s="8" cm="1">
        <f t="array" ref="AD7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798" s="36">
        <v>0</v>
      </c>
      <c r="AF798" s="29">
        <v>2</v>
      </c>
      <c r="AG798" t="s">
        <v>233</v>
      </c>
      <c r="AH798" t="s">
        <v>229</v>
      </c>
      <c r="AI798" t="s">
        <v>229</v>
      </c>
      <c r="AJ798" s="2" t="s">
        <v>229</v>
      </c>
      <c r="AK798" s="28" t="s">
        <v>244</v>
      </c>
      <c r="AL79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79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798" s="2" t="str">
        <f>SUBSTITUTE(SUBSTITUTE(PROPERTIES[[#This Row],[PURCHASECOST_VALUE]], "PURCHASECOST_", ""), "_VALUE", "")</f>
        <v>DIESELENGINE</v>
      </c>
      <c r="AO798" s="44" t="b">
        <v>0</v>
      </c>
      <c r="AP798" s="48" t="b">
        <v>0</v>
      </c>
      <c r="AQ798" s="48" t="b">
        <v>0</v>
      </c>
      <c r="AR798" s="48">
        <v>0</v>
      </c>
      <c r="AS798" s="48" t="b">
        <v>0</v>
      </c>
      <c r="AT798" s="7" t="b">
        <v>0</v>
      </c>
      <c r="AU798" s="40" t="str" cm="1">
        <f t="array" ref="AU798">_xlfn.XLOOKUP(PROPERTIES[[#This Row],[VEHIDCODE]],GRAPHICS_PROPERTIES[VEHIDCODE],GRAPHICS_PROPERTIES[TEMPLATE_ID]&amp;GRAPHICS_PROPERTIES[TEMPLATE_AMENDMENT_CODE])</f>
        <v>TPL_16A</v>
      </c>
    </row>
    <row r="799" spans="1:47" x14ac:dyDescent="0.35">
      <c r="A799" s="2" t="s">
        <v>3274</v>
      </c>
      <c r="B799">
        <v>1963</v>
      </c>
      <c r="C799">
        <v>1969</v>
      </c>
      <c r="D799" cm="1">
        <f t="array" ref="D7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9" s="40" t="str">
        <f>_xlfn.XLOOKUP(PROPERTIES[[#This Row],[VEHIDCODE]],CONTROL[VEHIDCODE],CONTROL[ENGLISH])</f>
        <v>ACEC/BN Type 2450</v>
      </c>
      <c r="F799" t="s">
        <v>567</v>
      </c>
      <c r="G799" s="40" t="str">
        <f>_xlfn.XLOOKUP(PROPERTIES[[#This Row],[COUNTRY]],COUNTRIES[COUNTRY_DESCRIPTION],COUNTRIES[COUNTRY_LABEL],"")</f>
        <v>CD</v>
      </c>
      <c r="H799" t="str" cm="1">
        <f t="array" ref="H7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799" t="s">
        <v>17</v>
      </c>
      <c r="J799">
        <v>0</v>
      </c>
      <c r="K799">
        <v>6</v>
      </c>
      <c r="L799">
        <v>0</v>
      </c>
      <c r="M799" t="str" cm="1">
        <f t="array" ref="M7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9">
        <f>_xlfn.XLOOKUP("LOADINGSPEEDDEF_"&amp;PROPERTIES[[#This Row],[LOADINGSPEED]],LOADINGSPEEDDEF[TYPE],LOADINGSPEEDDEF[SPEED])</f>
        <v>20</v>
      </c>
      <c r="O799" cm="1">
        <f t="array" ref="O7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9">
        <f>IF(ISNUMBER(SEARCH("passenger",PROPERTIES[[#This Row],[CARGODEF]])),1,0)</f>
        <v>0</v>
      </c>
      <c r="Q799" s="23">
        <v>60</v>
      </c>
      <c r="R799">
        <v>2200</v>
      </c>
      <c r="S799">
        <v>0</v>
      </c>
      <c r="T799">
        <v>0</v>
      </c>
      <c r="U799">
        <v>0</v>
      </c>
      <c r="V799">
        <v>70</v>
      </c>
      <c r="W799">
        <v>0</v>
      </c>
      <c r="X799">
        <v>0</v>
      </c>
      <c r="Y799">
        <v>0</v>
      </c>
      <c r="Z799" s="20">
        <v>137</v>
      </c>
      <c r="AA799" s="19">
        <f>IFERROR(PROPERTIES[[#This Row],[TE_STARTING_KN]]/(PROPERTIES[[#This Row],[WEIGHT]]*9.81),0)</f>
        <v>0.2327556914712878</v>
      </c>
      <c r="AB799" s="20">
        <v>0</v>
      </c>
      <c r="AC799" s="16">
        <f>ROUND(IF(IFERROR(PROPERTIES[[#This Row],[TE_COEFFICIENT_CALC]],0)=0,PROPERTIES[[#This Row],[TE_COEFFICIENT_MANUAL]],PROPERTIES[[#This Row],[TE_COEFFICIENT_CALC]]),3)</f>
        <v>0.23300000000000001</v>
      </c>
      <c r="AD799" s="8" cm="1">
        <f t="array" ref="AD7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799" s="26">
        <v>0</v>
      </c>
      <c r="AF799" s="6">
        <v>0</v>
      </c>
      <c r="AG799" t="s">
        <v>233</v>
      </c>
      <c r="AH799" t="s">
        <v>229</v>
      </c>
      <c r="AI799" t="s">
        <v>229</v>
      </c>
      <c r="AJ799" s="2" t="s">
        <v>229</v>
      </c>
      <c r="AK799" s="28" t="s">
        <v>244</v>
      </c>
      <c r="AL79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79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799" s="2" t="str">
        <f>SUBSTITUTE(SUBSTITUTE(PROPERTIES[[#This Row],[PURCHASECOST_VALUE]], "PURCHASECOST_", ""), "_VALUE", "")</f>
        <v>ELECTRICENGINE</v>
      </c>
      <c r="AO799" s="44" t="b">
        <v>0</v>
      </c>
      <c r="AP799" s="48" t="b">
        <v>0</v>
      </c>
      <c r="AQ799" s="48" t="b">
        <v>0</v>
      </c>
      <c r="AR799" s="48">
        <v>0</v>
      </c>
      <c r="AS799" s="48" t="b">
        <v>0</v>
      </c>
      <c r="AT799" s="7" t="b">
        <v>0</v>
      </c>
      <c r="AU799" s="40" t="str" cm="1">
        <f t="array" ref="AU799">_xlfn.XLOOKUP(PROPERTIES[[#This Row],[VEHIDCODE]],GRAPHICS_PROPERTIES[VEHIDCODE],GRAPHICS_PROPERTIES[TEMPLATE_ID]&amp;GRAPHICS_PROPERTIES[TEMPLATE_AMENDMENT_CODE])</f>
        <v>TPL_01A</v>
      </c>
    </row>
    <row r="800" spans="1:47" x14ac:dyDescent="0.35">
      <c r="A800" s="2" t="s">
        <v>3275</v>
      </c>
      <c r="B800">
        <v>1970</v>
      </c>
      <c r="D800" cm="1">
        <f t="array" ref="D8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0" s="40" t="str">
        <f>_xlfn.XLOOKUP(PROPERTIES[[#This Row],[VEHIDCODE]],CONTROL[VEHIDCODE],CONTROL[ENGLISH])</f>
        <v>Alsthom BB-BB 300</v>
      </c>
      <c r="F800" t="s">
        <v>569</v>
      </c>
      <c r="G800" s="40" t="str">
        <f>_xlfn.XLOOKUP(PROPERTIES[[#This Row],[COUNTRY]],COUNTRIES[COUNTRY_DESCRIPTION],COUNTRIES[COUNTRY_LABEL],"")</f>
        <v>CG</v>
      </c>
      <c r="H800" t="str" cm="1">
        <f t="array" ref="H8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0" t="s">
        <v>17</v>
      </c>
      <c r="J800">
        <v>0</v>
      </c>
      <c r="K800">
        <v>8</v>
      </c>
      <c r="L800">
        <v>0</v>
      </c>
      <c r="M800" t="str" cm="1">
        <f t="array" ref="M8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0">
        <f>_xlfn.XLOOKUP("LOADINGSPEEDDEF_"&amp;PROPERTIES[[#This Row],[LOADINGSPEED]],LOADINGSPEEDDEF[TYPE],LOADINGSPEEDDEF[SPEED])</f>
        <v>20</v>
      </c>
      <c r="O800" cm="1">
        <f t="array" ref="O8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00">
        <f>IF(ISNUMBER(SEARCH("passenger",PROPERTIES[[#This Row],[CARGODEF]])),1,0)</f>
        <v>0</v>
      </c>
      <c r="Q800" s="23">
        <v>130</v>
      </c>
      <c r="R800">
        <v>3600</v>
      </c>
      <c r="S800">
        <v>0</v>
      </c>
      <c r="T800">
        <v>0</v>
      </c>
      <c r="U800">
        <v>0</v>
      </c>
      <c r="V800">
        <v>80</v>
      </c>
      <c r="W800">
        <v>0</v>
      </c>
      <c r="X800">
        <v>0</v>
      </c>
      <c r="Y800">
        <v>0</v>
      </c>
      <c r="Z800" s="20">
        <v>380</v>
      </c>
      <c r="AA800" s="19">
        <f>IFERROR(PROPERTIES[[#This Row],[TE_STARTING_KN]]/(PROPERTIES[[#This Row],[WEIGHT]]*9.81),0)</f>
        <v>0.29796910530855486</v>
      </c>
      <c r="AB800" s="19">
        <v>0</v>
      </c>
      <c r="AC800" s="16">
        <f>ROUND(IF(IFERROR(PROPERTIES[[#This Row],[TE_COEFFICIENT_CALC]],0)=0,PROPERTIES[[#This Row],[TE_COEFFICIENT_MANUAL]],PROPERTIES[[#This Row],[TE_COEFFICIENT_CALC]]),3)</f>
        <v>0.29799999999999999</v>
      </c>
      <c r="AD800" s="8" cm="1">
        <f t="array" ref="AD8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00" s="26">
        <v>0</v>
      </c>
      <c r="AF800" s="6">
        <v>0</v>
      </c>
      <c r="AG800" t="s">
        <v>233</v>
      </c>
      <c r="AH800" t="s">
        <v>229</v>
      </c>
      <c r="AI800" t="s">
        <v>229</v>
      </c>
      <c r="AJ800" s="2" t="s">
        <v>229</v>
      </c>
      <c r="AK800" s="2" t="s">
        <v>244</v>
      </c>
      <c r="AL80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0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00" s="2" t="str">
        <f>SUBSTITUTE(SUBSTITUTE(PROPERTIES[[#This Row],[PURCHASECOST_VALUE]], "PURCHASECOST_", ""), "_VALUE", "")</f>
        <v>DIESELENGINE</v>
      </c>
      <c r="AO800" s="44" t="b">
        <v>0</v>
      </c>
      <c r="AP800" s="48" t="b">
        <v>0</v>
      </c>
      <c r="AQ800" s="48" t="b">
        <v>0</v>
      </c>
      <c r="AR800" s="48">
        <v>0</v>
      </c>
      <c r="AS800" s="48" t="b">
        <v>0</v>
      </c>
      <c r="AT800" s="7" t="b">
        <v>0</v>
      </c>
      <c r="AU800" s="40" t="str" cm="1">
        <f t="array" ref="AU800">_xlfn.XLOOKUP(PROPERTIES[[#This Row],[VEHIDCODE]],GRAPHICS_PROPERTIES[VEHIDCODE],GRAPHICS_PROPERTIES[TEMPLATE_ID]&amp;GRAPHICS_PROPERTIES[TEMPLATE_AMENDMENT_CODE])</f>
        <v>TPL_01A</v>
      </c>
    </row>
    <row r="801" spans="1:47" x14ac:dyDescent="0.35">
      <c r="A801" s="2" t="s">
        <v>3276</v>
      </c>
      <c r="B801">
        <v>1965</v>
      </c>
      <c r="D801" cm="1">
        <f t="array" ref="D8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1" s="40" t="str">
        <f>_xlfn.XLOOKUP(PROPERTIES[[#This Row],[VEHIDCODE]],CONTROL[VEHIDCODE],CONTROL[ENGLISH])</f>
        <v>Alsthom CC 200</v>
      </c>
      <c r="F801" t="s">
        <v>773</v>
      </c>
      <c r="G801" s="40" t="str">
        <f>_xlfn.XLOOKUP(PROPERTIES[[#This Row],[COUNTRY]],COUNTRIES[COUNTRY_DESCRIPTION],COUNTRIES[COUNTRY_LABEL],"")</f>
        <v>ZW</v>
      </c>
      <c r="H801" t="str" cm="1">
        <f t="array" ref="H8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1" t="s">
        <v>17</v>
      </c>
      <c r="J801">
        <v>0</v>
      </c>
      <c r="K801">
        <v>8</v>
      </c>
      <c r="L801">
        <v>0</v>
      </c>
      <c r="M801" t="str" cm="1">
        <f t="array" ref="M8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1">
        <f>_xlfn.XLOOKUP("LOADINGSPEEDDEF_"&amp;PROPERTIES[[#This Row],[LOADINGSPEED]],LOADINGSPEEDDEF[TYPE],LOADINGSPEEDDEF[SPEED])</f>
        <v>20</v>
      </c>
      <c r="O801" cm="1">
        <f t="array" ref="O8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01">
        <f>IF(ISNUMBER(SEARCH("passenger",PROPERTIES[[#This Row],[CARGODEF]])),1,0)</f>
        <v>0</v>
      </c>
      <c r="Q801" s="23">
        <v>120</v>
      </c>
      <c r="R801">
        <v>2321</v>
      </c>
      <c r="S801">
        <v>0</v>
      </c>
      <c r="T801">
        <v>0</v>
      </c>
      <c r="U801">
        <v>0</v>
      </c>
      <c r="V801">
        <v>100</v>
      </c>
      <c r="W801">
        <v>0</v>
      </c>
      <c r="X801">
        <v>0</v>
      </c>
      <c r="Y801">
        <v>0</v>
      </c>
      <c r="Z801" s="20">
        <v>250</v>
      </c>
      <c r="AA801" s="19">
        <f>IFERROR(PROPERTIES[[#This Row],[TE_STARTING_KN]]/(PROPERTIES[[#This Row],[WEIGHT]]*9.81),0)</f>
        <v>0.21236833163438668</v>
      </c>
      <c r="AB801" s="19">
        <v>0</v>
      </c>
      <c r="AC801" s="16">
        <f>ROUND(IF(IFERROR(PROPERTIES[[#This Row],[TE_COEFFICIENT_CALC]],0)=0,PROPERTIES[[#This Row],[TE_COEFFICIENT_MANUAL]],PROPERTIES[[#This Row],[TE_COEFFICIENT_CALC]]),3)</f>
        <v>0.21199999999999999</v>
      </c>
      <c r="AD801" s="8" cm="1">
        <f t="array" ref="AD8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01" s="26">
        <v>0</v>
      </c>
      <c r="AF801" s="6">
        <v>0</v>
      </c>
      <c r="AG801" t="s">
        <v>233</v>
      </c>
      <c r="AH801" t="s">
        <v>229</v>
      </c>
      <c r="AI801" t="s">
        <v>229</v>
      </c>
      <c r="AJ801" s="2" t="s">
        <v>229</v>
      </c>
      <c r="AK801" s="2" t="s">
        <v>244</v>
      </c>
      <c r="AL80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0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01" s="2" t="str">
        <f>SUBSTITUTE(SUBSTITUTE(PROPERTIES[[#This Row],[PURCHASECOST_VALUE]], "PURCHASECOST_", ""), "_VALUE", "")</f>
        <v>DIESELENGINE</v>
      </c>
      <c r="AO801" s="44" t="b">
        <v>0</v>
      </c>
      <c r="AP801" s="48" t="b">
        <v>0</v>
      </c>
      <c r="AQ801" s="48" t="b">
        <v>0</v>
      </c>
      <c r="AR801" s="48">
        <v>0</v>
      </c>
      <c r="AS801" s="48" t="b">
        <v>0</v>
      </c>
      <c r="AT801" s="7" t="b">
        <v>0</v>
      </c>
      <c r="AU801" s="40" t="str" cm="1">
        <f t="array" ref="AU801">_xlfn.XLOOKUP(PROPERTIES[[#This Row],[VEHIDCODE]],GRAPHICS_PROPERTIES[VEHIDCODE],GRAPHICS_PROPERTIES[TEMPLATE_ID]&amp;GRAPHICS_PROPERTIES[TEMPLATE_AMENDMENT_CODE])</f>
        <v>TPL_01A</v>
      </c>
    </row>
    <row r="802" spans="1:47" x14ac:dyDescent="0.35">
      <c r="A802" s="2" t="s">
        <v>3277</v>
      </c>
      <c r="B802">
        <v>1981</v>
      </c>
      <c r="D802" cm="1">
        <f t="array" ref="D8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2" s="40" t="str">
        <f>_xlfn.XLOOKUP(PROPERTIES[[#This Row],[VEHIDCODE]],CONTROL[VEHIDCODE],CONTROL[ENGLISH])</f>
        <v>GMD GT22LC-2</v>
      </c>
      <c r="F802" t="s">
        <v>571</v>
      </c>
      <c r="G802" s="40" t="str">
        <f>_xlfn.XLOOKUP(PROPERTIES[[#This Row],[COUNTRY]],COUNTRIES[COUNTRY_DESCRIPTION],COUNTRIES[COUNTRY_LABEL],"")</f>
        <v>CI</v>
      </c>
      <c r="H802" t="str" cm="1">
        <f t="array" ref="H8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2" t="s">
        <v>17</v>
      </c>
      <c r="J802">
        <v>0</v>
      </c>
      <c r="K802">
        <v>7</v>
      </c>
      <c r="L802">
        <v>0</v>
      </c>
      <c r="M802" t="str" cm="1">
        <f t="array" ref="M8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2">
        <f>_xlfn.XLOOKUP("LOADINGSPEEDDEF_"&amp;PROPERTIES[[#This Row],[LOADINGSPEED]],LOADINGSPEEDDEF[TYPE],LOADINGSPEEDDEF[SPEED])</f>
        <v>20</v>
      </c>
      <c r="O802" cm="1">
        <f t="array" ref="O8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02">
        <f>IF(ISNUMBER(SEARCH("passenger",PROPERTIES[[#This Row],[CARGODEF]])),1,0)</f>
        <v>0</v>
      </c>
      <c r="Q802" s="23">
        <v>95</v>
      </c>
      <c r="R802">
        <v>2250</v>
      </c>
      <c r="S802">
        <v>0</v>
      </c>
      <c r="T802">
        <v>0</v>
      </c>
      <c r="U802">
        <v>0</v>
      </c>
      <c r="V802">
        <v>105</v>
      </c>
      <c r="W802">
        <v>0</v>
      </c>
      <c r="X802">
        <v>0</v>
      </c>
      <c r="Y802">
        <v>0</v>
      </c>
      <c r="Z802" s="20">
        <v>231</v>
      </c>
      <c r="AA802" s="20">
        <f>IFERROR(PROPERTIES[[#This Row],[TE_STARTING_KN]]/(PROPERTIES[[#This Row],[WEIGHT]]*9.81),0)</f>
        <v>0.24786737485916624</v>
      </c>
      <c r="AB802" s="20">
        <v>0</v>
      </c>
      <c r="AC802" s="16">
        <f>ROUND(IF(IFERROR(PROPERTIES[[#This Row],[TE_COEFFICIENT_CALC]],0)=0,PROPERTIES[[#This Row],[TE_COEFFICIENT_MANUAL]],PROPERTIES[[#This Row],[TE_COEFFICIENT_CALC]]),3)</f>
        <v>0.248</v>
      </c>
      <c r="AD802" s="8" cm="1">
        <f t="array" ref="AD8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02" s="26">
        <v>0</v>
      </c>
      <c r="AF802" s="6">
        <v>0</v>
      </c>
      <c r="AG802" t="s">
        <v>233</v>
      </c>
      <c r="AH802" t="s">
        <v>229</v>
      </c>
      <c r="AI802" t="s">
        <v>229</v>
      </c>
      <c r="AJ802" s="2" t="s">
        <v>229</v>
      </c>
      <c r="AK802" s="2" t="s">
        <v>244</v>
      </c>
      <c r="AL80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0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02" s="2" t="str">
        <f>SUBSTITUTE(SUBSTITUTE(PROPERTIES[[#This Row],[PURCHASECOST_VALUE]], "PURCHASECOST_", ""), "_VALUE", "")</f>
        <v>DIESELENGINE</v>
      </c>
      <c r="AO802" s="44" t="b">
        <v>0</v>
      </c>
      <c r="AP802" s="48" t="b">
        <v>0</v>
      </c>
      <c r="AQ802" s="48" t="b">
        <v>0</v>
      </c>
      <c r="AR802" s="48">
        <v>0</v>
      </c>
      <c r="AS802" s="48" t="b">
        <v>0</v>
      </c>
      <c r="AT802" s="7" t="b">
        <v>0</v>
      </c>
      <c r="AU802" s="40" t="str" cm="1">
        <f t="array" ref="AU802">_xlfn.XLOOKUP(PROPERTIES[[#This Row],[VEHIDCODE]],GRAPHICS_PROPERTIES[VEHIDCODE],GRAPHICS_PROPERTIES[TEMPLATE_ID]&amp;GRAPHICS_PROPERTIES[TEMPLATE_AMENDMENT_CODE])</f>
        <v>TPL_01A</v>
      </c>
    </row>
    <row r="803" spans="1:47" x14ac:dyDescent="0.35">
      <c r="A803" s="2" t="s">
        <v>3278</v>
      </c>
      <c r="B803">
        <v>2024</v>
      </c>
      <c r="D803" cm="1">
        <f t="array" ref="D8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3" s="40" t="str">
        <f>_xlfn.XLOOKUP(PROPERTIES[[#This Row],[VEHIDCODE]],CONTROL[VEHIDCODE],CONTROL[ENGLISH])</f>
        <v>TRC E6800</v>
      </c>
      <c r="F803" t="s">
        <v>753</v>
      </c>
      <c r="G803" s="40" t="str">
        <f>_xlfn.XLOOKUP(PROPERTIES[[#This Row],[COUNTRY]],COUNTRIES[COUNTRY_DESCRIPTION],COUNTRIES[COUNTRY_LABEL],"")</f>
        <v>TZ</v>
      </c>
      <c r="H803" t="str" cm="1">
        <f t="array" ref="H8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03" t="s">
        <v>17</v>
      </c>
      <c r="J803">
        <v>0</v>
      </c>
      <c r="K803">
        <v>8</v>
      </c>
      <c r="L803">
        <v>0</v>
      </c>
      <c r="M803" t="str" cm="1">
        <f t="array" ref="M8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3">
        <f>_xlfn.XLOOKUP("LOADINGSPEEDDEF_"&amp;PROPERTIES[[#This Row],[LOADINGSPEED]],LOADINGSPEEDDEF[TYPE],LOADINGSPEEDDEF[SPEED])</f>
        <v>20</v>
      </c>
      <c r="O803" t="str" cm="1">
        <f t="array" ref="O8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03">
        <f>IF(ISNUMBER(SEARCH("passenger",PROPERTIES[[#This Row],[CARGODEF]])),1,0)</f>
        <v>0</v>
      </c>
      <c r="Q803" s="23">
        <v>86</v>
      </c>
      <c r="R803">
        <v>6705</v>
      </c>
      <c r="S803">
        <v>0</v>
      </c>
      <c r="T803">
        <v>0</v>
      </c>
      <c r="U803">
        <v>0</v>
      </c>
      <c r="V803">
        <v>160</v>
      </c>
      <c r="W803">
        <v>0</v>
      </c>
      <c r="X803">
        <v>0</v>
      </c>
      <c r="Y803">
        <v>0</v>
      </c>
      <c r="Z803" s="20">
        <v>285</v>
      </c>
      <c r="AA803" s="20">
        <f>IFERROR(PROPERTIES[[#This Row],[TE_STARTING_KN]]/(PROPERTIES[[#This Row],[WEIGHT]]*9.81),0)</f>
        <v>0.33781381125097787</v>
      </c>
      <c r="AB803" s="20">
        <v>0</v>
      </c>
      <c r="AC803" s="16">
        <f>ROUND(IF(IFERROR(PROPERTIES[[#This Row],[TE_COEFFICIENT_CALC]],0)=0,PROPERTIES[[#This Row],[TE_COEFFICIENT_MANUAL]],PROPERTIES[[#This Row],[TE_COEFFICIENT_CALC]]),3)</f>
        <v>0.33800000000000002</v>
      </c>
      <c r="AD803" s="8" cm="1">
        <f t="array" ref="AD8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803" s="26">
        <v>0</v>
      </c>
      <c r="AF803" s="6">
        <v>0</v>
      </c>
      <c r="AG803" t="s">
        <v>233</v>
      </c>
      <c r="AH803" t="s">
        <v>229</v>
      </c>
      <c r="AI803" t="s">
        <v>229</v>
      </c>
      <c r="AJ803" s="2" t="s">
        <v>229</v>
      </c>
      <c r="AK803" s="2" t="s">
        <v>244</v>
      </c>
      <c r="AL80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0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03" s="2" t="str">
        <f>SUBSTITUTE(SUBSTITUTE(PROPERTIES[[#This Row],[PURCHASECOST_VALUE]], "PURCHASECOST_", ""), "_VALUE", "")</f>
        <v>ELECTRICENGINE</v>
      </c>
      <c r="AO803" s="44" t="b">
        <v>0</v>
      </c>
      <c r="AP803" s="48" t="b">
        <v>0</v>
      </c>
      <c r="AQ803" s="48" t="b">
        <v>0</v>
      </c>
      <c r="AR803" s="48">
        <v>0</v>
      </c>
      <c r="AS803" s="48" t="b">
        <v>0</v>
      </c>
      <c r="AT803" s="7" t="b">
        <v>0</v>
      </c>
      <c r="AU803" s="40" t="str" cm="1">
        <f t="array" ref="AU803">_xlfn.XLOOKUP(PROPERTIES[[#This Row],[VEHIDCODE]],GRAPHICS_PROPERTIES[VEHIDCODE],GRAPHICS_PROPERTIES[TEMPLATE_ID]&amp;GRAPHICS_PROPERTIES[TEMPLATE_AMENDMENT_CODE])</f>
        <v>TPL_01A</v>
      </c>
    </row>
    <row r="804" spans="1:47" x14ac:dyDescent="0.35">
      <c r="A804" s="2" t="s">
        <v>3279</v>
      </c>
      <c r="B804">
        <v>1880</v>
      </c>
      <c r="D804" cm="1">
        <f t="array" ref="D8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04" s="40" t="str">
        <f>_xlfn.XLOOKUP(PROPERTIES[[#This Row],[VEHIDCODE]],CONTROL[VEHIDCODE],CONTROL[ENGLISH])</f>
        <v>Brooklyn Union Gate Elevated</v>
      </c>
      <c r="F804" t="s">
        <v>757</v>
      </c>
      <c r="G804" s="40" t="str">
        <f>_xlfn.XLOOKUP(PROPERTIES[[#This Row],[COUNTRY]],COUNTRIES[COUNTRY_DESCRIPTION],COUNTRIES[COUNTRY_LABEL],"")</f>
        <v>US</v>
      </c>
      <c r="H804" t="str" cm="1">
        <f t="array" ref="H8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04" t="s">
        <v>22</v>
      </c>
      <c r="J804">
        <v>48</v>
      </c>
      <c r="K804">
        <v>7</v>
      </c>
      <c r="L804">
        <v>0</v>
      </c>
      <c r="M804" t="str" cm="1">
        <f t="array" ref="M8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04">
        <f>_xlfn.XLOOKUP("LOADINGSPEEDDEF_"&amp;PROPERTIES[[#This Row],[LOADINGSPEED]],LOADINGSPEEDDEF[TYPE],LOADINGSPEEDDEF[SPEED])</f>
        <v>120</v>
      </c>
      <c r="O804" cm="1">
        <f t="array" ref="O8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04">
        <f>IF(ISNUMBER(SEARCH("passenger",PROPERTIES[[#This Row],[CARGODEF]])),1,0)</f>
        <v>1</v>
      </c>
      <c r="Q804" s="23">
        <v>28</v>
      </c>
      <c r="R804">
        <v>200</v>
      </c>
      <c r="S804">
        <v>0</v>
      </c>
      <c r="T804">
        <v>0</v>
      </c>
      <c r="U804">
        <v>0</v>
      </c>
      <c r="V804">
        <v>60</v>
      </c>
      <c r="W804">
        <v>0</v>
      </c>
      <c r="X804">
        <v>0</v>
      </c>
      <c r="Y804">
        <v>0</v>
      </c>
      <c r="Z804" s="20">
        <v>25</v>
      </c>
      <c r="AA804" s="19">
        <f>IFERROR(PROPERTIES[[#This Row],[TE_STARTING_KN]]/(PROPERTIES[[#This Row],[WEIGHT]]*9.81),0)</f>
        <v>9.1014999271880004E-2</v>
      </c>
      <c r="AB804" s="19">
        <v>0</v>
      </c>
      <c r="AC804" s="16">
        <f>ROUND(IF(IFERROR(PROPERTIES[[#This Row],[TE_COEFFICIENT_CALC]],0)=0,PROPERTIES[[#This Row],[TE_COEFFICIENT_MANUAL]],PROPERTIES[[#This Row],[TE_COEFFICIENT_CALC]]),3)</f>
        <v>9.0999999999999998E-2</v>
      </c>
      <c r="AD804" s="8" cm="1">
        <f t="array" ref="AD8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04" s="26">
        <v>48</v>
      </c>
      <c r="AF804" s="6">
        <v>7</v>
      </c>
      <c r="AG804" t="s">
        <v>235</v>
      </c>
      <c r="AH804" t="s">
        <v>229</v>
      </c>
      <c r="AI804" t="s">
        <v>229</v>
      </c>
      <c r="AJ804" s="2" t="s">
        <v>229</v>
      </c>
      <c r="AK804" s="7" t="s">
        <v>244</v>
      </c>
      <c r="AL80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0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04" s="2" t="str">
        <f>SUBSTITUTE(SUBSTITUTE(PROPERTIES[[#This Row],[PURCHASECOST_VALUE]], "PURCHASECOST_", ""), "_VALUE", "")</f>
        <v>METRO</v>
      </c>
      <c r="AO804" s="44" t="b">
        <v>0</v>
      </c>
      <c r="AP804" s="48" t="b">
        <v>0</v>
      </c>
      <c r="AQ804" s="48" t="b">
        <v>0</v>
      </c>
      <c r="AR804" s="48">
        <v>0</v>
      </c>
      <c r="AS804" s="48" t="b">
        <v>0</v>
      </c>
      <c r="AT804" s="7" t="b">
        <v>0</v>
      </c>
      <c r="AU804" s="40" t="str" cm="1">
        <f t="array" ref="AU804">_xlfn.XLOOKUP(PROPERTIES[[#This Row],[VEHIDCODE]],GRAPHICS_PROPERTIES[VEHIDCODE],GRAPHICS_PROPERTIES[TEMPLATE_ID]&amp;GRAPHICS_PROPERTIES[TEMPLATE_AMENDMENT_CODE])</f>
        <v>TPL_02C</v>
      </c>
    </row>
    <row r="805" spans="1:47" x14ac:dyDescent="0.35">
      <c r="A805" s="2" t="s">
        <v>1729</v>
      </c>
      <c r="B805">
        <v>1995</v>
      </c>
      <c r="D805" cm="1">
        <f t="array" ref="D8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5" s="40" t="str">
        <f>_xlfn.XLOOKUP(PROPERTIES[[#This Row],[VEHIDCODE]],CONTROL[VEHIDCODE],CONTROL[ENGLISH])</f>
        <v>'CityNightLine' Sleeper</v>
      </c>
      <c r="G805" s="40" t="str">
        <f>_xlfn.XLOOKUP(PROPERTIES[[#This Row],[COUNTRY]],COUNTRIES[COUNTRY_DESCRIPTION],COUNTRIES[COUNTRY_LABEL],"")</f>
        <v/>
      </c>
      <c r="H805" t="str" cm="1">
        <f t="array" ref="H8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5" t="s">
        <v>22</v>
      </c>
      <c r="J805">
        <v>60</v>
      </c>
      <c r="K805">
        <v>8</v>
      </c>
      <c r="L805">
        <v>0</v>
      </c>
      <c r="M805" t="str" cm="1">
        <f t="array" ref="M8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05">
        <f>_xlfn.XLOOKUP("LOADINGSPEEDDEF_"&amp;PROPERTIES[[#This Row],[LOADINGSPEED]],LOADINGSPEEDDEF[TYPE],LOADINGSPEEDDEF[SPEED])</f>
        <v>60</v>
      </c>
      <c r="O805" t="str" cm="1">
        <f t="array" ref="O8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05">
        <f>IF(ISNUMBER(SEARCH("passenger",PROPERTIES[[#This Row],[CARGODEF]])),1,0)</f>
        <v>1</v>
      </c>
      <c r="Q805" s="23">
        <v>40</v>
      </c>
      <c r="R805">
        <v>0</v>
      </c>
      <c r="S805">
        <v>0</v>
      </c>
      <c r="T805">
        <v>0</v>
      </c>
      <c r="U805">
        <v>0</v>
      </c>
      <c r="V805">
        <v>160</v>
      </c>
      <c r="W805">
        <v>0</v>
      </c>
      <c r="X805">
        <v>0</v>
      </c>
      <c r="Y805">
        <v>0</v>
      </c>
      <c r="Z805" s="20">
        <v>0</v>
      </c>
      <c r="AA805" s="20">
        <f>IFERROR(PROPERTIES[[#This Row],[TE_STARTING_KN]]/(PROPERTIES[[#This Row],[WEIGHT]]*9.81),0)</f>
        <v>0</v>
      </c>
      <c r="AB805" s="20">
        <v>0.3</v>
      </c>
      <c r="AC805" s="16">
        <f>ROUND(IF(IFERROR(PROPERTIES[[#This Row],[TE_COEFFICIENT_CALC]],0)=0,PROPERTIES[[#This Row],[TE_COEFFICIENT_MANUAL]],PROPERTIES[[#This Row],[TE_COEFFICIENT_CALC]]),3)</f>
        <v>0.3</v>
      </c>
      <c r="AD805" s="8" cm="1">
        <f t="array" ref="AD8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05" s="26">
        <v>0</v>
      </c>
      <c r="AF805" s="6">
        <v>0</v>
      </c>
      <c r="AG805" t="s">
        <v>241</v>
      </c>
      <c r="AH805" t="s">
        <v>229</v>
      </c>
      <c r="AI805" t="s">
        <v>229</v>
      </c>
      <c r="AJ805" s="2" t="s">
        <v>229</v>
      </c>
      <c r="AK805" s="2" t="s">
        <v>244</v>
      </c>
      <c r="AL80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80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805" s="2" t="str">
        <f>SUBSTITUTE(SUBSTITUTE(PROPERTIES[[#This Row],[PURCHASECOST_VALUE]], "PURCHASECOST_", ""), "_VALUE", "")</f>
        <v>COACH</v>
      </c>
      <c r="AO805" s="44" t="b">
        <v>0</v>
      </c>
      <c r="AP805" s="48" t="b">
        <v>0</v>
      </c>
      <c r="AQ805" s="48" t="b">
        <v>0</v>
      </c>
      <c r="AR805" s="48">
        <v>0</v>
      </c>
      <c r="AS805" s="48" t="b">
        <v>0</v>
      </c>
      <c r="AT805" s="7" t="b">
        <v>0</v>
      </c>
      <c r="AU805" s="40" t="str" cm="1">
        <f t="array" ref="AU805">_xlfn.XLOOKUP(PROPERTIES[[#This Row],[VEHIDCODE]],GRAPHICS_PROPERTIES[VEHIDCODE],GRAPHICS_PROPERTIES[TEMPLATE_ID]&amp;GRAPHICS_PROPERTIES[TEMPLATE_AMENDMENT_CODE])</f>
        <v>TPL_04A</v>
      </c>
    </row>
    <row r="806" spans="1:47" x14ac:dyDescent="0.35">
      <c r="A806" s="2" t="s">
        <v>1730</v>
      </c>
      <c r="B806">
        <v>1970</v>
      </c>
      <c r="D806" cm="1">
        <f t="array" ref="D8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6" s="40" t="str">
        <f>_xlfn.XLOOKUP(PROPERTIES[[#This Row],[VEHIDCODE]],CONTROL[VEHIDCODE],CONTROL[ENGLISH])</f>
        <v>'Trans Euro Night' Sleeper</v>
      </c>
      <c r="G806" s="40" t="str">
        <f>_xlfn.XLOOKUP(PROPERTIES[[#This Row],[COUNTRY]],COUNTRIES[COUNTRY_DESCRIPTION],COUNTRIES[COUNTRY_LABEL],"")</f>
        <v/>
      </c>
      <c r="H806" t="str" cm="1">
        <f t="array" ref="H8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6" t="s">
        <v>22</v>
      </c>
      <c r="J806">
        <v>50</v>
      </c>
      <c r="K806">
        <v>8</v>
      </c>
      <c r="L806">
        <v>0</v>
      </c>
      <c r="M806" t="str" cm="1">
        <f t="array" ref="M8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06">
        <f>_xlfn.XLOOKUP("LOADINGSPEEDDEF_"&amp;PROPERTIES[[#This Row],[LOADINGSPEED]],LOADINGSPEEDDEF[TYPE],LOADINGSPEEDDEF[SPEED])</f>
        <v>60</v>
      </c>
      <c r="O806" cm="1">
        <f t="array" ref="O8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806">
        <f>IF(ISNUMBER(SEARCH("passenger",PROPERTIES[[#This Row],[CARGODEF]])),1,0)</f>
        <v>1</v>
      </c>
      <c r="Q806" s="23">
        <v>40</v>
      </c>
      <c r="R806">
        <v>0</v>
      </c>
      <c r="S806">
        <v>0</v>
      </c>
      <c r="T806">
        <v>0</v>
      </c>
      <c r="U806">
        <v>0</v>
      </c>
      <c r="V806">
        <v>140</v>
      </c>
      <c r="W806">
        <v>0</v>
      </c>
      <c r="X806">
        <v>0</v>
      </c>
      <c r="Y806">
        <v>0</v>
      </c>
      <c r="Z806" s="20">
        <v>0</v>
      </c>
      <c r="AA806" s="20">
        <f>IFERROR(PROPERTIES[[#This Row],[TE_STARTING_KN]]/(PROPERTIES[[#This Row],[WEIGHT]]*9.81),0)</f>
        <v>0</v>
      </c>
      <c r="AB806" s="20">
        <v>0.3</v>
      </c>
      <c r="AC806" s="16">
        <f>ROUND(IF(IFERROR(PROPERTIES[[#This Row],[TE_COEFFICIENT_CALC]],0)=0,PROPERTIES[[#This Row],[TE_COEFFICIENT_MANUAL]],PROPERTIES[[#This Row],[TE_COEFFICIENT_CALC]]),3)</f>
        <v>0.3</v>
      </c>
      <c r="AD806" s="8" cm="1">
        <f t="array" ref="AD8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06" s="26">
        <v>0</v>
      </c>
      <c r="AF806" s="6">
        <v>0</v>
      </c>
      <c r="AG806" t="s">
        <v>241</v>
      </c>
      <c r="AH806" t="s">
        <v>229</v>
      </c>
      <c r="AI806" t="s">
        <v>229</v>
      </c>
      <c r="AJ806" s="2" t="s">
        <v>229</v>
      </c>
      <c r="AK806" s="2" t="s">
        <v>244</v>
      </c>
      <c r="AL80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80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806" s="2" t="str">
        <f>SUBSTITUTE(SUBSTITUTE(PROPERTIES[[#This Row],[PURCHASECOST_VALUE]], "PURCHASECOST_", ""), "_VALUE", "")</f>
        <v>COACH</v>
      </c>
      <c r="AO806" s="44" t="b">
        <v>0</v>
      </c>
      <c r="AP806" s="48" t="b">
        <v>0</v>
      </c>
      <c r="AQ806" s="48" t="b">
        <v>0</v>
      </c>
      <c r="AR806" s="48">
        <v>0</v>
      </c>
      <c r="AS806" s="48" t="b">
        <v>0</v>
      </c>
      <c r="AT806" s="7" t="b">
        <v>0</v>
      </c>
      <c r="AU806" s="40" t="str" cm="1">
        <f t="array" ref="AU806">_xlfn.XLOOKUP(PROPERTIES[[#This Row],[VEHIDCODE]],GRAPHICS_PROPERTIES[VEHIDCODE],GRAPHICS_PROPERTIES[TEMPLATE_ID]&amp;GRAPHICS_PROPERTIES[TEMPLATE_AMENDMENT_CODE])</f>
        <v>TPL_04A</v>
      </c>
    </row>
    <row r="807" spans="1:47" x14ac:dyDescent="0.35">
      <c r="A807" s="2" t="s">
        <v>1715</v>
      </c>
      <c r="B807">
        <v>1830</v>
      </c>
      <c r="D807" cm="1">
        <f t="array" ref="D8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7" s="40" t="str">
        <f>_xlfn.XLOOKUP(PROPERTIES[[#This Row],[VEHIDCODE]],CONTROL[VEHIDCODE],CONTROL[ENGLISH])</f>
        <v>1st Gen Livestock Van</v>
      </c>
      <c r="G807" s="40" t="str">
        <f>_xlfn.XLOOKUP(PROPERTIES[[#This Row],[COUNTRY]],COUNTRIES[COUNTRY_DESCRIPTION],COUNTRIES[COUNTRY_LABEL],"")</f>
        <v/>
      </c>
      <c r="H807" t="str" cm="1">
        <f t="array" ref="H8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7" t="s">
        <v>1723</v>
      </c>
      <c r="J807">
        <v>20</v>
      </c>
      <c r="K807">
        <v>4</v>
      </c>
      <c r="L807">
        <v>0</v>
      </c>
      <c r="M807" t="str" cm="1">
        <f t="array" ref="M8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7">
        <f>_xlfn.XLOOKUP("LOADINGSPEEDDEF_"&amp;PROPERTIES[[#This Row],[LOADINGSPEED]],LOADINGSPEEDDEF[TYPE],LOADINGSPEEDDEF[SPEED])</f>
        <v>20</v>
      </c>
      <c r="O807" cm="1">
        <f t="array" ref="O8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807">
        <f>IF(ISNUMBER(SEARCH("passenger",PROPERTIES[[#This Row],[CARGODEF]])),1,0)</f>
        <v>0</v>
      </c>
      <c r="Q807" s="23">
        <v>6</v>
      </c>
      <c r="R807">
        <v>0</v>
      </c>
      <c r="S807">
        <v>0</v>
      </c>
      <c r="T807">
        <v>0</v>
      </c>
      <c r="U807">
        <v>0</v>
      </c>
      <c r="V807">
        <v>55</v>
      </c>
      <c r="W807">
        <v>0</v>
      </c>
      <c r="X807">
        <v>0</v>
      </c>
      <c r="Y807">
        <v>0</v>
      </c>
      <c r="Z807" s="20">
        <v>0</v>
      </c>
      <c r="AA807" s="19">
        <f>IFERROR(PROPERTIES[[#This Row],[TE_STARTING_KN]]/(PROPERTIES[[#This Row],[WEIGHT]]*9.81),0)</f>
        <v>0</v>
      </c>
      <c r="AB807" s="19">
        <v>0.3</v>
      </c>
      <c r="AC807" s="16">
        <f>ROUND(IF(IFERROR(PROPERTIES[[#This Row],[TE_COEFFICIENT_CALC]],0)=0,PROPERTIES[[#This Row],[TE_COEFFICIENT_MANUAL]],PROPERTIES[[#This Row],[TE_COEFFICIENT_CALC]]),3)</f>
        <v>0.3</v>
      </c>
      <c r="AD807" s="8" cm="1">
        <f t="array" ref="AD8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07" s="26">
        <v>0</v>
      </c>
      <c r="AF807" s="6">
        <v>0</v>
      </c>
      <c r="AG807" t="s">
        <v>241</v>
      </c>
      <c r="AH807" t="s">
        <v>229</v>
      </c>
      <c r="AI807" t="s">
        <v>229</v>
      </c>
      <c r="AJ807" s="2" t="s">
        <v>229</v>
      </c>
      <c r="AK807" s="2" t="s">
        <v>244</v>
      </c>
      <c r="AL80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0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07" s="2" t="str">
        <f>SUBSTITUTE(SUBSTITUTE(PROPERTIES[[#This Row],[PURCHASECOST_VALUE]], "PURCHASECOST_", ""), "_VALUE", "")</f>
        <v>WAGON</v>
      </c>
      <c r="AO807" s="44" t="b">
        <v>0</v>
      </c>
      <c r="AP807" s="48" t="b">
        <v>0</v>
      </c>
      <c r="AQ807" s="48" t="b">
        <v>0</v>
      </c>
      <c r="AR807" s="48">
        <v>2</v>
      </c>
      <c r="AS807" s="48" t="b">
        <v>0</v>
      </c>
      <c r="AT807" s="7" t="b">
        <v>0</v>
      </c>
      <c r="AU807" s="40" t="str" cm="1">
        <f t="array" ref="AU807">_xlfn.XLOOKUP(PROPERTIES[[#This Row],[VEHIDCODE]],GRAPHICS_PROPERTIES[VEHIDCODE],GRAPHICS_PROPERTIES[TEMPLATE_ID]&amp;GRAPHICS_PROPERTIES[TEMPLATE_AMENDMENT_CODE])</f>
        <v>TPL_04B</v>
      </c>
    </row>
    <row r="808" spans="1:47" x14ac:dyDescent="0.35">
      <c r="A808" s="2" t="s">
        <v>1710</v>
      </c>
      <c r="B808">
        <v>1890</v>
      </c>
      <c r="D808" cm="1">
        <f t="array" ref="D8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8" s="40" t="str">
        <f>_xlfn.XLOOKUP(PROPERTIES[[#This Row],[VEHIDCODE]],CONTROL[VEHIDCODE],CONTROL[ENGLISH])</f>
        <v>2nd Gen Livestock Van</v>
      </c>
      <c r="G808" s="40" t="str">
        <f>_xlfn.XLOOKUP(PROPERTIES[[#This Row],[COUNTRY]],COUNTRIES[COUNTRY_DESCRIPTION],COUNTRIES[COUNTRY_LABEL],"")</f>
        <v/>
      </c>
      <c r="H808" t="str" cm="1">
        <f t="array" ref="H8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8" t="s">
        <v>1723</v>
      </c>
      <c r="J808">
        <v>25</v>
      </c>
      <c r="K808">
        <v>5</v>
      </c>
      <c r="L808">
        <v>0</v>
      </c>
      <c r="M808" t="str" cm="1">
        <f t="array" ref="M8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8">
        <f>_xlfn.XLOOKUP("LOADINGSPEEDDEF_"&amp;PROPERTIES[[#This Row],[LOADINGSPEED]],LOADINGSPEEDDEF[TYPE],LOADINGSPEEDDEF[SPEED])</f>
        <v>20</v>
      </c>
      <c r="O808" cm="1">
        <f t="array" ref="O8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808">
        <f>IF(ISNUMBER(SEARCH("passenger",PROPERTIES[[#This Row],[CARGODEF]])),1,0)</f>
        <v>0</v>
      </c>
      <c r="Q808" s="23">
        <v>12</v>
      </c>
      <c r="R808">
        <v>0</v>
      </c>
      <c r="S808">
        <v>0</v>
      </c>
      <c r="T808">
        <v>0</v>
      </c>
      <c r="U808">
        <v>0</v>
      </c>
      <c r="V808">
        <v>90</v>
      </c>
      <c r="W808">
        <v>0</v>
      </c>
      <c r="X808">
        <v>0</v>
      </c>
      <c r="Y808">
        <v>0</v>
      </c>
      <c r="Z808" s="20">
        <v>0</v>
      </c>
      <c r="AA808" s="19">
        <f>IFERROR(PROPERTIES[[#This Row],[TE_STARTING_KN]]/(PROPERTIES[[#This Row],[WEIGHT]]*9.81),0)</f>
        <v>0</v>
      </c>
      <c r="AB808" s="19">
        <v>0.3</v>
      </c>
      <c r="AC808" s="16">
        <f>ROUND(IF(IFERROR(PROPERTIES[[#This Row],[TE_COEFFICIENT_CALC]],0)=0,PROPERTIES[[#This Row],[TE_COEFFICIENT_MANUAL]],PROPERTIES[[#This Row],[TE_COEFFICIENT_CALC]]),3)</f>
        <v>0.3</v>
      </c>
      <c r="AD808" s="8" cm="1">
        <f t="array" ref="AD8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08" s="26">
        <v>0</v>
      </c>
      <c r="AF808" s="6">
        <v>0</v>
      </c>
      <c r="AG808" t="s">
        <v>241</v>
      </c>
      <c r="AH808" t="s">
        <v>229</v>
      </c>
      <c r="AI808" t="s">
        <v>229</v>
      </c>
      <c r="AJ808" s="2" t="s">
        <v>229</v>
      </c>
      <c r="AK808" s="2" t="s">
        <v>244</v>
      </c>
      <c r="AL80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0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08" s="2" t="str">
        <f>SUBSTITUTE(SUBSTITUTE(PROPERTIES[[#This Row],[PURCHASECOST_VALUE]], "PURCHASECOST_", ""), "_VALUE", "")</f>
        <v>WAGON</v>
      </c>
      <c r="AO808" s="44" t="b">
        <v>0</v>
      </c>
      <c r="AP808" s="48" t="b">
        <v>0</v>
      </c>
      <c r="AQ808" s="48" t="b">
        <v>0</v>
      </c>
      <c r="AR808" s="48">
        <v>2</v>
      </c>
      <c r="AS808" s="48" t="b">
        <v>0</v>
      </c>
      <c r="AT808" s="7" t="b">
        <v>0</v>
      </c>
      <c r="AU808" s="40" t="str" cm="1">
        <f t="array" ref="AU808">_xlfn.XLOOKUP(PROPERTIES[[#This Row],[VEHIDCODE]],GRAPHICS_PROPERTIES[VEHIDCODE],GRAPHICS_PROPERTIES[TEMPLATE_ID]&amp;GRAPHICS_PROPERTIES[TEMPLATE_AMENDMENT_CODE])</f>
        <v>TPL_04B</v>
      </c>
    </row>
    <row r="809" spans="1:47" x14ac:dyDescent="0.35">
      <c r="A809" s="2" t="s">
        <v>1711</v>
      </c>
      <c r="B809">
        <v>1920</v>
      </c>
      <c r="D809" cm="1">
        <f t="array" ref="D8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9" s="40" t="str">
        <f>_xlfn.XLOOKUP(PROPERTIES[[#This Row],[VEHIDCODE]],CONTROL[VEHIDCODE],CONTROL[ENGLISH])</f>
        <v>3rd Gen Livestock Van</v>
      </c>
      <c r="G809" s="40" t="str">
        <f>_xlfn.XLOOKUP(PROPERTIES[[#This Row],[COUNTRY]],COUNTRIES[COUNTRY_DESCRIPTION],COUNTRIES[COUNTRY_LABEL],"")</f>
        <v/>
      </c>
      <c r="H809" t="str" cm="1">
        <f t="array" ref="H8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9" t="s">
        <v>1723</v>
      </c>
      <c r="J809">
        <v>40</v>
      </c>
      <c r="K809">
        <v>6</v>
      </c>
      <c r="L809">
        <v>0</v>
      </c>
      <c r="M809" t="str" cm="1">
        <f t="array" ref="M8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9">
        <f>_xlfn.XLOOKUP("LOADINGSPEEDDEF_"&amp;PROPERTIES[[#This Row],[LOADINGSPEED]],LOADINGSPEEDDEF[TYPE],LOADINGSPEEDDEF[SPEED])</f>
        <v>20</v>
      </c>
      <c r="O809" cm="1">
        <f t="array" ref="O8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809">
        <f>IF(ISNUMBER(SEARCH("passenger",PROPERTIES[[#This Row],[CARGODEF]])),1,0)</f>
        <v>0</v>
      </c>
      <c r="Q809" s="23">
        <v>23</v>
      </c>
      <c r="R809">
        <v>0</v>
      </c>
      <c r="S809">
        <v>0</v>
      </c>
      <c r="T809">
        <v>0</v>
      </c>
      <c r="U809">
        <v>0</v>
      </c>
      <c r="V809">
        <v>100</v>
      </c>
      <c r="W809">
        <v>0</v>
      </c>
      <c r="X809">
        <v>0</v>
      </c>
      <c r="Y809">
        <v>0</v>
      </c>
      <c r="Z809" s="20">
        <v>0</v>
      </c>
      <c r="AA809" s="19">
        <f>IFERROR(PROPERTIES[[#This Row],[TE_STARTING_KN]]/(PROPERTIES[[#This Row],[WEIGHT]]*9.81),0)</f>
        <v>0</v>
      </c>
      <c r="AB809" s="19">
        <v>0.3</v>
      </c>
      <c r="AC809" s="16">
        <f>ROUND(IF(IFERROR(PROPERTIES[[#This Row],[TE_COEFFICIENT_CALC]],0)=0,PROPERTIES[[#This Row],[TE_COEFFICIENT_MANUAL]],PROPERTIES[[#This Row],[TE_COEFFICIENT_CALC]]),3)</f>
        <v>0.3</v>
      </c>
      <c r="AD809" s="8" cm="1">
        <f t="array" ref="AD8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09" s="26">
        <v>0</v>
      </c>
      <c r="AF809" s="6">
        <v>0</v>
      </c>
      <c r="AG809" t="s">
        <v>241</v>
      </c>
      <c r="AH809" t="s">
        <v>229</v>
      </c>
      <c r="AI809" t="s">
        <v>229</v>
      </c>
      <c r="AJ809" s="2" t="s">
        <v>229</v>
      </c>
      <c r="AK809" s="2" t="s">
        <v>244</v>
      </c>
      <c r="AL80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0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09" s="2" t="str">
        <f>SUBSTITUTE(SUBSTITUTE(PROPERTIES[[#This Row],[PURCHASECOST_VALUE]], "PURCHASECOST_", ""), "_VALUE", "")</f>
        <v>WAGON</v>
      </c>
      <c r="AO809" s="44" t="b">
        <v>0</v>
      </c>
      <c r="AP809" s="48" t="b">
        <v>0</v>
      </c>
      <c r="AQ809" s="48" t="b">
        <v>0</v>
      </c>
      <c r="AR809" s="48">
        <v>2</v>
      </c>
      <c r="AS809" s="48" t="b">
        <v>0</v>
      </c>
      <c r="AT809" s="7" t="b">
        <v>0</v>
      </c>
      <c r="AU809" s="40" t="str" cm="1">
        <f t="array" ref="AU809">_xlfn.XLOOKUP(PROPERTIES[[#This Row],[VEHIDCODE]],GRAPHICS_PROPERTIES[VEHIDCODE],GRAPHICS_PROPERTIES[TEMPLATE_ID]&amp;GRAPHICS_PROPERTIES[TEMPLATE_AMENDMENT_CODE])</f>
        <v>TPL_04B</v>
      </c>
    </row>
    <row r="810" spans="1:47" x14ac:dyDescent="0.35">
      <c r="A810" s="2" t="s">
        <v>1712</v>
      </c>
      <c r="B810">
        <v>1950</v>
      </c>
      <c r="D810" cm="1">
        <f t="array" ref="D8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0" s="40" t="str">
        <f>_xlfn.XLOOKUP(PROPERTIES[[#This Row],[VEHIDCODE]],CONTROL[VEHIDCODE],CONTROL[ENGLISH])</f>
        <v>4th Gen Livestock Van</v>
      </c>
      <c r="G810" s="40" t="str">
        <f>_xlfn.XLOOKUP(PROPERTIES[[#This Row],[COUNTRY]],COUNTRIES[COUNTRY_DESCRIPTION],COUNTRIES[COUNTRY_LABEL],"")</f>
        <v/>
      </c>
      <c r="H810" t="str" cm="1">
        <f t="array" ref="H8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10" t="s">
        <v>1723</v>
      </c>
      <c r="J810">
        <v>42</v>
      </c>
      <c r="K810">
        <v>7</v>
      </c>
      <c r="L810">
        <v>0</v>
      </c>
      <c r="M810" t="str" cm="1">
        <f t="array" ref="M8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0">
        <f>_xlfn.XLOOKUP("LOADINGSPEEDDEF_"&amp;PROPERTIES[[#This Row],[LOADINGSPEED]],LOADINGSPEEDDEF[TYPE],LOADINGSPEEDDEF[SPEED])</f>
        <v>20</v>
      </c>
      <c r="O810" cm="1">
        <f t="array" ref="O8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810">
        <f>IF(ISNUMBER(SEARCH("passenger",PROPERTIES[[#This Row],[CARGODEF]])),1,0)</f>
        <v>0</v>
      </c>
      <c r="Q810" s="23">
        <v>30</v>
      </c>
      <c r="R810">
        <v>0</v>
      </c>
      <c r="S810">
        <v>0</v>
      </c>
      <c r="T810">
        <v>0</v>
      </c>
      <c r="U810">
        <v>0</v>
      </c>
      <c r="V810">
        <v>120</v>
      </c>
      <c r="W810">
        <v>0</v>
      </c>
      <c r="X810">
        <v>0</v>
      </c>
      <c r="Y810">
        <v>0</v>
      </c>
      <c r="Z810" s="20">
        <v>0</v>
      </c>
      <c r="AA810" s="19">
        <f>IFERROR(PROPERTIES[[#This Row],[TE_STARTING_KN]]/(PROPERTIES[[#This Row],[WEIGHT]]*9.81),0)</f>
        <v>0</v>
      </c>
      <c r="AB810" s="19">
        <v>0.3</v>
      </c>
      <c r="AC810" s="16">
        <f>ROUND(IF(IFERROR(PROPERTIES[[#This Row],[TE_COEFFICIENT_CALC]],0)=0,PROPERTIES[[#This Row],[TE_COEFFICIENT_MANUAL]],PROPERTIES[[#This Row],[TE_COEFFICIENT_CALC]]),3)</f>
        <v>0.3</v>
      </c>
      <c r="AD810" s="8" cm="1">
        <f t="array" ref="AD8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10" s="26">
        <v>0</v>
      </c>
      <c r="AF810" s="6">
        <v>0</v>
      </c>
      <c r="AG810" t="s">
        <v>241</v>
      </c>
      <c r="AH810" t="s">
        <v>229</v>
      </c>
      <c r="AI810" t="s">
        <v>229</v>
      </c>
      <c r="AJ810" s="2" t="s">
        <v>229</v>
      </c>
      <c r="AK810" s="2" t="s">
        <v>244</v>
      </c>
      <c r="AL81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1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10" s="2" t="str">
        <f>SUBSTITUTE(SUBSTITUTE(PROPERTIES[[#This Row],[PURCHASECOST_VALUE]], "PURCHASECOST_", ""), "_VALUE", "")</f>
        <v>WAGON</v>
      </c>
      <c r="AO810" s="44" t="b">
        <v>0</v>
      </c>
      <c r="AP810" s="48" t="b">
        <v>0</v>
      </c>
      <c r="AQ810" s="48" t="b">
        <v>0</v>
      </c>
      <c r="AR810" s="48">
        <v>2</v>
      </c>
      <c r="AS810" s="48" t="b">
        <v>0</v>
      </c>
      <c r="AT810" s="7" t="b">
        <v>0</v>
      </c>
      <c r="AU810" s="40" t="str" cm="1">
        <f t="array" ref="AU810">_xlfn.XLOOKUP(PROPERTIES[[#This Row],[VEHIDCODE]],GRAPHICS_PROPERTIES[VEHIDCODE],GRAPHICS_PROPERTIES[TEMPLATE_ID]&amp;GRAPHICS_PROPERTIES[TEMPLATE_AMENDMENT_CODE])</f>
        <v>TPL_04B</v>
      </c>
    </row>
    <row r="811" spans="1:47" x14ac:dyDescent="0.35">
      <c r="A811" s="2" t="s">
        <v>1713</v>
      </c>
      <c r="B811">
        <v>1990</v>
      </c>
      <c r="D811" cm="1">
        <f t="array" ref="D8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1" s="40" t="str">
        <f>_xlfn.XLOOKUP(PROPERTIES[[#This Row],[VEHIDCODE]],CONTROL[VEHIDCODE],CONTROL[ENGLISH])</f>
        <v>5th Gen Livestock Van</v>
      </c>
      <c r="G811" s="40" t="str">
        <f>_xlfn.XLOOKUP(PROPERTIES[[#This Row],[COUNTRY]],COUNTRIES[COUNTRY_DESCRIPTION],COUNTRIES[COUNTRY_LABEL],"")</f>
        <v/>
      </c>
      <c r="H811" t="str" cm="1">
        <f t="array" ref="H8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11" t="s">
        <v>1723</v>
      </c>
      <c r="J811">
        <v>63</v>
      </c>
      <c r="K811">
        <v>8</v>
      </c>
      <c r="L811">
        <v>0</v>
      </c>
      <c r="M811" t="str" cm="1">
        <f t="array" ref="M8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1">
        <f>_xlfn.XLOOKUP("LOADINGSPEEDDEF_"&amp;PROPERTIES[[#This Row],[LOADINGSPEED]],LOADINGSPEEDDEF[TYPE],LOADINGSPEEDDEF[SPEED])</f>
        <v>20</v>
      </c>
      <c r="O811" t="str" cm="1">
        <f t="array" ref="O8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1">
        <f>IF(ISNUMBER(SEARCH("passenger",PROPERTIES[[#This Row],[CARGODEF]])),1,0)</f>
        <v>0</v>
      </c>
      <c r="Q811" s="23">
        <v>27</v>
      </c>
      <c r="R811">
        <v>0</v>
      </c>
      <c r="S811">
        <v>0</v>
      </c>
      <c r="T811">
        <v>0</v>
      </c>
      <c r="U811">
        <v>0</v>
      </c>
      <c r="V811">
        <v>120</v>
      </c>
      <c r="W811">
        <v>0</v>
      </c>
      <c r="X811">
        <v>0</v>
      </c>
      <c r="Y811">
        <v>0</v>
      </c>
      <c r="Z811" s="20">
        <v>0</v>
      </c>
      <c r="AA811" s="19">
        <f>IFERROR(PROPERTIES[[#This Row],[TE_STARTING_KN]]/(PROPERTIES[[#This Row],[WEIGHT]]*9.81),0)</f>
        <v>0</v>
      </c>
      <c r="AB811" s="19">
        <v>0.3</v>
      </c>
      <c r="AC811" s="16">
        <f>ROUND(IF(IFERROR(PROPERTIES[[#This Row],[TE_COEFFICIENT_CALC]],0)=0,PROPERTIES[[#This Row],[TE_COEFFICIENT_MANUAL]],PROPERTIES[[#This Row],[TE_COEFFICIENT_CALC]]),3)</f>
        <v>0.3</v>
      </c>
      <c r="AD811" s="8" cm="1">
        <f t="array" ref="AD8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11" s="26">
        <v>0</v>
      </c>
      <c r="AF811" s="6">
        <v>0</v>
      </c>
      <c r="AG811" t="s">
        <v>241</v>
      </c>
      <c r="AH811" t="s">
        <v>229</v>
      </c>
      <c r="AI811" t="s">
        <v>229</v>
      </c>
      <c r="AJ811" s="2" t="s">
        <v>229</v>
      </c>
      <c r="AK811" s="2" t="s">
        <v>244</v>
      </c>
      <c r="AL81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1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11" s="2" t="str">
        <f>SUBSTITUTE(SUBSTITUTE(PROPERTIES[[#This Row],[PURCHASECOST_VALUE]], "PURCHASECOST_", ""), "_VALUE", "")</f>
        <v>WAGON</v>
      </c>
      <c r="AO811" s="44" t="b">
        <v>0</v>
      </c>
      <c r="AP811" s="48" t="b">
        <v>0</v>
      </c>
      <c r="AQ811" s="48" t="b">
        <v>0</v>
      </c>
      <c r="AR811" s="48">
        <v>2</v>
      </c>
      <c r="AS811" s="48" t="b">
        <v>0</v>
      </c>
      <c r="AT811" s="7" t="b">
        <v>0</v>
      </c>
      <c r="AU811" s="40" t="str" cm="1">
        <f t="array" ref="AU811">_xlfn.XLOOKUP(PROPERTIES[[#This Row],[VEHIDCODE]],GRAPHICS_PROPERTIES[VEHIDCODE],GRAPHICS_PROPERTIES[TEMPLATE_ID]&amp;GRAPHICS_PROPERTIES[TEMPLATE_AMENDMENT_CODE])</f>
        <v>TPL_04B</v>
      </c>
    </row>
    <row r="812" spans="1:47" x14ac:dyDescent="0.35">
      <c r="A812" s="2" t="s">
        <v>1714</v>
      </c>
      <c r="B812">
        <v>2010</v>
      </c>
      <c r="D812" cm="1">
        <f t="array" ref="D8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2" s="40" t="str">
        <f>_xlfn.XLOOKUP(PROPERTIES[[#This Row],[VEHIDCODE]],CONTROL[VEHIDCODE],CONTROL[ENGLISH])</f>
        <v>6th Gen Livestock Van</v>
      </c>
      <c r="G812" s="40" t="str">
        <f>_xlfn.XLOOKUP(PROPERTIES[[#This Row],[COUNTRY]],COUNTRIES[COUNTRY_DESCRIPTION],COUNTRIES[COUNTRY_LABEL],"")</f>
        <v/>
      </c>
      <c r="H812" t="str" cm="1">
        <f t="array" ref="H8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12" t="s">
        <v>1723</v>
      </c>
      <c r="J812">
        <v>74</v>
      </c>
      <c r="K812">
        <v>8</v>
      </c>
      <c r="L812">
        <v>0</v>
      </c>
      <c r="M812" t="str" cm="1">
        <f t="array" ref="M8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2">
        <f>_xlfn.XLOOKUP("LOADINGSPEEDDEF_"&amp;PROPERTIES[[#This Row],[LOADINGSPEED]],LOADINGSPEEDDEF[TYPE],LOADINGSPEEDDEF[SPEED])</f>
        <v>20</v>
      </c>
      <c r="O812" t="str" cm="1">
        <f t="array" ref="O8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2">
        <f>IF(ISNUMBER(SEARCH("passenger",PROPERTIES[[#This Row],[CARGODEF]])),1,0)</f>
        <v>0</v>
      </c>
      <c r="Q812" s="23">
        <v>27</v>
      </c>
      <c r="R812">
        <v>0</v>
      </c>
      <c r="S812">
        <v>0</v>
      </c>
      <c r="T812">
        <v>0</v>
      </c>
      <c r="U812">
        <v>0</v>
      </c>
      <c r="V812">
        <v>160</v>
      </c>
      <c r="W812">
        <v>0</v>
      </c>
      <c r="X812">
        <v>0</v>
      </c>
      <c r="Y812">
        <v>0</v>
      </c>
      <c r="Z812" s="20">
        <v>0</v>
      </c>
      <c r="AA812" s="19">
        <f>IFERROR(PROPERTIES[[#This Row],[TE_STARTING_KN]]/(PROPERTIES[[#This Row],[WEIGHT]]*9.81),0)</f>
        <v>0</v>
      </c>
      <c r="AB812" s="19">
        <v>0.3</v>
      </c>
      <c r="AC812" s="16">
        <f>ROUND(IF(IFERROR(PROPERTIES[[#This Row],[TE_COEFFICIENT_CALC]],0)=0,PROPERTIES[[#This Row],[TE_COEFFICIENT_MANUAL]],PROPERTIES[[#This Row],[TE_COEFFICIENT_CALC]]),3)</f>
        <v>0.3</v>
      </c>
      <c r="AD812" s="8" cm="1">
        <f t="array" ref="AD8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12" s="26">
        <v>0</v>
      </c>
      <c r="AF812" s="6">
        <v>0</v>
      </c>
      <c r="AG812" t="s">
        <v>241</v>
      </c>
      <c r="AH812" t="s">
        <v>229</v>
      </c>
      <c r="AI812" t="s">
        <v>229</v>
      </c>
      <c r="AJ812" s="2" t="s">
        <v>229</v>
      </c>
      <c r="AK812" s="2" t="s">
        <v>244</v>
      </c>
      <c r="AL81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1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12" s="2" t="str">
        <f>SUBSTITUTE(SUBSTITUTE(PROPERTIES[[#This Row],[PURCHASECOST_VALUE]], "PURCHASECOST_", ""), "_VALUE", "")</f>
        <v>WAGON</v>
      </c>
      <c r="AO812" s="44" t="b">
        <v>0</v>
      </c>
      <c r="AP812" s="48" t="b">
        <v>0</v>
      </c>
      <c r="AQ812" s="48" t="b">
        <v>0</v>
      </c>
      <c r="AR812" s="48">
        <v>2</v>
      </c>
      <c r="AS812" s="48" t="b">
        <v>0</v>
      </c>
      <c r="AT812" s="7" t="b">
        <v>0</v>
      </c>
      <c r="AU812" s="40" t="str" cm="1">
        <f t="array" ref="AU812">_xlfn.XLOOKUP(PROPERTIES[[#This Row],[VEHIDCODE]],GRAPHICS_PROPERTIES[VEHIDCODE],GRAPHICS_PROPERTIES[TEMPLATE_ID]&amp;GRAPHICS_PROPERTIES[TEMPLATE_AMENDMENT_CODE])</f>
        <v>TPL_04B</v>
      </c>
    </row>
    <row r="813" spans="1:47" x14ac:dyDescent="0.35">
      <c r="A813" s="2" t="s">
        <v>1733</v>
      </c>
      <c r="B813">
        <v>2010</v>
      </c>
      <c r="D813" cm="1">
        <f t="array" ref="D8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3" s="40" t="str">
        <f>_xlfn.XLOOKUP(PROPERTIES[[#This Row],[VEHIDCODE]],CONTROL[VEHIDCODE],CONTROL[ENGLISH])</f>
        <v>7th Gen Livestock Van</v>
      </c>
      <c r="G813" s="40" t="str">
        <f>_xlfn.XLOOKUP(PROPERTIES[[#This Row],[COUNTRY]],COUNTRIES[COUNTRY_DESCRIPTION],COUNTRIES[COUNTRY_LABEL],"")</f>
        <v/>
      </c>
      <c r="H813" t="str" cm="1">
        <f t="array" ref="H8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3" t="s">
        <v>1723</v>
      </c>
      <c r="J813">
        <v>74</v>
      </c>
      <c r="K813">
        <v>8</v>
      </c>
      <c r="L813">
        <v>0</v>
      </c>
      <c r="M813" t="str" cm="1">
        <f t="array" ref="M8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3">
        <f>_xlfn.XLOOKUP("LOADINGSPEEDDEF_"&amp;PROPERTIES[[#This Row],[LOADINGSPEED]],LOADINGSPEEDDEF[TYPE],LOADINGSPEEDDEF[SPEED])</f>
        <v>20</v>
      </c>
      <c r="O813" t="str" cm="1">
        <f t="array" ref="O8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3">
        <f>IF(ISNUMBER(SEARCH("passenger",PROPERTIES[[#This Row],[CARGODEF]])),1,0)</f>
        <v>0</v>
      </c>
      <c r="Q813" s="23">
        <v>27</v>
      </c>
      <c r="R813">
        <v>0</v>
      </c>
      <c r="S813">
        <v>0</v>
      </c>
      <c r="T813">
        <v>0</v>
      </c>
      <c r="U813">
        <v>0</v>
      </c>
      <c r="V813">
        <v>180</v>
      </c>
      <c r="W813">
        <v>0</v>
      </c>
      <c r="X813">
        <v>0</v>
      </c>
      <c r="Y813">
        <v>0</v>
      </c>
      <c r="Z813" s="20">
        <v>0</v>
      </c>
      <c r="AA813" s="19">
        <f>IFERROR(PROPERTIES[[#This Row],[TE_STARTING_KN]]/(PROPERTIES[[#This Row],[WEIGHT]]*9.81),0)</f>
        <v>0</v>
      </c>
      <c r="AB813" s="19">
        <v>0.3</v>
      </c>
      <c r="AC813" s="16">
        <f>ROUND(IF(IFERROR(PROPERTIES[[#This Row],[TE_COEFFICIENT_CALC]],0)=0,PROPERTIES[[#This Row],[TE_COEFFICIENT_MANUAL]],PROPERTIES[[#This Row],[TE_COEFFICIENT_CALC]]),3)</f>
        <v>0.3</v>
      </c>
      <c r="AD813" s="8" cm="1">
        <f t="array" ref="AD8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13" s="26">
        <v>0</v>
      </c>
      <c r="AF813" s="6">
        <v>0</v>
      </c>
      <c r="AG813" t="s">
        <v>241</v>
      </c>
      <c r="AH813" t="s">
        <v>229</v>
      </c>
      <c r="AI813" t="s">
        <v>229</v>
      </c>
      <c r="AJ813" s="2" t="s">
        <v>229</v>
      </c>
      <c r="AK813" s="2" t="s">
        <v>245</v>
      </c>
      <c r="AL81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1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13" s="2" t="str">
        <f>SUBSTITUTE(SUBSTITUTE(PROPERTIES[[#This Row],[PURCHASECOST_VALUE]], "PURCHASECOST_", ""), "_VALUE", "")</f>
        <v>WAGON</v>
      </c>
      <c r="AO813" s="44" t="b">
        <v>0</v>
      </c>
      <c r="AP813" s="48" t="b">
        <v>0</v>
      </c>
      <c r="AQ813" s="48" t="b">
        <v>0</v>
      </c>
      <c r="AR813" s="48">
        <v>2</v>
      </c>
      <c r="AS813" s="48" t="b">
        <v>0</v>
      </c>
      <c r="AT813" s="7" t="b">
        <v>0</v>
      </c>
      <c r="AU813" s="40" t="str" cm="1">
        <f t="array" ref="AU813">_xlfn.XLOOKUP(PROPERTIES[[#This Row],[VEHIDCODE]],GRAPHICS_PROPERTIES[VEHIDCODE],GRAPHICS_PROPERTIES[TEMPLATE_ID]&amp;GRAPHICS_PROPERTIES[TEMPLATE_AMENDMENT_CODE])</f>
        <v>TPL_04B</v>
      </c>
    </row>
    <row r="814" spans="1:47" x14ac:dyDescent="0.35">
      <c r="A814" s="2" t="s">
        <v>3280</v>
      </c>
      <c r="B814">
        <v>1974</v>
      </c>
      <c r="C814">
        <v>1996</v>
      </c>
      <c r="D814" cm="1">
        <f t="array" ref="D8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4" s="40" t="str">
        <f>_xlfn.XLOOKUP(PROPERTIES[[#This Row],[VEHIDCODE]],CONTROL[VEHIDCODE],CONTROL[ENGLISH])</f>
        <v>Ganz-MAVAG VM15 'V63'</v>
      </c>
      <c r="F814" t="s">
        <v>626</v>
      </c>
      <c r="G814" s="40" t="str">
        <f>_xlfn.XLOOKUP(PROPERTIES[[#This Row],[COUNTRY]],COUNTRIES[COUNTRY_DESCRIPTION],COUNTRIES[COUNTRY_LABEL],"")</f>
        <v>HU</v>
      </c>
      <c r="H814" t="str" cm="1">
        <f t="array" ref="H8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14" t="s">
        <v>17</v>
      </c>
      <c r="J814">
        <v>0</v>
      </c>
      <c r="K814">
        <v>8</v>
      </c>
      <c r="M814" t="str" cm="1">
        <f t="array" ref="M8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4">
        <f>_xlfn.XLOOKUP("LOADINGSPEEDDEF_"&amp;PROPERTIES[[#This Row],[LOADINGSPEED]],LOADINGSPEEDDEF[TYPE],LOADINGSPEEDDEF[SPEED])</f>
        <v>20</v>
      </c>
      <c r="O814" cm="1">
        <f t="array" ref="O8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14">
        <f>IF(ISNUMBER(SEARCH("passenger",PROPERTIES[[#This Row],[CARGODEF]])),1,0)</f>
        <v>0</v>
      </c>
      <c r="Q814" s="23">
        <v>118</v>
      </c>
      <c r="R814">
        <v>4800</v>
      </c>
      <c r="S814">
        <v>0</v>
      </c>
      <c r="T814">
        <v>0</v>
      </c>
      <c r="U814">
        <v>0</v>
      </c>
      <c r="V814">
        <v>130</v>
      </c>
      <c r="W814">
        <v>0</v>
      </c>
      <c r="X814">
        <v>0</v>
      </c>
      <c r="Y814">
        <v>0</v>
      </c>
      <c r="Z814" s="20">
        <v>415</v>
      </c>
      <c r="AA814" s="19">
        <f>IFERROR(PROPERTIES[[#This Row],[TE_STARTING_KN]]/(PROPERTIES[[#This Row],[WEIGHT]]*9.81),0)</f>
        <v>0.35850653950482897</v>
      </c>
      <c r="AB814" s="19">
        <v>0</v>
      </c>
      <c r="AC814" s="16">
        <f>ROUND(IF(IFERROR(PROPERTIES[[#This Row],[TE_COEFFICIENT_CALC]],0)=0,PROPERTIES[[#This Row],[TE_COEFFICIENT_MANUAL]],PROPERTIES[[#This Row],[TE_COEFFICIENT_CALC]]),3)</f>
        <v>0.35899999999999999</v>
      </c>
      <c r="AD814" s="8" cm="1">
        <f t="array" ref="AD8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14" s="26">
        <v>0</v>
      </c>
      <c r="AF814" s="6">
        <v>2</v>
      </c>
      <c r="AG814" t="s">
        <v>236</v>
      </c>
      <c r="AH814" t="s">
        <v>229</v>
      </c>
      <c r="AI814" t="s">
        <v>229</v>
      </c>
      <c r="AJ814" s="2" t="s">
        <v>229</v>
      </c>
      <c r="AK814" s="2" t="s">
        <v>244</v>
      </c>
      <c r="AL81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1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14" s="2" t="str">
        <f>SUBSTITUTE(SUBSTITUTE(PROPERTIES[[#This Row],[PURCHASECOST_VALUE]], "PURCHASECOST_", ""), "_VALUE", "")</f>
        <v>ELECTRICENGINE</v>
      </c>
      <c r="AO814" s="44" t="b">
        <v>0</v>
      </c>
      <c r="AP814" s="48" t="b">
        <v>0</v>
      </c>
      <c r="AQ814" s="48" t="b">
        <v>0</v>
      </c>
      <c r="AR814" s="48">
        <v>0</v>
      </c>
      <c r="AS814" s="48" t="b">
        <v>0</v>
      </c>
      <c r="AT814" s="7" t="b">
        <v>0</v>
      </c>
      <c r="AU814" s="40" t="str" cm="1">
        <f t="array" ref="AU814">_xlfn.XLOOKUP(PROPERTIES[[#This Row],[VEHIDCODE]],GRAPHICS_PROPERTIES[VEHIDCODE],GRAPHICS_PROPERTIES[TEMPLATE_ID]&amp;GRAPHICS_PROPERTIES[TEMPLATE_AMENDMENT_CODE])</f>
        <v>TPL_16A</v>
      </c>
    </row>
    <row r="815" spans="1:47" x14ac:dyDescent="0.35">
      <c r="A815" s="2" t="s">
        <v>3281</v>
      </c>
      <c r="B815">
        <v>1992</v>
      </c>
      <c r="C815">
        <v>2030</v>
      </c>
      <c r="D815" cm="1">
        <f t="array" ref="D8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15" s="40" t="str">
        <f>_xlfn.XLOOKUP(PROPERTIES[[#This Row],[VEHIDCODE]],CONTROL[VEHIDCODE],CONTROL[ENGLISH])</f>
        <v>BREL/ABB London 1992 Stock</v>
      </c>
      <c r="F815" t="s">
        <v>603</v>
      </c>
      <c r="G815" s="40" t="str">
        <f>_xlfn.XLOOKUP(PROPERTIES[[#This Row],[COUNTRY]],COUNTRIES[COUNTRY_DESCRIPTION],COUNTRIES[COUNTRY_LABEL],"")</f>
        <v>GB</v>
      </c>
      <c r="H815" t="str" cm="1">
        <f t="array" ref="H8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5" t="s">
        <v>22</v>
      </c>
      <c r="J815">
        <f>INT(1047/8)</f>
        <v>130</v>
      </c>
      <c r="K815">
        <v>8</v>
      </c>
      <c r="M815" t="str" cm="1">
        <f t="array" ref="M8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15">
        <f>_xlfn.XLOOKUP("LOADINGSPEEDDEF_"&amp;PROPERTIES[[#This Row],[LOADINGSPEED]],LOADINGSPEEDDEF[TYPE],LOADINGSPEEDDEF[SPEED])</f>
        <v>120</v>
      </c>
      <c r="O815" t="str" cm="1">
        <f t="array" ref="O8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5">
        <f>IF(ISNUMBER(SEARCH("passenger",PROPERTIES[[#This Row],[CARGODEF]])),1,0)</f>
        <v>1</v>
      </c>
      <c r="Q815" s="23">
        <v>22.5</v>
      </c>
      <c r="R815">
        <v>1700</v>
      </c>
      <c r="S815">
        <v>0</v>
      </c>
      <c r="T815">
        <v>0</v>
      </c>
      <c r="U815">
        <v>0</v>
      </c>
      <c r="V815">
        <v>100</v>
      </c>
      <c r="W815">
        <v>0</v>
      </c>
      <c r="X815">
        <v>0</v>
      </c>
      <c r="Y815">
        <v>0</v>
      </c>
      <c r="Z815" s="20">
        <v>0</v>
      </c>
      <c r="AA815" s="19">
        <f>IFERROR(PROPERTIES[[#This Row],[TE_STARTING_KN]]/(PROPERTIES[[#This Row],[WEIGHT]]*9.81),0)</f>
        <v>0</v>
      </c>
      <c r="AB815" s="19">
        <v>0.3</v>
      </c>
      <c r="AC815" s="16">
        <f>ROUND(IF(IFERROR(PROPERTIES[[#This Row],[TE_COEFFICIENT_CALC]],0)=0,PROPERTIES[[#This Row],[TE_COEFFICIENT_MANUAL]],PROPERTIES[[#This Row],[TE_COEFFICIENT_CALC]]),3)</f>
        <v>0.3</v>
      </c>
      <c r="AD815" s="8" cm="1">
        <f t="array" ref="AD8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15" s="26">
        <v>125</v>
      </c>
      <c r="AF815" s="6">
        <v>8</v>
      </c>
      <c r="AG815" t="s">
        <v>234</v>
      </c>
      <c r="AH815" t="s">
        <v>229</v>
      </c>
      <c r="AI815" t="s">
        <v>229</v>
      </c>
      <c r="AJ815" s="2" t="s">
        <v>229</v>
      </c>
      <c r="AK815" s="2" t="s">
        <v>244</v>
      </c>
      <c r="AL81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1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15" s="2" t="str">
        <f>SUBSTITUTE(SUBSTITUTE(PROPERTIES[[#This Row],[PURCHASECOST_VALUE]], "PURCHASECOST_", ""), "_VALUE", "")</f>
        <v>METRO</v>
      </c>
      <c r="AO815" s="44" t="b">
        <v>0</v>
      </c>
      <c r="AP815" s="48" t="b">
        <v>0</v>
      </c>
      <c r="AQ815" s="48" t="b">
        <v>0</v>
      </c>
      <c r="AR815" s="48">
        <v>0</v>
      </c>
      <c r="AS815" s="48" t="b">
        <v>0</v>
      </c>
      <c r="AT815" s="7" t="b">
        <v>0</v>
      </c>
      <c r="AU815" s="40" t="str" cm="1">
        <f t="array" ref="AU815">_xlfn.XLOOKUP(PROPERTIES[[#This Row],[VEHIDCODE]],GRAPHICS_PROPERTIES[VEHIDCODE],GRAPHICS_PROPERTIES[TEMPLATE_ID]&amp;GRAPHICS_PROPERTIES[TEMPLATE_AMENDMENT_CODE])</f>
        <v>TPL_02C</v>
      </c>
    </row>
    <row r="816" spans="1:47" x14ac:dyDescent="0.35">
      <c r="A816" s="2" t="s">
        <v>3282</v>
      </c>
      <c r="B816">
        <v>2010</v>
      </c>
      <c r="C816">
        <v>2030</v>
      </c>
      <c r="D816" cm="1">
        <f t="array" ref="D8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16" s="40" t="str">
        <f>_xlfn.XLOOKUP(PROPERTIES[[#This Row],[VEHIDCODE]],CONTROL[VEHIDCODE],CONTROL[ENGLISH])</f>
        <v>Bombardier Movia London S Stock</v>
      </c>
      <c r="F816" t="s">
        <v>603</v>
      </c>
      <c r="G816" s="40" t="str">
        <f>_xlfn.XLOOKUP(PROPERTIES[[#This Row],[COUNTRY]],COUNTRIES[COUNTRY_DESCRIPTION],COUNTRIES[COUNTRY_LABEL],"")</f>
        <v>GB</v>
      </c>
      <c r="H816" t="str" cm="1">
        <f t="array" ref="H8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6" t="s">
        <v>22</v>
      </c>
      <c r="J816">
        <f>INT(1350/8)</f>
        <v>168</v>
      </c>
      <c r="K816">
        <v>8</v>
      </c>
      <c r="M816" t="str" cm="1">
        <f t="array" ref="M8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16">
        <f>_xlfn.XLOOKUP("LOADINGSPEEDDEF_"&amp;PROPERTIES[[#This Row],[LOADINGSPEED]],LOADINGSPEEDDEF[TYPE],LOADINGSPEEDDEF[SPEED])</f>
        <v>120</v>
      </c>
      <c r="O816" t="str" cm="1">
        <f t="array" ref="O8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6">
        <f>IF(ISNUMBER(SEARCH("passenger",PROPERTIES[[#This Row],[CARGODEF]])),1,0)</f>
        <v>1</v>
      </c>
      <c r="Q816" s="23">
        <f>INT(238/8)</f>
        <v>29</v>
      </c>
      <c r="R816">
        <v>2000</v>
      </c>
      <c r="S816">
        <v>0</v>
      </c>
      <c r="T816">
        <v>0</v>
      </c>
      <c r="U816">
        <v>0</v>
      </c>
      <c r="V816">
        <v>100</v>
      </c>
      <c r="W816">
        <v>0</v>
      </c>
      <c r="X816">
        <v>0</v>
      </c>
      <c r="Y816">
        <v>0</v>
      </c>
      <c r="Z816" s="20">
        <v>0</v>
      </c>
      <c r="AA816" s="19">
        <f>IFERROR(PROPERTIES[[#This Row],[TE_STARTING_KN]]/(PROPERTIES[[#This Row],[WEIGHT]]*9.81),0)</f>
        <v>0</v>
      </c>
      <c r="AB816" s="19">
        <v>0.3</v>
      </c>
      <c r="AC816" s="16">
        <f>ROUND(IF(IFERROR(PROPERTIES[[#This Row],[TE_COEFFICIENT_CALC]],0)=0,PROPERTIES[[#This Row],[TE_COEFFICIENT_MANUAL]],PROPERTIES[[#This Row],[TE_COEFFICIENT_CALC]]),3)</f>
        <v>0.3</v>
      </c>
      <c r="AD816" s="8" cm="1">
        <f t="array" ref="AD8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16" s="26">
        <v>160</v>
      </c>
      <c r="AF816" s="6">
        <v>8</v>
      </c>
      <c r="AG816" t="s">
        <v>234</v>
      </c>
      <c r="AH816" t="s">
        <v>229</v>
      </c>
      <c r="AI816" t="s">
        <v>229</v>
      </c>
      <c r="AJ816" s="2" t="s">
        <v>229</v>
      </c>
      <c r="AK816" s="2" t="s">
        <v>244</v>
      </c>
      <c r="AL81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1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16" s="2" t="str">
        <f>SUBSTITUTE(SUBSTITUTE(PROPERTIES[[#This Row],[PURCHASECOST_VALUE]], "PURCHASECOST_", ""), "_VALUE", "")</f>
        <v>METRO</v>
      </c>
      <c r="AO816" s="44" t="b">
        <v>0</v>
      </c>
      <c r="AP816" s="48" t="b">
        <v>0</v>
      </c>
      <c r="AQ816" s="48" t="b">
        <v>0</v>
      </c>
      <c r="AR816" s="48">
        <v>0</v>
      </c>
      <c r="AS816" s="48" t="b">
        <v>0</v>
      </c>
      <c r="AT816" s="7" t="b">
        <v>0</v>
      </c>
      <c r="AU816" s="40" t="str" cm="1">
        <f t="array" ref="AU816">_xlfn.XLOOKUP(PROPERTIES[[#This Row],[VEHIDCODE]],GRAPHICS_PROPERTIES[VEHIDCODE],GRAPHICS_PROPERTIES[TEMPLATE_ID]&amp;GRAPHICS_PROPERTIES[TEMPLATE_AMENDMENT_CODE])</f>
        <v>TPL_02C</v>
      </c>
    </row>
    <row r="817" spans="1:47" x14ac:dyDescent="0.35">
      <c r="A817" s="2" t="s">
        <v>3283</v>
      </c>
      <c r="B817">
        <v>1972</v>
      </c>
      <c r="C817">
        <v>2030</v>
      </c>
      <c r="D817" cm="1">
        <f t="array" ref="D8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17" s="40" t="str">
        <f>_xlfn.XLOOKUP(PROPERTIES[[#This Row],[VEHIDCODE]],CONTROL[VEHIDCODE],CONTROL[ENGLISH])</f>
        <v>Metro-Cammell London 1972 Stock</v>
      </c>
      <c r="F817" t="s">
        <v>603</v>
      </c>
      <c r="G817" s="40" t="str">
        <f>_xlfn.XLOOKUP(PROPERTIES[[#This Row],[COUNTRY]],COUNTRIES[COUNTRY_DESCRIPTION],COUNTRIES[COUNTRY_LABEL],"")</f>
        <v>GB</v>
      </c>
      <c r="H817" t="str" cm="1">
        <f t="array" ref="H8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7" t="s">
        <v>22</v>
      </c>
      <c r="J817">
        <f>INT(851/7)</f>
        <v>121</v>
      </c>
      <c r="K817">
        <v>7</v>
      </c>
      <c r="L817">
        <v>0</v>
      </c>
      <c r="M817" t="str" cm="1">
        <f t="array" ref="M8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17">
        <f>_xlfn.XLOOKUP("LOADINGSPEEDDEF_"&amp;PROPERTIES[[#This Row],[LOADINGSPEED]],LOADINGSPEEDDEF[TYPE],LOADINGSPEEDDEF[SPEED])</f>
        <v>120</v>
      </c>
      <c r="O817" t="str" cm="1">
        <f t="array" ref="O8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7">
        <f>IF(ISNUMBER(SEARCH("passenger",PROPERTIES[[#This Row],[CARGODEF]])),1,0)</f>
        <v>1</v>
      </c>
      <c r="Q817" s="23">
        <f>INT(238/8)</f>
        <v>29</v>
      </c>
      <c r="R817">
        <v>1400</v>
      </c>
      <c r="S817">
        <v>0</v>
      </c>
      <c r="T817">
        <v>0</v>
      </c>
      <c r="U817">
        <v>0</v>
      </c>
      <c r="V817">
        <v>72</v>
      </c>
      <c r="W817">
        <v>0</v>
      </c>
      <c r="X817">
        <v>0</v>
      </c>
      <c r="Y817">
        <v>0</v>
      </c>
      <c r="Z817" s="20">
        <v>0</v>
      </c>
      <c r="AA817" s="19">
        <f>IFERROR(PROPERTIES[[#This Row],[TE_STARTING_KN]]/(PROPERTIES[[#This Row],[WEIGHT]]*9.81),0)</f>
        <v>0</v>
      </c>
      <c r="AB817" s="19">
        <v>0.25</v>
      </c>
      <c r="AC817" s="16">
        <f>ROUND(IF(IFERROR(PROPERTIES[[#This Row],[TE_COEFFICIENT_CALC]],0)=0,PROPERTIES[[#This Row],[TE_COEFFICIENT_MANUAL]],PROPERTIES[[#This Row],[TE_COEFFICIENT_CALC]]),3)</f>
        <v>0.25</v>
      </c>
      <c r="AD817" s="8" cm="1">
        <f t="array" ref="AD8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817" s="26">
        <v>120</v>
      </c>
      <c r="AF817" s="6">
        <v>7</v>
      </c>
      <c r="AG817" t="s">
        <v>234</v>
      </c>
      <c r="AH817" t="s">
        <v>229</v>
      </c>
      <c r="AI817" t="s">
        <v>229</v>
      </c>
      <c r="AJ817" s="2" t="s">
        <v>229</v>
      </c>
      <c r="AK817" s="2" t="s">
        <v>244</v>
      </c>
      <c r="AL81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1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17" s="2" t="str">
        <f>SUBSTITUTE(SUBSTITUTE(PROPERTIES[[#This Row],[PURCHASECOST_VALUE]], "PURCHASECOST_", ""), "_VALUE", "")</f>
        <v>METRO</v>
      </c>
      <c r="AO817" s="44" t="b">
        <v>0</v>
      </c>
      <c r="AP817" s="48" t="b">
        <v>0</v>
      </c>
      <c r="AQ817" s="48" t="b">
        <v>0</v>
      </c>
      <c r="AR817" s="48">
        <v>0</v>
      </c>
      <c r="AS817" s="48" t="b">
        <v>0</v>
      </c>
      <c r="AT817" s="7" t="b">
        <v>0</v>
      </c>
      <c r="AU817" s="40" t="str" cm="1">
        <f t="array" ref="AU817">_xlfn.XLOOKUP(PROPERTIES[[#This Row],[VEHIDCODE]],GRAPHICS_PROPERTIES[VEHIDCODE],GRAPHICS_PROPERTIES[TEMPLATE_ID]&amp;GRAPHICS_PROPERTIES[TEMPLATE_AMENDMENT_CODE])</f>
        <v>TPL_02C</v>
      </c>
    </row>
    <row r="818" spans="1:47" x14ac:dyDescent="0.35">
      <c r="A818" s="2" t="s">
        <v>3284</v>
      </c>
      <c r="B818">
        <v>1959</v>
      </c>
      <c r="C818">
        <v>2000</v>
      </c>
      <c r="D818" cm="1">
        <f t="array" ref="D8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18" s="40" t="str">
        <f>_xlfn.XLOOKUP(PROPERTIES[[#This Row],[VEHIDCODE]],CONTROL[VEHIDCODE],CONTROL[ENGLISH])</f>
        <v>Metro-Cammell London 1959 Stock</v>
      </c>
      <c r="F818" t="s">
        <v>603</v>
      </c>
      <c r="G818" s="40" t="str">
        <f>_xlfn.XLOOKUP(PROPERTIES[[#This Row],[COUNTRY]],COUNTRIES[COUNTRY_DESCRIPTION],COUNTRIES[COUNTRY_LABEL],"")</f>
        <v>GB</v>
      </c>
      <c r="H818" t="str" cm="1">
        <f t="array" ref="H8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8" t="s">
        <v>22</v>
      </c>
      <c r="J818">
        <v>105</v>
      </c>
      <c r="K818">
        <v>7</v>
      </c>
      <c r="L818">
        <v>0</v>
      </c>
      <c r="M818" t="str" cm="1">
        <f t="array" ref="M8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18">
        <f>_xlfn.XLOOKUP("LOADINGSPEEDDEF_"&amp;PROPERTIES[[#This Row],[LOADINGSPEED]],LOADINGSPEEDDEF[TYPE],LOADINGSPEEDDEF[SPEED])</f>
        <v>120</v>
      </c>
      <c r="O818" cm="1">
        <f t="array" ref="O8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18">
        <f>IF(ISNUMBER(SEARCH("passenger",PROPERTIES[[#This Row],[CARGODEF]])),1,0)</f>
        <v>1</v>
      </c>
      <c r="Q818" s="23">
        <v>27</v>
      </c>
      <c r="R818">
        <v>700</v>
      </c>
      <c r="S818">
        <v>0</v>
      </c>
      <c r="T818">
        <v>0</v>
      </c>
      <c r="U818">
        <v>0</v>
      </c>
      <c r="V818">
        <v>72</v>
      </c>
      <c r="W818">
        <v>0</v>
      </c>
      <c r="X818">
        <v>0</v>
      </c>
      <c r="Y818">
        <v>0</v>
      </c>
      <c r="Z818" s="20">
        <v>0</v>
      </c>
      <c r="AA818" s="19">
        <f>IFERROR(PROPERTIES[[#This Row],[TE_STARTING_KN]]/(PROPERTIES[[#This Row],[WEIGHT]]*9.81),0)</f>
        <v>0</v>
      </c>
      <c r="AB818" s="19">
        <v>0.22</v>
      </c>
      <c r="AC818" s="16">
        <f>ROUND(IF(IFERROR(PROPERTIES[[#This Row],[TE_COEFFICIENT_CALC]],0)=0,PROPERTIES[[#This Row],[TE_COEFFICIENT_MANUAL]],PROPERTIES[[#This Row],[TE_COEFFICIENT_CALC]]),3)</f>
        <v>0.22</v>
      </c>
      <c r="AD818" s="8" cm="1">
        <f t="array" ref="AD8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18" s="26">
        <v>120</v>
      </c>
      <c r="AF818" s="6">
        <v>7</v>
      </c>
      <c r="AG818" t="s">
        <v>234</v>
      </c>
      <c r="AH818" t="s">
        <v>229</v>
      </c>
      <c r="AI818" t="s">
        <v>229</v>
      </c>
      <c r="AJ818" s="2" t="s">
        <v>229</v>
      </c>
      <c r="AK818" s="2" t="s">
        <v>244</v>
      </c>
      <c r="AL81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1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18" s="2" t="str">
        <f>SUBSTITUTE(SUBSTITUTE(PROPERTIES[[#This Row],[PURCHASECOST_VALUE]], "PURCHASECOST_", ""), "_VALUE", "")</f>
        <v>METRO</v>
      </c>
      <c r="AO818" s="44" t="b">
        <v>0</v>
      </c>
      <c r="AP818" s="48" t="b">
        <v>0</v>
      </c>
      <c r="AQ818" s="48" t="b">
        <v>0</v>
      </c>
      <c r="AR818" s="48">
        <v>0</v>
      </c>
      <c r="AS818" s="48" t="b">
        <v>0</v>
      </c>
      <c r="AT818" s="7" t="b">
        <v>0</v>
      </c>
      <c r="AU818" s="40" t="str" cm="1">
        <f t="array" ref="AU818">_xlfn.XLOOKUP(PROPERTIES[[#This Row],[VEHIDCODE]],GRAPHICS_PROPERTIES[VEHIDCODE],GRAPHICS_PROPERTIES[TEMPLATE_ID]&amp;GRAPHICS_PROPERTIES[TEMPLATE_AMENDMENT_CODE])</f>
        <v>TPL_02C</v>
      </c>
    </row>
    <row r="819" spans="1:47" x14ac:dyDescent="0.35">
      <c r="A819" s="2" t="s">
        <v>3285</v>
      </c>
      <c r="B819">
        <v>1987</v>
      </c>
      <c r="D819" cm="1">
        <f t="array" ref="D8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19" s="40" t="str">
        <f>_xlfn.XLOOKUP(PROPERTIES[[#This Row],[VEHIDCODE]],CONTROL[VEHIDCODE],CONTROL[ENGLISH])</f>
        <v>Kawasaki HI C151</v>
      </c>
      <c r="F819" t="s">
        <v>723</v>
      </c>
      <c r="G819" s="40" t="str">
        <f>_xlfn.XLOOKUP(PROPERTIES[[#This Row],[COUNTRY]],COUNTRIES[COUNTRY_DESCRIPTION],COUNTRIES[COUNTRY_LABEL],"")</f>
        <v>SG</v>
      </c>
      <c r="H819" t="str" cm="1">
        <f t="array" ref="H8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9" t="s">
        <v>22</v>
      </c>
      <c r="J819">
        <v>160</v>
      </c>
      <c r="K819">
        <v>8</v>
      </c>
      <c r="M819" t="str" cm="1">
        <f t="array" ref="M8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19">
        <f>_xlfn.XLOOKUP("LOADINGSPEEDDEF_"&amp;PROPERTIES[[#This Row],[LOADINGSPEED]],LOADINGSPEEDDEF[TYPE],LOADINGSPEEDDEF[SPEED])</f>
        <v>120</v>
      </c>
      <c r="O819" t="str" cm="1">
        <f t="array" ref="O8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9">
        <f>IF(ISNUMBER(SEARCH("passenger",PROPERTIES[[#This Row],[CARGODEF]])),1,0)</f>
        <v>1</v>
      </c>
      <c r="Q819" s="23">
        <v>35</v>
      </c>
      <c r="R819">
        <v>1000</v>
      </c>
      <c r="S819">
        <v>0</v>
      </c>
      <c r="T819">
        <v>0</v>
      </c>
      <c r="U819">
        <v>0</v>
      </c>
      <c r="V819">
        <v>90</v>
      </c>
      <c r="W819">
        <v>0</v>
      </c>
      <c r="X819">
        <v>0</v>
      </c>
      <c r="Y819">
        <v>0</v>
      </c>
      <c r="Z819" s="20">
        <v>0</v>
      </c>
      <c r="AA819" s="19">
        <f>IFERROR(PROPERTIES[[#This Row],[TE_STARTING_KN]]/(PROPERTIES[[#This Row],[WEIGHT]]*9.81),0)</f>
        <v>0</v>
      </c>
      <c r="AB819" s="19">
        <v>0.3</v>
      </c>
      <c r="AC819" s="16">
        <f>ROUND(IF(IFERROR(PROPERTIES[[#This Row],[TE_COEFFICIENT_CALC]],0)=0,PROPERTIES[[#This Row],[TE_COEFFICIENT_MANUAL]],PROPERTIES[[#This Row],[TE_COEFFICIENT_CALC]]),3)</f>
        <v>0.3</v>
      </c>
      <c r="AD819" s="8" cm="1">
        <f t="array" ref="AD8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19" s="26">
        <v>160</v>
      </c>
      <c r="AF819" s="6">
        <v>8</v>
      </c>
      <c r="AG819" t="s">
        <v>238</v>
      </c>
      <c r="AH819" t="s">
        <v>229</v>
      </c>
      <c r="AI819" t="s">
        <v>229</v>
      </c>
      <c r="AJ819" s="2" t="s">
        <v>229</v>
      </c>
      <c r="AK819" s="2" t="s">
        <v>244</v>
      </c>
      <c r="AL81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1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19" s="2" t="str">
        <f>SUBSTITUTE(SUBSTITUTE(PROPERTIES[[#This Row],[PURCHASECOST_VALUE]], "PURCHASECOST_", ""), "_VALUE", "")</f>
        <v>METRO</v>
      </c>
      <c r="AO819" s="44" t="b">
        <v>0</v>
      </c>
      <c r="AP819" s="48" t="b">
        <v>0</v>
      </c>
      <c r="AQ819" s="48" t="b">
        <v>0</v>
      </c>
      <c r="AR819" s="48">
        <v>0</v>
      </c>
      <c r="AS819" s="48" t="b">
        <v>0</v>
      </c>
      <c r="AT819" s="7" t="b">
        <v>0</v>
      </c>
      <c r="AU819" s="40" t="str" cm="1">
        <f t="array" ref="AU819">_xlfn.XLOOKUP(PROPERTIES[[#This Row],[VEHIDCODE]],GRAPHICS_PROPERTIES[VEHIDCODE],GRAPHICS_PROPERTIES[TEMPLATE_ID]&amp;GRAPHICS_PROPERTIES[TEMPLATE_AMENDMENT_CODE])</f>
        <v>TPL_02C</v>
      </c>
    </row>
    <row r="820" spans="1:47" x14ac:dyDescent="0.35">
      <c r="A820" s="2" t="s">
        <v>3286</v>
      </c>
      <c r="B820">
        <v>2000</v>
      </c>
      <c r="D820" cm="1">
        <f t="array" ref="D8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0" s="40" t="str">
        <f>_xlfn.XLOOKUP(PROPERTIES[[#This Row],[VEHIDCODE]],CONTROL[VEHIDCODE],CONTROL[ENGLISH])</f>
        <v>Kawasaki HI &amp; Nippon Sharyo C751B</v>
      </c>
      <c r="F820" t="s">
        <v>723</v>
      </c>
      <c r="G820" s="40" t="str">
        <f>_xlfn.XLOOKUP(PROPERTIES[[#This Row],[COUNTRY]],COUNTRIES[COUNTRY_DESCRIPTION],COUNTRIES[COUNTRY_LABEL],"")</f>
        <v>SG</v>
      </c>
      <c r="H820" t="str" cm="1">
        <f t="array" ref="H8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20" t="s">
        <v>22</v>
      </c>
      <c r="J820">
        <v>160</v>
      </c>
      <c r="K820">
        <v>8</v>
      </c>
      <c r="M820" t="str" cm="1">
        <f t="array" ref="M8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20">
        <f>_xlfn.XLOOKUP("LOADINGSPEEDDEF_"&amp;PROPERTIES[[#This Row],[LOADINGSPEED]],LOADINGSPEEDDEF[TYPE],LOADINGSPEEDDEF[SPEED])</f>
        <v>120</v>
      </c>
      <c r="O820" t="str" cm="1">
        <f t="array" ref="O8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20">
        <f>IF(ISNUMBER(SEARCH("passenger",PROPERTIES[[#This Row],[CARGODEF]])),1,0)</f>
        <v>1</v>
      </c>
      <c r="Q820" s="23">
        <v>35</v>
      </c>
      <c r="R820">
        <v>1000</v>
      </c>
      <c r="S820">
        <v>0</v>
      </c>
      <c r="T820">
        <v>0</v>
      </c>
      <c r="U820">
        <v>0</v>
      </c>
      <c r="V820">
        <v>90</v>
      </c>
      <c r="W820">
        <v>0</v>
      </c>
      <c r="X820">
        <v>0</v>
      </c>
      <c r="Y820">
        <v>0</v>
      </c>
      <c r="Z820" s="20">
        <v>0</v>
      </c>
      <c r="AA820" s="19">
        <f>IFERROR(PROPERTIES[[#This Row],[TE_STARTING_KN]]/(PROPERTIES[[#This Row],[WEIGHT]]*9.81),0)</f>
        <v>0</v>
      </c>
      <c r="AB820" s="19">
        <v>0.3</v>
      </c>
      <c r="AC820" s="16">
        <f>ROUND(IF(IFERROR(PROPERTIES[[#This Row],[TE_COEFFICIENT_CALC]],0)=0,PROPERTIES[[#This Row],[TE_COEFFICIENT_MANUAL]],PROPERTIES[[#This Row],[TE_COEFFICIENT_CALC]]),3)</f>
        <v>0.3</v>
      </c>
      <c r="AD820" s="8" cm="1">
        <f t="array" ref="AD8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20" s="26">
        <v>160</v>
      </c>
      <c r="AF820" s="6">
        <v>8</v>
      </c>
      <c r="AG820" t="s">
        <v>238</v>
      </c>
      <c r="AH820" t="s">
        <v>229</v>
      </c>
      <c r="AI820" t="s">
        <v>229</v>
      </c>
      <c r="AJ820" s="2" t="s">
        <v>229</v>
      </c>
      <c r="AK820" s="2" t="s">
        <v>244</v>
      </c>
      <c r="AL82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2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20" s="2" t="str">
        <f>SUBSTITUTE(SUBSTITUTE(PROPERTIES[[#This Row],[PURCHASECOST_VALUE]], "PURCHASECOST_", ""), "_VALUE", "")</f>
        <v>METRO</v>
      </c>
      <c r="AO820" s="44" t="b">
        <v>0</v>
      </c>
      <c r="AP820" s="48" t="b">
        <v>0</v>
      </c>
      <c r="AQ820" s="48" t="b">
        <v>0</v>
      </c>
      <c r="AR820" s="48">
        <v>0</v>
      </c>
      <c r="AS820" s="48" t="b">
        <v>0</v>
      </c>
      <c r="AT820" s="7" t="b">
        <v>0</v>
      </c>
      <c r="AU820" s="40" t="str" cm="1">
        <f t="array" ref="AU820">_xlfn.XLOOKUP(PROPERTIES[[#This Row],[VEHIDCODE]],GRAPHICS_PROPERTIES[VEHIDCODE],GRAPHICS_PROPERTIES[TEMPLATE_ID]&amp;GRAPHICS_PROPERTIES[TEMPLATE_AMENDMENT_CODE])</f>
        <v>TPL_02C</v>
      </c>
    </row>
    <row r="821" spans="1:47" x14ac:dyDescent="0.35">
      <c r="A821" s="2" t="s">
        <v>3287</v>
      </c>
      <c r="B821">
        <v>1965</v>
      </c>
      <c r="D821" cm="1">
        <f t="array" ref="D8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1" s="40" t="str">
        <f>_xlfn.XLOOKUP(PROPERTIES[[#This Row],[VEHIDCODE]],CONTROL[VEHIDCODE],CONTROL[ENGLISH])</f>
        <v>Comeng Light Metro Prototype</v>
      </c>
      <c r="F821" t="s">
        <v>541</v>
      </c>
      <c r="G821" s="40" t="str">
        <f>_xlfn.XLOOKUP(PROPERTIES[[#This Row],[COUNTRY]],COUNTRIES[COUNTRY_DESCRIPTION],COUNTRIES[COUNTRY_LABEL],"")</f>
        <v>AU</v>
      </c>
      <c r="H821" t="str" cm="1">
        <f t="array" ref="H8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21" t="s">
        <v>22</v>
      </c>
      <c r="J821">
        <v>100</v>
      </c>
      <c r="K821">
        <v>8</v>
      </c>
      <c r="M821" t="str" cm="1">
        <f t="array" ref="M8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21">
        <f>_xlfn.XLOOKUP("LOADINGSPEEDDEF_"&amp;PROPERTIES[[#This Row],[LOADINGSPEED]],LOADINGSPEEDDEF[TYPE],LOADINGSPEEDDEF[SPEED])</f>
        <v>120</v>
      </c>
      <c r="O821" cm="1">
        <f t="array" ref="O8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1">
        <f>IF(ISNUMBER(SEARCH("passenger",PROPERTIES[[#This Row],[CARGODEF]])),1,0)</f>
        <v>1</v>
      </c>
      <c r="Q821" s="23">
        <v>22</v>
      </c>
      <c r="R821">
        <v>500</v>
      </c>
      <c r="S821">
        <v>0</v>
      </c>
      <c r="T821">
        <v>0</v>
      </c>
      <c r="U821">
        <v>0</v>
      </c>
      <c r="V821">
        <v>100</v>
      </c>
      <c r="W821">
        <v>0</v>
      </c>
      <c r="X821">
        <v>0</v>
      </c>
      <c r="Y821">
        <v>0</v>
      </c>
      <c r="Z821" s="20">
        <v>0</v>
      </c>
      <c r="AA821" s="19">
        <f>IFERROR(PROPERTIES[[#This Row],[TE_STARTING_KN]]/(PROPERTIES[[#This Row],[WEIGHT]]*9.81),0)</f>
        <v>0</v>
      </c>
      <c r="AB821" s="19">
        <v>0.25</v>
      </c>
      <c r="AC821" s="16">
        <f>ROUND(IF(IFERROR(PROPERTIES[[#This Row],[TE_COEFFICIENT_CALC]],0)=0,PROPERTIES[[#This Row],[TE_COEFFICIENT_MANUAL]],PROPERTIES[[#This Row],[TE_COEFFICIENT_CALC]]),3)</f>
        <v>0.25</v>
      </c>
      <c r="AD821" s="8" cm="1">
        <f t="array" ref="AD8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21" s="26">
        <v>80</v>
      </c>
      <c r="AF821" s="6">
        <v>8</v>
      </c>
      <c r="AG821" t="s">
        <v>232</v>
      </c>
      <c r="AH821" t="s">
        <v>229</v>
      </c>
      <c r="AI821" t="s">
        <v>229</v>
      </c>
      <c r="AJ821" s="2" t="s">
        <v>229</v>
      </c>
      <c r="AK821" s="2" t="s">
        <v>245</v>
      </c>
      <c r="AL82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2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21" s="2" t="str">
        <f>SUBSTITUTE(SUBSTITUTE(PROPERTIES[[#This Row],[PURCHASECOST_VALUE]], "PURCHASECOST_", ""), "_VALUE", "")</f>
        <v>METRO</v>
      </c>
      <c r="AO821" s="44" t="b">
        <v>0</v>
      </c>
      <c r="AP821" s="48" t="b">
        <v>0</v>
      </c>
      <c r="AQ821" s="48" t="b">
        <v>0</v>
      </c>
      <c r="AR821" s="48">
        <v>0</v>
      </c>
      <c r="AS821" s="48" t="b">
        <v>0</v>
      </c>
      <c r="AT821" s="7" t="b">
        <v>0</v>
      </c>
      <c r="AU821" s="40" t="str" cm="1">
        <f t="array" ref="AU821">_xlfn.XLOOKUP(PROPERTIES[[#This Row],[VEHIDCODE]],GRAPHICS_PROPERTIES[VEHIDCODE],GRAPHICS_PROPERTIES[TEMPLATE_ID]&amp;GRAPHICS_PROPERTIES[TEMPLATE_AMENDMENT_CODE])</f>
        <v>TPL_02C</v>
      </c>
    </row>
    <row r="822" spans="1:47" x14ac:dyDescent="0.35">
      <c r="A822" t="s">
        <v>3288</v>
      </c>
      <c r="B822">
        <v>1981</v>
      </c>
      <c r="C822">
        <v>2030</v>
      </c>
      <c r="D822" cm="1">
        <f t="array" ref="D8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2" s="40" t="str">
        <f>_xlfn.XLOOKUP(PROPERTIES[[#This Row],[VEHIDCODE]],CONTROL[VEHIDCODE],CONTROL[ENGLISH])</f>
        <v>Comeng EMU</v>
      </c>
      <c r="F822" t="s">
        <v>541</v>
      </c>
      <c r="G822" s="40" t="str">
        <f>_xlfn.XLOOKUP(PROPERTIES[[#This Row],[COUNTRY]],COUNTRIES[COUNTRY_DESCRIPTION],COUNTRIES[COUNTRY_LABEL],"")</f>
        <v>AU</v>
      </c>
      <c r="H822" t="str" cm="1">
        <f t="array" ref="H8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22" t="s">
        <v>22</v>
      </c>
      <c r="J822">
        <v>127</v>
      </c>
      <c r="K822">
        <v>8</v>
      </c>
      <c r="M822" t="str" cm="1">
        <f t="array" ref="M8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22">
        <f>_xlfn.XLOOKUP("LOADINGSPEEDDEF_"&amp;PROPERTIES[[#This Row],[LOADINGSPEED]],LOADINGSPEEDDEF[TYPE],LOADINGSPEEDDEF[SPEED])</f>
        <v>60</v>
      </c>
      <c r="O822" t="str" cm="1">
        <f t="array" ref="O8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22">
        <f>IF(ISNUMBER(SEARCH("passenger",PROPERTIES[[#This Row],[CARGODEF]])),1,0)</f>
        <v>1</v>
      </c>
      <c r="Q822" s="23">
        <f>INT(141/3)</f>
        <v>47</v>
      </c>
      <c r="R822">
        <v>885</v>
      </c>
      <c r="S822">
        <v>0</v>
      </c>
      <c r="T822">
        <v>0</v>
      </c>
      <c r="U822">
        <v>0</v>
      </c>
      <c r="V822">
        <v>115</v>
      </c>
      <c r="W822">
        <v>0</v>
      </c>
      <c r="X822">
        <v>0</v>
      </c>
      <c r="Y822">
        <v>0</v>
      </c>
      <c r="Z822" s="20">
        <v>0</v>
      </c>
      <c r="AA822" s="20">
        <f>IFERROR(PROPERTIES[[#This Row],[TE_STARTING_KN]]/(PROPERTIES[[#This Row],[WEIGHT]]*9.81),0)</f>
        <v>0</v>
      </c>
      <c r="AB822" s="20">
        <v>0.3</v>
      </c>
      <c r="AC822" s="16">
        <f>ROUND(IF(IFERROR(PROPERTIES[[#This Row],[TE_COEFFICIENT_CALC]],0)=0,PROPERTIES[[#This Row],[TE_COEFFICIENT_MANUAL]],PROPERTIES[[#This Row],[TE_COEFFICIENT_CALC]]),3)</f>
        <v>0.3</v>
      </c>
      <c r="AD822" s="8" cm="1">
        <f t="array" ref="AD8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822" s="26">
        <v>127</v>
      </c>
      <c r="AF822" s="6">
        <v>8</v>
      </c>
      <c r="AG822" t="s">
        <v>232</v>
      </c>
      <c r="AH822" t="s">
        <v>229</v>
      </c>
      <c r="AI822" t="s">
        <v>229</v>
      </c>
      <c r="AJ822" s="2" t="s">
        <v>229</v>
      </c>
      <c r="AK822" s="2" t="s">
        <v>244</v>
      </c>
      <c r="AL82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2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22" s="2" t="str">
        <f>SUBSTITUTE(SUBSTITUTE(PROPERTIES[[#This Row],[PURCHASECOST_VALUE]], "PURCHASECOST_", ""), "_VALUE", "")</f>
        <v>EMU</v>
      </c>
      <c r="AO822" s="44" t="b">
        <v>0</v>
      </c>
      <c r="AP822" s="48" t="b">
        <v>0</v>
      </c>
      <c r="AQ822" s="48" t="b">
        <v>0</v>
      </c>
      <c r="AR822" s="48">
        <v>0</v>
      </c>
      <c r="AS822" s="48" t="b">
        <v>0</v>
      </c>
      <c r="AT822" s="7" t="b">
        <v>0</v>
      </c>
      <c r="AU822" s="40" t="str" cm="1">
        <f t="array" ref="AU822">_xlfn.XLOOKUP(PROPERTIES[[#This Row],[VEHIDCODE]],GRAPHICS_PROPERTIES[VEHIDCODE],GRAPHICS_PROPERTIES[TEMPLATE_ID]&amp;GRAPHICS_PROPERTIES[TEMPLATE_AMENDMENT_CODE])</f>
        <v>TPL_02A</v>
      </c>
    </row>
    <row r="823" spans="1:47" x14ac:dyDescent="0.35">
      <c r="A823" s="2" t="s">
        <v>3289</v>
      </c>
      <c r="B823">
        <v>2020</v>
      </c>
      <c r="D823" cm="1">
        <f t="array" ref="D8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3" s="40" t="str">
        <f>_xlfn.XLOOKUP(PROPERTIES[[#This Row],[VEHIDCODE]],CONTROL[VEHIDCODE],CONTROL[ENGLISH])</f>
        <v>Evolution Rail HCMT Munnel</v>
      </c>
      <c r="F823" t="s">
        <v>541</v>
      </c>
      <c r="G823" s="40" t="str">
        <f>_xlfn.XLOOKUP(PROPERTIES[[#This Row],[COUNTRY]],COUNTRIES[COUNTRY_DESCRIPTION],COUNTRIES[COUNTRY_LABEL],"")</f>
        <v>AU</v>
      </c>
      <c r="H823" t="str" cm="1">
        <f t="array" ref="H8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23" t="s">
        <v>22</v>
      </c>
      <c r="J823">
        <v>160</v>
      </c>
      <c r="K823">
        <v>8</v>
      </c>
      <c r="M823" t="str" cm="1">
        <f t="array" ref="M8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23">
        <f>_xlfn.XLOOKUP("LOADINGSPEEDDEF_"&amp;PROPERTIES[[#This Row],[LOADINGSPEED]],LOADINGSPEEDDEF[TYPE],LOADINGSPEEDDEF[SPEED])</f>
        <v>60</v>
      </c>
      <c r="O823" t="str" cm="1">
        <f t="array" ref="O8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23">
        <f>IF(ISNUMBER(SEARCH("passenger",PROPERTIES[[#This Row],[CARGODEF]])),1,0)</f>
        <v>1</v>
      </c>
      <c r="Q823" s="23">
        <v>38</v>
      </c>
      <c r="R823">
        <v>1500</v>
      </c>
      <c r="S823">
        <v>0</v>
      </c>
      <c r="T823">
        <v>0</v>
      </c>
      <c r="U823">
        <v>0</v>
      </c>
      <c r="V823">
        <v>130</v>
      </c>
      <c r="W823">
        <v>0</v>
      </c>
      <c r="X823">
        <v>0</v>
      </c>
      <c r="Y823">
        <v>0</v>
      </c>
      <c r="Z823" s="20">
        <v>0</v>
      </c>
      <c r="AA823" s="20">
        <f>IFERROR(PROPERTIES[[#This Row],[TE_STARTING_KN]]/(PROPERTIES[[#This Row],[WEIGHT]]*9.81),0)</f>
        <v>0</v>
      </c>
      <c r="AB823" s="20">
        <v>0.3</v>
      </c>
      <c r="AC823" s="16">
        <f>ROUND(IF(IFERROR(PROPERTIES[[#This Row],[TE_COEFFICIENT_CALC]],0)=0,PROPERTIES[[#This Row],[TE_COEFFICIENT_MANUAL]],PROPERTIES[[#This Row],[TE_COEFFICIENT_CALC]]),3)</f>
        <v>0.3</v>
      </c>
      <c r="AD823" s="8" cm="1">
        <f t="array" ref="AD8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823" s="26">
        <v>160</v>
      </c>
      <c r="AF823" s="6">
        <v>8</v>
      </c>
      <c r="AG823" t="s">
        <v>232</v>
      </c>
      <c r="AH823" t="s">
        <v>229</v>
      </c>
      <c r="AI823" t="s">
        <v>229</v>
      </c>
      <c r="AJ823" s="2" t="s">
        <v>229</v>
      </c>
      <c r="AK823" s="2" t="s">
        <v>244</v>
      </c>
      <c r="AL82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2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23" s="2" t="str">
        <f>SUBSTITUTE(SUBSTITUTE(PROPERTIES[[#This Row],[PURCHASECOST_VALUE]], "PURCHASECOST_", ""), "_VALUE", "")</f>
        <v>EMU</v>
      </c>
      <c r="AO823" s="44" t="b">
        <v>0</v>
      </c>
      <c r="AP823" s="48" t="b">
        <v>0</v>
      </c>
      <c r="AQ823" s="48" t="b">
        <v>0</v>
      </c>
      <c r="AR823" s="48">
        <v>0</v>
      </c>
      <c r="AS823" s="48" t="b">
        <v>0</v>
      </c>
      <c r="AT823" s="7" t="b">
        <v>0</v>
      </c>
      <c r="AU823" s="40" t="str" cm="1">
        <f t="array" ref="AU823">_xlfn.XLOOKUP(PROPERTIES[[#This Row],[VEHIDCODE]],GRAPHICS_PROPERTIES[VEHIDCODE],GRAPHICS_PROPERTIES[TEMPLATE_ID]&amp;GRAPHICS_PROPERTIES[TEMPLATE_AMENDMENT_CODE])</f>
        <v>TPL_02A</v>
      </c>
    </row>
    <row r="824" spans="1:47" x14ac:dyDescent="0.35">
      <c r="A824" s="2" t="s">
        <v>3290</v>
      </c>
      <c r="B824">
        <v>1973</v>
      </c>
      <c r="C824">
        <v>1994</v>
      </c>
      <c r="D824" cm="1">
        <f t="array" ref="D8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24" s="40" t="str">
        <f>_xlfn.XLOOKUP(PROPERTIES[[#This Row],[VEHIDCODE]],CONTROL[VEHIDCODE],CONTROL[ENGLISH])</f>
        <v>LTZ DR 130</v>
      </c>
      <c r="F824" t="s">
        <v>584</v>
      </c>
      <c r="G824" s="40" t="str">
        <f>_xlfn.XLOOKUP(PROPERTIES[[#This Row],[COUNTRY]],COUNTRIES[COUNTRY_DESCRIPTION],COUNTRIES[COUNTRY_LABEL],"")</f>
        <v>DE</v>
      </c>
      <c r="H824" t="str" cm="1">
        <f t="array" ref="H8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24" t="s">
        <v>17</v>
      </c>
      <c r="J824">
        <v>0</v>
      </c>
      <c r="K824">
        <v>8</v>
      </c>
      <c r="L824">
        <v>0</v>
      </c>
      <c r="M824" t="str" cm="1">
        <f t="array" ref="M8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24">
        <f>_xlfn.XLOOKUP("LOADINGSPEEDDEF_"&amp;PROPERTIES[[#This Row],[LOADINGSPEED]],LOADINGSPEEDDEF[TYPE],LOADINGSPEEDDEF[SPEED])</f>
        <v>20</v>
      </c>
      <c r="O824" cm="1">
        <f t="array" ref="O8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4">
        <f>IF(ISNUMBER(SEARCH("passenger",PROPERTIES[[#This Row],[CARGODEF]])),1,0)</f>
        <v>0</v>
      </c>
      <c r="Q824" s="23">
        <v>116</v>
      </c>
      <c r="R824">
        <f>INT(2206*1.3)</f>
        <v>2867</v>
      </c>
      <c r="S824">
        <v>0</v>
      </c>
      <c r="T824">
        <v>0</v>
      </c>
      <c r="U824">
        <v>0</v>
      </c>
      <c r="V824">
        <v>140</v>
      </c>
      <c r="W824">
        <v>0</v>
      </c>
      <c r="X824">
        <v>0</v>
      </c>
      <c r="Y824">
        <v>0</v>
      </c>
      <c r="Z824" s="20">
        <v>265</v>
      </c>
      <c r="AA824" s="19">
        <f>IFERROR(PROPERTIES[[#This Row],[TE_STARTING_KN]]/(PROPERTIES[[#This Row],[WEIGHT]]*9.81),0)</f>
        <v>0.23287286020598263</v>
      </c>
      <c r="AB824" s="19">
        <v>0</v>
      </c>
      <c r="AC824" s="16">
        <f>ROUND(IF(IFERROR(PROPERTIES[[#This Row],[TE_COEFFICIENT_CALC]],0)=0,PROPERTIES[[#This Row],[TE_COEFFICIENT_MANUAL]],PROPERTIES[[#This Row],[TE_COEFFICIENT_CALC]]),3)</f>
        <v>0.23300000000000001</v>
      </c>
      <c r="AD824" s="8" cm="1">
        <f t="array" ref="AD8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24" s="26">
        <v>0</v>
      </c>
      <c r="AF824" s="6">
        <v>0</v>
      </c>
      <c r="AG824" t="s">
        <v>230</v>
      </c>
      <c r="AH824" t="s">
        <v>1948</v>
      </c>
      <c r="AI824" t="s">
        <v>229</v>
      </c>
      <c r="AJ824" s="2" t="s">
        <v>229</v>
      </c>
      <c r="AK824" s="2" t="s">
        <v>244</v>
      </c>
      <c r="AL82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2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24" s="2" t="str">
        <f>SUBSTITUTE(SUBSTITUTE(PROPERTIES[[#This Row],[PURCHASECOST_VALUE]], "PURCHASECOST_", ""), "_VALUE", "")</f>
        <v>DIESELENGINE</v>
      </c>
      <c r="AO824" s="44" t="b">
        <v>0</v>
      </c>
      <c r="AP824" s="48" t="b">
        <v>0</v>
      </c>
      <c r="AQ824" s="48" t="b">
        <v>1</v>
      </c>
      <c r="AR824" s="48">
        <v>0</v>
      </c>
      <c r="AS824" s="48" t="b">
        <v>0</v>
      </c>
      <c r="AT824" s="7" t="b">
        <v>1</v>
      </c>
      <c r="AU824" s="40" t="str" cm="1">
        <f t="array" ref="AU824">_xlfn.XLOOKUP(PROPERTIES[[#This Row],[VEHIDCODE]],GRAPHICS_PROPERTIES[VEHIDCODE],GRAPHICS_PROPERTIES[TEMPLATE_ID]&amp;GRAPHICS_PROPERTIES[TEMPLATE_AMENDMENT_CODE])</f>
        <v>TPL_01A</v>
      </c>
    </row>
    <row r="825" spans="1:47" x14ac:dyDescent="0.35">
      <c r="A825" t="s">
        <v>3291</v>
      </c>
      <c r="B825">
        <v>1995</v>
      </c>
      <c r="D825" cm="1">
        <f t="array" ref="D8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25" s="40" t="str">
        <f>_xlfn.XLOOKUP(PROPERTIES[[#This Row],[VEHIDCODE]],CONTROL[VEHIDCODE],CONTROL[ENGLISH])</f>
        <v>GE AC6044CW</v>
      </c>
      <c r="F825" t="s">
        <v>757</v>
      </c>
      <c r="G825" s="40" t="str">
        <f>_xlfn.XLOOKUP(PROPERTIES[[#This Row],[COUNTRY]],COUNTRIES[COUNTRY_DESCRIPTION],COUNTRIES[COUNTRY_LABEL],"")</f>
        <v>US</v>
      </c>
      <c r="H825" t="str" cm="1">
        <f t="array" ref="H8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25" t="s">
        <v>17</v>
      </c>
      <c r="J825">
        <v>0</v>
      </c>
      <c r="K825">
        <v>8</v>
      </c>
      <c r="M825" t="str" cm="1">
        <f t="array" ref="M8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25">
        <f>_xlfn.XLOOKUP("LOADINGSPEEDDEF_"&amp;PROPERTIES[[#This Row],[LOADINGSPEED]],LOADINGSPEEDDEF[TYPE],LOADINGSPEEDDEF[SPEED])</f>
        <v>20</v>
      </c>
      <c r="O825" t="str" cm="1">
        <f t="array" ref="O8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25">
        <f>IF(ISNUMBER(SEARCH("passenger",PROPERTIES[[#This Row],[CARGODEF]])),1,0)</f>
        <v>0</v>
      </c>
      <c r="Q825" s="23">
        <v>196</v>
      </c>
      <c r="R825">
        <v>6000</v>
      </c>
      <c r="S825">
        <v>0</v>
      </c>
      <c r="T825">
        <v>0</v>
      </c>
      <c r="U825">
        <v>0</v>
      </c>
      <c r="V825">
        <v>120</v>
      </c>
      <c r="W825">
        <v>0</v>
      </c>
      <c r="X825">
        <v>0</v>
      </c>
      <c r="Y825">
        <v>0</v>
      </c>
      <c r="Z825" s="20">
        <v>840</v>
      </c>
      <c r="AA825" s="20">
        <f>IFERROR(PROPERTIES[[#This Row],[TE_STARTING_KN]]/(PROPERTIES[[#This Row],[WEIGHT]]*9.81),0)</f>
        <v>0.43687199650502401</v>
      </c>
      <c r="AB825" s="20">
        <v>0</v>
      </c>
      <c r="AC825" s="16">
        <f>ROUND(IF(IFERROR(PROPERTIES[[#This Row],[TE_COEFFICIENT_CALC]],0)=0,PROPERTIES[[#This Row],[TE_COEFFICIENT_MANUAL]],PROPERTIES[[#This Row],[TE_COEFFICIENT_CALC]]),3)</f>
        <v>0.437</v>
      </c>
      <c r="AD825" s="8" cm="1">
        <f t="array" ref="AD8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25" s="26">
        <v>0</v>
      </c>
      <c r="AF825" s="6">
        <v>1</v>
      </c>
      <c r="AG825" t="s">
        <v>240</v>
      </c>
      <c r="AH825" t="s">
        <v>232</v>
      </c>
      <c r="AI825" t="s">
        <v>229</v>
      </c>
      <c r="AJ825" s="2" t="s">
        <v>229</v>
      </c>
      <c r="AK825" s="2" t="s">
        <v>244</v>
      </c>
      <c r="AL82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2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25" s="2" t="str">
        <f>SUBSTITUTE(SUBSTITUTE(PROPERTIES[[#This Row],[PURCHASECOST_VALUE]], "PURCHASECOST_", ""), "_VALUE", "")</f>
        <v>DIESELENGINE</v>
      </c>
      <c r="AO825" s="44" t="b">
        <v>0</v>
      </c>
      <c r="AP825" s="48" t="b">
        <v>0</v>
      </c>
      <c r="AQ825" s="48" t="b">
        <v>1</v>
      </c>
      <c r="AR825" s="48">
        <v>0</v>
      </c>
      <c r="AS825" s="48" t="b">
        <v>0</v>
      </c>
      <c r="AT825" s="7" t="b">
        <v>1</v>
      </c>
      <c r="AU825" s="40" t="str" cm="1">
        <f t="array" ref="AU825">_xlfn.XLOOKUP(PROPERTIES[[#This Row],[VEHIDCODE]],GRAPHICS_PROPERTIES[VEHIDCODE],GRAPHICS_PROPERTIES[TEMPLATE_ID]&amp;GRAPHICS_PROPERTIES[TEMPLATE_AMENDMENT_CODE])</f>
        <v>TPL_16A</v>
      </c>
    </row>
    <row r="826" spans="1:47" x14ac:dyDescent="0.35">
      <c r="A826" s="2" t="s">
        <v>3609</v>
      </c>
      <c r="B826">
        <v>1995</v>
      </c>
      <c r="D826" cm="1">
        <f t="array" ref="D8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26" s="40" t="str">
        <f>_xlfn.XLOOKUP(PROPERTIES[[#This Row],[VEHIDCODE]],CONTROL[VEHIDCODE],CONTROL[ENGLISH])</f>
        <v>GE AC6000CW</v>
      </c>
      <c r="F826" t="s">
        <v>757</v>
      </c>
      <c r="G826" s="40" t="str">
        <f>_xlfn.XLOOKUP(PROPERTIES[[#This Row],[COUNTRY]],COUNTRIES[COUNTRY_DESCRIPTION],COUNTRIES[COUNTRY_LABEL],"")</f>
        <v>US</v>
      </c>
      <c r="H826" t="str" cm="1">
        <f t="array" ref="H8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26" t="s">
        <v>17</v>
      </c>
      <c r="J826">
        <v>0</v>
      </c>
      <c r="K826">
        <v>8</v>
      </c>
      <c r="M826" t="str" cm="1">
        <f t="array" ref="M8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26">
        <f>_xlfn.XLOOKUP("LOADINGSPEEDDEF_"&amp;PROPERTIES[[#This Row],[LOADINGSPEED]],LOADINGSPEEDDEF[TYPE],LOADINGSPEEDDEF[SPEED])</f>
        <v>20</v>
      </c>
      <c r="O826" t="str" cm="1">
        <f t="array" ref="O8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26">
        <f>IF(ISNUMBER(SEARCH("passenger",PROPERTIES[[#This Row],[CARGODEF]])),1,0)</f>
        <v>0</v>
      </c>
      <c r="Q826" s="23">
        <v>196</v>
      </c>
      <c r="R826">
        <v>6000</v>
      </c>
      <c r="S826">
        <v>0</v>
      </c>
      <c r="T826">
        <v>0</v>
      </c>
      <c r="U826">
        <v>0</v>
      </c>
      <c r="V826">
        <v>120</v>
      </c>
      <c r="W826">
        <v>0</v>
      </c>
      <c r="X826">
        <v>0</v>
      </c>
      <c r="Y826">
        <v>0</v>
      </c>
      <c r="Z826" s="20">
        <v>840</v>
      </c>
      <c r="AA826" s="20">
        <f>IFERROR(PROPERTIES[[#This Row],[TE_STARTING_KN]]/(PROPERTIES[[#This Row],[WEIGHT]]*9.81),0)</f>
        <v>0.43687199650502401</v>
      </c>
      <c r="AB826" s="20">
        <v>0</v>
      </c>
      <c r="AC826" s="16">
        <f>ROUND(IF(IFERROR(PROPERTIES[[#This Row],[TE_COEFFICIENT_CALC]],0)=0,PROPERTIES[[#This Row],[TE_COEFFICIENT_MANUAL]],PROPERTIES[[#This Row],[TE_COEFFICIENT_CALC]]),3)</f>
        <v>0.437</v>
      </c>
      <c r="AD826" s="8" cm="1">
        <f t="array" ref="AD8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26" s="26">
        <v>0</v>
      </c>
      <c r="AF826" s="6">
        <v>1</v>
      </c>
      <c r="AG826" t="s">
        <v>240</v>
      </c>
      <c r="AH826" t="s">
        <v>232</v>
      </c>
      <c r="AI826" t="s">
        <v>229</v>
      </c>
      <c r="AJ826" s="2" t="s">
        <v>229</v>
      </c>
      <c r="AK826" s="2" t="s">
        <v>244</v>
      </c>
      <c r="AL82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2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26" s="2" t="str">
        <f>SUBSTITUTE(SUBSTITUTE(PROPERTIES[[#This Row],[PURCHASECOST_VALUE]], "PURCHASECOST_", ""), "_VALUE", "")</f>
        <v>DIESELENGINE</v>
      </c>
      <c r="AO826" s="44" t="b">
        <v>0</v>
      </c>
      <c r="AP826" s="48" t="b">
        <v>0</v>
      </c>
      <c r="AQ826" s="48" t="b">
        <v>0</v>
      </c>
      <c r="AR826" s="48">
        <v>0</v>
      </c>
      <c r="AS826" s="48" t="b">
        <v>0</v>
      </c>
      <c r="AT826" s="7" t="b">
        <v>0</v>
      </c>
      <c r="AU826" s="40" t="str" cm="1">
        <f t="array" ref="AU826">_xlfn.XLOOKUP(PROPERTIES[[#This Row],[VEHIDCODE]],GRAPHICS_PROPERTIES[VEHIDCODE],GRAPHICS_PROPERTIES[TEMPLATE_ID]&amp;GRAPHICS_PROPERTIES[TEMPLATE_AMENDMENT_CODE])</f>
        <v>TPL_16A</v>
      </c>
    </row>
    <row r="827" spans="1:47" x14ac:dyDescent="0.35">
      <c r="A827" s="2" t="s">
        <v>3292</v>
      </c>
      <c r="B827">
        <v>1867</v>
      </c>
      <c r="D827" cm="1">
        <f t="array" ref="D8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27" s="40" t="str">
        <f>_xlfn.XLOOKUP(PROPERTIES[[#This Row],[VEHIDCODE]],CONTROL[VEHIDCODE],CONTROL[ENGLISH])</f>
        <v>Robert Stephenson and Co 2-2-2 192</v>
      </c>
      <c r="F827" t="s">
        <v>592</v>
      </c>
      <c r="G827" s="40" t="str">
        <f>_xlfn.XLOOKUP(PROPERTIES[[#This Row],[COUNTRY]],COUNTRIES[COUNTRY_DESCRIPTION],COUNTRIES[COUNTRY_LABEL],"")</f>
        <v>EG</v>
      </c>
      <c r="H827" t="str" cm="1">
        <f t="array" ref="H8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27" t="s">
        <v>17</v>
      </c>
      <c r="J827">
        <v>0</v>
      </c>
      <c r="K827">
        <v>4</v>
      </c>
      <c r="L827">
        <v>0</v>
      </c>
      <c r="M827" t="str" cm="1">
        <f t="array" ref="M8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27">
        <f>_xlfn.XLOOKUP("LOADINGSPEEDDEF_"&amp;PROPERTIES[[#This Row],[LOADINGSPEED]],LOADINGSPEEDDEF[TYPE],LOADINGSPEEDDEF[SPEED])</f>
        <v>20</v>
      </c>
      <c r="O827" cm="1">
        <f t="array" ref="O8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7">
        <f>IF(ISNUMBER(SEARCH("passenger",PROPERTIES[[#This Row],[CARGODEF]])),1,0)</f>
        <v>0</v>
      </c>
      <c r="Q827" s="23">
        <v>60</v>
      </c>
      <c r="R827">
        <v>495</v>
      </c>
      <c r="S827">
        <v>0</v>
      </c>
      <c r="T827">
        <v>0</v>
      </c>
      <c r="U827">
        <v>0</v>
      </c>
      <c r="V827">
        <v>95</v>
      </c>
      <c r="W827">
        <v>0</v>
      </c>
      <c r="X827">
        <v>0</v>
      </c>
      <c r="Y827">
        <v>0</v>
      </c>
      <c r="Z827" s="20">
        <v>33</v>
      </c>
      <c r="AA827" s="19">
        <f>IFERROR(PROPERTIES[[#This Row],[TE_STARTING_KN]]/(PROPERTIES[[#This Row],[WEIGHT]]*9.81),0)</f>
        <v>5.6065239551478081E-2</v>
      </c>
      <c r="AB827" s="19">
        <v>0</v>
      </c>
      <c r="AC827" s="16">
        <f>ROUND(IF(IFERROR(PROPERTIES[[#This Row],[TE_COEFFICIENT_CALC]],0)=0,PROPERTIES[[#This Row],[TE_COEFFICIENT_MANUAL]],PROPERTIES[[#This Row],[TE_COEFFICIENT_CALC]]),3)</f>
        <v>5.6000000000000001E-2</v>
      </c>
      <c r="AD827" s="8" cm="1">
        <f t="array" ref="AD8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27" s="26">
        <v>0</v>
      </c>
      <c r="AF827" s="6">
        <v>3</v>
      </c>
      <c r="AG827" t="s">
        <v>233</v>
      </c>
      <c r="AH827" t="s">
        <v>229</v>
      </c>
      <c r="AI827" t="s">
        <v>229</v>
      </c>
      <c r="AJ827" s="2" t="s">
        <v>229</v>
      </c>
      <c r="AK827" s="2" t="s">
        <v>244</v>
      </c>
      <c r="AL82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2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27" s="2" t="str">
        <f>SUBSTITUTE(SUBSTITUTE(PROPERTIES[[#This Row],[PURCHASECOST_VALUE]], "PURCHASECOST_", ""), "_VALUE", "")</f>
        <v>STEAMENGINE</v>
      </c>
      <c r="AO827" s="44" t="b">
        <v>0</v>
      </c>
      <c r="AP827" s="48" t="b">
        <v>0</v>
      </c>
      <c r="AQ827" s="48" t="b">
        <v>0</v>
      </c>
      <c r="AR827" s="48">
        <v>0</v>
      </c>
      <c r="AS827" s="48" t="b">
        <v>0</v>
      </c>
      <c r="AT827" s="7" t="b">
        <v>0</v>
      </c>
      <c r="AU827" s="40" t="str" cm="1">
        <f t="array" ref="AU827">_xlfn.XLOOKUP(PROPERTIES[[#This Row],[VEHIDCODE]],GRAPHICS_PROPERTIES[VEHIDCODE],GRAPHICS_PROPERTIES[TEMPLATE_ID]&amp;GRAPHICS_PROPERTIES[TEMPLATE_AMENDMENT_CODE])</f>
        <v>TPL_03A</v>
      </c>
    </row>
    <row r="828" spans="1:47" x14ac:dyDescent="0.35">
      <c r="A828" s="2" t="s">
        <v>3293</v>
      </c>
      <c r="B828">
        <v>1973</v>
      </c>
      <c r="C828">
        <v>2002</v>
      </c>
      <c r="D828" cm="1">
        <f t="array" ref="D8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8" s="40" t="str">
        <f>_xlfn.XLOOKUP(PROPERTIES[[#This Row],[VEHIDCODE]],CONTROL[VEHIDCODE],CONTROL[ENGLISH])</f>
        <v>Comeng/MK Hitachi Trains</v>
      </c>
      <c r="F828" t="s">
        <v>541</v>
      </c>
      <c r="G828" s="40" t="str">
        <f>_xlfn.XLOOKUP(PROPERTIES[[#This Row],[COUNTRY]],COUNTRIES[COUNTRY_DESCRIPTION],COUNTRIES[COUNTRY_LABEL],"")</f>
        <v>AU</v>
      </c>
      <c r="H828" t="str" cm="1">
        <f t="array" ref="H8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28" t="s">
        <v>22</v>
      </c>
      <c r="J828">
        <v>160</v>
      </c>
      <c r="K828">
        <v>8</v>
      </c>
      <c r="M828" t="str" cm="1">
        <f t="array" ref="M8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28">
        <f>_xlfn.XLOOKUP("LOADINGSPEEDDEF_"&amp;PROPERTIES[[#This Row],[LOADINGSPEED]],LOADINGSPEEDDEF[TYPE],LOADINGSPEEDDEF[SPEED])</f>
        <v>60</v>
      </c>
      <c r="O828" cm="1">
        <f t="array" ref="O8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8">
        <f>IF(ISNUMBER(SEARCH("passenger",PROPERTIES[[#This Row],[CARGODEF]])),1,0)</f>
        <v>1</v>
      </c>
      <c r="Q828" s="23">
        <v>40</v>
      </c>
      <c r="R828">
        <v>2400</v>
      </c>
      <c r="S828">
        <v>0</v>
      </c>
      <c r="T828">
        <v>0</v>
      </c>
      <c r="U828">
        <v>0</v>
      </c>
      <c r="V828">
        <v>116</v>
      </c>
      <c r="W828">
        <v>0</v>
      </c>
      <c r="X828">
        <v>0</v>
      </c>
      <c r="Y828">
        <v>0</v>
      </c>
      <c r="Z828" s="20">
        <v>0</v>
      </c>
      <c r="AA828" s="20">
        <f>IFERROR(PROPERTIES[[#This Row],[TE_STARTING_KN]]/(PROPERTIES[[#This Row],[WEIGHT]]*9.81),0)</f>
        <v>0</v>
      </c>
      <c r="AB828" s="20">
        <v>0.3</v>
      </c>
      <c r="AC828" s="16">
        <f>ROUND(IF(IFERROR(PROPERTIES[[#This Row],[TE_COEFFICIENT_CALC]],0)=0,PROPERTIES[[#This Row],[TE_COEFFICIENT_MANUAL]],PROPERTIES[[#This Row],[TE_COEFFICIENT_CALC]]),3)</f>
        <v>0.3</v>
      </c>
      <c r="AD828" s="8" cm="1">
        <f t="array" ref="AD8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28" s="26">
        <v>160</v>
      </c>
      <c r="AF828" s="6">
        <v>8</v>
      </c>
      <c r="AG828" t="s">
        <v>232</v>
      </c>
      <c r="AH828" t="s">
        <v>229</v>
      </c>
      <c r="AI828" t="s">
        <v>229</v>
      </c>
      <c r="AJ828" s="2" t="s">
        <v>229</v>
      </c>
      <c r="AK828" s="2" t="s">
        <v>244</v>
      </c>
      <c r="AL82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2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28" s="2" t="str">
        <f>SUBSTITUTE(SUBSTITUTE(PROPERTIES[[#This Row],[PURCHASECOST_VALUE]], "PURCHASECOST_", ""), "_VALUE", "")</f>
        <v>EMU</v>
      </c>
      <c r="AO828" s="44" t="b">
        <v>0</v>
      </c>
      <c r="AP828" s="48" t="b">
        <v>0</v>
      </c>
      <c r="AQ828" s="48" t="b">
        <v>0</v>
      </c>
      <c r="AR828" s="48">
        <v>0</v>
      </c>
      <c r="AS828" s="48" t="b">
        <v>0</v>
      </c>
      <c r="AT828" s="7" t="b">
        <v>0</v>
      </c>
      <c r="AU828" s="40" t="str" cm="1">
        <f t="array" ref="AU828">_xlfn.XLOOKUP(PROPERTIES[[#This Row],[VEHIDCODE]],GRAPHICS_PROPERTIES[VEHIDCODE],GRAPHICS_PROPERTIES[TEMPLATE_ID]&amp;GRAPHICS_PROPERTIES[TEMPLATE_AMENDMENT_CODE])</f>
        <v>TPL_02A</v>
      </c>
    </row>
    <row r="829" spans="1:47" x14ac:dyDescent="0.35">
      <c r="A829" s="2" t="s">
        <v>3294</v>
      </c>
      <c r="B829">
        <v>1956</v>
      </c>
      <c r="C829">
        <v>1991</v>
      </c>
      <c r="D829" cm="1">
        <f t="array" ref="D8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9" s="40" t="str">
        <f>_xlfn.XLOOKUP(PROPERTIES[[#This Row],[VEHIDCODE]],CONTROL[VEHIDCODE],CONTROL[ENGLISH])</f>
        <v>GRC&amp;W Harris Trains</v>
      </c>
      <c r="F829" t="s">
        <v>541</v>
      </c>
      <c r="G829" s="40" t="str">
        <f>_xlfn.XLOOKUP(PROPERTIES[[#This Row],[COUNTRY]],COUNTRIES[COUNTRY_DESCRIPTION],COUNTRIES[COUNTRY_LABEL],"")</f>
        <v>AU</v>
      </c>
      <c r="H829" t="str" cm="1">
        <f t="array" ref="H8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29" t="s">
        <v>22</v>
      </c>
      <c r="J829">
        <v>101</v>
      </c>
      <c r="K829">
        <v>8</v>
      </c>
      <c r="M829" t="str" cm="1">
        <f t="array" ref="M8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29">
        <f>_xlfn.XLOOKUP("LOADINGSPEEDDEF_"&amp;PROPERTIES[[#This Row],[LOADINGSPEED]],LOADINGSPEEDDEF[TYPE],LOADINGSPEEDDEF[SPEED])</f>
        <v>60</v>
      </c>
      <c r="O829" cm="1">
        <f t="array" ref="O8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9">
        <f>IF(ISNUMBER(SEARCH("passenger",PROPERTIES[[#This Row],[CARGODEF]])),1,0)</f>
        <v>1</v>
      </c>
      <c r="Q829" s="23">
        <v>46</v>
      </c>
      <c r="R829">
        <v>808</v>
      </c>
      <c r="S829">
        <v>0</v>
      </c>
      <c r="T829">
        <v>0</v>
      </c>
      <c r="U829">
        <v>0</v>
      </c>
      <c r="V829">
        <v>113</v>
      </c>
      <c r="W829">
        <v>0</v>
      </c>
      <c r="X829">
        <v>0</v>
      </c>
      <c r="Y829">
        <v>0</v>
      </c>
      <c r="Z829" s="20">
        <v>0</v>
      </c>
      <c r="AA829" s="20">
        <f>IFERROR(PROPERTIES[[#This Row],[TE_STARTING_KN]]/(PROPERTIES[[#This Row],[WEIGHT]]*9.81),0)</f>
        <v>0</v>
      </c>
      <c r="AB829" s="20">
        <v>0.3</v>
      </c>
      <c r="AC829" s="16">
        <f>ROUND(IF(IFERROR(PROPERTIES[[#This Row],[TE_COEFFICIENT_CALC]],0)=0,PROPERTIES[[#This Row],[TE_COEFFICIENT_MANUAL]],PROPERTIES[[#This Row],[TE_COEFFICIENT_CALC]]),3)</f>
        <v>0.3</v>
      </c>
      <c r="AD829" s="8" cm="1">
        <f t="array" ref="AD8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29" s="26">
        <v>100</v>
      </c>
      <c r="AF829" s="6">
        <v>8</v>
      </c>
      <c r="AG829" t="s">
        <v>232</v>
      </c>
      <c r="AH829" t="s">
        <v>229</v>
      </c>
      <c r="AI829" t="s">
        <v>229</v>
      </c>
      <c r="AJ829" s="2" t="s">
        <v>229</v>
      </c>
      <c r="AK829" s="2" t="s">
        <v>244</v>
      </c>
      <c r="AL82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2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29" s="2" t="str">
        <f>SUBSTITUTE(SUBSTITUTE(PROPERTIES[[#This Row],[PURCHASECOST_VALUE]], "PURCHASECOST_", ""), "_VALUE", "")</f>
        <v>EMU</v>
      </c>
      <c r="AO829" s="44" t="b">
        <v>0</v>
      </c>
      <c r="AP829" s="48" t="b">
        <v>0</v>
      </c>
      <c r="AQ829" s="48" t="b">
        <v>0</v>
      </c>
      <c r="AR829" s="48">
        <v>0</v>
      </c>
      <c r="AS829" s="48" t="b">
        <v>0</v>
      </c>
      <c r="AT829" s="7" t="b">
        <v>0</v>
      </c>
      <c r="AU829" s="40" t="str" cm="1">
        <f t="array" ref="AU829">_xlfn.XLOOKUP(PROPERTIES[[#This Row],[VEHIDCODE]],GRAPHICS_PROPERTIES[VEHIDCODE],GRAPHICS_PROPERTIES[TEMPLATE_ID]&amp;GRAPHICS_PROPERTIES[TEMPLATE_AMENDMENT_CODE])</f>
        <v>TPL_02A</v>
      </c>
    </row>
    <row r="830" spans="1:47" x14ac:dyDescent="0.35">
      <c r="A830" s="2" t="s">
        <v>3295</v>
      </c>
      <c r="B830">
        <v>2023</v>
      </c>
      <c r="D830" cm="1">
        <f t="array" ref="D8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30" s="40" t="str">
        <f>_xlfn.XLOOKUP(PROPERTIES[[#This Row],[VEHIDCODE]],CONTROL[VEHIDCODE],CONTROL[ENGLISH])</f>
        <v>Siemens Nexas</v>
      </c>
      <c r="F830" t="s">
        <v>541</v>
      </c>
      <c r="G830" s="40" t="str">
        <f>_xlfn.XLOOKUP(PROPERTIES[[#This Row],[COUNTRY]],COUNTRIES[COUNTRY_DESCRIPTION],COUNTRIES[COUNTRY_LABEL],"")</f>
        <v>AU</v>
      </c>
      <c r="H830" t="str" cm="1">
        <f t="array" ref="H8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30" t="s">
        <v>22</v>
      </c>
      <c r="J830">
        <v>142</v>
      </c>
      <c r="K830">
        <v>8</v>
      </c>
      <c r="M830" t="str" cm="1">
        <f t="array" ref="M8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30">
        <f>_xlfn.XLOOKUP("LOADINGSPEEDDEF_"&amp;PROPERTIES[[#This Row],[LOADINGSPEED]],LOADINGSPEEDDEF[TYPE],LOADINGSPEEDDEF[SPEED])</f>
        <v>60</v>
      </c>
      <c r="O830" t="str" cm="1">
        <f t="array" ref="O8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30">
        <f>IF(ISNUMBER(SEARCH("passenger",PROPERTIES[[#This Row],[CARGODEF]])),1,0)</f>
        <v>1</v>
      </c>
      <c r="Q830" s="23">
        <v>40</v>
      </c>
      <c r="R830">
        <v>1286</v>
      </c>
      <c r="S830">
        <v>0</v>
      </c>
      <c r="T830">
        <v>0</v>
      </c>
      <c r="U830">
        <v>0</v>
      </c>
      <c r="V830">
        <v>145</v>
      </c>
      <c r="W830">
        <v>0</v>
      </c>
      <c r="X830">
        <v>0</v>
      </c>
      <c r="Y830">
        <v>0</v>
      </c>
      <c r="Z830" s="20">
        <v>0</v>
      </c>
      <c r="AA830" s="20">
        <f>IFERROR(PROPERTIES[[#This Row],[TE_STARTING_KN]]/(PROPERTIES[[#This Row],[WEIGHT]]*9.81),0)</f>
        <v>0</v>
      </c>
      <c r="AB830" s="20">
        <v>0.3</v>
      </c>
      <c r="AC830" s="16">
        <f>ROUND(IF(IFERROR(PROPERTIES[[#This Row],[TE_COEFFICIENT_CALC]],0)=0,PROPERTIES[[#This Row],[TE_COEFFICIENT_MANUAL]],PROPERTIES[[#This Row],[TE_COEFFICIENT_CALC]]),3)</f>
        <v>0.3</v>
      </c>
      <c r="AD830" s="8" cm="1">
        <f t="array" ref="AD8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830" s="26">
        <v>140</v>
      </c>
      <c r="AF830" s="6">
        <v>8</v>
      </c>
      <c r="AG830" t="s">
        <v>232</v>
      </c>
      <c r="AH830" t="s">
        <v>229</v>
      </c>
      <c r="AI830" t="s">
        <v>229</v>
      </c>
      <c r="AJ830" s="2" t="s">
        <v>229</v>
      </c>
      <c r="AK830" s="2" t="s">
        <v>244</v>
      </c>
      <c r="AL83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3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30" s="2" t="str">
        <f>SUBSTITUTE(SUBSTITUTE(PROPERTIES[[#This Row],[PURCHASECOST_VALUE]], "PURCHASECOST_", ""), "_VALUE", "")</f>
        <v>EMU</v>
      </c>
      <c r="AO830" s="44" t="b">
        <v>0</v>
      </c>
      <c r="AP830" s="48" t="b">
        <v>0</v>
      </c>
      <c r="AQ830" s="48" t="b">
        <v>0</v>
      </c>
      <c r="AR830" s="48">
        <v>0</v>
      </c>
      <c r="AS830" s="48" t="b">
        <v>0</v>
      </c>
      <c r="AT830" s="7" t="b">
        <v>0</v>
      </c>
      <c r="AU830" s="40" t="str" cm="1">
        <f t="array" ref="AU830">_xlfn.XLOOKUP(PROPERTIES[[#This Row],[VEHIDCODE]],GRAPHICS_PROPERTIES[VEHIDCODE],GRAPHICS_PROPERTIES[TEMPLATE_ID]&amp;GRAPHICS_PROPERTIES[TEMPLATE_AMENDMENT_CODE])</f>
        <v>TPL_02A</v>
      </c>
    </row>
    <row r="831" spans="1:47" x14ac:dyDescent="0.35">
      <c r="A831" s="2" t="s">
        <v>3296</v>
      </c>
      <c r="B831">
        <v>1919</v>
      </c>
      <c r="C831">
        <v>1984</v>
      </c>
      <c r="D831" cm="1">
        <f t="array" ref="D8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31" s="40" t="str">
        <f>_xlfn.XLOOKUP(PROPERTIES[[#This Row],[VEHIDCODE]],CONTROL[VEHIDCODE],CONTROL[ENGLISH])</f>
        <v>Victorian Railways Tait Trains</v>
      </c>
      <c r="F831" t="s">
        <v>541</v>
      </c>
      <c r="G831" s="40" t="str">
        <f>_xlfn.XLOOKUP(PROPERTIES[[#This Row],[COUNTRY]],COUNTRIES[COUNTRY_DESCRIPTION],COUNTRIES[COUNTRY_LABEL],"")</f>
        <v>AU</v>
      </c>
      <c r="H831" t="str" cm="1">
        <f t="array" ref="H8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31" t="s">
        <v>22</v>
      </c>
      <c r="J831">
        <v>72</v>
      </c>
      <c r="K831">
        <v>8</v>
      </c>
      <c r="M831" t="str" cm="1">
        <f t="array" ref="M8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31">
        <f>_xlfn.XLOOKUP("LOADINGSPEEDDEF_"&amp;PROPERTIES[[#This Row],[LOADINGSPEED]],LOADINGSPEEDDEF[TYPE],LOADINGSPEEDDEF[SPEED])</f>
        <v>60</v>
      </c>
      <c r="O831" cm="1">
        <f t="array" ref="O8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1">
        <f>IF(ISNUMBER(SEARCH("passenger",PROPERTIES[[#This Row],[CARGODEF]])),1,0)</f>
        <v>1</v>
      </c>
      <c r="Q831" s="23">
        <v>35</v>
      </c>
      <c r="R831">
        <v>282</v>
      </c>
      <c r="S831">
        <v>0</v>
      </c>
      <c r="T831">
        <v>0</v>
      </c>
      <c r="U831">
        <v>0</v>
      </c>
      <c r="V831">
        <v>80</v>
      </c>
      <c r="W831">
        <v>0</v>
      </c>
      <c r="X831">
        <v>0</v>
      </c>
      <c r="Y831">
        <v>0</v>
      </c>
      <c r="Z831" s="20">
        <v>0</v>
      </c>
      <c r="AA831" s="20">
        <f>IFERROR(PROPERTIES[[#This Row],[TE_STARTING_KN]]/(PROPERTIES[[#This Row],[WEIGHT]]*9.81),0)</f>
        <v>0</v>
      </c>
      <c r="AB831" s="20">
        <v>0.2</v>
      </c>
      <c r="AC831" s="16">
        <f>ROUND(IF(IFERROR(PROPERTIES[[#This Row],[TE_COEFFICIENT_CALC]],0)=0,PROPERTIES[[#This Row],[TE_COEFFICIENT_MANUAL]],PROPERTIES[[#This Row],[TE_COEFFICIENT_CALC]]),3)</f>
        <v>0.2</v>
      </c>
      <c r="AD831" s="8" cm="1">
        <f t="array" ref="AD8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65</v>
      </c>
      <c r="AE831" s="26">
        <v>72</v>
      </c>
      <c r="AF831" s="6">
        <v>8</v>
      </c>
      <c r="AG831" t="s">
        <v>232</v>
      </c>
      <c r="AH831" t="s">
        <v>229</v>
      </c>
      <c r="AI831" t="s">
        <v>229</v>
      </c>
      <c r="AJ831" s="2" t="s">
        <v>229</v>
      </c>
      <c r="AK831" s="2" t="s">
        <v>244</v>
      </c>
      <c r="AL83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3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31" s="2" t="str">
        <f>SUBSTITUTE(SUBSTITUTE(PROPERTIES[[#This Row],[PURCHASECOST_VALUE]], "PURCHASECOST_", ""), "_VALUE", "")</f>
        <v>EMU</v>
      </c>
      <c r="AO831" s="44" t="b">
        <v>0</v>
      </c>
      <c r="AP831" s="48" t="b">
        <v>0</v>
      </c>
      <c r="AQ831" s="48" t="b">
        <v>0</v>
      </c>
      <c r="AR831" s="48">
        <v>0</v>
      </c>
      <c r="AS831" s="48" t="b">
        <v>0</v>
      </c>
      <c r="AT831" s="7" t="b">
        <v>0</v>
      </c>
      <c r="AU831" s="40" t="str" cm="1">
        <f t="array" ref="AU831">_xlfn.XLOOKUP(PROPERTIES[[#This Row],[VEHIDCODE]],GRAPHICS_PROPERTIES[VEHIDCODE],GRAPHICS_PROPERTIES[TEMPLATE_ID]&amp;GRAPHICS_PROPERTIES[TEMPLATE_AMENDMENT_CODE])</f>
        <v>TPL_02A</v>
      </c>
    </row>
    <row r="832" spans="1:47" x14ac:dyDescent="0.35">
      <c r="A832" s="2" t="s">
        <v>3297</v>
      </c>
      <c r="B832">
        <v>1973</v>
      </c>
      <c r="C832">
        <v>2004</v>
      </c>
      <c r="D832" cm="1">
        <f t="array" ref="D8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32" s="40" t="str">
        <f>_xlfn.XLOOKUP(PROPERTIES[[#This Row],[VEHIDCODE]],CONTROL[VEHIDCODE],CONTROL[ENGLISH])</f>
        <v>ABB Henschel Berlin BVG F74</v>
      </c>
      <c r="F832" t="s">
        <v>584</v>
      </c>
      <c r="G832" s="40" t="str">
        <f>_xlfn.XLOOKUP(PROPERTIES[[#This Row],[COUNTRY]],COUNTRIES[COUNTRY_DESCRIPTION],COUNTRIES[COUNTRY_LABEL],"")</f>
        <v>DE</v>
      </c>
      <c r="H832" t="str" cm="1">
        <f t="array" ref="H8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32" t="s">
        <v>22</v>
      </c>
      <c r="J832">
        <f>234/2</f>
        <v>117</v>
      </c>
      <c r="K832">
        <v>8</v>
      </c>
      <c r="M832" t="str" cm="1">
        <f t="array" ref="M8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32">
        <f>_xlfn.XLOOKUP("LOADINGSPEEDDEF_"&amp;PROPERTIES[[#This Row],[LOADINGSPEED]],LOADINGSPEEDDEF[TYPE],LOADINGSPEEDDEF[SPEED])</f>
        <v>120</v>
      </c>
      <c r="O832" cm="1">
        <f t="array" ref="O8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2">
        <f>IF(ISNUMBER(SEARCH("passenger",PROPERTIES[[#This Row],[CARGODEF]])),1,0)</f>
        <v>1</v>
      </c>
      <c r="Q832" s="23">
        <v>38</v>
      </c>
      <c r="R832">
        <f>540*1.3</f>
        <v>702</v>
      </c>
      <c r="S832">
        <v>0</v>
      </c>
      <c r="T832">
        <v>0</v>
      </c>
      <c r="U832">
        <v>0</v>
      </c>
      <c r="V832">
        <v>72</v>
      </c>
      <c r="W832">
        <v>0</v>
      </c>
      <c r="X832">
        <v>0</v>
      </c>
      <c r="Y832">
        <v>0</v>
      </c>
      <c r="Z832" s="20">
        <v>0</v>
      </c>
      <c r="AA832" s="19">
        <f>IFERROR(PROPERTIES[[#This Row],[TE_STARTING_KN]]/(PROPERTIES[[#This Row],[WEIGHT]]*9.81),0)</f>
        <v>0</v>
      </c>
      <c r="AB832" s="19">
        <v>0.25</v>
      </c>
      <c r="AC832" s="16">
        <f>ROUND(IF(IFERROR(PROPERTIES[[#This Row],[TE_COEFFICIENT_CALC]],0)=0,PROPERTIES[[#This Row],[TE_COEFFICIENT_MANUAL]],PROPERTIES[[#This Row],[TE_COEFFICIENT_CALC]]),3)</f>
        <v>0.25</v>
      </c>
      <c r="AD832" s="8" cm="1">
        <f t="array" ref="AD8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32" s="26">
        <v>117</v>
      </c>
      <c r="AF832" s="6">
        <v>8</v>
      </c>
      <c r="AG832" t="s">
        <v>230</v>
      </c>
      <c r="AH832" t="s">
        <v>229</v>
      </c>
      <c r="AI832" t="s">
        <v>229</v>
      </c>
      <c r="AJ832" s="2" t="s">
        <v>229</v>
      </c>
      <c r="AK832" s="2" t="s">
        <v>244</v>
      </c>
      <c r="AL83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3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32" s="2" t="str">
        <f>SUBSTITUTE(SUBSTITUTE(PROPERTIES[[#This Row],[PURCHASECOST_VALUE]], "PURCHASECOST_", ""), "_VALUE", "")</f>
        <v>METRO</v>
      </c>
      <c r="AO832" s="44" t="b">
        <v>0</v>
      </c>
      <c r="AP832" s="48" t="b">
        <v>0</v>
      </c>
      <c r="AQ832" s="48" t="b">
        <v>0</v>
      </c>
      <c r="AR832" s="48">
        <v>0</v>
      </c>
      <c r="AS832" s="48" t="b">
        <v>0</v>
      </c>
      <c r="AT832" s="7" t="b">
        <v>0</v>
      </c>
      <c r="AU832" s="40" t="str" cm="1">
        <f t="array" ref="AU832">_xlfn.XLOOKUP(PROPERTIES[[#This Row],[VEHIDCODE]],GRAPHICS_PROPERTIES[VEHIDCODE],GRAPHICS_PROPERTIES[TEMPLATE_ID]&amp;GRAPHICS_PROPERTIES[TEMPLATE_AMENDMENT_CODE])</f>
        <v>TPL_02C</v>
      </c>
    </row>
    <row r="833" spans="1:47" x14ac:dyDescent="0.35">
      <c r="A833" s="2" t="s">
        <v>3298</v>
      </c>
      <c r="B833">
        <v>1996</v>
      </c>
      <c r="D833" cm="1">
        <f t="array" ref="D8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33" s="40" t="str">
        <f>_xlfn.XLOOKUP(PROPERTIES[[#This Row],[VEHIDCODE]],CONTROL[VEHIDCODE],CONTROL[ENGLISH])</f>
        <v>Adtranz Berlin BVG H</v>
      </c>
      <c r="F833" t="s">
        <v>584</v>
      </c>
      <c r="G833" s="40" t="str">
        <f>_xlfn.XLOOKUP(PROPERTIES[[#This Row],[COUNTRY]],COUNTRIES[COUNTRY_DESCRIPTION],COUNTRIES[COUNTRY_LABEL],"")</f>
        <v>DE</v>
      </c>
      <c r="H833" t="str" cm="1">
        <f t="array" ref="H8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33" t="s">
        <v>22</v>
      </c>
      <c r="J833">
        <f>INT((168+580)/6)</f>
        <v>124</v>
      </c>
      <c r="K833">
        <v>8</v>
      </c>
      <c r="M833" t="str" cm="1">
        <f t="array" ref="M8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33">
        <f>_xlfn.XLOOKUP("LOADINGSPEEDDEF_"&amp;PROPERTIES[[#This Row],[LOADINGSPEED]],LOADINGSPEEDDEF[TYPE],LOADINGSPEEDDEF[SPEED])</f>
        <v>120</v>
      </c>
      <c r="O833" t="str" cm="1">
        <f t="array" ref="O8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33">
        <f>IF(ISNUMBER(SEARCH("passenger",PROPERTIES[[#This Row],[CARGODEF]])),1,0)</f>
        <v>1</v>
      </c>
      <c r="Q833" s="23">
        <f>INT(228/6)</f>
        <v>38</v>
      </c>
      <c r="R833">
        <v>2900</v>
      </c>
      <c r="S833">
        <v>0</v>
      </c>
      <c r="T833">
        <v>0</v>
      </c>
      <c r="U833">
        <v>0</v>
      </c>
      <c r="V833">
        <v>80</v>
      </c>
      <c r="W833">
        <v>0</v>
      </c>
      <c r="X833">
        <v>0</v>
      </c>
      <c r="Y833">
        <v>0</v>
      </c>
      <c r="Z833" s="20">
        <v>0</v>
      </c>
      <c r="AA833" s="20">
        <f>IFERROR(PROPERTIES[[#This Row],[TE_STARTING_KN]]/(PROPERTIES[[#This Row],[WEIGHT]]*9.81),0)</f>
        <v>0</v>
      </c>
      <c r="AB833" s="20">
        <v>0.3</v>
      </c>
      <c r="AC833" s="16">
        <f>ROUND(IF(IFERROR(PROPERTIES[[#This Row],[TE_COEFFICIENT_CALC]],0)=0,PROPERTIES[[#This Row],[TE_COEFFICIENT_MANUAL]],PROPERTIES[[#This Row],[TE_COEFFICIENT_CALC]]),3)</f>
        <v>0.3</v>
      </c>
      <c r="AD833" s="27" cm="1">
        <f t="array" ref="AD8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33" s="35">
        <f>INT((168+580)/6)</f>
        <v>124</v>
      </c>
      <c r="AF833" s="6">
        <v>8</v>
      </c>
      <c r="AG833" t="s">
        <v>230</v>
      </c>
      <c r="AH833" t="s">
        <v>229</v>
      </c>
      <c r="AI833" t="s">
        <v>229</v>
      </c>
      <c r="AJ833" s="2" t="s">
        <v>229</v>
      </c>
      <c r="AK833" s="2" t="s">
        <v>244</v>
      </c>
      <c r="AL83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3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33" s="2" t="str">
        <f>SUBSTITUTE(SUBSTITUTE(PROPERTIES[[#This Row],[PURCHASECOST_VALUE]], "PURCHASECOST_", ""), "_VALUE", "")</f>
        <v>METRO</v>
      </c>
      <c r="AO833" s="44" t="b">
        <v>0</v>
      </c>
      <c r="AP833" s="48" t="b">
        <v>0</v>
      </c>
      <c r="AQ833" s="48" t="b">
        <v>0</v>
      </c>
      <c r="AR833" s="48">
        <v>0</v>
      </c>
      <c r="AS833" s="48" t="b">
        <v>0</v>
      </c>
      <c r="AT833" s="7" t="b">
        <v>0</v>
      </c>
      <c r="AU833" s="40" t="str" cm="1">
        <f t="array" ref="AU833">_xlfn.XLOOKUP(PROPERTIES[[#This Row],[VEHIDCODE]],GRAPHICS_PROPERTIES[VEHIDCODE],GRAPHICS_PROPERTIES[TEMPLATE_ID]&amp;GRAPHICS_PROPERTIES[TEMPLATE_AMENDMENT_CODE])</f>
        <v>TPL_02C</v>
      </c>
    </row>
    <row r="834" spans="1:47" x14ac:dyDescent="0.35">
      <c r="A834" s="2" t="s">
        <v>3299</v>
      </c>
      <c r="B834">
        <v>1875</v>
      </c>
      <c r="C834">
        <v>1902</v>
      </c>
      <c r="D834" cm="1">
        <f t="array" ref="D8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4" s="40" t="str">
        <f>_xlfn.XLOOKUP(PROPERTIES[[#This Row],[VEHIDCODE]],CONTROL[VEHIDCODE],CONTROL[ENGLISH])</f>
        <v>LB&amp;SCR BRW 0-6-0T 'A1'</v>
      </c>
      <c r="F834" t="s">
        <v>603</v>
      </c>
      <c r="G834" s="40" t="str">
        <f>_xlfn.XLOOKUP(PROPERTIES[[#This Row],[COUNTRY]],COUNTRIES[COUNTRY_DESCRIPTION],COUNTRIES[COUNTRY_LABEL],"")</f>
        <v>GB</v>
      </c>
      <c r="H834" t="str" cm="1">
        <f t="array" ref="H8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4" t="s">
        <v>17</v>
      </c>
      <c r="J834">
        <v>0</v>
      </c>
      <c r="K834">
        <v>5</v>
      </c>
      <c r="L834">
        <v>0</v>
      </c>
      <c r="M834" t="str" cm="1">
        <f t="array" ref="M8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4">
        <f>_xlfn.XLOOKUP("LOADINGSPEEDDEF_"&amp;PROPERTIES[[#This Row],[LOADINGSPEED]],LOADINGSPEEDDEF[TYPE],LOADINGSPEEDDEF[SPEED])</f>
        <v>20</v>
      </c>
      <c r="O834" cm="1">
        <f t="array" ref="O8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4">
        <f>IF(ISNUMBER(SEARCH("passenger",PROPERTIES[[#This Row],[CARGODEF]])),1,0)</f>
        <v>0</v>
      </c>
      <c r="Q834" s="23">
        <v>28</v>
      </c>
      <c r="R834">
        <v>250</v>
      </c>
      <c r="S834">
        <v>0</v>
      </c>
      <c r="T834">
        <v>0</v>
      </c>
      <c r="U834">
        <v>0</v>
      </c>
      <c r="V834">
        <v>70</v>
      </c>
      <c r="W834">
        <v>0</v>
      </c>
      <c r="X834">
        <v>0</v>
      </c>
      <c r="Y834">
        <v>0</v>
      </c>
      <c r="Z834" s="20">
        <v>34</v>
      </c>
      <c r="AA834" s="20">
        <f>IFERROR(PROPERTIES[[#This Row],[TE_STARTING_KN]]/(PROPERTIES[[#This Row],[WEIGHT]]*9.81),0)</f>
        <v>0.12378039900975681</v>
      </c>
      <c r="AB834" s="20">
        <v>0</v>
      </c>
      <c r="AC834" s="16">
        <f>ROUND(IF(IFERROR(PROPERTIES[[#This Row],[TE_COEFFICIENT_CALC]],0)=0,PROPERTIES[[#This Row],[TE_COEFFICIENT_MANUAL]],PROPERTIES[[#This Row],[TE_COEFFICIENT_CALC]]),3)</f>
        <v>0.124</v>
      </c>
      <c r="AD834" s="27" cm="1">
        <f t="array" ref="AD8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34" s="26">
        <v>0</v>
      </c>
      <c r="AF834" s="6">
        <v>0</v>
      </c>
      <c r="AG834" t="s">
        <v>234</v>
      </c>
      <c r="AH834" t="s">
        <v>232</v>
      </c>
      <c r="AI834" t="s">
        <v>229</v>
      </c>
      <c r="AJ834" s="2" t="s">
        <v>229</v>
      </c>
      <c r="AK834" s="2" t="s">
        <v>244</v>
      </c>
      <c r="AL83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4" s="2" t="str">
        <f>SUBSTITUTE(SUBSTITUTE(PROPERTIES[[#This Row],[PURCHASECOST_VALUE]], "PURCHASECOST_", ""), "_VALUE", "")</f>
        <v>STEAMENGINE</v>
      </c>
      <c r="AO834" s="44" t="b">
        <v>0</v>
      </c>
      <c r="AP834" s="48" t="b">
        <v>0</v>
      </c>
      <c r="AQ834" s="48" t="b">
        <v>0</v>
      </c>
      <c r="AR834" s="48">
        <v>0</v>
      </c>
      <c r="AS834" s="48" t="b">
        <v>0</v>
      </c>
      <c r="AT834" s="7" t="b">
        <v>0</v>
      </c>
      <c r="AU834" s="40" t="str" cm="1">
        <f t="array" ref="AU834">_xlfn.XLOOKUP(PROPERTIES[[#This Row],[VEHIDCODE]],GRAPHICS_PROPERTIES[VEHIDCODE],GRAPHICS_PROPERTIES[TEMPLATE_ID]&amp;GRAPHICS_PROPERTIES[TEMPLATE_AMENDMENT_CODE])</f>
        <v>TPL_03C</v>
      </c>
    </row>
    <row r="835" spans="1:47" x14ac:dyDescent="0.35">
      <c r="A835" s="2" t="s">
        <v>3300</v>
      </c>
      <c r="B835">
        <v>1903</v>
      </c>
      <c r="C835">
        <v>1957</v>
      </c>
      <c r="D835" cm="1">
        <f t="array" ref="D8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5" s="40" t="str">
        <f>_xlfn.XLOOKUP(PROPERTIES[[#This Row],[VEHIDCODE]],CONTROL[VEHIDCODE],CONTROL[ENGLISH])</f>
        <v>BP 4-6-4T 4444-4478 'C30'</v>
      </c>
      <c r="F835" t="s">
        <v>541</v>
      </c>
      <c r="G835" s="40" t="str">
        <f>_xlfn.XLOOKUP(PROPERTIES[[#This Row],[COUNTRY]],COUNTRIES[COUNTRY_DESCRIPTION],COUNTRIES[COUNTRY_LABEL],"")</f>
        <v>AU</v>
      </c>
      <c r="H835" t="str" cm="1">
        <f t="array" ref="H8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5" t="s">
        <v>17</v>
      </c>
      <c r="J835">
        <v>0</v>
      </c>
      <c r="K835">
        <v>6</v>
      </c>
      <c r="L835">
        <v>0</v>
      </c>
      <c r="M835" t="str" cm="1">
        <f t="array" ref="M8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5">
        <f>_xlfn.XLOOKUP("LOADINGSPEEDDEF_"&amp;PROPERTIES[[#This Row],[LOADINGSPEED]],LOADINGSPEEDDEF[TYPE],LOADINGSPEEDDEF[SPEED])</f>
        <v>20</v>
      </c>
      <c r="O835" cm="1">
        <f t="array" ref="O8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5">
        <f>IF(ISNUMBER(SEARCH("passenger",PROPERTIES[[#This Row],[CARGODEF]])),1,0)</f>
        <v>0</v>
      </c>
      <c r="Q835" s="23">
        <v>43</v>
      </c>
      <c r="R835">
        <v>700</v>
      </c>
      <c r="S835">
        <v>0</v>
      </c>
      <c r="T835">
        <v>0</v>
      </c>
      <c r="U835">
        <v>0</v>
      </c>
      <c r="V835">
        <v>80</v>
      </c>
      <c r="W835">
        <v>0</v>
      </c>
      <c r="X835">
        <v>0</v>
      </c>
      <c r="Y835">
        <v>0</v>
      </c>
      <c r="Z835" s="20">
        <v>95</v>
      </c>
      <c r="AA835" s="20">
        <f>IFERROR(PROPERTIES[[#This Row],[TE_STARTING_KN]]/(PROPERTIES[[#This Row],[WEIGHT]]*9.81),0)</f>
        <v>0.2252092075006519</v>
      </c>
      <c r="AB835" s="20">
        <v>0</v>
      </c>
      <c r="AC835" s="16">
        <f>ROUND(IF(IFERROR(PROPERTIES[[#This Row],[TE_COEFFICIENT_CALC]],0)=0,PROPERTIES[[#This Row],[TE_COEFFICIENT_MANUAL]],PROPERTIES[[#This Row],[TE_COEFFICIENT_CALC]]),3)</f>
        <v>0.22500000000000001</v>
      </c>
      <c r="AD835" s="27" cm="1">
        <f t="array" ref="AD8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835" s="26">
        <v>0</v>
      </c>
      <c r="AF835" s="6">
        <v>0</v>
      </c>
      <c r="AG835" t="s">
        <v>232</v>
      </c>
      <c r="AH835" t="s">
        <v>229</v>
      </c>
      <c r="AI835" t="s">
        <v>229</v>
      </c>
      <c r="AJ835" s="2" t="s">
        <v>229</v>
      </c>
      <c r="AK835" s="2" t="s">
        <v>244</v>
      </c>
      <c r="AL83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5" s="2" t="str">
        <f>SUBSTITUTE(SUBSTITUTE(PROPERTIES[[#This Row],[PURCHASECOST_VALUE]], "PURCHASECOST_", ""), "_VALUE", "")</f>
        <v>STEAMENGINE</v>
      </c>
      <c r="AO835" s="44" t="b">
        <v>0</v>
      </c>
      <c r="AP835" s="48" t="b">
        <v>0</v>
      </c>
      <c r="AQ835" s="48" t="b">
        <v>0</v>
      </c>
      <c r="AR835" s="48">
        <v>0</v>
      </c>
      <c r="AS835" s="48" t="b">
        <v>0</v>
      </c>
      <c r="AT835" s="7" t="b">
        <v>0</v>
      </c>
      <c r="AU835" s="40" t="str" cm="1">
        <f t="array" ref="AU835">_xlfn.XLOOKUP(PROPERTIES[[#This Row],[VEHIDCODE]],GRAPHICS_PROPERTIES[VEHIDCODE],GRAPHICS_PROPERTIES[TEMPLATE_ID]&amp;GRAPHICS_PROPERTIES[TEMPLATE_AMENDMENT_CODE])</f>
        <v>TPL_03C</v>
      </c>
    </row>
    <row r="836" spans="1:47" x14ac:dyDescent="0.35">
      <c r="A836" s="2" t="s">
        <v>3301</v>
      </c>
      <c r="B836">
        <v>1892</v>
      </c>
      <c r="C836">
        <v>1956</v>
      </c>
      <c r="D836" cm="1">
        <f t="array" ref="D8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6" s="40" t="str">
        <f>_xlfn.XLOOKUP(PROPERTIES[[#This Row],[VEHIDCODE]],CONTROL[VEHIDCODE],CONTROL[ENGLISH])</f>
        <v>BP/Baldwin/Clyde 4-6-0 'C32'</v>
      </c>
      <c r="F836" t="s">
        <v>541</v>
      </c>
      <c r="G836" s="40" t="str">
        <f>_xlfn.XLOOKUP(PROPERTIES[[#This Row],[COUNTRY]],COUNTRIES[COUNTRY_DESCRIPTION],COUNTRIES[COUNTRY_LABEL],"")</f>
        <v>AU</v>
      </c>
      <c r="H836" t="str" cm="1">
        <f t="array" ref="H8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6" t="s">
        <v>17</v>
      </c>
      <c r="J836">
        <v>0</v>
      </c>
      <c r="K836">
        <v>5</v>
      </c>
      <c r="L836">
        <v>0</v>
      </c>
      <c r="M836" t="str" cm="1">
        <f t="array" ref="M8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6">
        <f>_xlfn.XLOOKUP("LOADINGSPEEDDEF_"&amp;PROPERTIES[[#This Row],[LOADINGSPEED]],LOADINGSPEEDDEF[TYPE],LOADINGSPEEDDEF[SPEED])</f>
        <v>20</v>
      </c>
      <c r="O836" cm="1">
        <f t="array" ref="O8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6">
        <f>IF(ISNUMBER(SEARCH("passenger",PROPERTIES[[#This Row],[CARGODEF]])),1,0)</f>
        <v>0</v>
      </c>
      <c r="Q836" s="23">
        <v>64</v>
      </c>
      <c r="R836">
        <v>720</v>
      </c>
      <c r="S836">
        <v>0</v>
      </c>
      <c r="T836">
        <v>0</v>
      </c>
      <c r="U836">
        <v>0</v>
      </c>
      <c r="V836">
        <v>100</v>
      </c>
      <c r="W836">
        <v>0</v>
      </c>
      <c r="X836">
        <v>0</v>
      </c>
      <c r="Y836">
        <v>0</v>
      </c>
      <c r="Z836" s="20">
        <v>115</v>
      </c>
      <c r="AA836" s="20">
        <f>IFERROR(PROPERTIES[[#This Row],[TE_STARTING_KN]]/(PROPERTIES[[#This Row],[WEIGHT]]*9.81),0)</f>
        <v>0.18316768603465849</v>
      </c>
      <c r="AB836" s="20">
        <v>0</v>
      </c>
      <c r="AC836" s="16">
        <f>ROUND(IF(IFERROR(PROPERTIES[[#This Row],[TE_COEFFICIENT_CALC]],0)=0,PROPERTIES[[#This Row],[TE_COEFFICIENT_MANUAL]],PROPERTIES[[#This Row],[TE_COEFFICIENT_CALC]]),3)</f>
        <v>0.183</v>
      </c>
      <c r="AD836" s="27" cm="1">
        <f t="array" ref="AD8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64</v>
      </c>
      <c r="AE836" s="26">
        <v>0</v>
      </c>
      <c r="AF836" s="6">
        <v>4</v>
      </c>
      <c r="AG836" t="s">
        <v>232</v>
      </c>
      <c r="AH836" t="s">
        <v>229</v>
      </c>
      <c r="AI836" t="s">
        <v>229</v>
      </c>
      <c r="AJ836" s="2" t="s">
        <v>229</v>
      </c>
      <c r="AK836" s="2" t="s">
        <v>244</v>
      </c>
      <c r="AL83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6" s="2" t="str">
        <f>SUBSTITUTE(SUBSTITUTE(PROPERTIES[[#This Row],[PURCHASECOST_VALUE]], "PURCHASECOST_", ""), "_VALUE", "")</f>
        <v>STEAMENGINE</v>
      </c>
      <c r="AO836" s="44" t="b">
        <v>0</v>
      </c>
      <c r="AP836" s="48" t="b">
        <v>0</v>
      </c>
      <c r="AQ836" s="48" t="b">
        <v>0</v>
      </c>
      <c r="AR836" s="48">
        <v>0</v>
      </c>
      <c r="AS836" s="48" t="b">
        <v>0</v>
      </c>
      <c r="AT836" s="7" t="b">
        <v>0</v>
      </c>
      <c r="AU836" s="40" t="str" cm="1">
        <f t="array" ref="AU836">_xlfn.XLOOKUP(PROPERTIES[[#This Row],[VEHIDCODE]],GRAPHICS_PROPERTIES[VEHIDCODE],GRAPHICS_PROPERTIES[TEMPLATE_ID]&amp;GRAPHICS_PROPERTIES[TEMPLATE_AMENDMENT_CODE])</f>
        <v>TPL_03A</v>
      </c>
    </row>
    <row r="837" spans="1:47" x14ac:dyDescent="0.35">
      <c r="A837" s="2" t="s">
        <v>3302</v>
      </c>
      <c r="B837">
        <v>1896</v>
      </c>
      <c r="C837">
        <v>1932</v>
      </c>
      <c r="D837" cm="1">
        <f t="array" ref="D8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7" s="40" t="str">
        <f>_xlfn.XLOOKUP(PROPERTIES[[#This Row],[VEHIDCODE]],CONTROL[VEHIDCODE],CONTROL[ENGLISH])</f>
        <v>BP/NBLC 2-8-0 'D50'</v>
      </c>
      <c r="F837" t="s">
        <v>541</v>
      </c>
      <c r="G837" s="40" t="str">
        <f>_xlfn.XLOOKUP(PROPERTIES[[#This Row],[COUNTRY]],COUNTRIES[COUNTRY_DESCRIPTION],COUNTRIES[COUNTRY_LABEL],"")</f>
        <v>AU</v>
      </c>
      <c r="H837" t="str" cm="1">
        <f t="array" ref="H8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7" t="s">
        <v>17</v>
      </c>
      <c r="J837">
        <v>0</v>
      </c>
      <c r="K837">
        <v>5</v>
      </c>
      <c r="L837">
        <v>0</v>
      </c>
      <c r="M837" t="str" cm="1">
        <f t="array" ref="M8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7">
        <f>_xlfn.XLOOKUP("LOADINGSPEEDDEF_"&amp;PROPERTIES[[#This Row],[LOADINGSPEED]],LOADINGSPEEDDEF[TYPE],LOADINGSPEEDDEF[SPEED])</f>
        <v>20</v>
      </c>
      <c r="O837" cm="1">
        <f t="array" ref="O8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7">
        <f>IF(ISNUMBER(SEARCH("passenger",PROPERTIES[[#This Row],[CARGODEF]])),1,0)</f>
        <v>0</v>
      </c>
      <c r="Q837" s="23">
        <v>63</v>
      </c>
      <c r="R837">
        <v>1050</v>
      </c>
      <c r="S837">
        <v>0</v>
      </c>
      <c r="T837">
        <v>0</v>
      </c>
      <c r="U837">
        <v>0</v>
      </c>
      <c r="V837">
        <v>65</v>
      </c>
      <c r="W837">
        <v>0</v>
      </c>
      <c r="X837">
        <v>0</v>
      </c>
      <c r="Y837">
        <v>0</v>
      </c>
      <c r="Z837" s="20">
        <v>136</v>
      </c>
      <c r="AA837" s="20">
        <f>IFERROR(PROPERTIES[[#This Row],[TE_STARTING_KN]]/(PROPERTIES[[#This Row],[WEIGHT]]*9.81),0)</f>
        <v>0.22005404268401207</v>
      </c>
      <c r="AB837" s="20">
        <v>0</v>
      </c>
      <c r="AC837" s="16">
        <f>ROUND(IF(IFERROR(PROPERTIES[[#This Row],[TE_COEFFICIENT_CALC]],0)=0,PROPERTIES[[#This Row],[TE_COEFFICIENT_MANUAL]],PROPERTIES[[#This Row],[TE_COEFFICIENT_CALC]]),3)</f>
        <v>0.22</v>
      </c>
      <c r="AD837" s="27" cm="1">
        <f t="array" ref="AD8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837" s="26">
        <v>0</v>
      </c>
      <c r="AF837" s="6">
        <v>4</v>
      </c>
      <c r="AG837" t="s">
        <v>232</v>
      </c>
      <c r="AH837" t="s">
        <v>229</v>
      </c>
      <c r="AI837" t="s">
        <v>229</v>
      </c>
      <c r="AJ837" s="2" t="s">
        <v>229</v>
      </c>
      <c r="AK837" s="2" t="s">
        <v>244</v>
      </c>
      <c r="AL83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7" s="2" t="str">
        <f>SUBSTITUTE(SUBSTITUTE(PROPERTIES[[#This Row],[PURCHASECOST_VALUE]], "PURCHASECOST_", ""), "_VALUE", "")</f>
        <v>STEAMENGINE</v>
      </c>
      <c r="AO837" s="44" t="b">
        <v>0</v>
      </c>
      <c r="AP837" s="48" t="b">
        <v>0</v>
      </c>
      <c r="AQ837" s="48" t="b">
        <v>0</v>
      </c>
      <c r="AR837" s="48">
        <v>0</v>
      </c>
      <c r="AS837" s="48" t="b">
        <v>0</v>
      </c>
      <c r="AT837" s="7" t="b">
        <v>0</v>
      </c>
      <c r="AU837" s="40" t="str" cm="1">
        <f t="array" ref="AU837">_xlfn.XLOOKUP(PROPERTIES[[#This Row],[VEHIDCODE]],GRAPHICS_PROPERTIES[VEHIDCODE],GRAPHICS_PROPERTIES[TEMPLATE_ID]&amp;GRAPHICS_PROPERTIES[TEMPLATE_AMENDMENT_CODE])</f>
        <v>TPL_03A</v>
      </c>
    </row>
    <row r="838" spans="1:47" x14ac:dyDescent="0.35">
      <c r="A838" s="2" t="s">
        <v>3303</v>
      </c>
      <c r="B838">
        <v>1877</v>
      </c>
      <c r="C838">
        <v>1957</v>
      </c>
      <c r="D838" cm="1">
        <f t="array" ref="D8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8" s="40" t="str">
        <f>_xlfn.XLOOKUP(PROPERTIES[[#This Row],[VEHIDCODE]],CONTROL[VEHIDCODE],CONTROL[ENGLISH])</f>
        <v>BP/Dubs 4-4-0 'Z12'</v>
      </c>
      <c r="F838" t="s">
        <v>541</v>
      </c>
      <c r="G838" s="40" t="str">
        <f>_xlfn.XLOOKUP(PROPERTIES[[#This Row],[COUNTRY]],COUNTRIES[COUNTRY_DESCRIPTION],COUNTRIES[COUNTRY_LABEL],"")</f>
        <v>AU</v>
      </c>
      <c r="H838" t="str" cm="1">
        <f t="array" ref="H8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8" t="s">
        <v>17</v>
      </c>
      <c r="J838">
        <v>0</v>
      </c>
      <c r="K838">
        <v>5</v>
      </c>
      <c r="L838">
        <v>0</v>
      </c>
      <c r="M838" t="str" cm="1">
        <f t="array" ref="M8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8">
        <f>_xlfn.XLOOKUP("LOADINGSPEEDDEF_"&amp;PROPERTIES[[#This Row],[LOADINGSPEED]],LOADINGSPEEDDEF[TYPE],LOADINGSPEEDDEF[SPEED])</f>
        <v>20</v>
      </c>
      <c r="O838" cm="1">
        <f t="array" ref="O8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8">
        <f>IF(ISNUMBER(SEARCH("passenger",PROPERTIES[[#This Row],[CARGODEF]])),1,0)</f>
        <v>0</v>
      </c>
      <c r="Q838" s="23">
        <v>40</v>
      </c>
      <c r="R838">
        <v>400</v>
      </c>
      <c r="S838">
        <v>0</v>
      </c>
      <c r="T838">
        <v>0</v>
      </c>
      <c r="U838">
        <v>0</v>
      </c>
      <c r="V838">
        <v>100</v>
      </c>
      <c r="W838">
        <v>0</v>
      </c>
      <c r="X838">
        <v>0</v>
      </c>
      <c r="Y838">
        <v>0</v>
      </c>
      <c r="Z838" s="20">
        <v>62.4</v>
      </c>
      <c r="AA838" s="20">
        <f>IFERROR(PROPERTIES[[#This Row],[TE_STARTING_KN]]/(PROPERTIES[[#This Row],[WEIGHT]]*9.81),0)</f>
        <v>0.15902140672782872</v>
      </c>
      <c r="AB838" s="20">
        <v>0</v>
      </c>
      <c r="AC838" s="16">
        <f>ROUND(IF(IFERROR(PROPERTIES[[#This Row],[TE_COEFFICIENT_CALC]],0)=0,PROPERTIES[[#This Row],[TE_COEFFICIENT_MANUAL]],PROPERTIES[[#This Row],[TE_COEFFICIENT_CALC]]),3)</f>
        <v>0.159</v>
      </c>
      <c r="AD838" s="27" cm="1">
        <f t="array" ref="AD8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80</v>
      </c>
      <c r="AE838" s="26">
        <v>0</v>
      </c>
      <c r="AF838" s="6">
        <v>3</v>
      </c>
      <c r="AG838" t="s">
        <v>232</v>
      </c>
      <c r="AH838" t="s">
        <v>229</v>
      </c>
      <c r="AI838" t="s">
        <v>229</v>
      </c>
      <c r="AJ838" s="2" t="s">
        <v>229</v>
      </c>
      <c r="AK838" s="2" t="s">
        <v>244</v>
      </c>
      <c r="AL83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8" s="2" t="str">
        <f>SUBSTITUTE(SUBSTITUTE(PROPERTIES[[#This Row],[PURCHASECOST_VALUE]], "PURCHASECOST_", ""), "_VALUE", "")</f>
        <v>STEAMENGINE</v>
      </c>
      <c r="AO838" s="44" t="b">
        <v>0</v>
      </c>
      <c r="AP838" s="48" t="b">
        <v>0</v>
      </c>
      <c r="AQ838" s="48" t="b">
        <v>0</v>
      </c>
      <c r="AR838" s="48">
        <v>0</v>
      </c>
      <c r="AS838" s="48" t="b">
        <v>0</v>
      </c>
      <c r="AT838" s="7" t="b">
        <v>0</v>
      </c>
      <c r="AU838" s="40" t="str" cm="1">
        <f t="array" ref="AU838">_xlfn.XLOOKUP(PROPERTIES[[#This Row],[VEHIDCODE]],GRAPHICS_PROPERTIES[VEHIDCODE],GRAPHICS_PROPERTIES[TEMPLATE_ID]&amp;GRAPHICS_PROPERTIES[TEMPLATE_AMENDMENT_CODE])</f>
        <v>TPL_03A</v>
      </c>
    </row>
    <row r="839" spans="1:47" x14ac:dyDescent="0.35">
      <c r="A839" s="2" t="s">
        <v>3304</v>
      </c>
      <c r="B839">
        <v>1877</v>
      </c>
      <c r="C839">
        <v>1910</v>
      </c>
      <c r="D839" cm="1">
        <f t="array" ref="D8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9" s="40" t="str">
        <f>_xlfn.XLOOKUP(PROPERTIES[[#This Row],[VEHIDCODE]],CONTROL[VEHIDCODE],CONTROL[ENGLISH])</f>
        <v>BP 0-6-0 'Z19'</v>
      </c>
      <c r="F839" t="s">
        <v>541</v>
      </c>
      <c r="G839" s="40" t="str">
        <f>_xlfn.XLOOKUP(PROPERTIES[[#This Row],[COUNTRY]],COUNTRIES[COUNTRY_DESCRIPTION],COUNTRIES[COUNTRY_LABEL],"")</f>
        <v>AU</v>
      </c>
      <c r="H839" t="str" cm="1">
        <f t="array" ref="H8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9" t="s">
        <v>17</v>
      </c>
      <c r="J839">
        <v>0</v>
      </c>
      <c r="K839">
        <v>5</v>
      </c>
      <c r="L839">
        <v>0</v>
      </c>
      <c r="M839" t="str" cm="1">
        <f t="array" ref="M8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9">
        <f>_xlfn.XLOOKUP("LOADINGSPEEDDEF_"&amp;PROPERTIES[[#This Row],[LOADINGSPEED]],LOADINGSPEEDDEF[TYPE],LOADINGSPEEDDEF[SPEED])</f>
        <v>20</v>
      </c>
      <c r="O839" cm="1">
        <f t="array" ref="O8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9">
        <f>IF(ISNUMBER(SEARCH("passenger",PROPERTIES[[#This Row],[CARGODEF]])),1,0)</f>
        <v>0</v>
      </c>
      <c r="Q839" s="23">
        <v>34</v>
      </c>
      <c r="R839">
        <v>500</v>
      </c>
      <c r="S839">
        <v>0</v>
      </c>
      <c r="T839">
        <v>0</v>
      </c>
      <c r="U839">
        <v>0</v>
      </c>
      <c r="V839">
        <v>40</v>
      </c>
      <c r="W839">
        <v>0</v>
      </c>
      <c r="X839">
        <v>0</v>
      </c>
      <c r="Y839">
        <v>0</v>
      </c>
      <c r="Z839" s="20">
        <v>79.599999999999994</v>
      </c>
      <c r="AA839" s="20">
        <f>IFERROR(PROPERTIES[[#This Row],[TE_STARTING_KN]]/(PROPERTIES[[#This Row],[WEIGHT]]*9.81),0)</f>
        <v>0.23865203573784249</v>
      </c>
      <c r="AB839" s="20">
        <v>0</v>
      </c>
      <c r="AC839" s="16">
        <f>ROUND(IF(IFERROR(PROPERTIES[[#This Row],[TE_COEFFICIENT_CALC]],0)=0,PROPERTIES[[#This Row],[TE_COEFFICIENT_MANUAL]],PROPERTIES[[#This Row],[TE_COEFFICIENT_CALC]]),3)</f>
        <v>0.23899999999999999</v>
      </c>
      <c r="AD839" s="27" cm="1">
        <f t="array" ref="AD8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839" s="26">
        <v>0</v>
      </c>
      <c r="AF839" s="6">
        <v>3</v>
      </c>
      <c r="AG839" t="s">
        <v>232</v>
      </c>
      <c r="AH839" t="s">
        <v>229</v>
      </c>
      <c r="AI839" t="s">
        <v>229</v>
      </c>
      <c r="AJ839" s="2" t="s">
        <v>229</v>
      </c>
      <c r="AK839" s="2" t="s">
        <v>244</v>
      </c>
      <c r="AL83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9" s="2" t="str">
        <f>SUBSTITUTE(SUBSTITUTE(PROPERTIES[[#This Row],[PURCHASECOST_VALUE]], "PURCHASECOST_", ""), "_VALUE", "")</f>
        <v>STEAMENGINE</v>
      </c>
      <c r="AO839" s="44" t="b">
        <v>0</v>
      </c>
      <c r="AP839" s="48" t="b">
        <v>0</v>
      </c>
      <c r="AQ839" s="48" t="b">
        <v>0</v>
      </c>
      <c r="AR839" s="48">
        <v>0</v>
      </c>
      <c r="AS839" s="48" t="b">
        <v>0</v>
      </c>
      <c r="AT839" s="7" t="b">
        <v>0</v>
      </c>
      <c r="AU839" s="40" t="str" cm="1">
        <f t="array" ref="AU839">_xlfn.XLOOKUP(PROPERTIES[[#This Row],[VEHIDCODE]],GRAPHICS_PROPERTIES[VEHIDCODE],GRAPHICS_PROPERTIES[TEMPLATE_ID]&amp;GRAPHICS_PROPERTIES[TEMPLATE_AMENDMENT_CODE])</f>
        <v>TPL_03A</v>
      </c>
    </row>
    <row r="840" spans="1:47" x14ac:dyDescent="0.35">
      <c r="A840" s="2" t="s">
        <v>3305</v>
      </c>
      <c r="B840">
        <v>1892</v>
      </c>
      <c r="C840">
        <v>1920</v>
      </c>
      <c r="D840" cm="1">
        <f t="array" ref="D8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0" s="40" t="str">
        <f>_xlfn.XLOOKUP(PROPERTIES[[#This Row],[VEHIDCODE]],CONTROL[VEHIDCODE],CONTROL[ENGLISH])</f>
        <v>Dubs 2-6-2ST 'Z26'</v>
      </c>
      <c r="F840" t="s">
        <v>541</v>
      </c>
      <c r="G840" s="40" t="str">
        <f>_xlfn.XLOOKUP(PROPERTIES[[#This Row],[COUNTRY]],COUNTRIES[COUNTRY_DESCRIPTION],COUNTRIES[COUNTRY_LABEL],"")</f>
        <v>AU</v>
      </c>
      <c r="H840" t="str" cm="1">
        <f t="array" ref="H8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0" t="s">
        <v>17</v>
      </c>
      <c r="J840">
        <v>0</v>
      </c>
      <c r="K840">
        <v>6</v>
      </c>
      <c r="L840">
        <v>0</v>
      </c>
      <c r="M840" t="str" cm="1">
        <f t="array" ref="M8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0">
        <f>_xlfn.XLOOKUP("LOADINGSPEEDDEF_"&amp;PROPERTIES[[#This Row],[LOADINGSPEED]],LOADINGSPEEDDEF[TYPE],LOADINGSPEEDDEF[SPEED])</f>
        <v>20</v>
      </c>
      <c r="O840" cm="1">
        <f t="array" ref="O8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0">
        <f>IF(ISNUMBER(SEARCH("passenger",PROPERTIES[[#This Row],[CARGODEF]])),1,0)</f>
        <v>0</v>
      </c>
      <c r="Q840" s="23">
        <v>66</v>
      </c>
      <c r="R840">
        <v>900</v>
      </c>
      <c r="S840">
        <v>0</v>
      </c>
      <c r="T840">
        <v>0</v>
      </c>
      <c r="U840">
        <v>0</v>
      </c>
      <c r="V840">
        <v>65</v>
      </c>
      <c r="W840">
        <v>0</v>
      </c>
      <c r="X840">
        <v>0</v>
      </c>
      <c r="Y840">
        <v>0</v>
      </c>
      <c r="Z840" s="20">
        <v>99.6</v>
      </c>
      <c r="AA840" s="20">
        <f>IFERROR(PROPERTIES[[#This Row],[TE_STARTING_KN]]/(PROPERTIES[[#This Row],[WEIGHT]]*9.81),0)</f>
        <v>0.15383189695116298</v>
      </c>
      <c r="AB840" s="20">
        <v>0</v>
      </c>
      <c r="AC840" s="16">
        <f>ROUND(IF(IFERROR(PROPERTIES[[#This Row],[TE_COEFFICIENT_CALC]],0)=0,PROPERTIES[[#This Row],[TE_COEFFICIENT_MANUAL]],PROPERTIES[[#This Row],[TE_COEFFICIENT_CALC]]),3)</f>
        <v>0.154</v>
      </c>
      <c r="AD840" s="27" cm="1">
        <f t="array" ref="AD8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40" s="26">
        <v>0</v>
      </c>
      <c r="AF840" s="6">
        <v>0</v>
      </c>
      <c r="AG840" t="s">
        <v>232</v>
      </c>
      <c r="AH840" t="s">
        <v>229</v>
      </c>
      <c r="AI840" t="s">
        <v>229</v>
      </c>
      <c r="AJ840" s="2" t="s">
        <v>229</v>
      </c>
      <c r="AK840" s="2" t="s">
        <v>244</v>
      </c>
      <c r="AL84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0" s="2" t="str">
        <f>SUBSTITUTE(SUBSTITUTE(PROPERTIES[[#This Row],[PURCHASECOST_VALUE]], "PURCHASECOST_", ""), "_VALUE", "")</f>
        <v>STEAMENGINE</v>
      </c>
      <c r="AO840" s="44" t="b">
        <v>0</v>
      </c>
      <c r="AP840" s="48" t="b">
        <v>0</v>
      </c>
      <c r="AQ840" s="48" t="b">
        <v>0</v>
      </c>
      <c r="AR840" s="48">
        <v>0</v>
      </c>
      <c r="AS840" s="48" t="b">
        <v>0</v>
      </c>
      <c r="AT840" s="7" t="b">
        <v>0</v>
      </c>
      <c r="AU840" s="40" t="str" cm="1">
        <f t="array" ref="AU840">_xlfn.XLOOKUP(PROPERTIES[[#This Row],[VEHIDCODE]],GRAPHICS_PROPERTIES[VEHIDCODE],GRAPHICS_PROPERTIES[TEMPLATE_ID]&amp;GRAPHICS_PROPERTIES[TEMPLATE_AMENDMENT_CODE])</f>
        <v>TPL_03C</v>
      </c>
    </row>
    <row r="841" spans="1:47" x14ac:dyDescent="0.35">
      <c r="A841" s="2" t="s">
        <v>3306</v>
      </c>
      <c r="B841">
        <v>1926</v>
      </c>
      <c r="C841">
        <v>1958</v>
      </c>
      <c r="D841" cm="1">
        <f t="array" ref="D8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1" s="40" t="str">
        <f>_xlfn.XLOOKUP(PROPERTIES[[#This Row],[VEHIDCODE]],CONTROL[VEHIDCODE],CONTROL[ENGLISH])</f>
        <v>GCR/Kitson/NBLC ROD 2-8-0 '8K'</v>
      </c>
      <c r="F841" t="s">
        <v>603</v>
      </c>
      <c r="G841" s="40" t="str">
        <f>_xlfn.XLOOKUP(PROPERTIES[[#This Row],[COUNTRY]],COUNTRIES[COUNTRY_DESCRIPTION],COUNTRIES[COUNTRY_LABEL],"")</f>
        <v>GB</v>
      </c>
      <c r="H841" t="str" cm="1">
        <f t="array" ref="H8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1" t="s">
        <v>17</v>
      </c>
      <c r="J841">
        <v>0</v>
      </c>
      <c r="K841">
        <v>6</v>
      </c>
      <c r="L841">
        <v>0</v>
      </c>
      <c r="M841" t="str" cm="1">
        <f t="array" ref="M8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1">
        <f>_xlfn.XLOOKUP("LOADINGSPEEDDEF_"&amp;PROPERTIES[[#This Row],[LOADINGSPEED]],LOADINGSPEEDDEF[TYPE],LOADINGSPEEDDEF[SPEED])</f>
        <v>20</v>
      </c>
      <c r="O841" cm="1">
        <f t="array" ref="O8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1">
        <f>IF(ISNUMBER(SEARCH("passenger",PROPERTIES[[#This Row],[CARGODEF]])),1,0)</f>
        <v>0</v>
      </c>
      <c r="Q841" s="23">
        <v>74</v>
      </c>
      <c r="R841">
        <v>1150</v>
      </c>
      <c r="S841">
        <v>0</v>
      </c>
      <c r="T841">
        <v>0</v>
      </c>
      <c r="U841">
        <v>0</v>
      </c>
      <c r="V841">
        <v>80</v>
      </c>
      <c r="W841">
        <v>0</v>
      </c>
      <c r="X841">
        <v>0</v>
      </c>
      <c r="Y841">
        <v>0</v>
      </c>
      <c r="Z841" s="20">
        <v>139.4</v>
      </c>
      <c r="AA841" s="20">
        <f>IFERROR(PROPERTIES[[#This Row],[TE_STARTING_KN]]/(PROPERTIES[[#This Row],[WEIGHT]]*9.81),0)</f>
        <v>0.19202688927459569</v>
      </c>
      <c r="AB841" s="20">
        <v>0</v>
      </c>
      <c r="AC841" s="16">
        <f>ROUND(IF(IFERROR(PROPERTIES[[#This Row],[TE_COEFFICIENT_CALC]],0)=0,PROPERTIES[[#This Row],[TE_COEFFICIENT_MANUAL]],PROPERTIES[[#This Row],[TE_COEFFICIENT_CALC]]),3)</f>
        <v>0.192</v>
      </c>
      <c r="AD841" s="27" cm="1">
        <f t="array" ref="AD8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841" s="26">
        <v>0</v>
      </c>
      <c r="AF841" s="6">
        <v>3</v>
      </c>
      <c r="AG841" t="s">
        <v>234</v>
      </c>
      <c r="AH841" t="s">
        <v>232</v>
      </c>
      <c r="AI841" t="s">
        <v>229</v>
      </c>
      <c r="AJ841" s="2" t="s">
        <v>229</v>
      </c>
      <c r="AK841" s="2" t="s">
        <v>244</v>
      </c>
      <c r="AL84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1" s="2" t="str">
        <f>SUBSTITUTE(SUBSTITUTE(PROPERTIES[[#This Row],[PURCHASECOST_VALUE]], "PURCHASECOST_", ""), "_VALUE", "")</f>
        <v>STEAMENGINE</v>
      </c>
      <c r="AO841" s="44" t="b">
        <v>0</v>
      </c>
      <c r="AP841" s="48" t="b">
        <v>0</v>
      </c>
      <c r="AQ841" s="48" t="b">
        <v>0</v>
      </c>
      <c r="AR841" s="48">
        <v>0</v>
      </c>
      <c r="AS841" s="48" t="b">
        <v>0</v>
      </c>
      <c r="AT841" s="7" t="b">
        <v>0</v>
      </c>
      <c r="AU841" s="40" t="str" cm="1">
        <f t="array" ref="AU841">_xlfn.XLOOKUP(PROPERTIES[[#This Row],[VEHIDCODE]],GRAPHICS_PROPERTIES[VEHIDCODE],GRAPHICS_PROPERTIES[TEMPLATE_ID]&amp;GRAPHICS_PROPERTIES[TEMPLATE_AMENDMENT_CODE])</f>
        <v>TPL_03A</v>
      </c>
    </row>
    <row r="842" spans="1:47" x14ac:dyDescent="0.35">
      <c r="A842" s="2" t="s">
        <v>3307</v>
      </c>
      <c r="B842">
        <v>1925</v>
      </c>
      <c r="C842">
        <v>1961</v>
      </c>
      <c r="D842" cm="1">
        <f t="array" ref="D8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2" s="40" t="str">
        <f>_xlfn.XLOOKUP(PROPERTIES[[#This Row],[VEHIDCODE]],CONTROL[VEHIDCODE],CONTROL[ENGLISH])</f>
        <v>ALCO 4-6-2 SAR 600</v>
      </c>
      <c r="F842" t="s">
        <v>541</v>
      </c>
      <c r="G842" s="40" t="str">
        <f>_xlfn.XLOOKUP(PROPERTIES[[#This Row],[COUNTRY]],COUNTRIES[COUNTRY_DESCRIPTION],COUNTRIES[COUNTRY_LABEL],"")</f>
        <v>AU</v>
      </c>
      <c r="H842" t="str" cm="1">
        <f t="array" ref="H8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2" t="s">
        <v>17</v>
      </c>
      <c r="J842">
        <v>0</v>
      </c>
      <c r="K842">
        <v>6</v>
      </c>
      <c r="L842">
        <v>0</v>
      </c>
      <c r="M842" t="str" cm="1">
        <f t="array" ref="M8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2">
        <f>_xlfn.XLOOKUP("LOADINGSPEEDDEF_"&amp;PROPERTIES[[#This Row],[LOADINGSPEED]],LOADINGSPEEDDEF[TYPE],LOADINGSPEEDDEF[SPEED])</f>
        <v>20</v>
      </c>
      <c r="O842" cm="1">
        <f t="array" ref="O8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2">
        <f>IF(ISNUMBER(SEARCH("passenger",PROPERTIES[[#This Row],[CARGODEF]])),1,0)</f>
        <v>0</v>
      </c>
      <c r="Q842" s="23">
        <v>203</v>
      </c>
      <c r="R842">
        <v>2300</v>
      </c>
      <c r="S842">
        <v>0</v>
      </c>
      <c r="T842">
        <v>0</v>
      </c>
      <c r="U842">
        <v>0</v>
      </c>
      <c r="V842">
        <v>115</v>
      </c>
      <c r="W842">
        <v>0</v>
      </c>
      <c r="X842">
        <v>0</v>
      </c>
      <c r="Y842">
        <v>0</v>
      </c>
      <c r="Z842" s="20">
        <v>162.80000000000001</v>
      </c>
      <c r="AA842" s="20">
        <f>IFERROR(PROPERTIES[[#This Row],[TE_STARTING_KN]]/(PROPERTIES[[#This Row],[WEIGHT]]*9.81),0)</f>
        <v>8.175030003565277E-2</v>
      </c>
      <c r="AB842" s="20">
        <v>0</v>
      </c>
      <c r="AC842" s="16">
        <f>ROUND(IF(IFERROR(PROPERTIES[[#This Row],[TE_COEFFICIENT_CALC]],0)=0,PROPERTIES[[#This Row],[TE_COEFFICIENT_MANUAL]],PROPERTIES[[#This Row],[TE_COEFFICIENT_CALC]]),3)</f>
        <v>8.2000000000000003E-2</v>
      </c>
      <c r="AD842" s="27" cm="1">
        <f t="array" ref="AD8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842" s="26">
        <v>0</v>
      </c>
      <c r="AF842" s="6">
        <v>4</v>
      </c>
      <c r="AG842" t="s">
        <v>232</v>
      </c>
      <c r="AH842" t="s">
        <v>229</v>
      </c>
      <c r="AI842" t="s">
        <v>229</v>
      </c>
      <c r="AJ842" s="2" t="s">
        <v>229</v>
      </c>
      <c r="AK842" s="2" t="s">
        <v>244</v>
      </c>
      <c r="AL84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2" s="2" t="str">
        <f>SUBSTITUTE(SUBSTITUTE(PROPERTIES[[#This Row],[PURCHASECOST_VALUE]], "PURCHASECOST_", ""), "_VALUE", "")</f>
        <v>STEAMENGINE</v>
      </c>
      <c r="AO842" s="44" t="b">
        <v>0</v>
      </c>
      <c r="AP842" s="48" t="b">
        <v>0</v>
      </c>
      <c r="AQ842" s="48" t="b">
        <v>0</v>
      </c>
      <c r="AR842" s="48">
        <v>0</v>
      </c>
      <c r="AS842" s="48" t="b">
        <v>0</v>
      </c>
      <c r="AT842" s="7" t="b">
        <v>0</v>
      </c>
      <c r="AU842" s="40" t="str" cm="1">
        <f t="array" ref="AU842">_xlfn.XLOOKUP(PROPERTIES[[#This Row],[VEHIDCODE]],GRAPHICS_PROPERTIES[VEHIDCODE],GRAPHICS_PROPERTIES[TEMPLATE_ID]&amp;GRAPHICS_PROPERTIES[TEMPLATE_AMENDMENT_CODE])</f>
        <v>TPL_03A</v>
      </c>
    </row>
    <row r="843" spans="1:47" x14ac:dyDescent="0.35">
      <c r="A843" s="2" t="s">
        <v>3308</v>
      </c>
      <c r="B843">
        <v>1911</v>
      </c>
      <c r="C843">
        <v>1982</v>
      </c>
      <c r="D843" cm="1">
        <f t="array" ref="D8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3" s="40" t="str">
        <f>_xlfn.XLOOKUP(PROPERTIES[[#This Row],[VEHIDCODE]],CONTROL[VEHIDCODE],CONTROL[ENGLISH])</f>
        <v>BP 2-8-2T South Maitland 10</v>
      </c>
      <c r="F843" t="s">
        <v>541</v>
      </c>
      <c r="G843" s="40" t="str">
        <f>_xlfn.XLOOKUP(PROPERTIES[[#This Row],[COUNTRY]],COUNTRIES[COUNTRY_DESCRIPTION],COUNTRIES[COUNTRY_LABEL],"")</f>
        <v>AU</v>
      </c>
      <c r="H843" t="str" cm="1">
        <f t="array" ref="H8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3" t="s">
        <v>17</v>
      </c>
      <c r="J843">
        <v>0</v>
      </c>
      <c r="K843">
        <v>7</v>
      </c>
      <c r="L843">
        <v>0</v>
      </c>
      <c r="M843" t="str" cm="1">
        <f t="array" ref="M8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3">
        <f>_xlfn.XLOOKUP("LOADINGSPEEDDEF_"&amp;PROPERTIES[[#This Row],[LOADINGSPEED]],LOADINGSPEEDDEF[TYPE],LOADINGSPEEDDEF[SPEED])</f>
        <v>20</v>
      </c>
      <c r="O843" cm="1">
        <f t="array" ref="O8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3">
        <f>IF(ISNUMBER(SEARCH("passenger",PROPERTIES[[#This Row],[CARGODEF]])),1,0)</f>
        <v>0</v>
      </c>
      <c r="Q843" s="23">
        <v>83</v>
      </c>
      <c r="R843">
        <v>875</v>
      </c>
      <c r="S843">
        <v>0</v>
      </c>
      <c r="T843">
        <v>0</v>
      </c>
      <c r="U843">
        <v>0</v>
      </c>
      <c r="V843">
        <v>80</v>
      </c>
      <c r="W843">
        <v>0</v>
      </c>
      <c r="X843">
        <v>0</v>
      </c>
      <c r="Y843">
        <v>0</v>
      </c>
      <c r="Z843" s="20">
        <v>138.83000000000001</v>
      </c>
      <c r="AA843" s="20">
        <f>IFERROR(PROPERTIES[[#This Row],[TE_STARTING_KN]]/(PROPERTIES[[#This Row],[WEIGHT]]*9.81),0)</f>
        <v>0.17050464856367367</v>
      </c>
      <c r="AB843" s="20">
        <v>0</v>
      </c>
      <c r="AC843" s="16">
        <f>ROUND(IF(IFERROR(PROPERTIES[[#This Row],[TE_COEFFICIENT_CALC]],0)=0,PROPERTIES[[#This Row],[TE_COEFFICIENT_MANUAL]],PROPERTIES[[#This Row],[TE_COEFFICIENT_CALC]]),3)</f>
        <v>0.17100000000000001</v>
      </c>
      <c r="AD843" s="27" cm="1">
        <f t="array" ref="AD8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71</v>
      </c>
      <c r="AE843" s="26">
        <v>0</v>
      </c>
      <c r="AF843" s="6">
        <v>0</v>
      </c>
      <c r="AG843" t="s">
        <v>232</v>
      </c>
      <c r="AH843" t="s">
        <v>229</v>
      </c>
      <c r="AI843" t="s">
        <v>229</v>
      </c>
      <c r="AJ843" s="2" t="s">
        <v>229</v>
      </c>
      <c r="AK843" s="2" t="s">
        <v>244</v>
      </c>
      <c r="AL84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3" s="2" t="str">
        <f>SUBSTITUTE(SUBSTITUTE(PROPERTIES[[#This Row],[PURCHASECOST_VALUE]], "PURCHASECOST_", ""), "_VALUE", "")</f>
        <v>STEAMENGINE</v>
      </c>
      <c r="AO843" s="44" t="b">
        <v>0</v>
      </c>
      <c r="AP843" s="48" t="b">
        <v>0</v>
      </c>
      <c r="AQ843" s="48" t="b">
        <v>0</v>
      </c>
      <c r="AR843" s="48">
        <v>0</v>
      </c>
      <c r="AS843" s="48" t="b">
        <v>0</v>
      </c>
      <c r="AT843" s="7" t="b">
        <v>0</v>
      </c>
      <c r="AU843" s="40" t="str" cm="1">
        <f t="array" ref="AU843">_xlfn.XLOOKUP(PROPERTIES[[#This Row],[VEHIDCODE]],GRAPHICS_PROPERTIES[VEHIDCODE],GRAPHICS_PROPERTIES[TEMPLATE_ID]&amp;GRAPHICS_PROPERTIES[TEMPLATE_AMENDMENT_CODE])</f>
        <v>TPL_03C</v>
      </c>
    </row>
    <row r="844" spans="1:47" x14ac:dyDescent="0.35">
      <c r="A844" s="2" t="s">
        <v>3309</v>
      </c>
      <c r="B844">
        <v>1941</v>
      </c>
      <c r="C844">
        <v>1956</v>
      </c>
      <c r="D844" cm="1">
        <f t="array" ref="D8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4" s="40" t="str">
        <f>_xlfn.XLOOKUP(PROPERTIES[[#This Row],[VEHIDCODE]],CONTROL[VEHIDCODE],CONTROL[ENGLISH])</f>
        <v>Victorian Railways H</v>
      </c>
      <c r="F844" t="s">
        <v>541</v>
      </c>
      <c r="G844" s="40" t="str">
        <f>_xlfn.XLOOKUP(PROPERTIES[[#This Row],[COUNTRY]],COUNTRIES[COUNTRY_DESCRIPTION],COUNTRIES[COUNTRY_LABEL],"")</f>
        <v>AU</v>
      </c>
      <c r="H844" t="str" cm="1">
        <f t="array" ref="H8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4" t="s">
        <v>17</v>
      </c>
      <c r="J844">
        <v>0</v>
      </c>
      <c r="K844">
        <v>7</v>
      </c>
      <c r="L844">
        <v>0</v>
      </c>
      <c r="M844" t="str" cm="1">
        <f t="array" ref="M8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4">
        <f>_xlfn.XLOOKUP("LOADINGSPEEDDEF_"&amp;PROPERTIES[[#This Row],[LOADINGSPEED]],LOADINGSPEEDDEF[TYPE],LOADINGSPEEDDEF[SPEED])</f>
        <v>20</v>
      </c>
      <c r="O844" cm="1">
        <f t="array" ref="O8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4">
        <f>IF(ISNUMBER(SEARCH("passenger",PROPERTIES[[#This Row],[CARGODEF]])),1,0)</f>
        <v>0</v>
      </c>
      <c r="Q844" s="23">
        <v>260</v>
      </c>
      <c r="R844">
        <v>3600</v>
      </c>
      <c r="S844">
        <v>0</v>
      </c>
      <c r="T844">
        <v>0</v>
      </c>
      <c r="U844">
        <v>0</v>
      </c>
      <c r="V844">
        <v>80</v>
      </c>
      <c r="W844">
        <v>0</v>
      </c>
      <c r="X844">
        <v>0</v>
      </c>
      <c r="Y844">
        <v>0</v>
      </c>
      <c r="Z844" s="20">
        <v>245</v>
      </c>
      <c r="AA844" s="20">
        <f>IFERROR(PROPERTIES[[#This Row],[TE_STARTING_KN]]/(PROPERTIES[[#This Row],[WEIGHT]]*9.81),0)</f>
        <v>9.6055830000784131E-2</v>
      </c>
      <c r="AB844" s="20">
        <v>0</v>
      </c>
      <c r="AC844" s="16">
        <f>ROUND(IF(IFERROR(PROPERTIES[[#This Row],[TE_COEFFICIENT_CALC]],0)=0,PROPERTIES[[#This Row],[TE_COEFFICIENT_MANUAL]],PROPERTIES[[#This Row],[TE_COEFFICIENT_CALC]]),3)</f>
        <v>9.6000000000000002E-2</v>
      </c>
      <c r="AD844" s="27" cm="1">
        <f t="array" ref="AD8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44" s="26">
        <v>0</v>
      </c>
      <c r="AF844" s="6">
        <v>5</v>
      </c>
      <c r="AG844" t="s">
        <v>232</v>
      </c>
      <c r="AH844" t="s">
        <v>229</v>
      </c>
      <c r="AI844" t="s">
        <v>229</v>
      </c>
      <c r="AJ844" s="2" t="s">
        <v>229</v>
      </c>
      <c r="AK844" s="2" t="s">
        <v>244</v>
      </c>
      <c r="AL84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4" s="2" t="str">
        <f>SUBSTITUTE(SUBSTITUTE(PROPERTIES[[#This Row],[PURCHASECOST_VALUE]], "PURCHASECOST_", ""), "_VALUE", "")</f>
        <v>STEAMENGINE</v>
      </c>
      <c r="AO844" s="44" t="b">
        <v>0</v>
      </c>
      <c r="AP844" s="48" t="b">
        <v>0</v>
      </c>
      <c r="AQ844" s="48" t="b">
        <v>0</v>
      </c>
      <c r="AR844" s="48">
        <v>0</v>
      </c>
      <c r="AS844" s="48" t="b">
        <v>0</v>
      </c>
      <c r="AT844" s="7" t="b">
        <v>0</v>
      </c>
      <c r="AU844" s="40" t="str" cm="1">
        <f t="array" ref="AU844">_xlfn.XLOOKUP(PROPERTIES[[#This Row],[VEHIDCODE]],GRAPHICS_PROPERTIES[VEHIDCODE],GRAPHICS_PROPERTIES[TEMPLATE_ID]&amp;GRAPHICS_PROPERTIES[TEMPLATE_AMENDMENT_CODE])</f>
        <v>TPL_03A</v>
      </c>
    </row>
    <row r="845" spans="1:47" x14ac:dyDescent="0.35">
      <c r="A845" s="2" t="s">
        <v>3310</v>
      </c>
      <c r="B845">
        <v>1953</v>
      </c>
      <c r="C845">
        <v>1975</v>
      </c>
      <c r="D845" cm="1">
        <f t="array" ref="D8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5" s="40" t="str">
        <f>_xlfn.XLOOKUP(PROPERTIES[[#This Row],[VEHIDCODE]],CONTROL[VEHIDCODE],CONTROL[ENGLISH])</f>
        <v>BTH 41 Class</v>
      </c>
      <c r="F845" t="s">
        <v>541</v>
      </c>
      <c r="G845" s="40" t="str">
        <f>_xlfn.XLOOKUP(PROPERTIES[[#This Row],[COUNTRY]],COUNTRIES[COUNTRY_DESCRIPTION],COUNTRIES[COUNTRY_LABEL],"")</f>
        <v>AU</v>
      </c>
      <c r="H845" t="str" cm="1">
        <f t="array" ref="H8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45" t="s">
        <v>17</v>
      </c>
      <c r="J845">
        <v>0</v>
      </c>
      <c r="K845">
        <v>6</v>
      </c>
      <c r="L845">
        <v>0</v>
      </c>
      <c r="M845" t="str" cm="1">
        <f t="array" ref="M8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5">
        <f>_xlfn.XLOOKUP("LOADINGSPEEDDEF_"&amp;PROPERTIES[[#This Row],[LOADINGSPEED]],LOADINGSPEEDDEF[TYPE],LOADINGSPEEDDEF[SPEED])</f>
        <v>20</v>
      </c>
      <c r="O845" cm="1">
        <f t="array" ref="O8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5">
        <f>IF(ISNUMBER(SEARCH("passenger",PROPERTIES[[#This Row],[CARGODEF]])),1,0)</f>
        <v>0</v>
      </c>
      <c r="Q845" s="23">
        <v>83</v>
      </c>
      <c r="R845">
        <v>400</v>
      </c>
      <c r="S845">
        <v>0</v>
      </c>
      <c r="T845">
        <v>0</v>
      </c>
      <c r="U845">
        <v>0</v>
      </c>
      <c r="V845">
        <v>92</v>
      </c>
      <c r="W845">
        <v>0</v>
      </c>
      <c r="X845">
        <v>0</v>
      </c>
      <c r="Y845">
        <v>0</v>
      </c>
      <c r="Z845" s="20">
        <v>150</v>
      </c>
      <c r="AA845" s="20">
        <f>IFERROR(PROPERTIES[[#This Row],[TE_STARTING_KN]]/(PROPERTIES[[#This Row],[WEIGHT]]*9.81),0)</f>
        <v>0.18422313105633542</v>
      </c>
      <c r="AB845" s="20">
        <v>0</v>
      </c>
      <c r="AC845" s="16">
        <f>ROUND(IF(IFERROR(PROPERTIES[[#This Row],[TE_COEFFICIENT_CALC]],0)=0,PROPERTIES[[#This Row],[TE_COEFFICIENT_MANUAL]],PROPERTIES[[#This Row],[TE_COEFFICIENT_CALC]]),3)</f>
        <v>0.184</v>
      </c>
      <c r="AD845" s="27" cm="1">
        <f t="array" ref="AD8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45" s="26">
        <v>0</v>
      </c>
      <c r="AF845" s="6">
        <v>0</v>
      </c>
      <c r="AG845" t="s">
        <v>232</v>
      </c>
      <c r="AH845" t="s">
        <v>229</v>
      </c>
      <c r="AI845" t="s">
        <v>229</v>
      </c>
      <c r="AJ845" s="2" t="s">
        <v>229</v>
      </c>
      <c r="AK845" s="2" t="s">
        <v>244</v>
      </c>
      <c r="AL84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4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45" s="2" t="str">
        <f>SUBSTITUTE(SUBSTITUTE(PROPERTIES[[#This Row],[PURCHASECOST_VALUE]], "PURCHASECOST_", ""), "_VALUE", "")</f>
        <v>DIESELENGINE</v>
      </c>
      <c r="AO845" s="44" t="b">
        <v>0</v>
      </c>
      <c r="AP845" s="48" t="b">
        <v>0</v>
      </c>
      <c r="AQ845" s="48" t="b">
        <v>0</v>
      </c>
      <c r="AR845" s="48">
        <v>0</v>
      </c>
      <c r="AS845" s="48" t="b">
        <v>0</v>
      </c>
      <c r="AT845" s="7" t="b">
        <v>0</v>
      </c>
      <c r="AU845" s="40" t="str" cm="1">
        <f t="array" ref="AU845">_xlfn.XLOOKUP(PROPERTIES[[#This Row],[VEHIDCODE]],GRAPHICS_PROPERTIES[VEHIDCODE],GRAPHICS_PROPERTIES[TEMPLATE_ID]&amp;GRAPHICS_PROPERTIES[TEMPLATE_AMENDMENT_CODE])</f>
        <v>TPL_01A</v>
      </c>
    </row>
    <row r="846" spans="1:47" x14ac:dyDescent="0.35">
      <c r="A846" s="2" t="s">
        <v>3311</v>
      </c>
      <c r="B846">
        <v>1959</v>
      </c>
      <c r="C846">
        <v>1994</v>
      </c>
      <c r="D846" cm="1">
        <f t="array" ref="D8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6" s="40" t="str">
        <f>_xlfn.XLOOKUP(PROPERTIES[[#This Row],[VEHIDCODE]],CONTROL[VEHIDCODE],CONTROL[ENGLISH])</f>
        <v>ALCO/AE Goodwin DL531/532</v>
      </c>
      <c r="F846" t="s">
        <v>541</v>
      </c>
      <c r="G846" s="40" t="str">
        <f>_xlfn.XLOOKUP(PROPERTIES[[#This Row],[COUNTRY]],COUNTRIES[COUNTRY_DESCRIPTION],COUNTRIES[COUNTRY_LABEL],"")</f>
        <v>AU</v>
      </c>
      <c r="H846" t="str" cm="1">
        <f t="array" ref="H8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46" t="s">
        <v>17</v>
      </c>
      <c r="J846">
        <v>0</v>
      </c>
      <c r="K846">
        <v>6</v>
      </c>
      <c r="L846">
        <v>0</v>
      </c>
      <c r="M846" t="str" cm="1">
        <f t="array" ref="M8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6">
        <f>_xlfn.XLOOKUP("LOADINGSPEEDDEF_"&amp;PROPERTIES[[#This Row],[LOADINGSPEED]],LOADINGSPEEDDEF[TYPE],LOADINGSPEEDDEF[SPEED])</f>
        <v>20</v>
      </c>
      <c r="O846" cm="1">
        <f t="array" ref="O8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6">
        <f>IF(ISNUMBER(SEARCH("passenger",PROPERTIES[[#This Row],[CARGODEF]])),1,0)</f>
        <v>0</v>
      </c>
      <c r="Q846" s="23">
        <v>75.2</v>
      </c>
      <c r="R846">
        <v>1050</v>
      </c>
      <c r="S846">
        <v>0</v>
      </c>
      <c r="T846">
        <v>0</v>
      </c>
      <c r="U846">
        <v>0</v>
      </c>
      <c r="V846">
        <v>100</v>
      </c>
      <c r="W846">
        <v>0</v>
      </c>
      <c r="X846">
        <v>0</v>
      </c>
      <c r="Y846">
        <v>0</v>
      </c>
      <c r="Z846" s="20">
        <v>178.82</v>
      </c>
      <c r="AA846" s="20">
        <f>IFERROR(PROPERTIES[[#This Row],[TE_STARTING_KN]]/(PROPERTIES[[#This Row],[WEIGHT]]*9.81),0)</f>
        <v>0.24239811742251716</v>
      </c>
      <c r="AB846" s="20">
        <v>0</v>
      </c>
      <c r="AC846" s="16">
        <f>ROUND(IF(IFERROR(PROPERTIES[[#This Row],[TE_COEFFICIENT_CALC]],0)=0,PROPERTIES[[#This Row],[TE_COEFFICIENT_MANUAL]],PROPERTIES[[#This Row],[TE_COEFFICIENT_CALC]]),3)</f>
        <v>0.24199999999999999</v>
      </c>
      <c r="AD846" s="27" cm="1">
        <f t="array" ref="AD8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46" s="26">
        <v>0</v>
      </c>
      <c r="AF846" s="6">
        <v>0</v>
      </c>
      <c r="AG846" t="s">
        <v>1948</v>
      </c>
      <c r="AH846" t="s">
        <v>1947</v>
      </c>
      <c r="AI846" t="s">
        <v>229</v>
      </c>
      <c r="AJ846" s="2" t="s">
        <v>229</v>
      </c>
      <c r="AK846" s="2" t="s">
        <v>244</v>
      </c>
      <c r="AL84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4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46" s="2" t="str">
        <f>SUBSTITUTE(SUBSTITUTE(PROPERTIES[[#This Row],[PURCHASECOST_VALUE]], "PURCHASECOST_", ""), "_VALUE", "")</f>
        <v>DIESELENGINE</v>
      </c>
      <c r="AO846" s="44" t="b">
        <v>0</v>
      </c>
      <c r="AP846" s="48" t="b">
        <v>0</v>
      </c>
      <c r="AQ846" s="48" t="b">
        <v>0</v>
      </c>
      <c r="AR846" s="48">
        <v>0</v>
      </c>
      <c r="AS846" s="48" t="b">
        <v>0</v>
      </c>
      <c r="AT846" s="7" t="b">
        <v>0</v>
      </c>
      <c r="AU846" s="40" t="str" cm="1">
        <f t="array" ref="AU846">_xlfn.XLOOKUP(PROPERTIES[[#This Row],[VEHIDCODE]],GRAPHICS_PROPERTIES[VEHIDCODE],GRAPHICS_PROPERTIES[TEMPLATE_ID]&amp;GRAPHICS_PROPERTIES[TEMPLATE_AMENDMENT_CODE])</f>
        <v>TPL_01A</v>
      </c>
    </row>
    <row r="847" spans="1:47" x14ac:dyDescent="0.35">
      <c r="A847" s="2" t="s">
        <v>3312</v>
      </c>
      <c r="B847">
        <v>1946</v>
      </c>
      <c r="C847">
        <v>2030</v>
      </c>
      <c r="D847" cm="1">
        <f t="array" ref="D8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7" s="40" t="str">
        <f>_xlfn.XLOOKUP(PROPERTIES[[#This Row],[VEHIDCODE]],CONTROL[VEHIDCODE],CONTROL[ENGLISH])</f>
        <v>ALCO/AE Goodwin DL500</v>
      </c>
      <c r="F847" t="s">
        <v>757</v>
      </c>
      <c r="G847" s="40" t="str">
        <f>_xlfn.XLOOKUP(PROPERTIES[[#This Row],[COUNTRY]],COUNTRIES[COUNTRY_DESCRIPTION],COUNTRIES[COUNTRY_LABEL],"")</f>
        <v>US</v>
      </c>
      <c r="H847" t="str" cm="1">
        <f t="array" ref="H8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47" t="s">
        <v>17</v>
      </c>
      <c r="J847">
        <v>0</v>
      </c>
      <c r="K847">
        <v>7</v>
      </c>
      <c r="L847">
        <v>0</v>
      </c>
      <c r="M847" t="str" cm="1">
        <f t="array" ref="M8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7">
        <f>_xlfn.XLOOKUP("LOADINGSPEEDDEF_"&amp;PROPERTIES[[#This Row],[LOADINGSPEED]],LOADINGSPEEDDEF[TYPE],LOADINGSPEEDDEF[SPEED])</f>
        <v>20</v>
      </c>
      <c r="O847" t="str" cm="1">
        <f t="array" ref="O8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47">
        <f>IF(ISNUMBER(SEARCH("passenger",PROPERTIES[[#This Row],[CARGODEF]])),1,0)</f>
        <v>0</v>
      </c>
      <c r="Q847" s="23">
        <v>110</v>
      </c>
      <c r="R847">
        <v>1600</v>
      </c>
      <c r="S847">
        <v>0</v>
      </c>
      <c r="T847">
        <v>0</v>
      </c>
      <c r="U847">
        <v>0</v>
      </c>
      <c r="V847">
        <v>113</v>
      </c>
      <c r="W847">
        <v>0</v>
      </c>
      <c r="X847">
        <v>0</v>
      </c>
      <c r="Y847">
        <v>0</v>
      </c>
      <c r="Z847" s="20">
        <v>270.8</v>
      </c>
      <c r="AA847" s="20">
        <f>IFERROR(PROPERTIES[[#This Row],[TE_STARTING_KN]]/(PROPERTIES[[#This Row],[WEIGHT]]*9.81),0)</f>
        <v>0.2509498656287647</v>
      </c>
      <c r="AB847" s="20">
        <v>0</v>
      </c>
      <c r="AC847" s="16">
        <f>ROUND(IF(IFERROR(PROPERTIES[[#This Row],[TE_COEFFICIENT_CALC]],0)=0,PROPERTIES[[#This Row],[TE_COEFFICIENT_MANUAL]],PROPERTIES[[#This Row],[TE_COEFFICIENT_CALC]]),3)</f>
        <v>0.251</v>
      </c>
      <c r="AD847" s="27" cm="1">
        <f t="array" ref="AD8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84</v>
      </c>
      <c r="AE847" s="26">
        <v>0</v>
      </c>
      <c r="AF847" s="6">
        <v>0</v>
      </c>
      <c r="AG847" t="s">
        <v>237</v>
      </c>
      <c r="AH847" t="s">
        <v>234</v>
      </c>
      <c r="AI847" t="s">
        <v>231</v>
      </c>
      <c r="AJ847" s="2" t="s">
        <v>1947</v>
      </c>
      <c r="AK847" s="2" t="s">
        <v>244</v>
      </c>
      <c r="AL84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4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47" s="2" t="str">
        <f>SUBSTITUTE(SUBSTITUTE(PROPERTIES[[#This Row],[PURCHASECOST_VALUE]], "PURCHASECOST_", ""), "_VALUE", "")</f>
        <v>DIESELENGINE</v>
      </c>
      <c r="AO847" s="44" t="b">
        <v>0</v>
      </c>
      <c r="AP847" s="48" t="b">
        <v>0</v>
      </c>
      <c r="AQ847" s="48" t="b">
        <v>0</v>
      </c>
      <c r="AR847" s="48">
        <v>0</v>
      </c>
      <c r="AS847" s="48" t="b">
        <v>0</v>
      </c>
      <c r="AT847" s="7" t="b">
        <v>0</v>
      </c>
      <c r="AU847" s="40" t="str" cm="1">
        <f t="array" ref="AU847">_xlfn.XLOOKUP(PROPERTIES[[#This Row],[VEHIDCODE]],GRAPHICS_PROPERTIES[VEHIDCODE],GRAPHICS_PROPERTIES[TEMPLATE_ID]&amp;GRAPHICS_PROPERTIES[TEMPLATE_AMENDMENT_CODE])</f>
        <v>TPL_01A</v>
      </c>
    </row>
    <row r="848" spans="1:47" x14ac:dyDescent="0.35">
      <c r="A848" s="2" t="s">
        <v>3313</v>
      </c>
      <c r="B848">
        <v>1951</v>
      </c>
      <c r="C848">
        <v>1988</v>
      </c>
      <c r="D848" cm="1">
        <f t="array" ref="D8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8" s="40" t="str">
        <f>_xlfn.XLOOKUP(PROPERTIES[[#This Row],[VEHIDCODE]],CONTROL[VEHIDCODE],CONTROL[ENGLISH])</f>
        <v>EMD/Clyde A16C</v>
      </c>
      <c r="F848" t="s">
        <v>541</v>
      </c>
      <c r="G848" s="40" t="str">
        <f>_xlfn.XLOOKUP(PROPERTIES[[#This Row],[COUNTRY]],COUNTRIES[COUNTRY_DESCRIPTION],COUNTRIES[COUNTRY_LABEL],"")</f>
        <v>AU</v>
      </c>
      <c r="H848" t="str" cm="1">
        <f t="array" ref="H8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48" t="s">
        <v>17</v>
      </c>
      <c r="J848">
        <v>0</v>
      </c>
      <c r="K848">
        <v>8</v>
      </c>
      <c r="L848">
        <v>0</v>
      </c>
      <c r="M848" t="str" cm="1">
        <f t="array" ref="M8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8">
        <f>_xlfn.XLOOKUP("LOADINGSPEEDDEF_"&amp;PROPERTIES[[#This Row],[LOADINGSPEED]],LOADINGSPEEDDEF[TYPE],LOADINGSPEEDDEF[SPEED])</f>
        <v>20</v>
      </c>
      <c r="O848" cm="1">
        <f t="array" ref="O8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8">
        <f>IF(ISNUMBER(SEARCH("passenger",PROPERTIES[[#This Row],[CARGODEF]])),1,0)</f>
        <v>0</v>
      </c>
      <c r="Q848" s="23">
        <v>114</v>
      </c>
      <c r="R848">
        <v>1750</v>
      </c>
      <c r="S848">
        <v>0</v>
      </c>
      <c r="T848">
        <v>0</v>
      </c>
      <c r="U848">
        <v>0</v>
      </c>
      <c r="V848">
        <v>145</v>
      </c>
      <c r="W848">
        <v>0</v>
      </c>
      <c r="X848">
        <v>0</v>
      </c>
      <c r="Y848">
        <v>0</v>
      </c>
      <c r="Z848" s="20">
        <v>251</v>
      </c>
      <c r="AA848" s="20">
        <f>IFERROR(PROPERTIES[[#This Row],[TE_STARTING_KN]]/(PROPERTIES[[#This Row],[WEIGHT]]*9.81),0)</f>
        <v>0.22443979469570968</v>
      </c>
      <c r="AB848" s="20">
        <v>0</v>
      </c>
      <c r="AC848" s="16">
        <f>ROUND(IF(IFERROR(PROPERTIES[[#This Row],[TE_COEFFICIENT_CALC]],0)=0,PROPERTIES[[#This Row],[TE_COEFFICIENT_MANUAL]],PROPERTIES[[#This Row],[TE_COEFFICIENT_CALC]]),3)</f>
        <v>0.224</v>
      </c>
      <c r="AD848" s="27" cm="1">
        <f t="array" ref="AD8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48" s="26">
        <v>0</v>
      </c>
      <c r="AF848" s="6">
        <v>0</v>
      </c>
      <c r="AG848" t="s">
        <v>232</v>
      </c>
      <c r="AH848" t="s">
        <v>229</v>
      </c>
      <c r="AI848" t="s">
        <v>229</v>
      </c>
      <c r="AJ848" s="2" t="s">
        <v>229</v>
      </c>
      <c r="AK848" s="2" t="s">
        <v>244</v>
      </c>
      <c r="AL84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4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48" s="2" t="str">
        <f>SUBSTITUTE(SUBSTITUTE(PROPERTIES[[#This Row],[PURCHASECOST_VALUE]], "PURCHASECOST_", ""), "_VALUE", "")</f>
        <v>DIESELENGINE</v>
      </c>
      <c r="AO848" s="44" t="b">
        <v>0</v>
      </c>
      <c r="AP848" s="48" t="b">
        <v>0</v>
      </c>
      <c r="AQ848" s="48" t="b">
        <v>0</v>
      </c>
      <c r="AR848" s="48">
        <v>0</v>
      </c>
      <c r="AS848" s="48" t="b">
        <v>0</v>
      </c>
      <c r="AT848" s="7" t="b">
        <v>0</v>
      </c>
      <c r="AU848" s="40" t="str" cm="1">
        <f t="array" ref="AU848">_xlfn.XLOOKUP(PROPERTIES[[#This Row],[VEHIDCODE]],GRAPHICS_PROPERTIES[VEHIDCODE],GRAPHICS_PROPERTIES[TEMPLATE_ID]&amp;GRAPHICS_PROPERTIES[TEMPLATE_AMENDMENT_CODE])</f>
        <v>TPL_01A</v>
      </c>
    </row>
    <row r="849" spans="1:47" x14ac:dyDescent="0.35">
      <c r="A849" s="2" t="s">
        <v>3457</v>
      </c>
      <c r="B849">
        <v>1984</v>
      </c>
      <c r="C849">
        <v>2014</v>
      </c>
      <c r="D849" cm="1">
        <f t="array" ref="D8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9" s="40" t="str">
        <f>_xlfn.XLOOKUP(PROPERTIES[[#This Row],[VEHIDCODE]],CONTROL[VEHIDCODE],CONTROL[ENGLISH])</f>
        <v>EMD/Clyde AAT22C-2R</v>
      </c>
      <c r="F849" t="s">
        <v>541</v>
      </c>
      <c r="G849" s="40" t="str">
        <f>_xlfn.XLOOKUP(PROPERTIES[[#This Row],[COUNTRY]],COUNTRIES[COUNTRY_DESCRIPTION],COUNTRIES[COUNTRY_LABEL],"")</f>
        <v>AU</v>
      </c>
      <c r="H849" t="str" cm="1">
        <f t="array" ref="H8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49" t="s">
        <v>17</v>
      </c>
      <c r="J849">
        <v>0</v>
      </c>
      <c r="K849">
        <v>8</v>
      </c>
      <c r="L849">
        <v>0</v>
      </c>
      <c r="M849" t="str" cm="1">
        <f t="array" ref="M8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9">
        <f>_xlfn.XLOOKUP("LOADINGSPEEDDEF_"&amp;PROPERTIES[[#This Row],[LOADINGSPEED]],LOADINGSPEEDDEF[TYPE],LOADINGSPEEDDEF[SPEED])</f>
        <v>20</v>
      </c>
      <c r="O849" cm="1">
        <f t="array" ref="O8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9">
        <f>IF(ISNUMBER(SEARCH("passenger",PROPERTIES[[#This Row],[CARGODEF]])),1,0)</f>
        <v>0</v>
      </c>
      <c r="Q849" s="23">
        <v>120</v>
      </c>
      <c r="R849">
        <v>2476</v>
      </c>
      <c r="S849">
        <v>0</v>
      </c>
      <c r="T849">
        <v>0</v>
      </c>
      <c r="U849">
        <v>0</v>
      </c>
      <c r="V849">
        <v>133</v>
      </c>
      <c r="W849">
        <v>0</v>
      </c>
      <c r="X849">
        <v>0</v>
      </c>
      <c r="Y849">
        <v>0</v>
      </c>
      <c r="Z849" s="20">
        <v>294</v>
      </c>
      <c r="AA849" s="20">
        <f>IFERROR(PROPERTIES[[#This Row],[TE_STARTING_KN]]/(PROPERTIES[[#This Row],[WEIGHT]]*9.81),0)</f>
        <v>0.24974515800203873</v>
      </c>
      <c r="AB849" s="20">
        <v>0</v>
      </c>
      <c r="AC849" s="16">
        <f>ROUND(IF(IFERROR(PROPERTIES[[#This Row],[TE_COEFFICIENT_CALC]],0)=0,PROPERTIES[[#This Row],[TE_COEFFICIENT_MANUAL]],PROPERTIES[[#This Row],[TE_COEFFICIENT_CALC]]),3)</f>
        <v>0.25</v>
      </c>
      <c r="AD849" s="27" cm="1">
        <f t="array" ref="AD8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49" s="26">
        <v>0</v>
      </c>
      <c r="AF849" s="6">
        <v>0</v>
      </c>
      <c r="AG849" t="s">
        <v>232</v>
      </c>
      <c r="AH849" t="s">
        <v>229</v>
      </c>
      <c r="AI849" t="s">
        <v>229</v>
      </c>
      <c r="AJ849" s="2" t="s">
        <v>229</v>
      </c>
      <c r="AK849" s="2" t="s">
        <v>244</v>
      </c>
      <c r="AL84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4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49" s="2" t="str">
        <f>SUBSTITUTE(SUBSTITUTE(PROPERTIES[[#This Row],[PURCHASECOST_VALUE]], "PURCHASECOST_", ""), "_VALUE", "")</f>
        <v>DIESELENGINE</v>
      </c>
      <c r="AO849" s="44" t="b">
        <v>0</v>
      </c>
      <c r="AP849" s="48" t="b">
        <v>0</v>
      </c>
      <c r="AQ849" s="48" t="b">
        <v>1</v>
      </c>
      <c r="AR849" s="48">
        <v>0</v>
      </c>
      <c r="AS849" s="48" t="b">
        <v>0</v>
      </c>
      <c r="AT849" s="7" t="b">
        <v>1</v>
      </c>
      <c r="AU849" s="40" t="str" cm="1">
        <f t="array" ref="AU849">_xlfn.XLOOKUP(PROPERTIES[[#This Row],[VEHIDCODE]],GRAPHICS_PROPERTIES[VEHIDCODE],GRAPHICS_PROPERTIES[TEMPLATE_ID]&amp;GRAPHICS_PROPERTIES[TEMPLATE_AMENDMENT_CODE])</f>
        <v>TPL_01A</v>
      </c>
    </row>
    <row r="850" spans="1:47" x14ac:dyDescent="0.35">
      <c r="A850" s="2" t="s">
        <v>3314</v>
      </c>
      <c r="B850">
        <v>1955</v>
      </c>
      <c r="C850">
        <v>1983</v>
      </c>
      <c r="D850" cm="1">
        <f t="array" ref="D8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0" s="40" t="str">
        <f>_xlfn.XLOOKUP(PROPERTIES[[#This Row],[VEHIDCODE]],CONTROL[VEHIDCODE],CONTROL[ENGLISH])</f>
        <v>EMD/Clyde A7</v>
      </c>
      <c r="F850" t="s">
        <v>541</v>
      </c>
      <c r="G850" s="40" t="str">
        <f>_xlfn.XLOOKUP(PROPERTIES[[#This Row],[COUNTRY]],COUNTRIES[COUNTRY_DESCRIPTION],COUNTRIES[COUNTRY_LABEL],"")</f>
        <v>AU</v>
      </c>
      <c r="H850" t="str" cm="1">
        <f t="array" ref="H8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0" t="s">
        <v>17</v>
      </c>
      <c r="J850">
        <v>0</v>
      </c>
      <c r="K850">
        <v>8</v>
      </c>
      <c r="L850">
        <v>0</v>
      </c>
      <c r="M850" t="str" cm="1">
        <f t="array" ref="M8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0">
        <f>_xlfn.XLOOKUP("LOADINGSPEEDDEF_"&amp;PROPERTIES[[#This Row],[LOADINGSPEED]],LOADINGSPEEDDEF[TYPE],LOADINGSPEEDDEF[SPEED])</f>
        <v>20</v>
      </c>
      <c r="O850" cm="1">
        <f t="array" ref="O8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50">
        <f>IF(ISNUMBER(SEARCH("passenger",PROPERTIES[[#This Row],[CARGODEF]])),1,0)</f>
        <v>0</v>
      </c>
      <c r="Q850" s="23">
        <v>122</v>
      </c>
      <c r="R850">
        <v>1750</v>
      </c>
      <c r="S850">
        <v>0</v>
      </c>
      <c r="T850">
        <v>0</v>
      </c>
      <c r="U850">
        <v>0</v>
      </c>
      <c r="V850">
        <v>114</v>
      </c>
      <c r="W850">
        <v>0</v>
      </c>
      <c r="X850">
        <v>0</v>
      </c>
      <c r="Y850">
        <v>0</v>
      </c>
      <c r="Z850" s="20">
        <v>300</v>
      </c>
      <c r="AA850" s="20">
        <f>IFERROR(PROPERTIES[[#This Row],[TE_STARTING_KN]]/(PROPERTIES[[#This Row],[WEIGHT]]*9.81),0)</f>
        <v>0.25066426028976785</v>
      </c>
      <c r="AB850" s="20">
        <v>0</v>
      </c>
      <c r="AC850" s="16">
        <f>ROUND(IF(IFERROR(PROPERTIES[[#This Row],[TE_COEFFICIENT_CALC]],0)=0,PROPERTIES[[#This Row],[TE_COEFFICIENT_MANUAL]],PROPERTIES[[#This Row],[TE_COEFFICIENT_CALC]]),3)</f>
        <v>0.251</v>
      </c>
      <c r="AD850" s="27" cm="1">
        <f t="array" ref="AD8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0" s="26">
        <v>0</v>
      </c>
      <c r="AF850" s="6">
        <v>0</v>
      </c>
      <c r="AG850" t="s">
        <v>232</v>
      </c>
      <c r="AH850" t="s">
        <v>229</v>
      </c>
      <c r="AI850" t="s">
        <v>229</v>
      </c>
      <c r="AJ850" s="2" t="s">
        <v>229</v>
      </c>
      <c r="AK850" s="2" t="s">
        <v>244</v>
      </c>
      <c r="AL85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0" s="2" t="str">
        <f>SUBSTITUTE(SUBSTITUTE(PROPERTIES[[#This Row],[PURCHASECOST_VALUE]], "PURCHASECOST_", ""), "_VALUE", "")</f>
        <v>DIESELENGINE</v>
      </c>
      <c r="AO850" s="44" t="b">
        <v>0</v>
      </c>
      <c r="AP850" s="48" t="b">
        <v>0</v>
      </c>
      <c r="AQ850" s="48" t="b">
        <v>0</v>
      </c>
      <c r="AR850" s="48">
        <v>0</v>
      </c>
      <c r="AS850" s="48" t="b">
        <v>0</v>
      </c>
      <c r="AT850" s="7" t="b">
        <v>0</v>
      </c>
      <c r="AU850" s="40" t="str" cm="1">
        <f t="array" ref="AU850">_xlfn.XLOOKUP(PROPERTIES[[#This Row],[VEHIDCODE]],GRAPHICS_PROPERTIES[VEHIDCODE],GRAPHICS_PROPERTIES[TEMPLATE_ID]&amp;GRAPHICS_PROPERTIES[TEMPLATE_AMENDMENT_CODE])</f>
        <v>TPL_01A</v>
      </c>
    </row>
    <row r="851" spans="1:47" x14ac:dyDescent="0.35">
      <c r="A851" s="2" t="s">
        <v>3315</v>
      </c>
      <c r="B851">
        <v>1988</v>
      </c>
      <c r="C851">
        <v>1996</v>
      </c>
      <c r="D851" cm="1">
        <f t="array" ref="D8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1" s="40" t="str">
        <f>_xlfn.XLOOKUP(PROPERTIES[[#This Row],[VEHIDCODE]],CONTROL[VEHIDCODE],CONTROL[ENGLISH])</f>
        <v xml:space="preserve">EMD/Clyde AT42C </v>
      </c>
      <c r="F851" t="s">
        <v>541</v>
      </c>
      <c r="G851" s="40" t="str">
        <f>_xlfn.XLOOKUP(PROPERTIES[[#This Row],[COUNTRY]],COUNTRIES[COUNTRY_DESCRIPTION],COUNTRIES[COUNTRY_LABEL],"")</f>
        <v>AU</v>
      </c>
      <c r="H851" t="str" cm="1">
        <f t="array" ref="H8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1" t="s">
        <v>17</v>
      </c>
      <c r="J851">
        <v>0</v>
      </c>
      <c r="K851">
        <v>8</v>
      </c>
      <c r="L851">
        <v>0</v>
      </c>
      <c r="M851" t="str" cm="1">
        <f t="array" ref="M8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1">
        <f>_xlfn.XLOOKUP("LOADINGSPEEDDEF_"&amp;PROPERTIES[[#This Row],[LOADINGSPEED]],LOADINGSPEEDDEF[TYPE],LOADINGSPEEDDEF[SPEED])</f>
        <v>20</v>
      </c>
      <c r="O851" t="str" cm="1">
        <f t="array" ref="O8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1">
        <f>IF(ISNUMBER(SEARCH("passenger",PROPERTIES[[#This Row],[CARGODEF]])),1,0)</f>
        <v>0</v>
      </c>
      <c r="Q851" s="23">
        <v>121</v>
      </c>
      <c r="R851">
        <v>3030</v>
      </c>
      <c r="S851">
        <v>0</v>
      </c>
      <c r="T851">
        <v>0</v>
      </c>
      <c r="U851">
        <v>0</v>
      </c>
      <c r="V851">
        <v>153</v>
      </c>
      <c r="W851">
        <v>0</v>
      </c>
      <c r="X851">
        <v>0</v>
      </c>
      <c r="Y851">
        <v>0</v>
      </c>
      <c r="Z851" s="20">
        <v>370</v>
      </c>
      <c r="AA851" s="20">
        <f>IFERROR(PROPERTIES[[#This Row],[TE_STARTING_KN]]/(PROPERTIES[[#This Row],[WEIGHT]]*9.81),0)</f>
        <v>0.31170756775427333</v>
      </c>
      <c r="AB851" s="20">
        <v>0</v>
      </c>
      <c r="AC851" s="16">
        <f>ROUND(IF(IFERROR(PROPERTIES[[#This Row],[TE_COEFFICIENT_CALC]],0)=0,PROPERTIES[[#This Row],[TE_COEFFICIENT_MANUAL]],PROPERTIES[[#This Row],[TE_COEFFICIENT_CALC]]),3)</f>
        <v>0.312</v>
      </c>
      <c r="AD851" s="27" cm="1">
        <f t="array" ref="AD8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1" s="26">
        <v>0</v>
      </c>
      <c r="AF851" s="6">
        <v>0</v>
      </c>
      <c r="AG851" t="s">
        <v>232</v>
      </c>
      <c r="AH851" t="s">
        <v>229</v>
      </c>
      <c r="AI851" t="s">
        <v>229</v>
      </c>
      <c r="AJ851" s="2" t="s">
        <v>229</v>
      </c>
      <c r="AK851" s="2" t="s">
        <v>244</v>
      </c>
      <c r="AL85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1" s="2" t="str">
        <f>SUBSTITUTE(SUBSTITUTE(PROPERTIES[[#This Row],[PURCHASECOST_VALUE]], "PURCHASECOST_", ""), "_VALUE", "")</f>
        <v>DIESELENGINE</v>
      </c>
      <c r="AO851" s="44" t="b">
        <v>0</v>
      </c>
      <c r="AP851" s="48" t="b">
        <v>0</v>
      </c>
      <c r="AQ851" s="48" t="b">
        <v>0</v>
      </c>
      <c r="AR851" s="48">
        <v>0</v>
      </c>
      <c r="AS851" s="48" t="b">
        <v>0</v>
      </c>
      <c r="AT851" s="7" t="b">
        <v>0</v>
      </c>
      <c r="AU851" s="40" t="str" cm="1">
        <f t="array" ref="AU851">_xlfn.XLOOKUP(PROPERTIES[[#This Row],[VEHIDCODE]],GRAPHICS_PROPERTIES[VEHIDCODE],GRAPHICS_PROPERTIES[TEMPLATE_ID]&amp;GRAPHICS_PROPERTIES[TEMPLATE_AMENDMENT_CODE])</f>
        <v>TPL_01A</v>
      </c>
    </row>
    <row r="852" spans="1:47" x14ac:dyDescent="0.35">
      <c r="A852" s="2" t="s">
        <v>3316</v>
      </c>
      <c r="B852">
        <v>1986</v>
      </c>
      <c r="D852" cm="1">
        <f t="array" ref="D8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2" s="40" t="str">
        <f>_xlfn.XLOOKUP(PROPERTIES[[#This Row],[VEHIDCODE]],CONTROL[VEHIDCODE],CONTROL[ENGLISH])</f>
        <v>Clyde-ASEA CF48</v>
      </c>
      <c r="F852" t="s">
        <v>541</v>
      </c>
      <c r="G852" s="40" t="str">
        <f>_xlfn.XLOOKUP(PROPERTIES[[#This Row],[COUNTRY]],COUNTRIES[COUNTRY_DESCRIPTION],COUNTRIES[COUNTRY_LABEL],"")</f>
        <v>AU</v>
      </c>
      <c r="H852" t="str" cm="1">
        <f t="array" ref="H8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52" t="s">
        <v>17</v>
      </c>
      <c r="J852">
        <v>0</v>
      </c>
      <c r="K852">
        <v>8</v>
      </c>
      <c r="L852">
        <v>0</v>
      </c>
      <c r="M852" t="str" cm="1">
        <f t="array" ref="M8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2">
        <f>_xlfn.XLOOKUP("LOADINGSPEEDDEF_"&amp;PROPERTIES[[#This Row],[LOADINGSPEED]],LOADINGSPEEDDEF[TYPE],LOADINGSPEEDDEF[SPEED])</f>
        <v>20</v>
      </c>
      <c r="O852" t="str" cm="1">
        <f t="array" ref="O8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2">
        <f>IF(ISNUMBER(SEARCH("passenger",PROPERTIES[[#This Row],[CARGODEF]])),1,0)</f>
        <v>0</v>
      </c>
      <c r="Q852" s="23">
        <v>109.8</v>
      </c>
      <c r="R852">
        <v>3880</v>
      </c>
      <c r="S852">
        <v>0</v>
      </c>
      <c r="T852">
        <v>0</v>
      </c>
      <c r="U852">
        <v>0</v>
      </c>
      <c r="V852">
        <v>80</v>
      </c>
      <c r="W852">
        <v>0</v>
      </c>
      <c r="X852">
        <v>0</v>
      </c>
      <c r="Y852">
        <v>0</v>
      </c>
      <c r="Z852" s="20">
        <v>341</v>
      </c>
      <c r="AA852" s="20">
        <f>IFERROR(PROPERTIES[[#This Row],[TE_STARTING_KN]]/(PROPERTIES[[#This Row],[WEIGHT]]*9.81),0)</f>
        <v>0.31657967688448463</v>
      </c>
      <c r="AB852" s="20">
        <v>0</v>
      </c>
      <c r="AC852" s="16">
        <f>ROUND(IF(IFERROR(PROPERTIES[[#This Row],[TE_COEFFICIENT_CALC]],0)=0,PROPERTIES[[#This Row],[TE_COEFFICIENT_MANUAL]],PROPERTIES[[#This Row],[TE_COEFFICIENT_CALC]]),3)</f>
        <v>0.317</v>
      </c>
      <c r="AD852" s="27" cm="1">
        <f t="array" ref="AD8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2" s="26">
        <v>0</v>
      </c>
      <c r="AF852" s="6">
        <v>0</v>
      </c>
      <c r="AG852" t="s">
        <v>232</v>
      </c>
      <c r="AH852" t="s">
        <v>229</v>
      </c>
      <c r="AI852" t="s">
        <v>229</v>
      </c>
      <c r="AJ852" s="2" t="s">
        <v>229</v>
      </c>
      <c r="AK852" s="2" t="s">
        <v>244</v>
      </c>
      <c r="AL85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5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52" s="2" t="str">
        <f>SUBSTITUTE(SUBSTITUTE(PROPERTIES[[#This Row],[PURCHASECOST_VALUE]], "PURCHASECOST_", ""), "_VALUE", "")</f>
        <v>ELECTRICENGINE</v>
      </c>
      <c r="AO852" s="44" t="b">
        <v>0</v>
      </c>
      <c r="AP852" s="48" t="b">
        <v>0</v>
      </c>
      <c r="AQ852" s="48" t="b">
        <v>0</v>
      </c>
      <c r="AR852" s="48">
        <v>0</v>
      </c>
      <c r="AS852" s="48" t="b">
        <v>0</v>
      </c>
      <c r="AT852" s="7" t="b">
        <v>0</v>
      </c>
      <c r="AU852" s="40" t="str" cm="1">
        <f t="array" ref="AU852">_xlfn.XLOOKUP(PROPERTIES[[#This Row],[VEHIDCODE]],GRAPHICS_PROPERTIES[VEHIDCODE],GRAPHICS_PROPERTIES[TEMPLATE_ID]&amp;GRAPHICS_PROPERTIES[TEMPLATE_AMENDMENT_CODE])</f>
        <v>TPL_01A</v>
      </c>
    </row>
    <row r="853" spans="1:47" x14ac:dyDescent="0.35">
      <c r="A853" s="2" t="s">
        <v>3317</v>
      </c>
      <c r="B853">
        <v>1994</v>
      </c>
      <c r="C853">
        <v>2025</v>
      </c>
      <c r="D853" cm="1">
        <f t="array" ref="D8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3" s="40" t="str">
        <f>_xlfn.XLOOKUP(PROPERTIES[[#This Row],[VEHIDCODE]],CONTROL[VEHIDCODE],CONTROL[ENGLISH])</f>
        <v>EMD GT46CWM</v>
      </c>
      <c r="F853" t="s">
        <v>541</v>
      </c>
      <c r="G853" s="40" t="str">
        <f>_xlfn.XLOOKUP(PROPERTIES[[#This Row],[COUNTRY]],COUNTRIES[COUNTRY_DESCRIPTION],COUNTRIES[COUNTRY_LABEL],"")</f>
        <v>AU</v>
      </c>
      <c r="H853" t="str" cm="1">
        <f t="array" ref="H8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3" t="s">
        <v>17</v>
      </c>
      <c r="J853">
        <v>0</v>
      </c>
      <c r="K853">
        <v>8</v>
      </c>
      <c r="L853">
        <v>0</v>
      </c>
      <c r="M853" t="str" cm="1">
        <f t="array" ref="M8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3">
        <f>_xlfn.XLOOKUP("LOADINGSPEEDDEF_"&amp;PROPERTIES[[#This Row],[LOADINGSPEED]],LOADINGSPEEDDEF[TYPE],LOADINGSPEEDDEF[SPEED])</f>
        <v>20</v>
      </c>
      <c r="O853" t="str" cm="1">
        <f t="array" ref="O8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3">
        <f>IF(ISNUMBER(SEARCH("passenger",PROPERTIES[[#This Row],[CARGODEF]])),1,0)</f>
        <v>0</v>
      </c>
      <c r="Q853" s="23">
        <v>165</v>
      </c>
      <c r="R853">
        <v>4060</v>
      </c>
      <c r="S853">
        <v>0</v>
      </c>
      <c r="T853">
        <v>0</v>
      </c>
      <c r="U853">
        <v>0</v>
      </c>
      <c r="V853">
        <v>115</v>
      </c>
      <c r="W853">
        <v>0</v>
      </c>
      <c r="X853">
        <v>0</v>
      </c>
      <c r="Y853">
        <v>0</v>
      </c>
      <c r="Z853" s="20">
        <v>470</v>
      </c>
      <c r="AA853" s="20">
        <f>IFERROR(PROPERTIES[[#This Row],[TE_STARTING_KN]]/(PROPERTIES[[#This Row],[WEIGHT]]*9.81),0)</f>
        <v>0.29036542798010684</v>
      </c>
      <c r="AB853" s="20">
        <v>0</v>
      </c>
      <c r="AC853" s="16">
        <f>ROUND(IF(IFERROR(PROPERTIES[[#This Row],[TE_COEFFICIENT_CALC]],0)=0,PROPERTIES[[#This Row],[TE_COEFFICIENT_MANUAL]],PROPERTIES[[#This Row],[TE_COEFFICIENT_CALC]]),3)</f>
        <v>0.28999999999999998</v>
      </c>
      <c r="AD853" s="27" cm="1">
        <f t="array" ref="AD8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3" s="26">
        <v>0</v>
      </c>
      <c r="AF853" s="6">
        <v>0</v>
      </c>
      <c r="AG853" t="s">
        <v>232</v>
      </c>
      <c r="AH853" t="s">
        <v>229</v>
      </c>
      <c r="AI853" t="s">
        <v>229</v>
      </c>
      <c r="AJ853" s="2" t="s">
        <v>229</v>
      </c>
      <c r="AK853" s="2" t="s">
        <v>244</v>
      </c>
      <c r="AL85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3" s="2" t="str">
        <f>SUBSTITUTE(SUBSTITUTE(PROPERTIES[[#This Row],[PURCHASECOST_VALUE]], "PURCHASECOST_", ""), "_VALUE", "")</f>
        <v>DIESELENGINE</v>
      </c>
      <c r="AO853" s="44" t="b">
        <v>0</v>
      </c>
      <c r="AP853" s="48" t="b">
        <v>0</v>
      </c>
      <c r="AQ853" s="48" t="b">
        <v>0</v>
      </c>
      <c r="AR853" s="48">
        <v>0</v>
      </c>
      <c r="AS853" s="48" t="b">
        <v>0</v>
      </c>
      <c r="AT853" s="7" t="b">
        <v>0</v>
      </c>
      <c r="AU853" s="40" t="str" cm="1">
        <f t="array" ref="AU853">_xlfn.XLOOKUP(PROPERTIES[[#This Row],[VEHIDCODE]],GRAPHICS_PROPERTIES[VEHIDCODE],GRAPHICS_PROPERTIES[TEMPLATE_ID]&amp;GRAPHICS_PROPERTIES[TEMPLATE_AMENDMENT_CODE])</f>
        <v>TPL_01A</v>
      </c>
    </row>
    <row r="854" spans="1:47" x14ac:dyDescent="0.35">
      <c r="A854" s="2" t="s">
        <v>3318</v>
      </c>
      <c r="B854">
        <v>1996</v>
      </c>
      <c r="D854" cm="1">
        <f t="array" ref="D8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4" s="40" t="str">
        <f>_xlfn.XLOOKUP(PROPERTIES[[#This Row],[VEHIDCODE]],CONTROL[VEHIDCODE],CONTROL[ENGLISH])</f>
        <v>Clyde-EMD GT46CW NR Concept</v>
      </c>
      <c r="F854" t="s">
        <v>541</v>
      </c>
      <c r="G854" s="40" t="str">
        <f>_xlfn.XLOOKUP(PROPERTIES[[#This Row],[COUNTRY]],COUNTRIES[COUNTRY_DESCRIPTION],COUNTRIES[COUNTRY_LABEL],"")</f>
        <v>AU</v>
      </c>
      <c r="H854" t="str" cm="1">
        <f t="array" ref="H8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4" t="s">
        <v>17</v>
      </c>
      <c r="J854">
        <v>0</v>
      </c>
      <c r="K854">
        <v>8</v>
      </c>
      <c r="L854">
        <v>0</v>
      </c>
      <c r="M854" t="str" cm="1">
        <f t="array" ref="M8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4">
        <f>_xlfn.XLOOKUP("LOADINGSPEEDDEF_"&amp;PROPERTIES[[#This Row],[LOADINGSPEED]],LOADINGSPEEDDEF[TYPE],LOADINGSPEEDDEF[SPEED])</f>
        <v>20</v>
      </c>
      <c r="O854" t="str" cm="1">
        <f t="array" ref="O8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4">
        <f>IF(ISNUMBER(SEARCH("passenger",PROPERTIES[[#This Row],[CARGODEF]])),1,0)</f>
        <v>0</v>
      </c>
      <c r="Q854" s="23">
        <v>132</v>
      </c>
      <c r="R854">
        <v>4000</v>
      </c>
      <c r="S854">
        <v>0</v>
      </c>
      <c r="T854">
        <v>0</v>
      </c>
      <c r="U854">
        <v>0</v>
      </c>
      <c r="V854">
        <v>115</v>
      </c>
      <c r="W854">
        <v>0</v>
      </c>
      <c r="X854">
        <v>0</v>
      </c>
      <c r="Y854">
        <v>0</v>
      </c>
      <c r="Z854" s="20">
        <v>450</v>
      </c>
      <c r="AA854" s="20">
        <f>IFERROR(PROPERTIES[[#This Row],[TE_STARTING_KN]]/(PROPERTIES[[#This Row],[WEIGHT]]*9.81),0)</f>
        <v>0.34751181540172366</v>
      </c>
      <c r="AB854" s="20">
        <v>0</v>
      </c>
      <c r="AC854" s="16">
        <f>ROUND(IF(IFERROR(PROPERTIES[[#This Row],[TE_COEFFICIENT_CALC]],0)=0,PROPERTIES[[#This Row],[TE_COEFFICIENT_MANUAL]],PROPERTIES[[#This Row],[TE_COEFFICIENT_CALC]]),3)</f>
        <v>0.34799999999999998</v>
      </c>
      <c r="AD854" s="27" cm="1">
        <f t="array" ref="AD8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4" s="26">
        <v>0</v>
      </c>
      <c r="AF854" s="6">
        <v>0</v>
      </c>
      <c r="AG854" t="s">
        <v>232</v>
      </c>
      <c r="AH854" t="s">
        <v>229</v>
      </c>
      <c r="AI854" t="s">
        <v>229</v>
      </c>
      <c r="AJ854" s="2" t="s">
        <v>229</v>
      </c>
      <c r="AK854" s="2" t="s">
        <v>245</v>
      </c>
      <c r="AL85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4" s="2" t="str">
        <f>SUBSTITUTE(SUBSTITUTE(PROPERTIES[[#This Row],[PURCHASECOST_VALUE]], "PURCHASECOST_", ""), "_VALUE", "")</f>
        <v>DIESELENGINE</v>
      </c>
      <c r="AO854" s="44" t="b">
        <v>0</v>
      </c>
      <c r="AP854" s="48" t="b">
        <v>0</v>
      </c>
      <c r="AQ854" s="48" t="b">
        <v>0</v>
      </c>
      <c r="AR854" s="48">
        <v>0</v>
      </c>
      <c r="AS854" s="48" t="b">
        <v>0</v>
      </c>
      <c r="AT854" s="7" t="b">
        <v>0</v>
      </c>
      <c r="AU854" s="40" t="str" cm="1">
        <f t="array" ref="AU854">_xlfn.XLOOKUP(PROPERTIES[[#This Row],[VEHIDCODE]],GRAPHICS_PROPERTIES[VEHIDCODE],GRAPHICS_PROPERTIES[TEMPLATE_ID]&amp;GRAPHICS_PROPERTIES[TEMPLATE_AMENDMENT_CODE])</f>
        <v>TPL_01A</v>
      </c>
    </row>
    <row r="855" spans="1:47" x14ac:dyDescent="0.35">
      <c r="A855" s="2" t="s">
        <v>3319</v>
      </c>
      <c r="B855">
        <v>1977</v>
      </c>
      <c r="D855" cm="1">
        <f t="array" ref="D8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5" s="40" t="str">
        <f>_xlfn.XLOOKUP(PROPERTIES[[#This Row],[VEHIDCODE]],CONTROL[VEHIDCODE],CONTROL[ENGLISH])</f>
        <v>Clyde JE28C PTC 73 Class Concept</v>
      </c>
      <c r="F855" t="s">
        <v>541</v>
      </c>
      <c r="G855" s="40" t="str">
        <f>_xlfn.XLOOKUP(PROPERTIES[[#This Row],[COUNTRY]],COUNTRIES[COUNTRY_DESCRIPTION],COUNTRIES[COUNTRY_LABEL],"")</f>
        <v>AU</v>
      </c>
      <c r="H855" t="str" cm="1">
        <f t="array" ref="H8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5" t="s">
        <v>17</v>
      </c>
      <c r="J855">
        <v>0</v>
      </c>
      <c r="K855">
        <v>8</v>
      </c>
      <c r="L855">
        <v>0</v>
      </c>
      <c r="M855" t="str" cm="1">
        <f t="array" ref="M8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5">
        <f>_xlfn.XLOOKUP("LOADINGSPEEDDEF_"&amp;PROPERTIES[[#This Row],[LOADINGSPEED]],LOADINGSPEEDDEF[TYPE],LOADINGSPEEDDEF[SPEED])</f>
        <v>20</v>
      </c>
      <c r="O855" cm="1">
        <f t="array" ref="O8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55">
        <f>IF(ISNUMBER(SEARCH("passenger",PROPERTIES[[#This Row],[CARGODEF]])),1,0)</f>
        <v>0</v>
      </c>
      <c r="Q855" s="23">
        <v>108</v>
      </c>
      <c r="R855">
        <v>2250</v>
      </c>
      <c r="S855">
        <v>0</v>
      </c>
      <c r="T855">
        <v>0</v>
      </c>
      <c r="U855">
        <v>0</v>
      </c>
      <c r="V855">
        <v>115</v>
      </c>
      <c r="W855">
        <v>0</v>
      </c>
      <c r="X855">
        <v>0</v>
      </c>
      <c r="Y855">
        <v>0</v>
      </c>
      <c r="Z855" s="20">
        <v>310</v>
      </c>
      <c r="AA855" s="20">
        <f>IFERROR(PROPERTIES[[#This Row],[TE_STARTING_KN]]/(PROPERTIES[[#This Row],[WEIGHT]]*9.81),0)</f>
        <v>0.29259636802959943</v>
      </c>
      <c r="AB855" s="20">
        <v>0</v>
      </c>
      <c r="AC855" s="16">
        <f>ROUND(IF(IFERROR(PROPERTIES[[#This Row],[TE_COEFFICIENT_CALC]],0)=0,PROPERTIES[[#This Row],[TE_COEFFICIENT_MANUAL]],PROPERTIES[[#This Row],[TE_COEFFICIENT_CALC]]),3)</f>
        <v>0.29299999999999998</v>
      </c>
      <c r="AD855" s="27" cm="1">
        <f t="array" ref="AD8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5" s="26">
        <v>0</v>
      </c>
      <c r="AF855" s="6">
        <v>0</v>
      </c>
      <c r="AG855" t="s">
        <v>232</v>
      </c>
      <c r="AH855" t="s">
        <v>229</v>
      </c>
      <c r="AI855" t="s">
        <v>229</v>
      </c>
      <c r="AJ855" s="2" t="s">
        <v>229</v>
      </c>
      <c r="AK855" s="2" t="s">
        <v>245</v>
      </c>
      <c r="AL85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5" s="2" t="str">
        <f>SUBSTITUTE(SUBSTITUTE(PROPERTIES[[#This Row],[PURCHASECOST_VALUE]], "PURCHASECOST_", ""), "_VALUE", "")</f>
        <v>DIESELENGINE</v>
      </c>
      <c r="AO855" s="44" t="b">
        <v>0</v>
      </c>
      <c r="AP855" s="48" t="b">
        <v>0</v>
      </c>
      <c r="AQ855" s="48" t="b">
        <v>0</v>
      </c>
      <c r="AR855" s="48">
        <v>0</v>
      </c>
      <c r="AS855" s="48" t="b">
        <v>0</v>
      </c>
      <c r="AT855" s="7" t="b">
        <v>0</v>
      </c>
      <c r="AU855" s="40" t="str" cm="1">
        <f t="array" ref="AU855">_xlfn.XLOOKUP(PROPERTIES[[#This Row],[VEHIDCODE]],GRAPHICS_PROPERTIES[VEHIDCODE],GRAPHICS_PROPERTIES[TEMPLATE_ID]&amp;GRAPHICS_PROPERTIES[TEMPLATE_AMENDMENT_CODE])</f>
        <v>TPL_01A</v>
      </c>
    </row>
    <row r="856" spans="1:47" x14ac:dyDescent="0.35">
      <c r="A856" s="2" t="s">
        <v>3320</v>
      </c>
      <c r="B856">
        <v>1985</v>
      </c>
      <c r="C856">
        <v>2030</v>
      </c>
      <c r="D856" cm="1">
        <f t="array" ref="D8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6" s="40" t="str">
        <f>_xlfn.XLOOKUP(PROPERTIES[[#This Row],[VEHIDCODE]],CONTROL[VEHIDCODE],CONTROL[ENGLISH])</f>
        <v>EMD/Clyde JT22HC-2</v>
      </c>
      <c r="F856" t="s">
        <v>541</v>
      </c>
      <c r="G856" s="40" t="str">
        <f>_xlfn.XLOOKUP(PROPERTIES[[#This Row],[COUNTRY]],COUNTRIES[COUNTRY_DESCRIPTION],COUNTRIES[COUNTRY_LABEL],"")</f>
        <v>AU</v>
      </c>
      <c r="H856" t="str" cm="1">
        <f t="array" ref="H8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6" t="s">
        <v>17</v>
      </c>
      <c r="J856">
        <v>0</v>
      </c>
      <c r="K856">
        <v>8</v>
      </c>
      <c r="L856">
        <v>0</v>
      </c>
      <c r="M856" t="str" cm="1">
        <f t="array" ref="M8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6">
        <f>_xlfn.XLOOKUP("LOADINGSPEEDDEF_"&amp;PROPERTIES[[#This Row],[LOADINGSPEED]],LOADINGSPEEDDEF[TYPE],LOADINGSPEEDDEF[SPEED])</f>
        <v>20</v>
      </c>
      <c r="O856" t="str" cm="1">
        <f t="array" ref="O8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6">
        <f>IF(ISNUMBER(SEARCH("passenger",PROPERTIES[[#This Row],[CARGODEF]])),1,0)</f>
        <v>0</v>
      </c>
      <c r="Q856" s="23">
        <v>123</v>
      </c>
      <c r="R856">
        <v>2476</v>
      </c>
      <c r="S856">
        <v>0</v>
      </c>
      <c r="T856">
        <v>0</v>
      </c>
      <c r="U856">
        <v>0</v>
      </c>
      <c r="V856">
        <v>130</v>
      </c>
      <c r="W856">
        <v>0</v>
      </c>
      <c r="X856">
        <v>0</v>
      </c>
      <c r="Y856">
        <v>0</v>
      </c>
      <c r="Z856" s="20">
        <v>289</v>
      </c>
      <c r="AA856" s="20">
        <f>IFERROR(PROPERTIES[[#This Row],[TE_STARTING_KN]]/(PROPERTIES[[#This Row],[WEIGHT]]*9.81),0)</f>
        <v>0.23951004036034243</v>
      </c>
      <c r="AB856" s="20">
        <v>0</v>
      </c>
      <c r="AC856" s="16">
        <f>ROUND(IF(IFERROR(PROPERTIES[[#This Row],[TE_COEFFICIENT_CALC]],0)=0,PROPERTIES[[#This Row],[TE_COEFFICIENT_MANUAL]],PROPERTIES[[#This Row],[TE_COEFFICIENT_CALC]]),3)</f>
        <v>0.24</v>
      </c>
      <c r="AD856" s="27" cm="1">
        <f t="array" ref="AD8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856" s="26">
        <v>0</v>
      </c>
      <c r="AF856" s="6">
        <v>0</v>
      </c>
      <c r="AG856" t="s">
        <v>232</v>
      </c>
      <c r="AH856" t="s">
        <v>229</v>
      </c>
      <c r="AI856" t="s">
        <v>229</v>
      </c>
      <c r="AJ856" s="2" t="s">
        <v>229</v>
      </c>
      <c r="AK856" s="2" t="s">
        <v>244</v>
      </c>
      <c r="AL85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6" s="2" t="str">
        <f>SUBSTITUTE(SUBSTITUTE(PROPERTIES[[#This Row],[PURCHASECOST_VALUE]], "PURCHASECOST_", ""), "_VALUE", "")</f>
        <v>DIESELENGINE</v>
      </c>
      <c r="AO856" s="44" t="b">
        <v>0</v>
      </c>
      <c r="AP856" s="48" t="b">
        <v>0</v>
      </c>
      <c r="AQ856" s="48" t="b">
        <v>0</v>
      </c>
      <c r="AR856" s="48">
        <v>0</v>
      </c>
      <c r="AS856" s="48" t="b">
        <v>0</v>
      </c>
      <c r="AT856" s="7" t="b">
        <v>0</v>
      </c>
      <c r="AU856" s="40" t="str" cm="1">
        <f t="array" ref="AU856">_xlfn.XLOOKUP(PROPERTIES[[#This Row],[VEHIDCODE]],GRAPHICS_PROPERTIES[VEHIDCODE],GRAPHICS_PROPERTIES[TEMPLATE_ID]&amp;GRAPHICS_PROPERTIES[TEMPLATE_AMENDMENT_CODE])</f>
        <v>TPL_01A</v>
      </c>
    </row>
    <row r="857" spans="1:47" x14ac:dyDescent="0.35">
      <c r="A857" s="2" t="s">
        <v>3452</v>
      </c>
      <c r="B857">
        <v>1982</v>
      </c>
      <c r="C857">
        <v>2030</v>
      </c>
      <c r="D857" cm="1">
        <f t="array" ref="D8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7" s="40" t="str">
        <f>_xlfn.XLOOKUP(PROPERTIES[[#This Row],[VEHIDCODE]],CONTROL[VEHIDCODE],CONTROL[ENGLISH])</f>
        <v>EMD/Clyde JT26C-2SS NSW 81</v>
      </c>
      <c r="F857" t="s">
        <v>541</v>
      </c>
      <c r="G857" s="40" t="str">
        <f>_xlfn.XLOOKUP(PROPERTIES[[#This Row],[COUNTRY]],COUNTRIES[COUNTRY_DESCRIPTION],COUNTRIES[COUNTRY_LABEL],"")</f>
        <v>AU</v>
      </c>
      <c r="H857" t="str" cm="1">
        <f t="array" ref="H8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7" t="s">
        <v>17</v>
      </c>
      <c r="J857">
        <v>0</v>
      </c>
      <c r="K857">
        <v>8</v>
      </c>
      <c r="L857">
        <v>0</v>
      </c>
      <c r="M857" t="str" cm="1">
        <f t="array" ref="M8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7">
        <f>_xlfn.XLOOKUP("LOADINGSPEEDDEF_"&amp;PROPERTIES[[#This Row],[LOADINGSPEED]],LOADINGSPEEDDEF[TYPE],LOADINGSPEEDDEF[SPEED])</f>
        <v>20</v>
      </c>
      <c r="O857" t="str" cm="1">
        <f t="array" ref="O8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7">
        <f>IF(ISNUMBER(SEARCH("passenger",PROPERTIES[[#This Row],[CARGODEF]])),1,0)</f>
        <v>0</v>
      </c>
      <c r="Q857" s="23">
        <v>129</v>
      </c>
      <c r="R857">
        <v>3300</v>
      </c>
      <c r="S857">
        <v>0</v>
      </c>
      <c r="T857">
        <v>0</v>
      </c>
      <c r="U857">
        <v>0</v>
      </c>
      <c r="V857">
        <v>115</v>
      </c>
      <c r="W857">
        <v>0</v>
      </c>
      <c r="X857">
        <v>0</v>
      </c>
      <c r="Y857">
        <v>0</v>
      </c>
      <c r="Z857" s="20">
        <v>370</v>
      </c>
      <c r="AA857" s="20">
        <f>IFERROR(PROPERTIES[[#This Row],[TE_STARTING_KN]]/(PROPERTIES[[#This Row],[WEIGHT]]*9.81),0)</f>
        <v>0.29237686587803935</v>
      </c>
      <c r="AB857" s="20">
        <v>0</v>
      </c>
      <c r="AC857" s="16">
        <f>ROUND(IF(IFERROR(PROPERTIES[[#This Row],[TE_COEFFICIENT_CALC]],0)=0,PROPERTIES[[#This Row],[TE_COEFFICIENT_MANUAL]],PROPERTIES[[#This Row],[TE_COEFFICIENT_CALC]]),3)</f>
        <v>0.29199999999999998</v>
      </c>
      <c r="AD857" s="27" cm="1">
        <f t="array" ref="AD8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857" s="26">
        <v>0</v>
      </c>
      <c r="AF857" s="6">
        <v>0</v>
      </c>
      <c r="AG857" t="s">
        <v>232</v>
      </c>
      <c r="AH857" t="s">
        <v>229</v>
      </c>
      <c r="AI857" t="s">
        <v>229</v>
      </c>
      <c r="AJ857" s="2" t="s">
        <v>229</v>
      </c>
      <c r="AK857" s="2" t="s">
        <v>244</v>
      </c>
      <c r="AL85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7" s="2" t="str">
        <f>SUBSTITUTE(SUBSTITUTE(PROPERTIES[[#This Row],[PURCHASECOST_VALUE]], "PURCHASECOST_", ""), "_VALUE", "")</f>
        <v>DIESELENGINE</v>
      </c>
      <c r="AO857" s="44" t="b">
        <v>0</v>
      </c>
      <c r="AP857" s="48" t="b">
        <v>0</v>
      </c>
      <c r="AQ857" s="48" t="b">
        <v>1</v>
      </c>
      <c r="AR857" s="48">
        <v>0</v>
      </c>
      <c r="AS857" s="48" t="b">
        <v>0</v>
      </c>
      <c r="AT857" s="7" t="b">
        <v>1</v>
      </c>
      <c r="AU857" s="40" t="str" cm="1">
        <f t="array" ref="AU857">_xlfn.XLOOKUP(PROPERTIES[[#This Row],[VEHIDCODE]],GRAPHICS_PROPERTIES[VEHIDCODE],GRAPHICS_PROPERTIES[TEMPLATE_ID]&amp;GRAPHICS_PROPERTIES[TEMPLATE_AMENDMENT_CODE])</f>
        <v>TPL_01A</v>
      </c>
    </row>
    <row r="858" spans="1:47" x14ac:dyDescent="0.35">
      <c r="A858" s="2" t="s">
        <v>3453</v>
      </c>
      <c r="B858">
        <v>1984</v>
      </c>
      <c r="C858">
        <v>2030</v>
      </c>
      <c r="D858" cm="1">
        <f t="array" ref="D8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8" s="40" t="str">
        <f>_xlfn.XLOOKUP(PROPERTIES[[#This Row],[VEHIDCODE]],CONTROL[VEHIDCODE],CONTROL[ENGLISH])</f>
        <v>EMD/Clyde JT26C-2SS V-line G</v>
      </c>
      <c r="F858" t="s">
        <v>541</v>
      </c>
      <c r="G858" s="40" t="str">
        <f>_xlfn.XLOOKUP(PROPERTIES[[#This Row],[COUNTRY]],COUNTRIES[COUNTRY_DESCRIPTION],COUNTRIES[COUNTRY_LABEL],"")</f>
        <v>AU</v>
      </c>
      <c r="H858" t="str" cm="1">
        <f t="array" ref="H8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8" t="s">
        <v>17</v>
      </c>
      <c r="J858">
        <v>0</v>
      </c>
      <c r="K858">
        <v>8</v>
      </c>
      <c r="L858">
        <v>0</v>
      </c>
      <c r="M858" t="str" cm="1">
        <f t="array" ref="M8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8">
        <f>_xlfn.XLOOKUP("LOADINGSPEEDDEF_"&amp;PROPERTIES[[#This Row],[LOADINGSPEED]],LOADINGSPEEDDEF[TYPE],LOADINGSPEEDDEF[SPEED])</f>
        <v>20</v>
      </c>
      <c r="O858" t="str" cm="1">
        <f t="array" ref="O8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8">
        <f>IF(ISNUMBER(SEARCH("passenger",PROPERTIES[[#This Row],[CARGODEF]])),1,0)</f>
        <v>0</v>
      </c>
      <c r="Q858" s="23">
        <v>127</v>
      </c>
      <c r="R858">
        <v>3000</v>
      </c>
      <c r="S858">
        <v>0</v>
      </c>
      <c r="T858">
        <v>0</v>
      </c>
      <c r="U858">
        <v>0</v>
      </c>
      <c r="V858">
        <v>115</v>
      </c>
      <c r="W858">
        <v>0</v>
      </c>
      <c r="X858">
        <v>0</v>
      </c>
      <c r="Y858">
        <v>0</v>
      </c>
      <c r="Z858" s="20">
        <v>337</v>
      </c>
      <c r="AA858" s="20">
        <f>IFERROR(PROPERTIES[[#This Row],[TE_STARTING_KN]]/(PROPERTIES[[#This Row],[WEIGHT]]*9.81),0)</f>
        <v>0.27049371122187704</v>
      </c>
      <c r="AB858" s="20">
        <v>0</v>
      </c>
      <c r="AC858" s="16">
        <f>ROUND(IF(IFERROR(PROPERTIES[[#This Row],[TE_COEFFICIENT_CALC]],0)=0,PROPERTIES[[#This Row],[TE_COEFFICIENT_MANUAL]],PROPERTIES[[#This Row],[TE_COEFFICIENT_CALC]]),3)</f>
        <v>0.27</v>
      </c>
      <c r="AD858" s="27" cm="1">
        <f t="array" ref="AD8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858" s="26">
        <v>0</v>
      </c>
      <c r="AF858" s="6">
        <v>0</v>
      </c>
      <c r="AG858" t="s">
        <v>232</v>
      </c>
      <c r="AH858" t="s">
        <v>229</v>
      </c>
      <c r="AI858" t="s">
        <v>229</v>
      </c>
      <c r="AJ858" s="2" t="s">
        <v>229</v>
      </c>
      <c r="AK858" s="2" t="s">
        <v>244</v>
      </c>
      <c r="AL85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8" s="2" t="str">
        <f>SUBSTITUTE(SUBSTITUTE(PROPERTIES[[#This Row],[PURCHASECOST_VALUE]], "PURCHASECOST_", ""), "_VALUE", "")</f>
        <v>DIESELENGINE</v>
      </c>
      <c r="AO858" s="44" t="b">
        <v>0</v>
      </c>
      <c r="AP858" s="48" t="b">
        <v>0</v>
      </c>
      <c r="AQ858" s="48" t="b">
        <v>0</v>
      </c>
      <c r="AR858" s="48">
        <v>0</v>
      </c>
      <c r="AS858" s="48" t="b">
        <v>0</v>
      </c>
      <c r="AT858" s="7" t="b">
        <v>0</v>
      </c>
      <c r="AU858" s="40" t="str" cm="1">
        <f t="array" ref="AU858">_xlfn.XLOOKUP(PROPERTIES[[#This Row],[VEHIDCODE]],GRAPHICS_PROPERTIES[VEHIDCODE],GRAPHICS_PROPERTIES[TEMPLATE_ID]&amp;GRAPHICS_PROPERTIES[TEMPLATE_AMENDMENT_CODE])</f>
        <v>TPL_01A</v>
      </c>
    </row>
    <row r="859" spans="1:47" x14ac:dyDescent="0.35">
      <c r="A859" s="2" t="s">
        <v>3476</v>
      </c>
      <c r="B859">
        <v>1982</v>
      </c>
      <c r="C859">
        <v>2030</v>
      </c>
      <c r="D859" cm="1">
        <f t="array" ref="D8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9" s="40" t="str">
        <f>_xlfn.XLOOKUP(PROPERTIES[[#This Row],[VEHIDCODE]],CONTROL[VEHIDCODE],CONTROL[ENGLISH])</f>
        <v>EMD/Clyde JT42C</v>
      </c>
      <c r="F859" t="s">
        <v>541</v>
      </c>
      <c r="G859" s="40" t="str">
        <f>_xlfn.XLOOKUP(PROPERTIES[[#This Row],[COUNTRY]],COUNTRIES[COUNTRY_DESCRIPTION],COUNTRIES[COUNTRY_LABEL],"")</f>
        <v>AU</v>
      </c>
      <c r="H859" t="str" cm="1">
        <f t="array" ref="H8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9" t="s">
        <v>17</v>
      </c>
      <c r="J859">
        <v>0</v>
      </c>
      <c r="K859">
        <v>8</v>
      </c>
      <c r="L859">
        <v>0</v>
      </c>
      <c r="M859" t="str" cm="1">
        <f t="array" ref="M8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9">
        <f>_xlfn.XLOOKUP("LOADINGSPEEDDEF_"&amp;PROPERTIES[[#This Row],[LOADINGSPEED]],LOADINGSPEEDDEF[TYPE],LOADINGSPEEDDEF[SPEED])</f>
        <v>20</v>
      </c>
      <c r="O859" t="str" cm="1">
        <f t="array" ref="O8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9">
        <f>IF(ISNUMBER(SEARCH("passenger",PROPERTIES[[#This Row],[CARGODEF]])),1,0)</f>
        <v>0</v>
      </c>
      <c r="Q859" s="23">
        <v>132</v>
      </c>
      <c r="R859">
        <v>3030</v>
      </c>
      <c r="S859">
        <v>0</v>
      </c>
      <c r="T859">
        <v>0</v>
      </c>
      <c r="U859">
        <v>0</v>
      </c>
      <c r="V859">
        <v>121</v>
      </c>
      <c r="W859">
        <v>0</v>
      </c>
      <c r="X859">
        <v>0</v>
      </c>
      <c r="Y859">
        <v>0</v>
      </c>
      <c r="Z859" s="20">
        <v>370</v>
      </c>
      <c r="AA859" s="20">
        <f>IFERROR(PROPERTIES[[#This Row],[TE_STARTING_KN]]/(PROPERTIES[[#This Row],[WEIGHT]]*9.81),0)</f>
        <v>0.28573193710808387</v>
      </c>
      <c r="AB859" s="20">
        <v>0</v>
      </c>
      <c r="AC859" s="16">
        <f>ROUND(IF(IFERROR(PROPERTIES[[#This Row],[TE_COEFFICIENT_CALC]],0)=0,PROPERTIES[[#This Row],[TE_COEFFICIENT_MANUAL]],PROPERTIES[[#This Row],[TE_COEFFICIENT_CALC]]),3)</f>
        <v>0.28599999999999998</v>
      </c>
      <c r="AD859" s="27" cm="1">
        <f t="array" ref="AD8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859" s="26">
        <v>0</v>
      </c>
      <c r="AF859" s="6">
        <v>0</v>
      </c>
      <c r="AG859" t="s">
        <v>232</v>
      </c>
      <c r="AH859" t="s">
        <v>229</v>
      </c>
      <c r="AI859" t="s">
        <v>229</v>
      </c>
      <c r="AJ859" s="2" t="s">
        <v>229</v>
      </c>
      <c r="AK859" s="2" t="s">
        <v>244</v>
      </c>
      <c r="AL85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9" s="2" t="str">
        <f>SUBSTITUTE(SUBSTITUTE(PROPERTIES[[#This Row],[PURCHASECOST_VALUE]], "PURCHASECOST_", ""), "_VALUE", "")</f>
        <v>DIESELENGINE</v>
      </c>
      <c r="AO859" s="44" t="b">
        <v>0</v>
      </c>
      <c r="AP859" s="48" t="b">
        <v>0</v>
      </c>
      <c r="AQ859" s="48" t="b">
        <v>0</v>
      </c>
      <c r="AR859" s="48">
        <v>0</v>
      </c>
      <c r="AS859" s="48" t="b">
        <v>0</v>
      </c>
      <c r="AT859" s="7" t="b">
        <v>0</v>
      </c>
      <c r="AU859" s="40" t="str" cm="1">
        <f t="array" ref="AU859">_xlfn.XLOOKUP(PROPERTIES[[#This Row],[VEHIDCODE]],GRAPHICS_PROPERTIES[VEHIDCODE],GRAPHICS_PROPERTIES[TEMPLATE_ID]&amp;GRAPHICS_PROPERTIES[TEMPLATE_AMENDMENT_CODE])</f>
        <v>TPL_01A</v>
      </c>
    </row>
    <row r="860" spans="1:47" x14ac:dyDescent="0.35">
      <c r="A860" s="2" t="s">
        <v>3458</v>
      </c>
      <c r="B860">
        <v>1998</v>
      </c>
      <c r="C860">
        <v>2030</v>
      </c>
      <c r="D860" cm="1">
        <f t="array" ref="D8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0" s="40" t="str">
        <f>_xlfn.XLOOKUP(PROPERTIES[[#This Row],[VEHIDCODE]],CONTROL[VEHIDCODE],CONTROL[ENGLISH])</f>
        <v>EMD JT42C 90-1277</v>
      </c>
      <c r="F860" t="s">
        <v>541</v>
      </c>
      <c r="G860" s="40" t="str">
        <f>_xlfn.XLOOKUP(PROPERTIES[[#This Row],[COUNTRY]],COUNTRIES[COUNTRY_DESCRIPTION],COUNTRIES[COUNTRY_LABEL],"")</f>
        <v>AU</v>
      </c>
      <c r="H860" t="str" cm="1">
        <f t="array" ref="H8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0" t="s">
        <v>17</v>
      </c>
      <c r="J860">
        <v>0</v>
      </c>
      <c r="K860">
        <v>8</v>
      </c>
      <c r="L860">
        <v>0</v>
      </c>
      <c r="M860" t="str" cm="1">
        <f t="array" ref="M8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0">
        <f>_xlfn.XLOOKUP("LOADINGSPEEDDEF_"&amp;PROPERTIES[[#This Row],[LOADINGSPEED]],LOADINGSPEEDDEF[TYPE],LOADINGSPEEDDEF[SPEED])</f>
        <v>20</v>
      </c>
      <c r="O860" t="str" cm="1">
        <f t="array" ref="O8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0">
        <f>IF(ISNUMBER(SEARCH("passenger",PROPERTIES[[#This Row],[CARGODEF]])),1,0)</f>
        <v>0</v>
      </c>
      <c r="Q860" s="23">
        <v>116</v>
      </c>
      <c r="R860">
        <v>3010</v>
      </c>
      <c r="S860">
        <v>0</v>
      </c>
      <c r="T860">
        <v>0</v>
      </c>
      <c r="U860">
        <v>0</v>
      </c>
      <c r="V860">
        <v>115</v>
      </c>
      <c r="W860">
        <v>0</v>
      </c>
      <c r="X860">
        <v>0</v>
      </c>
      <c r="Y860">
        <v>0</v>
      </c>
      <c r="Z860" s="20">
        <v>331</v>
      </c>
      <c r="AA860" s="20">
        <f>IFERROR(PROPERTIES[[#This Row],[TE_STARTING_KN]]/(PROPERTIES[[#This Row],[WEIGHT]]*9.81),0)</f>
        <v>0.29087138387992545</v>
      </c>
      <c r="AB860" s="20">
        <v>0</v>
      </c>
      <c r="AC860" s="16">
        <f>ROUND(IF(IFERROR(PROPERTIES[[#This Row],[TE_COEFFICIENT_CALC]],0)=0,PROPERTIES[[#This Row],[TE_COEFFICIENT_MANUAL]],PROPERTIES[[#This Row],[TE_COEFFICIENT_CALC]]),3)</f>
        <v>0.29099999999999998</v>
      </c>
      <c r="AD860" s="27" cm="1">
        <f t="array" ref="AD8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0" s="26">
        <v>0</v>
      </c>
      <c r="AF860" s="6">
        <v>0</v>
      </c>
      <c r="AG860" t="s">
        <v>232</v>
      </c>
      <c r="AH860" t="s">
        <v>229</v>
      </c>
      <c r="AI860" t="s">
        <v>229</v>
      </c>
      <c r="AJ860" s="2" t="s">
        <v>229</v>
      </c>
      <c r="AK860" s="2" t="s">
        <v>244</v>
      </c>
      <c r="AL86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0" s="2" t="str">
        <f>SUBSTITUTE(SUBSTITUTE(PROPERTIES[[#This Row],[PURCHASECOST_VALUE]], "PURCHASECOST_", ""), "_VALUE", "")</f>
        <v>DIESELENGINE</v>
      </c>
      <c r="AO860" s="44" t="b">
        <v>0</v>
      </c>
      <c r="AP860" s="48" t="b">
        <v>0</v>
      </c>
      <c r="AQ860" s="48" t="b">
        <v>0</v>
      </c>
      <c r="AR860" s="48">
        <v>0</v>
      </c>
      <c r="AS860" s="48" t="b">
        <v>0</v>
      </c>
      <c r="AT860" s="7" t="b">
        <v>0</v>
      </c>
      <c r="AU860" s="40" t="str" cm="1">
        <f t="array" ref="AU860">_xlfn.XLOOKUP(PROPERTIES[[#This Row],[VEHIDCODE]],GRAPHICS_PROPERTIES[VEHIDCODE],GRAPHICS_PROPERTIES[TEMPLATE_ID]&amp;GRAPHICS_PROPERTIES[TEMPLATE_AMENDMENT_CODE])</f>
        <v>TPL_01A</v>
      </c>
    </row>
    <row r="861" spans="1:47" x14ac:dyDescent="0.35">
      <c r="A861" s="2" t="s">
        <v>3321</v>
      </c>
      <c r="B861">
        <v>1952</v>
      </c>
      <c r="C861">
        <v>1981</v>
      </c>
      <c r="D861" cm="1">
        <f t="array" ref="D8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1" s="40" t="str">
        <f>_xlfn.XLOOKUP(PROPERTIES[[#This Row],[VEHIDCODE]],CONTROL[VEHIDCODE],CONTROL[ENGLISH])</f>
        <v>EMD/Clyde JT42C</v>
      </c>
      <c r="F861" t="s">
        <v>541</v>
      </c>
      <c r="G861" s="40" t="str">
        <f>_xlfn.XLOOKUP(PROPERTIES[[#This Row],[COUNTRY]],COUNTRIES[COUNTRY_DESCRIPTION],COUNTRIES[COUNTRY_LABEL],"")</f>
        <v>AU</v>
      </c>
      <c r="H861" t="str" cm="1">
        <f t="array" ref="H8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1" t="s">
        <v>17</v>
      </c>
      <c r="J861">
        <v>0</v>
      </c>
      <c r="K861">
        <v>8</v>
      </c>
      <c r="L861">
        <v>0</v>
      </c>
      <c r="M861" t="str" cm="1">
        <f t="array" ref="M8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1">
        <f>_xlfn.XLOOKUP("LOADINGSPEEDDEF_"&amp;PROPERTIES[[#This Row],[LOADINGSPEED]],LOADINGSPEEDDEF[TYPE],LOADINGSPEEDDEF[SPEED])</f>
        <v>20</v>
      </c>
      <c r="O861" cm="1">
        <f t="array" ref="O8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61">
        <f>IF(ISNUMBER(SEARCH("passenger",PROPERTIES[[#This Row],[CARGODEF]])),1,0)</f>
        <v>0</v>
      </c>
      <c r="Q861" s="23">
        <v>114</v>
      </c>
      <c r="R861">
        <v>1500</v>
      </c>
      <c r="S861">
        <v>0</v>
      </c>
      <c r="T861">
        <v>0</v>
      </c>
      <c r="U861">
        <v>0</v>
      </c>
      <c r="V861">
        <v>133</v>
      </c>
      <c r="W861">
        <v>0</v>
      </c>
      <c r="X861">
        <v>0</v>
      </c>
      <c r="Y861">
        <v>0</v>
      </c>
      <c r="Z861" s="20">
        <v>267</v>
      </c>
      <c r="AA861" s="20">
        <f>IFERROR(PROPERTIES[[#This Row],[TE_STARTING_KN]]/(PROPERTIES[[#This Row],[WEIGHT]]*9.81),0)</f>
        <v>0.23874671387949994</v>
      </c>
      <c r="AB861" s="20">
        <v>0</v>
      </c>
      <c r="AC861" s="16">
        <f>ROUND(IF(IFERROR(PROPERTIES[[#This Row],[TE_COEFFICIENT_CALC]],0)=0,PROPERTIES[[#This Row],[TE_COEFFICIENT_MANUAL]],PROPERTIES[[#This Row],[TE_COEFFICIENT_CALC]]),3)</f>
        <v>0.23899999999999999</v>
      </c>
      <c r="AD861" s="27" cm="1">
        <f t="array" ref="AD8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1" s="26">
        <v>0</v>
      </c>
      <c r="AF861" s="6">
        <v>0</v>
      </c>
      <c r="AG861" t="s">
        <v>232</v>
      </c>
      <c r="AH861" t="s">
        <v>229</v>
      </c>
      <c r="AI861" t="s">
        <v>229</v>
      </c>
      <c r="AJ861" s="2" t="s">
        <v>229</v>
      </c>
      <c r="AK861" s="2" t="s">
        <v>244</v>
      </c>
      <c r="AL86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1" s="2" t="str">
        <f>SUBSTITUTE(SUBSTITUTE(PROPERTIES[[#This Row],[PURCHASECOST_VALUE]], "PURCHASECOST_", ""), "_VALUE", "")</f>
        <v>DIESELENGINE</v>
      </c>
      <c r="AO861" s="44" t="b">
        <v>0</v>
      </c>
      <c r="AP861" s="48" t="b">
        <v>0</v>
      </c>
      <c r="AQ861" s="48" t="b">
        <v>1</v>
      </c>
      <c r="AR861" s="48">
        <v>0</v>
      </c>
      <c r="AS861" s="48" t="b">
        <v>0</v>
      </c>
      <c r="AT861" s="7" t="b">
        <v>1</v>
      </c>
      <c r="AU861" s="40" t="str" cm="1">
        <f t="array" ref="AU861">_xlfn.XLOOKUP(PROPERTIES[[#This Row],[VEHIDCODE]],GRAPHICS_PROPERTIES[VEHIDCODE],GRAPHICS_PROPERTIES[TEMPLATE_ID]&amp;GRAPHICS_PROPERTIES[TEMPLATE_AMENDMENT_CODE])</f>
        <v>TPL_01A</v>
      </c>
    </row>
    <row r="862" spans="1:47" x14ac:dyDescent="0.35">
      <c r="A862" s="2" t="s">
        <v>3459</v>
      </c>
      <c r="B862">
        <v>1990</v>
      </c>
      <c r="C862">
        <v>2030</v>
      </c>
      <c r="D862" cm="1">
        <f t="array" ref="D8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2" s="40" t="str">
        <f>_xlfn.XLOOKUP(PROPERTIES[[#This Row],[VEHIDCODE]],CONTROL[VEHIDCODE],CONTROL[ENGLISH])</f>
        <v>EMD/Clyde ML2</v>
      </c>
      <c r="F862" t="s">
        <v>541</v>
      </c>
      <c r="G862" s="40" t="str">
        <f>_xlfn.XLOOKUP(PROPERTIES[[#This Row],[COUNTRY]],COUNTRIES[COUNTRY_DESCRIPTION],COUNTRIES[COUNTRY_LABEL],"")</f>
        <v>AU</v>
      </c>
      <c r="H862" t="str" cm="1">
        <f t="array" ref="H8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2" t="s">
        <v>17</v>
      </c>
      <c r="J862">
        <v>0</v>
      </c>
      <c r="K862">
        <v>8</v>
      </c>
      <c r="L862">
        <v>0</v>
      </c>
      <c r="M862" t="str" cm="1">
        <f t="array" ref="M8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2">
        <f>_xlfn.XLOOKUP("LOADINGSPEEDDEF_"&amp;PROPERTIES[[#This Row],[LOADINGSPEED]],LOADINGSPEEDDEF[TYPE],LOADINGSPEEDDEF[SPEED])</f>
        <v>20</v>
      </c>
      <c r="O862" t="str" cm="1">
        <f t="array" ref="O8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2">
        <f>IF(ISNUMBER(SEARCH("passenger",PROPERTIES[[#This Row],[CARGODEF]])),1,0)</f>
        <v>0</v>
      </c>
      <c r="Q862" s="23">
        <v>132</v>
      </c>
      <c r="R862">
        <v>3030</v>
      </c>
      <c r="S862">
        <v>0</v>
      </c>
      <c r="T862">
        <v>0</v>
      </c>
      <c r="U862">
        <v>0</v>
      </c>
      <c r="V862">
        <v>121</v>
      </c>
      <c r="W862">
        <v>0</v>
      </c>
      <c r="X862">
        <v>0</v>
      </c>
      <c r="Y862">
        <v>0</v>
      </c>
      <c r="Z862" s="20">
        <v>413</v>
      </c>
      <c r="AA862" s="20">
        <f>IFERROR(PROPERTIES[[#This Row],[TE_STARTING_KN]]/(PROPERTIES[[#This Row],[WEIGHT]]*9.81),0)</f>
        <v>0.31893862169091525</v>
      </c>
      <c r="AB862" s="20">
        <v>0</v>
      </c>
      <c r="AC862" s="16">
        <f>ROUND(IF(IFERROR(PROPERTIES[[#This Row],[TE_COEFFICIENT_CALC]],0)=0,PROPERTIES[[#This Row],[TE_COEFFICIENT_MANUAL]],PROPERTIES[[#This Row],[TE_COEFFICIENT_CALC]]),3)</f>
        <v>0.31900000000000001</v>
      </c>
      <c r="AD862" s="27" cm="1">
        <f t="array" ref="AD8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2" s="26">
        <v>0</v>
      </c>
      <c r="AF862" s="6">
        <v>0</v>
      </c>
      <c r="AG862" t="s">
        <v>232</v>
      </c>
      <c r="AH862" t="s">
        <v>229</v>
      </c>
      <c r="AI862" t="s">
        <v>229</v>
      </c>
      <c r="AJ862" s="2" t="s">
        <v>229</v>
      </c>
      <c r="AK862" s="2" t="s">
        <v>244</v>
      </c>
      <c r="AL86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2" s="2" t="str">
        <f>SUBSTITUTE(SUBSTITUTE(PROPERTIES[[#This Row],[PURCHASECOST_VALUE]], "PURCHASECOST_", ""), "_VALUE", "")</f>
        <v>DIESELENGINE</v>
      </c>
      <c r="AO862" s="44" t="b">
        <v>0</v>
      </c>
      <c r="AP862" s="48" t="b">
        <v>0</v>
      </c>
      <c r="AQ862" s="48" t="b">
        <v>0</v>
      </c>
      <c r="AR862" s="48">
        <v>0</v>
      </c>
      <c r="AS862" s="48" t="b">
        <v>0</v>
      </c>
      <c r="AT862" s="7" t="b">
        <v>0</v>
      </c>
      <c r="AU862" s="40" t="str" cm="1">
        <f t="array" ref="AU862">_xlfn.XLOOKUP(PROPERTIES[[#This Row],[VEHIDCODE]],GRAPHICS_PROPERTIES[VEHIDCODE],GRAPHICS_PROPERTIES[TEMPLATE_ID]&amp;GRAPHICS_PROPERTIES[TEMPLATE_AMENDMENT_CODE])</f>
        <v>TPL_01A</v>
      </c>
    </row>
    <row r="863" spans="1:47" x14ac:dyDescent="0.35">
      <c r="A863" s="2" t="s">
        <v>3322</v>
      </c>
      <c r="B863">
        <v>1966</v>
      </c>
      <c r="C863">
        <v>2030</v>
      </c>
      <c r="D863" cm="1">
        <f t="array" ref="D8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3" s="40" t="str">
        <f>_xlfn.XLOOKUP(PROPERTIES[[#This Row],[VEHIDCODE]],CONTROL[VEHIDCODE],CONTROL[ENGLISH])</f>
        <v>EMD/Clyde G16C X1</v>
      </c>
      <c r="F863" t="s">
        <v>541</v>
      </c>
      <c r="G863" s="40" t="str">
        <f>_xlfn.XLOOKUP(PROPERTIES[[#This Row],[COUNTRY]],COUNTRIES[COUNTRY_DESCRIPTION],COUNTRIES[COUNTRY_LABEL],"")</f>
        <v>AU</v>
      </c>
      <c r="H863" t="str" cm="1">
        <f t="array" ref="H8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3" t="s">
        <v>17</v>
      </c>
      <c r="J863">
        <v>0</v>
      </c>
      <c r="K863">
        <v>8</v>
      </c>
      <c r="L863">
        <v>0</v>
      </c>
      <c r="M863" t="str" cm="1">
        <f t="array" ref="M8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3">
        <f>_xlfn.XLOOKUP("LOADINGSPEEDDEF_"&amp;PROPERTIES[[#This Row],[LOADINGSPEED]],LOADINGSPEEDDEF[TYPE],LOADINGSPEEDDEF[SPEED])</f>
        <v>20</v>
      </c>
      <c r="O863" t="str" cm="1">
        <f t="array" ref="O8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3">
        <f>IF(ISNUMBER(SEARCH("passenger",PROPERTIES[[#This Row],[CARGODEF]])),1,0)</f>
        <v>0</v>
      </c>
      <c r="Q863" s="23">
        <v>114</v>
      </c>
      <c r="R863">
        <v>1810</v>
      </c>
      <c r="S863">
        <v>0</v>
      </c>
      <c r="T863">
        <v>0</v>
      </c>
      <c r="U863">
        <v>0</v>
      </c>
      <c r="V863">
        <v>133</v>
      </c>
      <c r="W863">
        <v>0</v>
      </c>
      <c r="X863">
        <v>0</v>
      </c>
      <c r="Y863">
        <v>0</v>
      </c>
      <c r="Z863" s="20">
        <v>330</v>
      </c>
      <c r="AA863" s="20">
        <f>IFERROR(PROPERTIES[[#This Row],[TE_STARTING_KN]]/(PROPERTIES[[#This Row],[WEIGHT]]*9.81),0)</f>
        <v>0.2950802081656741</v>
      </c>
      <c r="AB863" s="20">
        <v>0</v>
      </c>
      <c r="AC863" s="16">
        <f>ROUND(IF(IFERROR(PROPERTIES[[#This Row],[TE_COEFFICIENT_CALC]],0)=0,PROPERTIES[[#This Row],[TE_COEFFICIENT_MANUAL]],PROPERTIES[[#This Row],[TE_COEFFICIENT_CALC]]),3)</f>
        <v>0.29499999999999998</v>
      </c>
      <c r="AD863" s="27" cm="1">
        <f t="array" ref="AD8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64</v>
      </c>
      <c r="AE863" s="26">
        <v>0</v>
      </c>
      <c r="AF863" s="6">
        <v>0</v>
      </c>
      <c r="AG863" t="s">
        <v>232</v>
      </c>
      <c r="AH863" t="s">
        <v>229</v>
      </c>
      <c r="AI863" t="s">
        <v>229</v>
      </c>
      <c r="AJ863" s="2" t="s">
        <v>229</v>
      </c>
      <c r="AK863" s="2" t="s">
        <v>244</v>
      </c>
      <c r="AL86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3" s="2" t="str">
        <f>SUBSTITUTE(SUBSTITUTE(PROPERTIES[[#This Row],[PURCHASECOST_VALUE]], "PURCHASECOST_", ""), "_VALUE", "")</f>
        <v>DIESELENGINE</v>
      </c>
      <c r="AO863" s="44" t="b">
        <v>0</v>
      </c>
      <c r="AP863" s="48" t="b">
        <v>0</v>
      </c>
      <c r="AQ863" s="48" t="b">
        <v>0</v>
      </c>
      <c r="AR863" s="48">
        <v>0</v>
      </c>
      <c r="AS863" s="48" t="b">
        <v>0</v>
      </c>
      <c r="AT863" s="7" t="b">
        <v>0</v>
      </c>
      <c r="AU863" s="40" t="str" cm="1">
        <f t="array" ref="AU863">_xlfn.XLOOKUP(PROPERTIES[[#This Row],[VEHIDCODE]],GRAPHICS_PROPERTIES[VEHIDCODE],GRAPHICS_PROPERTIES[TEMPLATE_ID]&amp;GRAPHICS_PROPERTIES[TEMPLATE_AMENDMENT_CODE])</f>
        <v>TPL_01A</v>
      </c>
    </row>
    <row r="864" spans="1:47" x14ac:dyDescent="0.35">
      <c r="A864" s="2" t="s">
        <v>3323</v>
      </c>
      <c r="B864">
        <v>1970</v>
      </c>
      <c r="C864">
        <v>2030</v>
      </c>
      <c r="D864" cm="1">
        <f t="array" ref="D8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4" s="40" t="str">
        <f>_xlfn.XLOOKUP(PROPERTIES[[#This Row],[VEHIDCODE]],CONTROL[VEHIDCODE],CONTROL[ENGLISH])</f>
        <v>EMD/Clyde G26C X2</v>
      </c>
      <c r="F864" t="s">
        <v>541</v>
      </c>
      <c r="G864" s="40" t="str">
        <f>_xlfn.XLOOKUP(PROPERTIES[[#This Row],[COUNTRY]],COUNTRIES[COUNTRY_DESCRIPTION],COUNTRIES[COUNTRY_LABEL],"")</f>
        <v>AU</v>
      </c>
      <c r="H864" t="str" cm="1">
        <f t="array" ref="H8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4" t="s">
        <v>17</v>
      </c>
      <c r="J864">
        <v>0</v>
      </c>
      <c r="K864">
        <v>8</v>
      </c>
      <c r="L864">
        <v>0</v>
      </c>
      <c r="M864" t="str" cm="1">
        <f t="array" ref="M8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4">
        <f>_xlfn.XLOOKUP("LOADINGSPEEDDEF_"&amp;PROPERTIES[[#This Row],[LOADINGSPEED]],LOADINGSPEEDDEF[TYPE],LOADINGSPEEDDEF[SPEED])</f>
        <v>20</v>
      </c>
      <c r="O864" t="str" cm="1">
        <f t="array" ref="O8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4">
        <f>IF(ISNUMBER(SEARCH("passenger",PROPERTIES[[#This Row],[CARGODEF]])),1,0)</f>
        <v>0</v>
      </c>
      <c r="Q864" s="23">
        <v>116</v>
      </c>
      <c r="R864">
        <v>2000</v>
      </c>
      <c r="S864">
        <v>0</v>
      </c>
      <c r="T864">
        <v>0</v>
      </c>
      <c r="U864">
        <v>0</v>
      </c>
      <c r="V864">
        <v>133</v>
      </c>
      <c r="W864">
        <v>0</v>
      </c>
      <c r="X864">
        <v>0</v>
      </c>
      <c r="Y864">
        <v>0</v>
      </c>
      <c r="Z864" s="20">
        <v>350</v>
      </c>
      <c r="AA864" s="20">
        <f>IFERROR(PROPERTIES[[#This Row],[TE_STARTING_KN]]/(PROPERTIES[[#This Row],[WEIGHT]]*9.81),0)</f>
        <v>0.30756792857393933</v>
      </c>
      <c r="AB864" s="20">
        <v>0</v>
      </c>
      <c r="AC864" s="16">
        <f>ROUND(IF(IFERROR(PROPERTIES[[#This Row],[TE_COEFFICIENT_CALC]],0)=0,PROPERTIES[[#This Row],[TE_COEFFICIENT_MANUAL]],PROPERTIES[[#This Row],[TE_COEFFICIENT_CALC]]),3)</f>
        <v>0.308</v>
      </c>
      <c r="AD864" s="27" cm="1">
        <f t="array" ref="AD8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864" s="26">
        <v>0</v>
      </c>
      <c r="AF864" s="6">
        <v>0</v>
      </c>
      <c r="AG864" t="s">
        <v>232</v>
      </c>
      <c r="AH864" t="s">
        <v>229</v>
      </c>
      <c r="AI864" t="s">
        <v>229</v>
      </c>
      <c r="AJ864" s="2" t="s">
        <v>229</v>
      </c>
      <c r="AK864" s="2" t="s">
        <v>244</v>
      </c>
      <c r="AL86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4" s="2" t="str">
        <f>SUBSTITUTE(SUBSTITUTE(PROPERTIES[[#This Row],[PURCHASECOST_VALUE]], "PURCHASECOST_", ""), "_VALUE", "")</f>
        <v>DIESELENGINE</v>
      </c>
      <c r="AO864" s="44" t="b">
        <v>0</v>
      </c>
      <c r="AP864" s="48" t="b">
        <v>0</v>
      </c>
      <c r="AQ864" s="48" t="b">
        <v>1</v>
      </c>
      <c r="AR864" s="48">
        <v>0</v>
      </c>
      <c r="AS864" s="48" t="b">
        <v>0</v>
      </c>
      <c r="AT864" s="7" t="b">
        <v>1</v>
      </c>
      <c r="AU864" s="40" t="str" cm="1">
        <f t="array" ref="AU864">_xlfn.XLOOKUP(PROPERTIES[[#This Row],[VEHIDCODE]],GRAPHICS_PROPERTIES[VEHIDCODE],GRAPHICS_PROPERTIES[TEMPLATE_ID]&amp;GRAPHICS_PROPERTIES[TEMPLATE_AMENDMENT_CODE])</f>
        <v>TPL_01A</v>
      </c>
    </row>
    <row r="865" spans="1:47" x14ac:dyDescent="0.35">
      <c r="A865" s="2" t="s">
        <v>3324</v>
      </c>
      <c r="B865">
        <v>1975</v>
      </c>
      <c r="C865">
        <v>2030</v>
      </c>
      <c r="D865" cm="1">
        <f t="array" ref="D8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5" s="40" t="str">
        <f>_xlfn.XLOOKUP(PROPERTIES[[#This Row],[VEHIDCODE]],CONTROL[VEHIDCODE],CONTROL[ENGLISH])</f>
        <v>EMD/Clyde G26C X3</v>
      </c>
      <c r="F865" t="s">
        <v>541</v>
      </c>
      <c r="G865" s="40" t="str">
        <f>_xlfn.XLOOKUP(PROPERTIES[[#This Row],[COUNTRY]],COUNTRIES[COUNTRY_DESCRIPTION],COUNTRIES[COUNTRY_LABEL],"")</f>
        <v>AU</v>
      </c>
      <c r="H865" t="str" cm="1">
        <f t="array" ref="H8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5" t="s">
        <v>17</v>
      </c>
      <c r="J865">
        <v>0</v>
      </c>
      <c r="K865">
        <v>8</v>
      </c>
      <c r="L865">
        <v>0</v>
      </c>
      <c r="M865" t="str" cm="1">
        <f t="array" ref="M8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5">
        <f>_xlfn.XLOOKUP("LOADINGSPEEDDEF_"&amp;PROPERTIES[[#This Row],[LOADINGSPEED]],LOADINGSPEEDDEF[TYPE],LOADINGSPEEDDEF[SPEED])</f>
        <v>20</v>
      </c>
      <c r="O865" t="str" cm="1">
        <f t="array" ref="O8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5">
        <f>IF(ISNUMBER(SEARCH("passenger",PROPERTIES[[#This Row],[CARGODEF]])),1,0)</f>
        <v>0</v>
      </c>
      <c r="Q865" s="23">
        <v>116</v>
      </c>
      <c r="R865">
        <v>2200</v>
      </c>
      <c r="S865">
        <v>0</v>
      </c>
      <c r="T865">
        <v>0</v>
      </c>
      <c r="U865">
        <v>0</v>
      </c>
      <c r="V865">
        <v>133</v>
      </c>
      <c r="W865">
        <v>0</v>
      </c>
      <c r="X865">
        <v>0</v>
      </c>
      <c r="Y865">
        <v>0</v>
      </c>
      <c r="Z865" s="20">
        <v>370</v>
      </c>
      <c r="AA865" s="20">
        <f>IFERROR(PROPERTIES[[#This Row],[TE_STARTING_KN]]/(PROPERTIES[[#This Row],[WEIGHT]]*9.81),0)</f>
        <v>0.32514323877816442</v>
      </c>
      <c r="AB865" s="20">
        <v>0</v>
      </c>
      <c r="AC865" s="16">
        <f>ROUND(IF(IFERROR(PROPERTIES[[#This Row],[TE_COEFFICIENT_CALC]],0)=0,PROPERTIES[[#This Row],[TE_COEFFICIENT_MANUAL]],PROPERTIES[[#This Row],[TE_COEFFICIENT_CALC]]),3)</f>
        <v>0.32500000000000001</v>
      </c>
      <c r="AD865" s="27" cm="1">
        <f t="array" ref="AD8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55</v>
      </c>
      <c r="AE865" s="26">
        <v>0</v>
      </c>
      <c r="AF865" s="6">
        <v>0</v>
      </c>
      <c r="AG865" t="s">
        <v>232</v>
      </c>
      <c r="AH865" t="s">
        <v>229</v>
      </c>
      <c r="AI865" t="s">
        <v>229</v>
      </c>
      <c r="AJ865" s="2" t="s">
        <v>229</v>
      </c>
      <c r="AK865" s="2" t="s">
        <v>244</v>
      </c>
      <c r="AL86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5" s="2" t="str">
        <f>SUBSTITUTE(SUBSTITUTE(PROPERTIES[[#This Row],[PURCHASECOST_VALUE]], "PURCHASECOST_", ""), "_VALUE", "")</f>
        <v>DIESELENGINE</v>
      </c>
      <c r="AO865" s="44" t="b">
        <v>0</v>
      </c>
      <c r="AP865" s="48" t="b">
        <v>0</v>
      </c>
      <c r="AQ865" s="48" t="b">
        <v>1</v>
      </c>
      <c r="AR865" s="48">
        <v>0</v>
      </c>
      <c r="AS865" s="48" t="b">
        <v>0</v>
      </c>
      <c r="AT865" s="7" t="b">
        <v>1</v>
      </c>
      <c r="AU865" s="40" t="str" cm="1">
        <f t="array" ref="AU865">_xlfn.XLOOKUP(PROPERTIES[[#This Row],[VEHIDCODE]],GRAPHICS_PROPERTIES[VEHIDCODE],GRAPHICS_PROPERTIES[TEMPLATE_ID]&amp;GRAPHICS_PROPERTIES[TEMPLATE_AMENDMENT_CODE])</f>
        <v>TPL_01A</v>
      </c>
    </row>
    <row r="866" spans="1:47" x14ac:dyDescent="0.35">
      <c r="A866" s="2" t="s">
        <v>3325</v>
      </c>
      <c r="B866">
        <v>1978</v>
      </c>
      <c r="D866" cm="1">
        <f t="array" ref="D8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6" s="40" t="str">
        <f>_xlfn.XLOOKUP(PROPERTIES[[#This Row],[VEHIDCODE]],CONTROL[VEHIDCODE],CONTROL[ENGLISH])</f>
        <v>ALCO/Comeng CE615A</v>
      </c>
      <c r="F866" t="s">
        <v>541</v>
      </c>
      <c r="G866" s="40" t="str">
        <f>_xlfn.XLOOKUP(PROPERTIES[[#This Row],[COUNTRY]],COUNTRIES[COUNTRY_DESCRIPTION],COUNTRIES[COUNTRY_LABEL],"")</f>
        <v>AU</v>
      </c>
      <c r="H866" t="str" cm="1">
        <f t="array" ref="H8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6" t="s">
        <v>17</v>
      </c>
      <c r="J866">
        <v>0</v>
      </c>
      <c r="K866">
        <v>8</v>
      </c>
      <c r="L866">
        <v>0</v>
      </c>
      <c r="M866" t="str" cm="1">
        <f t="array" ref="M8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6">
        <f>_xlfn.XLOOKUP("LOADINGSPEEDDEF_"&amp;PROPERTIES[[#This Row],[LOADINGSPEED]],LOADINGSPEEDDEF[TYPE],LOADINGSPEEDDEF[SPEED])</f>
        <v>20</v>
      </c>
      <c r="O866" cm="1">
        <f t="array" ref="O8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66">
        <f>IF(ISNUMBER(SEARCH("passenger",PROPERTIES[[#This Row],[CARGODEF]])),1,0)</f>
        <v>0</v>
      </c>
      <c r="Q866" s="23">
        <v>122</v>
      </c>
      <c r="R866">
        <v>2150</v>
      </c>
      <c r="S866">
        <v>0</v>
      </c>
      <c r="T866">
        <v>0</v>
      </c>
      <c r="U866">
        <v>0</v>
      </c>
      <c r="V866">
        <v>120</v>
      </c>
      <c r="W866">
        <v>0</v>
      </c>
      <c r="X866">
        <v>0</v>
      </c>
      <c r="Y866">
        <v>0</v>
      </c>
      <c r="Z866" s="20">
        <v>356</v>
      </c>
      <c r="AA866" s="20">
        <f>IFERROR(PROPERTIES[[#This Row],[TE_STARTING_KN]]/(PROPERTIES[[#This Row],[WEIGHT]]*9.81),0)</f>
        <v>0.2974549222105245</v>
      </c>
      <c r="AB866" s="20">
        <v>0</v>
      </c>
      <c r="AC866" s="16">
        <f>ROUND(IF(IFERROR(PROPERTIES[[#This Row],[TE_COEFFICIENT_CALC]],0)=0,PROPERTIES[[#This Row],[TE_COEFFICIENT_MANUAL]],PROPERTIES[[#This Row],[TE_COEFFICIENT_CALC]]),3)</f>
        <v>0.29699999999999999</v>
      </c>
      <c r="AD866" s="27" cm="1">
        <f t="array" ref="AD8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6" s="26">
        <v>0</v>
      </c>
      <c r="AF866" s="6">
        <v>0</v>
      </c>
      <c r="AG866" t="s">
        <v>232</v>
      </c>
      <c r="AH866" t="s">
        <v>229</v>
      </c>
      <c r="AI866" t="s">
        <v>229</v>
      </c>
      <c r="AJ866" s="2" t="s">
        <v>229</v>
      </c>
      <c r="AK866" s="2" t="s">
        <v>244</v>
      </c>
      <c r="AL86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6" s="2" t="str">
        <f>SUBSTITUTE(SUBSTITUTE(PROPERTIES[[#This Row],[PURCHASECOST_VALUE]], "PURCHASECOST_", ""), "_VALUE", "")</f>
        <v>DIESELENGINE</v>
      </c>
      <c r="AO866" s="44" t="b">
        <v>0</v>
      </c>
      <c r="AP866" s="48" t="b">
        <v>0</v>
      </c>
      <c r="AQ866" s="48" t="b">
        <v>0</v>
      </c>
      <c r="AR866" s="48">
        <v>0</v>
      </c>
      <c r="AS866" s="48" t="b">
        <v>0</v>
      </c>
      <c r="AT866" s="7" t="b">
        <v>0</v>
      </c>
      <c r="AU866" s="40" t="str" cm="1">
        <f t="array" ref="AU866">_xlfn.XLOOKUP(PROPERTIES[[#This Row],[VEHIDCODE]],GRAPHICS_PROPERTIES[VEHIDCODE],GRAPHICS_PROPERTIES[TEMPLATE_ID]&amp;GRAPHICS_PROPERTIES[TEMPLATE_AMENDMENT_CODE])</f>
        <v>TPL_01A</v>
      </c>
    </row>
    <row r="867" spans="1:47" x14ac:dyDescent="0.35">
      <c r="A867" t="s">
        <v>3326</v>
      </c>
      <c r="B867">
        <v>1979</v>
      </c>
      <c r="C867">
        <v>2007</v>
      </c>
      <c r="D867" cm="1">
        <f t="array" ref="D8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7" s="40" t="str">
        <f>_xlfn.XLOOKUP(PROPERTIES[[#This Row],[VEHIDCODE]],CONTROL[VEHIDCODE],CONTROL[ENGLISH])</f>
        <v>Comeng Class 85</v>
      </c>
      <c r="F867" t="s">
        <v>541</v>
      </c>
      <c r="G867" s="40" t="str">
        <f>_xlfn.XLOOKUP(PROPERTIES[[#This Row],[COUNTRY]],COUNTRIES[COUNTRY_DESCRIPTION],COUNTRIES[COUNTRY_LABEL],"")</f>
        <v>AU</v>
      </c>
      <c r="H867" t="str" cm="1">
        <f t="array" ref="H8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67" t="s">
        <v>17</v>
      </c>
      <c r="J867">
        <v>0</v>
      </c>
      <c r="K867">
        <v>8</v>
      </c>
      <c r="L867">
        <v>0</v>
      </c>
      <c r="M867" t="str" cm="1">
        <f t="array" ref="M8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7">
        <f>_xlfn.XLOOKUP("LOADINGSPEEDDEF_"&amp;PROPERTIES[[#This Row],[LOADINGSPEED]],LOADINGSPEEDDEF[TYPE],LOADINGSPEEDDEF[SPEED])</f>
        <v>20</v>
      </c>
      <c r="O867" cm="1">
        <f t="array" ref="O8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67">
        <f>IF(ISNUMBER(SEARCH("passenger",PROPERTIES[[#This Row],[CARGODEF]])),1,0)</f>
        <v>0</v>
      </c>
      <c r="Q867" s="23">
        <v>123</v>
      </c>
      <c r="R867">
        <v>3860</v>
      </c>
      <c r="S867">
        <v>0</v>
      </c>
      <c r="T867">
        <v>0</v>
      </c>
      <c r="U867">
        <v>0</v>
      </c>
      <c r="V867">
        <v>130</v>
      </c>
      <c r="W867">
        <v>0</v>
      </c>
      <c r="X867">
        <v>0</v>
      </c>
      <c r="Y867">
        <v>0</v>
      </c>
      <c r="Z867" s="20">
        <v>341</v>
      </c>
      <c r="AA867" s="20">
        <f>IFERROR(PROPERTIES[[#This Row],[TE_STARTING_KN]]/(PROPERTIES[[#This Row],[WEIGHT]]*9.81),0)</f>
        <v>0.28260527253590578</v>
      </c>
      <c r="AB867" s="20">
        <v>0</v>
      </c>
      <c r="AC867" s="16">
        <f>ROUND(IF(IFERROR(PROPERTIES[[#This Row],[TE_COEFFICIENT_CALC]],0)=0,PROPERTIES[[#This Row],[TE_COEFFICIENT_MANUAL]],PROPERTIES[[#This Row],[TE_COEFFICIENT_CALC]]),3)</f>
        <v>0.28299999999999997</v>
      </c>
      <c r="AD867" s="27" cm="1">
        <f t="array" ref="AD8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7" s="26">
        <v>0</v>
      </c>
      <c r="AF867" s="6">
        <v>0</v>
      </c>
      <c r="AG867" t="s">
        <v>232</v>
      </c>
      <c r="AH867" t="s">
        <v>229</v>
      </c>
      <c r="AI867" t="s">
        <v>229</v>
      </c>
      <c r="AJ867" s="2" t="s">
        <v>229</v>
      </c>
      <c r="AK867" s="2" t="s">
        <v>244</v>
      </c>
      <c r="AL86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6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67" s="2" t="str">
        <f>SUBSTITUTE(SUBSTITUTE(PROPERTIES[[#This Row],[PURCHASECOST_VALUE]], "PURCHASECOST_", ""), "_VALUE", "")</f>
        <v>ELECTRICENGINE</v>
      </c>
      <c r="AO867" s="44" t="b">
        <v>0</v>
      </c>
      <c r="AP867" s="48" t="b">
        <v>0</v>
      </c>
      <c r="AQ867" s="48" t="b">
        <v>0</v>
      </c>
      <c r="AR867" s="48">
        <v>0</v>
      </c>
      <c r="AS867" s="48" t="b">
        <v>0</v>
      </c>
      <c r="AT867" s="7" t="b">
        <v>0</v>
      </c>
      <c r="AU867" s="40" t="str" cm="1">
        <f t="array" ref="AU867">_xlfn.XLOOKUP(PROPERTIES[[#This Row],[VEHIDCODE]],GRAPHICS_PROPERTIES[VEHIDCODE],GRAPHICS_PROPERTIES[TEMPLATE_ID]&amp;GRAPHICS_PROPERTIES[TEMPLATE_AMENDMENT_CODE])</f>
        <v>TPL_01A</v>
      </c>
    </row>
    <row r="868" spans="1:47" x14ac:dyDescent="0.35">
      <c r="A868" s="2" t="s">
        <v>3327</v>
      </c>
      <c r="B868">
        <v>1987</v>
      </c>
      <c r="D868" cm="1">
        <f t="array" ref="D8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8" s="40" t="str">
        <f>_xlfn.XLOOKUP(PROPERTIES[[#This Row],[VEHIDCODE]],CONTROL[VEHIDCODE],CONTROL[ENGLISH])</f>
        <v>Comeng Maldon-Dombarton '8650'</v>
      </c>
      <c r="F868" t="s">
        <v>541</v>
      </c>
      <c r="G868" s="40" t="str">
        <f>_xlfn.XLOOKUP(PROPERTIES[[#This Row],[COUNTRY]],COUNTRIES[COUNTRY_DESCRIPTION],COUNTRIES[COUNTRY_LABEL],"")</f>
        <v>AU</v>
      </c>
      <c r="H868" t="str" cm="1">
        <f t="array" ref="H8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68" t="s">
        <v>17</v>
      </c>
      <c r="J868">
        <v>0</v>
      </c>
      <c r="K868">
        <v>8</v>
      </c>
      <c r="L868">
        <v>0</v>
      </c>
      <c r="M868" t="str" cm="1">
        <f t="array" ref="M8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8">
        <f>_xlfn.XLOOKUP("LOADINGSPEEDDEF_"&amp;PROPERTIES[[#This Row],[LOADINGSPEED]],LOADINGSPEEDDEF[TYPE],LOADINGSPEEDDEF[SPEED])</f>
        <v>20</v>
      </c>
      <c r="O868" t="str" cm="1">
        <f t="array" ref="O8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8">
        <f>IF(ISNUMBER(SEARCH("passenger",PROPERTIES[[#This Row],[CARGODEF]])),1,0)</f>
        <v>0</v>
      </c>
      <c r="Q868" s="23">
        <v>120</v>
      </c>
      <c r="R868">
        <v>5000</v>
      </c>
      <c r="S868">
        <v>0</v>
      </c>
      <c r="T868">
        <v>0</v>
      </c>
      <c r="U868">
        <v>0</v>
      </c>
      <c r="V868">
        <v>110</v>
      </c>
      <c r="W868">
        <v>0</v>
      </c>
      <c r="X868">
        <v>0</v>
      </c>
      <c r="Y868">
        <v>0</v>
      </c>
      <c r="Z868" s="20">
        <v>450</v>
      </c>
      <c r="AA868" s="20">
        <f>IFERROR(PROPERTIES[[#This Row],[TE_STARTING_KN]]/(PROPERTIES[[#This Row],[WEIGHT]]*9.81),0)</f>
        <v>0.38226299694189603</v>
      </c>
      <c r="AB868" s="20">
        <v>0</v>
      </c>
      <c r="AC868" s="16">
        <f>ROUND(IF(IFERROR(PROPERTIES[[#This Row],[TE_COEFFICIENT_CALC]],0)=0,PROPERTIES[[#This Row],[TE_COEFFICIENT_MANUAL]],PROPERTIES[[#This Row],[TE_COEFFICIENT_CALC]]),3)</f>
        <v>0.38200000000000001</v>
      </c>
      <c r="AD868" s="27" cm="1">
        <f t="array" ref="AD8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8" s="26">
        <v>0</v>
      </c>
      <c r="AF868" s="6">
        <v>0</v>
      </c>
      <c r="AG868" t="s">
        <v>232</v>
      </c>
      <c r="AH868" t="s">
        <v>229</v>
      </c>
      <c r="AI868" t="s">
        <v>229</v>
      </c>
      <c r="AJ868" s="2" t="s">
        <v>229</v>
      </c>
      <c r="AK868" s="2" t="s">
        <v>245</v>
      </c>
      <c r="AL86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6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68" s="2" t="str">
        <f>SUBSTITUTE(SUBSTITUTE(PROPERTIES[[#This Row],[PURCHASECOST_VALUE]], "PURCHASECOST_", ""), "_VALUE", "")</f>
        <v>ELECTRICENGINE</v>
      </c>
      <c r="AO868" s="44" t="b">
        <v>0</v>
      </c>
      <c r="AP868" s="48" t="b">
        <v>0</v>
      </c>
      <c r="AQ868" s="48" t="b">
        <v>0</v>
      </c>
      <c r="AR868" s="48">
        <v>0</v>
      </c>
      <c r="AS868" s="48" t="b">
        <v>0</v>
      </c>
      <c r="AT868" s="7" t="b">
        <v>0</v>
      </c>
      <c r="AU868" s="40" t="str" cm="1">
        <f t="array" ref="AU868">_xlfn.XLOOKUP(PROPERTIES[[#This Row],[VEHIDCODE]],GRAPHICS_PROPERTIES[VEHIDCODE],GRAPHICS_PROPERTIES[TEMPLATE_ID]&amp;GRAPHICS_PROPERTIES[TEMPLATE_AMENDMENT_CODE])</f>
        <v>TPL_01A</v>
      </c>
    </row>
    <row r="869" spans="1:47" x14ac:dyDescent="0.35">
      <c r="A869" s="2" t="s">
        <v>3328</v>
      </c>
      <c r="B869">
        <v>1972</v>
      </c>
      <c r="C869">
        <v>2008</v>
      </c>
      <c r="D869" cm="1">
        <f t="array" ref="D8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9" s="40" t="str">
        <f>_xlfn.XLOOKUP(PROPERTIES[[#This Row],[VEHIDCODE]],CONTROL[VEHIDCODE],CONTROL[ENGLISH])</f>
        <v>EMD/NOHAB J30C-2DSB MZ III</v>
      </c>
      <c r="F869" t="s">
        <v>541</v>
      </c>
      <c r="G869" s="40" t="str">
        <f>_xlfn.XLOOKUP(PROPERTIES[[#This Row],[COUNTRY]],COUNTRIES[COUNTRY_DESCRIPTION],COUNTRIES[COUNTRY_LABEL],"")</f>
        <v>AU</v>
      </c>
      <c r="H869" t="str" cm="1">
        <f t="array" ref="H8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9" t="s">
        <v>17</v>
      </c>
      <c r="J869">
        <v>0</v>
      </c>
      <c r="K869">
        <v>8</v>
      </c>
      <c r="L869">
        <v>0</v>
      </c>
      <c r="M869" t="str" cm="1">
        <f t="array" ref="M8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9">
        <f>_xlfn.XLOOKUP("LOADINGSPEEDDEF_"&amp;PROPERTIES[[#This Row],[LOADINGSPEED]],LOADINGSPEEDDEF[TYPE],LOADINGSPEEDDEF[SPEED])</f>
        <v>20</v>
      </c>
      <c r="O869" cm="1">
        <f t="array" ref="O8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69">
        <f>IF(ISNUMBER(SEARCH("passenger",PROPERTIES[[#This Row],[CARGODEF]])),1,0)</f>
        <v>0</v>
      </c>
      <c r="Q869" s="23">
        <v>121.1</v>
      </c>
      <c r="R869">
        <v>3845</v>
      </c>
      <c r="S869">
        <v>0</v>
      </c>
      <c r="T869">
        <v>0</v>
      </c>
      <c r="U869">
        <v>0</v>
      </c>
      <c r="V869">
        <v>165</v>
      </c>
      <c r="W869">
        <v>0</v>
      </c>
      <c r="X869">
        <v>0</v>
      </c>
      <c r="Y869">
        <v>0</v>
      </c>
      <c r="Z869" s="20">
        <v>390</v>
      </c>
      <c r="AA869" s="20">
        <f>IFERROR(PROPERTIES[[#This Row],[TE_STARTING_KN]]/(PROPERTIES[[#This Row],[WEIGHT]]*9.81),0)</f>
        <v>0.32828531529279265</v>
      </c>
      <c r="AB869" s="20">
        <v>0</v>
      </c>
      <c r="AC869" s="16">
        <f>ROUND(IF(IFERROR(PROPERTIES[[#This Row],[TE_COEFFICIENT_CALC]],0)=0,PROPERTIES[[#This Row],[TE_COEFFICIENT_MANUAL]],PROPERTIES[[#This Row],[TE_COEFFICIENT_CALC]]),3)</f>
        <v>0.32800000000000001</v>
      </c>
      <c r="AD869" s="27" cm="1">
        <f t="array" ref="AD8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9" s="26">
        <v>0</v>
      </c>
      <c r="AF869" s="6">
        <v>0</v>
      </c>
      <c r="AG869" t="s">
        <v>232</v>
      </c>
      <c r="AH869" t="s">
        <v>234</v>
      </c>
      <c r="AI869" t="s">
        <v>229</v>
      </c>
      <c r="AJ869" s="2" t="s">
        <v>229</v>
      </c>
      <c r="AK869" s="2" t="s">
        <v>244</v>
      </c>
      <c r="AL86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9" s="2" t="str">
        <f>SUBSTITUTE(SUBSTITUTE(PROPERTIES[[#This Row],[PURCHASECOST_VALUE]], "PURCHASECOST_", ""), "_VALUE", "")</f>
        <v>DIESELENGINE</v>
      </c>
      <c r="AO869" s="44" t="b">
        <v>0</v>
      </c>
      <c r="AP869" s="48" t="b">
        <v>0</v>
      </c>
      <c r="AQ869" s="48" t="b">
        <v>0</v>
      </c>
      <c r="AR869" s="48">
        <v>0</v>
      </c>
      <c r="AS869" s="48" t="b">
        <v>0</v>
      </c>
      <c r="AT869" s="7" t="b">
        <v>0</v>
      </c>
      <c r="AU869" s="40" t="str" cm="1">
        <f t="array" ref="AU869">_xlfn.XLOOKUP(PROPERTIES[[#This Row],[VEHIDCODE]],GRAPHICS_PROPERTIES[VEHIDCODE],GRAPHICS_PROPERTIES[TEMPLATE_ID]&amp;GRAPHICS_PROPERTIES[TEMPLATE_AMENDMENT_CODE])</f>
        <v>TPL_01A</v>
      </c>
    </row>
    <row r="870" spans="1:47" x14ac:dyDescent="0.35">
      <c r="A870" s="2" t="s">
        <v>3329</v>
      </c>
      <c r="B870">
        <v>1970</v>
      </c>
      <c r="D870" cm="1">
        <f t="array" ref="D8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0" s="40" t="str">
        <f>_xlfn.XLOOKUP(PROPERTIES[[#This Row],[VEHIDCODE]],CONTROL[VEHIDCODE],CONTROL[ENGLISH])</f>
        <v>EMD/Clyde AT26C 'Twin 16-645'</v>
      </c>
      <c r="F870" t="s">
        <v>541</v>
      </c>
      <c r="G870" s="40" t="str">
        <f>_xlfn.XLOOKUP(PROPERTIES[[#This Row],[COUNTRY]],COUNTRIES[COUNTRY_DESCRIPTION],COUNTRIES[COUNTRY_LABEL],"")</f>
        <v>AU</v>
      </c>
      <c r="H870" t="str" cm="1">
        <f t="array" ref="H8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0" t="s">
        <v>17</v>
      </c>
      <c r="J870">
        <v>0</v>
      </c>
      <c r="K870">
        <v>8</v>
      </c>
      <c r="M870" t="str" cm="1">
        <f t="array" ref="M8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0">
        <f>_xlfn.XLOOKUP("LOADINGSPEEDDEF_"&amp;PROPERTIES[[#This Row],[LOADINGSPEED]],LOADINGSPEEDDEF[TYPE],LOADINGSPEEDDEF[SPEED])</f>
        <v>20</v>
      </c>
      <c r="O870" cm="1">
        <f t="array" ref="O8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0">
        <f>IF(ISNUMBER(SEARCH("passenger",PROPERTIES[[#This Row],[CARGODEF]])),1,0)</f>
        <v>0</v>
      </c>
      <c r="Q870" s="23">
        <v>200</v>
      </c>
      <c r="R870">
        <v>6600</v>
      </c>
      <c r="S870">
        <v>0</v>
      </c>
      <c r="T870">
        <v>0</v>
      </c>
      <c r="U870">
        <v>0</v>
      </c>
      <c r="V870">
        <v>115</v>
      </c>
      <c r="W870">
        <v>0</v>
      </c>
      <c r="X870">
        <v>0</v>
      </c>
      <c r="Y870">
        <v>0</v>
      </c>
      <c r="Z870" s="20">
        <v>600</v>
      </c>
      <c r="AA870" s="20">
        <f>IFERROR(PROPERTIES[[#This Row],[TE_STARTING_KN]]/(PROPERTIES[[#This Row],[WEIGHT]]*9.81),0)</f>
        <v>0.3058103975535168</v>
      </c>
      <c r="AB870" s="20">
        <v>0</v>
      </c>
      <c r="AC870" s="16">
        <f>ROUND(IF(IFERROR(PROPERTIES[[#This Row],[TE_COEFFICIENT_CALC]],0)=0,PROPERTIES[[#This Row],[TE_COEFFICIENT_MANUAL]],PROPERTIES[[#This Row],[TE_COEFFICIENT_CALC]]),3)</f>
        <v>0.30599999999999999</v>
      </c>
      <c r="AD870" s="27" cm="1">
        <f t="array" ref="AD8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0" s="26">
        <v>0</v>
      </c>
      <c r="AF870" s="6">
        <v>1</v>
      </c>
      <c r="AG870" t="s">
        <v>232</v>
      </c>
      <c r="AH870" t="s">
        <v>229</v>
      </c>
      <c r="AI870" t="s">
        <v>229</v>
      </c>
      <c r="AJ870" s="2" t="s">
        <v>229</v>
      </c>
      <c r="AK870" s="2" t="s">
        <v>245</v>
      </c>
      <c r="AL87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0" s="2" t="str">
        <f>SUBSTITUTE(SUBSTITUTE(PROPERTIES[[#This Row],[PURCHASECOST_VALUE]], "PURCHASECOST_", ""), "_VALUE", "")</f>
        <v>DIESELENGINE</v>
      </c>
      <c r="AO870" s="44" t="b">
        <v>0</v>
      </c>
      <c r="AP870" s="48" t="b">
        <v>0</v>
      </c>
      <c r="AQ870" s="48" t="b">
        <v>0</v>
      </c>
      <c r="AR870" s="48">
        <v>0</v>
      </c>
      <c r="AS870" s="48" t="b">
        <v>0</v>
      </c>
      <c r="AT870" s="7" t="b">
        <v>0</v>
      </c>
      <c r="AU870" s="40" t="str" cm="1">
        <f t="array" ref="AU870">_xlfn.XLOOKUP(PROPERTIES[[#This Row],[VEHIDCODE]],GRAPHICS_PROPERTIES[VEHIDCODE],GRAPHICS_PROPERTIES[TEMPLATE_ID]&amp;GRAPHICS_PROPERTIES[TEMPLATE_AMENDMENT_CODE])</f>
        <v>TPL_16A</v>
      </c>
    </row>
    <row r="871" spans="1:47" x14ac:dyDescent="0.35">
      <c r="A871" s="2" t="s">
        <v>3460</v>
      </c>
      <c r="B871">
        <v>1982</v>
      </c>
      <c r="C871">
        <v>1989</v>
      </c>
      <c r="D871" cm="1">
        <f t="array" ref="D8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1" s="40" t="str">
        <f>_xlfn.XLOOKUP(PROPERTIES[[#This Row],[VEHIDCODE]],CONTROL[VEHIDCODE],CONTROL[ENGLISH])</f>
        <v>EMD/Clyde GL26C-2</v>
      </c>
      <c r="F871" t="s">
        <v>541</v>
      </c>
      <c r="G871" s="40" t="str">
        <f>_xlfn.XLOOKUP(PROPERTIES[[#This Row],[COUNTRY]],COUNTRIES[COUNTRY_DESCRIPTION],COUNTRIES[COUNTRY_LABEL],"")</f>
        <v>AU</v>
      </c>
      <c r="H871" t="str" cm="1">
        <f t="array" ref="H8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1" t="s">
        <v>17</v>
      </c>
      <c r="J871">
        <v>0</v>
      </c>
      <c r="K871">
        <v>7</v>
      </c>
      <c r="L871">
        <v>0</v>
      </c>
      <c r="M871" t="str" cm="1">
        <f t="array" ref="M8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1">
        <f>_xlfn.XLOOKUP("LOADINGSPEEDDEF_"&amp;PROPERTIES[[#This Row],[LOADINGSPEED]],LOADINGSPEEDDEF[TYPE],LOADINGSPEEDDEF[SPEED])</f>
        <v>20</v>
      </c>
      <c r="O871" cm="1">
        <f t="array" ref="O8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1">
        <f>IF(ISNUMBER(SEARCH("passenger",PROPERTIES[[#This Row],[CARGODEF]])),1,0)</f>
        <v>0</v>
      </c>
      <c r="Q871" s="23">
        <v>97.5</v>
      </c>
      <c r="R871">
        <v>2201</v>
      </c>
      <c r="S871">
        <v>0</v>
      </c>
      <c r="T871">
        <v>0</v>
      </c>
      <c r="U871">
        <v>0</v>
      </c>
      <c r="V871">
        <v>100</v>
      </c>
      <c r="W871">
        <v>0</v>
      </c>
      <c r="X871">
        <v>0</v>
      </c>
      <c r="Y871">
        <v>0</v>
      </c>
      <c r="Z871" s="20">
        <v>286</v>
      </c>
      <c r="AA871" s="20">
        <f>IFERROR(PROPERTIES[[#This Row],[TE_STARTING_KN]]/(PROPERTIES[[#This Row],[WEIGHT]]*9.81),0)</f>
        <v>0.29901461094121645</v>
      </c>
      <c r="AB871" s="20">
        <v>0</v>
      </c>
      <c r="AC871" s="16">
        <f>ROUND(IF(IFERROR(PROPERTIES[[#This Row],[TE_COEFFICIENT_CALC]],0)=0,PROPERTIES[[#This Row],[TE_COEFFICIENT_MANUAL]],PROPERTIES[[#This Row],[TE_COEFFICIENT_CALC]]),3)</f>
        <v>0.29899999999999999</v>
      </c>
      <c r="AD871" s="27" cm="1">
        <f t="array" ref="AD8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1" s="26">
        <v>0</v>
      </c>
      <c r="AF871" s="6">
        <v>0</v>
      </c>
      <c r="AG871" t="s">
        <v>232</v>
      </c>
      <c r="AH871" t="s">
        <v>229</v>
      </c>
      <c r="AI871" t="s">
        <v>229</v>
      </c>
      <c r="AJ871" s="2" t="s">
        <v>229</v>
      </c>
      <c r="AK871" s="2" t="s">
        <v>244</v>
      </c>
      <c r="AL87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1" s="2" t="str">
        <f>SUBSTITUTE(SUBSTITUTE(PROPERTIES[[#This Row],[PURCHASECOST_VALUE]], "PURCHASECOST_", ""), "_VALUE", "")</f>
        <v>DIESELENGINE</v>
      </c>
      <c r="AO871" s="44" t="b">
        <v>0</v>
      </c>
      <c r="AP871" s="48" t="b">
        <v>0</v>
      </c>
      <c r="AQ871" s="48" t="b">
        <v>0</v>
      </c>
      <c r="AR871" s="48">
        <v>0</v>
      </c>
      <c r="AS871" s="48" t="b">
        <v>0</v>
      </c>
      <c r="AT871" s="7" t="b">
        <v>0</v>
      </c>
      <c r="AU871" s="40" t="str" cm="1">
        <f t="array" ref="AU871">_xlfn.XLOOKUP(PROPERTIES[[#This Row],[VEHIDCODE]],GRAPHICS_PROPERTIES[VEHIDCODE],GRAPHICS_PROPERTIES[TEMPLATE_ID]&amp;GRAPHICS_PROPERTIES[TEMPLATE_AMENDMENT_CODE])</f>
        <v>TPL_01A</v>
      </c>
    </row>
    <row r="872" spans="1:47" x14ac:dyDescent="0.35">
      <c r="A872" s="2" t="s">
        <v>3330</v>
      </c>
      <c r="B872">
        <v>1973</v>
      </c>
      <c r="C872">
        <v>2014</v>
      </c>
      <c r="D872" cm="1">
        <f t="array" ref="D8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2" s="40" t="str">
        <f>_xlfn.XLOOKUP(PROPERTIES[[#This Row],[VEHIDCODE]],CONTROL[VEHIDCODE],CONTROL[ENGLISH])</f>
        <v xml:space="preserve">EEC A.249 </v>
      </c>
      <c r="F872" t="s">
        <v>541</v>
      </c>
      <c r="G872" s="40" t="str">
        <f>_xlfn.XLOOKUP(PROPERTIES[[#This Row],[COUNTRY]],COUNTRIES[COUNTRY_DESCRIPTION],COUNTRIES[COUNTRY_LABEL],"")</f>
        <v>AU</v>
      </c>
      <c r="H872" t="str" cm="1">
        <f t="array" ref="H8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2" t="s">
        <v>17</v>
      </c>
      <c r="J872">
        <v>0</v>
      </c>
      <c r="K872">
        <v>7</v>
      </c>
      <c r="L872">
        <v>0</v>
      </c>
      <c r="M872" t="str" cm="1">
        <f t="array" ref="M8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2">
        <f>_xlfn.XLOOKUP("LOADINGSPEEDDEF_"&amp;PROPERTIES[[#This Row],[LOADINGSPEED]],LOADINGSPEEDDEF[TYPE],LOADINGSPEEDDEF[SPEED])</f>
        <v>20</v>
      </c>
      <c r="O872" cm="1">
        <f t="array" ref="O8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2">
        <f>IF(ISNUMBER(SEARCH("passenger",PROPERTIES[[#This Row],[CARGODEF]])),1,0)</f>
        <v>0</v>
      </c>
      <c r="Q872" s="23">
        <v>96</v>
      </c>
      <c r="R872">
        <v>2025</v>
      </c>
      <c r="S872">
        <v>0</v>
      </c>
      <c r="T872">
        <v>0</v>
      </c>
      <c r="U872">
        <v>0</v>
      </c>
      <c r="V872">
        <v>97</v>
      </c>
      <c r="W872">
        <v>0</v>
      </c>
      <c r="X872">
        <v>0</v>
      </c>
      <c r="Y872">
        <v>0</v>
      </c>
      <c r="Z872" s="20">
        <f>240*1.3</f>
        <v>312</v>
      </c>
      <c r="AA872" s="20">
        <f>IFERROR(PROPERTIES[[#This Row],[TE_STARTING_KN]]/(PROPERTIES[[#This Row],[WEIGHT]]*9.81),0)</f>
        <v>0.33129459734964323</v>
      </c>
      <c r="AB872" s="20">
        <v>0</v>
      </c>
      <c r="AC872" s="16">
        <f>ROUND(IF(IFERROR(PROPERTIES[[#This Row],[TE_COEFFICIENT_CALC]],0)=0,PROPERTIES[[#This Row],[TE_COEFFICIENT_MANUAL]],PROPERTIES[[#This Row],[TE_COEFFICIENT_CALC]]),3)</f>
        <v>0.33100000000000002</v>
      </c>
      <c r="AD872" s="27" cm="1">
        <f t="array" ref="AD8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872" s="26">
        <v>0</v>
      </c>
      <c r="AF872" s="6">
        <v>0</v>
      </c>
      <c r="AG872" t="s">
        <v>232</v>
      </c>
      <c r="AH872" t="s">
        <v>229</v>
      </c>
      <c r="AI872" t="s">
        <v>229</v>
      </c>
      <c r="AJ872" s="2" t="s">
        <v>229</v>
      </c>
      <c r="AK872" s="2" t="s">
        <v>244</v>
      </c>
      <c r="AL87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2" s="2" t="str">
        <f>SUBSTITUTE(SUBSTITUTE(PROPERTIES[[#This Row],[PURCHASECOST_VALUE]], "PURCHASECOST_", ""), "_VALUE", "")</f>
        <v>DIESELENGINE</v>
      </c>
      <c r="AO872" s="44" t="b">
        <v>0</v>
      </c>
      <c r="AP872" s="48" t="b">
        <v>0</v>
      </c>
      <c r="AQ872" s="48" t="b">
        <v>0</v>
      </c>
      <c r="AR872" s="48">
        <v>0</v>
      </c>
      <c r="AS872" s="48" t="b">
        <v>0</v>
      </c>
      <c r="AT872" s="7" t="b">
        <v>0</v>
      </c>
      <c r="AU872" s="40" t="str" cm="1">
        <f t="array" ref="AU872">_xlfn.XLOOKUP(PROPERTIES[[#This Row],[VEHIDCODE]],GRAPHICS_PROPERTIES[VEHIDCODE],GRAPHICS_PROPERTIES[TEMPLATE_ID]&amp;GRAPHICS_PROPERTIES[TEMPLATE_AMENDMENT_CODE])</f>
        <v>TPL_01A</v>
      </c>
    </row>
    <row r="873" spans="1:47" x14ac:dyDescent="0.35">
      <c r="A873" s="2" t="s">
        <v>3331</v>
      </c>
      <c r="B873">
        <v>1973</v>
      </c>
      <c r="C873">
        <v>1995</v>
      </c>
      <c r="D873" cm="1">
        <f t="array" ref="D8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3" s="40" t="str">
        <f>_xlfn.XLOOKUP(PROPERTIES[[#This Row],[VEHIDCODE]],CONTROL[VEHIDCODE],CONTROL[ENGLISH])</f>
        <v>EEC A.253</v>
      </c>
      <c r="F873" t="s">
        <v>541</v>
      </c>
      <c r="G873" s="40" t="str">
        <f>_xlfn.XLOOKUP(PROPERTIES[[#This Row],[COUNTRY]],COUNTRIES[COUNTRY_DESCRIPTION],COUNTRIES[COUNTRY_LABEL],"")</f>
        <v>AU</v>
      </c>
      <c r="H873" t="str" cm="1">
        <f t="array" ref="H8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3" t="s">
        <v>17</v>
      </c>
      <c r="J873">
        <v>0</v>
      </c>
      <c r="K873">
        <v>7</v>
      </c>
      <c r="L873">
        <v>0</v>
      </c>
      <c r="M873" t="str" cm="1">
        <f t="array" ref="M8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3">
        <f>_xlfn.XLOOKUP("LOADINGSPEEDDEF_"&amp;PROPERTIES[[#This Row],[LOADINGSPEED]],LOADINGSPEEDDEF[TYPE],LOADINGSPEEDDEF[SPEED])</f>
        <v>20</v>
      </c>
      <c r="O873" cm="1">
        <f t="array" ref="O8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3">
        <f>IF(ISNUMBER(SEARCH("passenger",PROPERTIES[[#This Row],[CARGODEF]])),1,0)</f>
        <v>0</v>
      </c>
      <c r="Q873" s="23">
        <v>91.4</v>
      </c>
      <c r="R873">
        <v>2550</v>
      </c>
      <c r="S873">
        <v>0</v>
      </c>
      <c r="T873">
        <v>0</v>
      </c>
      <c r="U873">
        <v>0</v>
      </c>
      <c r="V873">
        <v>80</v>
      </c>
      <c r="W873">
        <v>0</v>
      </c>
      <c r="X873">
        <v>0</v>
      </c>
      <c r="Y873">
        <v>0</v>
      </c>
      <c r="Z873" s="20">
        <v>200</v>
      </c>
      <c r="AA873" s="20">
        <f>IFERROR(PROPERTIES[[#This Row],[TE_STARTING_KN]]/(PROPERTIES[[#This Row],[WEIGHT]]*9.81),0)</f>
        <v>0.22305645335778029</v>
      </c>
      <c r="AB873" s="20">
        <v>0</v>
      </c>
      <c r="AC873" s="16">
        <f>ROUND(IF(IFERROR(PROPERTIES[[#This Row],[TE_COEFFICIENT_CALC]],0)=0,PROPERTIES[[#This Row],[TE_COEFFICIENT_MANUAL]],PROPERTIES[[#This Row],[TE_COEFFICIENT_CALC]]),3)</f>
        <v>0.223</v>
      </c>
      <c r="AD873" s="27" cm="1">
        <f t="array" ref="AD8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3" s="26">
        <v>0</v>
      </c>
      <c r="AF873" s="6">
        <v>0</v>
      </c>
      <c r="AG873" t="s">
        <v>232</v>
      </c>
      <c r="AH873" t="s">
        <v>229</v>
      </c>
      <c r="AI873" t="s">
        <v>229</v>
      </c>
      <c r="AJ873" s="2" t="s">
        <v>229</v>
      </c>
      <c r="AK873" s="2" t="s">
        <v>244</v>
      </c>
      <c r="AL87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3" s="2" t="str">
        <f>SUBSTITUTE(SUBSTITUTE(PROPERTIES[[#This Row],[PURCHASECOST_VALUE]], "PURCHASECOST_", ""), "_VALUE", "")</f>
        <v>DIESELENGINE</v>
      </c>
      <c r="AO873" s="44" t="b">
        <v>0</v>
      </c>
      <c r="AP873" s="48" t="b">
        <v>0</v>
      </c>
      <c r="AQ873" s="48" t="b">
        <v>0</v>
      </c>
      <c r="AR873" s="48">
        <v>0</v>
      </c>
      <c r="AS873" s="48" t="b">
        <v>0</v>
      </c>
      <c r="AT873" s="7" t="b">
        <v>0</v>
      </c>
      <c r="AU873" s="40" t="str" cm="1">
        <f t="array" ref="AU873">_xlfn.XLOOKUP(PROPERTIES[[#This Row],[VEHIDCODE]],GRAPHICS_PROPERTIES[VEHIDCODE],GRAPHICS_PROPERTIES[TEMPLATE_ID]&amp;GRAPHICS_PROPERTIES[TEMPLATE_AMENDMENT_CODE])</f>
        <v>TPL_01A</v>
      </c>
    </row>
    <row r="874" spans="1:47" x14ac:dyDescent="0.35">
      <c r="A874" s="2" t="s">
        <v>3332</v>
      </c>
      <c r="B874">
        <v>1972</v>
      </c>
      <c r="C874">
        <v>2025</v>
      </c>
      <c r="D874" cm="1">
        <f t="array" ref="D8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4" s="40" t="str">
        <f>_xlfn.XLOOKUP(PROPERTIES[[#This Row],[VEHIDCODE]],CONTROL[VEHIDCODE],CONTROL[ENGLISH])</f>
        <v>GE U26C</v>
      </c>
      <c r="F874" t="s">
        <v>697</v>
      </c>
      <c r="G874" s="40" t="str">
        <f>_xlfn.XLOOKUP(PROPERTIES[[#This Row],[COUNTRY]],COUNTRIES[COUNTRY_DESCRIPTION],COUNTRIES[COUNTRY_LABEL],"")</f>
        <v>NZ</v>
      </c>
      <c r="H874" t="str" cm="1">
        <f t="array" ref="H8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4" t="s">
        <v>17</v>
      </c>
      <c r="J874">
        <v>0</v>
      </c>
      <c r="K874">
        <v>7</v>
      </c>
      <c r="L874">
        <v>0</v>
      </c>
      <c r="M874" t="str" cm="1">
        <f t="array" ref="M8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4">
        <f>_xlfn.XLOOKUP("LOADINGSPEEDDEF_"&amp;PROPERTIES[[#This Row],[LOADINGSPEED]],LOADINGSPEEDDEF[TYPE],LOADINGSPEEDDEF[SPEED])</f>
        <v>20</v>
      </c>
      <c r="O874" t="str" cm="1">
        <f t="array" ref="O8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74">
        <f>IF(ISNUMBER(SEARCH("passenger",PROPERTIES[[#This Row],[CARGODEF]])),1,0)</f>
        <v>0</v>
      </c>
      <c r="Q874" s="23">
        <v>97.5</v>
      </c>
      <c r="R874">
        <v>2750</v>
      </c>
      <c r="S874">
        <v>0</v>
      </c>
      <c r="T874">
        <v>0</v>
      </c>
      <c r="U874">
        <v>0</v>
      </c>
      <c r="V874">
        <v>105</v>
      </c>
      <c r="W874">
        <v>0</v>
      </c>
      <c r="X874">
        <v>0</v>
      </c>
      <c r="Y874">
        <v>0</v>
      </c>
      <c r="Z874" s="20">
        <f>259*1.3</f>
        <v>336.7</v>
      </c>
      <c r="AA874" s="20">
        <f>IFERROR(PROPERTIES[[#This Row],[TE_STARTING_KN]]/(PROPERTIES[[#This Row],[WEIGHT]]*9.81),0)</f>
        <v>0.35202174651715934</v>
      </c>
      <c r="AB874" s="20">
        <v>0</v>
      </c>
      <c r="AC874" s="16">
        <f>ROUND(IF(IFERROR(PROPERTIES[[#This Row],[TE_COEFFICIENT_CALC]],0)=0,PROPERTIES[[#This Row],[TE_COEFFICIENT_MANUAL]],PROPERTIES[[#This Row],[TE_COEFFICIENT_CALC]]),3)</f>
        <v>0.35199999999999998</v>
      </c>
      <c r="AD874" s="27" cm="1">
        <f t="array" ref="AD8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874" s="26">
        <v>0</v>
      </c>
      <c r="AF874" s="6">
        <v>0</v>
      </c>
      <c r="AG874" t="s">
        <v>232</v>
      </c>
      <c r="AH874" t="s">
        <v>233</v>
      </c>
      <c r="AI874" t="s">
        <v>237</v>
      </c>
      <c r="AJ874" s="2" t="s">
        <v>229</v>
      </c>
      <c r="AK874" s="2" t="s">
        <v>244</v>
      </c>
      <c r="AL87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4" s="2" t="str">
        <f>SUBSTITUTE(SUBSTITUTE(PROPERTIES[[#This Row],[PURCHASECOST_VALUE]], "PURCHASECOST_", ""), "_VALUE", "")</f>
        <v>DIESELENGINE</v>
      </c>
      <c r="AO874" s="44" t="b">
        <v>0</v>
      </c>
      <c r="AP874" s="48" t="b">
        <v>0</v>
      </c>
      <c r="AQ874" s="48" t="b">
        <v>0</v>
      </c>
      <c r="AR874" s="48">
        <v>0</v>
      </c>
      <c r="AS874" s="48" t="b">
        <v>0</v>
      </c>
      <c r="AT874" s="7" t="b">
        <v>0</v>
      </c>
      <c r="AU874" s="40" t="str" cm="1">
        <f t="array" ref="AU874">_xlfn.XLOOKUP(PROPERTIES[[#This Row],[VEHIDCODE]],GRAPHICS_PROPERTIES[VEHIDCODE],GRAPHICS_PROPERTIES[TEMPLATE_ID]&amp;GRAPHICS_PROPERTIES[TEMPLATE_AMENDMENT_CODE])</f>
        <v>TPL_01A</v>
      </c>
    </row>
    <row r="875" spans="1:47" x14ac:dyDescent="0.35">
      <c r="A875" s="2" t="s">
        <v>3333</v>
      </c>
      <c r="B875">
        <v>1956</v>
      </c>
      <c r="C875">
        <v>1994</v>
      </c>
      <c r="D875" cm="1">
        <f t="array" ref="D8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5" s="40" t="str">
        <f>_xlfn.XLOOKUP(PROPERTIES[[#This Row],[VEHIDCODE]],CONTROL[VEHIDCODE],CONTROL[ENGLISH])</f>
        <v>Metrowick/BP 786</v>
      </c>
      <c r="F875" t="s">
        <v>541</v>
      </c>
      <c r="G875" s="40" t="str">
        <f>_xlfn.XLOOKUP(PROPERTIES[[#This Row],[COUNTRY]],COUNTRIES[COUNTRY_DESCRIPTION],COUNTRIES[COUNTRY_LABEL],"")</f>
        <v>AU</v>
      </c>
      <c r="H875" t="str" cm="1">
        <f t="array" ref="H8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75" t="s">
        <v>17</v>
      </c>
      <c r="J875">
        <v>0</v>
      </c>
      <c r="K875">
        <v>7</v>
      </c>
      <c r="L875">
        <v>0</v>
      </c>
      <c r="M875" t="str" cm="1">
        <f t="array" ref="M8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5">
        <f>_xlfn.XLOOKUP("LOADINGSPEEDDEF_"&amp;PROPERTIES[[#This Row],[LOADINGSPEED]],LOADINGSPEEDDEF[TYPE],LOADINGSPEEDDEF[SPEED])</f>
        <v>20</v>
      </c>
      <c r="O875" cm="1">
        <f t="array" ref="O8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5">
        <f>IF(ISNUMBER(SEARCH("passenger",PROPERTIES[[#This Row],[CARGODEF]])),1,0)</f>
        <v>0</v>
      </c>
      <c r="Q875" s="23">
        <v>112</v>
      </c>
      <c r="R875">
        <v>3400</v>
      </c>
      <c r="S875">
        <v>0</v>
      </c>
      <c r="T875">
        <v>0</v>
      </c>
      <c r="U875">
        <v>0</v>
      </c>
      <c r="V875">
        <v>113</v>
      </c>
      <c r="W875">
        <v>0</v>
      </c>
      <c r="X875">
        <v>0</v>
      </c>
      <c r="Y875">
        <v>0</v>
      </c>
      <c r="Z875" s="20">
        <f>181*1.3</f>
        <v>235.3</v>
      </c>
      <c r="AA875" s="20">
        <f>IFERROR(PROPERTIES[[#This Row],[TE_STARTING_KN]]/(PROPERTIES[[#This Row],[WEIGHT]]*9.81),0)</f>
        <v>0.21415829328673366</v>
      </c>
      <c r="AB875" s="20">
        <v>0</v>
      </c>
      <c r="AC875" s="16">
        <f>ROUND(IF(IFERROR(PROPERTIES[[#This Row],[TE_COEFFICIENT_CALC]],0)=0,PROPERTIES[[#This Row],[TE_COEFFICIENT_MANUAL]],PROPERTIES[[#This Row],[TE_COEFFICIENT_CALC]]),3)</f>
        <v>0.214</v>
      </c>
      <c r="AD875" s="27" cm="1">
        <f t="array" ref="AD8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5" s="26">
        <v>0</v>
      </c>
      <c r="AF875" s="6">
        <v>0</v>
      </c>
      <c r="AG875" t="s">
        <v>232</v>
      </c>
      <c r="AH875" t="s">
        <v>229</v>
      </c>
      <c r="AI875" t="s">
        <v>229</v>
      </c>
      <c r="AJ875" s="2" t="s">
        <v>229</v>
      </c>
      <c r="AK875" s="2" t="s">
        <v>245</v>
      </c>
      <c r="AL87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7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75" s="2" t="str">
        <f>SUBSTITUTE(SUBSTITUTE(PROPERTIES[[#This Row],[PURCHASECOST_VALUE]], "PURCHASECOST_", ""), "_VALUE", "")</f>
        <v>ELECTRICENGINE</v>
      </c>
      <c r="AO875" s="44" t="b">
        <v>0</v>
      </c>
      <c r="AP875" s="48" t="b">
        <v>0</v>
      </c>
      <c r="AQ875" s="48" t="b">
        <v>0</v>
      </c>
      <c r="AR875" s="48">
        <v>0</v>
      </c>
      <c r="AS875" s="48" t="b">
        <v>0</v>
      </c>
      <c r="AT875" s="7" t="b">
        <v>0</v>
      </c>
      <c r="AU875" s="40" t="str" cm="1">
        <f t="array" ref="AU875">_xlfn.XLOOKUP(PROPERTIES[[#This Row],[VEHIDCODE]],GRAPHICS_PROPERTIES[VEHIDCODE],GRAPHICS_PROPERTIES[TEMPLATE_ID]&amp;GRAPHICS_PROPERTIES[TEMPLATE_AMENDMENT_CODE])</f>
        <v>TPL_01A</v>
      </c>
    </row>
    <row r="876" spans="1:47" x14ac:dyDescent="0.35">
      <c r="A876" s="2" t="s">
        <v>3334</v>
      </c>
      <c r="B876">
        <v>1951</v>
      </c>
      <c r="C876">
        <v>1968</v>
      </c>
      <c r="D876" cm="1">
        <f t="array" ref="D8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6" s="40" t="str">
        <f>_xlfn.XLOOKUP(PROPERTIES[[#This Row],[VEHIDCODE]],CONTROL[VEHIDCODE],CONTROL[ENGLISH])</f>
        <v>ALCO RSC-3 77732</v>
      </c>
      <c r="F876" t="s">
        <v>541</v>
      </c>
      <c r="G876" s="40" t="str">
        <f>_xlfn.XLOOKUP(PROPERTIES[[#This Row],[COUNTRY]],COUNTRIES[COUNTRY_DESCRIPTION],COUNTRIES[COUNTRY_LABEL],"")</f>
        <v>AU</v>
      </c>
      <c r="H876" t="str" cm="1">
        <f t="array" ref="H8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6" t="s">
        <v>17</v>
      </c>
      <c r="J876">
        <v>0</v>
      </c>
      <c r="K876">
        <v>7</v>
      </c>
      <c r="L876">
        <v>0</v>
      </c>
      <c r="M876" t="str" cm="1">
        <f t="array" ref="M8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6">
        <f>_xlfn.XLOOKUP("LOADINGSPEEDDEF_"&amp;PROPERTIES[[#This Row],[LOADINGSPEED]],LOADINGSPEEDDEF[TYPE],LOADINGSPEEDDEF[SPEED])</f>
        <v>20</v>
      </c>
      <c r="O876" cm="1">
        <f t="array" ref="O8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6">
        <f>IF(ISNUMBER(SEARCH("passenger",PROPERTIES[[#This Row],[CARGODEF]])),1,0)</f>
        <v>0</v>
      </c>
      <c r="Q876" s="23">
        <v>111</v>
      </c>
      <c r="R876">
        <v>1750</v>
      </c>
      <c r="S876">
        <v>0</v>
      </c>
      <c r="T876">
        <v>0</v>
      </c>
      <c r="U876">
        <v>0</v>
      </c>
      <c r="V876">
        <v>75</v>
      </c>
      <c r="W876">
        <v>0</v>
      </c>
      <c r="X876">
        <v>0</v>
      </c>
      <c r="Y876">
        <v>0</v>
      </c>
      <c r="Z876" s="20">
        <f>204*1.3</f>
        <v>265.2</v>
      </c>
      <c r="AA876" s="20">
        <f>IFERROR(PROPERTIES[[#This Row],[TE_STARTING_KN]]/(PROPERTIES[[#This Row],[WEIGHT]]*9.81),0)</f>
        <v>0.24354629859217011</v>
      </c>
      <c r="AB876" s="20">
        <v>0</v>
      </c>
      <c r="AC876" s="16">
        <f>ROUND(IF(IFERROR(PROPERTIES[[#This Row],[TE_COEFFICIENT_CALC]],0)=0,PROPERTIES[[#This Row],[TE_COEFFICIENT_MANUAL]],PROPERTIES[[#This Row],[TE_COEFFICIENT_CALC]]),3)</f>
        <v>0.24399999999999999</v>
      </c>
      <c r="AD876" s="27" cm="1">
        <f t="array" ref="AD8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6" s="26">
        <v>0</v>
      </c>
      <c r="AF876" s="6">
        <v>0</v>
      </c>
      <c r="AG876" t="s">
        <v>232</v>
      </c>
      <c r="AH876" t="s">
        <v>229</v>
      </c>
      <c r="AI876" t="s">
        <v>229</v>
      </c>
      <c r="AJ876" s="2" t="s">
        <v>229</v>
      </c>
      <c r="AK876" s="2" t="s">
        <v>244</v>
      </c>
      <c r="AL87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6" s="2" t="str">
        <f>SUBSTITUTE(SUBSTITUTE(PROPERTIES[[#This Row],[PURCHASECOST_VALUE]], "PURCHASECOST_", ""), "_VALUE", "")</f>
        <v>DIESELENGINE</v>
      </c>
      <c r="AO876" s="44" t="b">
        <v>0</v>
      </c>
      <c r="AP876" s="48" t="b">
        <v>0</v>
      </c>
      <c r="AQ876" s="48" t="b">
        <v>1</v>
      </c>
      <c r="AR876" s="48">
        <v>0</v>
      </c>
      <c r="AS876" s="48" t="b">
        <v>0</v>
      </c>
      <c r="AT876" s="7" t="b">
        <v>1</v>
      </c>
      <c r="AU876" s="40" t="str" cm="1">
        <f t="array" ref="AU876">_xlfn.XLOOKUP(PROPERTIES[[#This Row],[VEHIDCODE]],GRAPHICS_PROPERTIES[VEHIDCODE],GRAPHICS_PROPERTIES[TEMPLATE_ID]&amp;GRAPHICS_PROPERTIES[TEMPLATE_AMENDMENT_CODE])</f>
        <v>TPL_01A</v>
      </c>
    </row>
    <row r="877" spans="1:47" x14ac:dyDescent="0.35">
      <c r="A877" s="2" t="s">
        <v>3335</v>
      </c>
      <c r="B877">
        <v>1960</v>
      </c>
      <c r="C877">
        <v>1997</v>
      </c>
      <c r="D877" cm="1">
        <f t="array" ref="D8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7" s="40" t="str">
        <f>_xlfn.XLOOKUP(PROPERTIES[[#This Row],[VEHIDCODE]],CONTROL[VEHIDCODE],CONTROL[ENGLISH])</f>
        <v>EMD/Clyde G8C</v>
      </c>
      <c r="F877" t="s">
        <v>541</v>
      </c>
      <c r="G877" s="40" t="str">
        <f>_xlfn.XLOOKUP(PROPERTIES[[#This Row],[COUNTRY]],COUNTRIES[COUNTRY_DESCRIPTION],COUNTRIES[COUNTRY_LABEL],"")</f>
        <v>AU</v>
      </c>
      <c r="H877" t="str" cm="1">
        <f t="array" ref="H8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7" t="s">
        <v>17</v>
      </c>
      <c r="J877">
        <v>0</v>
      </c>
      <c r="K877">
        <v>6</v>
      </c>
      <c r="L877">
        <v>0</v>
      </c>
      <c r="M877" t="str" cm="1">
        <f t="array" ref="M8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7">
        <f>_xlfn.XLOOKUP("LOADINGSPEEDDEF_"&amp;PROPERTIES[[#This Row],[LOADINGSPEED]],LOADINGSPEEDDEF[TYPE],LOADINGSPEEDDEF[SPEED])</f>
        <v>20</v>
      </c>
      <c r="O877" cm="1">
        <f t="array" ref="O8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7">
        <f>IF(ISNUMBER(SEARCH("passenger",PROPERTIES[[#This Row],[CARGODEF]])),1,0)</f>
        <v>0</v>
      </c>
      <c r="Q877" s="23">
        <v>80</v>
      </c>
      <c r="R877">
        <v>950</v>
      </c>
      <c r="S877">
        <v>0</v>
      </c>
      <c r="T877">
        <v>0</v>
      </c>
      <c r="U877">
        <v>0</v>
      </c>
      <c r="V877">
        <v>124</v>
      </c>
      <c r="W877">
        <v>0</v>
      </c>
      <c r="X877">
        <v>0</v>
      </c>
      <c r="Y877">
        <v>0</v>
      </c>
      <c r="Z877" s="20">
        <f>165*1.3</f>
        <v>214.5</v>
      </c>
      <c r="AA877" s="20">
        <f>IFERROR(PROPERTIES[[#This Row],[TE_STARTING_KN]]/(PROPERTIES[[#This Row],[WEIGHT]]*9.81),0)</f>
        <v>0.27331804281345562</v>
      </c>
      <c r="AB877" s="20">
        <v>0</v>
      </c>
      <c r="AC877" s="16">
        <f>ROUND(IF(IFERROR(PROPERTIES[[#This Row],[TE_COEFFICIENT_CALC]],0)=0,PROPERTIES[[#This Row],[TE_COEFFICIENT_MANUAL]],PROPERTIES[[#This Row],[TE_COEFFICIENT_CALC]]),3)</f>
        <v>0.27300000000000002</v>
      </c>
      <c r="AD877" s="27" cm="1">
        <f t="array" ref="AD8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7" s="26">
        <v>0</v>
      </c>
      <c r="AF877" s="6">
        <v>0</v>
      </c>
      <c r="AG877" t="s">
        <v>232</v>
      </c>
      <c r="AH877" t="s">
        <v>229</v>
      </c>
      <c r="AI877" t="s">
        <v>229</v>
      </c>
      <c r="AJ877" s="2" t="s">
        <v>229</v>
      </c>
      <c r="AK877" s="2" t="s">
        <v>244</v>
      </c>
      <c r="AL87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7" s="2" t="str">
        <f>SUBSTITUTE(SUBSTITUTE(PROPERTIES[[#This Row],[PURCHASECOST_VALUE]], "PURCHASECOST_", ""), "_VALUE", "")</f>
        <v>DIESELENGINE</v>
      </c>
      <c r="AO877" s="44" t="b">
        <v>0</v>
      </c>
      <c r="AP877" s="48" t="b">
        <v>0</v>
      </c>
      <c r="AQ877" s="48" t="b">
        <v>0</v>
      </c>
      <c r="AR877" s="48">
        <v>0</v>
      </c>
      <c r="AS877" s="48" t="b">
        <v>0</v>
      </c>
      <c r="AT877" s="7" t="b">
        <v>0</v>
      </c>
      <c r="AU877" s="40" t="str" cm="1">
        <f t="array" ref="AU877">_xlfn.XLOOKUP(PROPERTIES[[#This Row],[VEHIDCODE]],GRAPHICS_PROPERTIES[VEHIDCODE],GRAPHICS_PROPERTIES[TEMPLATE_ID]&amp;GRAPHICS_PROPERTIES[TEMPLATE_AMENDMENT_CODE])</f>
        <v>TPL_01A</v>
      </c>
    </row>
    <row r="878" spans="1:47" x14ac:dyDescent="0.35">
      <c r="A878" s="2" t="s">
        <v>3336</v>
      </c>
      <c r="B878">
        <v>1955</v>
      </c>
      <c r="C878">
        <v>1986</v>
      </c>
      <c r="D878" cm="1">
        <f t="array" ref="D8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8" s="40" t="str">
        <f>_xlfn.XLOOKUP(PROPERTIES[[#This Row],[VEHIDCODE]],CONTROL[VEHIDCODE],CONTROL[ENGLISH])</f>
        <v>EMD/Clyde G12</v>
      </c>
      <c r="F878" t="s">
        <v>697</v>
      </c>
      <c r="G878" s="40" t="str">
        <f>_xlfn.XLOOKUP(PROPERTIES[[#This Row],[COUNTRY]],COUNTRIES[COUNTRY_DESCRIPTION],COUNTRIES[COUNTRY_LABEL],"")</f>
        <v>NZ</v>
      </c>
      <c r="H878" t="str" cm="1">
        <f t="array" ref="H8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8" t="s">
        <v>17</v>
      </c>
      <c r="J878">
        <v>0</v>
      </c>
      <c r="K878">
        <v>6</v>
      </c>
      <c r="L878">
        <v>0</v>
      </c>
      <c r="M878" t="str" cm="1">
        <f t="array" ref="M8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8">
        <f>_xlfn.XLOOKUP("LOADINGSPEEDDEF_"&amp;PROPERTIES[[#This Row],[LOADINGSPEED]],LOADINGSPEEDDEF[TYPE],LOADINGSPEEDDEF[SPEED])</f>
        <v>20</v>
      </c>
      <c r="O878" cm="1">
        <f t="array" ref="O8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8">
        <f>IF(ISNUMBER(SEARCH("passenger",PROPERTIES[[#This Row],[CARGODEF]])),1,0)</f>
        <v>0</v>
      </c>
      <c r="Q878" s="23">
        <v>79</v>
      </c>
      <c r="R878">
        <v>1420</v>
      </c>
      <c r="S878">
        <v>0</v>
      </c>
      <c r="T878">
        <v>0</v>
      </c>
      <c r="U878">
        <v>0</v>
      </c>
      <c r="V878">
        <v>100</v>
      </c>
      <c r="W878">
        <v>0</v>
      </c>
      <c r="X878">
        <v>0</v>
      </c>
      <c r="Y878">
        <v>0</v>
      </c>
      <c r="Z878" s="20">
        <v>140</v>
      </c>
      <c r="AA878" s="20">
        <f>IFERROR(PROPERTIES[[#This Row],[TE_STARTING_KN]]/(PROPERTIES[[#This Row],[WEIGHT]]*9.81),0)</f>
        <v>0.18064749222570614</v>
      </c>
      <c r="AB878" s="20">
        <v>0</v>
      </c>
      <c r="AC878" s="16">
        <f>ROUND(IF(IFERROR(PROPERTIES[[#This Row],[TE_COEFFICIENT_CALC]],0)=0,PROPERTIES[[#This Row],[TE_COEFFICIENT_MANUAL]],PROPERTIES[[#This Row],[TE_COEFFICIENT_CALC]]),3)</f>
        <v>0.18099999999999999</v>
      </c>
      <c r="AD878" s="27" cm="1">
        <f t="array" ref="AD8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8" s="26">
        <v>0</v>
      </c>
      <c r="AF878" s="6">
        <v>0</v>
      </c>
      <c r="AG878" t="s">
        <v>232</v>
      </c>
      <c r="AH878" t="s">
        <v>229</v>
      </c>
      <c r="AI878" t="s">
        <v>229</v>
      </c>
      <c r="AJ878" s="2" t="s">
        <v>229</v>
      </c>
      <c r="AK878" s="2" t="s">
        <v>244</v>
      </c>
      <c r="AL87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8" s="2" t="str">
        <f>SUBSTITUTE(SUBSTITUTE(PROPERTIES[[#This Row],[PURCHASECOST_VALUE]], "PURCHASECOST_", ""), "_VALUE", "")</f>
        <v>DIESELENGINE</v>
      </c>
      <c r="AO878" s="44" t="b">
        <v>0</v>
      </c>
      <c r="AP878" s="48" t="b">
        <v>0</v>
      </c>
      <c r="AQ878" s="48" t="b">
        <v>1</v>
      </c>
      <c r="AR878" s="48">
        <v>0</v>
      </c>
      <c r="AS878" s="48" t="b">
        <v>0</v>
      </c>
      <c r="AT878" s="7" t="b">
        <v>1</v>
      </c>
      <c r="AU878" s="40" t="str" cm="1">
        <f t="array" ref="AU878">_xlfn.XLOOKUP(PROPERTIES[[#This Row],[VEHIDCODE]],GRAPHICS_PROPERTIES[VEHIDCODE],GRAPHICS_PROPERTIES[TEMPLATE_ID]&amp;GRAPHICS_PROPERTIES[TEMPLATE_AMENDMENT_CODE])</f>
        <v>TPL_01A</v>
      </c>
    </row>
    <row r="879" spans="1:47" x14ac:dyDescent="0.35">
      <c r="A879" s="2" t="s">
        <v>3337</v>
      </c>
      <c r="B879">
        <v>1965</v>
      </c>
      <c r="C879">
        <v>1986</v>
      </c>
      <c r="D879" cm="1">
        <f t="array" ref="D8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9" s="40" t="str">
        <f>_xlfn.XLOOKUP(PROPERTIES[[#This Row],[VEHIDCODE]],CONTROL[VEHIDCODE],CONTROL[ENGLISH])</f>
        <v>EMD/Clyde G8</v>
      </c>
      <c r="F879" t="s">
        <v>697</v>
      </c>
      <c r="G879" s="40" t="str">
        <f>_xlfn.XLOOKUP(PROPERTIES[[#This Row],[COUNTRY]],COUNTRIES[COUNTRY_DESCRIPTION],COUNTRIES[COUNTRY_LABEL],"")</f>
        <v>NZ</v>
      </c>
      <c r="H879" t="str" cm="1">
        <f t="array" ref="H8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9" t="s">
        <v>17</v>
      </c>
      <c r="J879">
        <v>0</v>
      </c>
      <c r="K879">
        <v>6</v>
      </c>
      <c r="L879">
        <v>0</v>
      </c>
      <c r="M879" t="str" cm="1">
        <f t="array" ref="M8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9">
        <f>_xlfn.XLOOKUP("LOADINGSPEEDDEF_"&amp;PROPERTIES[[#This Row],[LOADINGSPEED]],LOADINGSPEEDDEF[TYPE],LOADINGSPEEDDEF[SPEED])</f>
        <v>20</v>
      </c>
      <c r="O879" cm="1">
        <f t="array" ref="O8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9">
        <f>IF(ISNUMBER(SEARCH("passenger",PROPERTIES[[#This Row],[CARGODEF]])),1,0)</f>
        <v>0</v>
      </c>
      <c r="Q879" s="23">
        <v>69</v>
      </c>
      <c r="R879">
        <v>951</v>
      </c>
      <c r="S879">
        <v>0</v>
      </c>
      <c r="T879">
        <v>0</v>
      </c>
      <c r="U879">
        <v>0</v>
      </c>
      <c r="V879">
        <v>100</v>
      </c>
      <c r="W879">
        <v>0</v>
      </c>
      <c r="X879">
        <v>0</v>
      </c>
      <c r="Y879">
        <v>0</v>
      </c>
      <c r="Z879" s="20">
        <v>100</v>
      </c>
      <c r="AA879" s="20">
        <f>IFERROR(PROPERTIES[[#This Row],[TE_STARTING_KN]]/(PROPERTIES[[#This Row],[WEIGHT]]*9.81),0)</f>
        <v>0.14773449157174726</v>
      </c>
      <c r="AB879" s="20">
        <v>0</v>
      </c>
      <c r="AC879" s="16">
        <f>ROUND(IF(IFERROR(PROPERTIES[[#This Row],[TE_COEFFICIENT_CALC]],0)=0,PROPERTIES[[#This Row],[TE_COEFFICIENT_MANUAL]],PROPERTIES[[#This Row],[TE_COEFFICIENT_CALC]]),3)</f>
        <v>0.14799999999999999</v>
      </c>
      <c r="AD879" s="27" cm="1">
        <f t="array" ref="AD8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9" s="26">
        <v>0</v>
      </c>
      <c r="AF879" s="6">
        <v>0</v>
      </c>
      <c r="AG879" t="s">
        <v>232</v>
      </c>
      <c r="AH879" t="s">
        <v>229</v>
      </c>
      <c r="AI879" t="s">
        <v>229</v>
      </c>
      <c r="AJ879" s="2" t="s">
        <v>229</v>
      </c>
      <c r="AK879" s="2" t="s">
        <v>244</v>
      </c>
      <c r="AL87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9" s="2" t="str">
        <f>SUBSTITUTE(SUBSTITUTE(PROPERTIES[[#This Row],[PURCHASECOST_VALUE]], "PURCHASECOST_", ""), "_VALUE", "")</f>
        <v>DIESELENGINE</v>
      </c>
      <c r="AO879" s="44" t="b">
        <v>0</v>
      </c>
      <c r="AP879" s="48" t="b">
        <v>0</v>
      </c>
      <c r="AQ879" s="48" t="b">
        <v>0</v>
      </c>
      <c r="AR879" s="48">
        <v>0</v>
      </c>
      <c r="AS879" s="48" t="b">
        <v>0</v>
      </c>
      <c r="AT879" s="7" t="b">
        <v>0</v>
      </c>
      <c r="AU879" s="40" t="str" cm="1">
        <f t="array" ref="AU879">_xlfn.XLOOKUP(PROPERTIES[[#This Row],[VEHIDCODE]],GRAPHICS_PROPERTIES[VEHIDCODE],GRAPHICS_PROPERTIES[TEMPLATE_ID]&amp;GRAPHICS_PROPERTIES[TEMPLATE_AMENDMENT_CODE])</f>
        <v>TPL_01A</v>
      </c>
    </row>
    <row r="880" spans="1:47" x14ac:dyDescent="0.35">
      <c r="A880" s="2" t="s">
        <v>3338</v>
      </c>
      <c r="B880">
        <v>1972</v>
      </c>
      <c r="C880">
        <v>1987</v>
      </c>
      <c r="D880" cm="1">
        <f t="array" ref="D8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0" s="40" t="str">
        <f>_xlfn.XLOOKUP(PROPERTIES[[#This Row],[VEHIDCODE]],CONTROL[VEHIDCODE],CONTROL[ENGLISH])</f>
        <v>Goninan 47 Class</v>
      </c>
      <c r="F880" t="s">
        <v>541</v>
      </c>
      <c r="G880" s="40" t="str">
        <f>_xlfn.XLOOKUP(PROPERTIES[[#This Row],[COUNTRY]],COUNTRIES[COUNTRY_DESCRIPTION],COUNTRIES[COUNTRY_LABEL],"")</f>
        <v>AU</v>
      </c>
      <c r="H880" t="str" cm="1">
        <f t="array" ref="H8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80" t="s">
        <v>17</v>
      </c>
      <c r="J880">
        <v>0</v>
      </c>
      <c r="K880">
        <v>6</v>
      </c>
      <c r="L880">
        <v>0</v>
      </c>
      <c r="M880" t="str" cm="1">
        <f t="array" ref="M8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0">
        <f>_xlfn.XLOOKUP("LOADINGSPEEDDEF_"&amp;PROPERTIES[[#This Row],[LOADINGSPEED]],LOADINGSPEEDDEF[TYPE],LOADINGSPEEDDEF[SPEED])</f>
        <v>20</v>
      </c>
      <c r="O880" cm="1">
        <f t="array" ref="O8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0">
        <f>IF(ISNUMBER(SEARCH("passenger",PROPERTIES[[#This Row],[CARGODEF]])),1,0)</f>
        <v>0</v>
      </c>
      <c r="Q880" s="23">
        <v>85.3</v>
      </c>
      <c r="R880">
        <v>1126</v>
      </c>
      <c r="S880">
        <v>0</v>
      </c>
      <c r="T880">
        <v>0</v>
      </c>
      <c r="U880">
        <v>0</v>
      </c>
      <c r="V880">
        <v>113</v>
      </c>
      <c r="W880">
        <v>0</v>
      </c>
      <c r="X880">
        <v>0</v>
      </c>
      <c r="Y880">
        <v>0</v>
      </c>
      <c r="Z880" s="20">
        <f>171*1.3</f>
        <v>222.3</v>
      </c>
      <c r="AA880" s="20">
        <f>IFERROR(PROPERTIES[[#This Row],[TE_STARTING_KN]]/(PROPERTIES[[#This Row],[WEIGHT]]*9.81),0)</f>
        <v>0.26565709799197651</v>
      </c>
      <c r="AB880" s="20">
        <v>0</v>
      </c>
      <c r="AC880" s="16">
        <f>ROUND(IF(IFERROR(PROPERTIES[[#This Row],[TE_COEFFICIENT_CALC]],0)=0,PROPERTIES[[#This Row],[TE_COEFFICIENT_MANUAL]],PROPERTIES[[#This Row],[TE_COEFFICIENT_CALC]]),3)</f>
        <v>0.26600000000000001</v>
      </c>
      <c r="AD880" s="27" cm="1">
        <f t="array" ref="AD8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80" s="26">
        <v>0</v>
      </c>
      <c r="AF880" s="6">
        <v>0</v>
      </c>
      <c r="AG880" t="s">
        <v>232</v>
      </c>
      <c r="AH880" t="s">
        <v>229</v>
      </c>
      <c r="AI880" t="s">
        <v>229</v>
      </c>
      <c r="AJ880" s="2" t="s">
        <v>229</v>
      </c>
      <c r="AK880" s="2" t="s">
        <v>244</v>
      </c>
      <c r="AL88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8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80" s="2" t="str">
        <f>SUBSTITUTE(SUBSTITUTE(PROPERTIES[[#This Row],[PURCHASECOST_VALUE]], "PURCHASECOST_", ""), "_VALUE", "")</f>
        <v>DIESELENGINE</v>
      </c>
      <c r="AO880" s="44" t="b">
        <v>0</v>
      </c>
      <c r="AP880" s="48" t="b">
        <v>0</v>
      </c>
      <c r="AQ880" s="48" t="b">
        <v>0</v>
      </c>
      <c r="AR880" s="48">
        <v>0</v>
      </c>
      <c r="AS880" s="48" t="b">
        <v>0</v>
      </c>
      <c r="AT880" s="7" t="b">
        <v>0</v>
      </c>
      <c r="AU880" s="40" t="str" cm="1">
        <f t="array" ref="AU880">_xlfn.XLOOKUP(PROPERTIES[[#This Row],[VEHIDCODE]],GRAPHICS_PROPERTIES[VEHIDCODE],GRAPHICS_PROPERTIES[TEMPLATE_ID]&amp;GRAPHICS_PROPERTIES[TEMPLATE_AMENDMENT_CODE])</f>
        <v>TPL_01A</v>
      </c>
    </row>
    <row r="881" spans="1:47" x14ac:dyDescent="0.35">
      <c r="A881" s="2" t="s">
        <v>3339</v>
      </c>
      <c r="B881">
        <v>1852</v>
      </c>
      <c r="C881">
        <v>1884</v>
      </c>
      <c r="D881" cm="1">
        <f t="array" ref="D8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1" s="40" t="str">
        <f>_xlfn.XLOOKUP(PROPERTIES[[#This Row],[VEHIDCODE]],CONTROL[VEHIDCODE],CONTROL[ENGLISH])</f>
        <v>William Fairbairn 2-2-2 'Baroneza'</v>
      </c>
      <c r="F881" t="s">
        <v>558</v>
      </c>
      <c r="G881" s="40" t="str">
        <f>_xlfn.XLOOKUP(PROPERTIES[[#This Row],[COUNTRY]],COUNTRIES[COUNTRY_DESCRIPTION],COUNTRIES[COUNTRY_LABEL],"")</f>
        <v>BR</v>
      </c>
      <c r="H881" t="str" cm="1">
        <f t="array" ref="H8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1" t="s">
        <v>17</v>
      </c>
      <c r="J881">
        <v>0</v>
      </c>
      <c r="K881">
        <v>4</v>
      </c>
      <c r="L881">
        <v>0</v>
      </c>
      <c r="M881" t="str" cm="1">
        <f t="array" ref="M8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1">
        <f>_xlfn.XLOOKUP("LOADINGSPEEDDEF_"&amp;PROPERTIES[[#This Row],[LOADINGSPEED]],LOADINGSPEEDDEF[TYPE],LOADINGSPEEDDEF[SPEED])</f>
        <v>20</v>
      </c>
      <c r="O881" cm="1">
        <f t="array" ref="O8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1">
        <f>IF(ISNUMBER(SEARCH("passenger",PROPERTIES[[#This Row],[CARGODEF]])),1,0)</f>
        <v>0</v>
      </c>
      <c r="Q881" s="23">
        <v>17</v>
      </c>
      <c r="R881">
        <v>50</v>
      </c>
      <c r="S881">
        <v>0</v>
      </c>
      <c r="T881">
        <v>0</v>
      </c>
      <c r="U881">
        <v>0</v>
      </c>
      <c r="V881">
        <v>35</v>
      </c>
      <c r="W881">
        <v>0</v>
      </c>
      <c r="X881">
        <v>0</v>
      </c>
      <c r="Y881">
        <v>0</v>
      </c>
      <c r="Z881" s="20">
        <v>0</v>
      </c>
      <c r="AA881" s="19">
        <f>IFERROR(PROPERTIES[[#This Row],[TE_STARTING_KN]]/(PROPERTIES[[#This Row],[WEIGHT]]*9.81),0)</f>
        <v>0</v>
      </c>
      <c r="AB881" s="19">
        <v>0.09</v>
      </c>
      <c r="AC881" s="16">
        <f>ROUND(IF(IFERROR(PROPERTIES[[#This Row],[TE_COEFFICIENT_CALC]],0)=0,PROPERTIES[[#This Row],[TE_COEFFICIENT_MANUAL]],PROPERTIES[[#This Row],[TE_COEFFICIENT_CALC]]),3)</f>
        <v>0.09</v>
      </c>
      <c r="AD881" s="8" cm="1">
        <f t="array" ref="AD8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881" s="26">
        <v>0</v>
      </c>
      <c r="AF881" s="6">
        <v>3</v>
      </c>
      <c r="AG881" t="s">
        <v>237</v>
      </c>
      <c r="AH881" t="s">
        <v>229</v>
      </c>
      <c r="AI881" t="s">
        <v>229</v>
      </c>
      <c r="AJ881" s="2" t="s">
        <v>229</v>
      </c>
      <c r="AK881" s="2" t="s">
        <v>244</v>
      </c>
      <c r="AL88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1" s="2" t="str">
        <f>SUBSTITUTE(SUBSTITUTE(PROPERTIES[[#This Row],[PURCHASECOST_VALUE]], "PURCHASECOST_", ""), "_VALUE", "")</f>
        <v>STEAMENGINE</v>
      </c>
      <c r="AO881" s="44" t="b">
        <v>0</v>
      </c>
      <c r="AP881" s="48" t="b">
        <v>0</v>
      </c>
      <c r="AQ881" s="48" t="b">
        <v>0</v>
      </c>
      <c r="AR881" s="48">
        <v>0</v>
      </c>
      <c r="AS881" s="48" t="b">
        <v>0</v>
      </c>
      <c r="AT881" s="7" t="b">
        <v>0</v>
      </c>
      <c r="AU881" s="40" t="str" cm="1">
        <f t="array" ref="AU881">_xlfn.XLOOKUP(PROPERTIES[[#This Row],[VEHIDCODE]],GRAPHICS_PROPERTIES[VEHIDCODE],GRAPHICS_PROPERTIES[TEMPLATE_ID]&amp;GRAPHICS_PROPERTIES[TEMPLATE_AMENDMENT_CODE])</f>
        <v>TPL_03A</v>
      </c>
    </row>
    <row r="882" spans="1:47" x14ac:dyDescent="0.35">
      <c r="A882" s="2" t="s">
        <v>3340</v>
      </c>
      <c r="B882">
        <v>1857</v>
      </c>
      <c r="C882">
        <v>1890</v>
      </c>
      <c r="D882" cm="1">
        <f t="array" ref="D8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2" s="40" t="str">
        <f>_xlfn.XLOOKUP(PROPERTIES[[#This Row],[VEHIDCODE]],CONTROL[VEHIDCODE],CONTROL[ENGLISH])</f>
        <v>Hunslet 0-4-0ST 'La Portena'</v>
      </c>
      <c r="F882" t="s">
        <v>538</v>
      </c>
      <c r="G882" s="40" t="str">
        <f>_xlfn.XLOOKUP(PROPERTIES[[#This Row],[COUNTRY]],COUNTRIES[COUNTRY_DESCRIPTION],COUNTRIES[COUNTRY_LABEL],"")</f>
        <v>AR</v>
      </c>
      <c r="H882" t="str" cm="1">
        <f t="array" ref="H8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2" t="s">
        <v>17</v>
      </c>
      <c r="J882">
        <v>0</v>
      </c>
      <c r="K882">
        <v>5</v>
      </c>
      <c r="L882">
        <v>0</v>
      </c>
      <c r="M882" t="str" cm="1">
        <f t="array" ref="M8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2">
        <f>_xlfn.XLOOKUP("LOADINGSPEEDDEF_"&amp;PROPERTIES[[#This Row],[LOADINGSPEED]],LOADINGSPEEDDEF[TYPE],LOADINGSPEEDDEF[SPEED])</f>
        <v>20</v>
      </c>
      <c r="O882" cm="1">
        <f t="array" ref="O8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2">
        <f>IF(ISNUMBER(SEARCH("passenger",PROPERTIES[[#This Row],[CARGODEF]])),1,0)</f>
        <v>0</v>
      </c>
      <c r="Q882" s="23">
        <v>15.2</v>
      </c>
      <c r="R882">
        <v>100</v>
      </c>
      <c r="S882">
        <v>0</v>
      </c>
      <c r="T882">
        <v>0</v>
      </c>
      <c r="U882">
        <v>0</v>
      </c>
      <c r="V882">
        <v>25</v>
      </c>
      <c r="W882">
        <v>0</v>
      </c>
      <c r="X882">
        <v>0</v>
      </c>
      <c r="Y882">
        <v>0</v>
      </c>
      <c r="Z882" s="20">
        <v>27.11</v>
      </c>
      <c r="AA882" s="19">
        <f>IFERROR(PROPERTIES[[#This Row],[TE_STARTING_KN]]/(PROPERTIES[[#This Row],[WEIGHT]]*9.81),0)</f>
        <v>0.18180964644025968</v>
      </c>
      <c r="AB882" s="19">
        <v>0</v>
      </c>
      <c r="AC882" s="16">
        <f>ROUND(IF(IFERROR(PROPERTIES[[#This Row],[TE_COEFFICIENT_CALC]],0)=0,PROPERTIES[[#This Row],[TE_COEFFICIENT_MANUAL]],PROPERTIES[[#This Row],[TE_COEFFICIENT_CALC]]),3)</f>
        <v>0.182</v>
      </c>
      <c r="AD882" s="8" cm="1">
        <f t="array" ref="AD8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882" s="26">
        <v>0</v>
      </c>
      <c r="AF882" s="6">
        <v>2</v>
      </c>
      <c r="AG882" t="s">
        <v>237</v>
      </c>
      <c r="AH882" t="s">
        <v>229</v>
      </c>
      <c r="AI882" t="s">
        <v>229</v>
      </c>
      <c r="AJ882" s="2" t="s">
        <v>229</v>
      </c>
      <c r="AK882" s="2" t="s">
        <v>244</v>
      </c>
      <c r="AL88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2" s="2" t="str">
        <f>SUBSTITUTE(SUBSTITUTE(PROPERTIES[[#This Row],[PURCHASECOST_VALUE]], "PURCHASECOST_", ""), "_VALUE", "")</f>
        <v>STEAMENGINE</v>
      </c>
      <c r="AO882" s="44" t="b">
        <v>0</v>
      </c>
      <c r="AP882" s="48" t="b">
        <v>0</v>
      </c>
      <c r="AQ882" s="48" t="b">
        <v>0</v>
      </c>
      <c r="AR882" s="48">
        <v>0</v>
      </c>
      <c r="AS882" s="48" t="b">
        <v>0</v>
      </c>
      <c r="AT882" s="7" t="b">
        <v>0</v>
      </c>
      <c r="AU882" s="40" t="str" cm="1">
        <f t="array" ref="AU882">_xlfn.XLOOKUP(PROPERTIES[[#This Row],[VEHIDCODE]],GRAPHICS_PROPERTIES[VEHIDCODE],GRAPHICS_PROPERTIES[TEMPLATE_ID]&amp;GRAPHICS_PROPERTIES[TEMPLATE_AMENDMENT_CODE])</f>
        <v>TPL_03A</v>
      </c>
    </row>
    <row r="883" spans="1:47" x14ac:dyDescent="0.35">
      <c r="A883" s="2" t="s">
        <v>3341</v>
      </c>
      <c r="B883">
        <v>1885</v>
      </c>
      <c r="C883">
        <v>1907</v>
      </c>
      <c r="D883" cm="1">
        <f t="array" ref="D8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3" s="40" t="str">
        <f>_xlfn.XLOOKUP(PROPERTIES[[#This Row],[VEHIDCODE]],CONTROL[VEHIDCODE],CONTROL[ENGLISH])</f>
        <v>Burnham 2-10-0 'Dom Pedro Segundo 119'</v>
      </c>
      <c r="F883" t="s">
        <v>558</v>
      </c>
      <c r="G883" s="40" t="str">
        <f>_xlfn.XLOOKUP(PROPERTIES[[#This Row],[COUNTRY]],COUNTRIES[COUNTRY_DESCRIPTION],COUNTRIES[COUNTRY_LABEL],"")</f>
        <v>BR</v>
      </c>
      <c r="H883" t="str" cm="1">
        <f t="array" ref="H8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3" t="s">
        <v>17</v>
      </c>
      <c r="J883">
        <v>0</v>
      </c>
      <c r="K883">
        <v>8</v>
      </c>
      <c r="M883" t="str" cm="1">
        <f t="array" ref="M8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3">
        <f>_xlfn.XLOOKUP("LOADINGSPEEDDEF_"&amp;PROPERTIES[[#This Row],[LOADINGSPEED]],LOADINGSPEEDDEF[TYPE],LOADINGSPEEDDEF[SPEED])</f>
        <v>20</v>
      </c>
      <c r="O883" cm="1">
        <f t="array" ref="O8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3">
        <f>IF(ISNUMBER(SEARCH("passenger",PROPERTIES[[#This Row],[CARGODEF]])),1,0)</f>
        <v>0</v>
      </c>
      <c r="Q883" s="23">
        <v>102</v>
      </c>
      <c r="R883">
        <v>626</v>
      </c>
      <c r="S883">
        <v>0</v>
      </c>
      <c r="T883">
        <v>0</v>
      </c>
      <c r="U883">
        <v>0</v>
      </c>
      <c r="V883">
        <v>50</v>
      </c>
      <c r="W883">
        <v>0</v>
      </c>
      <c r="X883">
        <v>0</v>
      </c>
      <c r="Y883">
        <v>0</v>
      </c>
      <c r="Z883" s="20">
        <v>148</v>
      </c>
      <c r="AA883" s="19">
        <f>IFERROR(PROPERTIES[[#This Row],[TE_STARTING_KN]]/(PROPERTIES[[#This Row],[WEIGHT]]*9.81),0)</f>
        <v>0.14790829685594931</v>
      </c>
      <c r="AB883" s="19">
        <v>0</v>
      </c>
      <c r="AC883" s="16">
        <f>ROUND(IF(IFERROR(PROPERTIES[[#This Row],[TE_COEFFICIENT_CALC]],0)=0,PROPERTIES[[#This Row],[TE_COEFFICIENT_MANUAL]],PROPERTIES[[#This Row],[TE_COEFFICIENT_CALC]]),3)</f>
        <v>0.14799999999999999</v>
      </c>
      <c r="AD883" s="8" cm="1">
        <f t="array" ref="AD8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83" s="26">
        <v>0</v>
      </c>
      <c r="AF883" s="6">
        <v>3</v>
      </c>
      <c r="AG883" t="s">
        <v>237</v>
      </c>
      <c r="AH883" t="s">
        <v>229</v>
      </c>
      <c r="AI883" t="s">
        <v>229</v>
      </c>
      <c r="AJ883" s="2" t="s">
        <v>229</v>
      </c>
      <c r="AK883" s="2" t="s">
        <v>244</v>
      </c>
      <c r="AL88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3" s="2" t="str">
        <f>SUBSTITUTE(SUBSTITUTE(PROPERTIES[[#This Row],[PURCHASECOST_VALUE]], "PURCHASECOST_", ""), "_VALUE", "")</f>
        <v>STEAMENGINE</v>
      </c>
      <c r="AO883" s="44" t="b">
        <v>0</v>
      </c>
      <c r="AP883" s="48" t="b">
        <v>0</v>
      </c>
      <c r="AQ883" s="48" t="b">
        <v>0</v>
      </c>
      <c r="AR883" s="48">
        <v>0</v>
      </c>
      <c r="AS883" s="48" t="b">
        <v>0</v>
      </c>
      <c r="AT883" s="7" t="b">
        <v>0</v>
      </c>
      <c r="AU883" s="40" t="str" cm="1">
        <f t="array" ref="AU883">_xlfn.XLOOKUP(PROPERTIES[[#This Row],[VEHIDCODE]],GRAPHICS_PROPERTIES[VEHIDCODE],GRAPHICS_PROPERTIES[TEMPLATE_ID]&amp;GRAPHICS_PROPERTIES[TEMPLATE_AMENDMENT_CODE])</f>
        <v>TPL_03A</v>
      </c>
    </row>
    <row r="884" spans="1:47" x14ac:dyDescent="0.35">
      <c r="A884" s="2" t="s">
        <v>3342</v>
      </c>
      <c r="B884">
        <v>1910</v>
      </c>
      <c r="D884" cm="1">
        <f t="array" ref="D8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4" s="40" t="str">
        <f>_xlfn.XLOOKUP(PROPERTIES[[#This Row],[VEHIDCODE]],CONTROL[VEHIDCODE],CONTROL[ENGLISH])</f>
        <v>Baldwin 0-22C No8 'Monsefu'</v>
      </c>
      <c r="F884" t="s">
        <v>700</v>
      </c>
      <c r="G884" s="40" t="str">
        <f>_xlfn.XLOOKUP(PROPERTIES[[#This Row],[COUNTRY]],COUNTRIES[COUNTRY_DESCRIPTION],COUNTRIES[COUNTRY_LABEL],"")</f>
        <v>PE</v>
      </c>
      <c r="H884" t="str" cm="1">
        <f t="array" ref="H8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4" t="s">
        <v>17</v>
      </c>
      <c r="J884">
        <v>0</v>
      </c>
      <c r="K884">
        <v>7</v>
      </c>
      <c r="L884">
        <v>0</v>
      </c>
      <c r="M884" t="str" cm="1">
        <f t="array" ref="M8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4">
        <f>_xlfn.XLOOKUP("LOADINGSPEEDDEF_"&amp;PROPERTIES[[#This Row],[LOADINGSPEED]],LOADINGSPEEDDEF[TYPE],LOADINGSPEEDDEF[SPEED])</f>
        <v>20</v>
      </c>
      <c r="O884" cm="1">
        <f t="array" ref="O8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4">
        <f>IF(ISNUMBER(SEARCH("passenger",PROPERTIES[[#This Row],[CARGODEF]])),1,0)</f>
        <v>0</v>
      </c>
      <c r="Q884" s="23">
        <v>44</v>
      </c>
      <c r="R884">
        <v>438</v>
      </c>
      <c r="S884">
        <v>0</v>
      </c>
      <c r="T884">
        <v>0</v>
      </c>
      <c r="U884">
        <v>0</v>
      </c>
      <c r="V884">
        <v>80</v>
      </c>
      <c r="W884">
        <v>0</v>
      </c>
      <c r="X884">
        <v>0</v>
      </c>
      <c r="Y884">
        <v>0</v>
      </c>
      <c r="Z884" s="20">
        <v>44</v>
      </c>
      <c r="AA884" s="19">
        <f>IFERROR(PROPERTIES[[#This Row],[TE_STARTING_KN]]/(PROPERTIES[[#This Row],[WEIGHT]]*9.81),0)</f>
        <v>0.1019367991845056</v>
      </c>
      <c r="AB884" s="19">
        <v>0</v>
      </c>
      <c r="AC884" s="16">
        <f>ROUND(IF(IFERROR(PROPERTIES[[#This Row],[TE_COEFFICIENT_CALC]],0)=0,PROPERTIES[[#This Row],[TE_COEFFICIENT_MANUAL]],PROPERTIES[[#This Row],[TE_COEFFICIENT_CALC]]),3)</f>
        <v>0.10199999999999999</v>
      </c>
      <c r="AD884" s="8" cm="1">
        <f t="array" ref="AD8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84" s="26">
        <v>0</v>
      </c>
      <c r="AF884" s="6">
        <v>4</v>
      </c>
      <c r="AG884" t="s">
        <v>237</v>
      </c>
      <c r="AH884" t="s">
        <v>229</v>
      </c>
      <c r="AI884" t="s">
        <v>229</v>
      </c>
      <c r="AJ884" s="2" t="s">
        <v>229</v>
      </c>
      <c r="AK884" s="2" t="s">
        <v>244</v>
      </c>
      <c r="AL88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4" s="2" t="str">
        <f>SUBSTITUTE(SUBSTITUTE(PROPERTIES[[#This Row],[PURCHASECOST_VALUE]], "PURCHASECOST_", ""), "_VALUE", "")</f>
        <v>STEAMENGINE</v>
      </c>
      <c r="AO884" s="44" t="b">
        <v>0</v>
      </c>
      <c r="AP884" s="48" t="b">
        <v>0</v>
      </c>
      <c r="AQ884" s="48" t="b">
        <v>0</v>
      </c>
      <c r="AR884" s="48">
        <v>0</v>
      </c>
      <c r="AS884" s="48" t="b">
        <v>0</v>
      </c>
      <c r="AT884" s="7" t="b">
        <v>0</v>
      </c>
      <c r="AU884" s="40" t="str" cm="1">
        <f t="array" ref="AU884">_xlfn.XLOOKUP(PROPERTIES[[#This Row],[VEHIDCODE]],GRAPHICS_PROPERTIES[VEHIDCODE],GRAPHICS_PROPERTIES[TEMPLATE_ID]&amp;GRAPHICS_PROPERTIES[TEMPLATE_AMENDMENT_CODE])</f>
        <v>TPL_03A</v>
      </c>
    </row>
    <row r="885" spans="1:47" x14ac:dyDescent="0.35">
      <c r="A885" s="2" t="s">
        <v>3343</v>
      </c>
      <c r="B885">
        <v>1910</v>
      </c>
      <c r="D885" cm="1">
        <f t="array" ref="D8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5" s="40" t="str">
        <f>_xlfn.XLOOKUP(PROPERTIES[[#This Row],[VEHIDCODE]],CONTROL[VEHIDCODE],CONTROL[ENGLISH])</f>
        <v>North British 2-6-0 Q Class</v>
      </c>
      <c r="F885" t="s">
        <v>712</v>
      </c>
      <c r="G885" s="40" t="str">
        <f>_xlfn.XLOOKUP(PROPERTIES[[#This Row],[COUNTRY]],COUNTRIES[COUNTRY_DESCRIPTION],COUNTRIES[COUNTRY_LABEL],"")</f>
        <v>PY</v>
      </c>
      <c r="H885" t="str" cm="1">
        <f t="array" ref="H8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5" t="s">
        <v>17</v>
      </c>
      <c r="J885">
        <v>0</v>
      </c>
      <c r="K885">
        <v>5</v>
      </c>
      <c r="L885">
        <v>0</v>
      </c>
      <c r="M885" t="str" cm="1">
        <f t="array" ref="M8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5">
        <f>_xlfn.XLOOKUP("LOADINGSPEEDDEF_"&amp;PROPERTIES[[#This Row],[LOADINGSPEED]],LOADINGSPEEDDEF[TYPE],LOADINGSPEEDDEF[SPEED])</f>
        <v>20</v>
      </c>
      <c r="O885" cm="1">
        <f t="array" ref="O8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5">
        <f>IF(ISNUMBER(SEARCH("passenger",PROPERTIES[[#This Row],[CARGODEF]])),1,0)</f>
        <v>0</v>
      </c>
      <c r="Q885" s="23">
        <v>97.3</v>
      </c>
      <c r="R885">
        <v>650</v>
      </c>
      <c r="S885">
        <v>0</v>
      </c>
      <c r="T885">
        <v>0</v>
      </c>
      <c r="U885">
        <v>0</v>
      </c>
      <c r="V885">
        <v>75</v>
      </c>
      <c r="W885">
        <v>0</v>
      </c>
      <c r="X885">
        <v>0</v>
      </c>
      <c r="Y885">
        <v>0</v>
      </c>
      <c r="Z885" s="20">
        <v>96.26</v>
      </c>
      <c r="AA885" s="19">
        <f>IFERROR(PROPERTIES[[#This Row],[TE_STARTING_KN]]/(PROPERTIES[[#This Row],[WEIGHT]]*9.81),0)</f>
        <v>0.10084723832991274</v>
      </c>
      <c r="AB885" s="19">
        <v>0</v>
      </c>
      <c r="AC885" s="16">
        <f>ROUND(IF(IFERROR(PROPERTIES[[#This Row],[TE_COEFFICIENT_CALC]],0)=0,PROPERTIES[[#This Row],[TE_COEFFICIENT_MANUAL]],PROPERTIES[[#This Row],[TE_COEFFICIENT_CALC]]),3)</f>
        <v>0.10100000000000001</v>
      </c>
      <c r="AD885" s="8" cm="1">
        <f t="array" ref="AD8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85" s="26">
        <v>0</v>
      </c>
      <c r="AF885" s="6">
        <v>3</v>
      </c>
      <c r="AG885" t="s">
        <v>237</v>
      </c>
      <c r="AH885" t="s">
        <v>229</v>
      </c>
      <c r="AI885" t="s">
        <v>229</v>
      </c>
      <c r="AJ885" s="2" t="s">
        <v>229</v>
      </c>
      <c r="AK885" s="2" t="s">
        <v>244</v>
      </c>
      <c r="AL88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5" s="2" t="str">
        <f>SUBSTITUTE(SUBSTITUTE(PROPERTIES[[#This Row],[PURCHASECOST_VALUE]], "PURCHASECOST_", ""), "_VALUE", "")</f>
        <v>STEAMENGINE</v>
      </c>
      <c r="AO885" s="44" t="b">
        <v>0</v>
      </c>
      <c r="AP885" s="48" t="b">
        <v>0</v>
      </c>
      <c r="AQ885" s="48" t="b">
        <v>0</v>
      </c>
      <c r="AR885" s="48">
        <v>0</v>
      </c>
      <c r="AS885" s="48" t="b">
        <v>0</v>
      </c>
      <c r="AT885" s="7" t="b">
        <v>0</v>
      </c>
      <c r="AU885" s="40" t="str" cm="1">
        <f t="array" ref="AU885">_xlfn.XLOOKUP(PROPERTIES[[#This Row],[VEHIDCODE]],GRAPHICS_PROPERTIES[VEHIDCODE],GRAPHICS_PROPERTIES[TEMPLATE_ID]&amp;GRAPHICS_PROPERTIES[TEMPLATE_AMENDMENT_CODE])</f>
        <v>TPL_03A</v>
      </c>
    </row>
    <row r="886" spans="1:47" x14ac:dyDescent="0.35">
      <c r="A886" s="2" t="s">
        <v>3344</v>
      </c>
      <c r="B886">
        <v>1914</v>
      </c>
      <c r="C886">
        <v>1968</v>
      </c>
      <c r="D886" cm="1">
        <f t="array" ref="D8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6" s="40" t="str">
        <f>_xlfn.XLOOKUP(PROPERTIES[[#This Row],[VEHIDCODE]],CONTROL[VEHIDCODE],CONTROL[ENGLISH])</f>
        <v>NBLC 4-6-2 PS10 Class</v>
      </c>
      <c r="F886" t="s">
        <v>538</v>
      </c>
      <c r="G886" s="40" t="str">
        <f>_xlfn.XLOOKUP(PROPERTIES[[#This Row],[COUNTRY]],COUNTRIES[COUNTRY_DESCRIPTION],COUNTRIES[COUNTRY_LABEL],"")</f>
        <v>AR</v>
      </c>
      <c r="H886" t="str" cm="1">
        <f t="array" ref="H8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6" t="s">
        <v>17</v>
      </c>
      <c r="J886">
        <v>0</v>
      </c>
      <c r="K886">
        <v>6</v>
      </c>
      <c r="L886">
        <v>0</v>
      </c>
      <c r="M886" t="str" cm="1">
        <f t="array" ref="M8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6">
        <f>_xlfn.XLOOKUP("LOADINGSPEEDDEF_"&amp;PROPERTIES[[#This Row],[LOADINGSPEED]],LOADINGSPEEDDEF[TYPE],LOADINGSPEEDDEF[SPEED])</f>
        <v>20</v>
      </c>
      <c r="O886" cm="1">
        <f t="array" ref="O8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6">
        <f>IF(ISNUMBER(SEARCH("passenger",PROPERTIES[[#This Row],[CARGODEF]])),1,0)</f>
        <v>0</v>
      </c>
      <c r="Q886" s="23">
        <v>150</v>
      </c>
      <c r="R886">
        <v>900</v>
      </c>
      <c r="S886">
        <v>0</v>
      </c>
      <c r="T886">
        <v>0</v>
      </c>
      <c r="U886">
        <v>0</v>
      </c>
      <c r="V886">
        <v>140</v>
      </c>
      <c r="W886">
        <v>0</v>
      </c>
      <c r="X886">
        <v>0</v>
      </c>
      <c r="Y886">
        <v>0</v>
      </c>
      <c r="Z886" s="20">
        <v>97</v>
      </c>
      <c r="AA886" s="19">
        <f>IFERROR(PROPERTIES[[#This Row],[TE_STARTING_KN]]/(PROPERTIES[[#This Row],[WEIGHT]]*9.81),0)</f>
        <v>6.5919130139313623E-2</v>
      </c>
      <c r="AB886" s="19">
        <v>0</v>
      </c>
      <c r="AC886" s="16">
        <f>ROUND(IF(IFERROR(PROPERTIES[[#This Row],[TE_COEFFICIENT_CALC]],0)=0,PROPERTIES[[#This Row],[TE_COEFFICIENT_MANUAL]],PROPERTIES[[#This Row],[TE_COEFFICIENT_CALC]]),3)</f>
        <v>6.6000000000000003E-2</v>
      </c>
      <c r="AD886" s="8" cm="1">
        <f t="array" ref="AD8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886" s="26">
        <v>0</v>
      </c>
      <c r="AF886" s="6">
        <v>4</v>
      </c>
      <c r="AG886" t="s">
        <v>237</v>
      </c>
      <c r="AH886" t="s">
        <v>229</v>
      </c>
      <c r="AI886" t="s">
        <v>229</v>
      </c>
      <c r="AJ886" s="2" t="s">
        <v>229</v>
      </c>
      <c r="AK886" s="2" t="s">
        <v>244</v>
      </c>
      <c r="AL88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6" s="2" t="str">
        <f>SUBSTITUTE(SUBSTITUTE(PROPERTIES[[#This Row],[PURCHASECOST_VALUE]], "PURCHASECOST_", ""), "_VALUE", "")</f>
        <v>STEAMENGINE</v>
      </c>
      <c r="AO886" s="44" t="b">
        <v>0</v>
      </c>
      <c r="AP886" s="48" t="b">
        <v>0</v>
      </c>
      <c r="AQ886" s="48" t="b">
        <v>0</v>
      </c>
      <c r="AR886" s="48">
        <v>0</v>
      </c>
      <c r="AS886" s="48" t="b">
        <v>0</v>
      </c>
      <c r="AT886" s="7" t="b">
        <v>0</v>
      </c>
      <c r="AU886" s="40" t="str" cm="1">
        <f t="array" ref="AU886">_xlfn.XLOOKUP(PROPERTIES[[#This Row],[VEHIDCODE]],GRAPHICS_PROPERTIES[VEHIDCODE],GRAPHICS_PROPERTIES[TEMPLATE_ID]&amp;GRAPHICS_PROPERTIES[TEMPLATE_AMENDMENT_CODE])</f>
        <v>TPL_03A</v>
      </c>
    </row>
    <row r="887" spans="1:47" x14ac:dyDescent="0.35">
      <c r="A887" s="2" t="s">
        <v>3345</v>
      </c>
      <c r="B887">
        <v>1924</v>
      </c>
      <c r="D887" cm="1">
        <f t="array" ref="D8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7" s="40" t="str">
        <f>_xlfn.XLOOKUP(PROPERTIES[[#This Row],[VEHIDCODE]],CONTROL[VEHIDCODE],CONTROL[ENGLISH])</f>
        <v>Yorkshire Engine Co. 4-8-4T 'Nitrate 101'</v>
      </c>
      <c r="F887" t="s">
        <v>573</v>
      </c>
      <c r="G887" s="40" t="str">
        <f>_xlfn.XLOOKUP(PROPERTIES[[#This Row],[COUNTRY]],COUNTRIES[COUNTRY_DESCRIPTION],COUNTRIES[COUNTRY_LABEL],"")</f>
        <v>CL</v>
      </c>
      <c r="H887" t="str" cm="1">
        <f t="array" ref="H8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7" t="s">
        <v>17</v>
      </c>
      <c r="J887">
        <v>0</v>
      </c>
      <c r="K887">
        <v>8</v>
      </c>
      <c r="L887">
        <v>0</v>
      </c>
      <c r="M887" t="str" cm="1">
        <f t="array" ref="M8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7">
        <f>_xlfn.XLOOKUP("LOADINGSPEEDDEF_"&amp;PROPERTIES[[#This Row],[LOADINGSPEED]],LOADINGSPEEDDEF[TYPE],LOADINGSPEEDDEF[SPEED])</f>
        <v>20</v>
      </c>
      <c r="O887" cm="1">
        <f t="array" ref="O8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7">
        <f>IF(ISNUMBER(SEARCH("passenger",PROPERTIES[[#This Row],[CARGODEF]])),1,0)</f>
        <v>0</v>
      </c>
      <c r="Q887" s="23">
        <v>112</v>
      </c>
      <c r="R887">
        <v>1300</v>
      </c>
      <c r="S887">
        <v>0</v>
      </c>
      <c r="T887">
        <v>0</v>
      </c>
      <c r="U887">
        <v>0</v>
      </c>
      <c r="V887">
        <v>61</v>
      </c>
      <c r="W887">
        <v>0</v>
      </c>
      <c r="X887">
        <v>0</v>
      </c>
      <c r="Y887">
        <v>0</v>
      </c>
      <c r="Z887" s="20">
        <v>156.85763828079999</v>
      </c>
      <c r="AA887" s="20">
        <f>IFERROR(PROPERTIES[[#This Row],[TE_STARTING_KN]]/(PROPERTIES[[#This Row],[WEIGHT]]*9.81),0)</f>
        <v>0.14276397833915827</v>
      </c>
      <c r="AB887" s="20">
        <v>0</v>
      </c>
      <c r="AC887" s="16">
        <f>ROUND(IF(IFERROR(PROPERTIES[[#This Row],[TE_COEFFICIENT_CALC]],0)=0,PROPERTIES[[#This Row],[TE_COEFFICIENT_MANUAL]],PROPERTIES[[#This Row],[TE_COEFFICIENT_CALC]]),3)</f>
        <v>0.14299999999999999</v>
      </c>
      <c r="AD887" s="27" cm="1">
        <f t="array" ref="AD8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87" s="26">
        <v>0</v>
      </c>
      <c r="AF887" s="6">
        <v>0</v>
      </c>
      <c r="AG887" t="s">
        <v>237</v>
      </c>
      <c r="AH887" t="s">
        <v>229</v>
      </c>
      <c r="AI887" t="s">
        <v>229</v>
      </c>
      <c r="AJ887" s="2" t="s">
        <v>229</v>
      </c>
      <c r="AK887" s="2" t="s">
        <v>244</v>
      </c>
      <c r="AL88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7" s="2" t="str">
        <f>SUBSTITUTE(SUBSTITUTE(PROPERTIES[[#This Row],[PURCHASECOST_VALUE]], "PURCHASECOST_", ""), "_VALUE", "")</f>
        <v>STEAMENGINE</v>
      </c>
      <c r="AO887" s="44" t="b">
        <v>0</v>
      </c>
      <c r="AP887" s="48" t="b">
        <v>0</v>
      </c>
      <c r="AQ887" s="48" t="b">
        <v>0</v>
      </c>
      <c r="AR887" s="48">
        <v>0</v>
      </c>
      <c r="AS887" s="48" t="b">
        <v>0</v>
      </c>
      <c r="AT887" s="7" t="b">
        <v>0</v>
      </c>
      <c r="AU887" s="40" t="str" cm="1">
        <f t="array" ref="AU887">_xlfn.XLOOKUP(PROPERTIES[[#This Row],[VEHIDCODE]],GRAPHICS_PROPERTIES[VEHIDCODE],GRAPHICS_PROPERTIES[TEMPLATE_ID]&amp;GRAPHICS_PROPERTIES[TEMPLATE_AMENDMENT_CODE])</f>
        <v>TPL_03C</v>
      </c>
    </row>
    <row r="888" spans="1:47" x14ac:dyDescent="0.35">
      <c r="A888" t="s">
        <v>3346</v>
      </c>
      <c r="B888">
        <v>1929</v>
      </c>
      <c r="C888">
        <v>1970</v>
      </c>
      <c r="D888" cm="1">
        <f t="array" ref="D8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8" s="40" t="str">
        <f>_xlfn.XLOOKUP(PROPERTIES[[#This Row],[VEHIDCODE]],CONTROL[VEHIDCODE],CONTROL[ENGLISH])</f>
        <v>SLM-BBC 1-D-1</v>
      </c>
      <c r="F888" t="s">
        <v>558</v>
      </c>
      <c r="G888" s="40" t="str">
        <f>_xlfn.XLOOKUP(PROPERTIES[[#This Row],[COUNTRY]],COUNTRIES[COUNTRY_DESCRIPTION],COUNTRIES[COUNTRY_LABEL],"")</f>
        <v>BR</v>
      </c>
      <c r="H888" t="str" cm="1">
        <f t="array" ref="H8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88" t="s">
        <v>17</v>
      </c>
      <c r="J888">
        <v>0</v>
      </c>
      <c r="K888">
        <v>7</v>
      </c>
      <c r="L888">
        <v>0</v>
      </c>
      <c r="M888" t="str" cm="1">
        <f t="array" ref="M8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8">
        <f>_xlfn.XLOOKUP("LOADINGSPEEDDEF_"&amp;PROPERTIES[[#This Row],[LOADINGSPEED]],LOADINGSPEEDDEF[TYPE],LOADINGSPEEDDEF[SPEED])</f>
        <v>20</v>
      </c>
      <c r="O888" cm="1">
        <f t="array" ref="O8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8">
        <f>IF(ISNUMBER(SEARCH("passenger",PROPERTIES[[#This Row],[CARGODEF]])),1,0)</f>
        <v>0</v>
      </c>
      <c r="Q888" s="23">
        <v>123.4</v>
      </c>
      <c r="R888">
        <v>2520</v>
      </c>
      <c r="S888">
        <v>0</v>
      </c>
      <c r="T888">
        <v>0</v>
      </c>
      <c r="U888">
        <v>0</v>
      </c>
      <c r="V888">
        <v>105</v>
      </c>
      <c r="W888">
        <v>0</v>
      </c>
      <c r="X888">
        <v>0</v>
      </c>
      <c r="Y888">
        <v>0</v>
      </c>
      <c r="Z888" s="20">
        <v>127</v>
      </c>
      <c r="AA888" s="20">
        <f>IFERROR(PROPERTIES[[#This Row],[TE_STARTING_KN]]/(PROPERTIES[[#This Row],[WEIGHT]]*9.81),0)</f>
        <v>0.10491064421744094</v>
      </c>
      <c r="AB888" s="20">
        <v>0</v>
      </c>
      <c r="AC888" s="16">
        <f>ROUND(IF(IFERROR(PROPERTIES[[#This Row],[TE_COEFFICIENT_CALC]],0)=0,PROPERTIES[[#This Row],[TE_COEFFICIENT_MANUAL]],PROPERTIES[[#This Row],[TE_COEFFICIENT_CALC]]),3)</f>
        <v>0.105</v>
      </c>
      <c r="AD888" s="27" cm="1">
        <f t="array" ref="AD8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888" s="26">
        <v>0</v>
      </c>
      <c r="AF888" s="6">
        <v>0</v>
      </c>
      <c r="AG888" t="s">
        <v>237</v>
      </c>
      <c r="AH888" t="s">
        <v>229</v>
      </c>
      <c r="AI888" t="s">
        <v>229</v>
      </c>
      <c r="AJ888" s="2" t="s">
        <v>229</v>
      </c>
      <c r="AK888" s="2" t="s">
        <v>244</v>
      </c>
      <c r="AL88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8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88" s="2" t="str">
        <f>SUBSTITUTE(SUBSTITUTE(PROPERTIES[[#This Row],[PURCHASECOST_VALUE]], "PURCHASECOST_", ""), "_VALUE", "")</f>
        <v>ELECTRICENGINE</v>
      </c>
      <c r="AO888" s="44" t="b">
        <v>0</v>
      </c>
      <c r="AP888" s="48" t="b">
        <v>0</v>
      </c>
      <c r="AQ888" s="48" t="b">
        <v>0</v>
      </c>
      <c r="AR888" s="48">
        <v>0</v>
      </c>
      <c r="AS888" s="48" t="b">
        <v>0</v>
      </c>
      <c r="AT888" s="7" t="b">
        <v>0</v>
      </c>
      <c r="AU888" s="40" t="str" cm="1">
        <f t="array" ref="AU888">_xlfn.XLOOKUP(PROPERTIES[[#This Row],[VEHIDCODE]],GRAPHICS_PROPERTIES[VEHIDCODE],GRAPHICS_PROPERTIES[TEMPLATE_ID]&amp;GRAPHICS_PROPERTIES[TEMPLATE_AMENDMENT_CODE])</f>
        <v>TPL_01A</v>
      </c>
    </row>
    <row r="889" spans="1:47" x14ac:dyDescent="0.35">
      <c r="A889" t="s">
        <v>3347</v>
      </c>
      <c r="B889">
        <v>1940</v>
      </c>
      <c r="C889">
        <v>1998</v>
      </c>
      <c r="D889" cm="1">
        <f t="array" ref="D8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9" s="40" t="str">
        <f>_xlfn.XLOOKUP(PROPERTIES[[#This Row],[VEHIDCODE]],CONTROL[VEHIDCODE],CONTROL[ENGLISH])</f>
        <v>GE 2-C+C-2</v>
      </c>
      <c r="F889" t="s">
        <v>558</v>
      </c>
      <c r="G889" s="40" t="str">
        <f>_xlfn.XLOOKUP(PROPERTIES[[#This Row],[COUNTRY]],COUNTRIES[COUNTRY_DESCRIPTION],COUNTRIES[COUNTRY_LABEL],"")</f>
        <v>BR</v>
      </c>
      <c r="H889" t="str" cm="1">
        <f t="array" ref="H8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89" t="s">
        <v>17</v>
      </c>
      <c r="J889">
        <v>0</v>
      </c>
      <c r="K889">
        <v>8</v>
      </c>
      <c r="L889">
        <v>0</v>
      </c>
      <c r="M889" t="str" cm="1">
        <f t="array" ref="M8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9">
        <f>_xlfn.XLOOKUP("LOADINGSPEEDDEF_"&amp;PROPERTIES[[#This Row],[LOADINGSPEED]],LOADINGSPEEDDEF[TYPE],LOADINGSPEEDDEF[SPEED])</f>
        <v>20</v>
      </c>
      <c r="O889" cm="1">
        <f t="array" ref="O8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9">
        <f>IF(ISNUMBER(SEARCH("passenger",PROPERTIES[[#This Row],[CARGODEF]])),1,0)</f>
        <v>0</v>
      </c>
      <c r="Q889" s="23">
        <v>165.1</v>
      </c>
      <c r="R889">
        <v>3870</v>
      </c>
      <c r="S889">
        <v>0</v>
      </c>
      <c r="T889">
        <v>0</v>
      </c>
      <c r="U889">
        <v>0</v>
      </c>
      <c r="V889">
        <v>145</v>
      </c>
      <c r="W889">
        <v>0</v>
      </c>
      <c r="X889">
        <v>0</v>
      </c>
      <c r="Y889">
        <v>0</v>
      </c>
      <c r="Z889" s="20">
        <v>337</v>
      </c>
      <c r="AA889" s="20">
        <f>IFERROR(PROPERTIES[[#This Row],[TE_STARTING_KN]]/(PROPERTIES[[#This Row],[WEIGHT]]*9.81),0)</f>
        <v>0.20807208555529005</v>
      </c>
      <c r="AB889" s="20">
        <v>0</v>
      </c>
      <c r="AC889" s="16">
        <f>ROUND(IF(IFERROR(PROPERTIES[[#This Row],[TE_COEFFICIENT_CALC]],0)=0,PROPERTIES[[#This Row],[TE_COEFFICIENT_MANUAL]],PROPERTIES[[#This Row],[TE_COEFFICIENT_CALC]]),3)</f>
        <v>0.20799999999999999</v>
      </c>
      <c r="AD889" s="27" cm="1">
        <f t="array" ref="AD8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889" s="26">
        <v>0</v>
      </c>
      <c r="AF889" s="6">
        <v>0</v>
      </c>
      <c r="AG889" t="s">
        <v>237</v>
      </c>
      <c r="AH889" t="s">
        <v>229</v>
      </c>
      <c r="AI889" t="s">
        <v>229</v>
      </c>
      <c r="AJ889" s="2" t="s">
        <v>229</v>
      </c>
      <c r="AK889" s="2" t="s">
        <v>244</v>
      </c>
      <c r="AL88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8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89" s="2" t="str">
        <f>SUBSTITUTE(SUBSTITUTE(PROPERTIES[[#This Row],[PURCHASECOST_VALUE]], "PURCHASECOST_", ""), "_VALUE", "")</f>
        <v>ELECTRICENGINE</v>
      </c>
      <c r="AO889" s="44" t="b">
        <v>0</v>
      </c>
      <c r="AP889" s="48" t="b">
        <v>0</v>
      </c>
      <c r="AQ889" s="48" t="b">
        <v>0</v>
      </c>
      <c r="AR889" s="48">
        <v>0</v>
      </c>
      <c r="AS889" s="48" t="b">
        <v>0</v>
      </c>
      <c r="AT889" s="7" t="b">
        <v>0</v>
      </c>
      <c r="AU889" s="40" t="str" cm="1">
        <f t="array" ref="AU889">_xlfn.XLOOKUP(PROPERTIES[[#This Row],[VEHIDCODE]],GRAPHICS_PROPERTIES[VEHIDCODE],GRAPHICS_PROPERTIES[TEMPLATE_ID]&amp;GRAPHICS_PROPERTIES[TEMPLATE_AMENDMENT_CODE])</f>
        <v>TPL_01A</v>
      </c>
    </row>
    <row r="890" spans="1:47" x14ac:dyDescent="0.35">
      <c r="A890" s="2" t="s">
        <v>3348</v>
      </c>
      <c r="B890">
        <v>1850</v>
      </c>
      <c r="C890">
        <v>1929</v>
      </c>
      <c r="D890" cm="1">
        <f t="array" ref="D8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90" s="40" t="str">
        <f>_xlfn.XLOOKUP(PROPERTIES[[#This Row],[VEHIDCODE]],CONTROL[VEHIDCODE],CONTROL[ENGLISH])</f>
        <v>Norris &amp; Brothers 4-4-0 'La Copiapo'</v>
      </c>
      <c r="F890" t="s">
        <v>573</v>
      </c>
      <c r="G890" s="40" t="str">
        <f>_xlfn.XLOOKUP(PROPERTIES[[#This Row],[COUNTRY]],COUNTRIES[COUNTRY_DESCRIPTION],COUNTRIES[COUNTRY_LABEL],"")</f>
        <v>CL</v>
      </c>
      <c r="H890" t="str" cm="1">
        <f t="array" ref="H8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90" t="s">
        <v>17</v>
      </c>
      <c r="J890">
        <v>0</v>
      </c>
      <c r="K890">
        <v>5</v>
      </c>
      <c r="L890">
        <v>0</v>
      </c>
      <c r="M890" t="str" cm="1">
        <f t="array" ref="M8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0">
        <f>_xlfn.XLOOKUP("LOADINGSPEEDDEF_"&amp;PROPERTIES[[#This Row],[LOADINGSPEED]],LOADINGSPEEDDEF[TYPE],LOADINGSPEEDDEF[SPEED])</f>
        <v>20</v>
      </c>
      <c r="O890" cm="1">
        <f t="array" ref="O8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0">
        <f>IF(ISNUMBER(SEARCH("passenger",PROPERTIES[[#This Row],[CARGODEF]])),1,0)</f>
        <v>0</v>
      </c>
      <c r="Q890" s="23">
        <v>40</v>
      </c>
      <c r="R890">
        <v>400</v>
      </c>
      <c r="S890">
        <v>0</v>
      </c>
      <c r="T890">
        <v>0</v>
      </c>
      <c r="U890">
        <v>0</v>
      </c>
      <c r="V890">
        <v>30</v>
      </c>
      <c r="W890">
        <v>0</v>
      </c>
      <c r="X890">
        <v>0</v>
      </c>
      <c r="Y890">
        <v>0</v>
      </c>
      <c r="Z890" s="20">
        <v>62.4</v>
      </c>
      <c r="AA890" s="20">
        <f>IFERROR(PROPERTIES[[#This Row],[TE_STARTING_KN]]/(PROPERTIES[[#This Row],[WEIGHT]]*9.81),0)</f>
        <v>0.15902140672782872</v>
      </c>
      <c r="AB890" s="20">
        <v>0</v>
      </c>
      <c r="AC890" s="16">
        <f>ROUND(IF(IFERROR(PROPERTIES[[#This Row],[TE_COEFFICIENT_CALC]],0)=0,PROPERTIES[[#This Row],[TE_COEFFICIENT_MANUAL]],PROPERTIES[[#This Row],[TE_COEFFICIENT_CALC]]),3)</f>
        <v>0.159</v>
      </c>
      <c r="AD890" s="27" cm="1">
        <f t="array" ref="AD8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79</v>
      </c>
      <c r="AE890" s="26">
        <v>0</v>
      </c>
      <c r="AF890" s="6">
        <v>3</v>
      </c>
      <c r="AG890" t="s">
        <v>237</v>
      </c>
      <c r="AH890" t="s">
        <v>229</v>
      </c>
      <c r="AI890" t="s">
        <v>229</v>
      </c>
      <c r="AJ890" s="2" t="s">
        <v>229</v>
      </c>
      <c r="AK890" s="2" t="s">
        <v>244</v>
      </c>
      <c r="AL89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9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90" s="2" t="str">
        <f>SUBSTITUTE(SUBSTITUTE(PROPERTIES[[#This Row],[PURCHASECOST_VALUE]], "PURCHASECOST_", ""), "_VALUE", "")</f>
        <v>STEAMENGINE</v>
      </c>
      <c r="AO890" s="44" t="b">
        <v>0</v>
      </c>
      <c r="AP890" s="48" t="b">
        <v>0</v>
      </c>
      <c r="AQ890" s="48" t="b">
        <v>0</v>
      </c>
      <c r="AR890" s="48">
        <v>0</v>
      </c>
      <c r="AS890" s="48" t="b">
        <v>0</v>
      </c>
      <c r="AT890" s="7" t="b">
        <v>0</v>
      </c>
      <c r="AU890" s="40" t="str" cm="1">
        <f t="array" ref="AU890">_xlfn.XLOOKUP(PROPERTIES[[#This Row],[VEHIDCODE]],GRAPHICS_PROPERTIES[VEHIDCODE],GRAPHICS_PROPERTIES[TEMPLATE_ID]&amp;GRAPHICS_PROPERTIES[TEMPLATE_AMENDMENT_CODE])</f>
        <v>TPL_03A</v>
      </c>
    </row>
    <row r="891" spans="1:47" x14ac:dyDescent="0.35">
      <c r="A891" s="2" t="s">
        <v>3349</v>
      </c>
      <c r="B891">
        <v>1930</v>
      </c>
      <c r="C891">
        <v>1978</v>
      </c>
      <c r="D891" cm="1">
        <f t="array" ref="D8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91" s="40" t="str">
        <f>_xlfn.XLOOKUP(PROPERTIES[[#This Row],[VEHIDCODE]],CONTROL[VEHIDCODE],CONTROL[ENGLISH])</f>
        <v>AEG A1A+A1A</v>
      </c>
      <c r="F891" t="s">
        <v>577</v>
      </c>
      <c r="G891" s="40" t="str">
        <f>_xlfn.XLOOKUP(PROPERTIES[[#This Row],[COUNTRY]],COUNTRIES[COUNTRY_DESCRIPTION],COUNTRIES[COUNTRY_LABEL],"")</f>
        <v>CR</v>
      </c>
      <c r="H891" t="str" cm="1">
        <f t="array" ref="H8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91" t="s">
        <v>17</v>
      </c>
      <c r="J891">
        <v>0</v>
      </c>
      <c r="K891">
        <v>5</v>
      </c>
      <c r="L891">
        <v>0</v>
      </c>
      <c r="M891" t="str" cm="1">
        <f t="array" ref="M8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1">
        <f>_xlfn.XLOOKUP("LOADINGSPEEDDEF_"&amp;PROPERTIES[[#This Row],[LOADINGSPEED]],LOADINGSPEEDDEF[TYPE],LOADINGSPEEDDEF[SPEED])</f>
        <v>20</v>
      </c>
      <c r="O891" cm="1">
        <f t="array" ref="O8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1">
        <f>IF(ISNUMBER(SEARCH("passenger",PROPERTIES[[#This Row],[CARGODEF]])),1,0)</f>
        <v>0</v>
      </c>
      <c r="Q891" s="23">
        <v>56.8</v>
      </c>
      <c r="R891">
        <v>650</v>
      </c>
      <c r="S891">
        <v>0</v>
      </c>
      <c r="T891">
        <v>0</v>
      </c>
      <c r="U891">
        <v>0</v>
      </c>
      <c r="V891">
        <v>50</v>
      </c>
      <c r="W891">
        <v>0</v>
      </c>
      <c r="X891">
        <v>0</v>
      </c>
      <c r="Y891">
        <v>0</v>
      </c>
      <c r="Z891" s="20">
        <v>0</v>
      </c>
      <c r="AA891" s="19">
        <f>IFERROR(PROPERTIES[[#This Row],[TE_STARTING_KN]]/(PROPERTIES[[#This Row],[WEIGHT]]*9.81),0)</f>
        <v>0</v>
      </c>
      <c r="AB891" s="19">
        <v>0.15</v>
      </c>
      <c r="AC891" s="16">
        <f>ROUND(IF(IFERROR(PROPERTIES[[#This Row],[TE_COEFFICIENT_CALC]],0)=0,PROPERTIES[[#This Row],[TE_COEFFICIENT_MANUAL]],PROPERTIES[[#This Row],[TE_COEFFICIENT_CALC]]),3)</f>
        <v>0.15</v>
      </c>
      <c r="AD891" s="8" cm="1">
        <f t="array" ref="AD8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891" s="26">
        <v>0</v>
      </c>
      <c r="AF891" s="6">
        <v>0</v>
      </c>
      <c r="AG891" t="s">
        <v>235</v>
      </c>
      <c r="AH891" t="s">
        <v>229</v>
      </c>
      <c r="AI891" t="s">
        <v>229</v>
      </c>
      <c r="AJ891" s="2" t="s">
        <v>229</v>
      </c>
      <c r="AK891" s="2" t="s">
        <v>244</v>
      </c>
      <c r="AL89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9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91" s="2" t="str">
        <f>SUBSTITUTE(SUBSTITUTE(PROPERTIES[[#This Row],[PURCHASECOST_VALUE]], "PURCHASECOST_", ""), "_VALUE", "")</f>
        <v>ELECTRICENGINE</v>
      </c>
      <c r="AO891" s="44" t="b">
        <v>0</v>
      </c>
      <c r="AP891" s="48" t="b">
        <v>0</v>
      </c>
      <c r="AQ891" s="48" t="b">
        <v>0</v>
      </c>
      <c r="AR891" s="48">
        <v>0</v>
      </c>
      <c r="AS891" s="48" t="b">
        <v>0</v>
      </c>
      <c r="AT891" s="7" t="b">
        <v>0</v>
      </c>
      <c r="AU891" s="40" t="str" cm="1">
        <f t="array" ref="AU891">_xlfn.XLOOKUP(PROPERTIES[[#This Row],[VEHIDCODE]],GRAPHICS_PROPERTIES[VEHIDCODE],GRAPHICS_PROPERTIES[TEMPLATE_ID]&amp;GRAPHICS_PROPERTIES[TEMPLATE_AMENDMENT_CODE])</f>
        <v>TPL_01A</v>
      </c>
    </row>
    <row r="892" spans="1:47" x14ac:dyDescent="0.35">
      <c r="A892" t="s">
        <v>3691</v>
      </c>
      <c r="B892">
        <v>1938</v>
      </c>
      <c r="D892" cm="1">
        <f t="array" ref="D8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2" s="40" t="str">
        <f>_xlfn.XLOOKUP(PROPERTIES[[#This Row],[VEHIDCODE]],CONTROL[VEHIDCODE],CONTROL[ENGLISH])</f>
        <v>Ganz 'Bariloche' DMU</v>
      </c>
      <c r="F892" t="s">
        <v>538</v>
      </c>
      <c r="G892" s="40" t="str">
        <f>_xlfn.XLOOKUP(PROPERTIES[[#This Row],[COUNTRY]],COUNTRIES[COUNTRY_DESCRIPTION],COUNTRIES[COUNTRY_LABEL],"")</f>
        <v>AR</v>
      </c>
      <c r="H892" t="str" cm="1">
        <f t="array" ref="H8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92" t="s">
        <v>15</v>
      </c>
      <c r="J892">
        <f>110/2</f>
        <v>55</v>
      </c>
      <c r="K892">
        <v>8</v>
      </c>
      <c r="M892" t="str" cm="1">
        <f t="array" ref="M8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92">
        <f>_xlfn.XLOOKUP("LOADINGSPEEDDEF_"&amp;PROPERTIES[[#This Row],[LOADINGSPEED]],LOADINGSPEEDDEF[TYPE],LOADINGSPEEDDEF[SPEED])</f>
        <v>60</v>
      </c>
      <c r="O892" cm="1">
        <f t="array" ref="O8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2">
        <f>IF(ISNUMBER(SEARCH("passenger",PROPERTIES[[#This Row],[CARGODEF]])),1,0)</f>
        <v>1</v>
      </c>
      <c r="Q892" s="23">
        <f>138/3</f>
        <v>46</v>
      </c>
      <c r="R892">
        <v>640</v>
      </c>
      <c r="S892">
        <v>0</v>
      </c>
      <c r="T892">
        <v>0</v>
      </c>
      <c r="U892">
        <v>0</v>
      </c>
      <c r="V892">
        <v>110</v>
      </c>
      <c r="W892">
        <v>0</v>
      </c>
      <c r="X892">
        <v>0</v>
      </c>
      <c r="Y892">
        <v>0</v>
      </c>
      <c r="Z892" s="20">
        <v>38</v>
      </c>
      <c r="AA892" s="19">
        <f>IFERROR(PROPERTIES[[#This Row],[TE_STARTING_KN]]/(PROPERTIES[[#This Row],[WEIGHT]]*9.81),0)</f>
        <v>8.4208660195895929E-2</v>
      </c>
      <c r="AB892" s="19">
        <v>0</v>
      </c>
      <c r="AC892" s="16">
        <f>ROUND(IF(IFERROR(PROPERTIES[[#This Row],[TE_COEFFICIENT_CALC]],0)=0,PROPERTIES[[#This Row],[TE_COEFFICIENT_MANUAL]],PROPERTIES[[#This Row],[TE_COEFFICIENT_CALC]]),3)</f>
        <v>8.4000000000000005E-2</v>
      </c>
      <c r="AD892" s="8" cm="1">
        <f t="array" ref="AD8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92" s="26">
        <v>55</v>
      </c>
      <c r="AF892" s="6">
        <v>8</v>
      </c>
      <c r="AG892" t="s">
        <v>237</v>
      </c>
      <c r="AH892" t="s">
        <v>229</v>
      </c>
      <c r="AI892" t="s">
        <v>229</v>
      </c>
      <c r="AJ892" s="2" t="s">
        <v>229</v>
      </c>
      <c r="AK892" s="2" t="s">
        <v>244</v>
      </c>
      <c r="AL89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89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892" s="2" t="str">
        <f>SUBSTITUTE(SUBSTITUTE(PROPERTIES[[#This Row],[PURCHASECOST_VALUE]], "PURCHASECOST_", ""), "_VALUE", "")</f>
        <v>DMU</v>
      </c>
      <c r="AO892" s="44" t="b">
        <v>0</v>
      </c>
      <c r="AP892" s="48" t="b">
        <v>0</v>
      </c>
      <c r="AQ892" s="48" t="b">
        <v>0</v>
      </c>
      <c r="AR892" s="48">
        <v>0</v>
      </c>
      <c r="AS892" s="48" t="b">
        <v>0</v>
      </c>
      <c r="AT892" s="7" t="b">
        <v>0</v>
      </c>
      <c r="AU892" s="40" t="str" cm="1">
        <f t="array" ref="AU892">_xlfn.XLOOKUP(PROPERTIES[[#This Row],[VEHIDCODE]],GRAPHICS_PROPERTIES[VEHIDCODE],GRAPHICS_PROPERTIES[TEMPLATE_ID]&amp;GRAPHICS_PROPERTIES[TEMPLATE_AMENDMENT_CODE])</f>
        <v>TPL_02A</v>
      </c>
    </row>
    <row r="893" spans="1:47" x14ac:dyDescent="0.35">
      <c r="A893" t="s">
        <v>3350</v>
      </c>
      <c r="B893">
        <v>1867</v>
      </c>
      <c r="D893" cm="1">
        <f t="array" ref="D8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93" s="40" t="str">
        <f>_xlfn.XLOOKUP(PROPERTIES[[#This Row],[VEHIDCODE]],CONTROL[VEHIDCODE],CONTROL[ENGLISH])</f>
        <v>Avonside 0-6-0ST Sao Paulo No. 13 - 14</v>
      </c>
      <c r="F893" t="s">
        <v>558</v>
      </c>
      <c r="G893" s="40" t="str">
        <f>_xlfn.XLOOKUP(PROPERTIES[[#This Row],[COUNTRY]],COUNTRIES[COUNTRY_DESCRIPTION],COUNTRIES[COUNTRY_LABEL],"")</f>
        <v>BR</v>
      </c>
      <c r="H893" t="str" cm="1">
        <f t="array" ref="H8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93" t="s">
        <v>17</v>
      </c>
      <c r="J893">
        <v>0</v>
      </c>
      <c r="K893">
        <v>5</v>
      </c>
      <c r="L893">
        <v>0</v>
      </c>
      <c r="M893" t="str" cm="1">
        <f t="array" ref="M8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3">
        <f>_xlfn.XLOOKUP("LOADINGSPEEDDEF_"&amp;PROPERTIES[[#This Row],[LOADINGSPEED]],LOADINGSPEEDDEF[TYPE],LOADINGSPEEDDEF[SPEED])</f>
        <v>20</v>
      </c>
      <c r="O893" cm="1">
        <f t="array" ref="O8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3">
        <f>IF(ISNUMBER(SEARCH("passenger",PROPERTIES[[#This Row],[CARGODEF]])),1,0)</f>
        <v>0</v>
      </c>
      <c r="Q893" s="23">
        <v>30</v>
      </c>
      <c r="R893">
        <v>275</v>
      </c>
      <c r="S893">
        <v>0</v>
      </c>
      <c r="T893">
        <v>0</v>
      </c>
      <c r="U893">
        <v>0</v>
      </c>
      <c r="V893">
        <v>25</v>
      </c>
      <c r="W893">
        <v>0</v>
      </c>
      <c r="X893">
        <v>0</v>
      </c>
      <c r="Y893">
        <v>0</v>
      </c>
      <c r="Z893" s="20">
        <v>58.07</v>
      </c>
      <c r="AA893" s="19">
        <f>IFERROR(PROPERTIES[[#This Row],[TE_STARTING_KN]]/(PROPERTIES[[#This Row],[WEIGHT]]*9.81),0)</f>
        <v>0.19731566428814135</v>
      </c>
      <c r="AB893" s="19">
        <v>0</v>
      </c>
      <c r="AC893" s="16">
        <f>ROUND(IF(IFERROR(PROPERTIES[[#This Row],[TE_COEFFICIENT_CALC]],0)=0,PROPERTIES[[#This Row],[TE_COEFFICIENT_MANUAL]],PROPERTIES[[#This Row],[TE_COEFFICIENT_CALC]]),3)</f>
        <v>0.19700000000000001</v>
      </c>
      <c r="AD893" s="8" cm="1">
        <f t="array" ref="AD8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93" s="26">
        <v>0</v>
      </c>
      <c r="AF893" s="6">
        <v>2</v>
      </c>
      <c r="AG893" t="s">
        <v>237</v>
      </c>
      <c r="AH893" t="s">
        <v>229</v>
      </c>
      <c r="AI893" t="s">
        <v>229</v>
      </c>
      <c r="AJ893" s="2" t="s">
        <v>229</v>
      </c>
      <c r="AK893" s="2" t="s">
        <v>244</v>
      </c>
      <c r="AL89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9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93" s="2" t="str">
        <f>SUBSTITUTE(SUBSTITUTE(PROPERTIES[[#This Row],[PURCHASECOST_VALUE]], "PURCHASECOST_", ""), "_VALUE", "")</f>
        <v>STEAMENGINE</v>
      </c>
      <c r="AO893" s="44" t="b">
        <v>0</v>
      </c>
      <c r="AP893" s="48" t="b">
        <v>0</v>
      </c>
      <c r="AQ893" s="48" t="b">
        <v>0</v>
      </c>
      <c r="AR893" s="48">
        <v>0</v>
      </c>
      <c r="AS893" s="48" t="b">
        <v>0</v>
      </c>
      <c r="AT893" s="7" t="b">
        <v>0</v>
      </c>
      <c r="AU893" s="40" t="str" cm="1">
        <f t="array" ref="AU893">_xlfn.XLOOKUP(PROPERTIES[[#This Row],[VEHIDCODE]],GRAPHICS_PROPERTIES[VEHIDCODE],GRAPHICS_PROPERTIES[TEMPLATE_ID]&amp;GRAPHICS_PROPERTIES[TEMPLATE_AMENDMENT_CODE])</f>
        <v>TPL_03A</v>
      </c>
    </row>
    <row r="894" spans="1:47" x14ac:dyDescent="0.35">
      <c r="A894" t="s">
        <v>3690</v>
      </c>
      <c r="B894">
        <v>1960</v>
      </c>
      <c r="D894" cm="1">
        <f t="array" ref="D8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4" s="40" t="str">
        <f>_xlfn.XLOOKUP(PROPERTIES[[#This Row],[VEHIDCODE]],CONTROL[VEHIDCODE],CONTROL[ENGLISH])</f>
        <v>Ganz 'Transandino' CMU 4701</v>
      </c>
      <c r="F894" t="s">
        <v>538</v>
      </c>
      <c r="G894" s="40" t="str">
        <f>_xlfn.XLOOKUP(PROPERTIES[[#This Row],[COUNTRY]],COUNTRIES[COUNTRY_DESCRIPTION],COUNTRIES[COUNTRY_LABEL],"")</f>
        <v>AR</v>
      </c>
      <c r="H894" t="str" cm="1">
        <f t="array" ref="H8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94" t="s">
        <v>15</v>
      </c>
      <c r="J894">
        <f>110/2</f>
        <v>55</v>
      </c>
      <c r="K894">
        <v>8</v>
      </c>
      <c r="M894" t="str" cm="1">
        <f t="array" ref="M8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94">
        <f>_xlfn.XLOOKUP("LOADINGSPEEDDEF_"&amp;PROPERTIES[[#This Row],[LOADINGSPEED]],LOADINGSPEEDDEF[TYPE],LOADINGSPEEDDEF[SPEED])</f>
        <v>60</v>
      </c>
      <c r="O894" cm="1">
        <f t="array" ref="O8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4">
        <f>IF(ISNUMBER(SEARCH("passenger",PROPERTIES[[#This Row],[CARGODEF]])),1,0)</f>
        <v>1</v>
      </c>
      <c r="Q894" s="23">
        <f>138/3</f>
        <v>46</v>
      </c>
      <c r="R894">
        <v>1100</v>
      </c>
      <c r="S894">
        <v>0</v>
      </c>
      <c r="T894">
        <v>0</v>
      </c>
      <c r="U894">
        <v>0</v>
      </c>
      <c r="V894">
        <v>80</v>
      </c>
      <c r="W894">
        <v>0</v>
      </c>
      <c r="X894">
        <v>0</v>
      </c>
      <c r="Y894">
        <v>0</v>
      </c>
      <c r="Z894" s="20">
        <v>38</v>
      </c>
      <c r="AA894" s="19">
        <f>IFERROR(PROPERTIES[[#This Row],[TE_STARTING_KN]]/(PROPERTIES[[#This Row],[WEIGHT]]*9.81),0)</f>
        <v>8.4208660195895929E-2</v>
      </c>
      <c r="AB894" s="19">
        <v>0</v>
      </c>
      <c r="AC894" s="16">
        <f>ROUND(IF(IFERROR(PROPERTIES[[#This Row],[TE_COEFFICIENT_CALC]],0)=0,PROPERTIES[[#This Row],[TE_COEFFICIENT_MANUAL]],PROPERTIES[[#This Row],[TE_COEFFICIENT_CALC]]),3)</f>
        <v>8.4000000000000005E-2</v>
      </c>
      <c r="AD894" s="8" cm="1">
        <f t="array" ref="AD8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4" s="26">
        <v>55</v>
      </c>
      <c r="AF894" s="6">
        <v>8</v>
      </c>
      <c r="AG894" t="s">
        <v>237</v>
      </c>
      <c r="AH894" t="s">
        <v>229</v>
      </c>
      <c r="AI894" t="s">
        <v>229</v>
      </c>
      <c r="AJ894" s="2" t="s">
        <v>229</v>
      </c>
      <c r="AK894" s="2" t="s">
        <v>244</v>
      </c>
      <c r="AL89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89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894" s="2" t="str">
        <f>SUBSTITUTE(SUBSTITUTE(PROPERTIES[[#This Row],[PURCHASECOST_VALUE]], "PURCHASECOST_", ""), "_VALUE", "")</f>
        <v>DMU</v>
      </c>
      <c r="AO894" s="44" t="b">
        <v>0</v>
      </c>
      <c r="AP894" s="48" t="b">
        <v>0</v>
      </c>
      <c r="AQ894" s="48" t="b">
        <v>0</v>
      </c>
      <c r="AR894" s="48">
        <v>0</v>
      </c>
      <c r="AS894" s="48" t="b">
        <v>0</v>
      </c>
      <c r="AT894" s="7" t="b">
        <v>0</v>
      </c>
      <c r="AU894" s="40" t="str" cm="1">
        <f t="array" ref="AU894">_xlfn.XLOOKUP(PROPERTIES[[#This Row],[VEHIDCODE]],GRAPHICS_PROPERTIES[VEHIDCODE],GRAPHICS_PROPERTIES[TEMPLATE_ID]&amp;GRAPHICS_PROPERTIES[TEMPLATE_AMENDMENT_CODE])</f>
        <v>TPL_02A</v>
      </c>
    </row>
    <row r="895" spans="1:47" x14ac:dyDescent="0.35">
      <c r="A895" s="2" t="s">
        <v>3351</v>
      </c>
      <c r="B895">
        <v>1973</v>
      </c>
      <c r="C895">
        <v>2000</v>
      </c>
      <c r="D895" cm="1">
        <f t="array" ref="D8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5" s="40" t="str">
        <f>_xlfn.XLOOKUP(PROPERTIES[[#This Row],[VEHIDCODE]],CONTROL[VEHIDCODE],CONTROL[ENGLISH])</f>
        <v>Kawasaki/Hitachi AEZ Railcar</v>
      </c>
      <c r="F895" t="s">
        <v>573</v>
      </c>
      <c r="G895" s="40" t="str">
        <f>_xlfn.XLOOKUP(PROPERTIES[[#This Row],[COUNTRY]],COUNTRIES[COUNTRY_DESCRIPTION],COUNTRIES[COUNTRY_LABEL],"")</f>
        <v>CL</v>
      </c>
      <c r="H895" t="str" cm="1">
        <f t="array" ref="H8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95" t="s">
        <v>15</v>
      </c>
      <c r="J895">
        <v>88</v>
      </c>
      <c r="K895">
        <v>7</v>
      </c>
      <c r="L895">
        <v>0</v>
      </c>
      <c r="M895" t="str" cm="1">
        <f t="array" ref="M8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95">
        <f>_xlfn.XLOOKUP("LOADINGSPEEDDEF_"&amp;PROPERTIES[[#This Row],[LOADINGSPEED]],LOADINGSPEEDDEF[TYPE],LOADINGSPEEDDEF[SPEED])</f>
        <v>60</v>
      </c>
      <c r="O895" cm="1">
        <f t="array" ref="O8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5">
        <f>IF(ISNUMBER(SEARCH("passenger",PROPERTIES[[#This Row],[CARGODEF]])),1,0)</f>
        <v>1</v>
      </c>
      <c r="Q895" s="23">
        <v>52</v>
      </c>
      <c r="R895">
        <f>805*2</f>
        <v>1610</v>
      </c>
      <c r="S895">
        <v>0</v>
      </c>
      <c r="T895">
        <v>0</v>
      </c>
      <c r="U895">
        <v>0</v>
      </c>
      <c r="V895">
        <v>160</v>
      </c>
      <c r="W895">
        <v>0</v>
      </c>
      <c r="X895">
        <v>0</v>
      </c>
      <c r="Y895">
        <v>0</v>
      </c>
      <c r="Z895" s="20">
        <v>85</v>
      </c>
      <c r="AA895" s="19">
        <f>IFERROR(PROPERTIES[[#This Row],[TE_STARTING_KN]]/(PROPERTIES[[#This Row],[WEIGHT]]*9.81),0)</f>
        <v>0.16662746020544186</v>
      </c>
      <c r="AB895" s="19">
        <v>0</v>
      </c>
      <c r="AC895" s="16">
        <f>ROUND(IF(IFERROR(PROPERTIES[[#This Row],[TE_COEFFICIENT_CALC]],0)=0,PROPERTIES[[#This Row],[TE_COEFFICIENT_MANUAL]],PROPERTIES[[#This Row],[TE_COEFFICIENT_CALC]]),3)</f>
        <v>0.16700000000000001</v>
      </c>
      <c r="AD895" s="8" cm="1">
        <f t="array" ref="AD8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5" s="26">
        <v>92</v>
      </c>
      <c r="AF895" s="6">
        <v>7</v>
      </c>
      <c r="AG895" t="s">
        <v>237</v>
      </c>
      <c r="AH895" t="s">
        <v>229</v>
      </c>
      <c r="AI895" t="s">
        <v>229</v>
      </c>
      <c r="AJ895" s="2" t="s">
        <v>229</v>
      </c>
      <c r="AK895" s="2" t="s">
        <v>244</v>
      </c>
      <c r="AL89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9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95" s="2" t="str">
        <f>SUBSTITUTE(SUBSTITUTE(PROPERTIES[[#This Row],[PURCHASECOST_VALUE]], "PURCHASECOST_", ""), "_VALUE", "")</f>
        <v>EMU</v>
      </c>
      <c r="AO895" s="44" t="b">
        <v>0</v>
      </c>
      <c r="AP895" s="48" t="b">
        <v>0</v>
      </c>
      <c r="AQ895" s="48" t="b">
        <v>0</v>
      </c>
      <c r="AR895" s="48">
        <v>0</v>
      </c>
      <c r="AS895" s="48" t="b">
        <v>0</v>
      </c>
      <c r="AT895" s="7" t="b">
        <v>0</v>
      </c>
      <c r="AU895" s="40" t="str" cm="1">
        <f t="array" ref="AU895">_xlfn.XLOOKUP(PROPERTIES[[#This Row],[VEHIDCODE]],GRAPHICS_PROPERTIES[VEHIDCODE],GRAPHICS_PROPERTIES[TEMPLATE_ID]&amp;GRAPHICS_PROPERTIES[TEMPLATE_AMENDMENT_CODE])</f>
        <v>TPL_02A</v>
      </c>
    </row>
    <row r="896" spans="1:47" x14ac:dyDescent="0.35">
      <c r="A896" t="s">
        <v>3352</v>
      </c>
      <c r="B896">
        <v>1977</v>
      </c>
      <c r="D896" cm="1">
        <f t="array" ref="D8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6" s="40" t="str">
        <f>_xlfn.XLOOKUP(PROPERTIES[[#This Row],[VEHIDCODE]],CONTROL[VEHIDCODE],CONTROL[ENGLISH])</f>
        <v>BREL GEC Auckland ART Concept</v>
      </c>
      <c r="F896" t="s">
        <v>697</v>
      </c>
      <c r="G896" s="40" t="str">
        <f>_xlfn.XLOOKUP(PROPERTIES[[#This Row],[COUNTRY]],COUNTRIES[COUNTRY_DESCRIPTION],COUNTRIES[COUNTRY_LABEL],"")</f>
        <v>NZ</v>
      </c>
      <c r="H896" t="str" cm="1">
        <f t="array" ref="H8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96" t="s">
        <v>15</v>
      </c>
      <c r="J896">
        <v>80</v>
      </c>
      <c r="K896">
        <v>8</v>
      </c>
      <c r="M896" t="str" cm="1">
        <f t="array" ref="M8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96">
        <f>_xlfn.XLOOKUP("LOADINGSPEEDDEF_"&amp;PROPERTIES[[#This Row],[LOADINGSPEED]],LOADINGSPEEDDEF[TYPE],LOADINGSPEEDDEF[SPEED])</f>
        <v>60</v>
      </c>
      <c r="O896" cm="1">
        <f t="array" ref="O8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6">
        <f>IF(ISNUMBER(SEARCH("passenger",PROPERTIES[[#This Row],[CARGODEF]])),1,0)</f>
        <v>1</v>
      </c>
      <c r="Q896" s="23">
        <v>38</v>
      </c>
      <c r="R896">
        <v>1500</v>
      </c>
      <c r="S896">
        <v>0</v>
      </c>
      <c r="T896">
        <v>0</v>
      </c>
      <c r="U896">
        <v>0</v>
      </c>
      <c r="V896">
        <v>120</v>
      </c>
      <c r="W896">
        <v>0</v>
      </c>
      <c r="X896">
        <v>0</v>
      </c>
      <c r="Y896">
        <v>0</v>
      </c>
      <c r="Z896" s="20">
        <v>0</v>
      </c>
      <c r="AA896" s="20">
        <f>IFERROR(PROPERTIES[[#This Row],[TE_STARTING_KN]]/(PROPERTIES[[#This Row],[WEIGHT]]*9.81),0)</f>
        <v>0</v>
      </c>
      <c r="AB896" s="20">
        <v>0.3</v>
      </c>
      <c r="AC896" s="16">
        <f>ROUND(IF(IFERROR(PROPERTIES[[#This Row],[TE_COEFFICIENT_CALC]],0)=0,PROPERTIES[[#This Row],[TE_COEFFICIENT_MANUAL]],PROPERTIES[[#This Row],[TE_COEFFICIENT_CALC]]),3)</f>
        <v>0.3</v>
      </c>
      <c r="AD896" s="27" cm="1">
        <f t="array" ref="AD8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6" s="26">
        <v>80</v>
      </c>
      <c r="AF896" s="6">
        <v>8</v>
      </c>
      <c r="AG896" t="s">
        <v>232</v>
      </c>
      <c r="AH896" t="s">
        <v>229</v>
      </c>
      <c r="AI896" t="s">
        <v>229</v>
      </c>
      <c r="AJ896" s="2" t="s">
        <v>229</v>
      </c>
      <c r="AK896" s="2" t="s">
        <v>245</v>
      </c>
      <c r="AL89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9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96" s="2" t="str">
        <f>SUBSTITUTE(SUBSTITUTE(PROPERTIES[[#This Row],[PURCHASECOST_VALUE]], "PURCHASECOST_", ""), "_VALUE", "")</f>
        <v>EMU</v>
      </c>
      <c r="AO896" s="44" t="b">
        <v>0</v>
      </c>
      <c r="AP896" s="48" t="b">
        <v>0</v>
      </c>
      <c r="AQ896" s="48" t="b">
        <v>0</v>
      </c>
      <c r="AR896" s="48">
        <v>0</v>
      </c>
      <c r="AS896" s="48" t="b">
        <v>0</v>
      </c>
      <c r="AT896" s="7" t="b">
        <v>0</v>
      </c>
      <c r="AU896" s="40" t="str" cm="1">
        <f t="array" ref="AU896">_xlfn.XLOOKUP(PROPERTIES[[#This Row],[VEHIDCODE]],GRAPHICS_PROPERTIES[VEHIDCODE],GRAPHICS_PROPERTIES[TEMPLATE_ID]&amp;GRAPHICS_PROPERTIES[TEMPLATE_AMENDMENT_CODE])</f>
        <v>TPL_02A</v>
      </c>
    </row>
    <row r="897" spans="1:47" x14ac:dyDescent="0.35">
      <c r="A897" s="2" t="s">
        <v>3353</v>
      </c>
      <c r="B897">
        <v>1961</v>
      </c>
      <c r="C897">
        <v>1993</v>
      </c>
      <c r="D897" cm="1">
        <f t="array" ref="D8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7" s="40" t="str">
        <f>_xlfn.XLOOKUP(PROPERTIES[[#This Row],[VEHIDCODE]],CONTROL[VEHIDCODE],CONTROL[ENGLISH])</f>
        <v>Comeng 1100 Railcar</v>
      </c>
      <c r="F897" t="s">
        <v>541</v>
      </c>
      <c r="G897" s="40" t="str">
        <f>_xlfn.XLOOKUP(PROPERTIES[[#This Row],[COUNTRY]],COUNTRIES[COUNTRY_DESCRIPTION],COUNTRIES[COUNTRY_LABEL],"")</f>
        <v>AU</v>
      </c>
      <c r="H897" t="str" cm="1">
        <f t="array" ref="H8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97" t="s">
        <v>15</v>
      </c>
      <c r="J897">
        <v>72</v>
      </c>
      <c r="K897">
        <v>8</v>
      </c>
      <c r="M897" t="str" cm="1">
        <f t="array" ref="M8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97">
        <f>_xlfn.XLOOKUP("LOADINGSPEEDDEF_"&amp;PROPERTIES[[#This Row],[LOADINGSPEED]],LOADINGSPEEDDEF[TYPE],LOADINGSPEEDDEF[SPEED])</f>
        <v>60</v>
      </c>
      <c r="O897" cm="1">
        <f t="array" ref="O8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7">
        <f>IF(ISNUMBER(SEARCH("passenger",PROPERTIES[[#This Row],[CARGODEF]])),1,0)</f>
        <v>1</v>
      </c>
      <c r="Q897" s="23">
        <v>51</v>
      </c>
      <c r="R897">
        <v>600</v>
      </c>
      <c r="S897">
        <v>0</v>
      </c>
      <c r="T897">
        <v>0</v>
      </c>
      <c r="U897">
        <v>0</v>
      </c>
      <c r="V897">
        <v>115</v>
      </c>
      <c r="W897">
        <v>0</v>
      </c>
      <c r="X897">
        <v>0</v>
      </c>
      <c r="Y897">
        <v>0</v>
      </c>
      <c r="Z897" s="20">
        <v>0</v>
      </c>
      <c r="AA897" s="20">
        <f>IFERROR(PROPERTIES[[#This Row],[TE_STARTING_KN]]/(PROPERTIES[[#This Row],[WEIGHT]]*9.81),0)</f>
        <v>0</v>
      </c>
      <c r="AB897" s="20">
        <v>0.25</v>
      </c>
      <c r="AC897" s="16">
        <f>ROUND(IF(IFERROR(PROPERTIES[[#This Row],[TE_COEFFICIENT_CALC]],0)=0,PROPERTIES[[#This Row],[TE_COEFFICIENT_MANUAL]],PROPERTIES[[#This Row],[TE_COEFFICIENT_CALC]]),3)</f>
        <v>0.25</v>
      </c>
      <c r="AD897" s="27" cm="1">
        <f t="array" ref="AD8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7" s="26">
        <v>72</v>
      </c>
      <c r="AF897" s="6">
        <v>8</v>
      </c>
      <c r="AG897" t="s">
        <v>232</v>
      </c>
      <c r="AH897" t="s">
        <v>229</v>
      </c>
      <c r="AI897" t="s">
        <v>229</v>
      </c>
      <c r="AJ897" s="2" t="s">
        <v>229</v>
      </c>
      <c r="AK897" s="2" t="s">
        <v>244</v>
      </c>
      <c r="AL89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89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897" s="2" t="str">
        <f>SUBSTITUTE(SUBSTITUTE(PROPERTIES[[#This Row],[PURCHASECOST_VALUE]], "PURCHASECOST_", ""), "_VALUE", "")</f>
        <v>DMU</v>
      </c>
      <c r="AO897" s="44" t="b">
        <v>0</v>
      </c>
      <c r="AP897" s="48" t="b">
        <v>0</v>
      </c>
      <c r="AQ897" s="48" t="b">
        <v>0</v>
      </c>
      <c r="AR897" s="48">
        <v>0</v>
      </c>
      <c r="AS897" s="48" t="b">
        <v>0</v>
      </c>
      <c r="AT897" s="7" t="b">
        <v>0</v>
      </c>
      <c r="AU897" s="40" t="str" cm="1">
        <f t="array" ref="AU897">_xlfn.XLOOKUP(PROPERTIES[[#This Row],[VEHIDCODE]],GRAPHICS_PROPERTIES[VEHIDCODE],GRAPHICS_PROPERTIES[TEMPLATE_ID]&amp;GRAPHICS_PROPERTIES[TEMPLATE_AMENDMENT_CODE])</f>
        <v>TPL_02A</v>
      </c>
    </row>
    <row r="898" spans="1:47" x14ac:dyDescent="0.35">
      <c r="A898" s="2" t="s">
        <v>3354</v>
      </c>
      <c r="B898">
        <v>1985</v>
      </c>
      <c r="D898" cm="1">
        <f t="array" ref="D8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8" s="40" t="str">
        <f>_xlfn.XLOOKUP(PROPERTIES[[#This Row],[VEHIDCODE]],CONTROL[VEHIDCODE],CONTROL[ENGLISH])</f>
        <v>Thai Comeng XPT Concept</v>
      </c>
      <c r="F898" t="s">
        <v>743</v>
      </c>
      <c r="G898" s="40" t="str">
        <f>_xlfn.XLOOKUP(PROPERTIES[[#This Row],[COUNTRY]],COUNTRIES[COUNTRY_DESCRIPTION],COUNTRIES[COUNTRY_LABEL],"")</f>
        <v>TH</v>
      </c>
      <c r="H898" t="str" cm="1">
        <f t="array" ref="H8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98" t="s">
        <v>17</v>
      </c>
      <c r="J898">
        <v>0</v>
      </c>
      <c r="K898">
        <v>8</v>
      </c>
      <c r="M898" t="str" cm="1">
        <f t="array" ref="M8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8">
        <f>_xlfn.XLOOKUP("LOADINGSPEEDDEF_"&amp;PROPERTIES[[#This Row],[LOADINGSPEED]],LOADINGSPEEDDEF[TYPE],LOADINGSPEEDDEF[SPEED])</f>
        <v>20</v>
      </c>
      <c r="O898" t="str" cm="1">
        <f t="array" ref="O8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98">
        <f>IF(ISNUMBER(SEARCH("passenger",PROPERTIES[[#This Row],[CARGODEF]])),1,0)</f>
        <v>0</v>
      </c>
      <c r="Q898" s="23">
        <v>76</v>
      </c>
      <c r="R898">
        <v>4000</v>
      </c>
      <c r="S898">
        <v>0</v>
      </c>
      <c r="T898">
        <v>0</v>
      </c>
      <c r="U898">
        <v>0</v>
      </c>
      <c r="V898">
        <v>160</v>
      </c>
      <c r="W898">
        <v>0</v>
      </c>
      <c r="X898">
        <v>0</v>
      </c>
      <c r="Y898">
        <v>0</v>
      </c>
      <c r="Z898" s="20">
        <f>178/2</f>
        <v>89</v>
      </c>
      <c r="AA898" s="20">
        <f>IFERROR(PROPERTIES[[#This Row],[TE_STARTING_KN]]/(PROPERTIES[[#This Row],[WEIGHT]]*9.81),0)</f>
        <v>0.11937335693974997</v>
      </c>
      <c r="AB898" s="20">
        <v>0</v>
      </c>
      <c r="AC898" s="16">
        <f>ROUND(IF(IFERROR(PROPERTIES[[#This Row],[TE_COEFFICIENT_CALC]],0)=0,PROPERTIES[[#This Row],[TE_COEFFICIENT_MANUAL]],PROPERTIES[[#This Row],[TE_COEFFICIENT_CALC]]),3)</f>
        <v>0.11899999999999999</v>
      </c>
      <c r="AD898" s="27" cm="1">
        <f t="array" ref="AD8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8" s="26">
        <v>72</v>
      </c>
      <c r="AF898" s="6">
        <v>8</v>
      </c>
      <c r="AG898" t="s">
        <v>238</v>
      </c>
      <c r="AH898" t="s">
        <v>229</v>
      </c>
      <c r="AI898" t="s">
        <v>229</v>
      </c>
      <c r="AJ898" s="2" t="s">
        <v>229</v>
      </c>
      <c r="AK898" s="2" t="s">
        <v>245</v>
      </c>
      <c r="AL898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898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898" s="2" t="str">
        <f>SUBSTITUTE(SUBSTITUTE(PROPERTIES[[#This Row],[PURCHASECOST_VALUE]], "PURCHASECOST_", ""), "_VALUE", "")</f>
        <v>DMU</v>
      </c>
      <c r="AO898" s="44" t="b">
        <v>0</v>
      </c>
      <c r="AP898" s="48" t="b">
        <v>0</v>
      </c>
      <c r="AQ898" s="48" t="b">
        <v>0</v>
      </c>
      <c r="AR898" s="48">
        <v>0</v>
      </c>
      <c r="AS898" s="48" t="b">
        <v>0</v>
      </c>
      <c r="AT898" s="7" t="b">
        <v>0</v>
      </c>
      <c r="AU898" s="40" t="str" cm="1">
        <f t="array" ref="AU898">_xlfn.XLOOKUP(PROPERTIES[[#This Row],[VEHIDCODE]],GRAPHICS_PROPERTIES[VEHIDCODE],GRAPHICS_PROPERTIES[TEMPLATE_ID]&amp;GRAPHICS_PROPERTIES[TEMPLATE_AMENDMENT_CODE])</f>
        <v>TPL_02A</v>
      </c>
    </row>
    <row r="899" spans="1:47" x14ac:dyDescent="0.35">
      <c r="A899" s="2" t="s">
        <v>3355</v>
      </c>
      <c r="B899">
        <v>1982</v>
      </c>
      <c r="D899" cm="1">
        <f t="array" ref="D8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9" s="40" t="str">
        <f>_xlfn.XLOOKUP(PROPERTIES[[#This Row],[VEHIDCODE]],CONTROL[VEHIDCODE],CONTROL[ENGLISH])</f>
        <v>Comeng NSW XPT</v>
      </c>
      <c r="F899" t="s">
        <v>541</v>
      </c>
      <c r="G899" s="40" t="str">
        <f>_xlfn.XLOOKUP(PROPERTIES[[#This Row],[COUNTRY]],COUNTRIES[COUNTRY_DESCRIPTION],COUNTRIES[COUNTRY_LABEL],"")</f>
        <v>AU</v>
      </c>
      <c r="H899" t="str" cm="1">
        <f t="array" ref="H8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99" t="s">
        <v>17</v>
      </c>
      <c r="J899">
        <v>0</v>
      </c>
      <c r="K899">
        <v>7</v>
      </c>
      <c r="L899">
        <v>0</v>
      </c>
      <c r="M899" t="str" cm="1">
        <f t="array" ref="M8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9">
        <f>_xlfn.XLOOKUP("LOADINGSPEEDDEF_"&amp;PROPERTIES[[#This Row],[LOADINGSPEED]],LOADINGSPEEDDEF[TYPE],LOADINGSPEEDDEF[SPEED])</f>
        <v>20</v>
      </c>
      <c r="O899" cm="1">
        <f t="array" ref="O8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9">
        <f>IF(ISNUMBER(SEARCH("passenger",PROPERTIES[[#This Row],[CARGODEF]])),1,0)</f>
        <v>0</v>
      </c>
      <c r="Q899" s="23">
        <v>76</v>
      </c>
      <c r="R899">
        <v>4000</v>
      </c>
      <c r="S899">
        <v>0</v>
      </c>
      <c r="T899">
        <v>0</v>
      </c>
      <c r="U899">
        <v>0</v>
      </c>
      <c r="V899">
        <v>160</v>
      </c>
      <c r="W899">
        <v>0</v>
      </c>
      <c r="X899">
        <v>0</v>
      </c>
      <c r="Y899">
        <v>0</v>
      </c>
      <c r="Z899" s="20">
        <f>178/2</f>
        <v>89</v>
      </c>
      <c r="AA899" s="20">
        <f>IFERROR(PROPERTIES[[#This Row],[TE_STARTING_KN]]/(PROPERTIES[[#This Row],[WEIGHT]]*9.81),0)</f>
        <v>0.11937335693974997</v>
      </c>
      <c r="AB899" s="20">
        <v>0</v>
      </c>
      <c r="AC899" s="16">
        <f>ROUND(IF(IFERROR(PROPERTIES[[#This Row],[TE_COEFFICIENT_CALC]],0)=0,PROPERTIES[[#This Row],[TE_COEFFICIENT_MANUAL]],PROPERTIES[[#This Row],[TE_COEFFICIENT_CALC]]),3)</f>
        <v>0.11899999999999999</v>
      </c>
      <c r="AD899" s="27" cm="1">
        <f t="array" ref="AD8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9" s="26">
        <v>72</v>
      </c>
      <c r="AF899" s="6">
        <v>8</v>
      </c>
      <c r="AG899" t="s">
        <v>232</v>
      </c>
      <c r="AH899" t="s">
        <v>229</v>
      </c>
      <c r="AI899" t="s">
        <v>229</v>
      </c>
      <c r="AJ899" s="2" t="s">
        <v>229</v>
      </c>
      <c r="AK899" s="2" t="s">
        <v>244</v>
      </c>
      <c r="AL899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899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899" s="2" t="str">
        <f>SUBSTITUTE(SUBSTITUTE(PROPERTIES[[#This Row],[PURCHASECOST_VALUE]], "PURCHASECOST_", ""), "_VALUE", "")</f>
        <v>DMU</v>
      </c>
      <c r="AO899" s="44" t="b">
        <v>0</v>
      </c>
      <c r="AP899" s="48" t="b">
        <v>0</v>
      </c>
      <c r="AQ899" s="48" t="b">
        <v>0</v>
      </c>
      <c r="AR899" s="48">
        <v>0</v>
      </c>
      <c r="AS899" s="48" t="b">
        <v>0</v>
      </c>
      <c r="AT899" s="7" t="b">
        <v>0</v>
      </c>
      <c r="AU899" s="40" t="str" cm="1">
        <f t="array" ref="AU899">_xlfn.XLOOKUP(PROPERTIES[[#This Row],[VEHIDCODE]],GRAPHICS_PROPERTIES[VEHIDCODE],GRAPHICS_PROPERTIES[TEMPLATE_ID]&amp;GRAPHICS_PROPERTIES[TEMPLATE_AMENDMENT_CODE])</f>
        <v>TPL_02A</v>
      </c>
    </row>
    <row r="900" spans="1:47" x14ac:dyDescent="0.35">
      <c r="A900" s="2" t="s">
        <v>3356</v>
      </c>
      <c r="B900">
        <v>1988</v>
      </c>
      <c r="D900" cm="1">
        <f t="array" ref="D9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0" s="40" t="str">
        <f>_xlfn.XLOOKUP(PROPERTIES[[#This Row],[VEHIDCODE]],CONTROL[VEHIDCODE],CONTROL[ENGLISH])</f>
        <v>Tangara V-Set Hybrid Concept</v>
      </c>
      <c r="F900" t="s">
        <v>541</v>
      </c>
      <c r="G900" s="40" t="str">
        <f>_xlfn.XLOOKUP(PROPERTIES[[#This Row],[COUNTRY]],COUNTRIES[COUNTRY_DESCRIPTION],COUNTRIES[COUNTRY_LABEL],"")</f>
        <v>AU</v>
      </c>
      <c r="H900" t="str" cm="1">
        <f t="array" ref="H9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0" t="s">
        <v>15</v>
      </c>
      <c r="J900">
        <v>100</v>
      </c>
      <c r="K900">
        <v>8</v>
      </c>
      <c r="M900" t="str" cm="1">
        <f t="array" ref="M9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0">
        <f>_xlfn.XLOOKUP("LOADINGSPEEDDEF_"&amp;PROPERTIES[[#This Row],[LOADINGSPEED]],LOADINGSPEEDDEF[TYPE],LOADINGSPEEDDEF[SPEED])</f>
        <v>60</v>
      </c>
      <c r="O900" t="str" cm="1">
        <f t="array" ref="O9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00">
        <f>IF(ISNUMBER(SEARCH("passenger",PROPERTIES[[#This Row],[CARGODEF]])),1,0)</f>
        <v>1</v>
      </c>
      <c r="Q900" s="23">
        <v>54</v>
      </c>
      <c r="R900">
        <v>1600</v>
      </c>
      <c r="S900">
        <v>0</v>
      </c>
      <c r="T900">
        <v>0</v>
      </c>
      <c r="U900">
        <v>0</v>
      </c>
      <c r="V900">
        <v>130</v>
      </c>
      <c r="W900">
        <v>0</v>
      </c>
      <c r="X900">
        <v>0</v>
      </c>
      <c r="Y900">
        <v>0</v>
      </c>
      <c r="Z900" s="20">
        <v>200</v>
      </c>
      <c r="AA900" s="20">
        <f>IFERROR(PROPERTIES[[#This Row],[TE_STARTING_KN]]/(PROPERTIES[[#This Row],[WEIGHT]]*9.81),0)</f>
        <v>0.37754370068335408</v>
      </c>
      <c r="AB900" s="20">
        <v>0</v>
      </c>
      <c r="AC900" s="16">
        <f>ROUND(IF(IFERROR(PROPERTIES[[#This Row],[TE_COEFFICIENT_CALC]],0)=0,PROPERTIES[[#This Row],[TE_COEFFICIENT_MANUAL]],PROPERTIES[[#This Row],[TE_COEFFICIENT_CALC]]),3)</f>
        <v>0.378</v>
      </c>
      <c r="AD900" s="27" cm="1">
        <f t="array" ref="AD9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00" s="26">
        <v>100</v>
      </c>
      <c r="AF900" s="6">
        <v>8</v>
      </c>
      <c r="AG900" t="s">
        <v>232</v>
      </c>
      <c r="AH900" t="s">
        <v>229</v>
      </c>
      <c r="AI900" t="s">
        <v>229</v>
      </c>
      <c r="AJ900" s="2" t="s">
        <v>229</v>
      </c>
      <c r="AK900" s="2" t="s">
        <v>245</v>
      </c>
      <c r="AL900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0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0" s="2" t="str">
        <f>SUBSTITUTE(SUBSTITUTE(PROPERTIES[[#This Row],[PURCHASECOST_VALUE]], "PURCHASECOST_", ""), "_VALUE", "")</f>
        <v>EMU</v>
      </c>
      <c r="AO900" s="44" t="b">
        <v>0</v>
      </c>
      <c r="AP900" s="48" t="b">
        <v>0</v>
      </c>
      <c r="AQ900" s="48" t="b">
        <v>0</v>
      </c>
      <c r="AR900" s="48">
        <v>0</v>
      </c>
      <c r="AS900" s="48" t="b">
        <v>0</v>
      </c>
      <c r="AT900" s="7" t="b">
        <v>0</v>
      </c>
      <c r="AU900" s="40" t="str" cm="1">
        <f t="array" ref="AU900">_xlfn.XLOOKUP(PROPERTIES[[#This Row],[VEHIDCODE]],GRAPHICS_PROPERTIES[VEHIDCODE],GRAPHICS_PROPERTIES[TEMPLATE_ID]&amp;GRAPHICS_PROPERTIES[TEMPLATE_AMENDMENT_CODE])</f>
        <v>TPL_02A</v>
      </c>
    </row>
    <row r="901" spans="1:47" x14ac:dyDescent="0.35">
      <c r="A901" s="2" t="s">
        <v>3357</v>
      </c>
      <c r="B901">
        <v>1951</v>
      </c>
      <c r="C901">
        <v>1994</v>
      </c>
      <c r="D901" cm="1">
        <f t="array" ref="D9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1" s="40" t="str">
        <f>_xlfn.XLOOKUP(PROPERTIES[[#This Row],[VEHIDCODE]],CONTROL[VEHIDCODE],CONTROL[ENGLISH])</f>
        <v>NSWGR 800/900 'DEB'</v>
      </c>
      <c r="F901" t="s">
        <v>541</v>
      </c>
      <c r="G901" s="40" t="str">
        <f>_xlfn.XLOOKUP(PROPERTIES[[#This Row],[COUNTRY]],COUNTRIES[COUNTRY_DESCRIPTION],COUNTRIES[COUNTRY_LABEL],"")</f>
        <v>AU</v>
      </c>
      <c r="H901" t="str" cm="1">
        <f t="array" ref="H9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01" t="s">
        <v>15</v>
      </c>
      <c r="J901">
        <v>43</v>
      </c>
      <c r="K901">
        <v>8</v>
      </c>
      <c r="M901" t="str" cm="1">
        <f t="array" ref="M9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1">
        <f>_xlfn.XLOOKUP("LOADINGSPEEDDEF_"&amp;PROPERTIES[[#This Row],[LOADINGSPEED]],LOADINGSPEEDDEF[TYPE],LOADINGSPEEDDEF[SPEED])</f>
        <v>60</v>
      </c>
      <c r="O901" cm="1">
        <f t="array" ref="O9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1">
        <f>IF(ISNUMBER(SEARCH("passenger",PROPERTIES[[#This Row],[CARGODEF]])),1,0)</f>
        <v>1</v>
      </c>
      <c r="Q901" s="23">
        <v>32</v>
      </c>
      <c r="R901">
        <v>480</v>
      </c>
      <c r="S901">
        <v>0</v>
      </c>
      <c r="T901">
        <v>0</v>
      </c>
      <c r="U901">
        <v>0</v>
      </c>
      <c r="V901">
        <v>115</v>
      </c>
      <c r="W901">
        <v>0</v>
      </c>
      <c r="X901">
        <v>0</v>
      </c>
      <c r="Y901">
        <v>0</v>
      </c>
      <c r="Z901" s="20">
        <v>26</v>
      </c>
      <c r="AA901" s="20">
        <f>IFERROR(PROPERTIES[[#This Row],[TE_STARTING_KN]]/(PROPERTIES[[#This Row],[WEIGHT]]*9.81),0)</f>
        <v>8.2823649337410807E-2</v>
      </c>
      <c r="AB901" s="20">
        <v>0</v>
      </c>
      <c r="AC901" s="16">
        <f>ROUND(IF(IFERROR(PROPERTIES[[#This Row],[TE_COEFFICIENT_CALC]],0)=0,PROPERTIES[[#This Row],[TE_COEFFICIENT_MANUAL]],PROPERTIES[[#This Row],[TE_COEFFICIENT_CALC]]),3)</f>
        <v>8.3000000000000004E-2</v>
      </c>
      <c r="AD901" s="27" cm="1">
        <f t="array" ref="AD9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901" s="26">
        <v>38</v>
      </c>
      <c r="AF901" s="6">
        <v>8</v>
      </c>
      <c r="AG901" t="s">
        <v>232</v>
      </c>
      <c r="AH901" t="s">
        <v>229</v>
      </c>
      <c r="AI901" t="s">
        <v>229</v>
      </c>
      <c r="AJ901" s="2" t="s">
        <v>229</v>
      </c>
      <c r="AK901" s="2" t="s">
        <v>245</v>
      </c>
      <c r="AL901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01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01" s="2" t="str">
        <f>SUBSTITUTE(SUBSTITUTE(PROPERTIES[[#This Row],[PURCHASECOST_VALUE]], "PURCHASECOST_", ""), "_VALUE", "")</f>
        <v>DMU</v>
      </c>
      <c r="AO901" s="44" t="b">
        <v>0</v>
      </c>
      <c r="AP901" s="48" t="b">
        <v>0</v>
      </c>
      <c r="AQ901" s="48" t="b">
        <v>0</v>
      </c>
      <c r="AR901" s="48">
        <v>0</v>
      </c>
      <c r="AS901" s="48" t="b">
        <v>0</v>
      </c>
      <c r="AT901" s="7" t="b">
        <v>0</v>
      </c>
      <c r="AU901" s="40" t="str" cm="1">
        <f t="array" ref="AU901">_xlfn.XLOOKUP(PROPERTIES[[#This Row],[VEHIDCODE]],GRAPHICS_PROPERTIES[VEHIDCODE],GRAPHICS_PROPERTIES[TEMPLATE_ID]&amp;GRAPHICS_PROPERTIES[TEMPLATE_AMENDMENT_CODE])</f>
        <v>TPL_02A</v>
      </c>
    </row>
    <row r="902" spans="1:47" x14ac:dyDescent="0.35">
      <c r="A902" s="2" t="s">
        <v>3358</v>
      </c>
      <c r="B902">
        <v>1992</v>
      </c>
      <c r="C902">
        <v>2006</v>
      </c>
      <c r="D902" cm="1">
        <f t="array" ref="D9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2" s="40" t="str">
        <f>_xlfn.XLOOKUP(PROPERTIES[[#This Row],[VEHIDCODE]],CONTROL[VEHIDCODE],CONTROL[ENGLISH])</f>
        <v>Goninan Tangara 4D Prototype</v>
      </c>
      <c r="F902" t="s">
        <v>541</v>
      </c>
      <c r="G902" s="40" t="str">
        <f>_xlfn.XLOOKUP(PROPERTIES[[#This Row],[COUNTRY]],COUNTRIES[COUNTRY_DESCRIPTION],COUNTRIES[COUNTRY_LABEL],"")</f>
        <v>AU</v>
      </c>
      <c r="H902" t="str" cm="1">
        <f t="array" ref="H9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2" t="s">
        <v>15</v>
      </c>
      <c r="J902">
        <f>INT((346+628)/4)</f>
        <v>243</v>
      </c>
      <c r="K902">
        <v>8</v>
      </c>
      <c r="M902" t="str" cm="1">
        <f t="array" ref="M9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2">
        <f>_xlfn.XLOOKUP("LOADINGSPEEDDEF_"&amp;PROPERTIES[[#This Row],[LOADINGSPEED]],LOADINGSPEEDDEF[TYPE],LOADINGSPEEDDEF[SPEED])</f>
        <v>60</v>
      </c>
      <c r="O902" t="str" cm="1">
        <f t="array" ref="O9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02">
        <f>IF(ISNUMBER(SEARCH("passenger",PROPERTIES[[#This Row],[CARGODEF]])),1,0)</f>
        <v>1</v>
      </c>
      <c r="Q902" s="23">
        <f>186/4</f>
        <v>46.5</v>
      </c>
      <c r="R902">
        <v>1824</v>
      </c>
      <c r="S902">
        <v>0</v>
      </c>
      <c r="T902">
        <v>0</v>
      </c>
      <c r="U902">
        <v>0</v>
      </c>
      <c r="V902">
        <v>130</v>
      </c>
      <c r="W902">
        <v>0</v>
      </c>
      <c r="X902">
        <v>0</v>
      </c>
      <c r="Y902">
        <v>0</v>
      </c>
      <c r="Z902" s="20">
        <v>0</v>
      </c>
      <c r="AA902" s="20">
        <f>IFERROR(PROPERTIES[[#This Row],[TE_STARTING_KN]]/(PROPERTIES[[#This Row],[WEIGHT]]*9.81),0)</f>
        <v>0</v>
      </c>
      <c r="AB902" s="20">
        <v>0.25</v>
      </c>
      <c r="AC902" s="16">
        <f>ROUND(IF(IFERROR(PROPERTIES[[#This Row],[TE_COEFFICIENT_CALC]],0)=0,PROPERTIES[[#This Row],[TE_COEFFICIENT_MANUAL]],PROPERTIES[[#This Row],[TE_COEFFICIENT_CALC]]),3)</f>
        <v>0.25</v>
      </c>
      <c r="AD902" s="27" cm="1">
        <f t="array" ref="AD9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02" s="26">
        <v>243</v>
      </c>
      <c r="AF902" s="6">
        <v>8</v>
      </c>
      <c r="AG902" t="s">
        <v>232</v>
      </c>
      <c r="AH902" t="s">
        <v>229</v>
      </c>
      <c r="AI902" t="s">
        <v>229</v>
      </c>
      <c r="AJ902" s="2" t="s">
        <v>229</v>
      </c>
      <c r="AK902" s="2" t="s">
        <v>244</v>
      </c>
      <c r="AL902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2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2" s="2" t="str">
        <f>SUBSTITUTE(SUBSTITUTE(PROPERTIES[[#This Row],[PURCHASECOST_VALUE]], "PURCHASECOST_", ""), "_VALUE", "")</f>
        <v>EMU</v>
      </c>
      <c r="AO902" s="44" t="b">
        <v>0</v>
      </c>
      <c r="AP902" s="48" t="b">
        <v>0</v>
      </c>
      <c r="AQ902" s="48" t="b">
        <v>0</v>
      </c>
      <c r="AR902" s="48">
        <v>0</v>
      </c>
      <c r="AS902" s="48" t="b">
        <v>0</v>
      </c>
      <c r="AT902" s="7" t="b">
        <v>0</v>
      </c>
      <c r="AU902" s="40" t="str" cm="1">
        <f t="array" ref="AU902">_xlfn.XLOOKUP(PROPERTIES[[#This Row],[VEHIDCODE]],GRAPHICS_PROPERTIES[VEHIDCODE],GRAPHICS_PROPERTIES[TEMPLATE_ID]&amp;GRAPHICS_PROPERTIES[TEMPLATE_AMENDMENT_CODE])</f>
        <v>TPL_02A</v>
      </c>
    </row>
    <row r="903" spans="1:47" x14ac:dyDescent="0.35">
      <c r="A903" s="2" t="s">
        <v>3359</v>
      </c>
      <c r="B903">
        <v>1988</v>
      </c>
      <c r="C903">
        <v>2003</v>
      </c>
      <c r="D903" cm="1">
        <f t="array" ref="D9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3" s="40" t="str">
        <f>_xlfn.XLOOKUP(PROPERTIES[[#This Row],[VEHIDCODE]],CONTROL[VEHIDCODE],CONTROL[ENGLISH])</f>
        <v>Goninan Tangara T-Set</v>
      </c>
      <c r="F903" t="s">
        <v>541</v>
      </c>
      <c r="G903" s="40" t="str">
        <f>_xlfn.XLOOKUP(PROPERTIES[[#This Row],[COUNTRY]],COUNTRIES[COUNTRY_DESCRIPTION],COUNTRIES[COUNTRY_LABEL],"")</f>
        <v>AU</v>
      </c>
      <c r="H903" t="str" cm="1">
        <f t="array" ref="H9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3" t="s">
        <v>15</v>
      </c>
      <c r="J903">
        <v>98</v>
      </c>
      <c r="K903">
        <v>8</v>
      </c>
      <c r="M903" t="str" cm="1">
        <f t="array" ref="M9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3">
        <f>_xlfn.XLOOKUP("LOADINGSPEEDDEF_"&amp;PROPERTIES[[#This Row],[LOADINGSPEED]],LOADINGSPEEDDEF[TYPE],LOADINGSPEEDDEF[SPEED])</f>
        <v>60</v>
      </c>
      <c r="O903" t="str" cm="1">
        <f t="array" ref="O9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03">
        <f>IF(ISNUMBER(SEARCH("passenger",PROPERTIES[[#This Row],[CARGODEF]])),1,0)</f>
        <v>1</v>
      </c>
      <c r="Q903" s="23">
        <v>50</v>
      </c>
      <c r="R903">
        <v>1824</v>
      </c>
      <c r="S903">
        <v>0</v>
      </c>
      <c r="T903">
        <v>0</v>
      </c>
      <c r="U903">
        <v>0</v>
      </c>
      <c r="V903">
        <v>115</v>
      </c>
      <c r="W903">
        <v>0</v>
      </c>
      <c r="X903">
        <v>0</v>
      </c>
      <c r="Y903">
        <v>0</v>
      </c>
      <c r="Z903" s="20">
        <v>0</v>
      </c>
      <c r="AA903" s="20">
        <f>IFERROR(PROPERTIES[[#This Row],[TE_STARTING_KN]]/(PROPERTIES[[#This Row],[WEIGHT]]*9.81),0)</f>
        <v>0</v>
      </c>
      <c r="AB903" s="20">
        <v>0.25</v>
      </c>
      <c r="AC903" s="16">
        <f>ROUND(IF(IFERROR(PROPERTIES[[#This Row],[TE_COEFFICIENT_CALC]],0)=0,PROPERTIES[[#This Row],[TE_COEFFICIENT_MANUAL]],PROPERTIES[[#This Row],[TE_COEFFICIENT_CALC]]),3)</f>
        <v>0.25</v>
      </c>
      <c r="AD903" s="27" cm="1">
        <f t="array" ref="AD9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03" s="26">
        <v>112</v>
      </c>
      <c r="AF903" s="6">
        <v>8</v>
      </c>
      <c r="AG903" t="s">
        <v>232</v>
      </c>
      <c r="AH903" t="s">
        <v>229</v>
      </c>
      <c r="AI903" t="s">
        <v>229</v>
      </c>
      <c r="AJ903" s="2" t="s">
        <v>229</v>
      </c>
      <c r="AK903" s="2" t="s">
        <v>244</v>
      </c>
      <c r="AL903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3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3" s="2" t="str">
        <f>SUBSTITUTE(SUBSTITUTE(PROPERTIES[[#This Row],[PURCHASECOST_VALUE]], "PURCHASECOST_", ""), "_VALUE", "")</f>
        <v>EMU</v>
      </c>
      <c r="AO903" s="44" t="b">
        <v>0</v>
      </c>
      <c r="AP903" s="48" t="b">
        <v>0</v>
      </c>
      <c r="AQ903" s="48" t="b">
        <v>0</v>
      </c>
      <c r="AR903" s="48">
        <v>0</v>
      </c>
      <c r="AS903" s="48" t="b">
        <v>0</v>
      </c>
      <c r="AT903" s="7" t="b">
        <v>0</v>
      </c>
      <c r="AU903" s="40" t="str" cm="1">
        <f t="array" ref="AU903">_xlfn.XLOOKUP(PROPERTIES[[#This Row],[VEHIDCODE]],GRAPHICS_PROPERTIES[VEHIDCODE],GRAPHICS_PROPERTIES[TEMPLATE_ID]&amp;GRAPHICS_PROPERTIES[TEMPLATE_AMENDMENT_CODE])</f>
        <v>TPL_02A</v>
      </c>
    </row>
    <row r="904" spans="1:47" x14ac:dyDescent="0.35">
      <c r="A904" s="2" t="s">
        <v>3360</v>
      </c>
      <c r="B904">
        <v>1949</v>
      </c>
      <c r="C904">
        <v>1994</v>
      </c>
      <c r="D904" cm="1">
        <f t="array" ref="D9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4" s="40" t="str">
        <f>_xlfn.XLOOKUP(PROPERTIES[[#This Row],[VEHIDCODE]],CONTROL[VEHIDCODE],CONTROL[ENGLISH])</f>
        <v>NSWGR 600/700</v>
      </c>
      <c r="F904" t="s">
        <v>541</v>
      </c>
      <c r="G904" s="40" t="str">
        <f>_xlfn.XLOOKUP(PROPERTIES[[#This Row],[COUNTRY]],COUNTRIES[COUNTRY_DESCRIPTION],COUNTRIES[COUNTRY_LABEL],"")</f>
        <v>AU</v>
      </c>
      <c r="H904" t="str" cm="1">
        <f t="array" ref="H9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04" t="s">
        <v>15</v>
      </c>
      <c r="J904">
        <v>32</v>
      </c>
      <c r="K904">
        <v>8</v>
      </c>
      <c r="M904" t="str" cm="1">
        <f t="array" ref="M9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4">
        <f>_xlfn.XLOOKUP("LOADINGSPEEDDEF_"&amp;PROPERTIES[[#This Row],[LOADINGSPEED]],LOADINGSPEEDDEF[TYPE],LOADINGSPEEDDEF[SPEED])</f>
        <v>60</v>
      </c>
      <c r="O904" cm="1">
        <f t="array" ref="O9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4">
        <f>IF(ISNUMBER(SEARCH("passenger",PROPERTIES[[#This Row],[CARGODEF]])),1,0)</f>
        <v>1</v>
      </c>
      <c r="Q904" s="23">
        <v>46</v>
      </c>
      <c r="R904">
        <v>330</v>
      </c>
      <c r="S904">
        <v>0</v>
      </c>
      <c r="T904">
        <v>0</v>
      </c>
      <c r="U904">
        <v>0</v>
      </c>
      <c r="V904">
        <v>100</v>
      </c>
      <c r="W904">
        <v>0</v>
      </c>
      <c r="X904">
        <v>0</v>
      </c>
      <c r="Y904">
        <v>0</v>
      </c>
      <c r="Z904" s="20">
        <v>0</v>
      </c>
      <c r="AA904" s="20">
        <f>IFERROR(PROPERTIES[[#This Row],[TE_STARTING_KN]]/(PROPERTIES[[#This Row],[WEIGHT]]*9.81),0)</f>
        <v>0</v>
      </c>
      <c r="AB904" s="20">
        <v>0.2</v>
      </c>
      <c r="AC904" s="16">
        <f>ROUND(IF(IFERROR(PROPERTIES[[#This Row],[TE_COEFFICIENT_CALC]],0)=0,PROPERTIES[[#This Row],[TE_COEFFICIENT_MANUAL]],PROPERTIES[[#This Row],[TE_COEFFICIENT_CALC]]),3)</f>
        <v>0.2</v>
      </c>
      <c r="AD904" s="27" cm="1">
        <f t="array" ref="AD9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04" s="26">
        <v>24</v>
      </c>
      <c r="AF904" s="6">
        <v>8</v>
      </c>
      <c r="AG904" t="s">
        <v>232</v>
      </c>
      <c r="AH904" t="s">
        <v>229</v>
      </c>
      <c r="AI904" t="s">
        <v>229</v>
      </c>
      <c r="AJ904" s="2" t="s">
        <v>229</v>
      </c>
      <c r="AK904" s="2" t="s">
        <v>244</v>
      </c>
      <c r="AL904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04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04" s="2" t="str">
        <f>SUBSTITUTE(SUBSTITUTE(PROPERTIES[[#This Row],[PURCHASECOST_VALUE]], "PURCHASECOST_", ""), "_VALUE", "")</f>
        <v>DMU</v>
      </c>
      <c r="AO904" s="44" t="b">
        <v>0</v>
      </c>
      <c r="AP904" s="48" t="b">
        <v>0</v>
      </c>
      <c r="AQ904" s="48" t="b">
        <v>0</v>
      </c>
      <c r="AR904" s="48">
        <v>0</v>
      </c>
      <c r="AS904" s="48" t="b">
        <v>0</v>
      </c>
      <c r="AT904" s="7" t="b">
        <v>0</v>
      </c>
      <c r="AU904" s="40" t="str" cm="1">
        <f t="array" ref="AU904">_xlfn.XLOOKUP(PROPERTIES[[#This Row],[VEHIDCODE]],GRAPHICS_PROPERTIES[VEHIDCODE],GRAPHICS_PROPERTIES[TEMPLATE_ID]&amp;GRAPHICS_PROPERTIES[TEMPLATE_AMENDMENT_CODE])</f>
        <v>TPL_02A</v>
      </c>
    </row>
    <row r="905" spans="1:47" x14ac:dyDescent="0.35">
      <c r="A905" s="2" t="s">
        <v>3361</v>
      </c>
      <c r="B905">
        <v>1973</v>
      </c>
      <c r="C905">
        <v>2019</v>
      </c>
      <c r="D905" cm="1">
        <f t="array" ref="D9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5" s="40" t="str">
        <f>_xlfn.XLOOKUP(PROPERTIES[[#This Row],[VEHIDCODE]],CONTROL[VEHIDCODE],CONTROL[ENGLISH])</f>
        <v>Kawasaki RM 'Silver Fern'</v>
      </c>
      <c r="F905" t="s">
        <v>697</v>
      </c>
      <c r="G905" s="40" t="str">
        <f>_xlfn.XLOOKUP(PROPERTIES[[#This Row],[COUNTRY]],COUNTRIES[COUNTRY_DESCRIPTION],COUNTRIES[COUNTRY_LABEL],"")</f>
        <v>NZ</v>
      </c>
      <c r="H905" t="str" cm="1">
        <f t="array" ref="H9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05" t="s">
        <v>15</v>
      </c>
      <c r="J905">
        <f>96/3</f>
        <v>32</v>
      </c>
      <c r="K905">
        <v>8</v>
      </c>
      <c r="M905" t="str" cm="1">
        <f t="array" ref="M9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5">
        <f>_xlfn.XLOOKUP("LOADINGSPEEDDEF_"&amp;PROPERTIES[[#This Row],[LOADINGSPEED]],LOADINGSPEEDDEF[TYPE],LOADINGSPEEDDEF[SPEED])</f>
        <v>60</v>
      </c>
      <c r="O905" cm="1">
        <f t="array" ref="O9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5">
        <f>IF(ISNUMBER(SEARCH("passenger",PROPERTIES[[#This Row],[CARGODEF]])),1,0)</f>
        <v>1</v>
      </c>
      <c r="Q905" s="23">
        <f>INT(107/3)</f>
        <v>35</v>
      </c>
      <c r="R905">
        <v>900</v>
      </c>
      <c r="S905">
        <v>0</v>
      </c>
      <c r="T905">
        <v>0</v>
      </c>
      <c r="U905">
        <v>0</v>
      </c>
      <c r="V905">
        <v>120</v>
      </c>
      <c r="W905">
        <v>0</v>
      </c>
      <c r="X905">
        <v>0</v>
      </c>
      <c r="Y905">
        <v>0</v>
      </c>
      <c r="Z905" s="20">
        <v>0</v>
      </c>
      <c r="AA905" s="20">
        <f>IFERROR(PROPERTIES[[#This Row],[TE_STARTING_KN]]/(PROPERTIES[[#This Row],[WEIGHT]]*9.81),0)</f>
        <v>0</v>
      </c>
      <c r="AB905" s="20">
        <v>0.2</v>
      </c>
      <c r="AC905" s="16">
        <f>ROUND(IF(IFERROR(PROPERTIES[[#This Row],[TE_COEFFICIENT_CALC]],0)=0,PROPERTIES[[#This Row],[TE_COEFFICIENT_MANUAL]],PROPERTIES[[#This Row],[TE_COEFFICIENT_CALC]]),3)</f>
        <v>0.2</v>
      </c>
      <c r="AD905" s="27" cm="1">
        <f t="array" ref="AD9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905" s="26">
        <v>32</v>
      </c>
      <c r="AF905" s="6">
        <v>8</v>
      </c>
      <c r="AG905" t="s">
        <v>232</v>
      </c>
      <c r="AH905" t="s">
        <v>229</v>
      </c>
      <c r="AI905" t="s">
        <v>229</v>
      </c>
      <c r="AJ905" s="2" t="s">
        <v>229</v>
      </c>
      <c r="AK905" s="2" t="s">
        <v>244</v>
      </c>
      <c r="AL905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05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05" s="2" t="str">
        <f>SUBSTITUTE(SUBSTITUTE(PROPERTIES[[#This Row],[PURCHASECOST_VALUE]], "PURCHASECOST_", ""), "_VALUE", "")</f>
        <v>DMU</v>
      </c>
      <c r="AO905" s="44" t="b">
        <v>0</v>
      </c>
      <c r="AP905" s="48" t="b">
        <v>0</v>
      </c>
      <c r="AQ905" s="48" t="b">
        <v>0</v>
      </c>
      <c r="AR905" s="48">
        <v>0</v>
      </c>
      <c r="AS905" s="48" t="b">
        <v>0</v>
      </c>
      <c r="AT905" s="7" t="b">
        <v>0</v>
      </c>
      <c r="AU905" s="40" t="str" cm="1">
        <f t="array" ref="AU905">_xlfn.XLOOKUP(PROPERTIES[[#This Row],[VEHIDCODE]],GRAPHICS_PROPERTIES[VEHIDCODE],GRAPHICS_PROPERTIES[TEMPLATE_ID]&amp;GRAPHICS_PROPERTIES[TEMPLATE_AMENDMENT_CODE])</f>
        <v>TPL_02A</v>
      </c>
    </row>
    <row r="906" spans="1:47" x14ac:dyDescent="0.35">
      <c r="A906" s="2" t="s">
        <v>3362</v>
      </c>
      <c r="B906">
        <v>1957</v>
      </c>
      <c r="C906">
        <v>1993</v>
      </c>
      <c r="D906" cm="1">
        <f t="array" ref="D9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6" s="40" t="str">
        <f>_xlfn.XLOOKUP(PROPERTIES[[#This Row],[VEHIDCODE]],CONTROL[VEHIDCODE],CONTROL[ENGLISH])</f>
        <v>Comeng W Class 'Sputnik'</v>
      </c>
      <c r="F906" t="s">
        <v>541</v>
      </c>
      <c r="G906" s="40" t="str">
        <f>_xlfn.XLOOKUP(PROPERTIES[[#This Row],[COUNTRY]],COUNTRIES[COUNTRY_DESCRIPTION],COUNTRIES[COUNTRY_LABEL],"")</f>
        <v>AU</v>
      </c>
      <c r="H906" t="str" cm="1">
        <f t="array" ref="H9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6" t="s">
        <v>15</v>
      </c>
      <c r="J906">
        <v>59</v>
      </c>
      <c r="K906">
        <v>8</v>
      </c>
      <c r="M906" t="str" cm="1">
        <f t="array" ref="M9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6">
        <f>_xlfn.XLOOKUP("LOADINGSPEEDDEF_"&amp;PROPERTIES[[#This Row],[LOADINGSPEED]],LOADINGSPEEDDEF[TYPE],LOADINGSPEEDDEF[SPEED])</f>
        <v>60</v>
      </c>
      <c r="O906" cm="1">
        <f t="array" ref="O9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6">
        <f>IF(ISNUMBER(SEARCH("passenger",PROPERTIES[[#This Row],[CARGODEF]])),1,0)</f>
        <v>1</v>
      </c>
      <c r="Q906" s="23">
        <v>51.5</v>
      </c>
      <c r="R906">
        <v>760</v>
      </c>
      <c r="S906">
        <v>0</v>
      </c>
      <c r="T906">
        <v>0</v>
      </c>
      <c r="U906">
        <v>0</v>
      </c>
      <c r="V906">
        <v>120</v>
      </c>
      <c r="W906">
        <v>0</v>
      </c>
      <c r="X906">
        <v>0</v>
      </c>
      <c r="Y906">
        <v>0</v>
      </c>
      <c r="Z906" s="20">
        <v>0</v>
      </c>
      <c r="AA906" s="20">
        <f>IFERROR(PROPERTIES[[#This Row],[TE_STARTING_KN]]/(PROPERTIES[[#This Row],[WEIGHT]]*9.81),0)</f>
        <v>0</v>
      </c>
      <c r="AB906" s="20">
        <v>0.2</v>
      </c>
      <c r="AC906" s="16">
        <f>ROUND(IF(IFERROR(PROPERTIES[[#This Row],[TE_COEFFICIENT_CALC]],0)=0,PROPERTIES[[#This Row],[TE_COEFFICIENT_MANUAL]],PROPERTIES[[#This Row],[TE_COEFFICIENT_CALC]]),3)</f>
        <v>0.2</v>
      </c>
      <c r="AD906" s="27" cm="1">
        <f t="array" ref="AD9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06" s="26">
        <v>70</v>
      </c>
      <c r="AF906" s="6">
        <v>8</v>
      </c>
      <c r="AG906" t="s">
        <v>232</v>
      </c>
      <c r="AH906" t="s">
        <v>229</v>
      </c>
      <c r="AI906" t="s">
        <v>229</v>
      </c>
      <c r="AJ906" s="2" t="s">
        <v>229</v>
      </c>
      <c r="AK906" s="2" t="s">
        <v>244</v>
      </c>
      <c r="AL906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6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6" s="2" t="str">
        <f>SUBSTITUTE(SUBSTITUTE(PROPERTIES[[#This Row],[PURCHASECOST_VALUE]], "PURCHASECOST_", ""), "_VALUE", "")</f>
        <v>EMU</v>
      </c>
      <c r="AO906" s="44" t="b">
        <v>0</v>
      </c>
      <c r="AP906" s="48" t="b">
        <v>0</v>
      </c>
      <c r="AQ906" s="48" t="b">
        <v>0</v>
      </c>
      <c r="AR906" s="48">
        <v>0</v>
      </c>
      <c r="AS906" s="48" t="b">
        <v>0</v>
      </c>
      <c r="AT906" s="7" t="b">
        <v>0</v>
      </c>
      <c r="AU906" s="40" t="str" cm="1">
        <f t="array" ref="AU906">_xlfn.XLOOKUP(PROPERTIES[[#This Row],[VEHIDCODE]],GRAPHICS_PROPERTIES[VEHIDCODE],GRAPHICS_PROPERTIES[TEMPLATE_ID]&amp;GRAPHICS_PROPERTIES[TEMPLATE_AMENDMENT_CODE])</f>
        <v>TPL_02A</v>
      </c>
    </row>
    <row r="907" spans="1:47" x14ac:dyDescent="0.35">
      <c r="A907" s="2" t="s">
        <v>3363</v>
      </c>
      <c r="B907">
        <v>1925</v>
      </c>
      <c r="C907">
        <v>1970</v>
      </c>
      <c r="D907" cm="1">
        <f t="array" ref="D9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7" s="40" t="str">
        <f>_xlfn.XLOOKUP(PROPERTIES[[#This Row],[VEHIDCODE]],CONTROL[VEHIDCODE],CONTROL[ENGLISH])</f>
        <v>Leeds/Clyde 'Standard' EMU</v>
      </c>
      <c r="F907" t="s">
        <v>541</v>
      </c>
      <c r="G907" s="40" t="str">
        <f>_xlfn.XLOOKUP(PROPERTIES[[#This Row],[COUNTRY]],COUNTRIES[COUNTRY_DESCRIPTION],COUNTRIES[COUNTRY_LABEL],"")</f>
        <v>AU</v>
      </c>
      <c r="H907" t="str" cm="1">
        <f t="array" ref="H9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7" t="s">
        <v>15</v>
      </c>
      <c r="J907">
        <v>90</v>
      </c>
      <c r="K907">
        <v>8</v>
      </c>
      <c r="M907" t="str" cm="1">
        <f t="array" ref="M9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7">
        <f>_xlfn.XLOOKUP("LOADINGSPEEDDEF_"&amp;PROPERTIES[[#This Row],[LOADINGSPEED]],LOADINGSPEEDDEF[TYPE],LOADINGSPEEDDEF[SPEED])</f>
        <v>60</v>
      </c>
      <c r="O907" cm="1">
        <f t="array" ref="O9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7">
        <f>IF(ISNUMBER(SEARCH("passenger",PROPERTIES[[#This Row],[CARGODEF]])),1,0)</f>
        <v>1</v>
      </c>
      <c r="Q907" s="23">
        <v>43</v>
      </c>
      <c r="R907">
        <v>360</v>
      </c>
      <c r="S907">
        <v>0</v>
      </c>
      <c r="T907">
        <v>0</v>
      </c>
      <c r="U907">
        <v>0</v>
      </c>
      <c r="V907">
        <v>80</v>
      </c>
      <c r="W907">
        <v>0</v>
      </c>
      <c r="X907">
        <v>0</v>
      </c>
      <c r="Y907">
        <v>0</v>
      </c>
      <c r="Z907" s="20">
        <v>0</v>
      </c>
      <c r="AA907" s="20">
        <f>IFERROR(PROPERTIES[[#This Row],[TE_STARTING_KN]]/(PROPERTIES[[#This Row],[WEIGHT]]*9.81),0)</f>
        <v>0</v>
      </c>
      <c r="AB907" s="20">
        <v>0.2</v>
      </c>
      <c r="AC907" s="16">
        <f>ROUND(IF(IFERROR(PROPERTIES[[#This Row],[TE_COEFFICIENT_CALC]],0)=0,PROPERTIES[[#This Row],[TE_COEFFICIENT_MANUAL]],PROPERTIES[[#This Row],[TE_COEFFICIENT_CALC]]),3)</f>
        <v>0.2</v>
      </c>
      <c r="AD907" s="27" cm="1">
        <f t="array" ref="AD9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07" s="26">
        <v>90</v>
      </c>
      <c r="AF907" s="6">
        <v>8</v>
      </c>
      <c r="AG907" t="s">
        <v>232</v>
      </c>
      <c r="AH907" t="s">
        <v>229</v>
      </c>
      <c r="AI907" t="s">
        <v>229</v>
      </c>
      <c r="AJ907" s="2" t="s">
        <v>229</v>
      </c>
      <c r="AK907" s="2" t="s">
        <v>244</v>
      </c>
      <c r="AL907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7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7" s="2" t="str">
        <f>SUBSTITUTE(SUBSTITUTE(PROPERTIES[[#This Row],[PURCHASECOST_VALUE]], "PURCHASECOST_", ""), "_VALUE", "")</f>
        <v>EMU</v>
      </c>
      <c r="AO907" s="44" t="b">
        <v>0</v>
      </c>
      <c r="AP907" s="48" t="b">
        <v>0</v>
      </c>
      <c r="AQ907" s="48" t="b">
        <v>0</v>
      </c>
      <c r="AR907" s="48">
        <v>0</v>
      </c>
      <c r="AS907" s="48" t="b">
        <v>0</v>
      </c>
      <c r="AT907" s="7" t="b">
        <v>0</v>
      </c>
      <c r="AU907" s="40" t="str" cm="1">
        <f t="array" ref="AU907">_xlfn.XLOOKUP(PROPERTIES[[#This Row],[VEHIDCODE]],GRAPHICS_PROPERTIES[VEHIDCODE],GRAPHICS_PROPERTIES[TEMPLATE_ID]&amp;GRAPHICS_PROPERTIES[TEMPLATE_AMENDMENT_CODE])</f>
        <v>TPL_02A</v>
      </c>
    </row>
    <row r="908" spans="1:47" x14ac:dyDescent="0.35">
      <c r="A908" s="2" t="s">
        <v>3364</v>
      </c>
      <c r="B908">
        <v>1940</v>
      </c>
      <c r="C908">
        <v>1980</v>
      </c>
      <c r="D908" cm="1">
        <f t="array" ref="D9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8" s="40" t="str">
        <f>_xlfn.XLOOKUP(PROPERTIES[[#This Row],[VEHIDCODE]],CONTROL[VEHIDCODE],CONTROL[ENGLISH])</f>
        <v>NSWGR 'Tulloch' EMU</v>
      </c>
      <c r="F908" t="s">
        <v>541</v>
      </c>
      <c r="G908" s="40" t="str">
        <f>_xlfn.XLOOKUP(PROPERTIES[[#This Row],[COUNTRY]],COUNTRIES[COUNTRY_DESCRIPTION],COUNTRIES[COUNTRY_LABEL],"")</f>
        <v>AU</v>
      </c>
      <c r="H908" t="str" cm="1">
        <f t="array" ref="H9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8" t="s">
        <v>15</v>
      </c>
      <c r="J908">
        <v>90</v>
      </c>
      <c r="K908">
        <v>8</v>
      </c>
      <c r="M908" t="str" cm="1">
        <f t="array" ref="M9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8">
        <f>_xlfn.XLOOKUP("LOADINGSPEEDDEF_"&amp;PROPERTIES[[#This Row],[LOADINGSPEED]],LOADINGSPEEDDEF[TYPE],LOADINGSPEEDDEF[SPEED])</f>
        <v>60</v>
      </c>
      <c r="O908" cm="1">
        <f t="array" ref="O9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8">
        <f>IF(ISNUMBER(SEARCH("passenger",PROPERTIES[[#This Row],[CARGODEF]])),1,0)</f>
        <v>1</v>
      </c>
      <c r="Q908" s="23">
        <v>43</v>
      </c>
      <c r="R908">
        <v>360</v>
      </c>
      <c r="S908">
        <v>0</v>
      </c>
      <c r="T908">
        <v>0</v>
      </c>
      <c r="U908">
        <v>0</v>
      </c>
      <c r="V908">
        <v>110</v>
      </c>
      <c r="W908">
        <v>0</v>
      </c>
      <c r="X908">
        <v>0</v>
      </c>
      <c r="Y908">
        <v>0</v>
      </c>
      <c r="Z908" s="20">
        <v>0</v>
      </c>
      <c r="AA908" s="20">
        <f>IFERROR(PROPERTIES[[#This Row],[TE_STARTING_KN]]/(PROPERTIES[[#This Row],[WEIGHT]]*9.81),0)</f>
        <v>0</v>
      </c>
      <c r="AB908" s="20">
        <v>0.22</v>
      </c>
      <c r="AC908" s="16">
        <f>ROUND(IF(IFERROR(PROPERTIES[[#This Row],[TE_COEFFICIENT_CALC]],0)=0,PROPERTIES[[#This Row],[TE_COEFFICIENT_MANUAL]],PROPERTIES[[#This Row],[TE_COEFFICIENT_CALC]]),3)</f>
        <v>0.22</v>
      </c>
      <c r="AD908" s="27" cm="1">
        <f t="array" ref="AD9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08" s="26">
        <v>90</v>
      </c>
      <c r="AF908" s="6">
        <v>8</v>
      </c>
      <c r="AG908" t="s">
        <v>232</v>
      </c>
      <c r="AH908" t="s">
        <v>229</v>
      </c>
      <c r="AI908" t="s">
        <v>229</v>
      </c>
      <c r="AJ908" s="2" t="s">
        <v>229</v>
      </c>
      <c r="AK908" s="2" t="s">
        <v>244</v>
      </c>
      <c r="AL908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8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8" s="2" t="str">
        <f>SUBSTITUTE(SUBSTITUTE(PROPERTIES[[#This Row],[PURCHASECOST_VALUE]], "PURCHASECOST_", ""), "_VALUE", "")</f>
        <v>EMU</v>
      </c>
      <c r="AO908" s="44" t="b">
        <v>0</v>
      </c>
      <c r="AP908" s="48" t="b">
        <v>0</v>
      </c>
      <c r="AQ908" s="48" t="b">
        <v>0</v>
      </c>
      <c r="AR908" s="48">
        <v>0</v>
      </c>
      <c r="AS908" s="48" t="b">
        <v>0</v>
      </c>
      <c r="AT908" s="7" t="b">
        <v>0</v>
      </c>
      <c r="AU908" s="40" t="str" cm="1">
        <f t="array" ref="AU908">_xlfn.XLOOKUP(PROPERTIES[[#This Row],[VEHIDCODE]],GRAPHICS_PROPERTIES[VEHIDCODE],GRAPHICS_PROPERTIES[TEMPLATE_ID]&amp;GRAPHICS_PROPERTIES[TEMPLATE_AMENDMENT_CODE])</f>
        <v>TPL_02A</v>
      </c>
    </row>
    <row r="909" spans="1:47" x14ac:dyDescent="0.35">
      <c r="A909" s="2" t="s">
        <v>3365</v>
      </c>
      <c r="B909">
        <v>2003</v>
      </c>
      <c r="D909" cm="1">
        <f t="array" ref="D9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9" s="40" t="str">
        <f>_xlfn.XLOOKUP(PROPERTIES[[#This Row],[VEHIDCODE]],CONTROL[VEHIDCODE],CONTROL[ENGLISH])</f>
        <v>Alstom X'Trapolis 100 Melbourne</v>
      </c>
      <c r="F909" t="s">
        <v>541</v>
      </c>
      <c r="G909" s="40" t="str">
        <f>_xlfn.XLOOKUP(PROPERTIES[[#This Row],[COUNTRY]],COUNTRIES[COUNTRY_DESCRIPTION],COUNTRIES[COUNTRY_LABEL],"")</f>
        <v>AU</v>
      </c>
      <c r="H909" t="str" cm="1">
        <f t="array" ref="H9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9" t="s">
        <v>15</v>
      </c>
      <c r="J909">
        <f>216/3</f>
        <v>72</v>
      </c>
      <c r="K909">
        <v>8</v>
      </c>
      <c r="M909" t="str" cm="1">
        <f t="array" ref="M9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9">
        <f>_xlfn.XLOOKUP("LOADINGSPEEDDEF_"&amp;PROPERTIES[[#This Row],[LOADINGSPEED]],LOADINGSPEEDDEF[TYPE],LOADINGSPEEDDEF[SPEED])</f>
        <v>60</v>
      </c>
      <c r="O909" t="str" cm="1">
        <f t="array" ref="O9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09">
        <f>IF(ISNUMBER(SEARCH("passenger",PROPERTIES[[#This Row],[CARGODEF]])),1,0)</f>
        <v>1</v>
      </c>
      <c r="Q909" s="23">
        <v>43</v>
      </c>
      <c r="R909">
        <v>1930</v>
      </c>
      <c r="S909">
        <v>0</v>
      </c>
      <c r="T909">
        <v>0</v>
      </c>
      <c r="U909">
        <v>0</v>
      </c>
      <c r="V909">
        <v>130</v>
      </c>
      <c r="W909">
        <v>0</v>
      </c>
      <c r="X909">
        <v>0</v>
      </c>
      <c r="Y909">
        <v>0</v>
      </c>
      <c r="Z909" s="20">
        <v>95</v>
      </c>
      <c r="AA909" s="19">
        <f>IFERROR(PROPERTIES[[#This Row],[TE_STARTING_KN]]/(PROPERTIES[[#This Row],[WEIGHT]]*9.81),0)</f>
        <v>0.2252092075006519</v>
      </c>
      <c r="AB909" s="19">
        <v>0</v>
      </c>
      <c r="AC909" s="16">
        <f>ROUND(IF(IFERROR(PROPERTIES[[#This Row],[TE_COEFFICIENT_CALC]],0)=0,PROPERTIES[[#This Row],[TE_COEFFICIENT_MANUAL]],PROPERTIES[[#This Row],[TE_COEFFICIENT_CALC]]),3)</f>
        <v>0.22500000000000001</v>
      </c>
      <c r="AD909" s="27" cm="1">
        <f t="array" ref="AD9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09" s="26">
        <v>72</v>
      </c>
      <c r="AF909" s="6">
        <v>8</v>
      </c>
      <c r="AG909" t="s">
        <v>232</v>
      </c>
      <c r="AH909" t="s">
        <v>229</v>
      </c>
      <c r="AI909" t="s">
        <v>229</v>
      </c>
      <c r="AJ909" s="2" t="s">
        <v>229</v>
      </c>
      <c r="AK909" s="2" t="s">
        <v>244</v>
      </c>
      <c r="AL909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9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9" s="2" t="str">
        <f>SUBSTITUTE(SUBSTITUTE(PROPERTIES[[#This Row],[PURCHASECOST_VALUE]], "PURCHASECOST_", ""), "_VALUE", "")</f>
        <v>EMU</v>
      </c>
      <c r="AO909" s="44" t="b">
        <v>0</v>
      </c>
      <c r="AP909" s="48" t="b">
        <v>0</v>
      </c>
      <c r="AQ909" s="48" t="b">
        <v>0</v>
      </c>
      <c r="AR909" s="48">
        <v>0</v>
      </c>
      <c r="AS909" s="48" t="b">
        <v>0</v>
      </c>
      <c r="AT909" s="7" t="b">
        <v>1</v>
      </c>
      <c r="AU909" s="40" t="str" cm="1">
        <f t="array" ref="AU909">_xlfn.XLOOKUP(PROPERTIES[[#This Row],[VEHIDCODE]],GRAPHICS_PROPERTIES[VEHIDCODE],GRAPHICS_PROPERTIES[TEMPLATE_ID]&amp;GRAPHICS_PROPERTIES[TEMPLATE_AMENDMENT_CODE])</f>
        <v>TPL_02A</v>
      </c>
    </row>
    <row r="910" spans="1:47" x14ac:dyDescent="0.35">
      <c r="A910" s="2" t="s">
        <v>1832</v>
      </c>
      <c r="B910">
        <v>1877</v>
      </c>
      <c r="D910" cm="1">
        <f t="array" ref="D9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0" s="40" t="str">
        <f>_xlfn.XLOOKUP(PROPERTIES[[#This Row],[VEHIDCODE]],CONTROL[VEHIDCODE],CONTROL[ENGLISH])</f>
        <v>Early American End-Platform Coach [Smaller]</v>
      </c>
      <c r="G910" s="40" t="str">
        <f>_xlfn.XLOOKUP(PROPERTIES[[#This Row],[COUNTRY]],COUNTRIES[COUNTRY_DESCRIPTION],COUNTRIES[COUNTRY_LABEL],"")</f>
        <v/>
      </c>
      <c r="H910" t="str" cm="1">
        <f t="array" ref="H9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0" t="s">
        <v>22</v>
      </c>
      <c r="J910">
        <v>42</v>
      </c>
      <c r="K910">
        <v>6</v>
      </c>
      <c r="L910">
        <v>0</v>
      </c>
      <c r="M910" t="str" cm="1">
        <f t="array" ref="M9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0">
        <f>_xlfn.XLOOKUP("LOADINGSPEEDDEF_"&amp;PROPERTIES[[#This Row],[LOADINGSPEED]],LOADINGSPEEDDEF[TYPE],LOADINGSPEEDDEF[SPEED])</f>
        <v>60</v>
      </c>
      <c r="O910" cm="1">
        <f t="array" ref="O9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0">
        <f>IF(ISNUMBER(SEARCH("passenger",PROPERTIES[[#This Row],[CARGODEF]])),1,0)</f>
        <v>1</v>
      </c>
      <c r="Q910" s="23">
        <v>26</v>
      </c>
      <c r="R910">
        <v>0</v>
      </c>
      <c r="S910">
        <v>0</v>
      </c>
      <c r="T910">
        <v>0</v>
      </c>
      <c r="U910">
        <v>0</v>
      </c>
      <c r="V910">
        <v>80</v>
      </c>
      <c r="W910">
        <v>0</v>
      </c>
      <c r="X910">
        <v>0</v>
      </c>
      <c r="Y910">
        <v>0</v>
      </c>
      <c r="Z910" s="20">
        <v>0</v>
      </c>
      <c r="AA910" s="19">
        <f>IFERROR(PROPERTIES[[#This Row],[TE_STARTING_KN]]/(PROPERTIES[[#This Row],[WEIGHT]]*9.81),0)</f>
        <v>0</v>
      </c>
      <c r="AB910" s="19">
        <v>0.3</v>
      </c>
      <c r="AC910" s="16">
        <f>ROUND(IF(IFERROR(PROPERTIES[[#This Row],[TE_COEFFICIENT_CALC]],0)=0,PROPERTIES[[#This Row],[TE_COEFFICIENT_MANUAL]],PROPERTIES[[#This Row],[TE_COEFFICIENT_CALC]]),3)</f>
        <v>0.3</v>
      </c>
      <c r="AD910" s="8" cm="1">
        <f t="array" ref="AD9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0" s="26">
        <v>0</v>
      </c>
      <c r="AF910" s="6">
        <v>0</v>
      </c>
      <c r="AG910" t="s">
        <v>232</v>
      </c>
      <c r="AH910" t="s">
        <v>229</v>
      </c>
      <c r="AI910" t="s">
        <v>229</v>
      </c>
      <c r="AJ910" s="2" t="s">
        <v>229</v>
      </c>
      <c r="AK910" s="2" t="s">
        <v>244</v>
      </c>
      <c r="AL91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0" s="2" t="str">
        <f>SUBSTITUTE(SUBSTITUTE(PROPERTIES[[#This Row],[PURCHASECOST_VALUE]], "PURCHASECOST_", ""), "_VALUE", "")</f>
        <v>COACH</v>
      </c>
      <c r="AO910" s="44" t="b">
        <v>0</v>
      </c>
      <c r="AP910" s="48" t="b">
        <v>0</v>
      </c>
      <c r="AQ910" s="48" t="b">
        <v>0</v>
      </c>
      <c r="AR910" s="48">
        <v>0</v>
      </c>
      <c r="AS910" s="48" t="b">
        <v>0</v>
      </c>
      <c r="AT910" s="7" t="b">
        <v>0</v>
      </c>
      <c r="AU910" s="40" t="str" cm="1">
        <f t="array" ref="AU910">_xlfn.XLOOKUP(PROPERTIES[[#This Row],[VEHIDCODE]],GRAPHICS_PROPERTIES[VEHIDCODE],GRAPHICS_PROPERTIES[TEMPLATE_ID]&amp;GRAPHICS_PROPERTIES[TEMPLATE_AMENDMENT_CODE])</f>
        <v>TPL_04U</v>
      </c>
    </row>
    <row r="911" spans="1:47" x14ac:dyDescent="0.35">
      <c r="A911" s="2" t="s">
        <v>1834</v>
      </c>
      <c r="B911">
        <v>1877</v>
      </c>
      <c r="D911" cm="1">
        <f t="array" ref="D9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1" s="40" t="str">
        <f>_xlfn.XLOOKUP(PROPERTIES[[#This Row],[VEHIDCODE]],CONTROL[VEHIDCODE],CONTROL[ENGLISH])</f>
        <v>Early American End-Platform Mail Coach [Smaller]</v>
      </c>
      <c r="G911" s="40" t="str">
        <f>_xlfn.XLOOKUP(PROPERTIES[[#This Row],[COUNTRY]],COUNTRIES[COUNTRY_DESCRIPTION],COUNTRIES[COUNTRY_LABEL],"")</f>
        <v/>
      </c>
      <c r="H911" t="str" cm="1">
        <f t="array" ref="H9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1" t="s">
        <v>36</v>
      </c>
      <c r="J911">
        <v>42</v>
      </c>
      <c r="K911">
        <v>6</v>
      </c>
      <c r="L911">
        <v>0</v>
      </c>
      <c r="M911" t="str" cm="1">
        <f t="array" ref="M9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11">
        <f>_xlfn.XLOOKUP("LOADINGSPEEDDEF_"&amp;PROPERTIES[[#This Row],[LOADINGSPEED]],LOADINGSPEEDDEF[TYPE],LOADINGSPEEDDEF[SPEED])</f>
        <v>15</v>
      </c>
      <c r="O911" cm="1">
        <f t="array" ref="O9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1">
        <f>IF(ISNUMBER(SEARCH("passenger",PROPERTIES[[#This Row],[CARGODEF]])),1,0)</f>
        <v>0</v>
      </c>
      <c r="Q911" s="23">
        <v>26</v>
      </c>
      <c r="R911">
        <v>0</v>
      </c>
      <c r="S911">
        <v>0</v>
      </c>
      <c r="T911">
        <v>0</v>
      </c>
      <c r="U911">
        <v>0</v>
      </c>
      <c r="V911">
        <v>80</v>
      </c>
      <c r="W911">
        <v>0</v>
      </c>
      <c r="X911">
        <v>0</v>
      </c>
      <c r="Y911">
        <v>0</v>
      </c>
      <c r="Z911" s="20">
        <v>0</v>
      </c>
      <c r="AA911" s="19">
        <f>IFERROR(PROPERTIES[[#This Row],[TE_STARTING_KN]]/(PROPERTIES[[#This Row],[WEIGHT]]*9.81),0)</f>
        <v>0</v>
      </c>
      <c r="AB911" s="19">
        <v>0.3</v>
      </c>
      <c r="AC911" s="16">
        <f>ROUND(IF(IFERROR(PROPERTIES[[#This Row],[TE_COEFFICIENT_CALC]],0)=0,PROPERTIES[[#This Row],[TE_COEFFICIENT_MANUAL]],PROPERTIES[[#This Row],[TE_COEFFICIENT_CALC]]),3)</f>
        <v>0.3</v>
      </c>
      <c r="AD911" s="8" cm="1">
        <f t="array" ref="AD9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1" s="26">
        <v>0</v>
      </c>
      <c r="AF911" s="6">
        <v>0</v>
      </c>
      <c r="AG911" t="s">
        <v>232</v>
      </c>
      <c r="AH911" t="s">
        <v>229</v>
      </c>
      <c r="AI911" t="s">
        <v>229</v>
      </c>
      <c r="AJ911" s="2" t="s">
        <v>229</v>
      </c>
      <c r="AK911" s="2" t="s">
        <v>244</v>
      </c>
      <c r="AL91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1" s="2" t="str">
        <f>SUBSTITUTE(SUBSTITUTE(PROPERTIES[[#This Row],[PURCHASECOST_VALUE]], "PURCHASECOST_", ""), "_VALUE", "")</f>
        <v>COACH</v>
      </c>
      <c r="AO911" s="44" t="b">
        <v>0</v>
      </c>
      <c r="AP911" s="48" t="b">
        <v>0</v>
      </c>
      <c r="AQ911" s="48" t="b">
        <v>0</v>
      </c>
      <c r="AR911" s="48">
        <v>0</v>
      </c>
      <c r="AS911" s="48" t="b">
        <v>0</v>
      </c>
      <c r="AT911" s="7" t="b">
        <v>0</v>
      </c>
      <c r="AU911" s="40" t="str" cm="1">
        <f t="array" ref="AU911">_xlfn.XLOOKUP(PROPERTIES[[#This Row],[VEHIDCODE]],GRAPHICS_PROPERTIES[VEHIDCODE],GRAPHICS_PROPERTIES[TEMPLATE_ID]&amp;GRAPHICS_PROPERTIES[TEMPLATE_AMENDMENT_CODE])</f>
        <v>TPL_04U</v>
      </c>
    </row>
    <row r="912" spans="1:47" x14ac:dyDescent="0.35">
      <c r="A912" s="2" t="s">
        <v>1835</v>
      </c>
      <c r="B912">
        <v>1854</v>
      </c>
      <c r="D912" cm="1">
        <f t="array" ref="D9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2" s="40" t="str">
        <f>_xlfn.XLOOKUP(PROPERTIES[[#This Row],[VEHIDCODE]],CONTROL[VEHIDCODE],CONTROL[ENGLISH])</f>
        <v>Early 2-axle Compartment Coach</v>
      </c>
      <c r="G912" s="40" t="str">
        <f>_xlfn.XLOOKUP(PROPERTIES[[#This Row],[COUNTRY]],COUNTRIES[COUNTRY_DESCRIPTION],COUNTRIES[COUNTRY_LABEL],"")</f>
        <v/>
      </c>
      <c r="H912" t="str" cm="1">
        <f t="array" ref="H9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2" t="s">
        <v>22</v>
      </c>
      <c r="J912">
        <v>25</v>
      </c>
      <c r="K912">
        <v>4</v>
      </c>
      <c r="L912">
        <v>0</v>
      </c>
      <c r="M912" t="str" cm="1">
        <f t="array" ref="M9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2">
        <f>_xlfn.XLOOKUP("LOADINGSPEEDDEF_"&amp;PROPERTIES[[#This Row],[LOADINGSPEED]],LOADINGSPEEDDEF[TYPE],LOADINGSPEEDDEF[SPEED])</f>
        <v>60</v>
      </c>
      <c r="O912" cm="1">
        <f t="array" ref="O9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2">
        <f>IF(ISNUMBER(SEARCH("passenger",PROPERTIES[[#This Row],[CARGODEF]])),1,0)</f>
        <v>1</v>
      </c>
      <c r="Q912" s="23">
        <v>10</v>
      </c>
      <c r="R912">
        <v>0</v>
      </c>
      <c r="S912">
        <v>0</v>
      </c>
      <c r="T912">
        <v>0</v>
      </c>
      <c r="U912">
        <v>0</v>
      </c>
      <c r="V912">
        <v>60</v>
      </c>
      <c r="W912">
        <v>0</v>
      </c>
      <c r="X912">
        <v>0</v>
      </c>
      <c r="Y912">
        <v>0</v>
      </c>
      <c r="Z912" s="20">
        <v>0</v>
      </c>
      <c r="AA912" s="19">
        <f>IFERROR(PROPERTIES[[#This Row],[TE_STARTING_KN]]/(PROPERTIES[[#This Row],[WEIGHT]]*9.81),0)</f>
        <v>0</v>
      </c>
      <c r="AB912" s="19">
        <v>0.3</v>
      </c>
      <c r="AC912" s="16">
        <f>ROUND(IF(IFERROR(PROPERTIES[[#This Row],[TE_COEFFICIENT_CALC]],0)=0,PROPERTIES[[#This Row],[TE_COEFFICIENT_MANUAL]],PROPERTIES[[#This Row],[TE_COEFFICIENT_CALC]]),3)</f>
        <v>0.3</v>
      </c>
      <c r="AD912" s="8" cm="1">
        <f t="array" ref="AD9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2" s="26">
        <v>0</v>
      </c>
      <c r="AF912" s="6">
        <v>0</v>
      </c>
      <c r="AG912" t="s">
        <v>232</v>
      </c>
      <c r="AH912" t="s">
        <v>229</v>
      </c>
      <c r="AI912" t="s">
        <v>229</v>
      </c>
      <c r="AJ912" s="2" t="s">
        <v>229</v>
      </c>
      <c r="AK912" s="2" t="s">
        <v>244</v>
      </c>
      <c r="AL91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2" s="2" t="str">
        <f>SUBSTITUTE(SUBSTITUTE(PROPERTIES[[#This Row],[PURCHASECOST_VALUE]], "PURCHASECOST_", ""), "_VALUE", "")</f>
        <v>COACH</v>
      </c>
      <c r="AO912" s="44" t="b">
        <v>0</v>
      </c>
      <c r="AP912" s="48" t="b">
        <v>0</v>
      </c>
      <c r="AQ912" s="48" t="b">
        <v>0</v>
      </c>
      <c r="AR912" s="48">
        <v>0</v>
      </c>
      <c r="AS912" s="48" t="b">
        <v>0</v>
      </c>
      <c r="AT912" s="7" t="b">
        <v>0</v>
      </c>
      <c r="AU912" s="40" t="str" cm="1">
        <f t="array" ref="AU912">_xlfn.XLOOKUP(PROPERTIES[[#This Row],[VEHIDCODE]],GRAPHICS_PROPERTIES[VEHIDCODE],GRAPHICS_PROPERTIES[TEMPLATE_ID]&amp;GRAPHICS_PROPERTIES[TEMPLATE_AMENDMENT_CODE])</f>
        <v>TPL_04U</v>
      </c>
    </row>
    <row r="913" spans="1:47" x14ac:dyDescent="0.35">
      <c r="A913" s="2" t="s">
        <v>1836</v>
      </c>
      <c r="B913">
        <v>1854</v>
      </c>
      <c r="D913" cm="1">
        <f t="array" ref="D9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3" s="40" t="str">
        <f>_xlfn.XLOOKUP(PROPERTIES[[#This Row],[VEHIDCODE]],CONTROL[VEHIDCODE],CONTROL[ENGLISH])</f>
        <v>Early 2-axle Mail Coach</v>
      </c>
      <c r="G913" s="40" t="str">
        <f>_xlfn.XLOOKUP(PROPERTIES[[#This Row],[COUNTRY]],COUNTRIES[COUNTRY_DESCRIPTION],COUNTRIES[COUNTRY_LABEL],"")</f>
        <v/>
      </c>
      <c r="H913" t="str" cm="1">
        <f t="array" ref="H9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3" t="s">
        <v>36</v>
      </c>
      <c r="J913">
        <v>25</v>
      </c>
      <c r="K913">
        <v>4</v>
      </c>
      <c r="L913">
        <v>0</v>
      </c>
      <c r="M913" t="str" cm="1">
        <f t="array" ref="M9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13">
        <f>_xlfn.XLOOKUP("LOADINGSPEEDDEF_"&amp;PROPERTIES[[#This Row],[LOADINGSPEED]],LOADINGSPEEDDEF[TYPE],LOADINGSPEEDDEF[SPEED])</f>
        <v>15</v>
      </c>
      <c r="O913" cm="1">
        <f t="array" ref="O9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3">
        <f>IF(ISNUMBER(SEARCH("passenger",PROPERTIES[[#This Row],[CARGODEF]])),1,0)</f>
        <v>0</v>
      </c>
      <c r="Q913" s="23">
        <v>10</v>
      </c>
      <c r="R913">
        <v>0</v>
      </c>
      <c r="S913">
        <v>0</v>
      </c>
      <c r="T913">
        <v>0</v>
      </c>
      <c r="U913">
        <v>0</v>
      </c>
      <c r="V913">
        <v>60</v>
      </c>
      <c r="W913">
        <v>0</v>
      </c>
      <c r="X913">
        <v>0</v>
      </c>
      <c r="Y913">
        <v>0</v>
      </c>
      <c r="Z913" s="20">
        <v>0</v>
      </c>
      <c r="AA913" s="19">
        <f>IFERROR(PROPERTIES[[#This Row],[TE_STARTING_KN]]/(PROPERTIES[[#This Row],[WEIGHT]]*9.81),0)</f>
        <v>0</v>
      </c>
      <c r="AB913" s="19">
        <v>0.3</v>
      </c>
      <c r="AC913" s="16">
        <f>ROUND(IF(IFERROR(PROPERTIES[[#This Row],[TE_COEFFICIENT_CALC]],0)=0,PROPERTIES[[#This Row],[TE_COEFFICIENT_MANUAL]],PROPERTIES[[#This Row],[TE_COEFFICIENT_CALC]]),3)</f>
        <v>0.3</v>
      </c>
      <c r="AD913" s="8" cm="1">
        <f t="array" ref="AD9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3" s="26">
        <v>0</v>
      </c>
      <c r="AF913" s="6">
        <v>0</v>
      </c>
      <c r="AG913" t="s">
        <v>232</v>
      </c>
      <c r="AH913" t="s">
        <v>229</v>
      </c>
      <c r="AI913" t="s">
        <v>229</v>
      </c>
      <c r="AJ913" s="2" t="s">
        <v>229</v>
      </c>
      <c r="AK913" s="2" t="s">
        <v>244</v>
      </c>
      <c r="AL91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3" s="2" t="str">
        <f>SUBSTITUTE(SUBSTITUTE(PROPERTIES[[#This Row],[PURCHASECOST_VALUE]], "PURCHASECOST_", ""), "_VALUE", "")</f>
        <v>COACH</v>
      </c>
      <c r="AO913" s="44" t="b">
        <v>0</v>
      </c>
      <c r="AP913" s="48" t="b">
        <v>0</v>
      </c>
      <c r="AQ913" s="48" t="b">
        <v>0</v>
      </c>
      <c r="AR913" s="48">
        <v>0</v>
      </c>
      <c r="AS913" s="48" t="b">
        <v>0</v>
      </c>
      <c r="AT913" s="7" t="b">
        <v>0</v>
      </c>
      <c r="AU913" s="40" t="str" cm="1">
        <f t="array" ref="AU913">_xlfn.XLOOKUP(PROPERTIES[[#This Row],[VEHIDCODE]],GRAPHICS_PROPERTIES[VEHIDCODE],GRAPHICS_PROPERTIES[TEMPLATE_ID]&amp;GRAPHICS_PROPERTIES[TEMPLATE_AMENDMENT_CODE])</f>
        <v>TPL_04U</v>
      </c>
    </row>
    <row r="914" spans="1:47" x14ac:dyDescent="0.35">
      <c r="A914" t="s">
        <v>1839</v>
      </c>
      <c r="B914">
        <v>1877</v>
      </c>
      <c r="D914" cm="1">
        <f t="array" ref="D9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4" s="40" t="str">
        <f>_xlfn.XLOOKUP(PROPERTIES[[#This Row],[VEHIDCODE]],CONTROL[VEHIDCODE],CONTROL[ENGLISH])</f>
        <v>Early 2-axle End-Platform Coach</v>
      </c>
      <c r="G914" s="40" t="str">
        <f>_xlfn.XLOOKUP(PROPERTIES[[#This Row],[COUNTRY]],COUNTRIES[COUNTRY_DESCRIPTION],COUNTRIES[COUNTRY_LABEL],"")</f>
        <v/>
      </c>
      <c r="H914" t="str" cm="1">
        <f t="array" ref="H9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4" t="s">
        <v>22</v>
      </c>
      <c r="J914">
        <v>35</v>
      </c>
      <c r="K914">
        <v>4</v>
      </c>
      <c r="L914">
        <v>0</v>
      </c>
      <c r="M914" t="str" cm="1">
        <f t="array" ref="M9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4">
        <f>_xlfn.XLOOKUP("LOADINGSPEEDDEF_"&amp;PROPERTIES[[#This Row],[LOADINGSPEED]],LOADINGSPEEDDEF[TYPE],LOADINGSPEEDDEF[SPEED])</f>
        <v>60</v>
      </c>
      <c r="O914" cm="1">
        <f t="array" ref="O9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4">
        <f>IF(ISNUMBER(SEARCH("passenger",PROPERTIES[[#This Row],[CARGODEF]])),1,0)</f>
        <v>1</v>
      </c>
      <c r="Q914" s="23">
        <v>15</v>
      </c>
      <c r="R914">
        <v>0</v>
      </c>
      <c r="S914">
        <v>0</v>
      </c>
      <c r="T914">
        <v>0</v>
      </c>
      <c r="U914">
        <v>0</v>
      </c>
      <c r="V914">
        <v>60</v>
      </c>
      <c r="W914">
        <v>0</v>
      </c>
      <c r="X914">
        <v>0</v>
      </c>
      <c r="Y914">
        <v>0</v>
      </c>
      <c r="Z914" s="20">
        <v>0</v>
      </c>
      <c r="AA914" s="20">
        <f>IFERROR(PROPERTIES[[#This Row],[TE_STARTING_KN]]/(PROPERTIES[[#This Row],[WEIGHT]]*9.81),0)</f>
        <v>0</v>
      </c>
      <c r="AB914" s="19">
        <v>0.3</v>
      </c>
      <c r="AC914" s="16">
        <f>ROUND(IF(IFERROR(PROPERTIES[[#This Row],[TE_COEFFICIENT_CALC]],0)=0,PROPERTIES[[#This Row],[TE_COEFFICIENT_MANUAL]],PROPERTIES[[#This Row],[TE_COEFFICIENT_CALC]]),3)</f>
        <v>0.3</v>
      </c>
      <c r="AD914" s="27" cm="1">
        <f t="array" ref="AD9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4" s="26">
        <v>0</v>
      </c>
      <c r="AF914" s="6">
        <v>0</v>
      </c>
      <c r="AG914" t="s">
        <v>232</v>
      </c>
      <c r="AH914" t="s">
        <v>229</v>
      </c>
      <c r="AI914" t="s">
        <v>229</v>
      </c>
      <c r="AJ914" s="2" t="s">
        <v>229</v>
      </c>
      <c r="AK914" s="2" t="s">
        <v>244</v>
      </c>
      <c r="AL91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4" s="2" t="str">
        <f>SUBSTITUTE(SUBSTITUTE(PROPERTIES[[#This Row],[PURCHASECOST_VALUE]], "PURCHASECOST_", ""), "_VALUE", "")</f>
        <v>COACH</v>
      </c>
      <c r="AO914" s="44" t="b">
        <v>0</v>
      </c>
      <c r="AP914" s="48" t="b">
        <v>0</v>
      </c>
      <c r="AQ914" s="48" t="b">
        <v>0</v>
      </c>
      <c r="AR914" s="48">
        <v>0</v>
      </c>
      <c r="AS914" s="48" t="b">
        <v>0</v>
      </c>
      <c r="AT914" s="7" t="b">
        <v>0</v>
      </c>
      <c r="AU914" s="40" t="str" cm="1">
        <f t="array" ref="AU914">_xlfn.XLOOKUP(PROPERTIES[[#This Row],[VEHIDCODE]],GRAPHICS_PROPERTIES[VEHIDCODE],GRAPHICS_PROPERTIES[TEMPLATE_ID]&amp;GRAPHICS_PROPERTIES[TEMPLATE_AMENDMENT_CODE])</f>
        <v>TPL_04U</v>
      </c>
    </row>
    <row r="915" spans="1:47" x14ac:dyDescent="0.35">
      <c r="A915" s="2" t="s">
        <v>1840</v>
      </c>
      <c r="B915">
        <v>1865</v>
      </c>
      <c r="D915" cm="1">
        <f t="array" ref="D9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5" s="40" t="str">
        <f>_xlfn.XLOOKUP(PROPERTIES[[#This Row],[VEHIDCODE]],CONTROL[VEHIDCODE],CONTROL[ENGLISH])</f>
        <v>Early 2-axle Suburban Coach</v>
      </c>
      <c r="G915" s="40" t="str">
        <f>_xlfn.XLOOKUP(PROPERTIES[[#This Row],[COUNTRY]],COUNTRIES[COUNTRY_DESCRIPTION],COUNTRIES[COUNTRY_LABEL],"")</f>
        <v/>
      </c>
      <c r="H915" t="str" cm="1">
        <f t="array" ref="H9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5" t="s">
        <v>22</v>
      </c>
      <c r="J915">
        <v>33</v>
      </c>
      <c r="K915">
        <v>4</v>
      </c>
      <c r="L915">
        <v>0</v>
      </c>
      <c r="M915" t="str" cm="1">
        <f t="array" ref="M9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5">
        <f>_xlfn.XLOOKUP("LOADINGSPEEDDEF_"&amp;PROPERTIES[[#This Row],[LOADINGSPEED]],LOADINGSPEEDDEF[TYPE],LOADINGSPEEDDEF[SPEED])</f>
        <v>60</v>
      </c>
      <c r="O915" cm="1">
        <f t="array" ref="O9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5">
        <f>IF(ISNUMBER(SEARCH("passenger",PROPERTIES[[#This Row],[CARGODEF]])),1,0)</f>
        <v>1</v>
      </c>
      <c r="Q915" s="23">
        <v>14</v>
      </c>
      <c r="R915">
        <v>0</v>
      </c>
      <c r="S915">
        <v>0</v>
      </c>
      <c r="T915">
        <v>0</v>
      </c>
      <c r="U915">
        <v>0</v>
      </c>
      <c r="V915">
        <v>60</v>
      </c>
      <c r="W915">
        <v>0</v>
      </c>
      <c r="X915">
        <v>0</v>
      </c>
      <c r="Y915">
        <v>0</v>
      </c>
      <c r="Z915" s="20">
        <v>0</v>
      </c>
      <c r="AA915" s="20">
        <f>IFERROR(PROPERTIES[[#This Row],[TE_STARTING_KN]]/(PROPERTIES[[#This Row],[WEIGHT]]*9.81),0)</f>
        <v>0</v>
      </c>
      <c r="AB915" s="19">
        <v>0.3</v>
      </c>
      <c r="AC915" s="16">
        <f>ROUND(IF(IFERROR(PROPERTIES[[#This Row],[TE_COEFFICIENT_CALC]],0)=0,PROPERTIES[[#This Row],[TE_COEFFICIENT_MANUAL]],PROPERTIES[[#This Row],[TE_COEFFICIENT_CALC]]),3)</f>
        <v>0.3</v>
      </c>
      <c r="AD915" s="27" cm="1">
        <f t="array" ref="AD9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5" s="26">
        <v>0</v>
      </c>
      <c r="AF915" s="6">
        <v>0</v>
      </c>
      <c r="AG915" t="s">
        <v>232</v>
      </c>
      <c r="AH915" t="s">
        <v>229</v>
      </c>
      <c r="AI915" t="s">
        <v>229</v>
      </c>
      <c r="AJ915" s="2" t="s">
        <v>229</v>
      </c>
      <c r="AK915" s="2" t="s">
        <v>244</v>
      </c>
      <c r="AL91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5" s="2" t="str">
        <f>SUBSTITUTE(SUBSTITUTE(PROPERTIES[[#This Row],[PURCHASECOST_VALUE]], "PURCHASECOST_", ""), "_VALUE", "")</f>
        <v>COACH</v>
      </c>
      <c r="AO915" s="44" t="b">
        <v>0</v>
      </c>
      <c r="AP915" s="48" t="b">
        <v>0</v>
      </c>
      <c r="AQ915" s="48" t="b">
        <v>0</v>
      </c>
      <c r="AR915" s="48">
        <v>0</v>
      </c>
      <c r="AS915" s="48" t="b">
        <v>0</v>
      </c>
      <c r="AT915" s="7" t="b">
        <v>0</v>
      </c>
      <c r="AU915" s="40" t="str" cm="1">
        <f t="array" ref="AU915">_xlfn.XLOOKUP(PROPERTIES[[#This Row],[VEHIDCODE]],GRAPHICS_PROPERTIES[VEHIDCODE],GRAPHICS_PROPERTIES[TEMPLATE_ID]&amp;GRAPHICS_PROPERTIES[TEMPLATE_AMENDMENT_CODE])</f>
        <v>TPL_04U</v>
      </c>
    </row>
    <row r="916" spans="1:47" x14ac:dyDescent="0.35">
      <c r="A916" s="2" t="s">
        <v>1843</v>
      </c>
      <c r="B916">
        <v>1972</v>
      </c>
      <c r="C916">
        <v>2020</v>
      </c>
      <c r="D916" cm="1">
        <f t="array" ref="D9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6" s="40" t="str">
        <f>_xlfn.XLOOKUP(PROPERTIES[[#This Row],[VEHIDCODE]],CONTROL[VEHIDCODE],CONTROL[ENGLISH])</f>
        <v>BREL Mk3 Coach</v>
      </c>
      <c r="G916" s="40" t="str">
        <f>_xlfn.XLOOKUP(PROPERTIES[[#This Row],[COUNTRY]],COUNTRIES[COUNTRY_DESCRIPTION],COUNTRIES[COUNTRY_LABEL],"")</f>
        <v/>
      </c>
      <c r="H916" t="str" cm="1">
        <f t="array" ref="H9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6" t="s">
        <v>22</v>
      </c>
      <c r="J916">
        <v>91</v>
      </c>
      <c r="K916">
        <v>8</v>
      </c>
      <c r="L916">
        <v>0</v>
      </c>
      <c r="M916" t="str" cm="1">
        <f t="array" ref="M9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6">
        <f>_xlfn.XLOOKUP("LOADINGSPEEDDEF_"&amp;PROPERTIES[[#This Row],[LOADINGSPEED]],LOADINGSPEEDDEF[TYPE],LOADINGSPEEDDEF[SPEED])</f>
        <v>60</v>
      </c>
      <c r="O916" cm="1">
        <f t="array" ref="O9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6">
        <f>IF(ISNUMBER(SEARCH("passenger",PROPERTIES[[#This Row],[CARGODEF]])),1,0)</f>
        <v>1</v>
      </c>
      <c r="Q916" s="23">
        <v>35</v>
      </c>
      <c r="R916">
        <v>0</v>
      </c>
      <c r="S916">
        <v>0</v>
      </c>
      <c r="T916">
        <v>0</v>
      </c>
      <c r="U916">
        <v>0</v>
      </c>
      <c r="V916">
        <v>160</v>
      </c>
      <c r="W916">
        <v>0</v>
      </c>
      <c r="X916">
        <v>0</v>
      </c>
      <c r="Y916">
        <v>0</v>
      </c>
      <c r="Z916" s="20">
        <v>0</v>
      </c>
      <c r="AA916" s="20">
        <f>IFERROR(PROPERTIES[[#This Row],[TE_STARTING_KN]]/(PROPERTIES[[#This Row],[WEIGHT]]*9.81),0)</f>
        <v>0</v>
      </c>
      <c r="AB916" s="20">
        <v>0.3</v>
      </c>
      <c r="AC916" s="16">
        <f>ROUND(IF(IFERROR(PROPERTIES[[#This Row],[TE_COEFFICIENT_CALC]],0)=0,PROPERTIES[[#This Row],[TE_COEFFICIENT_MANUAL]],PROPERTIES[[#This Row],[TE_COEFFICIENT_CALC]]),3)</f>
        <v>0.3</v>
      </c>
      <c r="AD916" s="27" cm="1">
        <f t="array" ref="AD9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916" s="26">
        <v>0</v>
      </c>
      <c r="AF916" s="6">
        <v>0</v>
      </c>
      <c r="AG916" t="s">
        <v>1945</v>
      </c>
      <c r="AH916" t="s">
        <v>232</v>
      </c>
      <c r="AI916" t="s">
        <v>229</v>
      </c>
      <c r="AJ916" s="2" t="s">
        <v>229</v>
      </c>
      <c r="AK916" s="2" t="s">
        <v>244</v>
      </c>
      <c r="AL916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6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6" s="2" t="str">
        <f>SUBSTITUTE(SUBSTITUTE(PROPERTIES[[#This Row],[PURCHASECOST_VALUE]], "PURCHASECOST_", ""), "_VALUE", "")</f>
        <v>COACH</v>
      </c>
      <c r="AO916" s="44" t="b">
        <v>0</v>
      </c>
      <c r="AP916" s="48" t="b">
        <v>1</v>
      </c>
      <c r="AQ916" s="48" t="b">
        <v>0</v>
      </c>
      <c r="AR916" s="48">
        <v>0</v>
      </c>
      <c r="AS916" s="48" t="b">
        <v>0</v>
      </c>
      <c r="AT916" s="7" t="b">
        <v>0</v>
      </c>
      <c r="AU916" s="40" t="str" cm="1">
        <f t="array" ref="AU916">_xlfn.XLOOKUP(PROPERTIES[[#This Row],[VEHIDCODE]],GRAPHICS_PROPERTIES[VEHIDCODE],GRAPHICS_PROPERTIES[TEMPLATE_ID]&amp;GRAPHICS_PROPERTIES[TEMPLATE_AMENDMENT_CODE])</f>
        <v>TPL_04A</v>
      </c>
    </row>
    <row r="917" spans="1:47" x14ac:dyDescent="0.35">
      <c r="A917" s="2" t="s">
        <v>1844</v>
      </c>
      <c r="B917">
        <v>1972</v>
      </c>
      <c r="C917">
        <v>2020</v>
      </c>
      <c r="D917" cm="1">
        <f t="array" ref="D9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7" s="40" t="str">
        <f>_xlfn.XLOOKUP(PROPERTIES[[#This Row],[VEHIDCODE]],CONTROL[VEHIDCODE],CONTROL[ENGLISH])</f>
        <v>BREL Mk3 Mail Coach</v>
      </c>
      <c r="G917" s="40" t="str">
        <f>_xlfn.XLOOKUP(PROPERTIES[[#This Row],[COUNTRY]],COUNTRIES[COUNTRY_DESCRIPTION],COUNTRIES[COUNTRY_LABEL],"")</f>
        <v/>
      </c>
      <c r="H917" t="str" cm="1">
        <f t="array" ref="H9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7" t="s">
        <v>36</v>
      </c>
      <c r="J917">
        <v>91</v>
      </c>
      <c r="K917">
        <v>8</v>
      </c>
      <c r="L917">
        <v>0</v>
      </c>
      <c r="M917" t="str" cm="1">
        <f t="array" ref="M9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17">
        <f>_xlfn.XLOOKUP("LOADINGSPEEDDEF_"&amp;PROPERTIES[[#This Row],[LOADINGSPEED]],LOADINGSPEEDDEF[TYPE],LOADINGSPEEDDEF[SPEED])</f>
        <v>15</v>
      </c>
      <c r="O917" cm="1">
        <f t="array" ref="O9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7">
        <f>IF(ISNUMBER(SEARCH("passenger",PROPERTIES[[#This Row],[CARGODEF]])),1,0)</f>
        <v>0</v>
      </c>
      <c r="Q917" s="23">
        <v>35</v>
      </c>
      <c r="R917">
        <v>0</v>
      </c>
      <c r="S917">
        <v>0</v>
      </c>
      <c r="T917">
        <v>0</v>
      </c>
      <c r="U917">
        <v>0</v>
      </c>
      <c r="V917">
        <v>160</v>
      </c>
      <c r="W917">
        <v>0</v>
      </c>
      <c r="X917">
        <v>0</v>
      </c>
      <c r="Y917">
        <v>0</v>
      </c>
      <c r="Z917" s="20">
        <v>0</v>
      </c>
      <c r="AA917" s="20">
        <f>IFERROR(PROPERTIES[[#This Row],[TE_STARTING_KN]]/(PROPERTIES[[#This Row],[WEIGHT]]*9.81),0)</f>
        <v>0</v>
      </c>
      <c r="AB917" s="20">
        <v>0.3</v>
      </c>
      <c r="AC917" s="16">
        <f>ROUND(IF(IFERROR(PROPERTIES[[#This Row],[TE_COEFFICIENT_CALC]],0)=0,PROPERTIES[[#This Row],[TE_COEFFICIENT_MANUAL]],PROPERTIES[[#This Row],[TE_COEFFICIENT_CALC]]),3)</f>
        <v>0.3</v>
      </c>
      <c r="AD917" s="27" cm="1">
        <f t="array" ref="AD9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917" s="26">
        <v>0</v>
      </c>
      <c r="AF917" s="6">
        <v>0</v>
      </c>
      <c r="AG917" t="s">
        <v>1945</v>
      </c>
      <c r="AH917" t="s">
        <v>232</v>
      </c>
      <c r="AI917" t="s">
        <v>229</v>
      </c>
      <c r="AJ917" s="2" t="s">
        <v>229</v>
      </c>
      <c r="AK917" s="2" t="s">
        <v>244</v>
      </c>
      <c r="AL917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7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7" s="2" t="str">
        <f>SUBSTITUTE(SUBSTITUTE(PROPERTIES[[#This Row],[PURCHASECOST_VALUE]], "PURCHASECOST_", ""), "_VALUE", "")</f>
        <v>COACH</v>
      </c>
      <c r="AO917" s="44" t="b">
        <v>0</v>
      </c>
      <c r="AP917" s="48" t="b">
        <v>0</v>
      </c>
      <c r="AQ917" s="48" t="b">
        <v>0</v>
      </c>
      <c r="AR917" s="48">
        <v>0</v>
      </c>
      <c r="AS917" s="48" t="b">
        <v>0</v>
      </c>
      <c r="AT917" s="7" t="b">
        <v>0</v>
      </c>
      <c r="AU917" s="40" t="str" cm="1">
        <f t="array" ref="AU917">_xlfn.XLOOKUP(PROPERTIES[[#This Row],[VEHIDCODE]],GRAPHICS_PROPERTIES[VEHIDCODE],GRAPHICS_PROPERTIES[TEMPLATE_ID]&amp;GRAPHICS_PROPERTIES[TEMPLATE_AMENDMENT_CODE])</f>
        <v>TPL_04U</v>
      </c>
    </row>
    <row r="918" spans="1:47" x14ac:dyDescent="0.35">
      <c r="A918" s="2" t="s">
        <v>1846</v>
      </c>
      <c r="B918">
        <v>1984</v>
      </c>
      <c r="D918" cm="1">
        <f t="array" ref="D9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8" s="40" t="str">
        <f>_xlfn.XLOOKUP(PROPERTIES[[#This Row],[VEHIDCODE]],CONTROL[VEHIDCODE],CONTROL[ENGLISH])</f>
        <v>Comeng SA2000 SDD Concept</v>
      </c>
      <c r="G918" s="40" t="str">
        <f>_xlfn.XLOOKUP(PROPERTIES[[#This Row],[COUNTRY]],COUNTRIES[COUNTRY_DESCRIPTION],COUNTRIES[COUNTRY_LABEL],"")</f>
        <v/>
      </c>
      <c r="H918" t="str" cm="1">
        <f t="array" ref="H9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8" t="s">
        <v>22</v>
      </c>
      <c r="J918">
        <v>170</v>
      </c>
      <c r="K918">
        <v>8</v>
      </c>
      <c r="L918">
        <v>0</v>
      </c>
      <c r="M918" t="str" cm="1">
        <f t="array" ref="M9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8">
        <f>_xlfn.XLOOKUP("LOADINGSPEEDDEF_"&amp;PROPERTIES[[#This Row],[LOADINGSPEED]],LOADINGSPEEDDEF[TYPE],LOADINGSPEEDDEF[SPEED])</f>
        <v>60</v>
      </c>
      <c r="O918" cm="1">
        <f t="array" ref="O9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8">
        <f>IF(ISNUMBER(SEARCH("passenger",PROPERTIES[[#This Row],[CARGODEF]])),1,0)</f>
        <v>1</v>
      </c>
      <c r="Q918" s="23">
        <v>48</v>
      </c>
      <c r="R918">
        <v>0</v>
      </c>
      <c r="S918">
        <v>0</v>
      </c>
      <c r="T918">
        <v>0</v>
      </c>
      <c r="U918">
        <v>0</v>
      </c>
      <c r="V918">
        <v>115</v>
      </c>
      <c r="W918">
        <v>0</v>
      </c>
      <c r="X918">
        <v>0</v>
      </c>
      <c r="Y918">
        <v>0</v>
      </c>
      <c r="Z918" s="20">
        <v>0</v>
      </c>
      <c r="AA918" s="20">
        <f>IFERROR(PROPERTIES[[#This Row],[TE_STARTING_KN]]/(PROPERTIES[[#This Row],[WEIGHT]]*9.81),0)</f>
        <v>0</v>
      </c>
      <c r="AB918" s="20">
        <v>0.3</v>
      </c>
      <c r="AC918" s="16">
        <f>ROUND(IF(IFERROR(PROPERTIES[[#This Row],[TE_COEFFICIENT_CALC]],0)=0,PROPERTIES[[#This Row],[TE_COEFFICIENT_MANUAL]],PROPERTIES[[#This Row],[TE_COEFFICIENT_CALC]]),3)</f>
        <v>0.3</v>
      </c>
      <c r="AD918" s="27" cm="1">
        <f t="array" ref="AD9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8" s="26">
        <v>0</v>
      </c>
      <c r="AF918" s="6">
        <v>0</v>
      </c>
      <c r="AG918" t="s">
        <v>232</v>
      </c>
      <c r="AH918" t="s">
        <v>229</v>
      </c>
      <c r="AI918" t="s">
        <v>229</v>
      </c>
      <c r="AJ918" s="2" t="s">
        <v>229</v>
      </c>
      <c r="AK918" s="2" t="s">
        <v>245</v>
      </c>
      <c r="AL918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8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8" s="2" t="str">
        <f>SUBSTITUTE(SUBSTITUTE(PROPERTIES[[#This Row],[PURCHASECOST_VALUE]], "PURCHASECOST_", ""), "_VALUE", "")</f>
        <v>COACH</v>
      </c>
      <c r="AO918" s="44" t="b">
        <v>0</v>
      </c>
      <c r="AP918" s="48" t="b">
        <v>1</v>
      </c>
      <c r="AQ918" s="48" t="b">
        <v>0</v>
      </c>
      <c r="AR918" s="48">
        <v>0</v>
      </c>
      <c r="AS918" s="48" t="b">
        <v>0</v>
      </c>
      <c r="AT918" s="7" t="b">
        <v>0</v>
      </c>
      <c r="AU918" s="40" t="str" cm="1">
        <f t="array" ref="AU918">_xlfn.XLOOKUP(PROPERTIES[[#This Row],[VEHIDCODE]],GRAPHICS_PROPERTIES[VEHIDCODE],GRAPHICS_PROPERTIES[TEMPLATE_ID]&amp;GRAPHICS_PROPERTIES[TEMPLATE_AMENDMENT_CODE])</f>
        <v>TPL_04U</v>
      </c>
    </row>
    <row r="919" spans="1:47" x14ac:dyDescent="0.35">
      <c r="A919" s="2" t="s">
        <v>1848</v>
      </c>
      <c r="B919">
        <v>1992</v>
      </c>
      <c r="D919" cm="1">
        <f t="array" ref="D9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9" s="40" t="str">
        <f>_xlfn.XLOOKUP(PROPERTIES[[#This Row],[VEHIDCODE]],CONTROL[VEHIDCODE],CONTROL[ENGLISH])</f>
        <v>Melbourne/Goninan 4D Coach Concept</v>
      </c>
      <c r="G919" s="40" t="str">
        <f>_xlfn.XLOOKUP(PROPERTIES[[#This Row],[COUNTRY]],COUNTRIES[COUNTRY_DESCRIPTION],COUNTRIES[COUNTRY_LABEL],"")</f>
        <v/>
      </c>
      <c r="H919" t="str" cm="1">
        <f t="array" ref="H9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9" t="s">
        <v>22</v>
      </c>
      <c r="J919">
        <v>175</v>
      </c>
      <c r="K919">
        <v>8</v>
      </c>
      <c r="L919">
        <v>0</v>
      </c>
      <c r="M919" t="str" cm="1">
        <f t="array" ref="M9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9">
        <f>_xlfn.XLOOKUP("LOADINGSPEEDDEF_"&amp;PROPERTIES[[#This Row],[LOADINGSPEED]],LOADINGSPEEDDEF[TYPE],LOADINGSPEEDDEF[SPEED])</f>
        <v>60</v>
      </c>
      <c r="O919" t="str" cm="1">
        <f t="array" ref="O9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19">
        <f>IF(ISNUMBER(SEARCH("passenger",PROPERTIES[[#This Row],[CARGODEF]])),1,0)</f>
        <v>1</v>
      </c>
      <c r="Q919" s="23">
        <v>46</v>
      </c>
      <c r="R919">
        <v>0</v>
      </c>
      <c r="S919">
        <v>0</v>
      </c>
      <c r="T919">
        <v>0</v>
      </c>
      <c r="U919">
        <v>0</v>
      </c>
      <c r="V919">
        <v>115</v>
      </c>
      <c r="W919">
        <v>0</v>
      </c>
      <c r="X919">
        <v>0</v>
      </c>
      <c r="Y919">
        <v>0</v>
      </c>
      <c r="Z919" s="20">
        <v>0</v>
      </c>
      <c r="AA919" s="20">
        <f>IFERROR(PROPERTIES[[#This Row],[TE_STARTING_KN]]/(PROPERTIES[[#This Row],[WEIGHT]]*9.81),0)</f>
        <v>0</v>
      </c>
      <c r="AB919" s="20">
        <v>0.3</v>
      </c>
      <c r="AC919" s="16">
        <f>ROUND(IF(IFERROR(PROPERTIES[[#This Row],[TE_COEFFICIENT_CALC]],0)=0,PROPERTIES[[#This Row],[TE_COEFFICIENT_MANUAL]],PROPERTIES[[#This Row],[TE_COEFFICIENT_CALC]]),3)</f>
        <v>0.3</v>
      </c>
      <c r="AD919" s="27" cm="1">
        <f t="array" ref="AD9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9" s="26">
        <v>0</v>
      </c>
      <c r="AF919" s="6">
        <v>0</v>
      </c>
      <c r="AG919" t="s">
        <v>232</v>
      </c>
      <c r="AH919" t="s">
        <v>229</v>
      </c>
      <c r="AI919" t="s">
        <v>229</v>
      </c>
      <c r="AJ919" s="2" t="s">
        <v>229</v>
      </c>
      <c r="AK919" s="2" t="s">
        <v>245</v>
      </c>
      <c r="AL919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9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9" s="2" t="str">
        <f>SUBSTITUTE(SUBSTITUTE(PROPERTIES[[#This Row],[PURCHASECOST_VALUE]], "PURCHASECOST_", ""), "_VALUE", "")</f>
        <v>COACH</v>
      </c>
      <c r="AO919" s="44" t="b">
        <v>0</v>
      </c>
      <c r="AP919" s="48" t="b">
        <v>1</v>
      </c>
      <c r="AQ919" s="48" t="b">
        <v>0</v>
      </c>
      <c r="AR919" s="48">
        <v>0</v>
      </c>
      <c r="AS919" s="48" t="b">
        <v>0</v>
      </c>
      <c r="AT919" s="7" t="b">
        <v>0</v>
      </c>
      <c r="AU919" s="40" t="str" cm="1">
        <f t="array" ref="AU919">_xlfn.XLOOKUP(PROPERTIES[[#This Row],[VEHIDCODE]],GRAPHICS_PROPERTIES[VEHIDCODE],GRAPHICS_PROPERTIES[TEMPLATE_ID]&amp;GRAPHICS_PROPERTIES[TEMPLATE_AMENDMENT_CODE])</f>
        <v>TPL_04U</v>
      </c>
    </row>
    <row r="920" spans="1:47" x14ac:dyDescent="0.35">
      <c r="A920" s="2" t="s">
        <v>1849</v>
      </c>
      <c r="B920">
        <v>1989</v>
      </c>
      <c r="D920" cm="1">
        <f t="array" ref="D9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0" s="40" t="str">
        <f>_xlfn.XLOOKUP(PROPERTIES[[#This Row],[VEHIDCODE]],CONTROL[VEHIDCODE],CONTROL[ENGLISH])</f>
        <v>Tangara V-Set Hybrid Coach Concept</v>
      </c>
      <c r="G920" s="40" t="str">
        <f>_xlfn.XLOOKUP(PROPERTIES[[#This Row],[COUNTRY]],COUNTRIES[COUNTRY_DESCRIPTION],COUNTRIES[COUNTRY_LABEL],"")</f>
        <v/>
      </c>
      <c r="H920" t="str" cm="1">
        <f t="array" ref="H9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0" t="s">
        <v>22</v>
      </c>
      <c r="J920">
        <v>173</v>
      </c>
      <c r="K920">
        <v>8</v>
      </c>
      <c r="L920">
        <v>0</v>
      </c>
      <c r="M920" t="str" cm="1">
        <f t="array" ref="M9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0">
        <f>_xlfn.XLOOKUP("LOADINGSPEEDDEF_"&amp;PROPERTIES[[#This Row],[LOADINGSPEED]],LOADINGSPEEDDEF[TYPE],LOADINGSPEEDDEF[SPEED])</f>
        <v>60</v>
      </c>
      <c r="O920" cm="1">
        <f t="array" ref="O9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0">
        <f>IF(ISNUMBER(SEARCH("passenger",PROPERTIES[[#This Row],[CARGODEF]])),1,0)</f>
        <v>1</v>
      </c>
      <c r="Q920" s="23">
        <v>46</v>
      </c>
      <c r="R920">
        <v>0</v>
      </c>
      <c r="S920">
        <v>0</v>
      </c>
      <c r="T920">
        <v>0</v>
      </c>
      <c r="U920">
        <v>0</v>
      </c>
      <c r="V920">
        <v>115</v>
      </c>
      <c r="W920">
        <v>0</v>
      </c>
      <c r="X920">
        <v>0</v>
      </c>
      <c r="Y920">
        <v>0</v>
      </c>
      <c r="Z920" s="20">
        <v>0</v>
      </c>
      <c r="AA920" s="20">
        <f>IFERROR(PROPERTIES[[#This Row],[TE_STARTING_KN]]/(PROPERTIES[[#This Row],[WEIGHT]]*9.81),0)</f>
        <v>0</v>
      </c>
      <c r="AB920" s="20">
        <v>0.3</v>
      </c>
      <c r="AC920" s="16">
        <f>ROUND(IF(IFERROR(PROPERTIES[[#This Row],[TE_COEFFICIENT_CALC]],0)=0,PROPERTIES[[#This Row],[TE_COEFFICIENT_MANUAL]],PROPERTIES[[#This Row],[TE_COEFFICIENT_CALC]]),3)</f>
        <v>0.3</v>
      </c>
      <c r="AD920" s="27" cm="1">
        <f t="array" ref="AD9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0" s="26">
        <v>0</v>
      </c>
      <c r="AF920" s="6">
        <v>0</v>
      </c>
      <c r="AG920" t="s">
        <v>232</v>
      </c>
      <c r="AH920" t="s">
        <v>229</v>
      </c>
      <c r="AI920" t="s">
        <v>229</v>
      </c>
      <c r="AJ920" s="2" t="s">
        <v>229</v>
      </c>
      <c r="AK920" s="2" t="s">
        <v>245</v>
      </c>
      <c r="AL920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0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0" s="2" t="str">
        <f>SUBSTITUTE(SUBSTITUTE(PROPERTIES[[#This Row],[PURCHASECOST_VALUE]], "PURCHASECOST_", ""), "_VALUE", "")</f>
        <v>COACH</v>
      </c>
      <c r="AO920" s="44" t="b">
        <v>0</v>
      </c>
      <c r="AP920" s="48" t="b">
        <v>1</v>
      </c>
      <c r="AQ920" s="48" t="b">
        <v>0</v>
      </c>
      <c r="AR920" s="48">
        <v>0</v>
      </c>
      <c r="AS920" s="48" t="b">
        <v>0</v>
      </c>
      <c r="AT920" s="7" t="b">
        <v>0</v>
      </c>
      <c r="AU920" s="40" t="str" cm="1">
        <f t="array" ref="AU920">_xlfn.XLOOKUP(PROPERTIES[[#This Row],[VEHIDCODE]],GRAPHICS_PROPERTIES[VEHIDCODE],GRAPHICS_PROPERTIES[TEMPLATE_ID]&amp;GRAPHICS_PROPERTIES[TEMPLATE_AMENDMENT_CODE])</f>
        <v>TPL_04U</v>
      </c>
    </row>
    <row r="921" spans="1:47" x14ac:dyDescent="0.35">
      <c r="A921" s="2" t="s">
        <v>1851</v>
      </c>
      <c r="B921">
        <v>1971</v>
      </c>
      <c r="C921">
        <v>1979</v>
      </c>
      <c r="D921" cm="1">
        <f t="array" ref="D9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1" s="40" t="str">
        <f>_xlfn.XLOOKUP(PROPERTIES[[#This Row],[VEHIDCODE]],CONTROL[VEHIDCODE],CONTROL[ENGLISH])</f>
        <v>NZR Silver Star Coach</v>
      </c>
      <c r="G921" s="40" t="str">
        <f>_xlfn.XLOOKUP(PROPERTIES[[#This Row],[COUNTRY]],COUNTRIES[COUNTRY_DESCRIPTION],COUNTRIES[COUNTRY_LABEL],"")</f>
        <v/>
      </c>
      <c r="H921" t="str" cm="1">
        <f t="array" ref="H9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1" t="s">
        <v>22</v>
      </c>
      <c r="J921">
        <v>87</v>
      </c>
      <c r="K921">
        <v>8</v>
      </c>
      <c r="L921">
        <v>0</v>
      </c>
      <c r="M921" t="str" cm="1">
        <f t="array" ref="M9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1">
        <f>_xlfn.XLOOKUP("LOADINGSPEEDDEF_"&amp;PROPERTIES[[#This Row],[LOADINGSPEED]],LOADINGSPEEDDEF[TYPE],LOADINGSPEEDDEF[SPEED])</f>
        <v>60</v>
      </c>
      <c r="O921" cm="1">
        <f t="array" ref="O9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1">
        <f>IF(ISNUMBER(SEARCH("passenger",PROPERTIES[[#This Row],[CARGODEF]])),1,0)</f>
        <v>1</v>
      </c>
      <c r="Q921" s="23">
        <v>38</v>
      </c>
      <c r="R921">
        <v>0</v>
      </c>
      <c r="S921">
        <v>0</v>
      </c>
      <c r="T921">
        <v>0</v>
      </c>
      <c r="U921">
        <v>0</v>
      </c>
      <c r="V921">
        <v>115</v>
      </c>
      <c r="W921">
        <v>0</v>
      </c>
      <c r="X921">
        <v>0</v>
      </c>
      <c r="Y921">
        <v>0</v>
      </c>
      <c r="Z921" s="20">
        <v>0</v>
      </c>
      <c r="AA921" s="20">
        <f>IFERROR(PROPERTIES[[#This Row],[TE_STARTING_KN]]/(PROPERTIES[[#This Row],[WEIGHT]]*9.81),0)</f>
        <v>0</v>
      </c>
      <c r="AB921" s="20">
        <v>0.3</v>
      </c>
      <c r="AC921" s="16">
        <f>ROUND(IF(IFERROR(PROPERTIES[[#This Row],[TE_COEFFICIENT_CALC]],0)=0,PROPERTIES[[#This Row],[TE_COEFFICIENT_MANUAL]],PROPERTIES[[#This Row],[TE_COEFFICIENT_CALC]]),3)</f>
        <v>0.3</v>
      </c>
      <c r="AD921" s="27" cm="1">
        <f t="array" ref="AD9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1" s="26">
        <v>0</v>
      </c>
      <c r="AF921" s="6">
        <v>0</v>
      </c>
      <c r="AG921" t="s">
        <v>232</v>
      </c>
      <c r="AH921" t="s">
        <v>229</v>
      </c>
      <c r="AI921" t="s">
        <v>229</v>
      </c>
      <c r="AJ921" s="2" t="s">
        <v>229</v>
      </c>
      <c r="AK921" s="2" t="s">
        <v>244</v>
      </c>
      <c r="AL92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1" s="2" t="str">
        <f>SUBSTITUTE(SUBSTITUTE(PROPERTIES[[#This Row],[PURCHASECOST_VALUE]], "PURCHASECOST_", ""), "_VALUE", "")</f>
        <v>COACH</v>
      </c>
      <c r="AO921" s="44" t="b">
        <v>0</v>
      </c>
      <c r="AP921" s="48" t="b">
        <v>0</v>
      </c>
      <c r="AQ921" s="48" t="b">
        <v>0</v>
      </c>
      <c r="AR921" s="48">
        <v>0</v>
      </c>
      <c r="AS921" s="48" t="b">
        <v>0</v>
      </c>
      <c r="AT921" s="7" t="b">
        <v>0</v>
      </c>
      <c r="AU921" s="40" t="str" cm="1">
        <f t="array" ref="AU921">_xlfn.XLOOKUP(PROPERTIES[[#This Row],[VEHIDCODE]],GRAPHICS_PROPERTIES[VEHIDCODE],GRAPHICS_PROPERTIES[TEMPLATE_ID]&amp;GRAPHICS_PROPERTIES[TEMPLATE_AMENDMENT_CODE])</f>
        <v>TPL_04U</v>
      </c>
    </row>
    <row r="922" spans="1:47" x14ac:dyDescent="0.35">
      <c r="A922" s="2" t="s">
        <v>1853</v>
      </c>
      <c r="B922">
        <v>1971</v>
      </c>
      <c r="C922">
        <v>1979</v>
      </c>
      <c r="D922" cm="1">
        <f t="array" ref="D9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2" s="40" t="str">
        <f>_xlfn.XLOOKUP(PROPERTIES[[#This Row],[VEHIDCODE]],CONTROL[VEHIDCODE],CONTROL[ENGLISH])</f>
        <v>NZR Silver Star Mail Coach</v>
      </c>
      <c r="G922" s="40" t="str">
        <f>_xlfn.XLOOKUP(PROPERTIES[[#This Row],[COUNTRY]],COUNTRIES[COUNTRY_DESCRIPTION],COUNTRIES[COUNTRY_LABEL],"")</f>
        <v/>
      </c>
      <c r="H922" t="str" cm="1">
        <f t="array" ref="H9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2" t="s">
        <v>36</v>
      </c>
      <c r="J922">
        <v>87</v>
      </c>
      <c r="K922">
        <v>8</v>
      </c>
      <c r="L922">
        <v>0</v>
      </c>
      <c r="M922" t="str" cm="1">
        <f t="array" ref="M9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22">
        <f>_xlfn.XLOOKUP("LOADINGSPEEDDEF_"&amp;PROPERTIES[[#This Row],[LOADINGSPEED]],LOADINGSPEEDDEF[TYPE],LOADINGSPEEDDEF[SPEED])</f>
        <v>15</v>
      </c>
      <c r="O922" cm="1">
        <f t="array" ref="O9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2">
        <f>IF(ISNUMBER(SEARCH("passenger",PROPERTIES[[#This Row],[CARGODEF]])),1,0)</f>
        <v>0</v>
      </c>
      <c r="Q922" s="23">
        <v>38</v>
      </c>
      <c r="R922">
        <v>0</v>
      </c>
      <c r="S922">
        <v>0</v>
      </c>
      <c r="T922">
        <v>0</v>
      </c>
      <c r="U922">
        <v>0</v>
      </c>
      <c r="V922">
        <v>115</v>
      </c>
      <c r="W922">
        <v>0</v>
      </c>
      <c r="X922">
        <v>0</v>
      </c>
      <c r="Y922">
        <v>0</v>
      </c>
      <c r="Z922" s="20">
        <v>0</v>
      </c>
      <c r="AA922" s="20">
        <f>IFERROR(PROPERTIES[[#This Row],[TE_STARTING_KN]]/(PROPERTIES[[#This Row],[WEIGHT]]*9.81),0)</f>
        <v>0</v>
      </c>
      <c r="AB922" s="20">
        <v>0.3</v>
      </c>
      <c r="AC922" s="16">
        <f>ROUND(IF(IFERROR(PROPERTIES[[#This Row],[TE_COEFFICIENT_CALC]],0)=0,PROPERTIES[[#This Row],[TE_COEFFICIENT_MANUAL]],PROPERTIES[[#This Row],[TE_COEFFICIENT_CALC]]),3)</f>
        <v>0.3</v>
      </c>
      <c r="AD922" s="27" cm="1">
        <f t="array" ref="AD9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2" s="26">
        <v>0</v>
      </c>
      <c r="AF922" s="6">
        <v>0</v>
      </c>
      <c r="AG922" t="s">
        <v>232</v>
      </c>
      <c r="AH922" t="s">
        <v>229</v>
      </c>
      <c r="AI922" t="s">
        <v>229</v>
      </c>
      <c r="AJ922" s="2" t="s">
        <v>229</v>
      </c>
      <c r="AK922" s="2" t="s">
        <v>244</v>
      </c>
      <c r="AL92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2" s="2" t="str">
        <f>SUBSTITUTE(SUBSTITUTE(PROPERTIES[[#This Row],[PURCHASECOST_VALUE]], "PURCHASECOST_", ""), "_VALUE", "")</f>
        <v>COACH</v>
      </c>
      <c r="AO922" s="44" t="b">
        <v>0</v>
      </c>
      <c r="AP922" s="48" t="b">
        <v>0</v>
      </c>
      <c r="AQ922" s="48" t="b">
        <v>0</v>
      </c>
      <c r="AR922" s="48">
        <v>0</v>
      </c>
      <c r="AS922" s="48" t="b">
        <v>0</v>
      </c>
      <c r="AT922" s="7" t="b">
        <v>0</v>
      </c>
      <c r="AU922" s="40" t="str" cm="1">
        <f t="array" ref="AU922">_xlfn.XLOOKUP(PROPERTIES[[#This Row],[VEHIDCODE]],GRAPHICS_PROPERTIES[VEHIDCODE],GRAPHICS_PROPERTIES[TEMPLATE_ID]&amp;GRAPHICS_PROPERTIES[TEMPLATE_AMENDMENT_CODE])</f>
        <v>TPL_04U</v>
      </c>
    </row>
    <row r="923" spans="1:47" x14ac:dyDescent="0.35">
      <c r="A923" s="2" t="s">
        <v>1855</v>
      </c>
      <c r="B923">
        <v>1981</v>
      </c>
      <c r="D923" cm="1">
        <f t="array" ref="D9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3" s="40" t="str">
        <f>_xlfn.XLOOKUP(PROPERTIES[[#This Row],[VEHIDCODE]],CONTROL[VEHIDCODE],CONTROL[ENGLISH])</f>
        <v>Comeng High Speed Coach</v>
      </c>
      <c r="G923" s="40" t="str">
        <f>_xlfn.XLOOKUP(PROPERTIES[[#This Row],[COUNTRY]],COUNTRIES[COUNTRY_DESCRIPTION],COUNTRIES[COUNTRY_LABEL],"")</f>
        <v/>
      </c>
      <c r="H923" t="str" cm="1">
        <f t="array" ref="H9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3" t="s">
        <v>22</v>
      </c>
      <c r="J923">
        <v>91</v>
      </c>
      <c r="K923">
        <v>8</v>
      </c>
      <c r="L923">
        <v>0</v>
      </c>
      <c r="M923" t="str" cm="1">
        <f t="array" ref="M9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3">
        <f>_xlfn.XLOOKUP("LOADINGSPEEDDEF_"&amp;PROPERTIES[[#This Row],[LOADINGSPEED]],LOADINGSPEEDDEF[TYPE],LOADINGSPEEDDEF[SPEED])</f>
        <v>60</v>
      </c>
      <c r="O923" cm="1">
        <f t="array" ref="O9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3">
        <f>IF(ISNUMBER(SEARCH("passenger",PROPERTIES[[#This Row],[CARGODEF]])),1,0)</f>
        <v>1</v>
      </c>
      <c r="Q923" s="23">
        <v>35</v>
      </c>
      <c r="R923">
        <v>0</v>
      </c>
      <c r="S923">
        <v>0</v>
      </c>
      <c r="T923">
        <v>0</v>
      </c>
      <c r="U923">
        <v>0</v>
      </c>
      <c r="V923">
        <v>160</v>
      </c>
      <c r="W923">
        <v>0</v>
      </c>
      <c r="X923">
        <v>0</v>
      </c>
      <c r="Y923">
        <v>0</v>
      </c>
      <c r="Z923" s="20">
        <v>0</v>
      </c>
      <c r="AA923" s="20">
        <f>IFERROR(PROPERTIES[[#This Row],[TE_STARTING_KN]]/(PROPERTIES[[#This Row],[WEIGHT]]*9.81),0)</f>
        <v>0</v>
      </c>
      <c r="AB923" s="20">
        <v>0.3</v>
      </c>
      <c r="AC923" s="16">
        <f>ROUND(IF(IFERROR(PROPERTIES[[#This Row],[TE_COEFFICIENT_CALC]],0)=0,PROPERTIES[[#This Row],[TE_COEFFICIENT_MANUAL]],PROPERTIES[[#This Row],[TE_COEFFICIENT_CALC]]),3)</f>
        <v>0.3</v>
      </c>
      <c r="AD923" s="27" cm="1">
        <f t="array" ref="AD9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3" s="26">
        <v>0</v>
      </c>
      <c r="AF923" s="6">
        <v>0</v>
      </c>
      <c r="AG923" t="s">
        <v>232</v>
      </c>
      <c r="AH923" t="s">
        <v>229</v>
      </c>
      <c r="AI923" t="s">
        <v>229</v>
      </c>
      <c r="AJ923" s="2" t="s">
        <v>229</v>
      </c>
      <c r="AK923" s="2" t="s">
        <v>244</v>
      </c>
      <c r="AL92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3" s="2" t="str">
        <f>SUBSTITUTE(SUBSTITUTE(PROPERTIES[[#This Row],[PURCHASECOST_VALUE]], "PURCHASECOST_", ""), "_VALUE", "")</f>
        <v>COACH</v>
      </c>
      <c r="AO923" s="44" t="b">
        <v>0</v>
      </c>
      <c r="AP923" s="48" t="b">
        <v>0</v>
      </c>
      <c r="AQ923" s="48" t="b">
        <v>0</v>
      </c>
      <c r="AR923" s="48">
        <v>0</v>
      </c>
      <c r="AS923" s="48" t="b">
        <v>0</v>
      </c>
      <c r="AT923" s="7" t="b">
        <v>0</v>
      </c>
      <c r="AU923" s="40" t="str" cm="1">
        <f t="array" ref="AU923">_xlfn.XLOOKUP(PROPERTIES[[#This Row],[VEHIDCODE]],GRAPHICS_PROPERTIES[VEHIDCODE],GRAPHICS_PROPERTIES[TEMPLATE_ID]&amp;GRAPHICS_PROPERTIES[TEMPLATE_AMENDMENT_CODE])</f>
        <v>TPL_04U</v>
      </c>
    </row>
    <row r="924" spans="1:47" x14ac:dyDescent="0.35">
      <c r="A924" s="2" t="s">
        <v>1856</v>
      </c>
      <c r="B924">
        <v>1981</v>
      </c>
      <c r="D924" cm="1">
        <f t="array" ref="D9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4" s="40" t="str">
        <f>_xlfn.XLOOKUP(PROPERTIES[[#This Row],[VEHIDCODE]],CONTROL[VEHIDCODE],CONTROL[ENGLISH])</f>
        <v>Comeng High Speed Mail Coach</v>
      </c>
      <c r="G924" s="40" t="str">
        <f>_xlfn.XLOOKUP(PROPERTIES[[#This Row],[COUNTRY]],COUNTRIES[COUNTRY_DESCRIPTION],COUNTRIES[COUNTRY_LABEL],"")</f>
        <v/>
      </c>
      <c r="H924" t="str" cm="1">
        <f t="array" ref="H9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4" t="s">
        <v>36</v>
      </c>
      <c r="J924">
        <v>91</v>
      </c>
      <c r="K924">
        <v>8</v>
      </c>
      <c r="L924">
        <v>0</v>
      </c>
      <c r="M924" t="str" cm="1">
        <f t="array" ref="M9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24">
        <f>_xlfn.XLOOKUP("LOADINGSPEEDDEF_"&amp;PROPERTIES[[#This Row],[LOADINGSPEED]],LOADINGSPEEDDEF[TYPE],LOADINGSPEEDDEF[SPEED])</f>
        <v>15</v>
      </c>
      <c r="O924" cm="1">
        <f t="array" ref="O9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4">
        <f>IF(ISNUMBER(SEARCH("passenger",PROPERTIES[[#This Row],[CARGODEF]])),1,0)</f>
        <v>0</v>
      </c>
      <c r="Q924" s="23">
        <v>35</v>
      </c>
      <c r="R924">
        <v>0</v>
      </c>
      <c r="S924">
        <v>0</v>
      </c>
      <c r="T924">
        <v>0</v>
      </c>
      <c r="U924">
        <v>0</v>
      </c>
      <c r="V924">
        <v>160</v>
      </c>
      <c r="W924">
        <v>0</v>
      </c>
      <c r="X924">
        <v>0</v>
      </c>
      <c r="Y924">
        <v>0</v>
      </c>
      <c r="Z924" s="20">
        <v>0</v>
      </c>
      <c r="AA924" s="20">
        <f>IFERROR(PROPERTIES[[#This Row],[TE_STARTING_KN]]/(PROPERTIES[[#This Row],[WEIGHT]]*9.81),0)</f>
        <v>0</v>
      </c>
      <c r="AB924" s="20">
        <v>0.3</v>
      </c>
      <c r="AC924" s="16">
        <f>ROUND(IF(IFERROR(PROPERTIES[[#This Row],[TE_COEFFICIENT_CALC]],0)=0,PROPERTIES[[#This Row],[TE_COEFFICIENT_MANUAL]],PROPERTIES[[#This Row],[TE_COEFFICIENT_CALC]]),3)</f>
        <v>0.3</v>
      </c>
      <c r="AD924" s="27" cm="1">
        <f t="array" ref="AD9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4" s="26">
        <v>0</v>
      </c>
      <c r="AF924" s="6">
        <v>0</v>
      </c>
      <c r="AG924" t="s">
        <v>232</v>
      </c>
      <c r="AH924" t="s">
        <v>229</v>
      </c>
      <c r="AI924" t="s">
        <v>229</v>
      </c>
      <c r="AJ924" s="2" t="s">
        <v>229</v>
      </c>
      <c r="AK924" s="2" t="s">
        <v>244</v>
      </c>
      <c r="AL92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4" s="2" t="str">
        <f>SUBSTITUTE(SUBSTITUTE(PROPERTIES[[#This Row],[PURCHASECOST_VALUE]], "PURCHASECOST_", ""), "_VALUE", "")</f>
        <v>COACH</v>
      </c>
      <c r="AO924" s="44" t="b">
        <v>0</v>
      </c>
      <c r="AP924" s="48" t="b">
        <v>0</v>
      </c>
      <c r="AQ924" s="48" t="b">
        <v>0</v>
      </c>
      <c r="AR924" s="48">
        <v>0</v>
      </c>
      <c r="AS924" s="48" t="b">
        <v>0</v>
      </c>
      <c r="AT924" s="7" t="b">
        <v>0</v>
      </c>
      <c r="AU924" s="40" t="str" cm="1">
        <f t="array" ref="AU924">_xlfn.XLOOKUP(PROPERTIES[[#This Row],[VEHIDCODE]],GRAPHICS_PROPERTIES[VEHIDCODE],GRAPHICS_PROPERTIES[TEMPLATE_ID]&amp;GRAPHICS_PROPERTIES[TEMPLATE_AMENDMENT_CODE])</f>
        <v>TPL_04U</v>
      </c>
    </row>
    <row r="925" spans="1:47" x14ac:dyDescent="0.35">
      <c r="A925" s="2" t="s">
        <v>1860</v>
      </c>
      <c r="B925">
        <v>1984</v>
      </c>
      <c r="D925" cm="1">
        <f t="array" ref="D9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5" s="40" t="str">
        <f>_xlfn.XLOOKUP(PROPERTIES[[#This Row],[VEHIDCODE]],CONTROL[VEHIDCODE],CONTROL[ENGLISH])</f>
        <v>Comeng-M&amp;K H-Type Suburban Coach</v>
      </c>
      <c r="G925" s="40" t="str">
        <f>_xlfn.XLOOKUP(PROPERTIES[[#This Row],[COUNTRY]],COUNTRIES[COUNTRY_DESCRIPTION],COUNTRIES[COUNTRY_LABEL],"")</f>
        <v/>
      </c>
      <c r="H925" t="str" cm="1">
        <f t="array" ref="H9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5" t="s">
        <v>22</v>
      </c>
      <c r="J925">
        <v>114</v>
      </c>
      <c r="K925">
        <v>8</v>
      </c>
      <c r="L925">
        <v>0</v>
      </c>
      <c r="M925" t="str" cm="1">
        <f t="array" ref="M9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5">
        <f>_xlfn.XLOOKUP("LOADINGSPEEDDEF_"&amp;PROPERTIES[[#This Row],[LOADINGSPEED]],LOADINGSPEEDDEF[TYPE],LOADINGSPEEDDEF[SPEED])</f>
        <v>60</v>
      </c>
      <c r="O925" cm="1">
        <f t="array" ref="O9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5">
        <f>IF(ISNUMBER(SEARCH("passenger",PROPERTIES[[#This Row],[CARGODEF]])),1,0)</f>
        <v>1</v>
      </c>
      <c r="Q925" s="23">
        <v>33</v>
      </c>
      <c r="R925">
        <v>0</v>
      </c>
      <c r="S925">
        <v>0</v>
      </c>
      <c r="T925">
        <v>0</v>
      </c>
      <c r="U925">
        <v>0</v>
      </c>
      <c r="V925">
        <v>115</v>
      </c>
      <c r="W925">
        <v>0</v>
      </c>
      <c r="X925">
        <v>0</v>
      </c>
      <c r="Y925">
        <v>0</v>
      </c>
      <c r="Z925" s="20">
        <v>0</v>
      </c>
      <c r="AA925" s="20">
        <f>IFERROR(PROPERTIES[[#This Row],[TE_STARTING_KN]]/(PROPERTIES[[#This Row],[WEIGHT]]*9.81),0)</f>
        <v>0</v>
      </c>
      <c r="AB925" s="20">
        <v>0.3</v>
      </c>
      <c r="AC925" s="16">
        <f>ROUND(IF(IFERROR(PROPERTIES[[#This Row],[TE_COEFFICIENT_CALC]],0)=0,PROPERTIES[[#This Row],[TE_COEFFICIENT_MANUAL]],PROPERTIES[[#This Row],[TE_COEFFICIENT_CALC]]),3)</f>
        <v>0.3</v>
      </c>
      <c r="AD925" s="27" cm="1">
        <f t="array" ref="AD9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5" s="26">
        <v>0</v>
      </c>
      <c r="AF925" s="6">
        <v>0</v>
      </c>
      <c r="AG925" t="s">
        <v>232</v>
      </c>
      <c r="AH925" t="s">
        <v>229</v>
      </c>
      <c r="AI925" t="s">
        <v>229</v>
      </c>
      <c r="AJ925" s="2" t="s">
        <v>229</v>
      </c>
      <c r="AK925" s="2" t="s">
        <v>244</v>
      </c>
      <c r="AL92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5" s="2" t="str">
        <f>SUBSTITUTE(SUBSTITUTE(PROPERTIES[[#This Row],[PURCHASECOST_VALUE]], "PURCHASECOST_", ""), "_VALUE", "")</f>
        <v>COACH</v>
      </c>
      <c r="AO925" s="44" t="b">
        <v>0</v>
      </c>
      <c r="AP925" s="48" t="b">
        <v>1</v>
      </c>
      <c r="AQ925" s="48" t="b">
        <v>0</v>
      </c>
      <c r="AR925" s="48">
        <v>0</v>
      </c>
      <c r="AS925" s="48" t="b">
        <v>0</v>
      </c>
      <c r="AT925" s="7" t="b">
        <v>0</v>
      </c>
      <c r="AU925" s="40" t="str" cm="1">
        <f t="array" ref="AU925">_xlfn.XLOOKUP(PROPERTIES[[#This Row],[VEHIDCODE]],GRAPHICS_PROPERTIES[VEHIDCODE],GRAPHICS_PROPERTIES[TEMPLATE_ID]&amp;GRAPHICS_PROPERTIES[TEMPLATE_AMENDMENT_CODE])</f>
        <v>TPL_04U</v>
      </c>
    </row>
    <row r="926" spans="1:47" x14ac:dyDescent="0.35">
      <c r="A926" s="2" t="s">
        <v>1862</v>
      </c>
      <c r="B926">
        <v>1948</v>
      </c>
      <c r="C926">
        <v>1975</v>
      </c>
      <c r="D926" cm="1">
        <f t="array" ref="D9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6" s="40" t="str">
        <f>_xlfn.XLOOKUP(PROPERTIES[[#This Row],[VEHIDCODE]],CONTROL[VEHIDCODE],CONTROL[ENGLISH])</f>
        <v>NSWGR 'Tulloch' RUB Coach</v>
      </c>
      <c r="G926" s="40" t="str">
        <f>_xlfn.XLOOKUP(PROPERTIES[[#This Row],[COUNTRY]],COUNTRIES[COUNTRY_DESCRIPTION],COUNTRIES[COUNTRY_LABEL],"")</f>
        <v/>
      </c>
      <c r="H926" t="str" cm="1">
        <f t="array" ref="H9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6" t="s">
        <v>22</v>
      </c>
      <c r="J926">
        <v>79</v>
      </c>
      <c r="K926">
        <v>8</v>
      </c>
      <c r="L926">
        <v>0</v>
      </c>
      <c r="M926" t="str" cm="1">
        <f t="array" ref="M9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6">
        <f>_xlfn.XLOOKUP("LOADINGSPEEDDEF_"&amp;PROPERTIES[[#This Row],[LOADINGSPEED]],LOADINGSPEEDDEF[TYPE],LOADINGSPEEDDEF[SPEED])</f>
        <v>60</v>
      </c>
      <c r="O926" cm="1">
        <f t="array" ref="O9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6">
        <f>IF(ISNUMBER(SEARCH("passenger",PROPERTIES[[#This Row],[CARGODEF]])),1,0)</f>
        <v>1</v>
      </c>
      <c r="Q926" s="23">
        <v>35</v>
      </c>
      <c r="R926">
        <v>0</v>
      </c>
      <c r="S926">
        <v>0</v>
      </c>
      <c r="T926">
        <v>0</v>
      </c>
      <c r="U926">
        <v>0</v>
      </c>
      <c r="V926">
        <v>115</v>
      </c>
      <c r="W926">
        <v>0</v>
      </c>
      <c r="X926">
        <v>0</v>
      </c>
      <c r="Y926">
        <v>0</v>
      </c>
      <c r="Z926" s="20">
        <v>0</v>
      </c>
      <c r="AA926" s="20">
        <f>IFERROR(PROPERTIES[[#This Row],[TE_STARTING_KN]]/(PROPERTIES[[#This Row],[WEIGHT]]*9.81),0)</f>
        <v>0</v>
      </c>
      <c r="AB926" s="20">
        <v>0.3</v>
      </c>
      <c r="AC926" s="16">
        <f>ROUND(IF(IFERROR(PROPERTIES[[#This Row],[TE_COEFFICIENT_CALC]],0)=0,PROPERTIES[[#This Row],[TE_COEFFICIENT_MANUAL]],PROPERTIES[[#This Row],[TE_COEFFICIENT_CALC]]),3)</f>
        <v>0.3</v>
      </c>
      <c r="AD926" s="27" cm="1">
        <f t="array" ref="AD9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27</v>
      </c>
      <c r="AE926" s="26">
        <v>0</v>
      </c>
      <c r="AF926" s="6">
        <v>0</v>
      </c>
      <c r="AG926" t="s">
        <v>232</v>
      </c>
      <c r="AH926" t="s">
        <v>229</v>
      </c>
      <c r="AI926" t="s">
        <v>229</v>
      </c>
      <c r="AJ926" s="2" t="s">
        <v>229</v>
      </c>
      <c r="AK926" s="2" t="s">
        <v>244</v>
      </c>
      <c r="AL92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6" s="2" t="str">
        <f>SUBSTITUTE(SUBSTITUTE(PROPERTIES[[#This Row],[PURCHASECOST_VALUE]], "PURCHASECOST_", ""), "_VALUE", "")</f>
        <v>COACH</v>
      </c>
      <c r="AO926" s="44" t="b">
        <v>0</v>
      </c>
      <c r="AP926" s="48" t="b">
        <v>0</v>
      </c>
      <c r="AQ926" s="48" t="b">
        <v>0</v>
      </c>
      <c r="AR926" s="48">
        <v>0</v>
      </c>
      <c r="AS926" s="48" t="b">
        <v>0</v>
      </c>
      <c r="AT926" s="7" t="b">
        <v>0</v>
      </c>
      <c r="AU926" s="40" t="str" cm="1">
        <f t="array" ref="AU926">_xlfn.XLOOKUP(PROPERTIES[[#This Row],[VEHIDCODE]],GRAPHICS_PROPERTIES[VEHIDCODE],GRAPHICS_PROPERTIES[TEMPLATE_ID]&amp;GRAPHICS_PROPERTIES[TEMPLATE_AMENDMENT_CODE])</f>
        <v>TPL_04U</v>
      </c>
    </row>
    <row r="927" spans="1:47" x14ac:dyDescent="0.35">
      <c r="A927" s="2" t="s">
        <v>1863</v>
      </c>
      <c r="B927">
        <v>1948</v>
      </c>
      <c r="C927">
        <v>1975</v>
      </c>
      <c r="D927" cm="1">
        <f t="array" ref="D9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7" s="40" t="str">
        <f>_xlfn.XLOOKUP(PROPERTIES[[#This Row],[VEHIDCODE]],CONTROL[VEHIDCODE],CONTROL[ENGLISH])</f>
        <v>NSWGR 'Tulloch' RUB Mail Coach</v>
      </c>
      <c r="G927" s="40" t="str">
        <f>_xlfn.XLOOKUP(PROPERTIES[[#This Row],[COUNTRY]],COUNTRIES[COUNTRY_DESCRIPTION],COUNTRIES[COUNTRY_LABEL],"")</f>
        <v/>
      </c>
      <c r="H927" t="str" cm="1">
        <f t="array" ref="H9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7" t="s">
        <v>36</v>
      </c>
      <c r="J927">
        <v>79</v>
      </c>
      <c r="K927">
        <v>8</v>
      </c>
      <c r="L927">
        <v>0</v>
      </c>
      <c r="M927" t="str" cm="1">
        <f t="array" ref="M9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27">
        <f>_xlfn.XLOOKUP("LOADINGSPEEDDEF_"&amp;PROPERTIES[[#This Row],[LOADINGSPEED]],LOADINGSPEEDDEF[TYPE],LOADINGSPEEDDEF[SPEED])</f>
        <v>15</v>
      </c>
      <c r="O927" cm="1">
        <f t="array" ref="O9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7">
        <f>IF(ISNUMBER(SEARCH("passenger",PROPERTIES[[#This Row],[CARGODEF]])),1,0)</f>
        <v>0</v>
      </c>
      <c r="Q927" s="23">
        <v>35</v>
      </c>
      <c r="R927">
        <v>0</v>
      </c>
      <c r="S927">
        <v>0</v>
      </c>
      <c r="T927">
        <v>0</v>
      </c>
      <c r="U927">
        <v>0</v>
      </c>
      <c r="V927">
        <v>115</v>
      </c>
      <c r="W927">
        <v>0</v>
      </c>
      <c r="X927">
        <v>0</v>
      </c>
      <c r="Y927">
        <v>0</v>
      </c>
      <c r="Z927" s="20">
        <v>0</v>
      </c>
      <c r="AA927" s="20">
        <f>IFERROR(PROPERTIES[[#This Row],[TE_STARTING_KN]]/(PROPERTIES[[#This Row],[WEIGHT]]*9.81),0)</f>
        <v>0</v>
      </c>
      <c r="AB927" s="20">
        <v>0.3</v>
      </c>
      <c r="AC927" s="16">
        <f>ROUND(IF(IFERROR(PROPERTIES[[#This Row],[TE_COEFFICIENT_CALC]],0)=0,PROPERTIES[[#This Row],[TE_COEFFICIENT_MANUAL]],PROPERTIES[[#This Row],[TE_COEFFICIENT_CALC]]),3)</f>
        <v>0.3</v>
      </c>
      <c r="AD927" s="27" cm="1">
        <f t="array" ref="AD9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27</v>
      </c>
      <c r="AE927" s="26">
        <v>0</v>
      </c>
      <c r="AF927" s="6">
        <v>0</v>
      </c>
      <c r="AG927" t="s">
        <v>232</v>
      </c>
      <c r="AH927" t="s">
        <v>229</v>
      </c>
      <c r="AI927" t="s">
        <v>229</v>
      </c>
      <c r="AJ927" s="2" t="s">
        <v>229</v>
      </c>
      <c r="AK927" s="2" t="s">
        <v>244</v>
      </c>
      <c r="AL92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7" s="2" t="str">
        <f>SUBSTITUTE(SUBSTITUTE(PROPERTIES[[#This Row],[PURCHASECOST_VALUE]], "PURCHASECOST_", ""), "_VALUE", "")</f>
        <v>COACH</v>
      </c>
      <c r="AO927" s="44" t="b">
        <v>0</v>
      </c>
      <c r="AP927" s="48" t="b">
        <v>0</v>
      </c>
      <c r="AQ927" s="48" t="b">
        <v>0</v>
      </c>
      <c r="AR927" s="48">
        <v>0</v>
      </c>
      <c r="AS927" s="48" t="b">
        <v>0</v>
      </c>
      <c r="AT927" s="7" t="b">
        <v>0</v>
      </c>
      <c r="AU927" s="40" t="str" cm="1">
        <f t="array" ref="AU927">_xlfn.XLOOKUP(PROPERTIES[[#This Row],[VEHIDCODE]],GRAPHICS_PROPERTIES[VEHIDCODE],GRAPHICS_PROPERTIES[TEMPLATE_ID]&amp;GRAPHICS_PROPERTIES[TEMPLATE_AMENDMENT_CODE])</f>
        <v>TPL_04U</v>
      </c>
    </row>
    <row r="928" spans="1:47" x14ac:dyDescent="0.35">
      <c r="A928" s="2" t="s">
        <v>1865</v>
      </c>
      <c r="B928">
        <v>1924</v>
      </c>
      <c r="D928" cm="1">
        <f t="array" ref="D9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8" s="40" t="str">
        <f>_xlfn.XLOOKUP(PROPERTIES[[#This Row],[VEHIDCODE]],CONTROL[VEHIDCODE],CONTROL[ENGLISH])</f>
        <v>WAGR AY Suburban Coaches</v>
      </c>
      <c r="G928" s="40" t="str">
        <f>_xlfn.XLOOKUP(PROPERTIES[[#This Row],[COUNTRY]],COUNTRIES[COUNTRY_DESCRIPTION],COUNTRIES[COUNTRY_LABEL],"")</f>
        <v/>
      </c>
      <c r="H928" t="str" cm="1">
        <f t="array" ref="H9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8" t="s">
        <v>22</v>
      </c>
      <c r="J928">
        <v>78</v>
      </c>
      <c r="K928">
        <v>7</v>
      </c>
      <c r="L928">
        <v>0</v>
      </c>
      <c r="M928" t="str" cm="1">
        <f t="array" ref="M9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8">
        <f>_xlfn.XLOOKUP("LOADINGSPEEDDEF_"&amp;PROPERTIES[[#This Row],[LOADINGSPEED]],LOADINGSPEEDDEF[TYPE],LOADINGSPEEDDEF[SPEED])</f>
        <v>60</v>
      </c>
      <c r="O928" cm="1">
        <f t="array" ref="O9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8">
        <f>IF(ISNUMBER(SEARCH("passenger",PROPERTIES[[#This Row],[CARGODEF]])),1,0)</f>
        <v>1</v>
      </c>
      <c r="Q928" s="23">
        <v>26</v>
      </c>
      <c r="R928">
        <v>0</v>
      </c>
      <c r="S928">
        <v>0</v>
      </c>
      <c r="T928">
        <v>0</v>
      </c>
      <c r="U928">
        <v>0</v>
      </c>
      <c r="V928">
        <v>80</v>
      </c>
      <c r="W928">
        <v>0</v>
      </c>
      <c r="X928">
        <v>0</v>
      </c>
      <c r="Y928">
        <v>0</v>
      </c>
      <c r="Z928" s="20">
        <v>0</v>
      </c>
      <c r="AA928" s="20">
        <f>IFERROR(PROPERTIES[[#This Row],[TE_STARTING_KN]]/(PROPERTIES[[#This Row],[WEIGHT]]*9.81),0)</f>
        <v>0</v>
      </c>
      <c r="AB928" s="20">
        <v>0.3</v>
      </c>
      <c r="AC928" s="16">
        <f>ROUND(IF(IFERROR(PROPERTIES[[#This Row],[TE_COEFFICIENT_CALC]],0)=0,PROPERTIES[[#This Row],[TE_COEFFICIENT_MANUAL]],PROPERTIES[[#This Row],[TE_COEFFICIENT_CALC]]),3)</f>
        <v>0.3</v>
      </c>
      <c r="AD928" s="27" cm="1">
        <f t="array" ref="AD9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8" s="26">
        <v>0</v>
      </c>
      <c r="AF928" s="6">
        <v>0</v>
      </c>
      <c r="AG928" t="s">
        <v>232</v>
      </c>
      <c r="AH928" t="s">
        <v>229</v>
      </c>
      <c r="AI928" t="s">
        <v>229</v>
      </c>
      <c r="AJ928" s="2" t="s">
        <v>229</v>
      </c>
      <c r="AK928" s="2" t="s">
        <v>244</v>
      </c>
      <c r="AL92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8" s="2" t="str">
        <f>SUBSTITUTE(SUBSTITUTE(PROPERTIES[[#This Row],[PURCHASECOST_VALUE]], "PURCHASECOST_", ""), "_VALUE", "")</f>
        <v>COACH</v>
      </c>
      <c r="AO928" s="44" t="b">
        <v>0</v>
      </c>
      <c r="AP928" s="48" t="b">
        <v>0</v>
      </c>
      <c r="AQ928" s="48" t="b">
        <v>0</v>
      </c>
      <c r="AR928" s="48">
        <v>0</v>
      </c>
      <c r="AS928" s="48" t="b">
        <v>0</v>
      </c>
      <c r="AT928" s="7" t="b">
        <v>0</v>
      </c>
      <c r="AU928" s="40" t="str" cm="1">
        <f t="array" ref="AU928">_xlfn.XLOOKUP(PROPERTIES[[#This Row],[VEHIDCODE]],GRAPHICS_PROPERTIES[VEHIDCODE],GRAPHICS_PROPERTIES[TEMPLATE_ID]&amp;GRAPHICS_PROPERTIES[TEMPLATE_AMENDMENT_CODE])</f>
        <v>TPL_04U</v>
      </c>
    </row>
    <row r="929" spans="1:47" x14ac:dyDescent="0.35">
      <c r="A929" s="2" t="s">
        <v>1867</v>
      </c>
      <c r="B929">
        <v>1937</v>
      </c>
      <c r="D929" cm="1">
        <f t="array" ref="D9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9" s="40" t="str">
        <f>_xlfn.XLOOKUP(PROPERTIES[[#This Row],[VEHIDCODE]],CONTROL[VEHIDCODE],CONTROL[ENGLISH])</f>
        <v>NZR 56ft Coach</v>
      </c>
      <c r="G929" s="40" t="str">
        <f>_xlfn.XLOOKUP(PROPERTIES[[#This Row],[COUNTRY]],COUNTRIES[COUNTRY_DESCRIPTION],COUNTRIES[COUNTRY_LABEL],"")</f>
        <v/>
      </c>
      <c r="H929" t="str" cm="1">
        <f t="array" ref="H9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9" t="s">
        <v>22</v>
      </c>
      <c r="J929">
        <v>56</v>
      </c>
      <c r="K929">
        <v>7</v>
      </c>
      <c r="L929">
        <v>0</v>
      </c>
      <c r="M929" t="str" cm="1">
        <f t="array" ref="M9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9">
        <f>_xlfn.XLOOKUP("LOADINGSPEEDDEF_"&amp;PROPERTIES[[#This Row],[LOADINGSPEED]],LOADINGSPEEDDEF[TYPE],LOADINGSPEEDDEF[SPEED])</f>
        <v>60</v>
      </c>
      <c r="O929" cm="1">
        <f t="array" ref="O9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9">
        <f>IF(ISNUMBER(SEARCH("passenger",PROPERTIES[[#This Row],[CARGODEF]])),1,0)</f>
        <v>1</v>
      </c>
      <c r="Q929" s="23">
        <v>24</v>
      </c>
      <c r="R929">
        <v>0</v>
      </c>
      <c r="S929">
        <v>0</v>
      </c>
      <c r="T929">
        <v>0</v>
      </c>
      <c r="U929">
        <v>0</v>
      </c>
      <c r="V929">
        <v>80</v>
      </c>
      <c r="W929">
        <v>0</v>
      </c>
      <c r="X929">
        <v>0</v>
      </c>
      <c r="Y929">
        <v>0</v>
      </c>
      <c r="Z929" s="20">
        <v>0</v>
      </c>
      <c r="AA929" s="20">
        <f>IFERROR(PROPERTIES[[#This Row],[TE_STARTING_KN]]/(PROPERTIES[[#This Row],[WEIGHT]]*9.81),0)</f>
        <v>0</v>
      </c>
      <c r="AB929" s="20">
        <v>0.3</v>
      </c>
      <c r="AC929" s="16">
        <f>ROUND(IF(IFERROR(PROPERTIES[[#This Row],[TE_COEFFICIENT_CALC]],0)=0,PROPERTIES[[#This Row],[TE_COEFFICIENT_MANUAL]],PROPERTIES[[#This Row],[TE_COEFFICIENT_CALC]]),3)</f>
        <v>0.3</v>
      </c>
      <c r="AD929" s="27" cm="1">
        <f t="array" ref="AD9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9" s="26">
        <v>0</v>
      </c>
      <c r="AF929" s="6">
        <v>0</v>
      </c>
      <c r="AG929" t="s">
        <v>232</v>
      </c>
      <c r="AH929" t="s">
        <v>229</v>
      </c>
      <c r="AI929" t="s">
        <v>229</v>
      </c>
      <c r="AJ929" s="2" t="s">
        <v>229</v>
      </c>
      <c r="AK929" s="2" t="s">
        <v>244</v>
      </c>
      <c r="AL92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9" s="2" t="str">
        <f>SUBSTITUTE(SUBSTITUTE(PROPERTIES[[#This Row],[PURCHASECOST_VALUE]], "PURCHASECOST_", ""), "_VALUE", "")</f>
        <v>COACH</v>
      </c>
      <c r="AO929" s="44" t="b">
        <v>0</v>
      </c>
      <c r="AP929" s="48" t="b">
        <v>0</v>
      </c>
      <c r="AQ929" s="48" t="b">
        <v>0</v>
      </c>
      <c r="AR929" s="48">
        <v>0</v>
      </c>
      <c r="AS929" s="48" t="b">
        <v>0</v>
      </c>
      <c r="AT929" s="7" t="b">
        <v>0</v>
      </c>
      <c r="AU929" s="40" t="str" cm="1">
        <f t="array" ref="AU929">_xlfn.XLOOKUP(PROPERTIES[[#This Row],[VEHIDCODE]],GRAPHICS_PROPERTIES[VEHIDCODE],GRAPHICS_PROPERTIES[TEMPLATE_ID]&amp;GRAPHICS_PROPERTIES[TEMPLATE_AMENDMENT_CODE])</f>
        <v>TPL_04U</v>
      </c>
    </row>
    <row r="930" spans="1:47" x14ac:dyDescent="0.35">
      <c r="A930" s="2" t="s">
        <v>1868</v>
      </c>
      <c r="B930">
        <v>1937</v>
      </c>
      <c r="D930" cm="1">
        <f t="array" ref="D9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0" s="40" t="str">
        <f>_xlfn.XLOOKUP(PROPERTIES[[#This Row],[VEHIDCODE]],CONTROL[VEHIDCODE],CONTROL[ENGLISH])</f>
        <v>NZR 56ft Mail Coach</v>
      </c>
      <c r="G930" s="40" t="str">
        <f>_xlfn.XLOOKUP(PROPERTIES[[#This Row],[COUNTRY]],COUNTRIES[COUNTRY_DESCRIPTION],COUNTRIES[COUNTRY_LABEL],"")</f>
        <v/>
      </c>
      <c r="H930" t="str" cm="1">
        <f t="array" ref="H9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30" t="s">
        <v>36</v>
      </c>
      <c r="J930">
        <v>56</v>
      </c>
      <c r="K930">
        <v>7</v>
      </c>
      <c r="L930">
        <v>0</v>
      </c>
      <c r="M930" t="str" cm="1">
        <f t="array" ref="M9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30">
        <f>_xlfn.XLOOKUP("LOADINGSPEEDDEF_"&amp;PROPERTIES[[#This Row],[LOADINGSPEED]],LOADINGSPEEDDEF[TYPE],LOADINGSPEEDDEF[SPEED])</f>
        <v>15</v>
      </c>
      <c r="O930" cm="1">
        <f t="array" ref="O9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30">
        <f>IF(ISNUMBER(SEARCH("passenger",PROPERTIES[[#This Row],[CARGODEF]])),1,0)</f>
        <v>0</v>
      </c>
      <c r="Q930" s="23">
        <v>24</v>
      </c>
      <c r="R930">
        <v>0</v>
      </c>
      <c r="S930">
        <v>0</v>
      </c>
      <c r="T930">
        <v>0</v>
      </c>
      <c r="U930">
        <v>0</v>
      </c>
      <c r="V930">
        <v>80</v>
      </c>
      <c r="W930">
        <v>0</v>
      </c>
      <c r="X930">
        <v>0</v>
      </c>
      <c r="Y930">
        <v>0</v>
      </c>
      <c r="Z930" s="20">
        <v>0</v>
      </c>
      <c r="AA930" s="20">
        <f>IFERROR(PROPERTIES[[#This Row],[TE_STARTING_KN]]/(PROPERTIES[[#This Row],[WEIGHT]]*9.81),0)</f>
        <v>0</v>
      </c>
      <c r="AB930" s="20">
        <v>0.3</v>
      </c>
      <c r="AC930" s="16">
        <f>ROUND(IF(IFERROR(PROPERTIES[[#This Row],[TE_COEFFICIENT_CALC]],0)=0,PROPERTIES[[#This Row],[TE_COEFFICIENT_MANUAL]],PROPERTIES[[#This Row],[TE_COEFFICIENT_CALC]]),3)</f>
        <v>0.3</v>
      </c>
      <c r="AD930" s="27" cm="1">
        <f t="array" ref="AD9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30" s="26">
        <v>0</v>
      </c>
      <c r="AF930" s="6">
        <v>0</v>
      </c>
      <c r="AG930" t="s">
        <v>232</v>
      </c>
      <c r="AH930" t="s">
        <v>229</v>
      </c>
      <c r="AI930" t="s">
        <v>229</v>
      </c>
      <c r="AJ930" s="2" t="s">
        <v>229</v>
      </c>
      <c r="AK930" s="2" t="s">
        <v>244</v>
      </c>
      <c r="AL93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3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30" s="2" t="str">
        <f>SUBSTITUTE(SUBSTITUTE(PROPERTIES[[#This Row],[PURCHASECOST_VALUE]], "PURCHASECOST_", ""), "_VALUE", "")</f>
        <v>COACH</v>
      </c>
      <c r="AO930" s="44" t="b">
        <v>0</v>
      </c>
      <c r="AP930" s="48" t="b">
        <v>0</v>
      </c>
      <c r="AQ930" s="48" t="b">
        <v>0</v>
      </c>
      <c r="AR930" s="48">
        <v>0</v>
      </c>
      <c r="AS930" s="48" t="b">
        <v>0</v>
      </c>
      <c r="AT930" s="7" t="b">
        <v>0</v>
      </c>
      <c r="AU930" s="40" t="str" cm="1">
        <f t="array" ref="AU930">_xlfn.XLOOKUP(PROPERTIES[[#This Row],[VEHIDCODE]],GRAPHICS_PROPERTIES[VEHIDCODE],GRAPHICS_PROPERTIES[TEMPLATE_ID]&amp;GRAPHICS_PROPERTIES[TEMPLATE_AMENDMENT_CODE])</f>
        <v>TPL_04U</v>
      </c>
    </row>
    <row r="931" spans="1:47" x14ac:dyDescent="0.35">
      <c r="A931" s="2" t="s">
        <v>1876</v>
      </c>
      <c r="B931">
        <v>1902</v>
      </c>
      <c r="D931" cm="1">
        <f t="array" ref="D9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1" s="40" t="str">
        <f>_xlfn.XLOOKUP(PROPERTIES[[#This Row],[VEHIDCODE]],CONTROL[VEHIDCODE],CONTROL[ENGLISH])</f>
        <v>NZR 50ft Coach</v>
      </c>
      <c r="G931" s="40" t="str">
        <f>_xlfn.XLOOKUP(PROPERTIES[[#This Row],[COUNTRY]],COUNTRIES[COUNTRY_DESCRIPTION],COUNTRIES[COUNTRY_LABEL],"")</f>
        <v/>
      </c>
      <c r="H931" t="str" cm="1">
        <f t="array" ref="H9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31" t="s">
        <v>22</v>
      </c>
      <c r="J931">
        <v>42</v>
      </c>
      <c r="K931">
        <v>6</v>
      </c>
      <c r="L931">
        <v>0</v>
      </c>
      <c r="M931" t="str" cm="1">
        <f t="array" ref="M9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31">
        <f>_xlfn.XLOOKUP("LOADINGSPEEDDEF_"&amp;PROPERTIES[[#This Row],[LOADINGSPEED]],LOADINGSPEEDDEF[TYPE],LOADINGSPEEDDEF[SPEED])</f>
        <v>60</v>
      </c>
      <c r="O931" cm="1">
        <f t="array" ref="O9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31">
        <f>IF(ISNUMBER(SEARCH("passenger",PROPERTIES[[#This Row],[CARGODEF]])),1,0)</f>
        <v>1</v>
      </c>
      <c r="Q931" s="23">
        <v>22</v>
      </c>
      <c r="R931">
        <v>0</v>
      </c>
      <c r="S931">
        <v>0</v>
      </c>
      <c r="T931">
        <v>0</v>
      </c>
      <c r="U931">
        <v>0</v>
      </c>
      <c r="V931">
        <v>80</v>
      </c>
      <c r="W931">
        <v>0</v>
      </c>
      <c r="X931">
        <v>0</v>
      </c>
      <c r="Y931">
        <v>0</v>
      </c>
      <c r="Z931" s="20">
        <v>0</v>
      </c>
      <c r="AA931" s="20">
        <f>IFERROR(PROPERTIES[[#This Row],[TE_STARTING_KN]]/(PROPERTIES[[#This Row],[WEIGHT]]*9.81),0)</f>
        <v>0</v>
      </c>
      <c r="AB931" s="20">
        <v>0.3</v>
      </c>
      <c r="AC931" s="16">
        <f>ROUND(IF(IFERROR(PROPERTIES[[#This Row],[TE_COEFFICIENT_CALC]],0)=0,PROPERTIES[[#This Row],[TE_COEFFICIENT_MANUAL]],PROPERTIES[[#This Row],[TE_COEFFICIENT_CALC]]),3)</f>
        <v>0.3</v>
      </c>
      <c r="AD931" s="27" cm="1">
        <f t="array" ref="AD9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31" s="26">
        <v>0</v>
      </c>
      <c r="AF931" s="6">
        <v>0</v>
      </c>
      <c r="AG931" t="s">
        <v>232</v>
      </c>
      <c r="AH931" t="s">
        <v>229</v>
      </c>
      <c r="AI931" t="s">
        <v>229</v>
      </c>
      <c r="AJ931" s="2" t="s">
        <v>229</v>
      </c>
      <c r="AK931" s="2" t="s">
        <v>244</v>
      </c>
      <c r="AL93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3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31" s="2" t="str">
        <f>SUBSTITUTE(SUBSTITUTE(PROPERTIES[[#This Row],[PURCHASECOST_VALUE]], "PURCHASECOST_", ""), "_VALUE", "")</f>
        <v>COACH</v>
      </c>
      <c r="AO931" s="44" t="b">
        <v>0</v>
      </c>
      <c r="AP931" s="48" t="b">
        <v>0</v>
      </c>
      <c r="AQ931" s="48" t="b">
        <v>0</v>
      </c>
      <c r="AR931" s="48">
        <v>0</v>
      </c>
      <c r="AS931" s="48" t="b">
        <v>0</v>
      </c>
      <c r="AT931" s="7" t="b">
        <v>0</v>
      </c>
      <c r="AU931" s="40" t="str" cm="1">
        <f t="array" ref="AU931">_xlfn.XLOOKUP(PROPERTIES[[#This Row],[VEHIDCODE]],GRAPHICS_PROPERTIES[VEHIDCODE],GRAPHICS_PROPERTIES[TEMPLATE_ID]&amp;GRAPHICS_PROPERTIES[TEMPLATE_AMENDMENT_CODE])</f>
        <v>TPL_04U</v>
      </c>
    </row>
    <row r="932" spans="1:47" x14ac:dyDescent="0.35">
      <c r="A932" s="2" t="s">
        <v>1877</v>
      </c>
      <c r="B932">
        <v>1902</v>
      </c>
      <c r="D932" cm="1">
        <f t="array" ref="D9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2" s="40" t="str">
        <f>_xlfn.XLOOKUP(PROPERTIES[[#This Row],[VEHIDCODE]],CONTROL[VEHIDCODE],CONTROL[ENGLISH])</f>
        <v>NZR 50ft Mail Coach</v>
      </c>
      <c r="G932" s="40" t="str">
        <f>_xlfn.XLOOKUP(PROPERTIES[[#This Row],[COUNTRY]],COUNTRIES[COUNTRY_DESCRIPTION],COUNTRIES[COUNTRY_LABEL],"")</f>
        <v/>
      </c>
      <c r="H932" t="str" cm="1">
        <f t="array" ref="H9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32" t="s">
        <v>36</v>
      </c>
      <c r="J932">
        <v>42</v>
      </c>
      <c r="K932">
        <v>6</v>
      </c>
      <c r="L932">
        <v>0</v>
      </c>
      <c r="M932" t="str" cm="1">
        <f t="array" ref="M9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32">
        <f>_xlfn.XLOOKUP("LOADINGSPEEDDEF_"&amp;PROPERTIES[[#This Row],[LOADINGSPEED]],LOADINGSPEEDDEF[TYPE],LOADINGSPEEDDEF[SPEED])</f>
        <v>15</v>
      </c>
      <c r="O932" cm="1">
        <f t="array" ref="O9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32">
        <f>IF(ISNUMBER(SEARCH("passenger",PROPERTIES[[#This Row],[CARGODEF]])),1,0)</f>
        <v>0</v>
      </c>
      <c r="Q932" s="23">
        <v>22</v>
      </c>
      <c r="R932">
        <v>0</v>
      </c>
      <c r="S932">
        <v>0</v>
      </c>
      <c r="T932">
        <v>0</v>
      </c>
      <c r="U932">
        <v>0</v>
      </c>
      <c r="V932">
        <v>80</v>
      </c>
      <c r="W932">
        <v>0</v>
      </c>
      <c r="X932">
        <v>0</v>
      </c>
      <c r="Y932">
        <v>0</v>
      </c>
      <c r="Z932" s="20">
        <v>0</v>
      </c>
      <c r="AA932" s="20">
        <f>IFERROR(PROPERTIES[[#This Row],[TE_STARTING_KN]]/(PROPERTIES[[#This Row],[WEIGHT]]*9.81),0)</f>
        <v>0</v>
      </c>
      <c r="AB932" s="20">
        <v>0.3</v>
      </c>
      <c r="AC932" s="16">
        <f>ROUND(IF(IFERROR(PROPERTIES[[#This Row],[TE_COEFFICIENT_CALC]],0)=0,PROPERTIES[[#This Row],[TE_COEFFICIENT_MANUAL]],PROPERTIES[[#This Row],[TE_COEFFICIENT_CALC]]),3)</f>
        <v>0.3</v>
      </c>
      <c r="AD932" s="27" cm="1">
        <f t="array" ref="AD9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32" s="26">
        <v>0</v>
      </c>
      <c r="AF932" s="6">
        <v>0</v>
      </c>
      <c r="AG932" t="s">
        <v>232</v>
      </c>
      <c r="AH932" t="s">
        <v>229</v>
      </c>
      <c r="AI932" t="s">
        <v>229</v>
      </c>
      <c r="AJ932" s="2" t="s">
        <v>229</v>
      </c>
      <c r="AK932" s="2" t="s">
        <v>244</v>
      </c>
      <c r="AL93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3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32" s="2" t="str">
        <f>SUBSTITUTE(SUBSTITUTE(PROPERTIES[[#This Row],[PURCHASECOST_VALUE]], "PURCHASECOST_", ""), "_VALUE", "")</f>
        <v>COACH</v>
      </c>
      <c r="AO932" s="44" t="b">
        <v>0</v>
      </c>
      <c r="AP932" s="48" t="b">
        <v>0</v>
      </c>
      <c r="AQ932" s="48" t="b">
        <v>0</v>
      </c>
      <c r="AR932" s="48">
        <v>0</v>
      </c>
      <c r="AS932" s="48" t="b">
        <v>0</v>
      </c>
      <c r="AT932" s="7" t="b">
        <v>0</v>
      </c>
      <c r="AU932" s="40" t="str" cm="1">
        <f t="array" ref="AU932">_xlfn.XLOOKUP(PROPERTIES[[#This Row],[VEHIDCODE]],GRAPHICS_PROPERTIES[VEHIDCODE],GRAPHICS_PROPERTIES[TEMPLATE_ID]&amp;GRAPHICS_PROPERTIES[TEMPLATE_AMENDMENT_CODE])</f>
        <v>TPL_04U</v>
      </c>
    </row>
    <row r="933" spans="1:47" x14ac:dyDescent="0.35">
      <c r="A933" s="2" t="s">
        <v>1879</v>
      </c>
      <c r="B933">
        <v>1877</v>
      </c>
      <c r="D933" cm="1">
        <f t="array" ref="D9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3" s="40" t="str">
        <f>_xlfn.XLOOKUP(PROPERTIES[[#This Row],[VEHIDCODE]],CONTROL[VEHIDCODE],CONTROL[ENGLISH])</f>
        <v>KA Type Tram Car</v>
      </c>
      <c r="G933" s="40" t="str">
        <f>_xlfn.XLOOKUP(PROPERTIES[[#This Row],[COUNTRY]],COUNTRIES[COUNTRY_DESCRIPTION],COUNTRIES[COUNTRY_LABEL],"")</f>
        <v/>
      </c>
      <c r="H933" t="str" cm="1">
        <f t="array" ref="H9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33" t="s">
        <v>22</v>
      </c>
      <c r="J933">
        <v>53</v>
      </c>
      <c r="K933">
        <v>6</v>
      </c>
      <c r="L933">
        <v>0</v>
      </c>
      <c r="M933" t="str" cm="1">
        <f t="array" ref="M9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33">
        <f>_xlfn.XLOOKUP("LOADINGSPEEDDEF_"&amp;PROPERTIES[[#This Row],[LOADINGSPEED]],LOADINGSPEEDDEF[TYPE],LOADINGSPEEDDEF[SPEED])</f>
        <v>60</v>
      </c>
      <c r="O933" cm="1">
        <f t="array" ref="O9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33">
        <f>IF(ISNUMBER(SEARCH("passenger",PROPERTIES[[#This Row],[CARGODEF]])),1,0)</f>
        <v>1</v>
      </c>
      <c r="Q933" s="23">
        <v>18</v>
      </c>
      <c r="R933">
        <v>0</v>
      </c>
      <c r="S933">
        <v>0</v>
      </c>
      <c r="T933">
        <v>0</v>
      </c>
      <c r="U933">
        <v>0</v>
      </c>
      <c r="V933">
        <v>60</v>
      </c>
      <c r="W933">
        <v>0</v>
      </c>
      <c r="X933">
        <v>0</v>
      </c>
      <c r="Y933">
        <v>0</v>
      </c>
      <c r="Z933" s="20">
        <v>0</v>
      </c>
      <c r="AA933" s="20">
        <f>IFERROR(PROPERTIES[[#This Row],[TE_STARTING_KN]]/(PROPERTIES[[#This Row],[WEIGHT]]*9.81),0)</f>
        <v>0</v>
      </c>
      <c r="AB933" s="20">
        <v>0.3</v>
      </c>
      <c r="AC933" s="16">
        <f>ROUND(IF(IFERROR(PROPERTIES[[#This Row],[TE_COEFFICIENT_CALC]],0)=0,PROPERTIES[[#This Row],[TE_COEFFICIENT_MANUAL]],PROPERTIES[[#This Row],[TE_COEFFICIENT_CALC]]),3)</f>
        <v>0.3</v>
      </c>
      <c r="AD933" s="27" cm="1">
        <f t="array" ref="AD9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33" s="26">
        <v>0</v>
      </c>
      <c r="AF933" s="6">
        <v>0</v>
      </c>
      <c r="AG933" t="s">
        <v>232</v>
      </c>
      <c r="AH933" t="s">
        <v>229</v>
      </c>
      <c r="AI933" t="s">
        <v>229</v>
      </c>
      <c r="AJ933" s="2" t="s">
        <v>229</v>
      </c>
      <c r="AK933" s="2" t="s">
        <v>244</v>
      </c>
      <c r="AL93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3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33" s="2" t="str">
        <f>SUBSTITUTE(SUBSTITUTE(PROPERTIES[[#This Row],[PURCHASECOST_VALUE]], "PURCHASECOST_", ""), "_VALUE", "")</f>
        <v>COACH</v>
      </c>
      <c r="AO933" s="44" t="b">
        <v>0</v>
      </c>
      <c r="AP933" s="48" t="b">
        <v>0</v>
      </c>
      <c r="AQ933" s="48" t="b">
        <v>0</v>
      </c>
      <c r="AR933" s="48">
        <v>0</v>
      </c>
      <c r="AS933" s="48" t="b">
        <v>0</v>
      </c>
      <c r="AT933" s="7" t="b">
        <v>0</v>
      </c>
      <c r="AU933" s="40" t="str" cm="1">
        <f t="array" ref="AU933">_xlfn.XLOOKUP(PROPERTIES[[#This Row],[VEHIDCODE]],GRAPHICS_PROPERTIES[VEHIDCODE],GRAPHICS_PROPERTIES[TEMPLATE_ID]&amp;GRAPHICS_PROPERTIES[TEMPLATE_AMENDMENT_CODE])</f>
        <v>TPL_04U</v>
      </c>
    </row>
    <row r="934" spans="1:47" x14ac:dyDescent="0.35">
      <c r="A934" s="2" t="s">
        <v>3366</v>
      </c>
      <c r="B934">
        <v>1983</v>
      </c>
      <c r="C934">
        <v>1997</v>
      </c>
      <c r="D934" cm="1">
        <f t="array" ref="D9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4" s="40" t="str">
        <f>_xlfn.XLOOKUP(PROPERTIES[[#This Row],[VEHIDCODE]],CONTROL[VEHIDCODE],CONTROL[ENGLISH])</f>
        <v>Comeng 86 Class</v>
      </c>
      <c r="F934" t="s">
        <v>541</v>
      </c>
      <c r="G934" s="40" t="str">
        <f>_xlfn.XLOOKUP(PROPERTIES[[#This Row],[COUNTRY]],COUNTRIES[COUNTRY_DESCRIPTION],COUNTRIES[COUNTRY_LABEL],"")</f>
        <v>AU</v>
      </c>
      <c r="H934" t="str" cm="1">
        <f t="array" ref="H9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34" t="s">
        <v>17</v>
      </c>
      <c r="J934">
        <v>0</v>
      </c>
      <c r="K934">
        <v>8</v>
      </c>
      <c r="L934">
        <v>0</v>
      </c>
      <c r="M934" t="str" cm="1">
        <f t="array" ref="M9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34">
        <f>_xlfn.XLOOKUP("LOADINGSPEEDDEF_"&amp;PROPERTIES[[#This Row],[LOADINGSPEED]],LOADINGSPEEDDEF[TYPE],LOADINGSPEEDDEF[SPEED])</f>
        <v>20</v>
      </c>
      <c r="O934" cm="1">
        <f t="array" ref="O9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34">
        <f>IF(ISNUMBER(SEARCH("passenger",PROPERTIES[[#This Row],[CARGODEF]])),1,0)</f>
        <v>0</v>
      </c>
      <c r="Q934" s="23">
        <v>119</v>
      </c>
      <c r="R934">
        <v>3860</v>
      </c>
      <c r="S934">
        <v>0</v>
      </c>
      <c r="T934">
        <v>0</v>
      </c>
      <c r="U934">
        <v>0</v>
      </c>
      <c r="V934">
        <v>130</v>
      </c>
      <c r="W934">
        <v>0</v>
      </c>
      <c r="X934">
        <v>0</v>
      </c>
      <c r="Y934">
        <v>0</v>
      </c>
      <c r="Z934" s="20">
        <f>222*1.3</f>
        <v>288.60000000000002</v>
      </c>
      <c r="AA934" s="20">
        <f>IFERROR(PROPERTIES[[#This Row],[TE_STARTING_KN]]/(PROPERTIES[[#This Row],[WEIGHT]]*9.81),0)</f>
        <v>0.24721815331637242</v>
      </c>
      <c r="AB934" s="20">
        <v>0</v>
      </c>
      <c r="AC934" s="16">
        <f>ROUND(IF(IFERROR(PROPERTIES[[#This Row],[TE_COEFFICIENT_CALC]],0)=0,PROPERTIES[[#This Row],[TE_COEFFICIENT_MANUAL]],PROPERTIES[[#This Row],[TE_COEFFICIENT_CALC]]),3)</f>
        <v>0.247</v>
      </c>
      <c r="AD934" s="27" cm="1">
        <f t="array" ref="AD9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34" s="26">
        <v>0</v>
      </c>
      <c r="AF934" s="6">
        <v>0</v>
      </c>
      <c r="AG934" t="s">
        <v>232</v>
      </c>
      <c r="AH934" t="s">
        <v>229</v>
      </c>
      <c r="AI934" t="s">
        <v>229</v>
      </c>
      <c r="AJ934" s="2" t="s">
        <v>229</v>
      </c>
      <c r="AK934" s="2" t="s">
        <v>244</v>
      </c>
      <c r="AL93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3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34" s="2" t="str">
        <f>SUBSTITUTE(SUBSTITUTE(PROPERTIES[[#This Row],[PURCHASECOST_VALUE]], "PURCHASECOST_", ""), "_VALUE", "")</f>
        <v>ELECTRICENGINE</v>
      </c>
      <c r="AO934" s="44" t="b">
        <v>0</v>
      </c>
      <c r="AP934" s="48" t="b">
        <v>0</v>
      </c>
      <c r="AQ934" s="48" t="b">
        <v>0</v>
      </c>
      <c r="AR934" s="48">
        <v>0</v>
      </c>
      <c r="AS934" s="48" t="b">
        <v>0</v>
      </c>
      <c r="AT934" s="7" t="b">
        <v>0</v>
      </c>
      <c r="AU934" s="40" t="str" cm="1">
        <f t="array" ref="AU934">_xlfn.XLOOKUP(PROPERTIES[[#This Row],[VEHIDCODE]],GRAPHICS_PROPERTIES[VEHIDCODE],GRAPHICS_PROPERTIES[TEMPLATE_ID]&amp;GRAPHICS_PROPERTIES[TEMPLATE_AMENDMENT_CODE])</f>
        <v>TPL_01A</v>
      </c>
    </row>
    <row r="935" spans="1:47" x14ac:dyDescent="0.35">
      <c r="A935" s="2" t="s">
        <v>3240</v>
      </c>
      <c r="B935">
        <v>1982</v>
      </c>
      <c r="C935">
        <v>2016</v>
      </c>
      <c r="D935" cm="1">
        <f t="array" ref="D9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35" s="40" t="str">
        <f>_xlfn.XLOOKUP(PROPERTIES[[#This Row],[VEHIDCODE]],CONTROL[VEHIDCODE],CONTROL[ENGLISH])</f>
        <v>Ganz-MAVAG EM/ET</v>
      </c>
      <c r="F935" t="s">
        <v>697</v>
      </c>
      <c r="G935" s="40" t="str">
        <f>_xlfn.XLOOKUP(PROPERTIES[[#This Row],[COUNTRY]],COUNTRIES[COUNTRY_DESCRIPTION],COUNTRIES[COUNTRY_LABEL],"")</f>
        <v>NZ</v>
      </c>
      <c r="H935" t="str" cm="1">
        <f t="array" ref="H9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35" t="s">
        <v>15</v>
      </c>
      <c r="J935">
        <v>113</v>
      </c>
      <c r="K935">
        <v>8</v>
      </c>
      <c r="M935" t="str" cm="1">
        <f t="array" ref="M9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35">
        <f>_xlfn.XLOOKUP("LOADINGSPEEDDEF_"&amp;PROPERTIES[[#This Row],[LOADINGSPEED]],LOADINGSPEEDDEF[TYPE],LOADINGSPEEDDEF[SPEED])</f>
        <v>60</v>
      </c>
      <c r="O935" cm="1">
        <f t="array" ref="O9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35">
        <f>IF(ISNUMBER(SEARCH("passenger",PROPERTIES[[#This Row],[CARGODEF]])),1,0)</f>
        <v>1</v>
      </c>
      <c r="Q935" s="23">
        <v>37.6</v>
      </c>
      <c r="R935">
        <v>540</v>
      </c>
      <c r="S935">
        <v>0</v>
      </c>
      <c r="T935">
        <v>0</v>
      </c>
      <c r="U935">
        <v>0</v>
      </c>
      <c r="V935">
        <v>110</v>
      </c>
      <c r="W935">
        <v>0</v>
      </c>
      <c r="X935">
        <v>0</v>
      </c>
      <c r="Y935">
        <v>0</v>
      </c>
      <c r="Z935" s="20">
        <v>0</v>
      </c>
      <c r="AA935" s="20">
        <f>IFERROR(PROPERTIES[[#This Row],[TE_STARTING_KN]]/(PROPERTIES[[#This Row],[WEIGHT]]*9.81),0)</f>
        <v>0</v>
      </c>
      <c r="AB935" s="20">
        <v>0.25</v>
      </c>
      <c r="AC935" s="16">
        <f>ROUND(IF(IFERROR(PROPERTIES[[#This Row],[TE_COEFFICIENT_CALC]],0)=0,PROPERTIES[[#This Row],[TE_COEFFICIENT_MANUAL]],PROPERTIES[[#This Row],[TE_COEFFICIENT_CALC]]),3)</f>
        <v>0.25</v>
      </c>
      <c r="AD935" s="27" cm="1">
        <f t="array" ref="AD9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35" s="26">
        <v>113</v>
      </c>
      <c r="AF935" s="6">
        <v>8</v>
      </c>
      <c r="AG935" t="s">
        <v>232</v>
      </c>
      <c r="AH935" t="s">
        <v>229</v>
      </c>
      <c r="AI935" t="s">
        <v>229</v>
      </c>
      <c r="AJ935" s="2" t="s">
        <v>229</v>
      </c>
      <c r="AK935" s="2" t="s">
        <v>244</v>
      </c>
      <c r="AL93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3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35" s="2" t="str">
        <f>SUBSTITUTE(SUBSTITUTE(PROPERTIES[[#This Row],[PURCHASECOST_VALUE]], "PURCHASECOST_", ""), "_VALUE", "")</f>
        <v>EMU</v>
      </c>
      <c r="AO935" s="44" t="b">
        <v>0</v>
      </c>
      <c r="AP935" s="48" t="b">
        <v>0</v>
      </c>
      <c r="AQ935" s="48" t="b">
        <v>0</v>
      </c>
      <c r="AR935" s="48">
        <v>0</v>
      </c>
      <c r="AS935" s="48" t="b">
        <v>0</v>
      </c>
      <c r="AT935" s="7" t="b">
        <v>0</v>
      </c>
      <c r="AU935" s="40" t="str" cm="1">
        <f t="array" ref="AU935">_xlfn.XLOOKUP(PROPERTIES[[#This Row],[VEHIDCODE]],GRAPHICS_PROPERTIES[VEHIDCODE],GRAPHICS_PROPERTIES[TEMPLATE_ID]&amp;GRAPHICS_PROPERTIES[TEMPLATE_AMENDMENT_CODE])</f>
        <v>TPL_02A</v>
      </c>
    </row>
    <row r="936" spans="1:47" x14ac:dyDescent="0.35">
      <c r="A936" s="2" t="s">
        <v>3367</v>
      </c>
      <c r="B936">
        <v>1938</v>
      </c>
      <c r="C936">
        <v>1981</v>
      </c>
      <c r="D936" cm="1">
        <f t="array" ref="D9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36" s="40" t="str">
        <f>_xlfn.XLOOKUP(PROPERTIES[[#This Row],[VEHIDCODE]],CONTROL[VEHIDCODE],CONTROL[ENGLISH])</f>
        <v>EEC DM EMU</v>
      </c>
      <c r="F936" t="s">
        <v>697</v>
      </c>
      <c r="G936" s="40" t="str">
        <f>_xlfn.XLOOKUP(PROPERTIES[[#This Row],[COUNTRY]],COUNTRIES[COUNTRY_DESCRIPTION],COUNTRIES[COUNTRY_LABEL],"")</f>
        <v>NZ</v>
      </c>
      <c r="H936" t="str" cm="1">
        <f t="array" ref="H9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36" t="s">
        <v>15</v>
      </c>
      <c r="J936">
        <f>124/2</f>
        <v>62</v>
      </c>
      <c r="K936">
        <v>8</v>
      </c>
      <c r="M936" t="str" cm="1">
        <f t="array" ref="M9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36">
        <f>_xlfn.XLOOKUP("LOADINGSPEEDDEF_"&amp;PROPERTIES[[#This Row],[LOADINGSPEED]],LOADINGSPEEDDEF[TYPE],LOADINGSPEEDDEF[SPEED])</f>
        <v>60</v>
      </c>
      <c r="O936" cm="1">
        <f t="array" ref="O9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36">
        <f>IF(ISNUMBER(SEARCH("passenger",PROPERTIES[[#This Row],[CARGODEF]])),1,0)</f>
        <v>1</v>
      </c>
      <c r="Q936" s="23">
        <v>43.5</v>
      </c>
      <c r="R936">
        <v>599</v>
      </c>
      <c r="S936">
        <v>0</v>
      </c>
      <c r="T936">
        <v>0</v>
      </c>
      <c r="U936">
        <v>0</v>
      </c>
      <c r="V936">
        <v>97</v>
      </c>
      <c r="W936">
        <v>0</v>
      </c>
      <c r="X936">
        <v>0</v>
      </c>
      <c r="Y936">
        <v>0</v>
      </c>
      <c r="Z936" s="20">
        <v>0</v>
      </c>
      <c r="AA936" s="20">
        <f>IFERROR(PROPERTIES[[#This Row],[TE_STARTING_KN]]/(PROPERTIES[[#This Row],[WEIGHT]]*9.81),0)</f>
        <v>0</v>
      </c>
      <c r="AB936" s="20">
        <v>0.25</v>
      </c>
      <c r="AC936" s="16">
        <f>ROUND(IF(IFERROR(PROPERTIES[[#This Row],[TE_COEFFICIENT_CALC]],0)=0,PROPERTIES[[#This Row],[TE_COEFFICIENT_MANUAL]],PROPERTIES[[#This Row],[TE_COEFFICIENT_CALC]]),3)</f>
        <v>0.25</v>
      </c>
      <c r="AD936" s="27" cm="1">
        <f t="array" ref="AD9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936" s="26">
        <v>62</v>
      </c>
      <c r="AF936" s="6">
        <v>8</v>
      </c>
      <c r="AG936" t="s">
        <v>232</v>
      </c>
      <c r="AH936" t="s">
        <v>229</v>
      </c>
      <c r="AI936" t="s">
        <v>229</v>
      </c>
      <c r="AJ936" s="2" t="s">
        <v>229</v>
      </c>
      <c r="AK936" s="2" t="s">
        <v>244</v>
      </c>
      <c r="AL93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3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36" s="2" t="str">
        <f>SUBSTITUTE(SUBSTITUTE(PROPERTIES[[#This Row],[PURCHASECOST_VALUE]], "PURCHASECOST_", ""), "_VALUE", "")</f>
        <v>EMU</v>
      </c>
      <c r="AO936" s="44" t="b">
        <v>0</v>
      </c>
      <c r="AP936" s="48" t="b">
        <v>0</v>
      </c>
      <c r="AQ936" s="48" t="b">
        <v>0</v>
      </c>
      <c r="AR936" s="48">
        <v>0</v>
      </c>
      <c r="AS936" s="48" t="b">
        <v>0</v>
      </c>
      <c r="AT936" s="7" t="b">
        <v>0</v>
      </c>
      <c r="AU936" s="40" t="str" cm="1">
        <f t="array" ref="AU936">_xlfn.XLOOKUP(PROPERTIES[[#This Row],[VEHIDCODE]],GRAPHICS_PROPERTIES[VEHIDCODE],GRAPHICS_PROPERTIES[TEMPLATE_ID]&amp;GRAPHICS_PROPERTIES[TEMPLATE_AMENDMENT_CODE])</f>
        <v>TPL_02A</v>
      </c>
    </row>
    <row r="937" spans="1:47" x14ac:dyDescent="0.35">
      <c r="A937" s="2" t="s">
        <v>3368</v>
      </c>
      <c r="B937">
        <v>2010</v>
      </c>
      <c r="D937" cm="1">
        <f t="array" ref="D9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37" s="40" t="str">
        <f>_xlfn.XLOOKUP(PROPERTIES[[#This Row],[VEHIDCODE]],CONTROL[VEHIDCODE],CONTROL[ENGLISH])</f>
        <v>Hyundai Rotem/Mitsui 'Matangi'</v>
      </c>
      <c r="F937" t="s">
        <v>697</v>
      </c>
      <c r="G937" s="40" t="str">
        <f>_xlfn.XLOOKUP(PROPERTIES[[#This Row],[COUNTRY]],COUNTRIES[COUNTRY_DESCRIPTION],COUNTRIES[COUNTRY_LABEL],"")</f>
        <v>NZ</v>
      </c>
      <c r="H937" t="str" cm="1">
        <f t="array" ref="H9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37" t="s">
        <v>15</v>
      </c>
      <c r="J937">
        <f>INT((147+230)/2)</f>
        <v>188</v>
      </c>
      <c r="K937">
        <v>8</v>
      </c>
      <c r="M937" t="str" cm="1">
        <f t="array" ref="M9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37">
        <f>_xlfn.XLOOKUP("LOADINGSPEEDDEF_"&amp;PROPERTIES[[#This Row],[LOADINGSPEED]],LOADINGSPEEDDEF[TYPE],LOADINGSPEEDDEF[SPEED])</f>
        <v>60</v>
      </c>
      <c r="O937" t="str" cm="1">
        <f t="array" ref="O9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37">
        <f>IF(ISNUMBER(SEARCH("passenger",PROPERTIES[[#This Row],[CARGODEF]])),1,0)</f>
        <v>1</v>
      </c>
      <c r="Q937" s="23">
        <v>38</v>
      </c>
      <c r="R937">
        <v>910</v>
      </c>
      <c r="S937">
        <v>0</v>
      </c>
      <c r="T937">
        <v>0</v>
      </c>
      <c r="U937">
        <v>0</v>
      </c>
      <c r="V937">
        <v>120</v>
      </c>
      <c r="W937">
        <v>0</v>
      </c>
      <c r="X937">
        <v>0</v>
      </c>
      <c r="Y937">
        <v>0</v>
      </c>
      <c r="Z937" s="20">
        <v>0</v>
      </c>
      <c r="AA937" s="20">
        <f>IFERROR(PROPERTIES[[#This Row],[TE_STARTING_KN]]/(PROPERTIES[[#This Row],[WEIGHT]]*9.81),0)</f>
        <v>0</v>
      </c>
      <c r="AB937" s="20">
        <v>0.3</v>
      </c>
      <c r="AC937" s="16">
        <f>ROUND(IF(IFERROR(PROPERTIES[[#This Row],[TE_COEFFICIENT_CALC]],0)=0,PROPERTIES[[#This Row],[TE_COEFFICIENT_MANUAL]],PROPERTIES[[#This Row],[TE_COEFFICIENT_CALC]]),3)</f>
        <v>0.3</v>
      </c>
      <c r="AD937" s="27" cm="1">
        <f t="array" ref="AD9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37" s="26">
        <v>188</v>
      </c>
      <c r="AF937" s="6">
        <v>8</v>
      </c>
      <c r="AG937" t="s">
        <v>232</v>
      </c>
      <c r="AH937" t="s">
        <v>229</v>
      </c>
      <c r="AI937" t="s">
        <v>229</v>
      </c>
      <c r="AJ937" s="2" t="s">
        <v>229</v>
      </c>
      <c r="AK937" s="2" t="s">
        <v>244</v>
      </c>
      <c r="AL93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3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37" s="2" t="str">
        <f>SUBSTITUTE(SUBSTITUTE(PROPERTIES[[#This Row],[PURCHASECOST_VALUE]], "PURCHASECOST_", ""), "_VALUE", "")</f>
        <v>EMU</v>
      </c>
      <c r="AO937" s="44" t="b">
        <v>0</v>
      </c>
      <c r="AP937" s="48" t="b">
        <v>0</v>
      </c>
      <c r="AQ937" s="48" t="b">
        <v>0</v>
      </c>
      <c r="AR937" s="48">
        <v>0</v>
      </c>
      <c r="AS937" s="48" t="b">
        <v>0</v>
      </c>
      <c r="AT937" s="7" t="b">
        <v>0</v>
      </c>
      <c r="AU937" s="40" t="str" cm="1">
        <f t="array" ref="AU937">_xlfn.XLOOKUP(PROPERTIES[[#This Row],[VEHIDCODE]],GRAPHICS_PROPERTIES[VEHIDCODE],GRAPHICS_PROPERTIES[TEMPLATE_ID]&amp;GRAPHICS_PROPERTIES[TEMPLATE_AMENDMENT_CODE])</f>
        <v>TPL_02A</v>
      </c>
    </row>
    <row r="938" spans="1:47" x14ac:dyDescent="0.35">
      <c r="A938" s="2" t="s">
        <v>3369</v>
      </c>
      <c r="B938">
        <v>1990</v>
      </c>
      <c r="C938">
        <v>1995</v>
      </c>
      <c r="D938" cm="1">
        <f t="array" ref="D9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38" s="40" t="str">
        <f>_xlfn.XLOOKUP(PROPERTIES[[#This Row],[VEHIDCODE]],CONTROL[VEHIDCODE],CONTROL[ENGLISH])</f>
        <v>Ganz Hunslet Budapest G2</v>
      </c>
      <c r="F938" t="s">
        <v>626</v>
      </c>
      <c r="G938" s="40" t="str">
        <f>_xlfn.XLOOKUP(PROPERTIES[[#This Row],[COUNTRY]],COUNTRIES[COUNTRY_DESCRIPTION],COUNTRIES[COUNTRY_LABEL],"")</f>
        <v>HU</v>
      </c>
      <c r="H938" t="str" cm="1">
        <f t="array" ref="H9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938" t="s">
        <v>22</v>
      </c>
      <c r="J938">
        <v>132</v>
      </c>
      <c r="K938">
        <v>8</v>
      </c>
      <c r="M938" t="str" cm="1">
        <f t="array" ref="M9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938">
        <f>_xlfn.XLOOKUP("LOADINGSPEEDDEF_"&amp;PROPERTIES[[#This Row],[LOADINGSPEED]],LOADINGSPEEDDEF[TYPE],LOADINGSPEEDDEF[SPEED])</f>
        <v>120</v>
      </c>
      <c r="O938" t="str" cm="1">
        <f t="array" ref="O9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38">
        <f>IF(ISNUMBER(SEARCH("passenger",PROPERTIES[[#This Row],[CARGODEF]])),1,0)</f>
        <v>1</v>
      </c>
      <c r="Q938" s="23">
        <v>32.5</v>
      </c>
      <c r="R938">
        <f>250*1.3*8</f>
        <v>2600</v>
      </c>
      <c r="S938">
        <v>0</v>
      </c>
      <c r="T938">
        <v>0</v>
      </c>
      <c r="U938">
        <v>0</v>
      </c>
      <c r="V938">
        <v>90</v>
      </c>
      <c r="W938">
        <v>0</v>
      </c>
      <c r="X938">
        <v>0</v>
      </c>
      <c r="Y938">
        <v>0</v>
      </c>
      <c r="Z938" s="20">
        <v>0</v>
      </c>
      <c r="AA938" s="19">
        <f>IFERROR(PROPERTIES[[#This Row],[TE_STARTING_KN]]/(PROPERTIES[[#This Row],[WEIGHT]]*9.81),0)</f>
        <v>0</v>
      </c>
      <c r="AB938" s="19">
        <v>0.25</v>
      </c>
      <c r="AC938" s="16">
        <f>ROUND(IF(IFERROR(PROPERTIES[[#This Row],[TE_COEFFICIENT_CALC]],0)=0,PROPERTIES[[#This Row],[TE_COEFFICIENT_MANUAL]],PROPERTIES[[#This Row],[TE_COEFFICIENT_CALC]]),3)</f>
        <v>0.25</v>
      </c>
      <c r="AD938" s="8" cm="1">
        <f t="array" ref="AD9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938" s="26">
        <v>150</v>
      </c>
      <c r="AF938" s="6">
        <v>8</v>
      </c>
      <c r="AG938" t="s">
        <v>236</v>
      </c>
      <c r="AH938" t="s">
        <v>229</v>
      </c>
      <c r="AI938" t="s">
        <v>229</v>
      </c>
      <c r="AJ938" s="2" t="s">
        <v>229</v>
      </c>
      <c r="AK938" s="2" t="s">
        <v>244</v>
      </c>
      <c r="AL93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93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938" s="2" t="str">
        <f>SUBSTITUTE(SUBSTITUTE(PROPERTIES[[#This Row],[PURCHASECOST_VALUE]], "PURCHASECOST_", ""), "_VALUE", "")</f>
        <v>METRO</v>
      </c>
      <c r="AO938" s="44" t="b">
        <v>0</v>
      </c>
      <c r="AP938" s="48" t="b">
        <v>0</v>
      </c>
      <c r="AQ938" s="48" t="b">
        <v>0</v>
      </c>
      <c r="AR938" s="48">
        <v>0</v>
      </c>
      <c r="AS938" s="48" t="b">
        <v>0</v>
      </c>
      <c r="AT938" s="7" t="b">
        <v>0</v>
      </c>
      <c r="AU938" s="40" t="str" cm="1">
        <f t="array" ref="AU938">_xlfn.XLOOKUP(PROPERTIES[[#This Row],[VEHIDCODE]],GRAPHICS_PROPERTIES[VEHIDCODE],GRAPHICS_PROPERTIES[TEMPLATE_ID]&amp;GRAPHICS_PROPERTIES[TEMPLATE_AMENDMENT_CODE])</f>
        <v>TPL_02C</v>
      </c>
    </row>
    <row r="939" spans="1:47" x14ac:dyDescent="0.35">
      <c r="A939" s="2" t="s">
        <v>3370</v>
      </c>
      <c r="B939">
        <v>1954</v>
      </c>
      <c r="C939">
        <v>1987</v>
      </c>
      <c r="D939" cm="1">
        <f t="array" ref="D9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9" s="40" t="str">
        <f>_xlfn.XLOOKUP(PROPERTIES[[#This Row],[VEHIDCODE]],CONTROL[VEHIDCODE],CONTROL[ENGLISH])</f>
        <v>BRC&amp;W NSU Class</v>
      </c>
      <c r="F939" t="s">
        <v>541</v>
      </c>
      <c r="G939" s="40" t="str">
        <f>_xlfn.XLOOKUP(PROPERTIES[[#This Row],[COUNTRY]],COUNTRIES[COUNTRY_DESCRIPTION],COUNTRIES[COUNTRY_LABEL],"")</f>
        <v>AU</v>
      </c>
      <c r="H939" t="str" cm="1">
        <f t="array" ref="H9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39" t="s">
        <v>17</v>
      </c>
      <c r="J939">
        <v>0</v>
      </c>
      <c r="K939">
        <v>6</v>
      </c>
      <c r="L939">
        <v>0</v>
      </c>
      <c r="M939" t="str" cm="1">
        <f t="array" ref="M9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39">
        <f>_xlfn.XLOOKUP("LOADINGSPEEDDEF_"&amp;PROPERTIES[[#This Row],[LOADINGSPEED]],LOADINGSPEEDDEF[TYPE],LOADINGSPEEDDEF[SPEED])</f>
        <v>20</v>
      </c>
      <c r="O939" cm="1">
        <f t="array" ref="O9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39">
        <f>IF(ISNUMBER(SEARCH("passenger",PROPERTIES[[#This Row],[CARGODEF]])),1,0)</f>
        <v>0</v>
      </c>
      <c r="Q939" s="23">
        <v>60</v>
      </c>
      <c r="R939">
        <v>840</v>
      </c>
      <c r="S939">
        <v>0</v>
      </c>
      <c r="T939">
        <v>0</v>
      </c>
      <c r="U939">
        <v>0</v>
      </c>
      <c r="V939">
        <v>80</v>
      </c>
      <c r="W939">
        <v>0</v>
      </c>
      <c r="X939">
        <v>0</v>
      </c>
      <c r="Y939">
        <v>0</v>
      </c>
      <c r="Z939" s="20">
        <v>0</v>
      </c>
      <c r="AA939" s="20">
        <f>IFERROR(PROPERTIES[[#This Row],[TE_STARTING_KN]]/(PROPERTIES[[#This Row],[WEIGHT]]*9.81),0)</f>
        <v>0</v>
      </c>
      <c r="AB939" s="20">
        <v>0.3</v>
      </c>
      <c r="AC939" s="16">
        <f>ROUND(IF(IFERROR(PROPERTIES[[#This Row],[TE_COEFFICIENT_CALC]],0)=0,PROPERTIES[[#This Row],[TE_COEFFICIENT_MANUAL]],PROPERTIES[[#This Row],[TE_COEFFICIENT_CALC]]),3)</f>
        <v>0.3</v>
      </c>
      <c r="AD939" s="27" cm="1">
        <f t="array" ref="AD9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39" s="26">
        <v>0</v>
      </c>
      <c r="AF939" s="6">
        <v>0</v>
      </c>
      <c r="AG939" t="s">
        <v>232</v>
      </c>
      <c r="AH939" t="s">
        <v>229</v>
      </c>
      <c r="AI939" t="s">
        <v>229</v>
      </c>
      <c r="AJ939" s="2" t="s">
        <v>229</v>
      </c>
      <c r="AK939" s="2" t="s">
        <v>244</v>
      </c>
      <c r="AL93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3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39" s="2" t="str">
        <f>SUBSTITUTE(SUBSTITUTE(PROPERTIES[[#This Row],[PURCHASECOST_VALUE]], "PURCHASECOST_", ""), "_VALUE", "")</f>
        <v>DIESELENGINE</v>
      </c>
      <c r="AO939" s="44" t="b">
        <v>0</v>
      </c>
      <c r="AP939" s="48" t="b">
        <v>0</v>
      </c>
      <c r="AQ939" s="48" t="b">
        <v>0</v>
      </c>
      <c r="AR939" s="48">
        <v>0</v>
      </c>
      <c r="AS939" s="48" t="b">
        <v>0</v>
      </c>
      <c r="AT939" s="7" t="b">
        <v>0</v>
      </c>
      <c r="AU939" s="40" t="str" cm="1">
        <f t="array" ref="AU939">_xlfn.XLOOKUP(PROPERTIES[[#This Row],[VEHIDCODE]],GRAPHICS_PROPERTIES[VEHIDCODE],GRAPHICS_PROPERTIES[TEMPLATE_ID]&amp;GRAPHICS_PROPERTIES[TEMPLATE_AMENDMENT_CODE])</f>
        <v>TPL_01A</v>
      </c>
    </row>
    <row r="940" spans="1:47" x14ac:dyDescent="0.35">
      <c r="A940" s="2" t="s">
        <v>3371</v>
      </c>
      <c r="B940">
        <v>2001</v>
      </c>
      <c r="D940" cm="1">
        <f t="array" ref="D9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40" s="40" t="str">
        <f>_xlfn.XLOOKUP(PROPERTIES[[#This Row],[VEHIDCODE]],CONTROL[VEHIDCODE],CONTROL[ENGLISH])</f>
        <v>Itochu/Kinki/Kawasaki SP1900</v>
      </c>
      <c r="F940" t="s">
        <v>621</v>
      </c>
      <c r="G940" s="40" t="str">
        <f>_xlfn.XLOOKUP(PROPERTIES[[#This Row],[COUNTRY]],COUNTRIES[COUNTRY_DESCRIPTION],COUNTRIES[COUNTRY_LABEL],"")</f>
        <v>HK</v>
      </c>
      <c r="H940" t="str" cm="1">
        <f t="array" ref="H9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40" t="s">
        <v>22</v>
      </c>
      <c r="J940">
        <v>250</v>
      </c>
      <c r="K940">
        <v>8</v>
      </c>
      <c r="M940" t="str" cm="1">
        <f t="array" ref="M9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40">
        <f>_xlfn.XLOOKUP("LOADINGSPEEDDEF_"&amp;PROPERTIES[[#This Row],[LOADINGSPEED]],LOADINGSPEEDDEF[TYPE],LOADINGSPEEDDEF[SPEED])</f>
        <v>60</v>
      </c>
      <c r="O940" t="str" cm="1">
        <f t="array" ref="O9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0">
        <f>IF(ISNUMBER(SEARCH("passenger",PROPERTIES[[#This Row],[CARGODEF]])),1,0)</f>
        <v>1</v>
      </c>
      <c r="Q940" s="23">
        <v>37</v>
      </c>
      <c r="R940">
        <v>5149</v>
      </c>
      <c r="S940">
        <v>0</v>
      </c>
      <c r="T940">
        <v>0</v>
      </c>
      <c r="U940">
        <v>0</v>
      </c>
      <c r="V940">
        <v>130</v>
      </c>
      <c r="W940">
        <v>0</v>
      </c>
      <c r="X940">
        <v>0</v>
      </c>
      <c r="Y940">
        <v>0</v>
      </c>
      <c r="Z940" s="20">
        <v>0</v>
      </c>
      <c r="AA940" s="20">
        <f>IFERROR(PROPERTIES[[#This Row],[TE_STARTING_KN]]/(PROPERTIES[[#This Row],[WEIGHT]]*9.81),0)</f>
        <v>0</v>
      </c>
      <c r="AB940" s="20">
        <v>0.3</v>
      </c>
      <c r="AC940" s="16">
        <f>ROUND(IF(IFERROR(PROPERTIES[[#This Row],[TE_COEFFICIENT_CALC]],0)=0,PROPERTIES[[#This Row],[TE_COEFFICIENT_MANUAL]],PROPERTIES[[#This Row],[TE_COEFFICIENT_CALC]]),3)</f>
        <v>0.3</v>
      </c>
      <c r="AD940" s="27" cm="1">
        <f t="array" ref="AD9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40" s="26">
        <v>250</v>
      </c>
      <c r="AF940" s="6">
        <v>8</v>
      </c>
      <c r="AG940" t="s">
        <v>238</v>
      </c>
      <c r="AH940" t="s">
        <v>229</v>
      </c>
      <c r="AI940" t="s">
        <v>229</v>
      </c>
      <c r="AJ940" s="2" t="s">
        <v>229</v>
      </c>
      <c r="AK940" s="2" t="s">
        <v>244</v>
      </c>
      <c r="AL94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4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40" s="2" t="str">
        <f>SUBSTITUTE(SUBSTITUTE(PROPERTIES[[#This Row],[PURCHASECOST_VALUE]], "PURCHASECOST_", ""), "_VALUE", "")</f>
        <v>EMU</v>
      </c>
      <c r="AO940" s="44" t="b">
        <v>0</v>
      </c>
      <c r="AP940" s="48" t="b">
        <v>0</v>
      </c>
      <c r="AQ940" s="48" t="b">
        <v>0</v>
      </c>
      <c r="AR940" s="48">
        <v>0</v>
      </c>
      <c r="AS940" s="48" t="b">
        <v>0</v>
      </c>
      <c r="AT940" s="7" t="b">
        <v>0</v>
      </c>
      <c r="AU940" s="40" t="str" cm="1">
        <f t="array" ref="AU940">_xlfn.XLOOKUP(PROPERTIES[[#This Row],[VEHIDCODE]],GRAPHICS_PROPERTIES[VEHIDCODE],GRAPHICS_PROPERTIES[TEMPLATE_ID]&amp;GRAPHICS_PROPERTIES[TEMPLATE_AMENDMENT_CODE])</f>
        <v>TPL_02D</v>
      </c>
    </row>
    <row r="941" spans="1:47" x14ac:dyDescent="0.35">
      <c r="A941" t="s">
        <v>3372</v>
      </c>
      <c r="B941">
        <v>2007</v>
      </c>
      <c r="D941" cm="1">
        <f t="array" ref="D9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1" s="40" t="str">
        <f>_xlfn.XLOOKUP(PROPERTIES[[#This Row],[VEHIDCODE]],CONTROL[VEHIDCODE],CONTROL[ENGLISH])</f>
        <v>Alstom/CRRC Datong HXD2</v>
      </c>
      <c r="F941" t="s">
        <v>575</v>
      </c>
      <c r="G941" s="40" t="str">
        <f>_xlfn.XLOOKUP(PROPERTIES[[#This Row],[COUNTRY]],COUNTRIES[COUNTRY_DESCRIPTION],COUNTRIES[COUNTRY_LABEL],"")</f>
        <v>CN</v>
      </c>
      <c r="H941" t="str" cm="1">
        <f t="array" ref="H9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41" t="s">
        <v>17</v>
      </c>
      <c r="J941">
        <v>0</v>
      </c>
      <c r="K941">
        <v>7</v>
      </c>
      <c r="L941">
        <v>0</v>
      </c>
      <c r="M941" t="str" cm="1">
        <f t="array" ref="M9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1">
        <f>_xlfn.XLOOKUP("LOADINGSPEEDDEF_"&amp;PROPERTIES[[#This Row],[LOADINGSPEED]],LOADINGSPEEDDEF[TYPE],LOADINGSPEEDDEF[SPEED])</f>
        <v>20</v>
      </c>
      <c r="O941" t="str" cm="1">
        <f t="array" ref="O9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1">
        <f>IF(ISNUMBER(SEARCH("passenger",PROPERTIES[[#This Row],[CARGODEF]])),1,0)</f>
        <v>0</v>
      </c>
      <c r="Q941" s="23">
        <v>200</v>
      </c>
      <c r="R941">
        <v>13000</v>
      </c>
      <c r="S941">
        <v>0</v>
      </c>
      <c r="T941">
        <v>0</v>
      </c>
      <c r="U941">
        <v>0</v>
      </c>
      <c r="V941">
        <v>120</v>
      </c>
      <c r="W941">
        <v>0</v>
      </c>
      <c r="X941">
        <v>0</v>
      </c>
      <c r="Y941">
        <v>0</v>
      </c>
      <c r="Z941" s="20">
        <v>760</v>
      </c>
      <c r="AA941" s="19">
        <f>IFERROR(PROPERTIES[[#This Row],[TE_STARTING_KN]]/(PROPERTIES[[#This Row],[WEIGHT]]*9.81),0)</f>
        <v>0.3873598369011213</v>
      </c>
      <c r="AB941" s="19">
        <v>0</v>
      </c>
      <c r="AC941" s="16">
        <f>ROUND(IF(IFERROR(PROPERTIES[[#This Row],[TE_COEFFICIENT_CALC]],0)=0,PROPERTIES[[#This Row],[TE_COEFFICIENT_MANUAL]],PROPERTIES[[#This Row],[TE_COEFFICIENT_CALC]]),3)</f>
        <v>0.38700000000000001</v>
      </c>
      <c r="AD941" s="8" cm="1">
        <f t="array" ref="AD9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41" s="26">
        <v>0</v>
      </c>
      <c r="AF941" s="6">
        <v>0</v>
      </c>
      <c r="AG941" t="s">
        <v>238</v>
      </c>
      <c r="AH941" t="s">
        <v>229</v>
      </c>
      <c r="AI941" t="s">
        <v>229</v>
      </c>
      <c r="AJ941" s="2" t="s">
        <v>229</v>
      </c>
      <c r="AK941" s="2" t="s">
        <v>244</v>
      </c>
      <c r="AL94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4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41" s="2" t="str">
        <f>SUBSTITUTE(SUBSTITUTE(PROPERTIES[[#This Row],[PURCHASECOST_VALUE]], "PURCHASECOST_", ""), "_VALUE", "")</f>
        <v>ELECTRICENGINE</v>
      </c>
      <c r="AO941" s="44" t="b">
        <v>0</v>
      </c>
      <c r="AP941" s="48" t="b">
        <v>0</v>
      </c>
      <c r="AQ941" s="48" t="b">
        <v>0</v>
      </c>
      <c r="AR941" s="48">
        <v>0</v>
      </c>
      <c r="AS941" s="48" t="b">
        <v>0</v>
      </c>
      <c r="AT941" s="7" t="b">
        <v>0</v>
      </c>
      <c r="AU941" s="40" t="str" cm="1">
        <f t="array" ref="AU941">_xlfn.XLOOKUP(PROPERTIES[[#This Row],[VEHIDCODE]],GRAPHICS_PROPERTIES[VEHIDCODE],GRAPHICS_PROPERTIES[TEMPLATE_ID]&amp;GRAPHICS_PROPERTIES[TEMPLATE_AMENDMENT_CODE])</f>
        <v>TPL_03D</v>
      </c>
    </row>
    <row r="942" spans="1:47" x14ac:dyDescent="0.35">
      <c r="A942" t="s">
        <v>3373</v>
      </c>
      <c r="B942">
        <v>1992</v>
      </c>
      <c r="D942" cm="1">
        <f t="array" ref="D9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2" s="40" t="str">
        <f>_xlfn.XLOOKUP(PROPERTIES[[#This Row],[VEHIDCODE]],CONTROL[VEHIDCODE],CONTROL[ENGLISH])</f>
        <v>CRRC Qishuyan DF11</v>
      </c>
      <c r="F942" t="s">
        <v>575</v>
      </c>
      <c r="G942" s="40" t="str">
        <f>_xlfn.XLOOKUP(PROPERTIES[[#This Row],[COUNTRY]],COUNTRIES[COUNTRY_DESCRIPTION],COUNTRIES[COUNTRY_LABEL],"")</f>
        <v>CN</v>
      </c>
      <c r="H942" t="str" cm="1">
        <f t="array" ref="H9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42" t="s">
        <v>17</v>
      </c>
      <c r="J942">
        <v>0</v>
      </c>
      <c r="K942">
        <v>8</v>
      </c>
      <c r="L942">
        <v>0</v>
      </c>
      <c r="M942" t="str" cm="1">
        <f t="array" ref="M9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2">
        <f>_xlfn.XLOOKUP("LOADINGSPEEDDEF_"&amp;PROPERTIES[[#This Row],[LOADINGSPEED]],LOADINGSPEEDDEF[TYPE],LOADINGSPEEDDEF[SPEED])</f>
        <v>20</v>
      </c>
      <c r="O942" t="str" cm="1">
        <f t="array" ref="O9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2">
        <f>IF(ISNUMBER(SEARCH("passenger",PROPERTIES[[#This Row],[CARGODEF]])),1,0)</f>
        <v>0</v>
      </c>
      <c r="Q942" s="23">
        <v>138</v>
      </c>
      <c r="R942">
        <v>4840</v>
      </c>
      <c r="S942">
        <v>0</v>
      </c>
      <c r="T942">
        <v>0</v>
      </c>
      <c r="U942">
        <v>0</v>
      </c>
      <c r="V942">
        <v>170</v>
      </c>
      <c r="W942">
        <v>0</v>
      </c>
      <c r="X942">
        <v>0</v>
      </c>
      <c r="Y942">
        <v>0</v>
      </c>
      <c r="Z942" s="20">
        <v>245</v>
      </c>
      <c r="AA942" s="20">
        <f>IFERROR(PROPERTIES[[#This Row],[TE_STARTING_KN]]/(PROPERTIES[[#This Row],[WEIGHT]]*9.81),0)</f>
        <v>0.18097475217539039</v>
      </c>
      <c r="AB942" s="20">
        <v>0</v>
      </c>
      <c r="AC942" s="16">
        <f>ROUND(IF(IFERROR(PROPERTIES[[#This Row],[TE_COEFFICIENT_CALC]],0)=0,PROPERTIES[[#This Row],[TE_COEFFICIENT_MANUAL]],PROPERTIES[[#This Row],[TE_COEFFICIENT_CALC]]),3)</f>
        <v>0.18099999999999999</v>
      </c>
      <c r="AD942" s="27" cm="1">
        <f t="array" ref="AD9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42" s="26">
        <v>0</v>
      </c>
      <c r="AF942" s="6">
        <v>0</v>
      </c>
      <c r="AG942" t="s">
        <v>238</v>
      </c>
      <c r="AH942" t="s">
        <v>229</v>
      </c>
      <c r="AI942" t="s">
        <v>229</v>
      </c>
      <c r="AJ942" s="2" t="s">
        <v>229</v>
      </c>
      <c r="AK942" s="2" t="s">
        <v>244</v>
      </c>
      <c r="AL94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4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42" s="2" t="str">
        <f>SUBSTITUTE(SUBSTITUTE(PROPERTIES[[#This Row],[PURCHASECOST_VALUE]], "PURCHASECOST_", ""), "_VALUE", "")</f>
        <v>DIESELENGINE</v>
      </c>
      <c r="AO942" s="44" t="b">
        <v>0</v>
      </c>
      <c r="AP942" s="48" t="b">
        <v>0</v>
      </c>
      <c r="AQ942" s="48" t="b">
        <v>0</v>
      </c>
      <c r="AR942" s="48">
        <v>0</v>
      </c>
      <c r="AS942" s="48" t="b">
        <v>0</v>
      </c>
      <c r="AT942" s="7" t="b">
        <v>0</v>
      </c>
      <c r="AU942" s="40" t="str" cm="1">
        <f t="array" ref="AU942">_xlfn.XLOOKUP(PROPERTIES[[#This Row],[VEHIDCODE]],GRAPHICS_PROPERTIES[VEHIDCODE],GRAPHICS_PROPERTIES[TEMPLATE_ID]&amp;GRAPHICS_PROPERTIES[TEMPLATE_AMENDMENT_CODE])</f>
        <v>TPL_01A</v>
      </c>
    </row>
    <row r="943" spans="1:47" x14ac:dyDescent="0.35">
      <c r="A943" s="2" t="s">
        <v>3374</v>
      </c>
      <c r="B943">
        <v>1994</v>
      </c>
      <c r="D943" cm="1">
        <f t="array" ref="D9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3" s="40" t="str">
        <f>_xlfn.XLOOKUP(PROPERTIES[[#This Row],[VEHIDCODE]],CONTROL[VEHIDCODE],CONTROL[ENGLISH])</f>
        <v>Zhuzhou SS8</v>
      </c>
      <c r="F943" t="s">
        <v>575</v>
      </c>
      <c r="G943" s="40" t="str">
        <f>_xlfn.XLOOKUP(PROPERTIES[[#This Row],[COUNTRY]],COUNTRIES[COUNTRY_DESCRIPTION],COUNTRIES[COUNTRY_LABEL],"")</f>
        <v>CN</v>
      </c>
      <c r="H943" t="str" cm="1">
        <f t="array" ref="H9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43" t="s">
        <v>17</v>
      </c>
      <c r="J943">
        <v>0</v>
      </c>
      <c r="K943">
        <v>7</v>
      </c>
      <c r="L943">
        <v>0</v>
      </c>
      <c r="M943" t="str" cm="1">
        <f t="array" ref="M9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3">
        <f>_xlfn.XLOOKUP("LOADINGSPEEDDEF_"&amp;PROPERTIES[[#This Row],[LOADINGSPEED]],LOADINGSPEEDDEF[TYPE],LOADINGSPEEDDEF[SPEED])</f>
        <v>20</v>
      </c>
      <c r="O943" t="str" cm="1">
        <f t="array" ref="O9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3">
        <f>IF(ISNUMBER(SEARCH("passenger",PROPERTIES[[#This Row],[CARGODEF]])),1,0)</f>
        <v>0</v>
      </c>
      <c r="Q943" s="23">
        <v>88</v>
      </c>
      <c r="R943">
        <v>4830</v>
      </c>
      <c r="S943">
        <v>0</v>
      </c>
      <c r="T943">
        <v>0</v>
      </c>
      <c r="U943">
        <v>0</v>
      </c>
      <c r="V943">
        <v>170</v>
      </c>
      <c r="W943">
        <v>0</v>
      </c>
      <c r="X943">
        <v>0</v>
      </c>
      <c r="Y943">
        <v>0</v>
      </c>
      <c r="Z943" s="20">
        <v>208</v>
      </c>
      <c r="AA943" s="20">
        <f>IFERROR(PROPERTIES[[#This Row],[TE_STARTING_KN]]/(PROPERTIES[[#This Row],[WEIGHT]]*9.81),0)</f>
        <v>0.24094152534519506</v>
      </c>
      <c r="AB943" s="20">
        <v>0</v>
      </c>
      <c r="AC943" s="16">
        <f>ROUND(IF(IFERROR(PROPERTIES[[#This Row],[TE_COEFFICIENT_CALC]],0)=0,PROPERTIES[[#This Row],[TE_COEFFICIENT_MANUAL]],PROPERTIES[[#This Row],[TE_COEFFICIENT_CALC]]),3)</f>
        <v>0.24099999999999999</v>
      </c>
      <c r="AD943" s="27" cm="1">
        <f t="array" ref="AD9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43" s="26">
        <v>0</v>
      </c>
      <c r="AF943" s="6">
        <v>0</v>
      </c>
      <c r="AG943" t="s">
        <v>238</v>
      </c>
      <c r="AH943" t="s">
        <v>229</v>
      </c>
      <c r="AI943" t="s">
        <v>229</v>
      </c>
      <c r="AJ943" s="2" t="s">
        <v>229</v>
      </c>
      <c r="AK943" s="2" t="s">
        <v>244</v>
      </c>
      <c r="AL94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4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43" s="2" t="str">
        <f>SUBSTITUTE(SUBSTITUTE(PROPERTIES[[#This Row],[PURCHASECOST_VALUE]], "PURCHASECOST_", ""), "_VALUE", "")</f>
        <v>ELECTRICENGINE</v>
      </c>
      <c r="AO943" s="44" t="b">
        <v>0</v>
      </c>
      <c r="AP943" s="48" t="b">
        <v>0</v>
      </c>
      <c r="AQ943" s="48" t="b">
        <v>0</v>
      </c>
      <c r="AR943" s="48">
        <v>0</v>
      </c>
      <c r="AS943" s="48" t="b">
        <v>0</v>
      </c>
      <c r="AT943" s="7" t="b">
        <v>0</v>
      </c>
      <c r="AU943" s="40" t="str" cm="1">
        <f t="array" ref="AU943">_xlfn.XLOOKUP(PROPERTIES[[#This Row],[VEHIDCODE]],GRAPHICS_PROPERTIES[VEHIDCODE],GRAPHICS_PROPERTIES[TEMPLATE_ID]&amp;GRAPHICS_PROPERTIES[TEMPLATE_AMENDMENT_CODE])</f>
        <v>TPL_01A</v>
      </c>
    </row>
    <row r="944" spans="1:47" x14ac:dyDescent="0.35">
      <c r="A944" s="2" t="s">
        <v>3375</v>
      </c>
      <c r="B944">
        <v>2007</v>
      </c>
      <c r="D944" cm="1">
        <f t="array" ref="D9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4" s="40" t="str">
        <f>_xlfn.XLOOKUP(PROPERTIES[[#This Row],[VEHIDCODE]],CONTROL[VEHIDCODE],CONTROL[ENGLISH])</f>
        <v>Alstom/CRRC Datong HXD2B</v>
      </c>
      <c r="F944" t="s">
        <v>575</v>
      </c>
      <c r="G944" s="40" t="str">
        <f>_xlfn.XLOOKUP(PROPERTIES[[#This Row],[COUNTRY]],COUNTRIES[COUNTRY_DESCRIPTION],COUNTRIES[COUNTRY_LABEL],"")</f>
        <v>CN</v>
      </c>
      <c r="H944" t="str" cm="1">
        <f t="array" ref="H9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44" t="s">
        <v>17</v>
      </c>
      <c r="J944">
        <v>0</v>
      </c>
      <c r="K944">
        <v>8</v>
      </c>
      <c r="L944">
        <v>0</v>
      </c>
      <c r="M944" t="str" cm="1">
        <f t="array" ref="M9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4">
        <f>_xlfn.XLOOKUP("LOADINGSPEEDDEF_"&amp;PROPERTIES[[#This Row],[LOADINGSPEED]],LOADINGSPEEDDEF[TYPE],LOADINGSPEEDDEF[SPEED])</f>
        <v>20</v>
      </c>
      <c r="O944" t="str" cm="1">
        <f t="array" ref="O9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4">
        <f>IF(ISNUMBER(SEARCH("passenger",PROPERTIES[[#This Row],[CARGODEF]])),1,0)</f>
        <v>0</v>
      </c>
      <c r="Q944" s="23">
        <v>150</v>
      </c>
      <c r="R944">
        <v>12900</v>
      </c>
      <c r="S944">
        <v>0</v>
      </c>
      <c r="T944">
        <v>0</v>
      </c>
      <c r="U944">
        <v>0</v>
      </c>
      <c r="V944">
        <v>120</v>
      </c>
      <c r="W944">
        <v>0</v>
      </c>
      <c r="X944">
        <v>0</v>
      </c>
      <c r="Y944">
        <v>0</v>
      </c>
      <c r="Z944" s="20">
        <v>584</v>
      </c>
      <c r="AA944" s="20">
        <f>IFERROR(PROPERTIES[[#This Row],[TE_STARTING_KN]]/(PROPERTIES[[#This Row],[WEIGHT]]*9.81),0)</f>
        <v>0.39687393815834182</v>
      </c>
      <c r="AB944" s="20">
        <v>0</v>
      </c>
      <c r="AC944" s="16">
        <f>ROUND(IF(IFERROR(PROPERTIES[[#This Row],[TE_COEFFICIENT_CALC]],0)=0,PROPERTIES[[#This Row],[TE_COEFFICIENT_MANUAL]],PROPERTIES[[#This Row],[TE_COEFFICIENT_CALC]]),3)</f>
        <v>0.39700000000000002</v>
      </c>
      <c r="AD944" s="27" cm="1">
        <f t="array" ref="AD9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44" s="26">
        <v>0</v>
      </c>
      <c r="AF944" s="6">
        <v>0</v>
      </c>
      <c r="AG944" t="s">
        <v>1948</v>
      </c>
      <c r="AH944" t="s">
        <v>229</v>
      </c>
      <c r="AI944" t="s">
        <v>229</v>
      </c>
      <c r="AJ944" s="2" t="s">
        <v>229</v>
      </c>
      <c r="AK944" s="2" t="s">
        <v>244</v>
      </c>
      <c r="AL94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4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44" s="2" t="str">
        <f>SUBSTITUTE(SUBSTITUTE(PROPERTIES[[#This Row],[PURCHASECOST_VALUE]], "PURCHASECOST_", ""), "_VALUE", "")</f>
        <v>ELECTRICENGINE</v>
      </c>
      <c r="AO944" s="44" t="b">
        <v>0</v>
      </c>
      <c r="AP944" s="48" t="b">
        <v>0</v>
      </c>
      <c r="AQ944" s="48" t="b">
        <v>0</v>
      </c>
      <c r="AR944" s="48">
        <v>0</v>
      </c>
      <c r="AS944" s="48" t="b">
        <v>0</v>
      </c>
      <c r="AT944" s="7" t="b">
        <v>0</v>
      </c>
      <c r="AU944" s="40" t="str" cm="1">
        <f t="array" ref="AU944">_xlfn.XLOOKUP(PROPERTIES[[#This Row],[VEHIDCODE]],GRAPHICS_PROPERTIES[VEHIDCODE],GRAPHICS_PROPERTIES[TEMPLATE_ID]&amp;GRAPHICS_PROPERTIES[TEMPLATE_AMENDMENT_CODE])</f>
        <v>TPL_01A</v>
      </c>
    </row>
    <row r="945" spans="1:47" x14ac:dyDescent="0.35">
      <c r="A945" s="2" t="s">
        <v>3376</v>
      </c>
      <c r="B945">
        <v>2012</v>
      </c>
      <c r="D945" cm="1">
        <f t="array" ref="D9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5" s="40" t="str">
        <f>_xlfn.XLOOKUP(PROPERTIES[[#This Row],[VEHIDCODE]],CONTROL[VEHIDCODE],CONTROL[ENGLISH])</f>
        <v>CRRC Dalian HXD3D</v>
      </c>
      <c r="F945" t="s">
        <v>575</v>
      </c>
      <c r="G945" s="40" t="str">
        <f>_xlfn.XLOOKUP(PROPERTIES[[#This Row],[COUNTRY]],COUNTRIES[COUNTRY_DESCRIPTION],COUNTRIES[COUNTRY_LABEL],"")</f>
        <v>CN</v>
      </c>
      <c r="H945" t="str" cm="1">
        <f t="array" ref="H9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45" t="s">
        <v>17</v>
      </c>
      <c r="J945">
        <v>0</v>
      </c>
      <c r="K945">
        <v>8</v>
      </c>
      <c r="L945">
        <v>0</v>
      </c>
      <c r="M945" t="str" cm="1">
        <f t="array" ref="M9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5">
        <f>_xlfn.XLOOKUP("LOADINGSPEEDDEF_"&amp;PROPERTIES[[#This Row],[LOADINGSPEED]],LOADINGSPEEDDEF[TYPE],LOADINGSPEEDDEF[SPEED])</f>
        <v>20</v>
      </c>
      <c r="O945" t="str" cm="1">
        <f t="array" ref="O9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5">
        <f>IF(ISNUMBER(SEARCH("passenger",PROPERTIES[[#This Row],[CARGODEF]])),1,0)</f>
        <v>0</v>
      </c>
      <c r="Q945" s="23">
        <v>128</v>
      </c>
      <c r="R945">
        <v>10058</v>
      </c>
      <c r="S945">
        <v>0</v>
      </c>
      <c r="T945">
        <v>0</v>
      </c>
      <c r="U945">
        <v>0</v>
      </c>
      <c r="V945">
        <v>160</v>
      </c>
      <c r="W945">
        <v>0</v>
      </c>
      <c r="X945">
        <v>0</v>
      </c>
      <c r="Y945">
        <v>0</v>
      </c>
      <c r="Z945" s="20">
        <v>420</v>
      </c>
      <c r="AA945" s="20">
        <f>IFERROR(PROPERTIES[[#This Row],[TE_STARTING_KN]]/(PROPERTIES[[#This Row],[WEIGHT]]*9.81),0)</f>
        <v>0.33448012232415902</v>
      </c>
      <c r="AB945" s="20">
        <v>0</v>
      </c>
      <c r="AC945" s="16">
        <f>ROUND(IF(IFERROR(PROPERTIES[[#This Row],[TE_COEFFICIENT_CALC]],0)=0,PROPERTIES[[#This Row],[TE_COEFFICIENT_MANUAL]],PROPERTIES[[#This Row],[TE_COEFFICIENT_CALC]]),3)</f>
        <v>0.33400000000000002</v>
      </c>
      <c r="AD945" s="27" cm="1">
        <f t="array" ref="AD9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45" s="26">
        <v>0</v>
      </c>
      <c r="AF945" s="6">
        <v>0</v>
      </c>
      <c r="AG945" t="s">
        <v>238</v>
      </c>
      <c r="AH945" t="s">
        <v>229</v>
      </c>
      <c r="AI945" t="s">
        <v>229</v>
      </c>
      <c r="AJ945" s="2" t="s">
        <v>229</v>
      </c>
      <c r="AK945" s="2" t="s">
        <v>244</v>
      </c>
      <c r="AL94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4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45" s="2" t="str">
        <f>SUBSTITUTE(SUBSTITUTE(PROPERTIES[[#This Row],[PURCHASECOST_VALUE]], "PURCHASECOST_", ""), "_VALUE", "")</f>
        <v>ELECTRICENGINE</v>
      </c>
      <c r="AO945" s="44" t="b">
        <v>0</v>
      </c>
      <c r="AP945" s="48" t="b">
        <v>0</v>
      </c>
      <c r="AQ945" s="48" t="b">
        <v>0</v>
      </c>
      <c r="AR945" s="48">
        <v>0</v>
      </c>
      <c r="AS945" s="48" t="b">
        <v>0</v>
      </c>
      <c r="AT945" s="7" t="b">
        <v>0</v>
      </c>
      <c r="AU945" s="40" t="str" cm="1">
        <f t="array" ref="AU945">_xlfn.XLOOKUP(PROPERTIES[[#This Row],[VEHIDCODE]],GRAPHICS_PROPERTIES[VEHIDCODE],GRAPHICS_PROPERTIES[TEMPLATE_ID]&amp;GRAPHICS_PROPERTIES[TEMPLATE_AMENDMENT_CODE])</f>
        <v>TPL_01A</v>
      </c>
    </row>
    <row r="946" spans="1:47" x14ac:dyDescent="0.35">
      <c r="A946" s="2" t="s">
        <v>3377</v>
      </c>
      <c r="B946">
        <v>1984</v>
      </c>
      <c r="D946" cm="1">
        <f t="array" ref="D9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6" s="40" t="str">
        <f>_xlfn.XLOOKUP(PROPERTIES[[#This Row],[VEHIDCODE]],CONTROL[VEHIDCODE],CONTROL[ENGLISH])</f>
        <v>CRRC Dalian DF4</v>
      </c>
      <c r="F946" t="s">
        <v>575</v>
      </c>
      <c r="G946" s="40" t="str">
        <f>_xlfn.XLOOKUP(PROPERTIES[[#This Row],[COUNTRY]],COUNTRIES[COUNTRY_DESCRIPTION],COUNTRIES[COUNTRY_LABEL],"")</f>
        <v>CN</v>
      </c>
      <c r="H946" t="str" cm="1">
        <f t="array" ref="H9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46" t="s">
        <v>17</v>
      </c>
      <c r="J946">
        <v>0</v>
      </c>
      <c r="K946">
        <v>8</v>
      </c>
      <c r="L946">
        <v>0</v>
      </c>
      <c r="M946" t="str" cm="1">
        <f t="array" ref="M9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6">
        <f>_xlfn.XLOOKUP("LOADINGSPEEDDEF_"&amp;PROPERTIES[[#This Row],[LOADINGSPEED]],LOADINGSPEEDDEF[TYPE],LOADINGSPEEDDEF[SPEED])</f>
        <v>20</v>
      </c>
      <c r="O946" cm="1">
        <f t="array" ref="O9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46">
        <f>IF(ISNUMBER(SEARCH("passenger",PROPERTIES[[#This Row],[CARGODEF]])),1,0)</f>
        <v>0</v>
      </c>
      <c r="Q946" s="23">
        <v>138</v>
      </c>
      <c r="R946">
        <v>3550</v>
      </c>
      <c r="S946">
        <v>0</v>
      </c>
      <c r="T946">
        <v>0</v>
      </c>
      <c r="U946">
        <v>0</v>
      </c>
      <c r="V946">
        <v>120</v>
      </c>
      <c r="W946">
        <v>0</v>
      </c>
      <c r="X946">
        <v>0</v>
      </c>
      <c r="Y946">
        <v>0</v>
      </c>
      <c r="Z946" s="20">
        <v>243</v>
      </c>
      <c r="AA946" s="20">
        <f>IFERROR(PROPERTIES[[#This Row],[TE_STARTING_KN]]/(PROPERTIES[[#This Row],[WEIGHT]]*9.81),0)</f>
        <v>0.17949740725967292</v>
      </c>
      <c r="AB946" s="20">
        <v>0</v>
      </c>
      <c r="AC946" s="16">
        <f>ROUND(IF(IFERROR(PROPERTIES[[#This Row],[TE_COEFFICIENT_CALC]],0)=0,PROPERTIES[[#This Row],[TE_COEFFICIENT_MANUAL]],PROPERTIES[[#This Row],[TE_COEFFICIENT_CALC]]),3)</f>
        <v>0.17899999999999999</v>
      </c>
      <c r="AD946" s="27" cm="1">
        <f t="array" ref="AD9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46" s="26">
        <v>0</v>
      </c>
      <c r="AF946" s="6">
        <v>0</v>
      </c>
      <c r="AG946" t="s">
        <v>238</v>
      </c>
      <c r="AH946" t="s">
        <v>229</v>
      </c>
      <c r="AI946" t="s">
        <v>229</v>
      </c>
      <c r="AJ946" s="2" t="s">
        <v>229</v>
      </c>
      <c r="AK946" s="2" t="s">
        <v>244</v>
      </c>
      <c r="AL94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4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46" s="2" t="str">
        <f>SUBSTITUTE(SUBSTITUTE(PROPERTIES[[#This Row],[PURCHASECOST_VALUE]], "PURCHASECOST_", ""), "_VALUE", "")</f>
        <v>DIESELENGINE</v>
      </c>
      <c r="AO946" s="44" t="b">
        <v>0</v>
      </c>
      <c r="AP946" s="48" t="b">
        <v>0</v>
      </c>
      <c r="AQ946" s="48" t="b">
        <v>0</v>
      </c>
      <c r="AR946" s="48">
        <v>0</v>
      </c>
      <c r="AS946" s="48" t="b">
        <v>0</v>
      </c>
      <c r="AT946" s="7" t="b">
        <v>0</v>
      </c>
      <c r="AU946" s="40" t="str" cm="1">
        <f t="array" ref="AU946">_xlfn.XLOOKUP(PROPERTIES[[#This Row],[VEHIDCODE]],GRAPHICS_PROPERTIES[VEHIDCODE],GRAPHICS_PROPERTIES[TEMPLATE_ID]&amp;GRAPHICS_PROPERTIES[TEMPLATE_AMENDMENT_CODE])</f>
        <v>TPL_01A</v>
      </c>
    </row>
    <row r="947" spans="1:47" x14ac:dyDescent="0.35">
      <c r="A947" s="2" t="s">
        <v>3378</v>
      </c>
      <c r="B947">
        <v>1976</v>
      </c>
      <c r="D947" cm="1">
        <f t="array" ref="D9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7" s="40" t="str">
        <f>_xlfn.XLOOKUP(PROPERTIES[[#This Row],[VEHIDCODE]],CONTROL[VEHIDCODE],CONTROL[ENGLISH])</f>
        <v>Tangshan/Dalian/Sifang DF5</v>
      </c>
      <c r="F947" t="s">
        <v>575</v>
      </c>
      <c r="G947" s="40" t="str">
        <f>_xlfn.XLOOKUP(PROPERTIES[[#This Row],[COUNTRY]],COUNTRIES[COUNTRY_DESCRIPTION],COUNTRIES[COUNTRY_LABEL],"")</f>
        <v>CN</v>
      </c>
      <c r="H947" t="str" cm="1">
        <f t="array" ref="H9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47" t="s">
        <v>17</v>
      </c>
      <c r="J947">
        <v>0</v>
      </c>
      <c r="K947">
        <v>8</v>
      </c>
      <c r="L947">
        <v>0</v>
      </c>
      <c r="M947" t="str" cm="1">
        <f t="array" ref="M9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7">
        <f>_xlfn.XLOOKUP("LOADINGSPEEDDEF_"&amp;PROPERTIES[[#This Row],[LOADINGSPEED]],LOADINGSPEEDDEF[TYPE],LOADINGSPEEDDEF[SPEED])</f>
        <v>20</v>
      </c>
      <c r="O947" cm="1">
        <f t="array" ref="O9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47">
        <f>IF(ISNUMBER(SEARCH("passenger",PROPERTIES[[#This Row],[CARGODEF]])),1,0)</f>
        <v>0</v>
      </c>
      <c r="Q947" s="23">
        <v>138</v>
      </c>
      <c r="R947">
        <v>1320</v>
      </c>
      <c r="S947">
        <v>0</v>
      </c>
      <c r="T947">
        <v>0</v>
      </c>
      <c r="U947">
        <v>0</v>
      </c>
      <c r="V947">
        <v>100</v>
      </c>
      <c r="W947">
        <v>0</v>
      </c>
      <c r="X947">
        <v>0</v>
      </c>
      <c r="Y947">
        <v>0</v>
      </c>
      <c r="Z947" s="20">
        <v>392</v>
      </c>
      <c r="AA947" s="20">
        <f>IFERROR(PROPERTIES[[#This Row],[TE_STARTING_KN]]/(PROPERTIES[[#This Row],[WEIGHT]]*9.81),0)</f>
        <v>0.28955960348062465</v>
      </c>
      <c r="AB947" s="20">
        <v>0</v>
      </c>
      <c r="AC947" s="16">
        <f>ROUND(IF(IFERROR(PROPERTIES[[#This Row],[TE_COEFFICIENT_CALC]],0)=0,PROPERTIES[[#This Row],[TE_COEFFICIENT_MANUAL]],PROPERTIES[[#This Row],[TE_COEFFICIENT_CALC]]),3)</f>
        <v>0.28999999999999998</v>
      </c>
      <c r="AD947" s="27" cm="1">
        <f t="array" ref="AD9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47" s="26">
        <v>0</v>
      </c>
      <c r="AF947" s="6">
        <v>0</v>
      </c>
      <c r="AG947" t="s">
        <v>238</v>
      </c>
      <c r="AH947" t="s">
        <v>229</v>
      </c>
      <c r="AI947" t="s">
        <v>229</v>
      </c>
      <c r="AJ947" s="2" t="s">
        <v>229</v>
      </c>
      <c r="AK947" s="2" t="s">
        <v>244</v>
      </c>
      <c r="AL94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4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47" s="2" t="str">
        <f>SUBSTITUTE(SUBSTITUTE(PROPERTIES[[#This Row],[PURCHASECOST_VALUE]], "PURCHASECOST_", ""), "_VALUE", "")</f>
        <v>DIESELENGINE</v>
      </c>
      <c r="AO947" s="44" t="b">
        <v>0</v>
      </c>
      <c r="AP947" s="48" t="b">
        <v>0</v>
      </c>
      <c r="AQ947" s="48" t="b">
        <v>0</v>
      </c>
      <c r="AR947" s="48">
        <v>0</v>
      </c>
      <c r="AS947" s="48" t="b">
        <v>0</v>
      </c>
      <c r="AT947" s="7" t="b">
        <v>0</v>
      </c>
      <c r="AU947" s="40" t="str" cm="1">
        <f t="array" ref="AU947">_xlfn.XLOOKUP(PROPERTIES[[#This Row],[VEHIDCODE]],GRAPHICS_PROPERTIES[VEHIDCODE],GRAPHICS_PROPERTIES[TEMPLATE_ID]&amp;GRAPHICS_PROPERTIES[TEMPLATE_AMENDMENT_CODE])</f>
        <v>TPL_03F</v>
      </c>
    </row>
    <row r="948" spans="1:47" x14ac:dyDescent="0.35">
      <c r="A948" s="2" t="s">
        <v>3379</v>
      </c>
      <c r="B948">
        <v>1957</v>
      </c>
      <c r="C948">
        <v>2024</v>
      </c>
      <c r="D948" cm="1">
        <f t="array" ref="D9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8" s="40" t="str">
        <f>_xlfn.XLOOKUP(PROPERTIES[[#This Row],[VEHIDCODE]],CONTROL[VEHIDCODE],CONTROL[ENGLISH])</f>
        <v>Dalian 2-8-2 JS Class</v>
      </c>
      <c r="F948" t="s">
        <v>575</v>
      </c>
      <c r="G948" s="40" t="str">
        <f>_xlfn.XLOOKUP(PROPERTIES[[#This Row],[COUNTRY]],COUNTRIES[COUNTRY_DESCRIPTION],COUNTRIES[COUNTRY_LABEL],"")</f>
        <v>CN</v>
      </c>
      <c r="H948" t="str" cm="1">
        <f t="array" ref="H9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48" t="s">
        <v>17</v>
      </c>
      <c r="J948">
        <v>0</v>
      </c>
      <c r="K948">
        <v>7</v>
      </c>
      <c r="L948">
        <v>0</v>
      </c>
      <c r="M948" t="str" cm="1">
        <f t="array" ref="M9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8">
        <f>_xlfn.XLOOKUP("LOADINGSPEEDDEF_"&amp;PROPERTIES[[#This Row],[LOADINGSPEED]],LOADINGSPEEDDEF[TYPE],LOADINGSPEEDDEF[SPEED])</f>
        <v>20</v>
      </c>
      <c r="O948" cm="1">
        <f t="array" ref="O9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48">
        <f>IF(ISNUMBER(SEARCH("passenger",PROPERTIES[[#This Row],[CARGODEF]])),1,0)</f>
        <v>0</v>
      </c>
      <c r="Q948" s="23">
        <v>186</v>
      </c>
      <c r="R948">
        <v>2270</v>
      </c>
      <c r="S948">
        <v>0</v>
      </c>
      <c r="T948">
        <v>0</v>
      </c>
      <c r="U948">
        <v>0</v>
      </c>
      <c r="V948">
        <v>85</v>
      </c>
      <c r="W948">
        <v>0</v>
      </c>
      <c r="X948">
        <v>0</v>
      </c>
      <c r="Y948">
        <v>0</v>
      </c>
      <c r="Z948" s="20">
        <v>250</v>
      </c>
      <c r="AA948" s="20">
        <f>IFERROR(PROPERTIES[[#This Row],[TE_STARTING_KN]]/(PROPERTIES[[#This Row],[WEIGHT]]*9.81),0)</f>
        <v>0.13701182686089464</v>
      </c>
      <c r="AB948" s="20">
        <v>0</v>
      </c>
      <c r="AC948" s="16">
        <f>ROUND(IF(IFERROR(PROPERTIES[[#This Row],[TE_COEFFICIENT_CALC]],0)=0,PROPERTIES[[#This Row],[TE_COEFFICIENT_MANUAL]],PROPERTIES[[#This Row],[TE_COEFFICIENT_CALC]]),3)</f>
        <v>0.13700000000000001</v>
      </c>
      <c r="AD948" s="27" cm="1">
        <f t="array" ref="AD9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67</v>
      </c>
      <c r="AE948" s="26">
        <v>0</v>
      </c>
      <c r="AF948" s="6">
        <v>4</v>
      </c>
      <c r="AG948" t="s">
        <v>238</v>
      </c>
      <c r="AH948" t="s">
        <v>229</v>
      </c>
      <c r="AI948" t="s">
        <v>229</v>
      </c>
      <c r="AJ948" s="2" t="s">
        <v>229</v>
      </c>
      <c r="AK948" s="2" t="s">
        <v>244</v>
      </c>
      <c r="AL94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4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48" s="2" t="str">
        <f>SUBSTITUTE(SUBSTITUTE(PROPERTIES[[#This Row],[PURCHASECOST_VALUE]], "PURCHASECOST_", ""), "_VALUE", "")</f>
        <v>STEAMENGINE</v>
      </c>
      <c r="AO948" s="44" t="b">
        <v>0</v>
      </c>
      <c r="AP948" s="48" t="b">
        <v>0</v>
      </c>
      <c r="AQ948" s="48" t="b">
        <v>0</v>
      </c>
      <c r="AR948" s="48">
        <v>0</v>
      </c>
      <c r="AS948" s="48" t="b">
        <v>0</v>
      </c>
      <c r="AT948" s="7" t="b">
        <v>0</v>
      </c>
      <c r="AU948" s="40" t="str" cm="1">
        <f t="array" ref="AU948">_xlfn.XLOOKUP(PROPERTIES[[#This Row],[VEHIDCODE]],GRAPHICS_PROPERTIES[VEHIDCODE],GRAPHICS_PROPERTIES[TEMPLATE_ID]&amp;GRAPHICS_PROPERTIES[TEMPLATE_AMENDMENT_CODE])</f>
        <v>TPL_03A</v>
      </c>
    </row>
    <row r="949" spans="1:47" x14ac:dyDescent="0.35">
      <c r="A949" s="2" t="s">
        <v>3380</v>
      </c>
      <c r="B949">
        <v>1958</v>
      </c>
      <c r="C949">
        <v>1982</v>
      </c>
      <c r="D949" cm="1">
        <f t="array" ref="D9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9" s="40" t="str">
        <f>_xlfn.XLOOKUP(PROPERTIES[[#This Row],[VEHIDCODE]],CONTROL[VEHIDCODE],CONTROL[ENGLISH])</f>
        <v>CSR Sifang 4-6-2 RM</v>
      </c>
      <c r="F949" t="s">
        <v>575</v>
      </c>
      <c r="G949" s="40" t="str">
        <f>_xlfn.XLOOKUP(PROPERTIES[[#This Row],[COUNTRY]],COUNTRIES[COUNTRY_DESCRIPTION],COUNTRIES[COUNTRY_LABEL],"")</f>
        <v>CN</v>
      </c>
      <c r="H949" t="str" cm="1">
        <f t="array" ref="H9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49" t="s">
        <v>17</v>
      </c>
      <c r="J949">
        <v>0</v>
      </c>
      <c r="K949">
        <v>7</v>
      </c>
      <c r="L949">
        <v>0</v>
      </c>
      <c r="M949" t="str" cm="1">
        <f t="array" ref="M9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9">
        <f>_xlfn.XLOOKUP("LOADINGSPEEDDEF_"&amp;PROPERTIES[[#This Row],[LOADINGSPEED]],LOADINGSPEEDDEF[TYPE],LOADINGSPEEDDEF[SPEED])</f>
        <v>20</v>
      </c>
      <c r="O949" cm="1">
        <f t="array" ref="O9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49">
        <f>IF(ISNUMBER(SEARCH("passenger",PROPERTIES[[#This Row],[CARGODEF]])),1,0)</f>
        <v>0</v>
      </c>
      <c r="Q949" s="23">
        <v>180</v>
      </c>
      <c r="R949">
        <v>1397</v>
      </c>
      <c r="S949">
        <v>0</v>
      </c>
      <c r="T949">
        <v>0</v>
      </c>
      <c r="U949">
        <v>0</v>
      </c>
      <c r="V949">
        <v>110</v>
      </c>
      <c r="W949">
        <v>0</v>
      </c>
      <c r="X949">
        <v>0</v>
      </c>
      <c r="Y949">
        <v>0</v>
      </c>
      <c r="Z949" s="20">
        <v>180</v>
      </c>
      <c r="AA949" s="20">
        <f>IFERROR(PROPERTIES[[#This Row],[TE_STARTING_KN]]/(PROPERTIES[[#This Row],[WEIGHT]]*9.81),0)</f>
        <v>0.1019367991845056</v>
      </c>
      <c r="AB949" s="20">
        <v>0</v>
      </c>
      <c r="AC949" s="16">
        <f>ROUND(IF(IFERROR(PROPERTIES[[#This Row],[TE_COEFFICIENT_CALC]],0)=0,PROPERTIES[[#This Row],[TE_COEFFICIENT_MANUAL]],PROPERTIES[[#This Row],[TE_COEFFICIENT_CALC]]),3)</f>
        <v>0.10199999999999999</v>
      </c>
      <c r="AD949" s="27" cm="1">
        <f t="array" ref="AD9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49" s="26">
        <v>0</v>
      </c>
      <c r="AF949" s="6">
        <v>4</v>
      </c>
      <c r="AG949" t="s">
        <v>238</v>
      </c>
      <c r="AH949" t="s">
        <v>229</v>
      </c>
      <c r="AI949" t="s">
        <v>229</v>
      </c>
      <c r="AJ949" s="2" t="s">
        <v>229</v>
      </c>
      <c r="AK949" s="2" t="s">
        <v>244</v>
      </c>
      <c r="AL94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4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49" s="2" t="str">
        <f>SUBSTITUTE(SUBSTITUTE(PROPERTIES[[#This Row],[PURCHASECOST_VALUE]], "PURCHASECOST_", ""), "_VALUE", "")</f>
        <v>STEAMENGINE</v>
      </c>
      <c r="AO949" s="44" t="b">
        <v>0</v>
      </c>
      <c r="AP949" s="48" t="b">
        <v>0</v>
      </c>
      <c r="AQ949" s="48" t="b">
        <v>0</v>
      </c>
      <c r="AR949" s="48">
        <v>0</v>
      </c>
      <c r="AS949" s="48" t="b">
        <v>0</v>
      </c>
      <c r="AT949" s="7" t="b">
        <v>0</v>
      </c>
      <c r="AU949" s="40" t="str" cm="1">
        <f t="array" ref="AU949">_xlfn.XLOOKUP(PROPERTIES[[#This Row],[VEHIDCODE]],GRAPHICS_PROPERTIES[VEHIDCODE],GRAPHICS_PROPERTIES[TEMPLATE_ID]&amp;GRAPHICS_PROPERTIES[TEMPLATE_AMENDMENT_CODE])</f>
        <v>TPL_03A</v>
      </c>
    </row>
    <row r="950" spans="1:47" x14ac:dyDescent="0.35">
      <c r="A950" s="2" t="s">
        <v>3381</v>
      </c>
      <c r="B950">
        <v>1986</v>
      </c>
      <c r="D950" cm="1">
        <f t="array" ref="D9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0" s="40" t="str">
        <f>_xlfn.XLOOKUP(PROPERTIES[[#This Row],[VEHIDCODE]],CONTROL[VEHIDCODE],CONTROL[ENGLISH])</f>
        <v>MAV Ikarus 260</v>
      </c>
      <c r="F950" t="s">
        <v>626</v>
      </c>
      <c r="G950" s="40" t="str">
        <f>_xlfn.XLOOKUP(PROPERTIES[[#This Row],[COUNTRY]],COUNTRIES[COUNTRY_DESCRIPTION],COUNTRIES[COUNTRY_LABEL],"")</f>
        <v>HU</v>
      </c>
      <c r="H950" t="str" cm="1">
        <f t="array" ref="H9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0" t="s">
        <v>22</v>
      </c>
      <c r="J950">
        <v>100</v>
      </c>
      <c r="K950">
        <v>7</v>
      </c>
      <c r="L950">
        <v>0</v>
      </c>
      <c r="M950" t="str" cm="1">
        <f t="array" ref="M9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50">
        <f>_xlfn.XLOOKUP("LOADINGSPEEDDEF_"&amp;PROPERTIES[[#This Row],[LOADINGSPEED]],LOADINGSPEEDDEF[TYPE],LOADINGSPEEDDEF[SPEED])</f>
        <v>60</v>
      </c>
      <c r="O950" t="str" cm="1">
        <f t="array" ref="O9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50">
        <f>IF(ISNUMBER(SEARCH("passenger",PROPERTIES[[#This Row],[CARGODEF]])),1,0)</f>
        <v>1</v>
      </c>
      <c r="Q950" s="23">
        <v>8.5</v>
      </c>
      <c r="R950">
        <v>190</v>
      </c>
      <c r="S950">
        <v>0</v>
      </c>
      <c r="T950">
        <v>0</v>
      </c>
      <c r="U950">
        <v>0</v>
      </c>
      <c r="V950">
        <v>66</v>
      </c>
      <c r="W950">
        <v>0</v>
      </c>
      <c r="X950">
        <v>0</v>
      </c>
      <c r="Y950">
        <v>0</v>
      </c>
      <c r="Z950" s="20">
        <v>26</v>
      </c>
      <c r="AA950" s="20">
        <f>IFERROR(PROPERTIES[[#This Row],[TE_STARTING_KN]]/(PROPERTIES[[#This Row],[WEIGHT]]*9.81),0)</f>
        <v>0.3118066798584877</v>
      </c>
      <c r="AB950" s="20">
        <v>0</v>
      </c>
      <c r="AC950" s="16">
        <f>ROUND(IF(IFERROR(PROPERTIES[[#This Row],[TE_COEFFICIENT_CALC]],0)=0,PROPERTIES[[#This Row],[TE_COEFFICIENT_MANUAL]],PROPERTIES[[#This Row],[TE_COEFFICIENT_CALC]]),3)</f>
        <v>0.312</v>
      </c>
      <c r="AD950" s="27" cm="1">
        <f t="array" ref="AD9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0" s="26">
        <v>0</v>
      </c>
      <c r="AF950" s="6">
        <v>0</v>
      </c>
      <c r="AG950" t="s">
        <v>236</v>
      </c>
      <c r="AH950" t="s">
        <v>229</v>
      </c>
      <c r="AI950" t="s">
        <v>229</v>
      </c>
      <c r="AJ950" s="2" t="s">
        <v>229</v>
      </c>
      <c r="AK950" s="2" t="s">
        <v>244</v>
      </c>
      <c r="AL950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950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950" s="2" t="str">
        <f>SUBSTITUTE(SUBSTITUTE(PROPERTIES[[#This Row],[PURCHASECOST_VALUE]], "PURCHASECOST_", ""), "_VALUE", "")</f>
        <v>DIESELRAILBUS</v>
      </c>
      <c r="AO950" s="44" t="b">
        <v>0</v>
      </c>
      <c r="AP950" s="48" t="b">
        <v>0</v>
      </c>
      <c r="AQ950" s="48" t="b">
        <v>0</v>
      </c>
      <c r="AR950" s="48">
        <v>0</v>
      </c>
      <c r="AS950" s="48" t="b">
        <v>0</v>
      </c>
      <c r="AT950" s="7" t="b">
        <v>0</v>
      </c>
      <c r="AU950" s="40" t="str" cm="1">
        <f t="array" ref="AU950">_xlfn.XLOOKUP(PROPERTIES[[#This Row],[VEHIDCODE]],GRAPHICS_PROPERTIES[VEHIDCODE],GRAPHICS_PROPERTIES[TEMPLATE_ID]&amp;GRAPHICS_PROPERTIES[TEMPLATE_AMENDMENT_CODE])</f>
        <v>TPL_01A</v>
      </c>
    </row>
    <row r="951" spans="1:47" x14ac:dyDescent="0.35">
      <c r="A951" s="2" t="s">
        <v>3382</v>
      </c>
      <c r="B951">
        <v>2003</v>
      </c>
      <c r="D951" cm="1">
        <f t="array" ref="D9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1" s="40" t="str">
        <f>_xlfn.XLOOKUP(PROPERTIES[[#This Row],[VEHIDCODE]],CONTROL[VEHIDCODE],CONTROL[ENGLISH])</f>
        <v>GE ES43ACi</v>
      </c>
      <c r="F951" t="s">
        <v>704</v>
      </c>
      <c r="G951" s="40" t="str">
        <f>_xlfn.XLOOKUP(PROPERTIES[[#This Row],[COUNTRY]],COUNTRIES[COUNTRY_DESCRIPTION],COUNTRIES[COUNTRY_LABEL],"")</f>
        <v>PK</v>
      </c>
      <c r="H951" t="str" cm="1">
        <f t="array" ref="H9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1" t="s">
        <v>17</v>
      </c>
      <c r="J951">
        <v>0</v>
      </c>
      <c r="K951">
        <v>8</v>
      </c>
      <c r="L951">
        <v>0</v>
      </c>
      <c r="M951" t="str" cm="1">
        <f t="array" ref="M9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1">
        <f>_xlfn.XLOOKUP("LOADINGSPEEDDEF_"&amp;PROPERTIES[[#This Row],[LOADINGSPEED]],LOADINGSPEEDDEF[TYPE],LOADINGSPEEDDEF[SPEED])</f>
        <v>20</v>
      </c>
      <c r="O951" t="str" cm="1">
        <f t="array" ref="O9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51">
        <f>IF(ISNUMBER(SEARCH("passenger",PROPERTIES[[#This Row],[CARGODEF]])),1,0)</f>
        <v>0</v>
      </c>
      <c r="Q951" s="23">
        <v>195</v>
      </c>
      <c r="R951">
        <v>4563</v>
      </c>
      <c r="S951">
        <v>0</v>
      </c>
      <c r="T951">
        <v>0</v>
      </c>
      <c r="U951">
        <v>0</v>
      </c>
      <c r="V951">
        <v>110</v>
      </c>
      <c r="W951">
        <v>0</v>
      </c>
      <c r="X951">
        <v>0</v>
      </c>
      <c r="Y951">
        <v>0</v>
      </c>
      <c r="Z951" s="20">
        <v>810</v>
      </c>
      <c r="AA951" s="20">
        <f>IFERROR(PROPERTIES[[#This Row],[TE_STARTING_KN]]/(PROPERTIES[[#This Row],[WEIGHT]]*9.81),0)</f>
        <v>0.42342978122794633</v>
      </c>
      <c r="AB951" s="20">
        <v>0</v>
      </c>
      <c r="AC951" s="16">
        <f>ROUND(IF(IFERROR(PROPERTIES[[#This Row],[TE_COEFFICIENT_CALC]],0)=0,PROPERTIES[[#This Row],[TE_COEFFICIENT_MANUAL]],PROPERTIES[[#This Row],[TE_COEFFICIENT_CALC]]),3)</f>
        <v>0.42299999999999999</v>
      </c>
      <c r="AD951" s="27" cm="1">
        <f t="array" ref="AD9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51" s="26">
        <v>0</v>
      </c>
      <c r="AF951" s="6">
        <v>0</v>
      </c>
      <c r="AG951" t="s">
        <v>241</v>
      </c>
      <c r="AH951" t="s">
        <v>229</v>
      </c>
      <c r="AI951" t="s">
        <v>229</v>
      </c>
      <c r="AJ951" s="2" t="s">
        <v>229</v>
      </c>
      <c r="AK951" s="2" t="s">
        <v>244</v>
      </c>
      <c r="AL95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1" s="2" t="str">
        <f>SUBSTITUTE(SUBSTITUTE(PROPERTIES[[#This Row],[PURCHASECOST_VALUE]], "PURCHASECOST_", ""), "_VALUE", "")</f>
        <v>DIESELENGINE</v>
      </c>
      <c r="AO951" s="44" t="b">
        <v>0</v>
      </c>
      <c r="AP951" s="48" t="b">
        <v>0</v>
      </c>
      <c r="AQ951" s="48" t="b">
        <v>0</v>
      </c>
      <c r="AR951" s="48">
        <v>0</v>
      </c>
      <c r="AS951" s="48" t="b">
        <v>0</v>
      </c>
      <c r="AT951" s="7" t="b">
        <v>0</v>
      </c>
      <c r="AU951" s="40" t="str" cm="1">
        <f t="array" ref="AU951">_xlfn.XLOOKUP(PROPERTIES[[#This Row],[VEHIDCODE]],GRAPHICS_PROPERTIES[VEHIDCODE],GRAPHICS_PROPERTIES[TEMPLATE_ID]&amp;GRAPHICS_PROPERTIES[TEMPLATE_AMENDMENT_CODE])</f>
        <v>TPL_01A</v>
      </c>
    </row>
    <row r="952" spans="1:47" x14ac:dyDescent="0.35">
      <c r="A952" s="2" t="s">
        <v>3383</v>
      </c>
      <c r="B952">
        <v>1966</v>
      </c>
      <c r="D952" cm="1">
        <f t="array" ref="D9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2" s="40" t="str">
        <f>_xlfn.XLOOKUP(PROPERTIES[[#This Row],[VEHIDCODE]],CONTROL[VEHIDCODE],CONTROL[ENGLISH])</f>
        <v>EMD GP40</v>
      </c>
      <c r="F952" t="s">
        <v>757</v>
      </c>
      <c r="G952" s="40" t="str">
        <f>_xlfn.XLOOKUP(PROPERTIES[[#This Row],[COUNTRY]],COUNTRIES[COUNTRY_DESCRIPTION],COUNTRIES[COUNTRY_LABEL],"")</f>
        <v>US</v>
      </c>
      <c r="H952" t="str" cm="1">
        <f t="array" ref="H9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2" t="s">
        <v>17</v>
      </c>
      <c r="J952">
        <v>0</v>
      </c>
      <c r="K952">
        <v>8</v>
      </c>
      <c r="L952">
        <v>0</v>
      </c>
      <c r="M952" t="str" cm="1">
        <f t="array" ref="M9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2">
        <f>_xlfn.XLOOKUP("LOADINGSPEEDDEF_"&amp;PROPERTIES[[#This Row],[LOADINGSPEED]],LOADINGSPEEDDEF[TYPE],LOADINGSPEEDDEF[SPEED])</f>
        <v>20</v>
      </c>
      <c r="O952" cm="1">
        <f t="array" ref="O9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2">
        <f>IF(ISNUMBER(SEARCH("passenger",PROPERTIES[[#This Row],[CARGODEF]])),1,0)</f>
        <v>0</v>
      </c>
      <c r="Q952" s="23">
        <v>160</v>
      </c>
      <c r="R952">
        <v>3000</v>
      </c>
      <c r="S952">
        <v>0</v>
      </c>
      <c r="T952">
        <v>0</v>
      </c>
      <c r="U952">
        <v>0</v>
      </c>
      <c r="V952">
        <v>134</v>
      </c>
      <c r="W952">
        <v>0</v>
      </c>
      <c r="X952">
        <v>0</v>
      </c>
      <c r="Y952">
        <v>0</v>
      </c>
      <c r="Z952" s="20">
        <v>410</v>
      </c>
      <c r="AA952" s="20">
        <f>IFERROR(PROPERTIES[[#This Row],[TE_STARTING_KN]]/(PROPERTIES[[#This Row],[WEIGHT]]*9.81),0)</f>
        <v>0.26121304791029559</v>
      </c>
      <c r="AB952" s="20">
        <v>0</v>
      </c>
      <c r="AC952" s="16">
        <f>ROUND(IF(IFERROR(PROPERTIES[[#This Row],[TE_COEFFICIENT_CALC]],0)=0,PROPERTIES[[#This Row],[TE_COEFFICIENT_MANUAL]],PROPERTIES[[#This Row],[TE_COEFFICIENT_CALC]]),3)</f>
        <v>0.26100000000000001</v>
      </c>
      <c r="AD952" s="27" cm="1">
        <f t="array" ref="AD9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2" s="26">
        <v>0</v>
      </c>
      <c r="AF952" s="6">
        <v>0</v>
      </c>
      <c r="AG952" t="s">
        <v>240</v>
      </c>
      <c r="AH952" t="s">
        <v>233</v>
      </c>
      <c r="AI952" t="s">
        <v>229</v>
      </c>
      <c r="AJ952" s="2" t="s">
        <v>229</v>
      </c>
      <c r="AK952" s="2" t="s">
        <v>244</v>
      </c>
      <c r="AL952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2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2" s="2" t="str">
        <f>SUBSTITUTE(SUBSTITUTE(PROPERTIES[[#This Row],[PURCHASECOST_VALUE]], "PURCHASECOST_", ""), "_VALUE", "")</f>
        <v>DIESELENGINE</v>
      </c>
      <c r="AO952" s="44" t="b">
        <v>0</v>
      </c>
      <c r="AP952" s="48" t="b">
        <v>0</v>
      </c>
      <c r="AQ952" s="48" t="b">
        <v>0</v>
      </c>
      <c r="AR952" s="48">
        <v>0</v>
      </c>
      <c r="AS952" s="48" t="b">
        <v>0</v>
      </c>
      <c r="AT952" s="7" t="b">
        <v>0</v>
      </c>
      <c r="AU952" s="40" t="str" cm="1">
        <f t="array" ref="AU952">_xlfn.XLOOKUP(PROPERTIES[[#This Row],[VEHIDCODE]],GRAPHICS_PROPERTIES[VEHIDCODE],GRAPHICS_PROPERTIES[TEMPLATE_ID]&amp;GRAPHICS_PROPERTIES[TEMPLATE_AMENDMENT_CODE])</f>
        <v>TPL_01A</v>
      </c>
    </row>
    <row r="953" spans="1:47" x14ac:dyDescent="0.35">
      <c r="A953" s="2" t="s">
        <v>3384</v>
      </c>
      <c r="B953">
        <v>1992</v>
      </c>
      <c r="D953" cm="1">
        <f t="array" ref="D9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3" s="40" t="str">
        <f>_xlfn.XLOOKUP(PROPERTIES[[#This Row],[VEHIDCODE]],CONTROL[VEHIDCODE],CONTROL[ENGLISH])</f>
        <v>EMD SD70</v>
      </c>
      <c r="F953" t="s">
        <v>757</v>
      </c>
      <c r="G953" s="40" t="str">
        <f>_xlfn.XLOOKUP(PROPERTIES[[#This Row],[COUNTRY]],COUNTRIES[COUNTRY_DESCRIPTION],COUNTRIES[COUNTRY_LABEL],"")</f>
        <v>US</v>
      </c>
      <c r="H953" t="str" cm="1">
        <f t="array" ref="H9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3" t="s">
        <v>17</v>
      </c>
      <c r="J953">
        <v>0</v>
      </c>
      <c r="K953">
        <v>8</v>
      </c>
      <c r="L953">
        <v>0</v>
      </c>
      <c r="M953" t="str" cm="1">
        <f t="array" ref="M9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3">
        <f>_xlfn.XLOOKUP("LOADINGSPEEDDEF_"&amp;PROPERTIES[[#This Row],[LOADINGSPEED]],LOADINGSPEEDDEF[TYPE],LOADINGSPEEDDEF[SPEED])</f>
        <v>20</v>
      </c>
      <c r="O953" t="str" cm="1">
        <f t="array" ref="O9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53">
        <f>IF(ISNUMBER(SEARCH("passenger",PROPERTIES[[#This Row],[CARGODEF]])),1,0)</f>
        <v>0</v>
      </c>
      <c r="Q953" s="23">
        <v>178</v>
      </c>
      <c r="R953">
        <v>4000</v>
      </c>
      <c r="S953">
        <v>0</v>
      </c>
      <c r="T953">
        <v>0</v>
      </c>
      <c r="U953">
        <v>0</v>
      </c>
      <c r="V953">
        <v>113</v>
      </c>
      <c r="W953">
        <v>0</v>
      </c>
      <c r="X953">
        <v>0</v>
      </c>
      <c r="Y953">
        <v>0</v>
      </c>
      <c r="Z953" s="20">
        <v>800</v>
      </c>
      <c r="AA953" s="20">
        <f>IFERROR(PROPERTIES[[#This Row],[TE_STARTING_KN]]/(PROPERTIES[[#This Row],[WEIGHT]]*9.81),0)</f>
        <v>0.45814291768317122</v>
      </c>
      <c r="AB953" s="20">
        <v>0</v>
      </c>
      <c r="AC953" s="16">
        <f>ROUND(IF(IFERROR(PROPERTIES[[#This Row],[TE_COEFFICIENT_CALC]],0)=0,PROPERTIES[[#This Row],[TE_COEFFICIENT_MANUAL]],PROPERTIES[[#This Row],[TE_COEFFICIENT_CALC]]),3)</f>
        <v>0.45800000000000002</v>
      </c>
      <c r="AD953" s="27" cm="1">
        <f t="array" ref="AD9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3" s="26">
        <v>0</v>
      </c>
      <c r="AF953" s="6">
        <v>0</v>
      </c>
      <c r="AG953" t="s">
        <v>240</v>
      </c>
      <c r="AH953" t="s">
        <v>233</v>
      </c>
      <c r="AI953" t="s">
        <v>233</v>
      </c>
      <c r="AJ953" s="2" t="s">
        <v>229</v>
      </c>
      <c r="AK953" s="2" t="s">
        <v>244</v>
      </c>
      <c r="AL953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3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3" s="2" t="str">
        <f>SUBSTITUTE(SUBSTITUTE(PROPERTIES[[#This Row],[PURCHASECOST_VALUE]], "PURCHASECOST_", ""), "_VALUE", "")</f>
        <v>DIESELENGINE</v>
      </c>
      <c r="AO953" s="44" t="b">
        <v>0</v>
      </c>
      <c r="AP953" s="48" t="b">
        <v>0</v>
      </c>
      <c r="AQ953" s="48" t="b">
        <v>0</v>
      </c>
      <c r="AR953" s="48">
        <v>0</v>
      </c>
      <c r="AS953" s="48" t="b">
        <v>0</v>
      </c>
      <c r="AT953" s="7" t="b">
        <v>0</v>
      </c>
      <c r="AU953" s="40" t="str" cm="1">
        <f t="array" ref="AU953">_xlfn.XLOOKUP(PROPERTIES[[#This Row],[VEHIDCODE]],GRAPHICS_PROPERTIES[VEHIDCODE],GRAPHICS_PROPERTIES[TEMPLATE_ID]&amp;GRAPHICS_PROPERTIES[TEMPLATE_AMENDMENT_CODE])</f>
        <v>TPL_01A</v>
      </c>
    </row>
    <row r="954" spans="1:47" x14ac:dyDescent="0.35">
      <c r="A954" s="2" t="s">
        <v>3385</v>
      </c>
      <c r="B954">
        <v>1976</v>
      </c>
      <c r="D954" cm="1">
        <f t="array" ref="D9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4" s="40" t="str">
        <f>_xlfn.XLOOKUP(PROPERTIES[[#This Row],[VEHIDCODE]],CONTROL[VEHIDCODE],CONTROL[ENGLISH])</f>
        <v>GE C30-7 'Dash 7'</v>
      </c>
      <c r="F954" t="s">
        <v>683</v>
      </c>
      <c r="G954" s="40" t="str">
        <f>_xlfn.XLOOKUP(PROPERTIES[[#This Row],[COUNTRY]],COUNTRIES[COUNTRY_DESCRIPTION],COUNTRIES[COUNTRY_LABEL],"")</f>
        <v>MX</v>
      </c>
      <c r="H954" t="str" cm="1">
        <f t="array" ref="H9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4" t="s">
        <v>17</v>
      </c>
      <c r="J954">
        <v>0</v>
      </c>
      <c r="K954">
        <v>8</v>
      </c>
      <c r="L954">
        <v>0</v>
      </c>
      <c r="M954" t="str" cm="1">
        <f t="array" ref="M9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4">
        <f>_xlfn.XLOOKUP("LOADINGSPEEDDEF_"&amp;PROPERTIES[[#This Row],[LOADINGSPEED]],LOADINGSPEEDDEF[TYPE],LOADINGSPEEDDEF[SPEED])</f>
        <v>20</v>
      </c>
      <c r="O954" cm="1">
        <f t="array" ref="O9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4">
        <f>IF(ISNUMBER(SEARCH("passenger",PROPERTIES[[#This Row],[CARGODEF]])),1,0)</f>
        <v>0</v>
      </c>
      <c r="Q954" s="23">
        <v>166</v>
      </c>
      <c r="R954">
        <v>3000</v>
      </c>
      <c r="S954">
        <v>0</v>
      </c>
      <c r="T954">
        <v>0</v>
      </c>
      <c r="U954">
        <v>0</v>
      </c>
      <c r="V954">
        <v>113</v>
      </c>
      <c r="W954">
        <v>0</v>
      </c>
      <c r="X954">
        <v>0</v>
      </c>
      <c r="Y954">
        <v>0</v>
      </c>
      <c r="Z954" s="20">
        <v>407</v>
      </c>
      <c r="AA954" s="20">
        <f>IFERROR(PROPERTIES[[#This Row],[TE_STARTING_KN]]/(PROPERTIES[[#This Row],[WEIGHT]]*9.81),0)</f>
        <v>0.24992938113309507</v>
      </c>
      <c r="AB954" s="20">
        <v>0</v>
      </c>
      <c r="AC954" s="16">
        <f>ROUND(IF(IFERROR(PROPERTIES[[#This Row],[TE_COEFFICIENT_CALC]],0)=0,PROPERTIES[[#This Row],[TE_COEFFICIENT_MANUAL]],PROPERTIES[[#This Row],[TE_COEFFICIENT_CALC]]),3)</f>
        <v>0.25</v>
      </c>
      <c r="AD954" s="27" cm="1">
        <f t="array" ref="AD9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4" s="26">
        <v>0</v>
      </c>
      <c r="AF954" s="6">
        <v>0</v>
      </c>
      <c r="AG954" t="s">
        <v>240</v>
      </c>
      <c r="AH954" t="s">
        <v>234</v>
      </c>
      <c r="AI954" t="s">
        <v>238</v>
      </c>
      <c r="AJ954" s="2" t="s">
        <v>229</v>
      </c>
      <c r="AK954" s="2" t="s">
        <v>244</v>
      </c>
      <c r="AL954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4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4" s="2" t="str">
        <f>SUBSTITUTE(SUBSTITUTE(PROPERTIES[[#This Row],[PURCHASECOST_VALUE]], "PURCHASECOST_", ""), "_VALUE", "")</f>
        <v>DIESELENGINE</v>
      </c>
      <c r="AO954" s="44" t="b">
        <v>0</v>
      </c>
      <c r="AP954" s="48" t="b">
        <v>0</v>
      </c>
      <c r="AQ954" s="48" t="b">
        <v>0</v>
      </c>
      <c r="AR954" s="48">
        <v>0</v>
      </c>
      <c r="AS954" s="48" t="b">
        <v>0</v>
      </c>
      <c r="AT954" s="7" t="b">
        <v>0</v>
      </c>
      <c r="AU954" s="40" t="str" cm="1">
        <f t="array" ref="AU954">_xlfn.XLOOKUP(PROPERTIES[[#This Row],[VEHIDCODE]],GRAPHICS_PROPERTIES[VEHIDCODE],GRAPHICS_PROPERTIES[TEMPLATE_ID]&amp;GRAPHICS_PROPERTIES[TEMPLATE_AMENDMENT_CODE])</f>
        <v>TPL_01A</v>
      </c>
    </row>
    <row r="955" spans="1:47" x14ac:dyDescent="0.35">
      <c r="A955" s="2" t="s">
        <v>3386</v>
      </c>
      <c r="B955">
        <v>1987</v>
      </c>
      <c r="C955">
        <v>2022</v>
      </c>
      <c r="D955" cm="1">
        <f t="array" ref="D9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5" s="40" t="str">
        <f>_xlfn.XLOOKUP(PROPERTIES[[#This Row],[VEHIDCODE]],CONTROL[VEHIDCODE],CONTROL[ENGLISH])</f>
        <v>GE C40-8 'Dash-8'</v>
      </c>
      <c r="F955" t="s">
        <v>558</v>
      </c>
      <c r="G955" s="40" t="str">
        <f>_xlfn.XLOOKUP(PROPERTIES[[#This Row],[COUNTRY]],COUNTRIES[COUNTRY_DESCRIPTION],COUNTRIES[COUNTRY_LABEL],"")</f>
        <v>BR</v>
      </c>
      <c r="H955" t="str" cm="1">
        <f t="array" ref="H9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5" t="s">
        <v>17</v>
      </c>
      <c r="J955">
        <v>0</v>
      </c>
      <c r="K955">
        <v>8</v>
      </c>
      <c r="L955">
        <v>0</v>
      </c>
      <c r="M955" t="str" cm="1">
        <f t="array" ref="M9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5">
        <f>_xlfn.XLOOKUP("LOADINGSPEEDDEF_"&amp;PROPERTIES[[#This Row],[LOADINGSPEED]],LOADINGSPEEDDEF[TYPE],LOADINGSPEEDDEF[SPEED])</f>
        <v>20</v>
      </c>
      <c r="O955" t="str" cm="1">
        <f t="array" ref="O9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55">
        <f>IF(ISNUMBER(SEARCH("passenger",PROPERTIES[[#This Row],[CARGODEF]])),1,0)</f>
        <v>0</v>
      </c>
      <c r="Q955" s="23">
        <v>177.6</v>
      </c>
      <c r="R955">
        <v>4000</v>
      </c>
      <c r="S955">
        <v>0</v>
      </c>
      <c r="T955">
        <v>0</v>
      </c>
      <c r="U955">
        <v>0</v>
      </c>
      <c r="V955">
        <v>113</v>
      </c>
      <c r="W955">
        <v>0</v>
      </c>
      <c r="X955">
        <v>0</v>
      </c>
      <c r="Y955">
        <v>0</v>
      </c>
      <c r="Z955" s="20">
        <v>400</v>
      </c>
      <c r="AA955" s="20">
        <f>IFERROR(PROPERTIES[[#This Row],[TE_STARTING_KN]]/(PROPERTIES[[#This Row],[WEIGHT]]*9.81),0)</f>
        <v>0.22958738555068831</v>
      </c>
      <c r="AB955" s="20">
        <v>0</v>
      </c>
      <c r="AC955" s="16">
        <f>ROUND(IF(IFERROR(PROPERTIES[[#This Row],[TE_COEFFICIENT_CALC]],0)=0,PROPERTIES[[#This Row],[TE_COEFFICIENT_MANUAL]],PROPERTIES[[#This Row],[TE_COEFFICIENT_CALC]]),3)</f>
        <v>0.23</v>
      </c>
      <c r="AD955" s="27" cm="1">
        <f t="array" ref="AD9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5" s="26">
        <v>0</v>
      </c>
      <c r="AF955" s="6">
        <v>0</v>
      </c>
      <c r="AG955" t="s">
        <v>240</v>
      </c>
      <c r="AH955" t="s">
        <v>229</v>
      </c>
      <c r="AI955" t="s">
        <v>229</v>
      </c>
      <c r="AJ955" s="2" t="s">
        <v>229</v>
      </c>
      <c r="AK955" s="2" t="s">
        <v>244</v>
      </c>
      <c r="AL955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5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5" s="2" t="str">
        <f>SUBSTITUTE(SUBSTITUTE(PROPERTIES[[#This Row],[PURCHASECOST_VALUE]], "PURCHASECOST_", ""), "_VALUE", "")</f>
        <v>DIESELENGINE</v>
      </c>
      <c r="AO955" s="44" t="b">
        <v>0</v>
      </c>
      <c r="AP955" s="48" t="b">
        <v>0</v>
      </c>
      <c r="AQ955" s="48" t="b">
        <v>0</v>
      </c>
      <c r="AR955" s="48">
        <v>0</v>
      </c>
      <c r="AS955" s="48" t="b">
        <v>0</v>
      </c>
      <c r="AT955" s="7" t="b">
        <v>0</v>
      </c>
      <c r="AU955" s="40" t="str" cm="1">
        <f t="array" ref="AU955">_xlfn.XLOOKUP(PROPERTIES[[#This Row],[VEHIDCODE]],GRAPHICS_PROPERTIES[VEHIDCODE],GRAPHICS_PROPERTIES[TEMPLATE_ID]&amp;GRAPHICS_PROPERTIES[TEMPLATE_AMENDMENT_CODE])</f>
        <v>TPL_01A</v>
      </c>
    </row>
    <row r="956" spans="1:47" x14ac:dyDescent="0.35">
      <c r="A956" s="2" t="s">
        <v>3387</v>
      </c>
      <c r="B956">
        <v>1993</v>
      </c>
      <c r="D956" cm="1">
        <f t="array" ref="D9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6" s="40" t="str">
        <f>_xlfn.XLOOKUP(PROPERTIES[[#This Row],[VEHIDCODE]],CONTROL[VEHIDCODE],CONTROL[ENGLISH])</f>
        <v>GE C44-9W 'Dash 9'</v>
      </c>
      <c r="F956" t="s">
        <v>565</v>
      </c>
      <c r="G956" s="40" t="str">
        <f>_xlfn.XLOOKUP(PROPERTIES[[#This Row],[COUNTRY]],COUNTRIES[COUNTRY_DESCRIPTION],COUNTRIES[COUNTRY_LABEL],"")</f>
        <v>CA</v>
      </c>
      <c r="H956" t="str" cm="1">
        <f t="array" ref="H9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6" t="s">
        <v>17</v>
      </c>
      <c r="J956">
        <v>0</v>
      </c>
      <c r="K956">
        <v>8</v>
      </c>
      <c r="L956">
        <v>0</v>
      </c>
      <c r="M956" t="str" cm="1">
        <f t="array" ref="M9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6">
        <f>_xlfn.XLOOKUP("LOADINGSPEEDDEF_"&amp;PROPERTIES[[#This Row],[LOADINGSPEED]],LOADINGSPEEDDEF[TYPE],LOADINGSPEEDDEF[SPEED])</f>
        <v>20</v>
      </c>
      <c r="O956" t="str" cm="1">
        <f t="array" ref="O9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56">
        <f>IF(ISNUMBER(SEARCH("passenger",PROPERTIES[[#This Row],[CARGODEF]])),1,0)</f>
        <v>0</v>
      </c>
      <c r="Q956" s="23">
        <v>193</v>
      </c>
      <c r="R956">
        <v>4400</v>
      </c>
      <c r="S956">
        <v>0</v>
      </c>
      <c r="T956">
        <v>0</v>
      </c>
      <c r="U956">
        <v>0</v>
      </c>
      <c r="V956">
        <v>119</v>
      </c>
      <c r="W956">
        <v>0</v>
      </c>
      <c r="X956">
        <v>0</v>
      </c>
      <c r="Y956">
        <v>0</v>
      </c>
      <c r="Z956" s="20">
        <v>640</v>
      </c>
      <c r="AA956" s="20">
        <f>IFERROR(PROPERTIES[[#This Row],[TE_STARTING_KN]]/(PROPERTIES[[#This Row],[WEIGHT]]*9.81),0)</f>
        <v>0.3380287641351481</v>
      </c>
      <c r="AB956" s="20">
        <v>0</v>
      </c>
      <c r="AC956" s="16">
        <f>ROUND(IF(IFERROR(PROPERTIES[[#This Row],[TE_COEFFICIENT_CALC]],0)=0,PROPERTIES[[#This Row],[TE_COEFFICIENT_MANUAL]],PROPERTIES[[#This Row],[TE_COEFFICIENT_CALC]]),3)</f>
        <v>0.33800000000000002</v>
      </c>
      <c r="AD956" s="27" cm="1">
        <f t="array" ref="AD9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6" s="26">
        <v>0</v>
      </c>
      <c r="AF956" s="6">
        <v>0</v>
      </c>
      <c r="AG956" t="s">
        <v>240</v>
      </c>
      <c r="AH956" t="s">
        <v>232</v>
      </c>
      <c r="AI956" t="s">
        <v>229</v>
      </c>
      <c r="AJ956" s="2" t="s">
        <v>229</v>
      </c>
      <c r="AK956" s="2" t="s">
        <v>244</v>
      </c>
      <c r="AL956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6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6" s="2" t="str">
        <f>SUBSTITUTE(SUBSTITUTE(PROPERTIES[[#This Row],[PURCHASECOST_VALUE]], "PURCHASECOST_", ""), "_VALUE", "")</f>
        <v>DIESELENGINE</v>
      </c>
      <c r="AO956" s="44" t="b">
        <v>0</v>
      </c>
      <c r="AP956" s="48" t="b">
        <v>0</v>
      </c>
      <c r="AQ956" s="48" t="b">
        <v>0</v>
      </c>
      <c r="AR956" s="48">
        <v>0</v>
      </c>
      <c r="AS956" s="48" t="b">
        <v>0</v>
      </c>
      <c r="AT956" s="7" t="b">
        <v>0</v>
      </c>
      <c r="AU956" s="40" t="str" cm="1">
        <f t="array" ref="AU956">_xlfn.XLOOKUP(PROPERTIES[[#This Row],[VEHIDCODE]],GRAPHICS_PROPERTIES[VEHIDCODE],GRAPHICS_PROPERTIES[TEMPLATE_ID]&amp;GRAPHICS_PROPERTIES[TEMPLATE_AMENDMENT_CODE])</f>
        <v>TPL_01A</v>
      </c>
    </row>
    <row r="957" spans="1:47" x14ac:dyDescent="0.35">
      <c r="A957" s="2" t="s">
        <v>3477</v>
      </c>
      <c r="B957">
        <v>1971</v>
      </c>
      <c r="D957" cm="1">
        <f t="array" ref="D9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7" s="40" t="str">
        <f>_xlfn.XLOOKUP(PROPERTIES[[#This Row],[VEHIDCODE]],CONTROL[VEHIDCODE],CONTROL[ENGLISH])</f>
        <v>EMD GP40</v>
      </c>
      <c r="F957" t="s">
        <v>757</v>
      </c>
      <c r="G957" s="40" t="str">
        <f>_xlfn.XLOOKUP(PROPERTIES[[#This Row],[COUNTRY]],COUNTRIES[COUNTRY_DESCRIPTION],COUNTRIES[COUNTRY_LABEL],"")</f>
        <v>US</v>
      </c>
      <c r="H957" t="str" cm="1">
        <f t="array" ref="H9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7" t="s">
        <v>17</v>
      </c>
      <c r="J957">
        <v>0</v>
      </c>
      <c r="K957">
        <v>7</v>
      </c>
      <c r="L957">
        <v>0</v>
      </c>
      <c r="M957" t="str" cm="1">
        <f t="array" ref="M9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7">
        <f>_xlfn.XLOOKUP("LOADINGSPEEDDEF_"&amp;PROPERTIES[[#This Row],[LOADINGSPEED]],LOADINGSPEEDDEF[TYPE],LOADINGSPEEDDEF[SPEED])</f>
        <v>20</v>
      </c>
      <c r="O957" cm="1">
        <f t="array" ref="O9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7">
        <f>IF(ISNUMBER(SEARCH("passenger",PROPERTIES[[#This Row],[CARGODEF]])),1,0)</f>
        <v>0</v>
      </c>
      <c r="Q957" s="23">
        <v>119</v>
      </c>
      <c r="R957">
        <v>3000</v>
      </c>
      <c r="S957">
        <v>0</v>
      </c>
      <c r="T957">
        <v>0</v>
      </c>
      <c r="U957">
        <v>0</v>
      </c>
      <c r="V957">
        <f>INT(75*1.62)</f>
        <v>121</v>
      </c>
      <c r="W957">
        <v>0</v>
      </c>
      <c r="X957">
        <v>0</v>
      </c>
      <c r="Y957">
        <v>0</v>
      </c>
      <c r="Z957" s="20">
        <v>278</v>
      </c>
      <c r="AA957" s="20">
        <f>IFERROR(PROPERTIES[[#This Row],[TE_STARTING_KN]]/(PROPERTIES[[#This Row],[WEIGHT]]*9.81),0)</f>
        <v>0.23813806868313073</v>
      </c>
      <c r="AB957" s="20">
        <v>0</v>
      </c>
      <c r="AC957" s="16">
        <f>ROUND(IF(IFERROR(PROPERTIES[[#This Row],[TE_COEFFICIENT_CALC]],0)=0,PROPERTIES[[#This Row],[TE_COEFFICIENT_MANUAL]],PROPERTIES[[#This Row],[TE_COEFFICIENT_CALC]]),3)</f>
        <v>0.23799999999999999</v>
      </c>
      <c r="AD957" s="27" cm="1">
        <f t="array" ref="AD9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7" s="26">
        <v>0</v>
      </c>
      <c r="AF957" s="6">
        <v>0</v>
      </c>
      <c r="AG957" t="s">
        <v>240</v>
      </c>
      <c r="AH957" t="s">
        <v>229</v>
      </c>
      <c r="AI957" t="s">
        <v>229</v>
      </c>
      <c r="AJ957" s="2" t="s">
        <v>229</v>
      </c>
      <c r="AK957" s="2" t="s">
        <v>244</v>
      </c>
      <c r="AL957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7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7" s="2" t="str">
        <f>SUBSTITUTE(SUBSTITUTE(PROPERTIES[[#This Row],[PURCHASECOST_VALUE]], "PURCHASECOST_", ""), "_VALUE", "")</f>
        <v>DIESELENGINE</v>
      </c>
      <c r="AO957" s="44" t="b">
        <v>0</v>
      </c>
      <c r="AP957" s="48" t="b">
        <v>0</v>
      </c>
      <c r="AQ957" s="48" t="b">
        <v>1</v>
      </c>
      <c r="AR957" s="48">
        <v>0</v>
      </c>
      <c r="AS957" s="48" t="b">
        <v>0</v>
      </c>
      <c r="AT957" s="7" t="b">
        <v>1</v>
      </c>
      <c r="AU957" s="40" t="str" cm="1">
        <f t="array" ref="AU957">_xlfn.XLOOKUP(PROPERTIES[[#This Row],[VEHIDCODE]],GRAPHICS_PROPERTIES[VEHIDCODE],GRAPHICS_PROPERTIES[TEMPLATE_ID]&amp;GRAPHICS_PROPERTIES[TEMPLATE_AMENDMENT_CODE])</f>
        <v>TPL_01A</v>
      </c>
    </row>
    <row r="958" spans="1:47" x14ac:dyDescent="0.35">
      <c r="A958" s="2" t="s">
        <v>3388</v>
      </c>
      <c r="B958">
        <v>1889</v>
      </c>
      <c r="C958">
        <v>1904</v>
      </c>
      <c r="D958" cm="1">
        <f t="array" ref="D9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8" s="40" t="str">
        <f>_xlfn.XLOOKUP(PROPERTIES[[#This Row],[VEHIDCODE]],CONTROL[VEHIDCODE],CONTROL[ENGLISH])</f>
        <v>Kitson 2-2-2 3166-3171</v>
      </c>
      <c r="F958" t="s">
        <v>592</v>
      </c>
      <c r="G958" s="40" t="str">
        <f>_xlfn.XLOOKUP(PROPERTIES[[#This Row],[COUNTRY]],COUNTRIES[COUNTRY_DESCRIPTION],COUNTRIES[COUNTRY_LABEL],"")</f>
        <v>EG</v>
      </c>
      <c r="H958" t="str" cm="1">
        <f t="array" ref="H9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58" t="s">
        <v>17</v>
      </c>
      <c r="J958">
        <v>0</v>
      </c>
      <c r="K958">
        <v>4</v>
      </c>
      <c r="L958">
        <v>0</v>
      </c>
      <c r="M958" t="str" cm="1">
        <f t="array" ref="M9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8">
        <f>_xlfn.XLOOKUP("LOADINGSPEEDDEF_"&amp;PROPERTIES[[#This Row],[LOADINGSPEED]],LOADINGSPEEDDEF[TYPE],LOADINGSPEEDDEF[SPEED])</f>
        <v>20</v>
      </c>
      <c r="O958" cm="1">
        <f t="array" ref="O9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8">
        <f>IF(ISNUMBER(SEARCH("passenger",PROPERTIES[[#This Row],[CARGODEF]])),1,0)</f>
        <v>0</v>
      </c>
      <c r="Q958" s="23">
        <v>64.5</v>
      </c>
      <c r="R958">
        <v>550</v>
      </c>
      <c r="S958">
        <v>0</v>
      </c>
      <c r="T958">
        <v>0</v>
      </c>
      <c r="U958">
        <v>0</v>
      </c>
      <c r="V958">
        <v>95</v>
      </c>
      <c r="W958">
        <v>0</v>
      </c>
      <c r="X958">
        <v>0</v>
      </c>
      <c r="Y958">
        <v>0</v>
      </c>
      <c r="Z958" s="20">
        <v>47.2</v>
      </c>
      <c r="AA958" s="19">
        <f>IFERROR(PROPERTIES[[#This Row],[TE_STARTING_KN]]/(PROPERTIES[[#This Row],[WEIGHT]]*9.81),0)</f>
        <v>7.4595611186180855E-2</v>
      </c>
      <c r="AB958" s="19">
        <v>0</v>
      </c>
      <c r="AC958" s="16">
        <f>ROUND(IF(IFERROR(PROPERTIES[[#This Row],[TE_COEFFICIENT_CALC]],0)=0,PROPERTIES[[#This Row],[TE_COEFFICIENT_MANUAL]],PROPERTIES[[#This Row],[TE_COEFFICIENT_CALC]]),3)</f>
        <v>7.4999999999999997E-2</v>
      </c>
      <c r="AD958" s="8" cm="1">
        <f t="array" ref="AD9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58" s="26">
        <v>0</v>
      </c>
      <c r="AF958" s="6">
        <v>3</v>
      </c>
      <c r="AG958" t="s">
        <v>233</v>
      </c>
      <c r="AH958" t="s">
        <v>229</v>
      </c>
      <c r="AI958" t="s">
        <v>229</v>
      </c>
      <c r="AJ958" s="2" t="s">
        <v>229</v>
      </c>
      <c r="AK958" s="2" t="s">
        <v>244</v>
      </c>
      <c r="AL95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5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58" s="2" t="str">
        <f>SUBSTITUTE(SUBSTITUTE(PROPERTIES[[#This Row],[PURCHASECOST_VALUE]], "PURCHASECOST_", ""), "_VALUE", "")</f>
        <v>STEAMENGINE</v>
      </c>
      <c r="AO958" s="44" t="b">
        <v>0</v>
      </c>
      <c r="AP958" s="48" t="b">
        <v>0</v>
      </c>
      <c r="AQ958" s="48" t="b">
        <v>0</v>
      </c>
      <c r="AR958" s="48">
        <v>0</v>
      </c>
      <c r="AS958" s="48" t="b">
        <v>0</v>
      </c>
      <c r="AT958" s="7" t="b">
        <v>0</v>
      </c>
      <c r="AU958" s="40" t="str" cm="1">
        <f t="array" ref="AU958">_xlfn.XLOOKUP(PROPERTIES[[#This Row],[VEHIDCODE]],GRAPHICS_PROPERTIES[VEHIDCODE],GRAPHICS_PROPERTIES[TEMPLATE_ID]&amp;GRAPHICS_PROPERTIES[TEMPLATE_AMENDMENT_CODE])</f>
        <v>TPL_03A</v>
      </c>
    </row>
    <row r="959" spans="1:47" x14ac:dyDescent="0.35">
      <c r="A959" t="s">
        <v>3389</v>
      </c>
      <c r="B959">
        <v>1898</v>
      </c>
      <c r="D959" cm="1">
        <f t="array" ref="D9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9" s="40" t="str">
        <f>_xlfn.XLOOKUP(PROPERTIES[[#This Row],[VEHIDCODE]],CONTROL[VEHIDCODE],CONTROL[ENGLISH])</f>
        <v>Burnham 2-6-0 15857-15871</v>
      </c>
      <c r="F959" t="s">
        <v>592</v>
      </c>
      <c r="G959" s="40" t="str">
        <f>_xlfn.XLOOKUP(PROPERTIES[[#This Row],[COUNTRY]],COUNTRIES[COUNTRY_DESCRIPTION],COUNTRIES[COUNTRY_LABEL],"")</f>
        <v>EG</v>
      </c>
      <c r="H959" t="str" cm="1">
        <f t="array" ref="H9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59" t="s">
        <v>17</v>
      </c>
      <c r="J959">
        <v>0</v>
      </c>
      <c r="K959">
        <v>5</v>
      </c>
      <c r="L959">
        <v>0</v>
      </c>
      <c r="M959" t="str" cm="1">
        <f t="array" ref="M9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9">
        <f>_xlfn.XLOOKUP("LOADINGSPEEDDEF_"&amp;PROPERTIES[[#This Row],[LOADINGSPEED]],LOADINGSPEEDDEF[TYPE],LOADINGSPEEDDEF[SPEED])</f>
        <v>20</v>
      </c>
      <c r="O959" cm="1">
        <f t="array" ref="O9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9">
        <f>IF(ISNUMBER(SEARCH("passenger",PROPERTIES[[#This Row],[CARGODEF]])),1,0)</f>
        <v>0</v>
      </c>
      <c r="Q959" s="23">
        <v>64.2</v>
      </c>
      <c r="R959">
        <v>650</v>
      </c>
      <c r="S959">
        <v>0</v>
      </c>
      <c r="T959">
        <v>0</v>
      </c>
      <c r="U959">
        <v>0</v>
      </c>
      <c r="V959">
        <v>75</v>
      </c>
      <c r="W959">
        <v>0</v>
      </c>
      <c r="X959">
        <v>0</v>
      </c>
      <c r="Y959">
        <v>0</v>
      </c>
      <c r="Z959" s="20">
        <v>80</v>
      </c>
      <c r="AA959" s="19">
        <f>IFERROR(PROPERTIES[[#This Row],[TE_STARTING_KN]]/(PROPERTIES[[#This Row],[WEIGHT]]*9.81),0)</f>
        <v>0.12702404882804436</v>
      </c>
      <c r="AB959" s="19">
        <v>0</v>
      </c>
      <c r="AC959" s="16">
        <f>ROUND(IF(IFERROR(PROPERTIES[[#This Row],[TE_COEFFICIENT_CALC]],0)=0,PROPERTIES[[#This Row],[TE_COEFFICIENT_MANUAL]],PROPERTIES[[#This Row],[TE_COEFFICIENT_CALC]]),3)</f>
        <v>0.127</v>
      </c>
      <c r="AD959" s="8" cm="1">
        <f t="array" ref="AD9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59" s="26">
        <v>0</v>
      </c>
      <c r="AF959" s="6">
        <v>3</v>
      </c>
      <c r="AG959" t="s">
        <v>233</v>
      </c>
      <c r="AH959" t="s">
        <v>229</v>
      </c>
      <c r="AI959" t="s">
        <v>229</v>
      </c>
      <c r="AJ959" s="2" t="s">
        <v>229</v>
      </c>
      <c r="AK959" s="2" t="s">
        <v>244</v>
      </c>
      <c r="AL95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5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59" s="2" t="str">
        <f>SUBSTITUTE(SUBSTITUTE(PROPERTIES[[#This Row],[PURCHASECOST_VALUE]], "PURCHASECOST_", ""), "_VALUE", "")</f>
        <v>STEAMENGINE</v>
      </c>
      <c r="AO959" s="44" t="b">
        <v>0</v>
      </c>
      <c r="AP959" s="48" t="b">
        <v>0</v>
      </c>
      <c r="AQ959" s="48" t="b">
        <v>0</v>
      </c>
      <c r="AR959" s="48">
        <v>0</v>
      </c>
      <c r="AS959" s="48" t="b">
        <v>0</v>
      </c>
      <c r="AT959" s="7" t="b">
        <v>0</v>
      </c>
      <c r="AU959" s="40" t="str" cm="1">
        <f t="array" ref="AU959">_xlfn.XLOOKUP(PROPERTIES[[#This Row],[VEHIDCODE]],GRAPHICS_PROPERTIES[VEHIDCODE],GRAPHICS_PROPERTIES[TEMPLATE_ID]&amp;GRAPHICS_PROPERTIES[TEMPLATE_AMENDMENT_CODE])</f>
        <v>TPL_03A</v>
      </c>
    </row>
    <row r="960" spans="1:47" x14ac:dyDescent="0.35">
      <c r="A960" t="s">
        <v>3390</v>
      </c>
      <c r="B960">
        <v>1892</v>
      </c>
      <c r="D960" cm="1">
        <f t="array" ref="D9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0" s="40" t="str">
        <f>_xlfn.XLOOKUP(PROPERTIES[[#This Row],[VEHIDCODE]],CONTROL[VEHIDCODE],CONTROL[ENGLISH])</f>
        <v>SA Franco-Belge 0-6-0 'Class 4'</v>
      </c>
      <c r="F960" t="s">
        <v>592</v>
      </c>
      <c r="G960" s="40" t="str">
        <f>_xlfn.XLOOKUP(PROPERTIES[[#This Row],[COUNTRY]],COUNTRIES[COUNTRY_DESCRIPTION],COUNTRIES[COUNTRY_LABEL],"")</f>
        <v>EG</v>
      </c>
      <c r="H960" t="str" cm="1">
        <f t="array" ref="H9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60" t="s">
        <v>17</v>
      </c>
      <c r="J960">
        <v>0</v>
      </c>
      <c r="K960">
        <v>5</v>
      </c>
      <c r="L960">
        <v>0</v>
      </c>
      <c r="M960" t="str" cm="1">
        <f t="array" ref="M9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0">
        <f>_xlfn.XLOOKUP("LOADINGSPEEDDEF_"&amp;PROPERTIES[[#This Row],[LOADINGSPEED]],LOADINGSPEEDDEF[TYPE],LOADINGSPEEDDEF[SPEED])</f>
        <v>20</v>
      </c>
      <c r="O960" cm="1">
        <f t="array" ref="O9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0">
        <f>IF(ISNUMBER(SEARCH("passenger",PROPERTIES[[#This Row],[CARGODEF]])),1,0)</f>
        <v>0</v>
      </c>
      <c r="Q960" s="23">
        <v>65.3</v>
      </c>
      <c r="R960">
        <v>650</v>
      </c>
      <c r="S960">
        <v>0</v>
      </c>
      <c r="T960">
        <v>0</v>
      </c>
      <c r="U960">
        <v>0</v>
      </c>
      <c r="V960">
        <v>60</v>
      </c>
      <c r="W960">
        <v>0</v>
      </c>
      <c r="X960">
        <v>0</v>
      </c>
      <c r="Y960">
        <v>0</v>
      </c>
      <c r="Z960" s="20">
        <v>66.13</v>
      </c>
      <c r="AA960" s="19">
        <f>IFERROR(PROPERTIES[[#This Row],[TE_STARTING_KN]]/(PROPERTIES[[#This Row],[WEIGHT]]*9.81),0)</f>
        <v>0.10323247366112337</v>
      </c>
      <c r="AB960" s="19">
        <v>0</v>
      </c>
      <c r="AC960" s="16">
        <f>ROUND(IF(IFERROR(PROPERTIES[[#This Row],[TE_COEFFICIENT_CALC]],0)=0,PROPERTIES[[#This Row],[TE_COEFFICIENT_MANUAL]],PROPERTIES[[#This Row],[TE_COEFFICIENT_CALC]]),3)</f>
        <v>0.10299999999999999</v>
      </c>
      <c r="AD960" s="8" cm="1">
        <f t="array" ref="AD9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60" s="26">
        <v>0</v>
      </c>
      <c r="AF960" s="6">
        <v>3</v>
      </c>
      <c r="AG960" t="s">
        <v>233</v>
      </c>
      <c r="AH960" t="s">
        <v>229</v>
      </c>
      <c r="AI960" t="s">
        <v>229</v>
      </c>
      <c r="AJ960" s="2" t="s">
        <v>229</v>
      </c>
      <c r="AK960" s="7" t="s">
        <v>244</v>
      </c>
      <c r="AL960" s="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60" s="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60" s="2" t="str">
        <f>SUBSTITUTE(SUBSTITUTE(PROPERTIES[[#This Row],[PURCHASECOST_VALUE]], "PURCHASECOST_", ""), "_VALUE", "")</f>
        <v>STEAMENGINE</v>
      </c>
      <c r="AO960" s="44" t="b">
        <v>0</v>
      </c>
      <c r="AP960" s="48" t="b">
        <v>0</v>
      </c>
      <c r="AQ960" s="48" t="b">
        <v>0</v>
      </c>
      <c r="AR960" s="48">
        <v>0</v>
      </c>
      <c r="AS960" s="48" t="b">
        <v>0</v>
      </c>
      <c r="AT960" s="7" t="b">
        <v>0</v>
      </c>
      <c r="AU960" s="40" t="str" cm="1">
        <f t="array" ref="AU960">_xlfn.XLOOKUP(PROPERTIES[[#This Row],[VEHIDCODE]],GRAPHICS_PROPERTIES[VEHIDCODE],GRAPHICS_PROPERTIES[TEMPLATE_ID]&amp;GRAPHICS_PROPERTIES[TEMPLATE_AMENDMENT_CODE])</f>
        <v>TPL_03C</v>
      </c>
    </row>
    <row r="961" spans="1:47" x14ac:dyDescent="0.35">
      <c r="A961" s="2" t="s">
        <v>3391</v>
      </c>
      <c r="B961">
        <v>2010</v>
      </c>
      <c r="D961" cm="1">
        <f t="array" ref="D9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1" s="40" t="str">
        <f>_xlfn.XLOOKUP(PROPERTIES[[#This Row],[VEHIDCODE]],CONTROL[VEHIDCODE],CONTROL[ENGLISH])</f>
        <v>ACME Corp. Pegasus</v>
      </c>
      <c r="F961" t="s">
        <v>1028</v>
      </c>
      <c r="G961" s="40" t="str">
        <f>_xlfn.XLOOKUP(PROPERTIES[[#This Row],[COUNTRY]],COUNTRIES[COUNTRY_DESCRIPTION],COUNTRIES[COUNTRY_LABEL],"")</f>
        <v>WRLD</v>
      </c>
      <c r="H961" t="str" cm="1">
        <f t="array" ref="H9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961" t="s">
        <v>17</v>
      </c>
      <c r="J961">
        <v>0</v>
      </c>
      <c r="K961">
        <v>7</v>
      </c>
      <c r="L961">
        <v>0</v>
      </c>
      <c r="M961" t="str" cm="1">
        <f t="array" ref="M9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1">
        <f>_xlfn.XLOOKUP("LOADINGSPEEDDEF_"&amp;PROPERTIES[[#This Row],[LOADINGSPEED]],LOADINGSPEEDDEF[TYPE],LOADINGSPEEDDEF[SPEED])</f>
        <v>20</v>
      </c>
      <c r="O961" t="str" cm="1">
        <f t="array" ref="O9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61">
        <f>IF(ISNUMBER(SEARCH("passenger",PROPERTIES[[#This Row],[CARGODEF]])),1,0)</f>
        <v>0</v>
      </c>
      <c r="Q961" s="23">
        <v>130</v>
      </c>
      <c r="R961">
        <v>15000</v>
      </c>
      <c r="S961">
        <v>0</v>
      </c>
      <c r="T961">
        <v>0</v>
      </c>
      <c r="U961">
        <v>0</v>
      </c>
      <c r="V961">
        <v>480</v>
      </c>
      <c r="W961">
        <v>0</v>
      </c>
      <c r="X961">
        <v>0</v>
      </c>
      <c r="Y961">
        <v>0</v>
      </c>
      <c r="Z961" s="20">
        <v>800</v>
      </c>
      <c r="AA961" s="20">
        <f>IFERROR(PROPERTIES[[#This Row],[TE_STARTING_KN]]/(PROPERTIES[[#This Row],[WEIGHT]]*9.81),0)</f>
        <v>0.62730337959695759</v>
      </c>
      <c r="AB961" s="20">
        <v>0</v>
      </c>
      <c r="AC961" s="16">
        <f>ROUND(IF(IFERROR(PROPERTIES[[#This Row],[TE_COEFFICIENT_CALC]],0)=0,PROPERTIES[[#This Row],[TE_COEFFICIENT_MANUAL]],PROPERTIES[[#This Row],[TE_COEFFICIENT_CALC]]),3)</f>
        <v>0.627</v>
      </c>
      <c r="AD961" s="27" cm="1">
        <f t="array" ref="AD9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61" s="26">
        <v>0</v>
      </c>
      <c r="AF961" s="6">
        <v>0</v>
      </c>
      <c r="AG961" t="s">
        <v>241</v>
      </c>
      <c r="AH961" t="s">
        <v>229</v>
      </c>
      <c r="AI961" t="s">
        <v>229</v>
      </c>
      <c r="AJ961" s="2" t="s">
        <v>229</v>
      </c>
      <c r="AK961" s="7" t="s">
        <v>245</v>
      </c>
      <c r="AL961" s="6" t="str">
        <f>"PURCHASECOST_"&amp;_xlfn.XLOOKUP(_xlfn.XLOOKUP(PROPERTIES[[#This Row],[VEHIDCODE]],CONTROL[VEHIDCODE],CONTROL[VEHID_ID_CATEGORY]),VEHICLE_ID_RANGES[ID Type],VEHICLE_ID_RANGES[COST_VALUE_TYPE])&amp;"_VALUE"</f>
        <v>PURCHASECOST_MAGLEVENGINE_VALUE</v>
      </c>
      <c r="AM961" s="6" t="str">
        <f>"RUNNINGCOST_"&amp;_xlfn.XLOOKUP(_xlfn.XLOOKUP(PROPERTIES[[#This Row],[VEHIDCODE]],CONTROL[VEHIDCODE],CONTROL[VEHID_ID_CATEGORY]),VEHICLE_ID_RANGES[ID Type],VEHICLE_ID_RANGES[COST_VALUE_TYPE])&amp;"_VALUE"</f>
        <v>RUNNINGCOST_MAGLEVENGINE_VALUE</v>
      </c>
      <c r="AN961" s="2" t="str">
        <f>SUBSTITUTE(SUBSTITUTE(PROPERTIES[[#This Row],[PURCHASECOST_VALUE]], "PURCHASECOST_", ""), "_VALUE", "")</f>
        <v>MAGLEVENGINE</v>
      </c>
      <c r="AO961" s="44" t="b">
        <v>0</v>
      </c>
      <c r="AP961" s="48" t="b">
        <v>0</v>
      </c>
      <c r="AQ961" s="49" t="b">
        <v>0</v>
      </c>
      <c r="AR961" s="49">
        <v>0</v>
      </c>
      <c r="AS961" s="49" t="b">
        <v>0</v>
      </c>
      <c r="AT961" s="6" t="b">
        <v>0</v>
      </c>
      <c r="AU961" s="40" t="str" cm="1">
        <f t="array" ref="AU961">_xlfn.XLOOKUP(PROPERTIES[[#This Row],[VEHIDCODE]],GRAPHICS_PROPERTIES[VEHIDCODE],GRAPHICS_PROPERTIES[TEMPLATE_ID]&amp;GRAPHICS_PROPERTIES[TEMPLATE_AMENDMENT_CODE])</f>
        <v>TPL_01A</v>
      </c>
    </row>
    <row r="962" spans="1:47" x14ac:dyDescent="0.35">
      <c r="A962" s="2" t="s">
        <v>3392</v>
      </c>
      <c r="B962">
        <v>2030</v>
      </c>
      <c r="D962" cm="1">
        <f t="array" ref="D9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62" s="40" t="str">
        <f>_xlfn.XLOOKUP(PROPERTIES[[#This Row],[VEHIDCODE]],CONTROL[VEHIDCODE],CONTROL[ENGLISH])</f>
        <v>ACME Corp. Chimaera</v>
      </c>
      <c r="F962" t="s">
        <v>1028</v>
      </c>
      <c r="G962" s="40" t="str">
        <f>_xlfn.XLOOKUP(PROPERTIES[[#This Row],[COUNTRY]],COUNTRIES[COUNTRY_DESCRIPTION],COUNTRIES[COUNTRY_LABEL],"")</f>
        <v>WRLD</v>
      </c>
      <c r="H962" t="str" cm="1">
        <f t="array" ref="H9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962" t="s">
        <v>22</v>
      </c>
      <c r="J962">
        <v>150</v>
      </c>
      <c r="K962">
        <v>7</v>
      </c>
      <c r="L962">
        <v>0</v>
      </c>
      <c r="M962" t="str" cm="1">
        <f t="array" ref="M9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62">
        <f>_xlfn.XLOOKUP("LOADINGSPEEDDEF_"&amp;PROPERTIES[[#This Row],[LOADINGSPEED]],LOADINGSPEEDDEF[TYPE],LOADINGSPEEDDEF[SPEED])</f>
        <v>20</v>
      </c>
      <c r="O962" t="str" cm="1">
        <f t="array" ref="O9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62">
        <f>IF(ISNUMBER(SEARCH("passenger",PROPERTIES[[#This Row],[CARGODEF]])),1,0)</f>
        <v>1</v>
      </c>
      <c r="Q962" s="23">
        <v>150</v>
      </c>
      <c r="R962">
        <v>20000</v>
      </c>
      <c r="S962">
        <v>0</v>
      </c>
      <c r="T962">
        <v>0</v>
      </c>
      <c r="U962">
        <v>0</v>
      </c>
      <c r="V962">
        <v>643</v>
      </c>
      <c r="W962">
        <v>0</v>
      </c>
      <c r="X962">
        <v>0</v>
      </c>
      <c r="Y962">
        <v>0</v>
      </c>
      <c r="Z962" s="20">
        <v>1000</v>
      </c>
      <c r="AA962" s="20">
        <f>IFERROR(PROPERTIES[[#This Row],[TE_STARTING_KN]]/(PROPERTIES[[#This Row],[WEIGHT]]*9.81),0)</f>
        <v>0.67957866123003741</v>
      </c>
      <c r="AB962" s="20">
        <v>0</v>
      </c>
      <c r="AC962" s="16">
        <f>ROUND(IF(IFERROR(PROPERTIES[[#This Row],[TE_COEFFICIENT_CALC]],0)=0,PROPERTIES[[#This Row],[TE_COEFFICIENT_MANUAL]],PROPERTIES[[#This Row],[TE_COEFFICIENT_CALC]]),3)</f>
        <v>0.68</v>
      </c>
      <c r="AD962" s="27" cm="1">
        <f t="array" ref="AD9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62" s="26">
        <v>150</v>
      </c>
      <c r="AF962" s="6">
        <v>7</v>
      </c>
      <c r="AG962" t="s">
        <v>241</v>
      </c>
      <c r="AH962" t="s">
        <v>229</v>
      </c>
      <c r="AI962" t="s">
        <v>229</v>
      </c>
      <c r="AJ962" s="2" t="s">
        <v>229</v>
      </c>
      <c r="AK962" s="7" t="s">
        <v>245</v>
      </c>
      <c r="AL962" s="6" t="str">
        <f>"PURCHASECOST_"&amp;_xlfn.XLOOKUP(_xlfn.XLOOKUP(PROPERTIES[[#This Row],[VEHIDCODE]],CONTROL[VEHIDCODE],CONTROL[VEHID_ID_CATEGORY]),VEHICLE_ID_RANGES[ID Type],VEHICLE_ID_RANGES[COST_VALUE_TYPE])&amp;"_VALUE"</f>
        <v>PURCHASECOST_MMU_VALUE</v>
      </c>
      <c r="AM962" s="6" t="str">
        <f>"RUNNINGCOST_"&amp;_xlfn.XLOOKUP(_xlfn.XLOOKUP(PROPERTIES[[#This Row],[VEHIDCODE]],CONTROL[VEHIDCODE],CONTROL[VEHID_ID_CATEGORY]),VEHICLE_ID_RANGES[ID Type],VEHICLE_ID_RANGES[COST_VALUE_TYPE])&amp;"_VALUE"</f>
        <v>RUNNINGCOST_MMU_VALUE</v>
      </c>
      <c r="AN962" s="2" t="str">
        <f>SUBSTITUTE(SUBSTITUTE(PROPERTIES[[#This Row],[PURCHASECOST_VALUE]], "PURCHASECOST_", ""), "_VALUE", "")</f>
        <v>MMU</v>
      </c>
      <c r="AO962" s="44" t="b">
        <v>0</v>
      </c>
      <c r="AP962" s="48" t="b">
        <v>0</v>
      </c>
      <c r="AQ962" s="49" t="b">
        <v>0</v>
      </c>
      <c r="AR962" s="49">
        <v>0</v>
      </c>
      <c r="AS962" s="49" t="b">
        <v>0</v>
      </c>
      <c r="AT962" s="6" t="b">
        <v>0</v>
      </c>
      <c r="AU962" s="40" t="str" cm="1">
        <f t="array" ref="AU962">_xlfn.XLOOKUP(PROPERTIES[[#This Row],[VEHIDCODE]],GRAPHICS_PROPERTIES[VEHIDCODE],GRAPHICS_PROPERTIES[TEMPLATE_ID]&amp;GRAPHICS_PROPERTIES[TEMPLATE_AMENDMENT_CODE])</f>
        <v>TPL_02A</v>
      </c>
    </row>
    <row r="963" spans="1:47" x14ac:dyDescent="0.35">
      <c r="A963" s="2" t="s">
        <v>1915</v>
      </c>
      <c r="B963">
        <v>2010</v>
      </c>
      <c r="D963" cm="1">
        <f t="array" ref="D9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3" s="40" t="str">
        <f>_xlfn.XLOOKUP(PROPERTIES[[#This Row],[VEHIDCODE]],CONTROL[VEHIDCODE],CONTROL[ENGLISH])</f>
        <v>ACME Corp. Chimaera Passenger Coach</v>
      </c>
      <c r="F963" t="s">
        <v>1028</v>
      </c>
      <c r="G963" s="40" t="str">
        <f>_xlfn.XLOOKUP(PROPERTIES[[#This Row],[COUNTRY]],COUNTRIES[COUNTRY_DESCRIPTION],COUNTRIES[COUNTRY_LABEL],"")</f>
        <v>WRLD</v>
      </c>
      <c r="H963" t="str" cm="1">
        <f t="array" ref="H9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963" t="s">
        <v>22</v>
      </c>
      <c r="J963">
        <v>150</v>
      </c>
      <c r="K963">
        <v>7</v>
      </c>
      <c r="L963">
        <v>0</v>
      </c>
      <c r="M963" t="str" cm="1">
        <f t="array" ref="M9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63">
        <f>_xlfn.XLOOKUP("LOADINGSPEEDDEF_"&amp;PROPERTIES[[#This Row],[LOADINGSPEED]],LOADINGSPEEDDEF[TYPE],LOADINGSPEEDDEF[SPEED])</f>
        <v>20</v>
      </c>
      <c r="O963" t="str" cm="1">
        <f t="array" ref="O9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63">
        <f>IF(ISNUMBER(SEARCH("passenger",PROPERTIES[[#This Row],[CARGODEF]])),1,0)</f>
        <v>1</v>
      </c>
      <c r="Q963" s="23">
        <v>35</v>
      </c>
      <c r="R963">
        <v>0</v>
      </c>
      <c r="S963">
        <v>0</v>
      </c>
      <c r="T963">
        <v>0</v>
      </c>
      <c r="U963">
        <v>0</v>
      </c>
      <c r="V963">
        <v>643</v>
      </c>
      <c r="W963">
        <v>0</v>
      </c>
      <c r="X963">
        <v>0</v>
      </c>
      <c r="Y963">
        <v>0</v>
      </c>
      <c r="Z963" s="20">
        <v>0</v>
      </c>
      <c r="AA963" s="20">
        <f>IFERROR(PROPERTIES[[#This Row],[TE_STARTING_KN]]/(PROPERTIES[[#This Row],[WEIGHT]]*9.81),0)</f>
        <v>0</v>
      </c>
      <c r="AB963" s="20">
        <v>0.3</v>
      </c>
      <c r="AC963" s="16">
        <f>ROUND(IF(IFERROR(PROPERTIES[[#This Row],[TE_COEFFICIENT_CALC]],0)=0,PROPERTIES[[#This Row],[TE_COEFFICIENT_MANUAL]],PROPERTIES[[#This Row],[TE_COEFFICIENT_CALC]]),3)</f>
        <v>0.3</v>
      </c>
      <c r="AD963" s="27" cm="1">
        <f t="array" ref="AD9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63" s="26">
        <v>150</v>
      </c>
      <c r="AF963" s="6">
        <v>7</v>
      </c>
      <c r="AG963" t="s">
        <v>241</v>
      </c>
      <c r="AH963" t="s">
        <v>229</v>
      </c>
      <c r="AI963" t="s">
        <v>229</v>
      </c>
      <c r="AJ963" s="2" t="s">
        <v>229</v>
      </c>
      <c r="AK963" s="7" t="s">
        <v>245</v>
      </c>
      <c r="AL963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63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63" s="2" t="str">
        <f>SUBSTITUTE(SUBSTITUTE(PROPERTIES[[#This Row],[PURCHASECOST_VALUE]], "PURCHASECOST_", ""), "_VALUE", "")</f>
        <v>COACH</v>
      </c>
      <c r="AO963" s="44" t="b">
        <v>0</v>
      </c>
      <c r="AP963" s="48" t="b">
        <v>0</v>
      </c>
      <c r="AQ963" s="49" t="b">
        <v>0</v>
      </c>
      <c r="AR963" s="49">
        <v>0</v>
      </c>
      <c r="AS963" s="49" t="b">
        <v>0</v>
      </c>
      <c r="AT963" s="6" t="b">
        <v>0</v>
      </c>
      <c r="AU963" s="40" t="str" cm="1">
        <f t="array" ref="AU963">_xlfn.XLOOKUP(PROPERTIES[[#This Row],[VEHIDCODE]],GRAPHICS_PROPERTIES[VEHIDCODE],GRAPHICS_PROPERTIES[TEMPLATE_ID]&amp;GRAPHICS_PROPERTIES[TEMPLATE_AMENDMENT_CODE])</f>
        <v>TPL_04U</v>
      </c>
    </row>
    <row r="964" spans="1:47" x14ac:dyDescent="0.35">
      <c r="A964" s="2" t="s">
        <v>1916</v>
      </c>
      <c r="B964">
        <v>2010</v>
      </c>
      <c r="D964" cm="1">
        <f t="array" ref="D9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4" s="40" t="str">
        <f>_xlfn.XLOOKUP(PROPERTIES[[#This Row],[VEHIDCODE]],CONTROL[VEHIDCODE],CONTROL[ENGLISH])</f>
        <v>ACME Corp. Chimaera Mail Coach</v>
      </c>
      <c r="F964" t="s">
        <v>1028</v>
      </c>
      <c r="G964" s="40" t="str">
        <f>_xlfn.XLOOKUP(PROPERTIES[[#This Row],[COUNTRY]],COUNTRIES[COUNTRY_DESCRIPTION],COUNTRIES[COUNTRY_LABEL],"")</f>
        <v>WRLD</v>
      </c>
      <c r="H964" t="str" cm="1">
        <f t="array" ref="H9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964" t="s">
        <v>36</v>
      </c>
      <c r="J964">
        <v>150</v>
      </c>
      <c r="K964">
        <v>7</v>
      </c>
      <c r="L964">
        <v>0</v>
      </c>
      <c r="M964" t="str" cm="1">
        <f t="array" ref="M9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64">
        <f>_xlfn.XLOOKUP("LOADINGSPEEDDEF_"&amp;PROPERTIES[[#This Row],[LOADINGSPEED]],LOADINGSPEEDDEF[TYPE],LOADINGSPEEDDEF[SPEED])</f>
        <v>15</v>
      </c>
      <c r="O964" t="str" cm="1">
        <f t="array" ref="O9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64">
        <f>IF(ISNUMBER(SEARCH("passenger",PROPERTIES[[#This Row],[CARGODEF]])),1,0)</f>
        <v>0</v>
      </c>
      <c r="Q964" s="23">
        <v>35</v>
      </c>
      <c r="R964">
        <v>0</v>
      </c>
      <c r="S964">
        <v>0</v>
      </c>
      <c r="T964">
        <v>0</v>
      </c>
      <c r="U964">
        <v>0</v>
      </c>
      <c r="V964">
        <v>643</v>
      </c>
      <c r="W964">
        <v>0</v>
      </c>
      <c r="X964">
        <v>0</v>
      </c>
      <c r="Y964">
        <v>0</v>
      </c>
      <c r="Z964" s="20">
        <v>0</v>
      </c>
      <c r="AA964" s="20">
        <f>IFERROR(PROPERTIES[[#This Row],[TE_STARTING_KN]]/(PROPERTIES[[#This Row],[WEIGHT]]*9.81),0)</f>
        <v>0</v>
      </c>
      <c r="AB964" s="20">
        <v>0.3</v>
      </c>
      <c r="AC964" s="16">
        <f>ROUND(IF(IFERROR(PROPERTIES[[#This Row],[TE_COEFFICIENT_CALC]],0)=0,PROPERTIES[[#This Row],[TE_COEFFICIENT_MANUAL]],PROPERTIES[[#This Row],[TE_COEFFICIENT_CALC]]),3)</f>
        <v>0.3</v>
      </c>
      <c r="AD964" s="27" cm="1">
        <f t="array" ref="AD9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64" s="26">
        <v>150</v>
      </c>
      <c r="AF964" s="6">
        <v>7</v>
      </c>
      <c r="AG964" t="s">
        <v>241</v>
      </c>
      <c r="AH964" t="s">
        <v>229</v>
      </c>
      <c r="AI964" t="s">
        <v>229</v>
      </c>
      <c r="AJ964" s="2" t="s">
        <v>229</v>
      </c>
      <c r="AK964" s="7" t="s">
        <v>245</v>
      </c>
      <c r="AL964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64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64" s="2" t="str">
        <f>SUBSTITUTE(SUBSTITUTE(PROPERTIES[[#This Row],[PURCHASECOST_VALUE]], "PURCHASECOST_", ""), "_VALUE", "")</f>
        <v>COACH</v>
      </c>
      <c r="AO964" s="44" t="b">
        <v>0</v>
      </c>
      <c r="AP964" s="48" t="b">
        <v>0</v>
      </c>
      <c r="AQ964" s="49" t="b">
        <v>0</v>
      </c>
      <c r="AR964" s="49">
        <v>0</v>
      </c>
      <c r="AS964" s="49" t="b">
        <v>0</v>
      </c>
      <c r="AT964" s="6" t="b">
        <v>0</v>
      </c>
      <c r="AU964" s="40" t="str" cm="1">
        <f t="array" ref="AU964">_xlfn.XLOOKUP(PROPERTIES[[#This Row],[VEHIDCODE]],GRAPHICS_PROPERTIES[VEHIDCODE],GRAPHICS_PROPERTIES[TEMPLATE_ID]&amp;GRAPHICS_PROPERTIES[TEMPLATE_AMENDMENT_CODE])</f>
        <v>TPL_04U</v>
      </c>
    </row>
    <row r="965" spans="1:47" x14ac:dyDescent="0.35">
      <c r="A965" s="2" t="s">
        <v>3393</v>
      </c>
      <c r="B965">
        <v>1868</v>
      </c>
      <c r="C965">
        <v>1914</v>
      </c>
      <c r="D965" cm="1">
        <f t="array" ref="D9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5" s="40" t="str">
        <f>_xlfn.XLOOKUP(PROPERTIES[[#This Row],[VEHIDCODE]],CONTROL[VEHIDCODE],CONTROL[ENGLISH])</f>
        <v>Sharp/BP 0-6-0 BDZ 142-150</v>
      </c>
      <c r="F965" t="s">
        <v>550</v>
      </c>
      <c r="G965" s="40" t="str">
        <f>_xlfn.XLOOKUP(PROPERTIES[[#This Row],[COUNTRY]],COUNTRIES[COUNTRY_DESCRIPTION],COUNTRIES[COUNTRY_LABEL],"")</f>
        <v>BG</v>
      </c>
      <c r="H965" t="str" cm="1">
        <f t="array" ref="H9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65" t="s">
        <v>17</v>
      </c>
      <c r="J965">
        <v>0</v>
      </c>
      <c r="K965">
        <v>5</v>
      </c>
      <c r="L965">
        <v>0</v>
      </c>
      <c r="M965" t="str" cm="1">
        <f t="array" ref="M9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5">
        <f>_xlfn.XLOOKUP("LOADINGSPEEDDEF_"&amp;PROPERTIES[[#This Row],[LOADINGSPEED]],LOADINGSPEEDDEF[TYPE],LOADINGSPEEDDEF[SPEED])</f>
        <v>20</v>
      </c>
      <c r="O965" cm="1">
        <f t="array" ref="O9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5">
        <f>IF(ISNUMBER(SEARCH("passenger",PROPERTIES[[#This Row],[CARGODEF]])),1,0)</f>
        <v>0</v>
      </c>
      <c r="Q965" s="23">
        <v>57.2</v>
      </c>
      <c r="R965">
        <v>650</v>
      </c>
      <c r="S965">
        <v>0</v>
      </c>
      <c r="T965">
        <v>0</v>
      </c>
      <c r="U965">
        <v>0</v>
      </c>
      <c r="V965">
        <v>50</v>
      </c>
      <c r="W965">
        <v>0</v>
      </c>
      <c r="X965">
        <v>0</v>
      </c>
      <c r="Y965">
        <v>0</v>
      </c>
      <c r="Z965" s="20">
        <v>57.45</v>
      </c>
      <c r="AA965" s="19">
        <f>IFERROR(PROPERTIES[[#This Row],[TE_STARTING_KN]]/(PROPERTIES[[#This Row],[WEIGHT]]*9.81),0)</f>
        <v>0.10238232715296935</v>
      </c>
      <c r="AB965" s="19">
        <v>0</v>
      </c>
      <c r="AC965" s="16">
        <f>ROUND(IF(IFERROR(PROPERTIES[[#This Row],[TE_COEFFICIENT_CALC]],0)=0,PROPERTIES[[#This Row],[TE_COEFFICIENT_MANUAL]],PROPERTIES[[#This Row],[TE_COEFFICIENT_CALC]]),3)</f>
        <v>0.10199999999999999</v>
      </c>
      <c r="AD965" s="8" cm="1">
        <f t="array" ref="AD9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965" s="26">
        <v>0</v>
      </c>
      <c r="AF965" s="6">
        <v>3</v>
      </c>
      <c r="AG965" t="s">
        <v>236</v>
      </c>
      <c r="AH965" t="s">
        <v>229</v>
      </c>
      <c r="AI965" t="s">
        <v>229</v>
      </c>
      <c r="AJ965" s="2" t="s">
        <v>229</v>
      </c>
      <c r="AK965" s="2" t="s">
        <v>244</v>
      </c>
      <c r="AL96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6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65" s="2" t="str">
        <f>SUBSTITUTE(SUBSTITUTE(PROPERTIES[[#This Row],[PURCHASECOST_VALUE]], "PURCHASECOST_", ""), "_VALUE", "")</f>
        <v>STEAMENGINE</v>
      </c>
      <c r="AO965" s="44" t="b">
        <v>0</v>
      </c>
      <c r="AP965" s="48" t="b">
        <v>0</v>
      </c>
      <c r="AQ965" s="48" t="b">
        <v>0</v>
      </c>
      <c r="AR965" s="48">
        <v>0</v>
      </c>
      <c r="AS965" s="48" t="b">
        <v>0</v>
      </c>
      <c r="AT965" s="7" t="b">
        <v>0</v>
      </c>
      <c r="AU965" s="40" t="str" cm="1">
        <f t="array" ref="AU965">_xlfn.XLOOKUP(PROPERTIES[[#This Row],[VEHIDCODE]],GRAPHICS_PROPERTIES[VEHIDCODE],GRAPHICS_PROPERTIES[TEMPLATE_ID]&amp;GRAPHICS_PROPERTIES[TEMPLATE_AMENDMENT_CODE])</f>
        <v>TPL_03A</v>
      </c>
    </row>
    <row r="966" spans="1:47" x14ac:dyDescent="0.35">
      <c r="A966" s="2" t="s">
        <v>3394</v>
      </c>
      <c r="B966">
        <v>1906</v>
      </c>
      <c r="C966">
        <v>1944</v>
      </c>
      <c r="D966" cm="1">
        <f t="array" ref="D9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6" s="40" t="str">
        <f>_xlfn.XLOOKUP(PROPERTIES[[#This Row],[VEHIDCODE]],CONTROL[VEHIDCODE],CONTROL[ENGLISH])</f>
        <v>MAVAG 4-4-2 Class 203</v>
      </c>
      <c r="F966" t="s">
        <v>626</v>
      </c>
      <c r="G966" s="40" t="str">
        <f>_xlfn.XLOOKUP(PROPERTIES[[#This Row],[COUNTRY]],COUNTRIES[COUNTRY_DESCRIPTION],COUNTRIES[COUNTRY_LABEL],"")</f>
        <v>HU</v>
      </c>
      <c r="H966" t="str" cm="1">
        <f t="array" ref="H9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66" t="s">
        <v>17</v>
      </c>
      <c r="J966">
        <v>0</v>
      </c>
      <c r="K966">
        <v>8</v>
      </c>
      <c r="M966" t="str" cm="1">
        <f t="array" ref="M9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6">
        <f>_xlfn.XLOOKUP("LOADINGSPEEDDEF_"&amp;PROPERTIES[[#This Row],[LOADINGSPEED]],LOADINGSPEEDDEF[TYPE],LOADINGSPEEDDEF[SPEED])</f>
        <v>20</v>
      </c>
      <c r="O966" cm="1">
        <f t="array" ref="O9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6">
        <f>IF(ISNUMBER(SEARCH("passenger",PROPERTIES[[#This Row],[CARGODEF]])),1,0)</f>
        <v>0</v>
      </c>
      <c r="Q966" s="23">
        <v>74.3</v>
      </c>
      <c r="R966">
        <v>910</v>
      </c>
      <c r="S966">
        <v>0</v>
      </c>
      <c r="T966">
        <v>0</v>
      </c>
      <c r="U966">
        <v>0</v>
      </c>
      <c r="V966">
        <v>100</v>
      </c>
      <c r="W966">
        <v>0</v>
      </c>
      <c r="X966">
        <v>0</v>
      </c>
      <c r="Y966">
        <v>0</v>
      </c>
      <c r="Z966" s="20">
        <v>76.709999999999994</v>
      </c>
      <c r="AA966" s="19">
        <f>IFERROR(PROPERTIES[[#This Row],[TE_STARTING_KN]]/(PROPERTIES[[#This Row],[WEIGHT]]*9.81),0)</f>
        <v>0.1052432283370582</v>
      </c>
      <c r="AB966" s="19">
        <v>0</v>
      </c>
      <c r="AC966" s="16">
        <f>ROUND(IF(IFERROR(PROPERTIES[[#This Row],[TE_COEFFICIENT_CALC]],0)=0,PROPERTIES[[#This Row],[TE_COEFFICIENT_MANUAL]],PROPERTIES[[#This Row],[TE_COEFFICIENT_CALC]]),3)</f>
        <v>0.105</v>
      </c>
      <c r="AD966" s="8" cm="1">
        <f t="array" ref="AD9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38</v>
      </c>
      <c r="AE966" s="26">
        <v>0</v>
      </c>
      <c r="AF966" s="6">
        <v>4</v>
      </c>
      <c r="AG966" t="s">
        <v>236</v>
      </c>
      <c r="AH966" t="s">
        <v>229</v>
      </c>
      <c r="AI966" t="s">
        <v>229</v>
      </c>
      <c r="AJ966" s="2" t="s">
        <v>229</v>
      </c>
      <c r="AK966" s="2" t="s">
        <v>244</v>
      </c>
      <c r="AL96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6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66" s="2" t="str">
        <f>SUBSTITUTE(SUBSTITUTE(PROPERTIES[[#This Row],[PURCHASECOST_VALUE]], "PURCHASECOST_", ""), "_VALUE", "")</f>
        <v>STEAMENGINE</v>
      </c>
      <c r="AO966" s="44" t="b">
        <v>0</v>
      </c>
      <c r="AP966" s="48" t="b">
        <v>0</v>
      </c>
      <c r="AQ966" s="48" t="b">
        <v>0</v>
      </c>
      <c r="AR966" s="48">
        <v>0</v>
      </c>
      <c r="AS966" s="48" t="b">
        <v>0</v>
      </c>
      <c r="AT966" s="7" t="b">
        <v>0</v>
      </c>
      <c r="AU966" s="40" t="str" cm="1">
        <f t="array" ref="AU966">_xlfn.XLOOKUP(PROPERTIES[[#This Row],[VEHIDCODE]],GRAPHICS_PROPERTIES[VEHIDCODE],GRAPHICS_PROPERTIES[TEMPLATE_ID]&amp;GRAPHICS_PROPERTIES[TEMPLATE_AMENDMENT_CODE])</f>
        <v>TPL_03A</v>
      </c>
    </row>
    <row r="967" spans="1:47" x14ac:dyDescent="0.35">
      <c r="A967" s="2" t="s">
        <v>3395</v>
      </c>
      <c r="B967">
        <v>1914</v>
      </c>
      <c r="C967">
        <v>1958</v>
      </c>
      <c r="D967" cm="1">
        <f t="array" ref="D9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7" s="40" t="str">
        <f>_xlfn.XLOOKUP(PROPERTIES[[#This Row],[VEHIDCODE]],CONTROL[VEHIDCODE],CONTROL[ENGLISH])</f>
        <v>MAVAG 2-6-6-0 Class 601</v>
      </c>
      <c r="F967" t="s">
        <v>626</v>
      </c>
      <c r="G967" s="40" t="str">
        <f>_xlfn.XLOOKUP(PROPERTIES[[#This Row],[COUNTRY]],COUNTRIES[COUNTRY_DESCRIPTION],COUNTRIES[COUNTRY_LABEL],"")</f>
        <v>HU</v>
      </c>
      <c r="H967" t="str" cm="1">
        <f t="array" ref="H9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67" t="s">
        <v>17</v>
      </c>
      <c r="J967">
        <v>0</v>
      </c>
      <c r="K967">
        <v>8</v>
      </c>
      <c r="M967" t="str" cm="1">
        <f t="array" ref="M9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7">
        <f>_xlfn.XLOOKUP("LOADINGSPEEDDEF_"&amp;PROPERTIES[[#This Row],[LOADINGSPEED]],LOADINGSPEEDDEF[TYPE],LOADINGSPEEDDEF[SPEED])</f>
        <v>20</v>
      </c>
      <c r="O967" cm="1">
        <f t="array" ref="O9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7">
        <f>IF(ISNUMBER(SEARCH("passenger",PROPERTIES[[#This Row],[CARGODEF]])),1,0)</f>
        <v>0</v>
      </c>
      <c r="Q967" s="23">
        <v>106.5</v>
      </c>
      <c r="R967">
        <v>2950</v>
      </c>
      <c r="S967">
        <v>0</v>
      </c>
      <c r="T967">
        <v>0</v>
      </c>
      <c r="U967">
        <v>0</v>
      </c>
      <c r="V967">
        <v>60</v>
      </c>
      <c r="W967">
        <v>0</v>
      </c>
      <c r="X967">
        <v>0</v>
      </c>
      <c r="Y967">
        <v>0</v>
      </c>
      <c r="Z967" s="20">
        <v>218</v>
      </c>
      <c r="AA967" s="19">
        <f>IFERROR(PROPERTIES[[#This Row],[TE_STARTING_KN]]/(PROPERTIES[[#This Row],[WEIGHT]]*9.81),0)</f>
        <v>0.20865936358894102</v>
      </c>
      <c r="AB967" s="19">
        <v>0</v>
      </c>
      <c r="AC967" s="16">
        <f>ROUND(IF(IFERROR(PROPERTIES[[#This Row],[TE_COEFFICIENT_CALC]],0)=0,PROPERTIES[[#This Row],[TE_COEFFICIENT_MANUAL]],PROPERTIES[[#This Row],[TE_COEFFICIENT_CALC]]),3)</f>
        <v>0.20899999999999999</v>
      </c>
      <c r="AD967" s="8" cm="1">
        <f t="array" ref="AD9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44</v>
      </c>
      <c r="AE967" s="26">
        <v>0</v>
      </c>
      <c r="AF967" s="6">
        <v>5</v>
      </c>
      <c r="AG967" t="s">
        <v>236</v>
      </c>
      <c r="AH967" t="s">
        <v>229</v>
      </c>
      <c r="AI967" t="s">
        <v>229</v>
      </c>
      <c r="AJ967" s="2" t="s">
        <v>229</v>
      </c>
      <c r="AK967" s="2" t="s">
        <v>244</v>
      </c>
      <c r="AL96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6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67" s="2" t="str">
        <f>SUBSTITUTE(SUBSTITUTE(PROPERTIES[[#This Row],[PURCHASECOST_VALUE]], "PURCHASECOST_", ""), "_VALUE", "")</f>
        <v>STEAMENGINE</v>
      </c>
      <c r="AO967" s="44" t="b">
        <v>0</v>
      </c>
      <c r="AP967" s="48" t="b">
        <v>0</v>
      </c>
      <c r="AQ967" s="48" t="b">
        <v>0</v>
      </c>
      <c r="AR967" s="48">
        <v>0</v>
      </c>
      <c r="AS967" s="48" t="b">
        <v>0</v>
      </c>
      <c r="AT967" s="7" t="b">
        <v>0</v>
      </c>
      <c r="AU967" s="40" t="str" cm="1">
        <f t="array" ref="AU967">_xlfn.XLOOKUP(PROPERTIES[[#This Row],[VEHIDCODE]],GRAPHICS_PROPERTIES[VEHIDCODE],GRAPHICS_PROPERTIES[TEMPLATE_ID]&amp;GRAPHICS_PROPERTIES[TEMPLATE_AMENDMENT_CODE])</f>
        <v>TPL_03A</v>
      </c>
    </row>
    <row r="968" spans="1:47" x14ac:dyDescent="0.35">
      <c r="A968" s="2" t="s">
        <v>3396</v>
      </c>
      <c r="B968">
        <v>1932</v>
      </c>
      <c r="C968">
        <v>1967</v>
      </c>
      <c r="D968" cm="1">
        <f t="array" ref="D9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8" s="40" t="str">
        <f>_xlfn.XLOOKUP(PROPERTIES[[#This Row],[VEHIDCODE]],CONTROL[VEHIDCODE],CONTROL[ENGLISH])</f>
        <v>Ganz-MAVAG VM7 'V40'</v>
      </c>
      <c r="F968" t="s">
        <v>626</v>
      </c>
      <c r="G968" s="40" t="str">
        <f>_xlfn.XLOOKUP(PROPERTIES[[#This Row],[COUNTRY]],COUNTRIES[COUNTRY_DESCRIPTION],COUNTRIES[COUNTRY_LABEL],"")</f>
        <v>HU</v>
      </c>
      <c r="H968" t="str" cm="1">
        <f t="array" ref="H9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68" t="s">
        <v>17</v>
      </c>
      <c r="J968">
        <v>0</v>
      </c>
      <c r="K968">
        <v>6</v>
      </c>
      <c r="L968">
        <v>0</v>
      </c>
      <c r="M968" t="str" cm="1">
        <f t="array" ref="M9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8">
        <f>_xlfn.XLOOKUP("LOADINGSPEEDDEF_"&amp;PROPERTIES[[#This Row],[LOADINGSPEED]],LOADINGSPEEDDEF[TYPE],LOADINGSPEEDDEF[SPEED])</f>
        <v>20</v>
      </c>
      <c r="O968" cm="1">
        <f t="array" ref="O9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8">
        <f>IF(ISNUMBER(SEARCH("passenger",PROPERTIES[[#This Row],[CARGODEF]])),1,0)</f>
        <v>0</v>
      </c>
      <c r="Q968" s="23">
        <v>94</v>
      </c>
      <c r="R968">
        <v>2203</v>
      </c>
      <c r="S968">
        <v>0</v>
      </c>
      <c r="T968">
        <v>0</v>
      </c>
      <c r="U968">
        <v>0</v>
      </c>
      <c r="V968">
        <v>100</v>
      </c>
      <c r="W968">
        <v>0</v>
      </c>
      <c r="X968">
        <v>0</v>
      </c>
      <c r="Y968">
        <v>0</v>
      </c>
      <c r="Z968" s="20">
        <v>200</v>
      </c>
      <c r="AA968" s="19">
        <f>IFERROR(PROPERTIES[[#This Row],[TE_STARTING_KN]]/(PROPERTIES[[#This Row],[WEIGHT]]*9.81),0)</f>
        <v>0.21688680677554381</v>
      </c>
      <c r="AB968" s="19">
        <v>0</v>
      </c>
      <c r="AC968" s="16">
        <f>ROUND(IF(IFERROR(PROPERTIES[[#This Row],[TE_COEFFICIENT_CALC]],0)=0,PROPERTIES[[#This Row],[TE_COEFFICIENT_MANUAL]],PROPERTIES[[#This Row],[TE_COEFFICIENT_CALC]]),3)</f>
        <v>0.217</v>
      </c>
      <c r="AD968" s="8" cm="1">
        <f t="array" ref="AD9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968" s="26">
        <v>0</v>
      </c>
      <c r="AF968" s="6">
        <v>0</v>
      </c>
      <c r="AG968" t="s">
        <v>236</v>
      </c>
      <c r="AH968" t="s">
        <v>229</v>
      </c>
      <c r="AI968" t="s">
        <v>229</v>
      </c>
      <c r="AJ968" s="2" t="s">
        <v>229</v>
      </c>
      <c r="AK968" s="2" t="s">
        <v>244</v>
      </c>
      <c r="AL96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6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68" s="2" t="str">
        <f>SUBSTITUTE(SUBSTITUTE(PROPERTIES[[#This Row],[PURCHASECOST_VALUE]], "PURCHASECOST_", ""), "_VALUE", "")</f>
        <v>ELECTRICENGINE</v>
      </c>
      <c r="AO968" s="44" t="b">
        <v>0</v>
      </c>
      <c r="AP968" s="48" t="b">
        <v>0</v>
      </c>
      <c r="AQ968" s="48" t="b">
        <v>0</v>
      </c>
      <c r="AR968" s="48">
        <v>0</v>
      </c>
      <c r="AS968" s="48" t="b">
        <v>0</v>
      </c>
      <c r="AT968" s="7" t="b">
        <v>0</v>
      </c>
      <c r="AU968" s="40" t="str" cm="1">
        <f t="array" ref="AU968">_xlfn.XLOOKUP(PROPERTIES[[#This Row],[VEHIDCODE]],GRAPHICS_PROPERTIES[VEHIDCODE],GRAPHICS_PROPERTIES[TEMPLATE_ID]&amp;GRAPHICS_PROPERTIES[TEMPLATE_AMENDMENT_CODE])</f>
        <v>TPL_01A</v>
      </c>
    </row>
    <row r="969" spans="1:47" x14ac:dyDescent="0.35">
      <c r="A969" s="2" t="s">
        <v>3397</v>
      </c>
      <c r="B969">
        <v>2012</v>
      </c>
      <c r="D969" cm="1">
        <f t="array" ref="D9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9" s="40" t="str">
        <f>_xlfn.XLOOKUP(PROPERTIES[[#This Row],[VEHIDCODE]],CONTROL[VEHIDCODE],CONTROL[ENGLISH])</f>
        <v>PESA 111D</v>
      </c>
      <c r="F969" t="s">
        <v>705</v>
      </c>
      <c r="G969" s="40" t="str">
        <f>_xlfn.XLOOKUP(PROPERTIES[[#This Row],[COUNTRY]],COUNTRIES[COUNTRY_DESCRIPTION],COUNTRIES[COUNTRY_LABEL],"")</f>
        <v>PL</v>
      </c>
      <c r="H969" t="str" cm="1">
        <f t="array" ref="H9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69" t="s">
        <v>17</v>
      </c>
      <c r="J969">
        <v>0</v>
      </c>
      <c r="K969">
        <v>8</v>
      </c>
      <c r="L969">
        <v>0</v>
      </c>
      <c r="M969" t="str" cm="1">
        <f t="array" ref="M9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9">
        <f>_xlfn.XLOOKUP("LOADINGSPEEDDEF_"&amp;PROPERTIES[[#This Row],[LOADINGSPEED]],LOADINGSPEEDDEF[TYPE],LOADINGSPEEDDEF[SPEED])</f>
        <v>20</v>
      </c>
      <c r="O969" t="str" cm="1">
        <f t="array" ref="O9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69">
        <f>IF(ISNUMBER(SEARCH("passenger",PROPERTIES[[#This Row],[CARGODEF]])),1,0)</f>
        <v>0</v>
      </c>
      <c r="Q969" s="23">
        <v>84</v>
      </c>
      <c r="R969">
        <v>3200</v>
      </c>
      <c r="S969">
        <v>0</v>
      </c>
      <c r="T969">
        <v>0</v>
      </c>
      <c r="U969">
        <v>0</v>
      </c>
      <c r="V969">
        <v>160</v>
      </c>
      <c r="W969">
        <v>0</v>
      </c>
      <c r="X969">
        <v>0</v>
      </c>
      <c r="Y969">
        <v>0</v>
      </c>
      <c r="Z969" s="20">
        <v>275</v>
      </c>
      <c r="AA969" s="20">
        <f>IFERROR(PROPERTIES[[#This Row],[TE_STARTING_KN]]/(PROPERTIES[[#This Row],[WEIGHT]]*9.81),0)</f>
        <v>0.33372166399689335</v>
      </c>
      <c r="AB969" s="20">
        <v>0</v>
      </c>
      <c r="AC969" s="16">
        <f>ROUND(IF(IFERROR(PROPERTIES[[#This Row],[TE_COEFFICIENT_CALC]],0)=0,PROPERTIES[[#This Row],[TE_COEFFICIENT_MANUAL]],PROPERTIES[[#This Row],[TE_COEFFICIENT_CALC]]),3)</f>
        <v>0.33400000000000002</v>
      </c>
      <c r="AD969" s="27" cm="1">
        <f t="array" ref="AD9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69" s="26">
        <v>0</v>
      </c>
      <c r="AF969" s="6">
        <v>0</v>
      </c>
      <c r="AG969" t="s">
        <v>236</v>
      </c>
      <c r="AH969" t="s">
        <v>229</v>
      </c>
      <c r="AI969" t="s">
        <v>229</v>
      </c>
      <c r="AJ969" s="2" t="s">
        <v>229</v>
      </c>
      <c r="AK969" s="2" t="s">
        <v>244</v>
      </c>
      <c r="AL96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6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69" s="2" t="str">
        <f>SUBSTITUTE(SUBSTITUTE(PROPERTIES[[#This Row],[PURCHASECOST_VALUE]], "PURCHASECOST_", ""), "_VALUE", "")</f>
        <v>DIESELENGINE</v>
      </c>
      <c r="AO969" s="44" t="b">
        <v>0</v>
      </c>
      <c r="AP969" s="48" t="b">
        <v>0</v>
      </c>
      <c r="AQ969" s="48" t="b">
        <v>0</v>
      </c>
      <c r="AR969" s="48">
        <v>0</v>
      </c>
      <c r="AS969" s="48" t="b">
        <v>0</v>
      </c>
      <c r="AT969" s="7" t="b">
        <v>0</v>
      </c>
      <c r="AU969" s="40" t="str" cm="1">
        <f t="array" ref="AU969">_xlfn.XLOOKUP(PROPERTIES[[#This Row],[VEHIDCODE]],GRAPHICS_PROPERTIES[VEHIDCODE],GRAPHICS_PROPERTIES[TEMPLATE_ID]&amp;GRAPHICS_PROPERTIES[TEMPLATE_AMENDMENT_CODE])</f>
        <v>TPL_01A</v>
      </c>
    </row>
    <row r="970" spans="1:47" x14ac:dyDescent="0.35">
      <c r="A970" s="2" t="s">
        <v>3398</v>
      </c>
      <c r="B970">
        <v>1857</v>
      </c>
      <c r="C970">
        <v>1874</v>
      </c>
      <c r="D970" cm="1">
        <f t="array" ref="D9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0" s="40" t="str">
        <f>_xlfn.XLOOKUP(PROPERTIES[[#This Row],[VEHIDCODE]],CONTROL[VEHIDCODE],CONTROL[ENGLISH])</f>
        <v>Stephenson/BP 2-2-2 LVCI Class 1</v>
      </c>
      <c r="F970" t="s">
        <v>636</v>
      </c>
      <c r="G970" s="40" t="str">
        <f>_xlfn.XLOOKUP(PROPERTIES[[#This Row],[COUNTRY]],COUNTRIES[COUNTRY_DESCRIPTION],COUNTRIES[COUNTRY_LABEL],"")</f>
        <v>IT</v>
      </c>
      <c r="H970" t="str" cm="1">
        <f t="array" ref="H9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70" t="s">
        <v>17</v>
      </c>
      <c r="J970">
        <v>0</v>
      </c>
      <c r="K970">
        <v>7</v>
      </c>
      <c r="L970">
        <v>0</v>
      </c>
      <c r="M970" t="str" cm="1">
        <f t="array" ref="M9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0">
        <f>_xlfn.XLOOKUP("LOADINGSPEEDDEF_"&amp;PROPERTIES[[#This Row],[LOADINGSPEED]],LOADINGSPEEDDEF[TYPE],LOADINGSPEEDDEF[SPEED])</f>
        <v>20</v>
      </c>
      <c r="O970" cm="1">
        <f t="array" ref="O9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0">
        <f>IF(ISNUMBER(SEARCH("passenger",PROPERTIES[[#This Row],[CARGODEF]])),1,0)</f>
        <v>0</v>
      </c>
      <c r="Q970" s="23">
        <v>27.6</v>
      </c>
      <c r="R970">
        <v>50</v>
      </c>
      <c r="S970">
        <v>0</v>
      </c>
      <c r="T970">
        <v>0</v>
      </c>
      <c r="U970">
        <v>0</v>
      </c>
      <c r="V970">
        <v>35</v>
      </c>
      <c r="W970">
        <v>0</v>
      </c>
      <c r="X970">
        <v>0</v>
      </c>
      <c r="Y970">
        <v>0</v>
      </c>
      <c r="Z970" s="20">
        <v>26.31</v>
      </c>
      <c r="AA970" s="19">
        <f>IFERROR(PROPERTIES[[#This Row],[TE_STARTING_KN]]/(PROPERTIES[[#This Row],[WEIGHT]]*9.81),0)</f>
        <v>9.7172361831316736E-2</v>
      </c>
      <c r="AB970" s="19">
        <v>0</v>
      </c>
      <c r="AC970" s="16">
        <f>ROUND(IF(IFERROR(PROPERTIES[[#This Row],[TE_COEFFICIENT_CALC]],0)=0,PROPERTIES[[#This Row],[TE_COEFFICIENT_MANUAL]],PROPERTIES[[#This Row],[TE_COEFFICIENT_CALC]]),3)</f>
        <v>9.7000000000000003E-2</v>
      </c>
      <c r="AD970" s="8" cm="1">
        <f t="array" ref="AD9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70" s="26">
        <v>0</v>
      </c>
      <c r="AF970" s="6">
        <v>3</v>
      </c>
      <c r="AG970" t="s">
        <v>231</v>
      </c>
      <c r="AH970" t="s">
        <v>229</v>
      </c>
      <c r="AI970" t="s">
        <v>229</v>
      </c>
      <c r="AJ970" s="2" t="s">
        <v>229</v>
      </c>
      <c r="AK970" s="2" t="s">
        <v>244</v>
      </c>
      <c r="AL97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7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70" s="2" t="str">
        <f>SUBSTITUTE(SUBSTITUTE(PROPERTIES[[#This Row],[PURCHASECOST_VALUE]], "PURCHASECOST_", ""), "_VALUE", "")</f>
        <v>STEAMENGINE</v>
      </c>
      <c r="AO970" s="44" t="b">
        <v>0</v>
      </c>
      <c r="AP970" s="48" t="b">
        <v>0</v>
      </c>
      <c r="AQ970" s="48" t="b">
        <v>0</v>
      </c>
      <c r="AR970" s="48">
        <v>0</v>
      </c>
      <c r="AS970" s="48" t="b">
        <v>0</v>
      </c>
      <c r="AT970" s="7" t="b">
        <v>0</v>
      </c>
      <c r="AU970" s="40" t="str" cm="1">
        <f t="array" ref="AU970">_xlfn.XLOOKUP(PROPERTIES[[#This Row],[VEHIDCODE]],GRAPHICS_PROPERTIES[VEHIDCODE],GRAPHICS_PROPERTIES[TEMPLATE_ID]&amp;GRAPHICS_PROPERTIES[TEMPLATE_AMENDMENT_CODE])</f>
        <v>TPL_03A</v>
      </c>
    </row>
    <row r="971" spans="1:47" x14ac:dyDescent="0.35">
      <c r="A971" t="s">
        <v>3399</v>
      </c>
      <c r="B971">
        <v>1931</v>
      </c>
      <c r="C971">
        <v>1955</v>
      </c>
      <c r="D971" cm="1">
        <f t="array" ref="D9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1" s="40" t="str">
        <f>_xlfn.XLOOKUP(PROPERTIES[[#This Row],[VEHIDCODE]],CONTROL[VEHIDCODE],CONTROL[ENGLISH])</f>
        <v>Babcock 4-6-2+2-6-4T '462'</v>
      </c>
      <c r="F971" t="s">
        <v>595</v>
      </c>
      <c r="G971" s="40" t="str">
        <f>_xlfn.XLOOKUP(PROPERTIES[[#This Row],[COUNTRY]],COUNTRIES[COUNTRY_DESCRIPTION],COUNTRIES[COUNTRY_LABEL],"")</f>
        <v>ES</v>
      </c>
      <c r="H971" t="str" cm="1">
        <f t="array" ref="H9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71" t="s">
        <v>17</v>
      </c>
      <c r="J971">
        <v>0</v>
      </c>
      <c r="K971">
        <v>4</v>
      </c>
      <c r="L971">
        <v>4</v>
      </c>
      <c r="M971" t="str" cm="1">
        <f t="array" ref="M9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1">
        <f>_xlfn.XLOOKUP("LOADINGSPEEDDEF_"&amp;PROPERTIES[[#This Row],[LOADINGSPEED]],LOADINGSPEEDDEF[TYPE],LOADINGSPEEDDEF[SPEED])</f>
        <v>20</v>
      </c>
      <c r="O971" cm="1">
        <f t="array" ref="O9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1">
        <f>IF(ISNUMBER(SEARCH("passenger",PROPERTIES[[#This Row],[CARGODEF]])),1,0)</f>
        <v>0</v>
      </c>
      <c r="Q971" s="23">
        <v>179.5</v>
      </c>
      <c r="R971">
        <v>2350</v>
      </c>
      <c r="S971">
        <v>0</v>
      </c>
      <c r="T971">
        <v>0</v>
      </c>
      <c r="U971">
        <v>0</v>
      </c>
      <c r="V971">
        <v>100</v>
      </c>
      <c r="W971">
        <v>0</v>
      </c>
      <c r="X971">
        <v>0</v>
      </c>
      <c r="Y971">
        <v>0</v>
      </c>
      <c r="Z971" s="20">
        <v>205</v>
      </c>
      <c r="AA971" s="19">
        <f>IFERROR(PROPERTIES[[#This Row],[TE_STARTING_KN]]/(PROPERTIES[[#This Row],[WEIGHT]]*9.81),0)</f>
        <v>0.11641807149205376</v>
      </c>
      <c r="AB971" s="19">
        <v>0</v>
      </c>
      <c r="AC971" s="16">
        <f>ROUND(IF(IFERROR(PROPERTIES[[#This Row],[TE_COEFFICIENT_CALC]],0)=0,PROPERTIES[[#This Row],[TE_COEFFICIENT_MANUAL]],PROPERTIES[[#This Row],[TE_COEFFICIENT_CALC]]),3)</f>
        <v>0.11600000000000001</v>
      </c>
      <c r="AD971" s="8" cm="1">
        <f t="array" ref="AD9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71" s="26">
        <v>0</v>
      </c>
      <c r="AF971" s="6">
        <v>4</v>
      </c>
      <c r="AG971" t="s">
        <v>231</v>
      </c>
      <c r="AH971" t="s">
        <v>229</v>
      </c>
      <c r="AI971" t="s">
        <v>229</v>
      </c>
      <c r="AJ971" s="2" t="s">
        <v>229</v>
      </c>
      <c r="AK971" s="2" t="s">
        <v>244</v>
      </c>
      <c r="AL97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7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71" s="2" t="str">
        <f>SUBSTITUTE(SUBSTITUTE(PROPERTIES[[#This Row],[PURCHASECOST_VALUE]], "PURCHASECOST_", ""), "_VALUE", "")</f>
        <v>STEAMENGINE</v>
      </c>
      <c r="AO971" s="44" t="b">
        <v>0</v>
      </c>
      <c r="AP971" s="48" t="b">
        <v>0</v>
      </c>
      <c r="AQ971" s="48" t="b">
        <v>0</v>
      </c>
      <c r="AR971" s="48">
        <v>0</v>
      </c>
      <c r="AS971" s="48" t="b">
        <v>0</v>
      </c>
      <c r="AT971" s="7" t="b">
        <v>0</v>
      </c>
      <c r="AU971" s="40" t="str" cm="1">
        <f t="array" ref="AU971">_xlfn.XLOOKUP(PROPERTIES[[#This Row],[VEHIDCODE]],GRAPHICS_PROPERTIES[VEHIDCODE],GRAPHICS_PROPERTIES[TEMPLATE_ID]&amp;GRAPHICS_PROPERTIES[TEMPLATE_AMENDMENT_CODE])</f>
        <v>TPL_17C</v>
      </c>
    </row>
    <row r="972" spans="1:47" x14ac:dyDescent="0.35">
      <c r="A972" s="2" t="s">
        <v>3400</v>
      </c>
      <c r="B972">
        <v>1870</v>
      </c>
      <c r="D972" cm="1">
        <f t="array" ref="D9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2" s="40" t="str">
        <f>_xlfn.XLOOKUP(PROPERTIES[[#This Row],[VEHIDCODE]],CONTROL[VEHIDCODE],CONTROL[ENGLISH])</f>
        <v>Koechlin 0-6-0 '030'</v>
      </c>
      <c r="F972" t="s">
        <v>595</v>
      </c>
      <c r="G972" s="40" t="str">
        <f>_xlfn.XLOOKUP(PROPERTIES[[#This Row],[COUNTRY]],COUNTRIES[COUNTRY_DESCRIPTION],COUNTRIES[COUNTRY_LABEL],"")</f>
        <v>ES</v>
      </c>
      <c r="H972" t="str" cm="1">
        <f t="array" ref="H9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72" t="s">
        <v>17</v>
      </c>
      <c r="J972">
        <v>0</v>
      </c>
      <c r="K972">
        <v>5</v>
      </c>
      <c r="L972">
        <v>0</v>
      </c>
      <c r="M972" t="str" cm="1">
        <f t="array" ref="M9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2">
        <f>_xlfn.XLOOKUP("LOADINGSPEEDDEF_"&amp;PROPERTIES[[#This Row],[LOADINGSPEED]],LOADINGSPEEDDEF[TYPE],LOADINGSPEEDDEF[SPEED])</f>
        <v>20</v>
      </c>
      <c r="O972" cm="1">
        <f t="array" ref="O9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2">
        <f>IF(ISNUMBER(SEARCH("passenger",PROPERTIES[[#This Row],[CARGODEF]])),1,0)</f>
        <v>0</v>
      </c>
      <c r="Q972" s="23">
        <v>63</v>
      </c>
      <c r="R972">
        <v>375</v>
      </c>
      <c r="S972">
        <v>0</v>
      </c>
      <c r="T972">
        <v>0</v>
      </c>
      <c r="U972">
        <v>0</v>
      </c>
      <c r="V972">
        <v>60</v>
      </c>
      <c r="W972">
        <v>0</v>
      </c>
      <c r="X972">
        <v>0</v>
      </c>
      <c r="Y972">
        <v>0</v>
      </c>
      <c r="Z972" s="20">
        <f>13829*0.0049</f>
        <v>67.762100000000004</v>
      </c>
      <c r="AA972" s="19">
        <f>IFERROR(PROPERTIES[[#This Row],[TE_STARTING_KN]]/(PROPERTIES[[#This Row],[WEIGHT]]*9.81),0)</f>
        <v>0.10964208857175217</v>
      </c>
      <c r="AB972" s="19">
        <v>0</v>
      </c>
      <c r="AC972" s="16">
        <f>ROUND(IF(IFERROR(PROPERTIES[[#This Row],[TE_COEFFICIENT_CALC]],0)=0,PROPERTIES[[#This Row],[TE_COEFFICIENT_MANUAL]],PROPERTIES[[#This Row],[TE_COEFFICIENT_CALC]]),3)</f>
        <v>0.11</v>
      </c>
      <c r="AD972" s="8" cm="1">
        <f t="array" ref="AD9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72" s="26">
        <v>0</v>
      </c>
      <c r="AF972" s="6">
        <v>3</v>
      </c>
      <c r="AG972" t="s">
        <v>231</v>
      </c>
      <c r="AH972" t="s">
        <v>229</v>
      </c>
      <c r="AI972" t="s">
        <v>229</v>
      </c>
      <c r="AJ972" s="2" t="s">
        <v>229</v>
      </c>
      <c r="AK972" s="2" t="s">
        <v>244</v>
      </c>
      <c r="AL97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7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72" s="2" t="str">
        <f>SUBSTITUTE(SUBSTITUTE(PROPERTIES[[#This Row],[PURCHASECOST_VALUE]], "PURCHASECOST_", ""), "_VALUE", "")</f>
        <v>STEAMENGINE</v>
      </c>
      <c r="AO972" s="44" t="b">
        <v>0</v>
      </c>
      <c r="AP972" s="48" t="b">
        <v>0</v>
      </c>
      <c r="AQ972" s="48" t="b">
        <v>0</v>
      </c>
      <c r="AR972" s="48">
        <v>0</v>
      </c>
      <c r="AS972" s="48" t="b">
        <v>0</v>
      </c>
      <c r="AT972" s="7" t="b">
        <v>0</v>
      </c>
      <c r="AU972" s="40" t="str" cm="1">
        <f t="array" ref="AU972">_xlfn.XLOOKUP(PROPERTIES[[#This Row],[VEHIDCODE]],GRAPHICS_PROPERTIES[VEHIDCODE],GRAPHICS_PROPERTIES[TEMPLATE_ID]&amp;GRAPHICS_PROPERTIES[TEMPLATE_AMENDMENT_CODE])</f>
        <v>TPL_03C</v>
      </c>
    </row>
    <row r="973" spans="1:47" x14ac:dyDescent="0.35">
      <c r="A973" s="2" t="s">
        <v>3401</v>
      </c>
      <c r="B973">
        <v>1913</v>
      </c>
      <c r="C973">
        <v>1964</v>
      </c>
      <c r="D973" cm="1">
        <f t="array" ref="D9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3" s="40" t="str">
        <f>_xlfn.XLOOKUP(PROPERTIES[[#This Row],[VEHIDCODE]],CONTROL[VEHIDCODE],CONTROL[ENGLISH])</f>
        <v>Hanomag/ALCO 4-8-0 '240'</v>
      </c>
      <c r="F973" t="s">
        <v>595</v>
      </c>
      <c r="G973" s="40" t="str">
        <f>_xlfn.XLOOKUP(PROPERTIES[[#This Row],[COUNTRY]],COUNTRIES[COUNTRY_DESCRIPTION],COUNTRIES[COUNTRY_LABEL],"")</f>
        <v>ES</v>
      </c>
      <c r="H973" t="str" cm="1">
        <f t="array" ref="H9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73" t="s">
        <v>17</v>
      </c>
      <c r="J973">
        <v>0</v>
      </c>
      <c r="K973">
        <v>7</v>
      </c>
      <c r="L973">
        <v>0</v>
      </c>
      <c r="M973" t="str" cm="1">
        <f t="array" ref="M9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3">
        <f>_xlfn.XLOOKUP("LOADINGSPEEDDEF_"&amp;PROPERTIES[[#This Row],[LOADINGSPEED]],LOADINGSPEEDDEF[TYPE],LOADINGSPEEDDEF[SPEED])</f>
        <v>20</v>
      </c>
      <c r="O973" cm="1">
        <f t="array" ref="O9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3">
        <f>IF(ISNUMBER(SEARCH("passenger",PROPERTIES[[#This Row],[CARGODEF]])),1,0)</f>
        <v>0</v>
      </c>
      <c r="Q973" s="23">
        <v>141</v>
      </c>
      <c r="R973">
        <v>2022</v>
      </c>
      <c r="S973">
        <v>0</v>
      </c>
      <c r="T973">
        <v>0</v>
      </c>
      <c r="U973">
        <v>0</v>
      </c>
      <c r="V973">
        <f>INT(65*1.62)</f>
        <v>105</v>
      </c>
      <c r="W973">
        <v>0</v>
      </c>
      <c r="X973">
        <v>0</v>
      </c>
      <c r="Y973">
        <v>0</v>
      </c>
      <c r="Z973" s="20">
        <f>30634*0.0049</f>
        <v>150.10659999999999</v>
      </c>
      <c r="AA973" s="19">
        <f>IFERROR(PROPERTIES[[#This Row],[TE_STARTING_KN]]/(PROPERTIES[[#This Row],[WEIGHT]]*9.81),0)</f>
        <v>0.10852047049977949</v>
      </c>
      <c r="AB973" s="19">
        <v>0</v>
      </c>
      <c r="AC973" s="16">
        <f>ROUND(IF(IFERROR(PROPERTIES[[#This Row],[TE_COEFFICIENT_CALC]],0)=0,PROPERTIES[[#This Row],[TE_COEFFICIENT_MANUAL]],PROPERTIES[[#This Row],[TE_COEFFICIENT_CALC]]),3)</f>
        <v>0.109</v>
      </c>
      <c r="AD973" s="8" cm="1">
        <f t="array" ref="AD9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973" s="26">
        <v>0</v>
      </c>
      <c r="AF973" s="6">
        <v>4</v>
      </c>
      <c r="AG973" t="s">
        <v>231</v>
      </c>
      <c r="AH973" t="s">
        <v>229</v>
      </c>
      <c r="AI973" t="s">
        <v>229</v>
      </c>
      <c r="AJ973" s="2" t="s">
        <v>229</v>
      </c>
      <c r="AK973" s="2" t="s">
        <v>244</v>
      </c>
      <c r="AL97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7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73" s="2" t="str">
        <f>SUBSTITUTE(SUBSTITUTE(PROPERTIES[[#This Row],[PURCHASECOST_VALUE]], "PURCHASECOST_", ""), "_VALUE", "")</f>
        <v>STEAMENGINE</v>
      </c>
      <c r="AO973" s="44" t="b">
        <v>0</v>
      </c>
      <c r="AP973" s="48" t="b">
        <v>0</v>
      </c>
      <c r="AQ973" s="48" t="b">
        <v>0</v>
      </c>
      <c r="AR973" s="48">
        <v>0</v>
      </c>
      <c r="AS973" s="48" t="b">
        <v>0</v>
      </c>
      <c r="AT973" s="7" t="b">
        <v>0</v>
      </c>
      <c r="AU973" s="40" t="str" cm="1">
        <f t="array" ref="AU973">_xlfn.XLOOKUP(PROPERTIES[[#This Row],[VEHIDCODE]],GRAPHICS_PROPERTIES[VEHIDCODE],GRAPHICS_PROPERTIES[TEMPLATE_ID]&amp;GRAPHICS_PROPERTIES[TEMPLATE_AMENDMENT_CODE])</f>
        <v>TPL_03C</v>
      </c>
    </row>
    <row r="974" spans="1:47" x14ac:dyDescent="0.35">
      <c r="A974" s="2" t="s">
        <v>3402</v>
      </c>
      <c r="B974">
        <v>2024</v>
      </c>
      <c r="D974" cm="1">
        <f t="array" ref="D9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74" s="40" t="str">
        <f>_xlfn.XLOOKUP(PROPERTIES[[#This Row],[VEHIDCODE]],CONTROL[VEHIDCODE],CONTROL[ENGLISH])</f>
        <v>CRRC Sifang SFB-500</v>
      </c>
      <c r="F974" t="s">
        <v>573</v>
      </c>
      <c r="G974" s="40" t="str">
        <f>_xlfn.XLOOKUP(PROPERTIES[[#This Row],[COUNTRY]],COUNTRIES[COUNTRY_DESCRIPTION],COUNTRIES[COUNTRY_LABEL],"")</f>
        <v>CL</v>
      </c>
      <c r="H974" t="str" cm="1">
        <f t="array" ref="H9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74" t="s">
        <v>15</v>
      </c>
      <c r="J974">
        <f>INT(236/2)</f>
        <v>118</v>
      </c>
      <c r="K974">
        <v>8</v>
      </c>
      <c r="M974" t="str" cm="1">
        <f t="array" ref="M9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74">
        <f>_xlfn.XLOOKUP("LOADINGSPEEDDEF_"&amp;PROPERTIES[[#This Row],[LOADINGSPEED]],LOADINGSPEEDDEF[TYPE],LOADINGSPEEDDEF[SPEED])</f>
        <v>20</v>
      </c>
      <c r="O974" t="str" cm="1">
        <f t="array" ref="O9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74">
        <f>IF(ISNUMBER(SEARCH("passenger",PROPERTIES[[#This Row],[CARGODEF]])),1,0)</f>
        <v>1</v>
      </c>
      <c r="Q974" s="23">
        <f>207/4</f>
        <v>51.75</v>
      </c>
      <c r="R974">
        <v>7510</v>
      </c>
      <c r="S974">
        <v>0</v>
      </c>
      <c r="T974">
        <v>0</v>
      </c>
      <c r="U974">
        <v>0</v>
      </c>
      <c r="V974">
        <v>180</v>
      </c>
      <c r="W974">
        <v>0</v>
      </c>
      <c r="X974">
        <v>0</v>
      </c>
      <c r="Y974">
        <v>0</v>
      </c>
      <c r="Z974" s="20">
        <v>120</v>
      </c>
      <c r="AA974" s="20">
        <f>IFERROR(PROPERTIES[[#This Row],[TE_STARTING_KN]]/(PROPERTIES[[#This Row],[WEIGHT]]*9.81),0)</f>
        <v>0.23637518651479561</v>
      </c>
      <c r="AB974" s="20">
        <v>0</v>
      </c>
      <c r="AC974" s="16">
        <f>ROUND(IF(IFERROR(PROPERTIES[[#This Row],[TE_COEFFICIENT_CALC]],0)=0,PROPERTIES[[#This Row],[TE_COEFFICIENT_MANUAL]],PROPERTIES[[#This Row],[TE_COEFFICIENT_CALC]]),3)</f>
        <v>0.23599999999999999</v>
      </c>
      <c r="AD974" s="39" cm="1">
        <f t="array" ref="AD9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74" s="26">
        <v>118</v>
      </c>
      <c r="AF974" s="6">
        <v>8</v>
      </c>
      <c r="AG974" t="s">
        <v>237</v>
      </c>
      <c r="AH974" t="s">
        <v>229</v>
      </c>
      <c r="AI974" t="s">
        <v>229</v>
      </c>
      <c r="AJ974" s="2" t="s">
        <v>229</v>
      </c>
      <c r="AK974" s="2" t="s">
        <v>244</v>
      </c>
      <c r="AL97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7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74" s="2" t="str">
        <f>SUBSTITUTE(SUBSTITUTE(PROPERTIES[[#This Row],[PURCHASECOST_VALUE]], "PURCHASECOST_", ""), "_VALUE", "")</f>
        <v>EMU</v>
      </c>
      <c r="AO974" s="44" t="b">
        <v>0</v>
      </c>
      <c r="AP974" s="48" t="b">
        <v>0</v>
      </c>
      <c r="AQ974" s="48" t="b">
        <v>0</v>
      </c>
      <c r="AR974" s="48">
        <v>0</v>
      </c>
      <c r="AS974" s="48" t="b">
        <v>0</v>
      </c>
      <c r="AT974" s="7" t="b">
        <v>0</v>
      </c>
      <c r="AU974" s="40" t="str" cm="1">
        <f t="array" ref="AU974">_xlfn.XLOOKUP(PROPERTIES[[#This Row],[VEHIDCODE]],GRAPHICS_PROPERTIES[VEHIDCODE],GRAPHICS_PROPERTIES[TEMPLATE_ID]&amp;GRAPHICS_PROPERTIES[TEMPLATE_AMENDMENT_CODE])</f>
        <v>TPL_02A</v>
      </c>
    </row>
    <row r="975" spans="1:47" x14ac:dyDescent="0.35">
      <c r="A975" s="2" t="s">
        <v>3403</v>
      </c>
      <c r="B975">
        <v>1938</v>
      </c>
      <c r="D975" cm="1">
        <f t="array" ref="D9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5" s="40" t="str">
        <f>_xlfn.XLOOKUP(PROPERTIES[[#This Row],[VEHIDCODE]],CONTROL[VEHIDCODE],CONTROL[ENGLISH])</f>
        <v>EMC E3</v>
      </c>
      <c r="F975" t="s">
        <v>757</v>
      </c>
      <c r="G975" s="40" t="str">
        <f>_xlfn.XLOOKUP(PROPERTIES[[#This Row],[COUNTRY]],COUNTRIES[COUNTRY_DESCRIPTION],COUNTRIES[COUNTRY_LABEL],"")</f>
        <v>US</v>
      </c>
      <c r="H975" t="str" cm="1">
        <f t="array" ref="H9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75" t="s">
        <v>17</v>
      </c>
      <c r="J975">
        <v>0</v>
      </c>
      <c r="K975">
        <v>8</v>
      </c>
      <c r="M975" t="str" cm="1">
        <f t="array" ref="M9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5">
        <f>_xlfn.XLOOKUP("LOADINGSPEEDDEF_"&amp;PROPERTIES[[#This Row],[LOADINGSPEED]],LOADINGSPEEDDEF[TYPE],LOADINGSPEEDDEF[SPEED])</f>
        <v>20</v>
      </c>
      <c r="O975" cm="1">
        <f t="array" ref="O9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5">
        <f>IF(ISNUMBER(SEARCH("passenger",PROPERTIES[[#This Row],[CARGODEF]])),1,0)</f>
        <v>0</v>
      </c>
      <c r="Q975" s="23">
        <v>140</v>
      </c>
      <c r="R975">
        <v>2000</v>
      </c>
      <c r="S975">
        <v>0</v>
      </c>
      <c r="T975">
        <v>0</v>
      </c>
      <c r="U975">
        <v>0</v>
      </c>
      <c r="V975">
        <v>187</v>
      </c>
      <c r="W975">
        <v>0</v>
      </c>
      <c r="X975">
        <v>0</v>
      </c>
      <c r="Y975">
        <v>0</v>
      </c>
      <c r="Z975" s="20">
        <f>56500*0.0049</f>
        <v>276.84999999999997</v>
      </c>
      <c r="AA975" s="20">
        <f>IFERROR(PROPERTIES[[#This Row],[TE_STARTING_KN]]/(PROPERTIES[[#This Row],[WEIGHT]]*9.81),0)</f>
        <v>0.20158002038735981</v>
      </c>
      <c r="AB975" s="20">
        <v>0</v>
      </c>
      <c r="AC975" s="16">
        <f>ROUND(IF(IFERROR(PROPERTIES[[#This Row],[TE_COEFFICIENT_CALC]],0)=0,PROPERTIES[[#This Row],[TE_COEFFICIENT_MANUAL]],PROPERTIES[[#This Row],[TE_COEFFICIENT_CALC]]),3)</f>
        <v>0.20200000000000001</v>
      </c>
      <c r="AD975" s="39" cm="1">
        <f t="array" ref="AD9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75" s="26">
        <v>0</v>
      </c>
      <c r="AF975" s="6">
        <v>8</v>
      </c>
      <c r="AG975" t="s">
        <v>235</v>
      </c>
      <c r="AH975" t="s">
        <v>229</v>
      </c>
      <c r="AI975" t="s">
        <v>229</v>
      </c>
      <c r="AJ975" s="2" t="s">
        <v>229</v>
      </c>
      <c r="AK975" s="2" t="s">
        <v>244</v>
      </c>
      <c r="AL97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7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75" s="2" t="str">
        <f>SUBSTITUTE(SUBSTITUTE(PROPERTIES[[#This Row],[PURCHASECOST_VALUE]], "PURCHASECOST_", ""), "_VALUE", "")</f>
        <v>DIESELENGINE</v>
      </c>
      <c r="AO975" s="44" t="b">
        <v>0</v>
      </c>
      <c r="AP975" s="48" t="b">
        <v>0</v>
      </c>
      <c r="AQ975" s="48" t="b">
        <v>0</v>
      </c>
      <c r="AR975" s="48">
        <v>0</v>
      </c>
      <c r="AS975" s="48" t="b">
        <v>0</v>
      </c>
      <c r="AT975" s="7" t="b">
        <v>0</v>
      </c>
      <c r="AU975" s="40" t="str" cm="1">
        <f t="array" ref="AU975">_xlfn.XLOOKUP(PROPERTIES[[#This Row],[VEHIDCODE]],GRAPHICS_PROPERTIES[VEHIDCODE],GRAPHICS_PROPERTIES[TEMPLATE_ID]&amp;GRAPHICS_PROPERTIES[TEMPLATE_AMENDMENT_CODE])</f>
        <v>TPL_03F</v>
      </c>
    </row>
    <row r="976" spans="1:47" x14ac:dyDescent="0.35">
      <c r="A976" s="2" t="s">
        <v>3404</v>
      </c>
      <c r="B976">
        <v>1939</v>
      </c>
      <c r="D976" cm="1">
        <f t="array" ref="D9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6" s="40" t="str">
        <f>_xlfn.XLOOKUP(PROPERTIES[[#This Row],[VEHIDCODE]],CONTROL[VEHIDCODE],CONTROL[ENGLISH])</f>
        <v>EMD FT</v>
      </c>
      <c r="F976" t="s">
        <v>757</v>
      </c>
      <c r="G976" s="40" t="str">
        <f>_xlfn.XLOOKUP(PROPERTIES[[#This Row],[COUNTRY]],COUNTRIES[COUNTRY_DESCRIPTION],COUNTRIES[COUNTRY_LABEL],"")</f>
        <v>US</v>
      </c>
      <c r="H976" t="str" cm="1">
        <f t="array" ref="H9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76" t="s">
        <v>17</v>
      </c>
      <c r="J976">
        <v>0</v>
      </c>
      <c r="K976">
        <v>6</v>
      </c>
      <c r="L976">
        <v>0</v>
      </c>
      <c r="M976" t="str" cm="1">
        <f t="array" ref="M9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6">
        <f>_xlfn.XLOOKUP("LOADINGSPEEDDEF_"&amp;PROPERTIES[[#This Row],[LOADINGSPEED]],LOADINGSPEEDDEF[TYPE],LOADINGSPEEDDEF[SPEED])</f>
        <v>20</v>
      </c>
      <c r="O976" cm="1">
        <f t="array" ref="O9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6">
        <f>IF(ISNUMBER(SEARCH("passenger",PROPERTIES[[#This Row],[CARGODEF]])),1,0)</f>
        <v>0</v>
      </c>
      <c r="Q976" s="23">
        <f>104+99</f>
        <v>203</v>
      </c>
      <c r="R976">
        <v>2700</v>
      </c>
      <c r="S976">
        <v>0</v>
      </c>
      <c r="T976">
        <v>0</v>
      </c>
      <c r="U976">
        <v>0</v>
      </c>
      <c r="V976">
        <v>153</v>
      </c>
      <c r="W976">
        <v>0</v>
      </c>
      <c r="X976">
        <v>0</v>
      </c>
      <c r="Y976">
        <v>0</v>
      </c>
      <c r="Z976" s="20">
        <v>245</v>
      </c>
      <c r="AA976" s="20">
        <f>IFERROR(PROPERTIES[[#This Row],[TE_STARTING_KN]]/(PROPERTIES[[#This Row],[WEIGHT]]*9.81),0)</f>
        <v>0.12302717142957573</v>
      </c>
      <c r="AB976" s="20">
        <v>0</v>
      </c>
      <c r="AC976" s="16">
        <f>ROUND(IF(IFERROR(PROPERTIES[[#This Row],[TE_COEFFICIENT_CALC]],0)=0,PROPERTIES[[#This Row],[TE_COEFFICIENT_MANUAL]],PROPERTIES[[#This Row],[TE_COEFFICIENT_CALC]]),3)</f>
        <v>0.123</v>
      </c>
      <c r="AD976" s="39" cm="1">
        <f t="array" ref="AD9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76" s="26">
        <v>0</v>
      </c>
      <c r="AF976" s="6">
        <v>6</v>
      </c>
      <c r="AG976" t="s">
        <v>235</v>
      </c>
      <c r="AH976" t="s">
        <v>229</v>
      </c>
      <c r="AI976" t="s">
        <v>229</v>
      </c>
      <c r="AJ976" s="2" t="s">
        <v>229</v>
      </c>
      <c r="AK976" s="2" t="s">
        <v>244</v>
      </c>
      <c r="AL97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7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76" s="2" t="str">
        <f>SUBSTITUTE(SUBSTITUTE(PROPERTIES[[#This Row],[PURCHASECOST_VALUE]], "PURCHASECOST_", ""), "_VALUE", "")</f>
        <v>DIESELENGINE</v>
      </c>
      <c r="AO976" s="44" t="b">
        <v>0</v>
      </c>
      <c r="AP976" s="48" t="b">
        <v>0</v>
      </c>
      <c r="AQ976" s="48" t="b">
        <v>0</v>
      </c>
      <c r="AR976" s="48">
        <v>0</v>
      </c>
      <c r="AS976" s="48" t="b">
        <v>0</v>
      </c>
      <c r="AT976" s="7" t="b">
        <v>0</v>
      </c>
      <c r="AU976" s="40" t="str" cm="1">
        <f t="array" ref="AU976">_xlfn.XLOOKUP(PROPERTIES[[#This Row],[VEHIDCODE]],GRAPHICS_PROPERTIES[VEHIDCODE],GRAPHICS_PROPERTIES[TEMPLATE_ID]&amp;GRAPHICS_PROPERTIES[TEMPLATE_AMENDMENT_CODE])</f>
        <v>TPL_03F</v>
      </c>
    </row>
    <row r="977" spans="1:47" x14ac:dyDescent="0.35">
      <c r="A977" s="2" t="s">
        <v>3405</v>
      </c>
      <c r="B977">
        <v>1973</v>
      </c>
      <c r="C977">
        <v>2015</v>
      </c>
      <c r="D977" cm="1">
        <f t="array" ref="D9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7" s="40" t="str">
        <f>_xlfn.XLOOKUP(PROPERTIES[[#This Row],[VEHIDCODE]],CONTROL[VEHIDCODE],CONTROL[ENGLISH])</f>
        <v>LTZ TE109</v>
      </c>
      <c r="F977" t="s">
        <v>584</v>
      </c>
      <c r="G977" s="40" t="str">
        <f>_xlfn.XLOOKUP(PROPERTIES[[#This Row],[COUNTRY]],COUNTRIES[COUNTRY_DESCRIPTION],COUNTRIES[COUNTRY_LABEL],"")</f>
        <v>DE</v>
      </c>
      <c r="H977" t="str" cm="1">
        <f t="array" ref="H9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77" t="s">
        <v>17</v>
      </c>
      <c r="J977">
        <v>0</v>
      </c>
      <c r="K977">
        <v>8</v>
      </c>
      <c r="L977">
        <v>0</v>
      </c>
      <c r="M977" t="str" cm="1">
        <f t="array" ref="M9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7">
        <f>_xlfn.XLOOKUP("LOADINGSPEEDDEF_"&amp;PROPERTIES[[#This Row],[LOADINGSPEED]],LOADINGSPEEDDEF[TYPE],LOADINGSPEEDDEF[SPEED])</f>
        <v>20</v>
      </c>
      <c r="O977" cm="1">
        <f t="array" ref="O9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7">
        <f>IF(ISNUMBER(SEARCH("passenger",PROPERTIES[[#This Row],[CARGODEF]])),1,0)</f>
        <v>0</v>
      </c>
      <c r="Q977" s="23">
        <v>140</v>
      </c>
      <c r="R977">
        <f>INT(2206*1.341)</f>
        <v>2958</v>
      </c>
      <c r="S977">
        <v>0</v>
      </c>
      <c r="T977">
        <v>0</v>
      </c>
      <c r="U977">
        <v>0</v>
      </c>
      <c r="V977">
        <v>120</v>
      </c>
      <c r="W977">
        <v>0</v>
      </c>
      <c r="X977">
        <v>0</v>
      </c>
      <c r="Y977">
        <v>0</v>
      </c>
      <c r="Z977" s="20">
        <v>265</v>
      </c>
      <c r="AA977" s="19">
        <f>IFERROR(PROPERTIES[[#This Row],[TE_STARTING_KN]]/(PROPERTIES[[#This Row],[WEIGHT]]*9.81),0)</f>
        <v>0.1929517984563856</v>
      </c>
      <c r="AB977" s="19">
        <v>0</v>
      </c>
      <c r="AC977" s="16">
        <f>ROUND(IF(IFERROR(PROPERTIES[[#This Row],[TE_COEFFICIENT_CALC]],0)=0,PROPERTIES[[#This Row],[TE_COEFFICIENT_MANUAL]],PROPERTIES[[#This Row],[TE_COEFFICIENT_CALC]]),3)</f>
        <v>0.193</v>
      </c>
      <c r="AD977" s="8" cm="1">
        <f t="array" ref="AD9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977" s="26">
        <v>0</v>
      </c>
      <c r="AF977" s="6">
        <v>0</v>
      </c>
      <c r="AG977" t="s">
        <v>230</v>
      </c>
      <c r="AH977" t="s">
        <v>1948</v>
      </c>
      <c r="AI977" t="s">
        <v>229</v>
      </c>
      <c r="AJ977" s="2" t="s">
        <v>229</v>
      </c>
      <c r="AK977" s="2" t="s">
        <v>244</v>
      </c>
      <c r="AL97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7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77" s="2" t="str">
        <f>SUBSTITUTE(SUBSTITUTE(PROPERTIES[[#This Row],[PURCHASECOST_VALUE]], "PURCHASECOST_", ""), "_VALUE", "")</f>
        <v>DIESELENGINE</v>
      </c>
      <c r="AO977" s="44" t="b">
        <v>0</v>
      </c>
      <c r="AP977" s="48" t="b">
        <v>0</v>
      </c>
      <c r="AQ977" s="48" t="b">
        <v>0</v>
      </c>
      <c r="AR977" s="48">
        <v>0</v>
      </c>
      <c r="AS977" s="48" t="b">
        <v>0</v>
      </c>
      <c r="AT977" s="7" t="b">
        <v>0</v>
      </c>
      <c r="AU977" s="40" t="str" cm="1">
        <f t="array" ref="AU977">_xlfn.XLOOKUP(PROPERTIES[[#This Row],[VEHIDCODE]],GRAPHICS_PROPERTIES[VEHIDCODE],GRAPHICS_PROPERTIES[TEMPLATE_ID]&amp;GRAPHICS_PROPERTIES[TEMPLATE_AMENDMENT_CODE])</f>
        <v>TPL_01A</v>
      </c>
    </row>
    <row r="978" spans="1:47" x14ac:dyDescent="0.35">
      <c r="A978" s="2" t="s">
        <v>3406</v>
      </c>
      <c r="B978">
        <v>1985</v>
      </c>
      <c r="C978">
        <v>2012</v>
      </c>
      <c r="D978" cm="1">
        <f t="array" ref="D9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78" s="40" t="str">
        <f>_xlfn.XLOOKUP(PROPERTIES[[#This Row],[VEHIDCODE]],CONTROL[VEHIDCODE],CONTROL[ENGLISH])</f>
        <v>Hitachi/Kawasaki Shinkansen Series 100</v>
      </c>
      <c r="F978" t="s">
        <v>640</v>
      </c>
      <c r="G978" s="40" t="str">
        <f>_xlfn.XLOOKUP(PROPERTIES[[#This Row],[COUNTRY]],COUNTRIES[COUNTRY_DESCRIPTION],COUNTRIES[COUNTRY_LABEL],"")</f>
        <v>JP</v>
      </c>
      <c r="H978" t="str" cm="1">
        <f t="array" ref="H9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78" t="s">
        <v>15</v>
      </c>
      <c r="J978">
        <v>75</v>
      </c>
      <c r="K978">
        <v>8</v>
      </c>
      <c r="M978" t="str" cm="1">
        <f t="array" ref="M9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78">
        <f>_xlfn.XLOOKUP("LOADINGSPEEDDEF_"&amp;PROPERTIES[[#This Row],[LOADINGSPEED]],LOADINGSPEEDDEF[TYPE],LOADINGSPEEDDEF[SPEED])</f>
        <v>20</v>
      </c>
      <c r="O978" t="str" cm="1">
        <f t="array" ref="O9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78">
        <f>IF(ISNUMBER(SEARCH("passenger",PROPERTIES[[#This Row],[CARGODEF]])),1,0)</f>
        <v>1</v>
      </c>
      <c r="Q978" s="23">
        <v>53</v>
      </c>
      <c r="R978">
        <f>INT(992*2*1.2)</f>
        <v>2380</v>
      </c>
      <c r="S978">
        <v>0</v>
      </c>
      <c r="T978">
        <v>0</v>
      </c>
      <c r="U978">
        <v>0</v>
      </c>
      <c r="V978">
        <v>240</v>
      </c>
      <c r="W978">
        <v>0</v>
      </c>
      <c r="X978">
        <v>0</v>
      </c>
      <c r="Y978">
        <v>0</v>
      </c>
      <c r="Z978" s="20">
        <v>0</v>
      </c>
      <c r="AA978" s="19">
        <f>IFERROR(PROPERTIES[[#This Row],[TE_STARTING_KN]]/(PROPERTIES[[#This Row],[WEIGHT]]*9.81),0)</f>
        <v>0</v>
      </c>
      <c r="AB978" s="19">
        <v>0.3</v>
      </c>
      <c r="AC978" s="16">
        <f>ROUND(IF(IFERROR(PROPERTIES[[#This Row],[TE_COEFFICIENT_CALC]],0)=0,PROPERTIES[[#This Row],[TE_COEFFICIENT_MANUAL]],PROPERTIES[[#This Row],[TE_COEFFICIENT_CALC]]),3)</f>
        <v>0.3</v>
      </c>
      <c r="AD978" s="8" cm="1">
        <f t="array" ref="AD9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78" s="26">
        <v>100</v>
      </c>
      <c r="AF978" s="6">
        <v>8</v>
      </c>
      <c r="AG978" t="s">
        <v>238</v>
      </c>
      <c r="AH978" t="s">
        <v>229</v>
      </c>
      <c r="AI978" t="s">
        <v>229</v>
      </c>
      <c r="AJ978" s="2" t="s">
        <v>229</v>
      </c>
      <c r="AK978" s="2" t="s">
        <v>244</v>
      </c>
      <c r="AL97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7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78" s="2" t="str">
        <f>SUBSTITUTE(SUBSTITUTE(PROPERTIES[[#This Row],[PURCHASECOST_VALUE]], "PURCHASECOST_", ""), "_VALUE", "")</f>
        <v>EMU</v>
      </c>
      <c r="AO978" s="44" t="b">
        <v>0</v>
      </c>
      <c r="AP978" s="48" t="b">
        <v>0</v>
      </c>
      <c r="AQ978" s="48" t="b">
        <v>0</v>
      </c>
      <c r="AR978" s="48">
        <v>0</v>
      </c>
      <c r="AS978" s="48" t="b">
        <v>0</v>
      </c>
      <c r="AT978" s="7" t="b">
        <v>0</v>
      </c>
      <c r="AU978" s="40" t="str" cm="1">
        <f t="array" ref="AU978">_xlfn.XLOOKUP(PROPERTIES[[#This Row],[VEHIDCODE]],GRAPHICS_PROPERTIES[VEHIDCODE],GRAPHICS_PROPERTIES[TEMPLATE_ID]&amp;GRAPHICS_PROPERTIES[TEMPLATE_AMENDMENT_CODE])</f>
        <v>TPL_02D</v>
      </c>
    </row>
    <row r="979" spans="1:47" x14ac:dyDescent="0.35">
      <c r="A979" s="2" t="s">
        <v>3407</v>
      </c>
      <c r="B979">
        <v>1957</v>
      </c>
      <c r="C979">
        <v>1991</v>
      </c>
      <c r="D979" cm="1">
        <f t="array" ref="D9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9" s="40" t="str">
        <f>_xlfn.XLOOKUP(PROPERTIES[[#This Row],[VEHIDCODE]],CONTROL[VEHIDCODE],CONTROL[ENGLISH])</f>
        <v>Krauss-Maffei ML 2200</v>
      </c>
      <c r="F979" t="s">
        <v>776</v>
      </c>
      <c r="G979" s="40" t="str">
        <f>_xlfn.XLOOKUP(PROPERTIES[[#This Row],[COUNTRY]],COUNTRIES[COUNTRY_DESCRIPTION],COUNTRIES[COUNTRY_LABEL],"")</f>
        <v>YU</v>
      </c>
      <c r="H979" t="str" cm="1">
        <f t="array" ref="H9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79" t="s">
        <v>17</v>
      </c>
      <c r="J979">
        <v>0</v>
      </c>
      <c r="K979">
        <v>8</v>
      </c>
      <c r="L979">
        <v>0</v>
      </c>
      <c r="M979" t="str" cm="1">
        <f t="array" ref="M9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9">
        <f>_xlfn.XLOOKUP("LOADINGSPEEDDEF_"&amp;PROPERTIES[[#This Row],[LOADINGSPEED]],LOADINGSPEEDDEF[TYPE],LOADINGSPEEDDEF[SPEED])</f>
        <v>20</v>
      </c>
      <c r="O979" cm="1">
        <f t="array" ref="O9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9">
        <f>IF(ISNUMBER(SEARCH("passenger",PROPERTIES[[#This Row],[CARGODEF]])),1,0)</f>
        <v>0</v>
      </c>
      <c r="Q979" s="23">
        <v>96</v>
      </c>
      <c r="R979">
        <v>2400</v>
      </c>
      <c r="S979">
        <v>0</v>
      </c>
      <c r="T979">
        <v>0</v>
      </c>
      <c r="U979">
        <v>0</v>
      </c>
      <c r="V979">
        <v>120</v>
      </c>
      <c r="W979">
        <v>0</v>
      </c>
      <c r="X979">
        <v>0</v>
      </c>
      <c r="Y979">
        <v>0</v>
      </c>
      <c r="Z979" s="20">
        <v>336</v>
      </c>
      <c r="AA979" s="20">
        <f>IFERROR(PROPERTIES[[#This Row],[TE_STARTING_KN]]/(PROPERTIES[[#This Row],[WEIGHT]]*9.81),0)</f>
        <v>0.3567787971457696</v>
      </c>
      <c r="AB979" s="20">
        <v>0</v>
      </c>
      <c r="AC979" s="16">
        <f>ROUND(IF(IFERROR(PROPERTIES[[#This Row],[TE_COEFFICIENT_CALC]],0)=0,PROPERTIES[[#This Row],[TE_COEFFICIENT_MANUAL]],PROPERTIES[[#This Row],[TE_COEFFICIENT_CALC]]),3)</f>
        <v>0.35699999999999998</v>
      </c>
      <c r="AD979" s="39" cm="1">
        <f t="array" ref="AD9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79" s="26">
        <v>0</v>
      </c>
      <c r="AF979" s="6">
        <v>0</v>
      </c>
      <c r="AG979" t="s">
        <v>236</v>
      </c>
      <c r="AH979" t="s">
        <v>229</v>
      </c>
      <c r="AI979" t="s">
        <v>229</v>
      </c>
      <c r="AJ979" s="2" t="s">
        <v>229</v>
      </c>
      <c r="AK979" s="2" t="s">
        <v>244</v>
      </c>
      <c r="AL97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7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79" s="2" t="str">
        <f>SUBSTITUTE(SUBSTITUTE(PROPERTIES[[#This Row],[PURCHASECOST_VALUE]], "PURCHASECOST_", ""), "_VALUE", "")</f>
        <v>DIESELENGINE</v>
      </c>
      <c r="AO979" s="44" t="b">
        <v>0</v>
      </c>
      <c r="AP979" s="48" t="b">
        <v>0</v>
      </c>
      <c r="AQ979" s="48" t="b">
        <v>0</v>
      </c>
      <c r="AR979" s="48">
        <v>0</v>
      </c>
      <c r="AS979" s="48" t="b">
        <v>0</v>
      </c>
      <c r="AT979" s="7" t="b">
        <v>0</v>
      </c>
      <c r="AU979" s="40" t="str" cm="1">
        <f t="array" ref="AU979">_xlfn.XLOOKUP(PROPERTIES[[#This Row],[VEHIDCODE]],GRAPHICS_PROPERTIES[VEHIDCODE],GRAPHICS_PROPERTIES[TEMPLATE_ID]&amp;GRAPHICS_PROPERTIES[TEMPLATE_AMENDMENT_CODE])</f>
        <v>TPL_01A</v>
      </c>
    </row>
    <row r="980" spans="1:47" x14ac:dyDescent="0.35">
      <c r="A980" s="2" t="s">
        <v>3408</v>
      </c>
      <c r="B980">
        <v>1944</v>
      </c>
      <c r="C980">
        <v>1975</v>
      </c>
      <c r="D980" cm="1">
        <f t="array" ref="D9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80" s="40" t="str">
        <f>_xlfn.XLOOKUP(PROPERTIES[[#This Row],[VEHIDCODE]],CONTROL[VEHIDCODE],CONTROL[ENGLISH])</f>
        <v>Ganz 'Hargita' M440</v>
      </c>
      <c r="F980" t="s">
        <v>626</v>
      </c>
      <c r="G980" s="40" t="str">
        <f>_xlfn.XLOOKUP(PROPERTIES[[#This Row],[COUNTRY]],COUNTRIES[COUNTRY_DESCRIPTION],COUNTRIES[COUNTRY_LABEL],"")</f>
        <v>HU</v>
      </c>
      <c r="H980" t="str" cm="1">
        <f t="array" ref="H9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80" t="s">
        <v>15</v>
      </c>
      <c r="J980">
        <v>54</v>
      </c>
      <c r="K980">
        <v>8</v>
      </c>
      <c r="M980" t="str" cm="1">
        <f t="array" ref="M9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80">
        <f>_xlfn.XLOOKUP("LOADINGSPEEDDEF_"&amp;PROPERTIES[[#This Row],[LOADINGSPEED]],LOADINGSPEEDDEF[TYPE],LOADINGSPEEDDEF[SPEED])</f>
        <v>60</v>
      </c>
      <c r="O980" cm="1">
        <f t="array" ref="O9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0">
        <f>IF(ISNUMBER(SEARCH("passenger",PROPERTIES[[#This Row],[CARGODEF]])),1,0)</f>
        <v>1</v>
      </c>
      <c r="Q980" s="23">
        <v>53.25</v>
      </c>
      <c r="R980">
        <f>2*450</f>
        <v>900</v>
      </c>
      <c r="S980">
        <v>0</v>
      </c>
      <c r="T980">
        <v>0</v>
      </c>
      <c r="U980">
        <v>0</v>
      </c>
      <c r="V980">
        <v>120</v>
      </c>
      <c r="W980">
        <v>0</v>
      </c>
      <c r="X980">
        <v>0</v>
      </c>
      <c r="Y980">
        <v>0</v>
      </c>
      <c r="Z980" s="20">
        <v>38</v>
      </c>
      <c r="AA980" s="19">
        <f>IFERROR(PROPERTIES[[#This Row],[TE_STARTING_KN]]/(PROPERTIES[[#This Row],[WEIGHT]]*9.81),0)</f>
        <v>7.2743631342933573E-2</v>
      </c>
      <c r="AB980" s="19">
        <v>0</v>
      </c>
      <c r="AC980" s="16">
        <f>ROUND(IF(IFERROR(PROPERTIES[[#This Row],[TE_COEFFICIENT_CALC]],0)=0,PROPERTIES[[#This Row],[TE_COEFFICIENT_MANUAL]],PROPERTIES[[#This Row],[TE_COEFFICIENT_CALC]]),3)</f>
        <v>7.2999999999999995E-2</v>
      </c>
      <c r="AD980" s="8" cm="1">
        <f t="array" ref="AD9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31</v>
      </c>
      <c r="AE980" s="26">
        <v>54</v>
      </c>
      <c r="AF980" s="6">
        <v>8</v>
      </c>
      <c r="AG980" t="s">
        <v>236</v>
      </c>
      <c r="AH980" t="s">
        <v>230</v>
      </c>
      <c r="AI980" t="s">
        <v>229</v>
      </c>
      <c r="AJ980" s="2" t="s">
        <v>229</v>
      </c>
      <c r="AK980" s="2" t="s">
        <v>244</v>
      </c>
      <c r="AL98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8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80" s="2" t="str">
        <f>SUBSTITUTE(SUBSTITUTE(PROPERTIES[[#This Row],[PURCHASECOST_VALUE]], "PURCHASECOST_", ""), "_VALUE", "")</f>
        <v>DMU</v>
      </c>
      <c r="AO980" s="44" t="b">
        <v>0</v>
      </c>
      <c r="AP980" s="48" t="b">
        <v>0</v>
      </c>
      <c r="AQ980" s="48" t="b">
        <v>0</v>
      </c>
      <c r="AR980" s="48">
        <v>0</v>
      </c>
      <c r="AS980" s="48" t="b">
        <v>0</v>
      </c>
      <c r="AT980" s="7" t="b">
        <v>0</v>
      </c>
      <c r="AU980" s="40" t="str" cm="1">
        <f t="array" ref="AU980">_xlfn.XLOOKUP(PROPERTIES[[#This Row],[VEHIDCODE]],GRAPHICS_PROPERTIES[VEHIDCODE],GRAPHICS_PROPERTIES[TEMPLATE_ID]&amp;GRAPHICS_PROPERTIES[TEMPLATE_AMENDMENT_CODE])</f>
        <v>TPL_02A</v>
      </c>
    </row>
    <row r="981" spans="1:47" x14ac:dyDescent="0.35">
      <c r="A981" s="2" t="s">
        <v>3409</v>
      </c>
      <c r="B981">
        <v>1932</v>
      </c>
      <c r="C981">
        <v>1984</v>
      </c>
      <c r="D981" cm="1">
        <f t="array" ref="D9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1" s="40" t="str">
        <f>_xlfn.XLOOKUP(PROPERTIES[[#This Row],[VEHIDCODE]],CONTROL[VEHIDCODE],CONTROL[ENGLISH])</f>
        <v>SSW/Krauss E44</v>
      </c>
      <c r="F981" t="s">
        <v>584</v>
      </c>
      <c r="G981" s="40" t="str">
        <f>_xlfn.XLOOKUP(PROPERTIES[[#This Row],[COUNTRY]],COUNTRIES[COUNTRY_DESCRIPTION],COUNTRIES[COUNTRY_LABEL],"")</f>
        <v>DE</v>
      </c>
      <c r="H981" t="str" cm="1">
        <f t="array" ref="H9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1" t="s">
        <v>17</v>
      </c>
      <c r="J981">
        <v>0</v>
      </c>
      <c r="K981">
        <v>8</v>
      </c>
      <c r="L981">
        <v>0</v>
      </c>
      <c r="M981" t="str" cm="1">
        <f t="array" ref="M9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1">
        <f>_xlfn.XLOOKUP("LOADINGSPEEDDEF_"&amp;PROPERTIES[[#This Row],[LOADINGSPEED]],LOADINGSPEEDDEF[TYPE],LOADINGSPEEDDEF[SPEED])</f>
        <v>20</v>
      </c>
      <c r="O981" cm="1">
        <f t="array" ref="O9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1">
        <f>IF(ISNUMBER(SEARCH("passenger",PROPERTIES[[#This Row],[CARGODEF]])),1,0)</f>
        <v>0</v>
      </c>
      <c r="Q981" s="23">
        <v>78</v>
      </c>
      <c r="R981">
        <f>INT(2200*1.341)</f>
        <v>2950</v>
      </c>
      <c r="S981">
        <v>0</v>
      </c>
      <c r="T981">
        <v>0</v>
      </c>
      <c r="U981">
        <v>0</v>
      </c>
      <c r="V981">
        <v>90</v>
      </c>
      <c r="W981">
        <v>0</v>
      </c>
      <c r="X981">
        <v>0</v>
      </c>
      <c r="Y981">
        <v>0</v>
      </c>
      <c r="Z981" s="20">
        <v>196</v>
      </c>
      <c r="AA981" s="19">
        <f>IFERROR(PROPERTIES[[#This Row],[TE_STARTING_KN]]/(PROPERTIES[[#This Row],[WEIGHT]]*9.81),0)</f>
        <v>0.25614888000209102</v>
      </c>
      <c r="AB981" s="19">
        <v>0</v>
      </c>
      <c r="AC981" s="16">
        <f>ROUND(IF(IFERROR(PROPERTIES[[#This Row],[TE_COEFFICIENT_CALC]],0)=0,PROPERTIES[[#This Row],[TE_COEFFICIENT_MANUAL]],PROPERTIES[[#This Row],[TE_COEFFICIENT_CALC]]),3)</f>
        <v>0.25600000000000001</v>
      </c>
      <c r="AD981" s="8" cm="1">
        <f t="array" ref="AD9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981" s="26">
        <v>0</v>
      </c>
      <c r="AF981" s="6">
        <v>0</v>
      </c>
      <c r="AG981" t="s">
        <v>230</v>
      </c>
      <c r="AH981" t="s">
        <v>229</v>
      </c>
      <c r="AI981" t="s">
        <v>229</v>
      </c>
      <c r="AJ981" s="2" t="s">
        <v>229</v>
      </c>
      <c r="AK981" s="2" t="s">
        <v>244</v>
      </c>
      <c r="AL98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1" s="2" t="str">
        <f>SUBSTITUTE(SUBSTITUTE(PROPERTIES[[#This Row],[PURCHASECOST_VALUE]], "PURCHASECOST_", ""), "_VALUE", "")</f>
        <v>ELECTRICENGINE</v>
      </c>
      <c r="AO981" s="44" t="b">
        <v>0</v>
      </c>
      <c r="AP981" s="48" t="b">
        <v>0</v>
      </c>
      <c r="AQ981" s="48" t="b">
        <v>0</v>
      </c>
      <c r="AR981" s="48">
        <v>0</v>
      </c>
      <c r="AS981" s="48" t="b">
        <v>0</v>
      </c>
      <c r="AT981" s="7" t="b">
        <v>0</v>
      </c>
      <c r="AU981" s="40" t="str" cm="1">
        <f t="array" ref="AU981">_xlfn.XLOOKUP(PROPERTIES[[#This Row],[VEHIDCODE]],GRAPHICS_PROPERTIES[VEHIDCODE],GRAPHICS_PROPERTIES[TEMPLATE_ID]&amp;GRAPHICS_PROPERTIES[TEMPLATE_AMENDMENT_CODE])</f>
        <v>TPL_01A</v>
      </c>
    </row>
    <row r="982" spans="1:47" x14ac:dyDescent="0.35">
      <c r="A982" s="2" t="s">
        <v>3410</v>
      </c>
      <c r="B982">
        <v>2016</v>
      </c>
      <c r="D982" cm="1">
        <f t="array" ref="D9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2" s="40" t="str">
        <f>_xlfn.XLOOKUP(PROPERTIES[[#This Row],[VEHIDCODE]],CONTROL[VEHIDCODE],CONTROL[ENGLISH])</f>
        <v>PESA 111MS</v>
      </c>
      <c r="F982" t="s">
        <v>705</v>
      </c>
      <c r="G982" s="40" t="str">
        <f>_xlfn.XLOOKUP(PROPERTIES[[#This Row],[COUNTRY]],COUNTRIES[COUNTRY_DESCRIPTION],COUNTRIES[COUNTRY_LABEL],"")</f>
        <v>PL</v>
      </c>
      <c r="H982" t="str" cm="1">
        <f t="array" ref="H9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2" t="s">
        <v>17</v>
      </c>
      <c r="J982">
        <v>0</v>
      </c>
      <c r="K982">
        <v>8</v>
      </c>
      <c r="L982">
        <v>0</v>
      </c>
      <c r="M982" t="str" cm="1">
        <f t="array" ref="M9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2">
        <f>_xlfn.XLOOKUP("LOADINGSPEEDDEF_"&amp;PROPERTIES[[#This Row],[LOADINGSPEED]],LOADINGSPEEDDEF[TYPE],LOADINGSPEEDDEF[SPEED])</f>
        <v>20</v>
      </c>
      <c r="O982" t="str" cm="1">
        <f t="array" ref="O9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82">
        <f>IF(ISNUMBER(SEARCH("passenger",PROPERTIES[[#This Row],[CARGODEF]])),1,0)</f>
        <v>0</v>
      </c>
      <c r="Q982" s="23">
        <v>82</v>
      </c>
      <c r="R982">
        <f>INT(6400*1.341)</f>
        <v>8582</v>
      </c>
      <c r="S982">
        <v>0</v>
      </c>
      <c r="T982">
        <v>0</v>
      </c>
      <c r="U982">
        <v>0</v>
      </c>
      <c r="V982">
        <v>200</v>
      </c>
      <c r="W982">
        <v>0</v>
      </c>
      <c r="X982">
        <v>0</v>
      </c>
      <c r="Y982">
        <v>0</v>
      </c>
      <c r="Z982" s="20">
        <v>275</v>
      </c>
      <c r="AA982" s="20">
        <f>IFERROR(PROPERTIES[[#This Row],[TE_STARTING_KN]]/(PROPERTIES[[#This Row],[WEIGHT]]*9.81),0)</f>
        <v>0.34186121677730535</v>
      </c>
      <c r="AB982" s="20">
        <v>0</v>
      </c>
      <c r="AC982" s="16">
        <f>ROUND(IF(IFERROR(PROPERTIES[[#This Row],[TE_COEFFICIENT_CALC]],0)=0,PROPERTIES[[#This Row],[TE_COEFFICIENT_MANUAL]],PROPERTIES[[#This Row],[TE_COEFFICIENT_CALC]]),3)</f>
        <v>0.34200000000000003</v>
      </c>
      <c r="AD982" s="39" cm="1">
        <f t="array" ref="AD9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82" s="26">
        <v>0</v>
      </c>
      <c r="AF982" s="6">
        <v>0</v>
      </c>
      <c r="AG982" t="s">
        <v>236</v>
      </c>
      <c r="AH982" t="s">
        <v>229</v>
      </c>
      <c r="AI982" t="s">
        <v>229</v>
      </c>
      <c r="AJ982" s="2" t="s">
        <v>229</v>
      </c>
      <c r="AK982" s="2" t="s">
        <v>244</v>
      </c>
      <c r="AL98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2" s="2" t="str">
        <f>SUBSTITUTE(SUBSTITUTE(PROPERTIES[[#This Row],[PURCHASECOST_VALUE]], "PURCHASECOST_", ""), "_VALUE", "")</f>
        <v>ELECTRICENGINE</v>
      </c>
      <c r="AO982" s="44" t="b">
        <v>0</v>
      </c>
      <c r="AP982" s="48" t="b">
        <v>0</v>
      </c>
      <c r="AQ982" s="48" t="b">
        <v>0</v>
      </c>
      <c r="AR982" s="48">
        <v>0</v>
      </c>
      <c r="AS982" s="48" t="b">
        <v>0</v>
      </c>
      <c r="AT982" s="7" t="b">
        <v>0</v>
      </c>
      <c r="AU982" s="40" t="str" cm="1">
        <f t="array" ref="AU982">_xlfn.XLOOKUP(PROPERTIES[[#This Row],[VEHIDCODE]],GRAPHICS_PROPERTIES[VEHIDCODE],GRAPHICS_PROPERTIES[TEMPLATE_ID]&amp;GRAPHICS_PROPERTIES[TEMPLATE_AMENDMENT_CODE])</f>
        <v>TPL_01A</v>
      </c>
    </row>
    <row r="983" spans="1:47" x14ac:dyDescent="0.35">
      <c r="A983" s="2" t="s">
        <v>3411</v>
      </c>
      <c r="B983">
        <v>1932</v>
      </c>
      <c r="C983">
        <v>1969</v>
      </c>
      <c r="D983" cm="1">
        <f t="array" ref="D9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3" s="40" t="str">
        <f>_xlfn.XLOOKUP(PROPERTIES[[#This Row],[VEHIDCODE]],CONTROL[VEHIDCODE],CONTROL[ENGLISH])</f>
        <v>Kolomna VL19</v>
      </c>
      <c r="F983" t="s">
        <v>716</v>
      </c>
      <c r="G983" s="40" t="str">
        <f>_xlfn.XLOOKUP(PROPERTIES[[#This Row],[COUNTRY]],COUNTRIES[COUNTRY_DESCRIPTION],COUNTRIES[COUNTRY_LABEL],"")</f>
        <v>RU</v>
      </c>
      <c r="H983" t="str" cm="1">
        <f t="array" ref="H9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3" t="s">
        <v>17</v>
      </c>
      <c r="J983">
        <v>0</v>
      </c>
      <c r="K983">
        <v>8</v>
      </c>
      <c r="L983">
        <v>0</v>
      </c>
      <c r="M983" t="str" cm="1">
        <f t="array" ref="M9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3">
        <f>_xlfn.XLOOKUP("LOADINGSPEEDDEF_"&amp;PROPERTIES[[#This Row],[LOADINGSPEED]],LOADINGSPEEDDEF[TYPE],LOADINGSPEEDDEF[SPEED])</f>
        <v>20</v>
      </c>
      <c r="O983" cm="1">
        <f t="array" ref="O9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3">
        <f>IF(ISNUMBER(SEARCH("passenger",PROPERTIES[[#This Row],[CARGODEF]])),1,0)</f>
        <v>0</v>
      </c>
      <c r="Q983" s="23">
        <v>114</v>
      </c>
      <c r="R983">
        <f>6*460</f>
        <v>2760</v>
      </c>
      <c r="S983">
        <v>0</v>
      </c>
      <c r="T983">
        <v>0</v>
      </c>
      <c r="U983">
        <v>0</v>
      </c>
      <c r="V983">
        <v>85</v>
      </c>
      <c r="W983">
        <v>0</v>
      </c>
      <c r="X983">
        <v>0</v>
      </c>
      <c r="Y983">
        <v>0</v>
      </c>
      <c r="Z983" s="20">
        <v>200</v>
      </c>
      <c r="AA983" s="20">
        <f>IFERROR(PROPERTIES[[#This Row],[TE_STARTING_KN]]/(PROPERTIES[[#This Row],[WEIGHT]]*9.81),0)</f>
        <v>0.17883648979737823</v>
      </c>
      <c r="AB983" s="20">
        <v>0</v>
      </c>
      <c r="AC983" s="16">
        <f>ROUND(IF(IFERROR(PROPERTIES[[#This Row],[TE_COEFFICIENT_CALC]],0)=0,PROPERTIES[[#This Row],[TE_COEFFICIENT_MANUAL]],PROPERTIES[[#This Row],[TE_COEFFICIENT_CALC]]),3)</f>
        <v>0.17899999999999999</v>
      </c>
      <c r="AD983" s="39" cm="1">
        <f t="array" ref="AD9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37</v>
      </c>
      <c r="AE983" s="26">
        <v>0</v>
      </c>
      <c r="AF983" s="6">
        <v>0</v>
      </c>
      <c r="AG983" t="s">
        <v>1948</v>
      </c>
      <c r="AH983" t="s">
        <v>229</v>
      </c>
      <c r="AI983" t="s">
        <v>229</v>
      </c>
      <c r="AJ983" s="2" t="s">
        <v>229</v>
      </c>
      <c r="AK983" s="2" t="s">
        <v>244</v>
      </c>
      <c r="AL98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3" s="2" t="str">
        <f>SUBSTITUTE(SUBSTITUTE(PROPERTIES[[#This Row],[PURCHASECOST_VALUE]], "PURCHASECOST_", ""), "_VALUE", "")</f>
        <v>ELECTRICENGINE</v>
      </c>
      <c r="AO983" s="44" t="b">
        <v>0</v>
      </c>
      <c r="AP983" s="48" t="b">
        <v>0</v>
      </c>
      <c r="AQ983" s="48" t="b">
        <v>0</v>
      </c>
      <c r="AR983" s="48">
        <v>0</v>
      </c>
      <c r="AS983" s="48" t="b">
        <v>0</v>
      </c>
      <c r="AT983" s="7" t="b">
        <v>0</v>
      </c>
      <c r="AU983" s="40" t="str" cm="1">
        <f t="array" ref="AU983">_xlfn.XLOOKUP(PROPERTIES[[#This Row],[VEHIDCODE]],GRAPHICS_PROPERTIES[VEHIDCODE],GRAPHICS_PROPERTIES[TEMPLATE_ID]&amp;GRAPHICS_PROPERTIES[TEMPLATE_AMENDMENT_CODE])</f>
        <v>TPL_01A</v>
      </c>
    </row>
    <row r="984" spans="1:47" x14ac:dyDescent="0.35">
      <c r="A984" s="2" t="s">
        <v>3412</v>
      </c>
      <c r="B984">
        <v>1935</v>
      </c>
      <c r="C984">
        <v>1976</v>
      </c>
      <c r="D984" cm="1">
        <f t="array" ref="D9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4" s="40" t="str">
        <f>_xlfn.XLOOKUP(PROPERTIES[[#This Row],[VEHIDCODE]],CONTROL[VEHIDCODE],CONTROL[ENGLISH])</f>
        <v>AEG/Krupp E18</v>
      </c>
      <c r="F984" t="s">
        <v>584</v>
      </c>
      <c r="G984" s="40" t="str">
        <f>_xlfn.XLOOKUP(PROPERTIES[[#This Row],[COUNTRY]],COUNTRIES[COUNTRY_DESCRIPTION],COUNTRIES[COUNTRY_LABEL],"")</f>
        <v>DE</v>
      </c>
      <c r="H984" t="str" cm="1">
        <f t="array" ref="H9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4" t="s">
        <v>17</v>
      </c>
      <c r="J984">
        <v>0</v>
      </c>
      <c r="K984">
        <v>8</v>
      </c>
      <c r="L984">
        <v>0</v>
      </c>
      <c r="M984" t="str" cm="1">
        <f t="array" ref="M9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4">
        <f>_xlfn.XLOOKUP("LOADINGSPEEDDEF_"&amp;PROPERTIES[[#This Row],[LOADINGSPEED]],LOADINGSPEEDDEF[TYPE],LOADINGSPEEDDEF[SPEED])</f>
        <v>20</v>
      </c>
      <c r="O984" cm="1">
        <f t="array" ref="O9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4">
        <f>IF(ISNUMBER(SEARCH("passenger",PROPERTIES[[#This Row],[CARGODEF]])),1,0)</f>
        <v>0</v>
      </c>
      <c r="Q984" s="23">
        <v>108.5</v>
      </c>
      <c r="R984">
        <v>3810</v>
      </c>
      <c r="S984">
        <v>0</v>
      </c>
      <c r="T984">
        <v>0</v>
      </c>
      <c r="U984">
        <v>0</v>
      </c>
      <c r="V984">
        <v>150</v>
      </c>
      <c r="W984">
        <v>0</v>
      </c>
      <c r="X984">
        <v>0</v>
      </c>
      <c r="Y984">
        <v>0</v>
      </c>
      <c r="Z984" s="20">
        <v>206</v>
      </c>
      <c r="AA984" s="20">
        <f>IFERROR(PROPERTIES[[#This Row],[TE_STARTING_KN]]/(PROPERTIES[[#This Row],[WEIGHT]]*9.81),0)</f>
        <v>0.19353899200007516</v>
      </c>
      <c r="AB984" s="20">
        <v>0</v>
      </c>
      <c r="AC984" s="16">
        <f>ROUND(IF(IFERROR(PROPERTIES[[#This Row],[TE_COEFFICIENT_CALC]],0)=0,PROPERTIES[[#This Row],[TE_COEFFICIENT_MANUAL]],PROPERTIES[[#This Row],[TE_COEFFICIENT_CALC]]),3)</f>
        <v>0.19400000000000001</v>
      </c>
      <c r="AD984" s="39" cm="1">
        <f t="array" ref="AD9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984" s="26">
        <v>0</v>
      </c>
      <c r="AF984" s="6">
        <v>0</v>
      </c>
      <c r="AG984" t="s">
        <v>230</v>
      </c>
      <c r="AH984" t="s">
        <v>229</v>
      </c>
      <c r="AI984" t="s">
        <v>229</v>
      </c>
      <c r="AJ984" s="2" t="s">
        <v>229</v>
      </c>
      <c r="AK984" s="2" t="s">
        <v>244</v>
      </c>
      <c r="AL98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4" s="2" t="str">
        <f>SUBSTITUTE(SUBSTITUTE(PROPERTIES[[#This Row],[PURCHASECOST_VALUE]], "PURCHASECOST_", ""), "_VALUE", "")</f>
        <v>ELECTRICENGINE</v>
      </c>
      <c r="AO984" s="44" t="b">
        <v>0</v>
      </c>
      <c r="AP984" s="48" t="b">
        <v>0</v>
      </c>
      <c r="AQ984" s="48" t="b">
        <v>0</v>
      </c>
      <c r="AR984" s="48">
        <v>0</v>
      </c>
      <c r="AS984" s="48" t="b">
        <v>0</v>
      </c>
      <c r="AT984" s="7" t="b">
        <v>0</v>
      </c>
      <c r="AU984" s="40" t="str" cm="1">
        <f t="array" ref="AU984">_xlfn.XLOOKUP(PROPERTIES[[#This Row],[VEHIDCODE]],GRAPHICS_PROPERTIES[VEHIDCODE],GRAPHICS_PROPERTIES[TEMPLATE_ID]&amp;GRAPHICS_PROPERTIES[TEMPLATE_AMENDMENT_CODE])</f>
        <v>TPL_01A</v>
      </c>
    </row>
    <row r="985" spans="1:47" x14ac:dyDescent="0.35">
      <c r="A985" s="2" t="s">
        <v>3413</v>
      </c>
      <c r="B985">
        <v>2027</v>
      </c>
      <c r="D985" cm="1">
        <f t="array" ref="D9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85" s="40" t="str">
        <f>_xlfn.XLOOKUP(PROPERTIES[[#This Row],[VEHIDCODE]],CONTROL[VEHIDCODE],CONTROL[ENGLISH])</f>
        <v>Hitachi-Alstom Zefiro Class 895 'HS2'</v>
      </c>
      <c r="F985" t="s">
        <v>603</v>
      </c>
      <c r="G985" s="40" t="str">
        <f>_xlfn.XLOOKUP(PROPERTIES[[#This Row],[COUNTRY]],COUNTRIES[COUNTRY_DESCRIPTION],COUNTRIES[COUNTRY_LABEL],"")</f>
        <v>GB</v>
      </c>
      <c r="H985" t="str" cm="1">
        <f t="array" ref="H9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5" t="s">
        <v>15</v>
      </c>
      <c r="J985">
        <f>INT(504/7)</f>
        <v>72</v>
      </c>
      <c r="K985">
        <v>8</v>
      </c>
      <c r="M985" t="str" cm="1">
        <f t="array" ref="M9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85">
        <f>_xlfn.XLOOKUP("LOADINGSPEEDDEF_"&amp;PROPERTIES[[#This Row],[LOADINGSPEED]],LOADINGSPEEDDEF[TYPE],LOADINGSPEEDDEF[SPEED])</f>
        <v>20</v>
      </c>
      <c r="O985" t="str" cm="1">
        <f t="array" ref="O9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85">
        <f>IF(ISNUMBER(SEARCH("passenger",PROPERTIES[[#This Row],[CARGODEF]])),1,0)</f>
        <v>1</v>
      </c>
      <c r="Q985" s="23">
        <f>500/8</f>
        <v>62.5</v>
      </c>
      <c r="R985">
        <v>13400</v>
      </c>
      <c r="S985">
        <v>0</v>
      </c>
      <c r="T985">
        <v>0</v>
      </c>
      <c r="U985">
        <v>0</v>
      </c>
      <c r="V985">
        <v>360</v>
      </c>
      <c r="W985">
        <v>0</v>
      </c>
      <c r="X985">
        <v>0</v>
      </c>
      <c r="Y985">
        <v>0</v>
      </c>
      <c r="Z985" s="20">
        <f>370/2</f>
        <v>185</v>
      </c>
      <c r="AA985" s="20">
        <f>IFERROR(PROPERTIES[[#This Row],[TE_STARTING_KN]]/(PROPERTIES[[#This Row],[WEIGHT]]*9.81),0)</f>
        <v>0.30173292558613657</v>
      </c>
      <c r="AB985" s="20">
        <v>0</v>
      </c>
      <c r="AC985" s="16">
        <f>ROUND(IF(IFERROR(PROPERTIES[[#This Row],[TE_COEFFICIENT_CALC]],0)=0,PROPERTIES[[#This Row],[TE_COEFFICIENT_MANUAL]],PROPERTIES[[#This Row],[TE_COEFFICIENT_CALC]]),3)</f>
        <v>0.30199999999999999</v>
      </c>
      <c r="AD985" s="39" cm="1">
        <f t="array" ref="AD9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85" s="26">
        <f>300/4</f>
        <v>75</v>
      </c>
      <c r="AF985" s="6">
        <v>8</v>
      </c>
      <c r="AG985" t="s">
        <v>234</v>
      </c>
      <c r="AH985" t="s">
        <v>229</v>
      </c>
      <c r="AI985" t="s">
        <v>229</v>
      </c>
      <c r="AJ985" s="2" t="s">
        <v>229</v>
      </c>
      <c r="AK985" s="2" t="s">
        <v>244</v>
      </c>
      <c r="AL985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85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85" s="2" t="str">
        <f>SUBSTITUTE(SUBSTITUTE(PROPERTIES[[#This Row],[PURCHASECOST_VALUE]], "PURCHASECOST_", ""), "_VALUE", "")</f>
        <v>EMU</v>
      </c>
      <c r="AO985" s="44" t="b">
        <v>0</v>
      </c>
      <c r="AP985" s="48" t="b">
        <v>0</v>
      </c>
      <c r="AQ985" s="48" t="b">
        <v>0</v>
      </c>
      <c r="AR985" s="48">
        <v>0</v>
      </c>
      <c r="AS985" s="48" t="b">
        <v>0</v>
      </c>
      <c r="AT985" s="7" t="b">
        <v>0</v>
      </c>
      <c r="AU985" s="40" t="str" cm="1">
        <f t="array" ref="AU985">_xlfn.XLOOKUP(PROPERTIES[[#This Row],[VEHIDCODE]],GRAPHICS_PROPERTIES[VEHIDCODE],GRAPHICS_PROPERTIES[TEMPLATE_ID]&amp;GRAPHICS_PROPERTIES[TEMPLATE_AMENDMENT_CODE])</f>
        <v>TPL_02D</v>
      </c>
    </row>
    <row r="986" spans="1:47" x14ac:dyDescent="0.35">
      <c r="A986" s="2" t="s">
        <v>3414</v>
      </c>
      <c r="B986">
        <v>1976</v>
      </c>
      <c r="C986">
        <v>2006</v>
      </c>
      <c r="D986" cm="1">
        <f t="array" ref="D9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6" s="40" t="str">
        <f>_xlfn.XLOOKUP(PROPERTIES[[#This Row],[VEHIDCODE]],CONTROL[VEHIDCODE],CONTROL[ENGLISH])</f>
        <v>EMD JT22CW</v>
      </c>
      <c r="F986" t="s">
        <v>757</v>
      </c>
      <c r="G986" s="40" t="str">
        <f>_xlfn.XLOOKUP(PROPERTIES[[#This Row],[COUNTRY]],COUNTRIES[COUNTRY_DESCRIPTION],COUNTRIES[COUNTRY_LABEL],"")</f>
        <v>US</v>
      </c>
      <c r="H986" t="str" cm="1">
        <f t="array" ref="H9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86" t="s">
        <v>17</v>
      </c>
      <c r="J986">
        <v>0</v>
      </c>
      <c r="K986">
        <v>8</v>
      </c>
      <c r="L986">
        <v>0</v>
      </c>
      <c r="M986" t="str" cm="1">
        <f t="array" ref="M9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6">
        <f>_xlfn.XLOOKUP("LOADINGSPEEDDEF_"&amp;PROPERTIES[[#This Row],[LOADINGSPEED]],LOADINGSPEEDDEF[TYPE],LOADINGSPEEDDEF[SPEED])</f>
        <v>20</v>
      </c>
      <c r="O986" cm="1">
        <f t="array" ref="O9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6">
        <f>IF(ISNUMBER(SEARCH("passenger",PROPERTIES[[#This Row],[CARGODEF]])),1,0)</f>
        <v>0</v>
      </c>
      <c r="Q986" s="23">
        <v>100</v>
      </c>
      <c r="R986">
        <v>2450</v>
      </c>
      <c r="S986">
        <v>0</v>
      </c>
      <c r="T986">
        <v>0</v>
      </c>
      <c r="U986">
        <v>0</v>
      </c>
      <c r="V986">
        <v>145</v>
      </c>
      <c r="W986">
        <v>0</v>
      </c>
      <c r="X986">
        <v>0</v>
      </c>
      <c r="Y986">
        <v>0</v>
      </c>
      <c r="Z986" s="20">
        <v>289</v>
      </c>
      <c r="AA986" s="20">
        <f>IFERROR(PROPERTIES[[#This Row],[TE_STARTING_KN]]/(PROPERTIES[[#This Row],[WEIGHT]]*9.81),0)</f>
        <v>0.29459734964322121</v>
      </c>
      <c r="AB986" s="20">
        <v>0</v>
      </c>
      <c r="AC986" s="16">
        <f>ROUND(IF(IFERROR(PROPERTIES[[#This Row],[TE_COEFFICIENT_CALC]],0)=0,PROPERTIES[[#This Row],[TE_COEFFICIENT_MANUAL]],PROPERTIES[[#This Row],[TE_COEFFICIENT_CALC]]),3)</f>
        <v>0.29499999999999998</v>
      </c>
      <c r="AD986" s="39" cm="1">
        <f t="array" ref="AD9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86" s="26">
        <v>0</v>
      </c>
      <c r="AF986" s="6">
        <v>0</v>
      </c>
      <c r="AG986" t="s">
        <v>234</v>
      </c>
      <c r="AH986" t="s">
        <v>236</v>
      </c>
      <c r="AI986" t="s">
        <v>229</v>
      </c>
      <c r="AJ986" s="2" t="s">
        <v>229</v>
      </c>
      <c r="AK986" s="2" t="s">
        <v>244</v>
      </c>
      <c r="AL986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86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86" s="2" t="str">
        <f>SUBSTITUTE(SUBSTITUTE(PROPERTIES[[#This Row],[PURCHASECOST_VALUE]], "PURCHASECOST_", ""), "_VALUE", "")</f>
        <v>DIESELENGINE</v>
      </c>
      <c r="AO986" s="44" t="b">
        <v>0</v>
      </c>
      <c r="AP986" s="48" t="b">
        <v>0</v>
      </c>
      <c r="AQ986" s="48" t="b">
        <v>0</v>
      </c>
      <c r="AR986" s="48">
        <v>0</v>
      </c>
      <c r="AS986" s="48" t="b">
        <v>0</v>
      </c>
      <c r="AT986" s="7" t="b">
        <v>0</v>
      </c>
      <c r="AU986" s="40" t="str" cm="1">
        <f t="array" ref="AU986">_xlfn.XLOOKUP(PROPERTIES[[#This Row],[VEHIDCODE]],GRAPHICS_PROPERTIES[VEHIDCODE],GRAPHICS_PROPERTIES[TEMPLATE_ID]&amp;GRAPHICS_PROPERTIES[TEMPLATE_AMENDMENT_CODE])</f>
        <v>TPL_01A</v>
      </c>
    </row>
    <row r="987" spans="1:47" x14ac:dyDescent="0.35">
      <c r="A987" s="2" t="s">
        <v>3415</v>
      </c>
      <c r="B987">
        <v>1963</v>
      </c>
      <c r="D987" cm="1">
        <f t="array" ref="D9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87" s="40" t="str">
        <f>_xlfn.XLOOKUP(PROPERTIES[[#This Row],[VEHIDCODE]],CONTROL[VEHIDCODE],CONTROL[ENGLISH])</f>
        <v>RVR DR1A</v>
      </c>
      <c r="F987" t="s">
        <v>659</v>
      </c>
      <c r="G987" s="40" t="str">
        <f>_xlfn.XLOOKUP(PROPERTIES[[#This Row],[COUNTRY]],COUNTRIES[COUNTRY_DESCRIPTION],COUNTRIES[COUNTRY_LABEL],"")</f>
        <v>LT</v>
      </c>
      <c r="H987" t="str" cm="1">
        <f t="array" ref="H9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87" t="s">
        <v>15</v>
      </c>
      <c r="J987">
        <v>68</v>
      </c>
      <c r="K987">
        <v>8</v>
      </c>
      <c r="M987" t="str" cm="1">
        <f t="array" ref="M9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87">
        <f>_xlfn.XLOOKUP("LOADINGSPEEDDEF_"&amp;PROPERTIES[[#This Row],[LOADINGSPEED]],LOADINGSPEEDDEF[TYPE],LOADINGSPEEDDEF[SPEED])</f>
        <v>60</v>
      </c>
      <c r="O987" cm="1">
        <f t="array" ref="O9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7">
        <f>IF(ISNUMBER(SEARCH("passenger",PROPERTIES[[#This Row],[CARGODEF]])),1,0)</f>
        <v>1</v>
      </c>
      <c r="Q987" s="23">
        <v>90</v>
      </c>
      <c r="R987">
        <v>2000</v>
      </c>
      <c r="S987">
        <v>0</v>
      </c>
      <c r="T987">
        <v>0</v>
      </c>
      <c r="U987">
        <v>0</v>
      </c>
      <c r="V987">
        <v>120</v>
      </c>
      <c r="W987">
        <v>0</v>
      </c>
      <c r="X987">
        <v>0</v>
      </c>
      <c r="Y987">
        <v>0</v>
      </c>
      <c r="Z987" s="20">
        <v>0</v>
      </c>
      <c r="AA987" s="20">
        <f>IFERROR(PROPERTIES[[#This Row],[TE_STARTING_KN]]/(PROPERTIES[[#This Row],[WEIGHT]]*9.81),0)</f>
        <v>0</v>
      </c>
      <c r="AB987" s="20">
        <v>0.2</v>
      </c>
      <c r="AC987" s="16">
        <f>ROUND(IF(IFERROR(PROPERTIES[[#This Row],[TE_COEFFICIENT_CALC]],0)=0,PROPERTIES[[#This Row],[TE_COEFFICIENT_MANUAL]],PROPERTIES[[#This Row],[TE_COEFFICIENT_CALC]]),3)</f>
        <v>0.2</v>
      </c>
      <c r="AD987" s="39" cm="1">
        <f t="array" ref="AD9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87">
        <v>124</v>
      </c>
      <c r="AF987" s="6">
        <v>8</v>
      </c>
      <c r="AG987" t="s">
        <v>1951</v>
      </c>
      <c r="AH987" t="s">
        <v>229</v>
      </c>
      <c r="AI987" t="s">
        <v>229</v>
      </c>
      <c r="AJ987" s="2" t="s">
        <v>229</v>
      </c>
      <c r="AK987" s="2" t="s">
        <v>244</v>
      </c>
      <c r="AL987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87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87" s="2" t="str">
        <f>SUBSTITUTE(SUBSTITUTE(PROPERTIES[[#This Row],[PURCHASECOST_VALUE]], "PURCHASECOST_", ""), "_VALUE", "")</f>
        <v>DMU</v>
      </c>
      <c r="AO987" s="44" t="b">
        <v>0</v>
      </c>
      <c r="AP987" s="48" t="b">
        <v>0</v>
      </c>
      <c r="AQ987" s="48" t="b">
        <v>0</v>
      </c>
      <c r="AR987" s="48">
        <v>0</v>
      </c>
      <c r="AS987" s="48" t="b">
        <v>0</v>
      </c>
      <c r="AT987" s="7" t="b">
        <v>0</v>
      </c>
      <c r="AU987" s="40" t="str" cm="1">
        <f t="array" ref="AU987">_xlfn.XLOOKUP(PROPERTIES[[#This Row],[VEHIDCODE]],GRAPHICS_PROPERTIES[VEHIDCODE],GRAPHICS_PROPERTIES[TEMPLATE_ID]&amp;GRAPHICS_PROPERTIES[TEMPLATE_AMENDMENT_CODE])</f>
        <v>TPL_02D</v>
      </c>
    </row>
    <row r="988" spans="1:47" x14ac:dyDescent="0.35">
      <c r="A988" s="2" t="s">
        <v>3416</v>
      </c>
      <c r="B988">
        <v>2043</v>
      </c>
      <c r="D988" cm="1">
        <f t="array" ref="D9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8" s="40" t="str">
        <f>_xlfn.XLOOKUP(PROPERTIES[[#This Row],[VEHIDCODE]],CONTROL[VEHIDCODE],CONTROL[ENGLISH])</f>
        <v>ACME Corp. HS001</v>
      </c>
      <c r="F988" t="s">
        <v>692</v>
      </c>
      <c r="G988" s="40" t="str">
        <f>_xlfn.XLOOKUP(PROPERTIES[[#This Row],[COUNTRY]],COUNTRIES[COUNTRY_DESCRIPTION],COUNTRIES[COUNTRY_LABEL],"")</f>
        <v>NL</v>
      </c>
      <c r="H988" t="str" cm="1">
        <f t="array" ref="H9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8" t="s">
        <v>17</v>
      </c>
      <c r="J988">
        <v>0</v>
      </c>
      <c r="K988">
        <v>8</v>
      </c>
      <c r="L988">
        <v>0</v>
      </c>
      <c r="M988" t="str" cm="1">
        <f t="array" ref="M9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8">
        <f>_xlfn.XLOOKUP("LOADINGSPEEDDEF_"&amp;PROPERTIES[[#This Row],[LOADINGSPEED]],LOADINGSPEEDDEF[TYPE],LOADINGSPEEDDEF[SPEED])</f>
        <v>20</v>
      </c>
      <c r="O988" t="str" cm="1">
        <f t="array" ref="O9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88">
        <v>0</v>
      </c>
      <c r="Q988" s="23">
        <v>100</v>
      </c>
      <c r="R988">
        <v>10000</v>
      </c>
      <c r="S988">
        <v>0</v>
      </c>
      <c r="T988">
        <v>0</v>
      </c>
      <c r="U988">
        <v>0</v>
      </c>
      <c r="V988">
        <v>300</v>
      </c>
      <c r="W988">
        <v>0</v>
      </c>
      <c r="X988">
        <v>0</v>
      </c>
      <c r="Y988">
        <v>0</v>
      </c>
      <c r="Z988" s="20">
        <v>0</v>
      </c>
      <c r="AA988" s="20">
        <f>IFERROR(PROPERTIES[[#This Row],[TE_STARTING_KN]]/(PROPERTIES[[#This Row],[WEIGHT]]*9.81),0)</f>
        <v>0</v>
      </c>
      <c r="AB988" s="20">
        <v>0.38700000000000001</v>
      </c>
      <c r="AC988" s="16">
        <f>ROUND(IF(IFERROR(PROPERTIES[[#This Row],[TE_COEFFICIENT_CALC]],0)=0,PROPERTIES[[#This Row],[TE_COEFFICIENT_MANUAL]],PROPERTIES[[#This Row],[TE_COEFFICIENT_CALC]]),3)</f>
        <v>0.38700000000000001</v>
      </c>
      <c r="AD988" s="39" cm="1">
        <f t="array" ref="AD9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88" s="26">
        <v>0</v>
      </c>
      <c r="AF988" s="6">
        <v>0</v>
      </c>
      <c r="AG988" t="s">
        <v>230</v>
      </c>
      <c r="AH988" t="s">
        <v>229</v>
      </c>
      <c r="AI988" t="s">
        <v>229</v>
      </c>
      <c r="AJ988" s="2" t="s">
        <v>229</v>
      </c>
      <c r="AK988" s="2" t="s">
        <v>245</v>
      </c>
      <c r="AL988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8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8" s="2" t="str">
        <f>SUBSTITUTE(SUBSTITUTE(PROPERTIES[[#This Row],[PURCHASECOST_VALUE]], "PURCHASECOST_", ""), "_VALUE", "")</f>
        <v>ELECTRICENGINE</v>
      </c>
      <c r="AO988" s="44" t="b">
        <v>0</v>
      </c>
      <c r="AP988" s="48" t="b">
        <v>0</v>
      </c>
      <c r="AQ988" s="48" t="b">
        <v>0</v>
      </c>
      <c r="AR988" s="48">
        <v>0</v>
      </c>
      <c r="AS988" s="48" t="b">
        <v>0</v>
      </c>
      <c r="AT988" s="7" t="b">
        <v>0</v>
      </c>
      <c r="AU988" s="40" t="str" cm="1">
        <f t="array" ref="AU988">_xlfn.XLOOKUP(PROPERTIES[[#This Row],[VEHIDCODE]],GRAPHICS_PROPERTIES[VEHIDCODE],GRAPHICS_PROPERTIES[TEMPLATE_ID]&amp;GRAPHICS_PROPERTIES[TEMPLATE_AMENDMENT_CODE])</f>
        <v>TPL_01A</v>
      </c>
    </row>
    <row r="989" spans="1:47" x14ac:dyDescent="0.35">
      <c r="A989" s="2" t="s">
        <v>3417</v>
      </c>
      <c r="B989">
        <v>2051</v>
      </c>
      <c r="D989" cm="1">
        <f t="array" ref="D9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9" s="40" t="str">
        <f>_xlfn.XLOOKUP(PROPERTIES[[#This Row],[VEHIDCODE]],CONTROL[VEHIDCODE],CONTROL[ENGLISH])</f>
        <v>ACME Corp. HS002</v>
      </c>
      <c r="F989" t="s">
        <v>692</v>
      </c>
      <c r="G989" s="40" t="str">
        <f>_xlfn.XLOOKUP(PROPERTIES[[#This Row],[COUNTRY]],COUNTRIES[COUNTRY_DESCRIPTION],COUNTRIES[COUNTRY_LABEL],"")</f>
        <v>NL</v>
      </c>
      <c r="H989" t="str" cm="1">
        <f t="array" ref="H9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9" t="s">
        <v>17</v>
      </c>
      <c r="J989">
        <v>0</v>
      </c>
      <c r="K989">
        <v>8</v>
      </c>
      <c r="L989">
        <v>0</v>
      </c>
      <c r="M989" t="str" cm="1">
        <f t="array" ref="M9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9">
        <f>_xlfn.XLOOKUP("LOADINGSPEEDDEF_"&amp;PROPERTIES[[#This Row],[LOADINGSPEED]],LOADINGSPEEDDEF[TYPE],LOADINGSPEEDDEF[SPEED])</f>
        <v>20</v>
      </c>
      <c r="O989" t="str" cm="1">
        <f t="array" ref="O9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89">
        <f>IF(ISNUMBER(SEARCH("passenger",PROPERTIES[[#This Row],[CARGODEF]])),1,0)</f>
        <v>0</v>
      </c>
      <c r="Q989" s="23">
        <v>200</v>
      </c>
      <c r="R989">
        <v>18000</v>
      </c>
      <c r="S989">
        <v>0</v>
      </c>
      <c r="T989">
        <v>0</v>
      </c>
      <c r="U989">
        <v>0</v>
      </c>
      <c r="V989">
        <v>320</v>
      </c>
      <c r="W989">
        <v>0</v>
      </c>
      <c r="X989">
        <v>0</v>
      </c>
      <c r="Y989">
        <v>0</v>
      </c>
      <c r="Z989" s="20">
        <v>0</v>
      </c>
      <c r="AA989" s="20">
        <f>IFERROR(PROPERTIES[[#This Row],[TE_STARTING_KN]]/(PROPERTIES[[#This Row],[WEIGHT]]*9.81),0)</f>
        <v>0</v>
      </c>
      <c r="AB989" s="20">
        <v>0.45800000000000002</v>
      </c>
      <c r="AC989" s="16">
        <f>ROUND(IF(IFERROR(PROPERTIES[[#This Row],[TE_COEFFICIENT_CALC]],0)=0,PROPERTIES[[#This Row],[TE_COEFFICIENT_MANUAL]],PROPERTIES[[#This Row],[TE_COEFFICIENT_CALC]]),3)</f>
        <v>0.45800000000000002</v>
      </c>
      <c r="AD989" s="39" cm="1">
        <f t="array" ref="AD9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89" s="26">
        <v>0</v>
      </c>
      <c r="AF989" s="6">
        <v>0</v>
      </c>
      <c r="AG989" t="s">
        <v>230</v>
      </c>
      <c r="AH989" t="s">
        <v>229</v>
      </c>
      <c r="AI989" t="s">
        <v>229</v>
      </c>
      <c r="AJ989" s="2" t="s">
        <v>229</v>
      </c>
      <c r="AK989" s="2" t="s">
        <v>245</v>
      </c>
      <c r="AL989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9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9" s="2" t="str">
        <f>SUBSTITUTE(SUBSTITUTE(PROPERTIES[[#This Row],[PURCHASECOST_VALUE]], "PURCHASECOST_", ""), "_VALUE", "")</f>
        <v>ELECTRICENGINE</v>
      </c>
      <c r="AO989" s="44" t="b">
        <v>0</v>
      </c>
      <c r="AP989" s="48" t="b">
        <v>0</v>
      </c>
      <c r="AQ989" s="48" t="b">
        <v>0</v>
      </c>
      <c r="AR989" s="48">
        <v>0</v>
      </c>
      <c r="AS989" s="48" t="b">
        <v>0</v>
      </c>
      <c r="AT989" s="7" t="b">
        <v>0</v>
      </c>
      <c r="AU989" s="40" t="str" cm="1">
        <f t="array" ref="AU989">_xlfn.XLOOKUP(PROPERTIES[[#This Row],[VEHIDCODE]],GRAPHICS_PROPERTIES[VEHIDCODE],GRAPHICS_PROPERTIES[TEMPLATE_ID]&amp;GRAPHICS_PROPERTIES[TEMPLATE_AMENDMENT_CODE])</f>
        <v>TPL_03D</v>
      </c>
    </row>
    <row r="990" spans="1:47" x14ac:dyDescent="0.35">
      <c r="A990" s="2" t="s">
        <v>3418</v>
      </c>
      <c r="B990">
        <v>2040</v>
      </c>
      <c r="D990" cm="1">
        <f t="array" ref="D9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90" s="40" t="str">
        <f>_xlfn.XLOOKUP(PROPERTIES[[#This Row],[VEHIDCODE]],CONTROL[VEHIDCODE],CONTROL[ENGLISH])</f>
        <v>ACME Corp. V200D DMU</v>
      </c>
      <c r="F990" t="s">
        <v>692</v>
      </c>
      <c r="G990" s="40" t="str">
        <f>_xlfn.XLOOKUP(PROPERTIES[[#This Row],[COUNTRY]],COUNTRIES[COUNTRY_DESCRIPTION],COUNTRIES[COUNTRY_LABEL],"")</f>
        <v>NL</v>
      </c>
      <c r="H990" t="str" cm="1">
        <f t="array" ref="H9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90" t="s">
        <v>22</v>
      </c>
      <c r="J990">
        <v>60</v>
      </c>
      <c r="K990">
        <v>8</v>
      </c>
      <c r="M990" t="str" cm="1">
        <f t="array" ref="M9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90">
        <f>_xlfn.XLOOKUP("LOADINGSPEEDDEF_"&amp;PROPERTIES[[#This Row],[LOADINGSPEED]],LOADINGSPEEDDEF[TYPE],LOADINGSPEEDDEF[SPEED])</f>
        <v>20</v>
      </c>
      <c r="O990" t="str" cm="1">
        <f t="array" ref="O9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0">
        <f>IF(ISNUMBER(SEARCH("passenger",PROPERTIES[[#This Row],[CARGODEF]])),1,0)</f>
        <v>1</v>
      </c>
      <c r="Q990" s="23">
        <v>50</v>
      </c>
      <c r="R990">
        <v>1900</v>
      </c>
      <c r="S990">
        <v>0</v>
      </c>
      <c r="T990">
        <v>0</v>
      </c>
      <c r="U990">
        <v>0</v>
      </c>
      <c r="V990">
        <v>200</v>
      </c>
      <c r="W990">
        <v>0</v>
      </c>
      <c r="X990">
        <v>0</v>
      </c>
      <c r="Y990">
        <v>0</v>
      </c>
      <c r="Z990" s="20">
        <v>0</v>
      </c>
      <c r="AA990" s="20">
        <f>IFERROR(PROPERTIES[[#This Row],[TE_STARTING_KN]]/(PROPERTIES[[#This Row],[WEIGHT]]*9.81),0)</f>
        <v>0</v>
      </c>
      <c r="AB990" s="20">
        <v>0.2</v>
      </c>
      <c r="AC990" s="16">
        <f>ROUND(IF(IFERROR(PROPERTIES[[#This Row],[TE_COEFFICIENT_CALC]],0)=0,PROPERTIES[[#This Row],[TE_COEFFICIENT_MANUAL]],PROPERTIES[[#This Row],[TE_COEFFICIENT_CALC]]),3)</f>
        <v>0.2</v>
      </c>
      <c r="AD990" s="39" cm="1">
        <f t="array" ref="AD9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90" s="26">
        <v>240</v>
      </c>
      <c r="AF990" s="6">
        <v>8</v>
      </c>
      <c r="AG990" t="s">
        <v>230</v>
      </c>
      <c r="AH990" t="s">
        <v>229</v>
      </c>
      <c r="AI990" t="s">
        <v>229</v>
      </c>
      <c r="AJ990" s="2" t="s">
        <v>229</v>
      </c>
      <c r="AK990" s="2" t="s">
        <v>245</v>
      </c>
      <c r="AL990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90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90" s="2" t="str">
        <f>SUBSTITUTE(SUBSTITUTE(PROPERTIES[[#This Row],[PURCHASECOST_VALUE]], "PURCHASECOST_", ""), "_VALUE", "")</f>
        <v>DMU</v>
      </c>
      <c r="AO990" s="44" t="b">
        <v>0</v>
      </c>
      <c r="AP990" s="48" t="b">
        <v>0</v>
      </c>
      <c r="AQ990" s="48" t="b">
        <v>0</v>
      </c>
      <c r="AR990" s="48">
        <v>0</v>
      </c>
      <c r="AS990" s="48" t="b">
        <v>0</v>
      </c>
      <c r="AT990" s="7" t="b">
        <v>0</v>
      </c>
      <c r="AU990" s="40" t="str" cm="1">
        <f t="array" ref="AU990">_xlfn.XLOOKUP(PROPERTIES[[#This Row],[VEHIDCODE]],GRAPHICS_PROPERTIES[VEHIDCODE],GRAPHICS_PROPERTIES[TEMPLATE_ID]&amp;GRAPHICS_PROPERTIES[TEMPLATE_AMENDMENT_CODE])</f>
        <v>TPL_02G</v>
      </c>
    </row>
    <row r="991" spans="1:47" x14ac:dyDescent="0.35">
      <c r="A991" s="2" t="s">
        <v>3419</v>
      </c>
      <c r="B991">
        <v>2045</v>
      </c>
      <c r="D991" cm="1">
        <f t="array" ref="D9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91" s="40" t="str">
        <f>_xlfn.XLOOKUP(PROPERTIES[[#This Row],[VEHIDCODE]],CONTROL[VEHIDCODE],CONTROL[ENGLISH])</f>
        <v>ACME Corp. V200E EMU</v>
      </c>
      <c r="F991" t="s">
        <v>692</v>
      </c>
      <c r="G991" s="40" t="str">
        <f>_xlfn.XLOOKUP(PROPERTIES[[#This Row],[COUNTRY]],COUNTRIES[COUNTRY_DESCRIPTION],COUNTRIES[COUNTRY_LABEL],"")</f>
        <v>NL</v>
      </c>
      <c r="H991" t="str" cm="1">
        <f t="array" ref="H9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91" t="s">
        <v>22</v>
      </c>
      <c r="J991">
        <v>60</v>
      </c>
      <c r="K991">
        <v>8</v>
      </c>
      <c r="M991" t="str" cm="1">
        <f t="array" ref="M9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91">
        <f>_xlfn.XLOOKUP("LOADINGSPEEDDEF_"&amp;PROPERTIES[[#This Row],[LOADINGSPEED]],LOADINGSPEEDDEF[TYPE],LOADINGSPEEDDEF[SPEED])</f>
        <v>20</v>
      </c>
      <c r="O991" t="str" cm="1">
        <f t="array" ref="O9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1">
        <f>IF(ISNUMBER(SEARCH("passenger",PROPERTIES[[#This Row],[CARGODEF]])),1,0)</f>
        <v>1</v>
      </c>
      <c r="Q991" s="23">
        <v>75</v>
      </c>
      <c r="R991">
        <v>2250</v>
      </c>
      <c r="S991">
        <v>0</v>
      </c>
      <c r="T991">
        <v>0</v>
      </c>
      <c r="U991">
        <v>0</v>
      </c>
      <c r="V991">
        <v>200</v>
      </c>
      <c r="W991">
        <v>0</v>
      </c>
      <c r="X991">
        <v>0</v>
      </c>
      <c r="Y991">
        <v>0</v>
      </c>
      <c r="Z991" s="20">
        <v>0</v>
      </c>
      <c r="AA991" s="20">
        <f>IFERROR(PROPERTIES[[#This Row],[TE_STARTING_KN]]/(PROPERTIES[[#This Row],[WEIGHT]]*9.81),0)</f>
        <v>0</v>
      </c>
      <c r="AB991" s="20">
        <v>0.15</v>
      </c>
      <c r="AC991" s="16">
        <f>ROUND(IF(IFERROR(PROPERTIES[[#This Row],[TE_COEFFICIENT_CALC]],0)=0,PROPERTIES[[#This Row],[TE_COEFFICIENT_MANUAL]],PROPERTIES[[#This Row],[TE_COEFFICIENT_CALC]]),3)</f>
        <v>0.15</v>
      </c>
      <c r="AD991" s="39" cm="1">
        <f t="array" ref="AD9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91" s="26">
        <v>120</v>
      </c>
      <c r="AF991" s="6">
        <v>8</v>
      </c>
      <c r="AG991" t="s">
        <v>230</v>
      </c>
      <c r="AH991" t="s">
        <v>229</v>
      </c>
      <c r="AI991" t="s">
        <v>229</v>
      </c>
      <c r="AJ991" s="2" t="s">
        <v>229</v>
      </c>
      <c r="AK991" s="2" t="s">
        <v>245</v>
      </c>
      <c r="AL991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91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91" s="2" t="str">
        <f>SUBSTITUTE(SUBSTITUTE(PROPERTIES[[#This Row],[PURCHASECOST_VALUE]], "PURCHASECOST_", ""), "_VALUE", "")</f>
        <v>EMU</v>
      </c>
      <c r="AO991" s="44" t="b">
        <v>0</v>
      </c>
      <c r="AP991" s="48" t="b">
        <v>0</v>
      </c>
      <c r="AQ991" s="48" t="b">
        <v>0</v>
      </c>
      <c r="AR991" s="48">
        <v>0</v>
      </c>
      <c r="AS991" s="48" t="b">
        <v>0</v>
      </c>
      <c r="AT991" s="7" t="b">
        <v>0</v>
      </c>
      <c r="AU991" s="40" t="str" cm="1">
        <f t="array" ref="AU991">_xlfn.XLOOKUP(PROPERTIES[[#This Row],[VEHIDCODE]],GRAPHICS_PROPERTIES[VEHIDCODE],GRAPHICS_PROPERTIES[TEMPLATE_ID]&amp;GRAPHICS_PROPERTIES[TEMPLATE_AMENDMENT_CODE])</f>
        <v>TPL_02G</v>
      </c>
    </row>
    <row r="992" spans="1:47" x14ac:dyDescent="0.35">
      <c r="A992" s="2" t="s">
        <v>3420</v>
      </c>
      <c r="B992">
        <v>2045</v>
      </c>
      <c r="D992" cm="1">
        <f t="array" ref="D9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92" s="40" t="str">
        <f>_xlfn.XLOOKUP(PROPERTIES[[#This Row],[VEHIDCODE]],CONTROL[VEHIDCODE],CONTROL[ENGLISH])</f>
        <v>ACME Corp. DD CargoEMU</v>
      </c>
      <c r="F992" t="s">
        <v>692</v>
      </c>
      <c r="G992" s="40" t="str">
        <f>_xlfn.XLOOKUP(PROPERTIES[[#This Row],[COUNTRY]],COUNTRIES[COUNTRY_DESCRIPTION],COUNTRIES[COUNTRY_LABEL],"")</f>
        <v>NL</v>
      </c>
      <c r="H992" t="str" cm="1">
        <f t="array" ref="H9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92" t="s">
        <v>24</v>
      </c>
      <c r="J992">
        <v>60</v>
      </c>
      <c r="K992">
        <v>8</v>
      </c>
      <c r="M992" t="str" cm="1">
        <f t="array" ref="M9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2">
        <f>_xlfn.XLOOKUP("LOADINGSPEEDDEF_"&amp;PROPERTIES[[#This Row],[LOADINGSPEED]],LOADINGSPEEDDEF[TYPE],LOADINGSPEEDDEF[SPEED])</f>
        <v>20</v>
      </c>
      <c r="O992" t="str" cm="1">
        <f t="array" ref="O9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2">
        <f>IF(ISNUMBER(SEARCH("passenger",PROPERTIES[[#This Row],[CARGODEF]])),1,0)</f>
        <v>0</v>
      </c>
      <c r="Q992" s="23">
        <v>150</v>
      </c>
      <c r="R992">
        <f>INT(10000/1.341)</f>
        <v>7457</v>
      </c>
      <c r="S992">
        <v>0</v>
      </c>
      <c r="T992">
        <v>0</v>
      </c>
      <c r="U992">
        <v>0</v>
      </c>
      <c r="V992">
        <v>300</v>
      </c>
      <c r="W992">
        <v>0</v>
      </c>
      <c r="X992">
        <v>0</v>
      </c>
      <c r="Y992">
        <v>0</v>
      </c>
      <c r="Z992" s="20">
        <v>0</v>
      </c>
      <c r="AA992" s="19">
        <f>IFERROR(PROPERTIES[[#This Row],[TE_STARTING_KN]]/(PROPERTIES[[#This Row],[WEIGHT]]*9.81),0)</f>
        <v>0</v>
      </c>
      <c r="AB992" s="19">
        <v>7.4999999999999997E-2</v>
      </c>
      <c r="AC992" s="16">
        <f>ROUND(IF(IFERROR(PROPERTIES[[#This Row],[TE_COEFFICIENT_CALC]],0)=0,PROPERTIES[[#This Row],[TE_COEFFICIENT_MANUAL]],PROPERTIES[[#This Row],[TE_COEFFICIENT_CALC]]),3)</f>
        <v>7.4999999999999997E-2</v>
      </c>
      <c r="AD992" s="8" cm="1">
        <f t="array" ref="AD9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92" s="26">
        <v>60</v>
      </c>
      <c r="AF992" s="6">
        <v>8</v>
      </c>
      <c r="AG992" t="s">
        <v>241</v>
      </c>
      <c r="AH992" t="s">
        <v>229</v>
      </c>
      <c r="AI992" t="s">
        <v>229</v>
      </c>
      <c r="AJ992" s="2" t="s">
        <v>229</v>
      </c>
      <c r="AK992" s="2" t="s">
        <v>245</v>
      </c>
      <c r="AL992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92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92" s="2" t="str">
        <f>SUBSTITUTE(SUBSTITUTE(PROPERTIES[[#This Row],[PURCHASECOST_VALUE]], "PURCHASECOST_", ""), "_VALUE", "")</f>
        <v>EMU</v>
      </c>
      <c r="AO992" s="44" t="b">
        <v>0</v>
      </c>
      <c r="AP992" s="48" t="b">
        <v>0</v>
      </c>
      <c r="AQ992" s="48" t="b">
        <v>0</v>
      </c>
      <c r="AR992" s="48">
        <v>0</v>
      </c>
      <c r="AS992" s="48" t="b">
        <v>0</v>
      </c>
      <c r="AT992" s="7" t="b">
        <v>0</v>
      </c>
      <c r="AU992" s="40" t="str" cm="1">
        <f t="array" ref="AU992">_xlfn.XLOOKUP(PROPERTIES[[#This Row],[VEHIDCODE]],GRAPHICS_PROPERTIES[VEHIDCODE],GRAPHICS_PROPERTIES[TEMPLATE_ID]&amp;GRAPHICS_PROPERTIES[TEMPLATE_AMENDMENT_CODE])</f>
        <v>TPL_42C</v>
      </c>
    </row>
    <row r="993" spans="1:47" x14ac:dyDescent="0.35">
      <c r="A993" s="2" t="s">
        <v>3421</v>
      </c>
      <c r="B993">
        <v>1960</v>
      </c>
      <c r="C993">
        <v>1998</v>
      </c>
      <c r="D993" cm="1">
        <f t="array" ref="D9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3" s="40" t="str">
        <f>_xlfn.XLOOKUP(PROPERTIES[[#This Row],[VEHIDCODE]],CONTROL[VEHIDCODE],CONTROL[ENGLISH])</f>
        <v>VEB LKM V180 B'B'</v>
      </c>
      <c r="F993" t="s">
        <v>584</v>
      </c>
      <c r="G993" s="40" t="str">
        <f>_xlfn.XLOOKUP(PROPERTIES[[#This Row],[COUNTRY]],COUNTRIES[COUNTRY_DESCRIPTION],COUNTRIES[COUNTRY_LABEL],"")</f>
        <v>DE</v>
      </c>
      <c r="H993" t="str" cm="1">
        <f t="array" ref="H9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93" t="s">
        <v>17</v>
      </c>
      <c r="J993">
        <v>0</v>
      </c>
      <c r="K993">
        <v>8</v>
      </c>
      <c r="L993">
        <v>0</v>
      </c>
      <c r="M993" t="str" cm="1">
        <f t="array" ref="M9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3">
        <f>_xlfn.XLOOKUP("LOADINGSPEEDDEF_"&amp;PROPERTIES[[#This Row],[LOADINGSPEED]],LOADINGSPEEDDEF[TYPE],LOADINGSPEEDDEF[SPEED])</f>
        <v>20</v>
      </c>
      <c r="O993" cm="1">
        <f t="array" ref="O9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93">
        <f>IF(ISNUMBER(SEARCH("passenger",PROPERTIES[[#This Row],[CARGODEF]])),1,0)</f>
        <v>0</v>
      </c>
      <c r="Q993" s="23">
        <v>78</v>
      </c>
      <c r="R993">
        <v>1970</v>
      </c>
      <c r="S993">
        <v>0</v>
      </c>
      <c r="T993">
        <v>0</v>
      </c>
      <c r="U993">
        <v>0</v>
      </c>
      <c r="V993">
        <v>120</v>
      </c>
      <c r="W993">
        <v>0</v>
      </c>
      <c r="X993">
        <v>0</v>
      </c>
      <c r="Y993">
        <v>0</v>
      </c>
      <c r="Z993" s="20">
        <v>255</v>
      </c>
      <c r="AA993" s="20">
        <f>IFERROR(PROPERTIES[[#This Row],[TE_STARTING_KN]]/(PROPERTIES[[#This Row],[WEIGHT]]*9.81),0)</f>
        <v>0.33325492041088367</v>
      </c>
      <c r="AB993" s="20">
        <v>0</v>
      </c>
      <c r="AC993" s="16">
        <f>ROUND(IF(IFERROR(PROPERTIES[[#This Row],[TE_COEFFICIENT_CALC]],0)=0,PROPERTIES[[#This Row],[TE_COEFFICIENT_MANUAL]],PROPERTIES[[#This Row],[TE_COEFFICIENT_CALC]]),3)</f>
        <v>0.33300000000000002</v>
      </c>
      <c r="AD993" s="39" cm="1">
        <f t="array" ref="AD9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93" s="26">
        <v>0</v>
      </c>
      <c r="AF993" s="6">
        <v>0</v>
      </c>
      <c r="AG993" t="s">
        <v>230</v>
      </c>
      <c r="AH993" t="s">
        <v>229</v>
      </c>
      <c r="AI993" t="s">
        <v>229</v>
      </c>
      <c r="AJ993" s="2" t="s">
        <v>229</v>
      </c>
      <c r="AK993" s="2" t="s">
        <v>244</v>
      </c>
      <c r="AL99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9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93" s="2" t="str">
        <f>SUBSTITUTE(SUBSTITUTE(PROPERTIES[[#This Row],[PURCHASECOST_VALUE]], "PURCHASECOST_", ""), "_VALUE", "")</f>
        <v>DIESELENGINE</v>
      </c>
      <c r="AO993" s="44" t="b">
        <v>0</v>
      </c>
      <c r="AP993" s="48" t="b">
        <v>0</v>
      </c>
      <c r="AQ993" s="48" t="b">
        <v>0</v>
      </c>
      <c r="AR993" s="48">
        <v>0</v>
      </c>
      <c r="AS993" s="48" t="b">
        <v>0</v>
      </c>
      <c r="AT993" s="7" t="b">
        <v>0</v>
      </c>
      <c r="AU993" s="40" t="str" cm="1">
        <f t="array" ref="AU993">_xlfn.XLOOKUP(PROPERTIES[[#This Row],[VEHIDCODE]],GRAPHICS_PROPERTIES[VEHIDCODE],GRAPHICS_PROPERTIES[TEMPLATE_ID]&amp;GRAPHICS_PROPERTIES[TEMPLATE_AMENDMENT_CODE])</f>
        <v>TPL_01A</v>
      </c>
    </row>
    <row r="994" spans="1:47" x14ac:dyDescent="0.35">
      <c r="A994" s="2" t="s">
        <v>3422</v>
      </c>
      <c r="B994">
        <v>2014</v>
      </c>
      <c r="D994" cm="1">
        <f t="array" ref="D9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94" s="40" t="str">
        <f>_xlfn.XLOOKUP(PROPERTIES[[#This Row],[VEHIDCODE]],CONTROL[VEHIDCODE],CONTROL[ENGLISH])</f>
        <v>PESA 43WE 'DART'</v>
      </c>
      <c r="F994" t="s">
        <v>705</v>
      </c>
      <c r="G994" s="40" t="str">
        <f>_xlfn.XLOOKUP(PROPERTIES[[#This Row],[COUNTRY]],COUNTRIES[COUNTRY_DESCRIPTION],COUNTRIES[COUNTRY_LABEL],"")</f>
        <v>PL</v>
      </c>
      <c r="H994" t="str" cm="1">
        <f t="array" ref="H9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94" t="s">
        <v>22</v>
      </c>
      <c r="J994">
        <f>INT(352/8)</f>
        <v>44</v>
      </c>
      <c r="K994">
        <v>8</v>
      </c>
      <c r="M994" t="str" cm="1">
        <f t="array" ref="M9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94">
        <f>_xlfn.XLOOKUP("LOADINGSPEEDDEF_"&amp;PROPERTIES[[#This Row],[LOADINGSPEED]],LOADINGSPEEDDEF[TYPE],LOADINGSPEEDDEF[SPEED])</f>
        <v>60</v>
      </c>
      <c r="O994" t="str" cm="1">
        <f t="array" ref="O9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4">
        <f>IF(ISNUMBER(SEARCH("passenger",PROPERTIES[[#This Row],[CARGODEF]])),1,0)</f>
        <v>1</v>
      </c>
      <c r="Q994" s="23">
        <f>395/8</f>
        <v>49.375</v>
      </c>
      <c r="R994">
        <f>INT(2400*1.341)</f>
        <v>3218</v>
      </c>
      <c r="S994">
        <v>0</v>
      </c>
      <c r="T994">
        <v>0</v>
      </c>
      <c r="U994">
        <v>0</v>
      </c>
      <c r="V994">
        <v>160</v>
      </c>
      <c r="W994">
        <v>0</v>
      </c>
      <c r="X994">
        <v>0</v>
      </c>
      <c r="Y994">
        <v>0</v>
      </c>
      <c r="Z994" s="20">
        <v>0</v>
      </c>
      <c r="AA994" s="20">
        <f>IFERROR(PROPERTIES[[#This Row],[TE_STARTING_KN]]/(PROPERTIES[[#This Row],[WEIGHT]]*9.81),0)</f>
        <v>0</v>
      </c>
      <c r="AB994" s="20">
        <v>0.3</v>
      </c>
      <c r="AC994" s="16">
        <f>ROUND(IF(IFERROR(PROPERTIES[[#This Row],[TE_COEFFICIENT_CALC]],0)=0,PROPERTIES[[#This Row],[TE_COEFFICIENT_MANUAL]],PROPERTIES[[#This Row],[TE_COEFFICIENT_CALC]]),3)</f>
        <v>0.3</v>
      </c>
      <c r="AD994" s="39" cm="1">
        <f t="array" ref="AD9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94" s="26">
        <f>INT(352/8)</f>
        <v>44</v>
      </c>
      <c r="AF994" s="6">
        <v>8</v>
      </c>
      <c r="AG994" t="s">
        <v>236</v>
      </c>
      <c r="AH994" t="s">
        <v>229</v>
      </c>
      <c r="AI994" t="s">
        <v>229</v>
      </c>
      <c r="AJ994" s="2" t="s">
        <v>229</v>
      </c>
      <c r="AK994" s="2" t="s">
        <v>244</v>
      </c>
      <c r="AL99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9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94" s="2" t="str">
        <f>SUBSTITUTE(SUBSTITUTE(PROPERTIES[[#This Row],[PURCHASECOST_VALUE]], "PURCHASECOST_", ""), "_VALUE", "")</f>
        <v>EMU</v>
      </c>
      <c r="AO994" s="44" t="b">
        <v>0</v>
      </c>
      <c r="AP994" s="48" t="b">
        <v>0</v>
      </c>
      <c r="AQ994" s="48" t="b">
        <v>0</v>
      </c>
      <c r="AR994" s="48">
        <v>0</v>
      </c>
      <c r="AS994" s="48" t="b">
        <v>0</v>
      </c>
      <c r="AT994" s="7" t="b">
        <v>0</v>
      </c>
      <c r="AU994" s="40" t="str" cm="1">
        <f t="array" ref="AU994">_xlfn.XLOOKUP(PROPERTIES[[#This Row],[VEHIDCODE]],GRAPHICS_PROPERTIES[VEHIDCODE],GRAPHICS_PROPERTIES[TEMPLATE_ID]&amp;GRAPHICS_PROPERTIES[TEMPLATE_AMENDMENT_CODE])</f>
        <v>TPL_02E</v>
      </c>
    </row>
    <row r="995" spans="1:47" x14ac:dyDescent="0.35">
      <c r="A995" s="2" t="s">
        <v>3423</v>
      </c>
      <c r="B995">
        <v>1952</v>
      </c>
      <c r="C995">
        <v>2030</v>
      </c>
      <c r="D995" cm="1">
        <f t="array" ref="D9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5" s="40" t="str">
        <f>_xlfn.XLOOKUP(PROPERTIES[[#This Row],[VEHIDCODE]],CONTROL[VEHIDCODE],CONTROL[ENGLISH])</f>
        <v>LEW EL2</v>
      </c>
      <c r="F995" t="s">
        <v>584</v>
      </c>
      <c r="G995" s="40" t="str">
        <f>_xlfn.XLOOKUP(PROPERTIES[[#This Row],[COUNTRY]],COUNTRIES[COUNTRY_DESCRIPTION],COUNTRIES[COUNTRY_LABEL],"")</f>
        <v>DE</v>
      </c>
      <c r="H995" t="str" cm="1">
        <f t="array" ref="H9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95" t="s">
        <v>17</v>
      </c>
      <c r="J995">
        <v>0</v>
      </c>
      <c r="K995">
        <v>8</v>
      </c>
      <c r="L995">
        <v>0</v>
      </c>
      <c r="M995" t="str" cm="1">
        <f t="array" ref="M9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5">
        <f>_xlfn.XLOOKUP("LOADINGSPEEDDEF_"&amp;PROPERTIES[[#This Row],[LOADINGSPEED]],LOADINGSPEEDDEF[TYPE],LOADINGSPEEDDEF[SPEED])</f>
        <v>20</v>
      </c>
      <c r="O995" t="str" cm="1">
        <f t="array" ref="O9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5">
        <f>IF(ISNUMBER(SEARCH("passenger",PROPERTIES[[#This Row],[CARGODEF]])),1,0)</f>
        <v>0</v>
      </c>
      <c r="Q995" s="23">
        <v>100</v>
      </c>
      <c r="R995">
        <v>1790</v>
      </c>
      <c r="S995">
        <v>0</v>
      </c>
      <c r="T995">
        <v>0</v>
      </c>
      <c r="U995">
        <v>0</v>
      </c>
      <c r="V995">
        <v>65</v>
      </c>
      <c r="W995">
        <v>0</v>
      </c>
      <c r="X995">
        <v>0</v>
      </c>
      <c r="Y995">
        <v>0</v>
      </c>
      <c r="Z995" s="20">
        <v>300</v>
      </c>
      <c r="AA995" s="20">
        <f>IFERROR(PROPERTIES[[#This Row],[TE_STARTING_KN]]/(PROPERTIES[[#This Row],[WEIGHT]]*9.81),0)</f>
        <v>0.3058103975535168</v>
      </c>
      <c r="AB995" s="20">
        <v>0</v>
      </c>
      <c r="AC995" s="16">
        <f>ROUND(IF(IFERROR(PROPERTIES[[#This Row],[TE_COEFFICIENT_CALC]],0)=0,PROPERTIES[[#This Row],[TE_COEFFICIENT_MANUAL]],PROPERTIES[[#This Row],[TE_COEFFICIENT_CALC]]),3)</f>
        <v>0.30599999999999999</v>
      </c>
      <c r="AD995" s="39" cm="1">
        <f t="array" ref="AD9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78</v>
      </c>
      <c r="AE995" s="26">
        <v>0</v>
      </c>
      <c r="AF995" s="6">
        <v>0</v>
      </c>
      <c r="AG995" t="s">
        <v>1948</v>
      </c>
      <c r="AH995" t="s">
        <v>229</v>
      </c>
      <c r="AI995" t="s">
        <v>229</v>
      </c>
      <c r="AJ995" s="2" t="s">
        <v>229</v>
      </c>
      <c r="AK995" s="2" t="s">
        <v>244</v>
      </c>
      <c r="AL99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9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95" s="2" t="str">
        <f>SUBSTITUTE(SUBSTITUTE(PROPERTIES[[#This Row],[PURCHASECOST_VALUE]], "PURCHASECOST_", ""), "_VALUE", "")</f>
        <v>ELECTRICENGINE</v>
      </c>
      <c r="AO995" s="44" t="b">
        <v>0</v>
      </c>
      <c r="AP995" s="48" t="b">
        <v>0</v>
      </c>
      <c r="AQ995" s="48" t="b">
        <v>0</v>
      </c>
      <c r="AR995" s="48">
        <v>0</v>
      </c>
      <c r="AS995" s="48" t="b">
        <v>0</v>
      </c>
      <c r="AT995" s="7" t="b">
        <v>0</v>
      </c>
      <c r="AU995" s="40" t="str" cm="1">
        <f t="array" ref="AU995">_xlfn.XLOOKUP(PROPERTIES[[#This Row],[VEHIDCODE]],GRAPHICS_PROPERTIES[VEHIDCODE],GRAPHICS_PROPERTIES[TEMPLATE_ID]&amp;GRAPHICS_PROPERTIES[TEMPLATE_AMENDMENT_CODE])</f>
        <v>TPL_01A</v>
      </c>
    </row>
    <row r="996" spans="1:47" x14ac:dyDescent="0.35">
      <c r="A996" s="2" t="s">
        <v>3424</v>
      </c>
      <c r="B996">
        <v>1971</v>
      </c>
      <c r="D996" cm="1">
        <f t="array" ref="D9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6" s="40" t="str">
        <f>_xlfn.XLOOKUP(PROPERTIES[[#This Row],[VEHIDCODE]],CONTROL[VEHIDCODE],CONTROL[ENGLISH])</f>
        <v>Pafawag 201E</v>
      </c>
      <c r="F996" t="s">
        <v>705</v>
      </c>
      <c r="G996" s="40" t="str">
        <f>_xlfn.XLOOKUP(PROPERTIES[[#This Row],[COUNTRY]],COUNTRIES[COUNTRY_DESCRIPTION],COUNTRIES[COUNTRY_LABEL],"")</f>
        <v>PL</v>
      </c>
      <c r="H996" t="str" cm="1">
        <f t="array" ref="H9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96" t="s">
        <v>17</v>
      </c>
      <c r="J996">
        <v>0</v>
      </c>
      <c r="K996">
        <v>8</v>
      </c>
      <c r="L996">
        <v>0</v>
      </c>
      <c r="M996" t="str" cm="1">
        <f t="array" ref="M9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6">
        <f>_xlfn.XLOOKUP("LOADINGSPEEDDEF_"&amp;PROPERTIES[[#This Row],[LOADINGSPEED]],LOADINGSPEEDDEF[TYPE],LOADINGSPEEDDEF[SPEED])</f>
        <v>20</v>
      </c>
      <c r="O996" cm="1">
        <f t="array" ref="O9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96">
        <f>IF(ISNUMBER(SEARCH("passenger",PROPERTIES[[#This Row],[CARGODEF]])),1,0)</f>
        <v>0</v>
      </c>
      <c r="Q996" s="23">
        <v>120</v>
      </c>
      <c r="R996">
        <v>4020</v>
      </c>
      <c r="S996">
        <v>0</v>
      </c>
      <c r="T996">
        <v>0</v>
      </c>
      <c r="U996">
        <v>0</v>
      </c>
      <c r="V996">
        <v>125</v>
      </c>
      <c r="W996">
        <v>0</v>
      </c>
      <c r="X996">
        <v>0</v>
      </c>
      <c r="Y996">
        <v>0</v>
      </c>
      <c r="Z996" s="20">
        <v>420</v>
      </c>
      <c r="AA996" s="20">
        <f>IFERROR(PROPERTIES[[#This Row],[TE_STARTING_KN]]/(PROPERTIES[[#This Row],[WEIGHT]]*9.81),0)</f>
        <v>0.3567787971457696</v>
      </c>
      <c r="AB996" s="20">
        <v>0</v>
      </c>
      <c r="AC996" s="16">
        <f>ROUND(IF(IFERROR(PROPERTIES[[#This Row],[TE_COEFFICIENT_CALC]],0)=0,PROPERTIES[[#This Row],[TE_COEFFICIENT_MANUAL]],PROPERTIES[[#This Row],[TE_COEFFICIENT_CALC]]),3)</f>
        <v>0.35699999999999998</v>
      </c>
      <c r="AD996" s="39" cm="1">
        <f t="array" ref="AD9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96" s="26">
        <v>0</v>
      </c>
      <c r="AF996" s="6">
        <v>0</v>
      </c>
      <c r="AG996" t="s">
        <v>236</v>
      </c>
      <c r="AH996" t="s">
        <v>233</v>
      </c>
      <c r="AI996" t="s">
        <v>229</v>
      </c>
      <c r="AJ996" s="2" t="s">
        <v>229</v>
      </c>
      <c r="AK996" s="2" t="s">
        <v>244</v>
      </c>
      <c r="AL99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9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96" s="2" t="str">
        <f>SUBSTITUTE(SUBSTITUTE(PROPERTIES[[#This Row],[PURCHASECOST_VALUE]], "PURCHASECOST_", ""), "_VALUE", "")</f>
        <v>ELECTRICENGINE</v>
      </c>
      <c r="AO996" s="44" t="b">
        <v>0</v>
      </c>
      <c r="AP996" s="48" t="b">
        <v>0</v>
      </c>
      <c r="AQ996" s="48" t="b">
        <v>0</v>
      </c>
      <c r="AR996" s="48">
        <v>0</v>
      </c>
      <c r="AS996" s="48" t="b">
        <v>0</v>
      </c>
      <c r="AT996" s="7" t="b">
        <v>0</v>
      </c>
      <c r="AU996" s="40" t="str" cm="1">
        <f t="array" ref="AU996">_xlfn.XLOOKUP(PROPERTIES[[#This Row],[VEHIDCODE]],GRAPHICS_PROPERTIES[VEHIDCODE],GRAPHICS_PROPERTIES[TEMPLATE_ID]&amp;GRAPHICS_PROPERTIES[TEMPLATE_AMENDMENT_CODE])</f>
        <v>TPL_01A</v>
      </c>
    </row>
    <row r="997" spans="1:47" x14ac:dyDescent="0.35">
      <c r="A997" s="2" t="s">
        <v>3425</v>
      </c>
      <c r="B997">
        <v>1954</v>
      </c>
      <c r="C997">
        <v>2030</v>
      </c>
      <c r="D997" cm="1">
        <f t="array" ref="D9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7" s="40" t="str">
        <f>_xlfn.XLOOKUP(PROPERTIES[[#This Row],[VEHIDCODE]],CONTROL[VEHIDCODE],CONTROL[ENGLISH])</f>
        <v>NOHAB AA16</v>
      </c>
      <c r="F997" t="s">
        <v>722</v>
      </c>
      <c r="G997" s="40" t="str">
        <f>_xlfn.XLOOKUP(PROPERTIES[[#This Row],[COUNTRY]],COUNTRIES[COUNTRY_DESCRIPTION],COUNTRIES[COUNTRY_LABEL],"")</f>
        <v>SE</v>
      </c>
      <c r="H997" t="str" cm="1">
        <f t="array" ref="H9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97" t="s">
        <v>17</v>
      </c>
      <c r="J997">
        <v>0</v>
      </c>
      <c r="K997">
        <v>8</v>
      </c>
      <c r="L997">
        <v>0</v>
      </c>
      <c r="M997" t="str" cm="1">
        <f t="array" ref="M9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7">
        <f>_xlfn.XLOOKUP("LOADINGSPEEDDEF_"&amp;PROPERTIES[[#This Row],[LOADINGSPEED]],LOADINGSPEEDDEF[TYPE],LOADINGSPEEDDEF[SPEED])</f>
        <v>20</v>
      </c>
      <c r="O997" t="str" cm="1">
        <f t="array" ref="O9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7">
        <f>IF(ISNUMBER(SEARCH("passenger",PROPERTIES[[#This Row],[CARGODEF]])),1,0)</f>
        <v>0</v>
      </c>
      <c r="Q997" s="23">
        <v>109</v>
      </c>
      <c r="R997">
        <v>1980</v>
      </c>
      <c r="S997">
        <v>0</v>
      </c>
      <c r="T997">
        <v>0</v>
      </c>
      <c r="U997">
        <v>0</v>
      </c>
      <c r="V997">
        <v>140</v>
      </c>
      <c r="W997">
        <v>0</v>
      </c>
      <c r="X997">
        <v>0</v>
      </c>
      <c r="Y997">
        <v>0</v>
      </c>
      <c r="Z997" s="20">
        <v>290</v>
      </c>
      <c r="AA997" s="20">
        <f>IFERROR(PROPERTIES[[#This Row],[TE_STARTING_KN]]/(PROPERTIES[[#This Row],[WEIGHT]]*9.81),0)</f>
        <v>0.271207997830336</v>
      </c>
      <c r="AB997" s="20">
        <v>0</v>
      </c>
      <c r="AC997" s="16">
        <f>ROUND(IF(IFERROR(PROPERTIES[[#This Row],[TE_COEFFICIENT_CALC]],0)=0,PROPERTIES[[#This Row],[TE_COEFFICIENT_MANUAL]],PROPERTIES[[#This Row],[TE_COEFFICIENT_CALC]]),3)</f>
        <v>0.27100000000000002</v>
      </c>
      <c r="AD997" s="39" cm="1">
        <f t="array" ref="AD9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76</v>
      </c>
      <c r="AE997" s="26">
        <v>0</v>
      </c>
      <c r="AF997" s="6">
        <v>0</v>
      </c>
      <c r="AG997" t="s">
        <v>239</v>
      </c>
      <c r="AH997" t="s">
        <v>229</v>
      </c>
      <c r="AI997" t="s">
        <v>229</v>
      </c>
      <c r="AJ997" s="2" t="s">
        <v>229</v>
      </c>
      <c r="AK997" s="2" t="s">
        <v>244</v>
      </c>
      <c r="AL99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9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97" s="2" t="str">
        <f>SUBSTITUTE(SUBSTITUTE(PROPERTIES[[#This Row],[PURCHASECOST_VALUE]], "PURCHASECOST_", ""), "_VALUE", "")</f>
        <v>DIESELENGINE</v>
      </c>
      <c r="AO997" s="44" t="b">
        <v>0</v>
      </c>
      <c r="AP997" s="48" t="b">
        <v>0</v>
      </c>
      <c r="AQ997" s="48" t="b">
        <v>0</v>
      </c>
      <c r="AR997" s="48">
        <v>0</v>
      </c>
      <c r="AS997" s="48" t="b">
        <v>0</v>
      </c>
      <c r="AT997" s="7" t="b">
        <v>0</v>
      </c>
      <c r="AU997" s="40" t="str" cm="1">
        <f t="array" ref="AU997">_xlfn.XLOOKUP(PROPERTIES[[#This Row],[VEHIDCODE]],GRAPHICS_PROPERTIES[VEHIDCODE],GRAPHICS_PROPERTIES[TEMPLATE_ID]&amp;GRAPHICS_PROPERTIES[TEMPLATE_AMENDMENT_CODE])</f>
        <v>TPL_01A</v>
      </c>
    </row>
    <row r="998" spans="1:47" x14ac:dyDescent="0.35">
      <c r="A998" s="2" t="s">
        <v>3426</v>
      </c>
      <c r="B998">
        <v>1966</v>
      </c>
      <c r="D998" cm="1">
        <f t="array" ref="D9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8" s="40" t="str">
        <f>_xlfn.XLOOKUP(PROPERTIES[[#This Row],[VEHIDCODE]],CONTROL[VEHIDCODE],CONTROL[ENGLISH])</f>
        <v>LEW V100</v>
      </c>
      <c r="F998" t="s">
        <v>584</v>
      </c>
      <c r="G998" s="40" t="str">
        <f>_xlfn.XLOOKUP(PROPERTIES[[#This Row],[COUNTRY]],COUNTRIES[COUNTRY_DESCRIPTION],COUNTRIES[COUNTRY_LABEL],"")</f>
        <v>DE</v>
      </c>
      <c r="H998" t="str" cm="1">
        <f t="array" ref="H9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98" t="s">
        <v>17</v>
      </c>
      <c r="J998">
        <v>0</v>
      </c>
      <c r="K998">
        <v>7</v>
      </c>
      <c r="L998">
        <v>0</v>
      </c>
      <c r="M998" t="str" cm="1">
        <f t="array" ref="M9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8">
        <f>_xlfn.XLOOKUP("LOADINGSPEEDDEF_"&amp;PROPERTIES[[#This Row],[LOADINGSPEED]],LOADINGSPEEDDEF[TYPE],LOADINGSPEEDDEF[SPEED])</f>
        <v>20</v>
      </c>
      <c r="O998" cm="1">
        <f t="array" ref="O9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98">
        <f>IF(ISNUMBER(SEARCH("passenger",PROPERTIES[[#This Row],[CARGODEF]])),1,0)</f>
        <v>0</v>
      </c>
      <c r="Q998" s="23">
        <v>64</v>
      </c>
      <c r="R998">
        <v>987</v>
      </c>
      <c r="S998">
        <v>0</v>
      </c>
      <c r="T998">
        <v>0</v>
      </c>
      <c r="U998">
        <v>0</v>
      </c>
      <c r="V998">
        <v>100</v>
      </c>
      <c r="W998">
        <v>0</v>
      </c>
      <c r="X998">
        <v>0</v>
      </c>
      <c r="Y998">
        <v>0</v>
      </c>
      <c r="Z998" s="20">
        <v>227</v>
      </c>
      <c r="AA998" s="20">
        <f>IFERROR(PROPERTIES[[#This Row],[TE_STARTING_KN]]/(PROPERTIES[[#This Row],[WEIGHT]]*9.81),0)</f>
        <v>0.36155708460754332</v>
      </c>
      <c r="AB998" s="20">
        <v>0</v>
      </c>
      <c r="AC998" s="16">
        <f>ROUND(IF(IFERROR(PROPERTIES[[#This Row],[TE_COEFFICIENT_CALC]],0)=0,PROPERTIES[[#This Row],[TE_COEFFICIENT_MANUAL]],PROPERTIES[[#This Row],[TE_COEFFICIENT_CALC]]),3)</f>
        <v>0.36199999999999999</v>
      </c>
      <c r="AD998" s="39" cm="1">
        <f t="array" ref="AD9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98" s="26">
        <v>0</v>
      </c>
      <c r="AF998" s="6">
        <v>0</v>
      </c>
      <c r="AG998" t="s">
        <v>1948</v>
      </c>
      <c r="AH998" t="s">
        <v>230</v>
      </c>
      <c r="AI998" t="s">
        <v>229</v>
      </c>
      <c r="AJ998" s="2" t="s">
        <v>229</v>
      </c>
      <c r="AK998" s="2" t="s">
        <v>244</v>
      </c>
      <c r="AL99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9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98" s="2" t="str">
        <f>SUBSTITUTE(SUBSTITUTE(PROPERTIES[[#This Row],[PURCHASECOST_VALUE]], "PURCHASECOST_", ""), "_VALUE", "")</f>
        <v>DIESELENGINE</v>
      </c>
      <c r="AO998" s="44" t="b">
        <v>0</v>
      </c>
      <c r="AP998" s="48" t="b">
        <v>0</v>
      </c>
      <c r="AQ998" s="48" t="b">
        <v>0</v>
      </c>
      <c r="AR998" s="48">
        <v>0</v>
      </c>
      <c r="AS998" s="48" t="b">
        <v>0</v>
      </c>
      <c r="AT998" s="7" t="b">
        <v>0</v>
      </c>
      <c r="AU998" s="40" t="str" cm="1">
        <f t="array" ref="AU998">_xlfn.XLOOKUP(PROPERTIES[[#This Row],[VEHIDCODE]],GRAPHICS_PROPERTIES[VEHIDCODE],GRAPHICS_PROPERTIES[TEMPLATE_ID]&amp;GRAPHICS_PROPERTIES[TEMPLATE_AMENDMENT_CODE])</f>
        <v>TPL_01A</v>
      </c>
    </row>
    <row r="999" spans="1:47" x14ac:dyDescent="0.35">
      <c r="A999" s="2" t="s">
        <v>3427</v>
      </c>
      <c r="B999">
        <v>1964</v>
      </c>
      <c r="D999" cm="1">
        <f t="array" ref="D9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9" s="40" t="str">
        <f>_xlfn.XLOOKUP(PROPERTIES[[#This Row],[VEHIDCODE]],CONTROL[VEHIDCODE],CONTROL[ENGLISH])</f>
        <v>Fablok 6D</v>
      </c>
      <c r="F999" t="s">
        <v>705</v>
      </c>
      <c r="G999" s="40" t="str">
        <f>_xlfn.XLOOKUP(PROPERTIES[[#This Row],[COUNTRY]],COUNTRIES[COUNTRY_DESCRIPTION],COUNTRIES[COUNTRY_LABEL],"")</f>
        <v>PL</v>
      </c>
      <c r="H999" t="str" cm="1">
        <f t="array" ref="H9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99" t="s">
        <v>17</v>
      </c>
      <c r="J999">
        <v>0</v>
      </c>
      <c r="K999">
        <v>6</v>
      </c>
      <c r="L999">
        <v>0</v>
      </c>
      <c r="M999" t="str" cm="1">
        <f t="array" ref="M9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9">
        <f>_xlfn.XLOOKUP("LOADINGSPEEDDEF_"&amp;PROPERTIES[[#This Row],[LOADINGSPEED]],LOADINGSPEEDDEF[TYPE],LOADINGSPEEDDEF[SPEED])</f>
        <v>20</v>
      </c>
      <c r="O999" cm="1">
        <f t="array" ref="O9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99">
        <f>IF(ISNUMBER(SEARCH("passenger",PROPERTIES[[#This Row],[CARGODEF]])),1,0)</f>
        <v>0</v>
      </c>
      <c r="Q999" s="23">
        <v>74</v>
      </c>
      <c r="R999">
        <v>800</v>
      </c>
      <c r="S999">
        <v>0</v>
      </c>
      <c r="T999">
        <v>0</v>
      </c>
      <c r="U999">
        <v>0</v>
      </c>
      <c r="V999">
        <v>90</v>
      </c>
      <c r="W999">
        <v>0</v>
      </c>
      <c r="X999">
        <v>0</v>
      </c>
      <c r="Y999">
        <v>0</v>
      </c>
      <c r="Z999" s="20">
        <v>228</v>
      </c>
      <c r="AA999" s="19">
        <f>IFERROR(PROPERTIES[[#This Row],[TE_STARTING_KN]]/(PROPERTIES[[#This Row],[WEIGHT]]*9.81),0)</f>
        <v>0.3140755434333416</v>
      </c>
      <c r="AB999" s="19">
        <v>0</v>
      </c>
      <c r="AC999" s="16">
        <f>ROUND(IF(IFERROR(PROPERTIES[[#This Row],[TE_COEFFICIENT_CALC]],0)=0,PROPERTIES[[#This Row],[TE_COEFFICIENT_MANUAL]],PROPERTIES[[#This Row],[TE_COEFFICIENT_CALC]]),3)</f>
        <v>0.314</v>
      </c>
      <c r="AD999" s="8" cm="1">
        <f t="array" ref="AD9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99" s="26">
        <v>0</v>
      </c>
      <c r="AF999" s="6">
        <v>0</v>
      </c>
      <c r="AG999" t="s">
        <v>236</v>
      </c>
      <c r="AH999" t="s">
        <v>233</v>
      </c>
      <c r="AI999" t="s">
        <v>229</v>
      </c>
      <c r="AJ999" s="2" t="s">
        <v>229</v>
      </c>
      <c r="AK999" s="2" t="s">
        <v>244</v>
      </c>
      <c r="AL99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9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99" s="2" t="str">
        <f>SUBSTITUTE(SUBSTITUTE(PROPERTIES[[#This Row],[PURCHASECOST_VALUE]], "PURCHASECOST_", ""), "_VALUE", "")</f>
        <v>DIESELENGINE</v>
      </c>
      <c r="AO999" s="44" t="b">
        <v>0</v>
      </c>
      <c r="AP999" s="48" t="b">
        <v>0</v>
      </c>
      <c r="AQ999" s="48" t="b">
        <v>0</v>
      </c>
      <c r="AR999" s="48">
        <v>0</v>
      </c>
      <c r="AS999" s="48" t="b">
        <v>0</v>
      </c>
      <c r="AT999" s="7" t="b">
        <v>0</v>
      </c>
      <c r="AU999" s="40" t="str" cm="1">
        <f t="array" ref="AU999">_xlfn.XLOOKUP(PROPERTIES[[#This Row],[VEHIDCODE]],GRAPHICS_PROPERTIES[VEHIDCODE],GRAPHICS_PROPERTIES[TEMPLATE_ID]&amp;GRAPHICS_PROPERTIES[TEMPLATE_AMENDMENT_CODE])</f>
        <v>TPL_01A</v>
      </c>
    </row>
    <row r="1000" spans="1:47" x14ac:dyDescent="0.35">
      <c r="A1000" s="2" t="s">
        <v>3428</v>
      </c>
      <c r="B1000">
        <v>1970</v>
      </c>
      <c r="D1000" cm="1">
        <f t="array" ref="D10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0" s="40" t="str">
        <f>_xlfn.XLOOKUP(PROPERTIES[[#This Row],[VEHIDCODE]],CONTROL[VEHIDCODE],CONTROL[ENGLISH])</f>
        <v>HCP 301D</v>
      </c>
      <c r="F1000" t="s">
        <v>705</v>
      </c>
      <c r="G1000" s="40" t="str">
        <f>_xlfn.XLOOKUP(PROPERTIES[[#This Row],[COUNTRY]],COUNTRIES[COUNTRY_DESCRIPTION],COUNTRIES[COUNTRY_LABEL],"")</f>
        <v>PL</v>
      </c>
      <c r="H1000" t="str" cm="1">
        <f t="array" ref="H10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00" t="s">
        <v>17</v>
      </c>
      <c r="J1000">
        <v>0</v>
      </c>
      <c r="K1000">
        <v>8</v>
      </c>
      <c r="L1000">
        <v>0</v>
      </c>
      <c r="M1000" t="str" cm="1">
        <f t="array" ref="M10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0">
        <f>_xlfn.XLOOKUP("LOADINGSPEEDDEF_"&amp;PROPERTIES[[#This Row],[LOADINGSPEED]],LOADINGSPEEDDEF[TYPE],LOADINGSPEEDDEF[SPEED])</f>
        <v>20</v>
      </c>
      <c r="O1000" cm="1">
        <f t="array" ref="O10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0">
        <f>IF(ISNUMBER(SEARCH("passenger",PROPERTIES[[#This Row],[CARGODEF]])),1,0)</f>
        <v>0</v>
      </c>
      <c r="Q1000" s="23">
        <v>102</v>
      </c>
      <c r="R1000">
        <v>1750</v>
      </c>
      <c r="S1000">
        <v>0</v>
      </c>
      <c r="T1000">
        <v>0</v>
      </c>
      <c r="U1000">
        <v>0</v>
      </c>
      <c r="V1000">
        <v>120</v>
      </c>
      <c r="W1000">
        <v>0</v>
      </c>
      <c r="X1000">
        <v>0</v>
      </c>
      <c r="Y1000">
        <v>0</v>
      </c>
      <c r="Z1000" s="20">
        <v>320</v>
      </c>
      <c r="AA1000" s="20">
        <f>IFERROR(PROPERTIES[[#This Row],[TE_STARTING_KN]]/(PROPERTIES[[#This Row],[WEIGHT]]*9.81),0)</f>
        <v>0.31980172293178227</v>
      </c>
      <c r="AB1000" s="20">
        <v>0</v>
      </c>
      <c r="AC1000" s="16">
        <f>ROUND(IF(IFERROR(PROPERTIES[[#This Row],[TE_COEFFICIENT_CALC]],0)=0,PROPERTIES[[#This Row],[TE_COEFFICIENT_MANUAL]],PROPERTIES[[#This Row],[TE_COEFFICIENT_CALC]]),3)</f>
        <v>0.32</v>
      </c>
      <c r="AD1000" s="39" cm="1">
        <f t="array" ref="AD10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0" s="26">
        <v>0</v>
      </c>
      <c r="AF1000" s="6">
        <v>0</v>
      </c>
      <c r="AG1000" t="s">
        <v>236</v>
      </c>
      <c r="AH1000" t="s">
        <v>233</v>
      </c>
      <c r="AI1000" t="s">
        <v>229</v>
      </c>
      <c r="AJ1000" s="2" t="s">
        <v>229</v>
      </c>
      <c r="AK1000" s="2" t="s">
        <v>244</v>
      </c>
      <c r="AL100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0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00" s="2" t="str">
        <f>SUBSTITUTE(SUBSTITUTE(PROPERTIES[[#This Row],[PURCHASECOST_VALUE]], "PURCHASECOST_", ""), "_VALUE", "")</f>
        <v>DIESELENGINE</v>
      </c>
      <c r="AO1000" s="44" t="b">
        <v>0</v>
      </c>
      <c r="AP1000" s="48" t="b">
        <v>0</v>
      </c>
      <c r="AQ1000" s="48" t="b">
        <v>0</v>
      </c>
      <c r="AR1000" s="48">
        <v>0</v>
      </c>
      <c r="AS1000" s="48" t="b">
        <v>0</v>
      </c>
      <c r="AT1000" s="7" t="b">
        <v>0</v>
      </c>
      <c r="AU1000" s="40" t="str" cm="1">
        <f t="array" ref="AU1000">_xlfn.XLOOKUP(PROPERTIES[[#This Row],[VEHIDCODE]],GRAPHICS_PROPERTIES[VEHIDCODE],GRAPHICS_PROPERTIES[TEMPLATE_ID]&amp;GRAPHICS_PROPERTIES[TEMPLATE_AMENDMENT_CODE])</f>
        <v>TPL_01A</v>
      </c>
    </row>
    <row r="1001" spans="1:47" x14ac:dyDescent="0.35">
      <c r="A1001" s="2" t="s">
        <v>3429</v>
      </c>
      <c r="B1001">
        <v>2004</v>
      </c>
      <c r="D1001" cm="1">
        <f t="array" ref="D10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01" s="40" t="str">
        <f>_xlfn.XLOOKUP(PROPERTIES[[#This Row],[VEHIDCODE]],CONTROL[VEHIDCODE],CONTROL[ENGLISH])</f>
        <v>Stadler 'Flirt' PowerPack DMU</v>
      </c>
      <c r="F1001" t="s">
        <v>570</v>
      </c>
      <c r="G1001" s="40" t="str">
        <f>_xlfn.XLOOKUP(PROPERTIES[[#This Row],[COUNTRY]],COUNTRIES[COUNTRY_DESCRIPTION],COUNTRIES[COUNTRY_LABEL],"")</f>
        <v>CH</v>
      </c>
      <c r="H1001" t="str" cm="1">
        <f t="array" ref="H10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01" t="s">
        <v>15</v>
      </c>
      <c r="J1001">
        <v>50</v>
      </c>
      <c r="K1001">
        <v>8</v>
      </c>
      <c r="M1001" t="str" cm="1">
        <f t="array" ref="M10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01">
        <f>_xlfn.XLOOKUP("LOADINGSPEEDDEF_"&amp;PROPERTIES[[#This Row],[LOADINGSPEED]],LOADINGSPEEDDEF[TYPE],LOADINGSPEEDDEF[SPEED])</f>
        <v>60</v>
      </c>
      <c r="O1001" t="str" cm="1">
        <f t="array" ref="O10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01">
        <f>IF(ISNUMBER(SEARCH("passenger",PROPERTIES[[#This Row],[CARGODEF]])),1,0)</f>
        <v>1</v>
      </c>
      <c r="Q1001" s="23">
        <v>31</v>
      </c>
      <c r="R1001">
        <v>2682</v>
      </c>
      <c r="S1001">
        <v>0</v>
      </c>
      <c r="T1001">
        <v>0</v>
      </c>
      <c r="U1001">
        <v>0</v>
      </c>
      <c r="V1001">
        <v>160</v>
      </c>
      <c r="W1001">
        <v>0</v>
      </c>
      <c r="X1001">
        <v>0</v>
      </c>
      <c r="Y1001">
        <v>0</v>
      </c>
      <c r="Z1001" s="20">
        <f>200/2</f>
        <v>100</v>
      </c>
      <c r="AA1001" s="19">
        <f>IFERROR(PROPERTIES[[#This Row],[TE_STARTING_KN]]/(PROPERTIES[[#This Row],[WEIGHT]]*9.81),0)</f>
        <v>0.32882838446614709</v>
      </c>
      <c r="AB1001" s="19">
        <v>0</v>
      </c>
      <c r="AC1001" s="16">
        <f>ROUND(IF(IFERROR(PROPERTIES[[#This Row],[TE_COEFFICIENT_CALC]],0)=0,PROPERTIES[[#This Row],[TE_COEFFICIENT_MANUAL]],PROPERTIES[[#This Row],[TE_COEFFICIENT_CALC]]),3)</f>
        <v>0.32900000000000001</v>
      </c>
      <c r="AD1001" s="8" cm="1">
        <f t="array" ref="AD10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01" s="26">
        <v>50</v>
      </c>
      <c r="AF1001" s="6">
        <v>7</v>
      </c>
      <c r="AG1001" t="s">
        <v>239</v>
      </c>
      <c r="AH1001" t="s">
        <v>235</v>
      </c>
      <c r="AI1001" t="s">
        <v>229</v>
      </c>
      <c r="AJ1001" s="2" t="s">
        <v>229</v>
      </c>
      <c r="AK1001" s="2" t="s">
        <v>244</v>
      </c>
      <c r="AL100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100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1001" s="2" t="str">
        <f>SUBSTITUTE(SUBSTITUTE(PROPERTIES[[#This Row],[PURCHASECOST_VALUE]], "PURCHASECOST_", ""), "_VALUE", "")</f>
        <v>DMU</v>
      </c>
      <c r="AO1001" s="44" t="b">
        <v>0</v>
      </c>
      <c r="AP1001" s="48" t="b">
        <v>0</v>
      </c>
      <c r="AQ1001" s="48" t="b">
        <v>0</v>
      </c>
      <c r="AR1001" s="48">
        <v>0</v>
      </c>
      <c r="AS1001" s="48" t="b">
        <v>0</v>
      </c>
      <c r="AT1001" s="7" t="b">
        <v>0</v>
      </c>
      <c r="AU1001" s="40" t="str" cm="1">
        <f t="array" ref="AU1001">_xlfn.XLOOKUP(PROPERTIES[[#This Row],[VEHIDCODE]],GRAPHICS_PROPERTIES[VEHIDCODE],GRAPHICS_PROPERTIES[TEMPLATE_ID]&amp;GRAPHICS_PROPERTIES[TEMPLATE_AMENDMENT_CODE])</f>
        <v>TPL_02E</v>
      </c>
    </row>
    <row r="1002" spans="1:47" x14ac:dyDescent="0.35">
      <c r="A1002" s="2" t="s">
        <v>3430</v>
      </c>
      <c r="B1002">
        <v>1960</v>
      </c>
      <c r="D1002" cm="1">
        <f t="array" ref="D10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02" s="40" t="str">
        <f>_xlfn.XLOOKUP(PROPERTIES[[#This Row],[VEHIDCODE]],CONTROL[VEHIDCODE],CONTROL[ENGLISH])</f>
        <v>JNR Container Bullet Train Concept</v>
      </c>
      <c r="F1002" t="s">
        <v>640</v>
      </c>
      <c r="G1002" s="40" t="str">
        <f>_xlfn.XLOOKUP(PROPERTIES[[#This Row],[COUNTRY]],COUNTRIES[COUNTRY_DESCRIPTION],COUNTRIES[COUNTRY_LABEL],"")</f>
        <v>JP</v>
      </c>
      <c r="H1002" t="str" cm="1">
        <f t="array" ref="H10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2" t="s">
        <v>24</v>
      </c>
      <c r="J1002">
        <v>60</v>
      </c>
      <c r="K1002">
        <v>8</v>
      </c>
      <c r="M1002" t="str" cm="1">
        <f t="array" ref="M10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2">
        <f>_xlfn.XLOOKUP("LOADINGSPEEDDEF_"&amp;PROPERTIES[[#This Row],[LOADINGSPEED]],LOADINGSPEEDDEF[TYPE],LOADINGSPEEDDEF[SPEED])</f>
        <v>20</v>
      </c>
      <c r="O1002" cm="1">
        <f t="array" ref="O10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2">
        <f>IF(ISNUMBER(SEARCH("passenger",PROPERTIES[[#This Row],[CARGODEF]])),1,0)</f>
        <v>0</v>
      </c>
      <c r="Q1002" s="23">
        <f>51/2</f>
        <v>25.5</v>
      </c>
      <c r="R1002">
        <v>1800</v>
      </c>
      <c r="S1002">
        <v>0</v>
      </c>
      <c r="T1002">
        <v>0</v>
      </c>
      <c r="U1002">
        <v>0</v>
      </c>
      <c r="V1002">
        <v>160</v>
      </c>
      <c r="W1002">
        <v>0</v>
      </c>
      <c r="X1002">
        <v>0</v>
      </c>
      <c r="Y1002">
        <v>0</v>
      </c>
      <c r="Z1002" s="20">
        <f>98/2</f>
        <v>49</v>
      </c>
      <c r="AA1002" s="19">
        <f>IFERROR(PROPERTIES[[#This Row],[TE_STARTING_KN]]/(PROPERTIES[[#This Row],[WEIGHT]]*9.81),0)</f>
        <v>0.19587855529571666</v>
      </c>
      <c r="AB1002" s="19">
        <v>0</v>
      </c>
      <c r="AC1002" s="16">
        <f>ROUND(IF(IFERROR(PROPERTIES[[#This Row],[TE_COEFFICIENT_CALC]],0)=0,PROPERTIES[[#This Row],[TE_COEFFICIENT_MANUAL]],PROPERTIES[[#This Row],[TE_COEFFICIENT_CALC]]),3)</f>
        <v>0.19600000000000001</v>
      </c>
      <c r="AD1002" s="8" cm="1">
        <f t="array" ref="AD10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2" s="26">
        <v>60</v>
      </c>
      <c r="AF1002" s="6">
        <v>8</v>
      </c>
      <c r="AG1002" t="s">
        <v>238</v>
      </c>
      <c r="AH1002" t="s">
        <v>229</v>
      </c>
      <c r="AI1002" t="s">
        <v>229</v>
      </c>
      <c r="AJ1002" s="2" t="s">
        <v>229</v>
      </c>
      <c r="AK1002" s="7" t="s">
        <v>245</v>
      </c>
      <c r="AL100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100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1002" s="2" t="str">
        <f>SUBSTITUTE(SUBSTITUTE(PROPERTIES[[#This Row],[PURCHASECOST_VALUE]], "PURCHASECOST_", ""), "_VALUE", "")</f>
        <v>EMU</v>
      </c>
      <c r="AO1002" s="44" t="b">
        <v>0</v>
      </c>
      <c r="AP1002" s="48" t="b">
        <v>0</v>
      </c>
      <c r="AQ1002" s="48" t="b">
        <v>0</v>
      </c>
      <c r="AR1002" s="48">
        <v>0</v>
      </c>
      <c r="AS1002" s="48" t="b">
        <v>0</v>
      </c>
      <c r="AT1002" s="7" t="b">
        <v>0</v>
      </c>
      <c r="AU1002" s="40" t="str" cm="1">
        <f t="array" ref="AU1002">_xlfn.XLOOKUP(PROPERTIES[[#This Row],[VEHIDCODE]],GRAPHICS_PROPERTIES[VEHIDCODE],GRAPHICS_PROPERTIES[TEMPLATE_ID]&amp;GRAPHICS_PROPERTIES[TEMPLATE_AMENDMENT_CODE])</f>
        <v>TPL_42B</v>
      </c>
    </row>
    <row r="1003" spans="1:47" x14ac:dyDescent="0.35">
      <c r="A1003" s="2" t="s">
        <v>3431</v>
      </c>
      <c r="B1003">
        <v>1998</v>
      </c>
      <c r="D1003" cm="1">
        <f t="array" ref="D10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3" s="40" t="str">
        <f>_xlfn.XLOOKUP(PROPERTIES[[#This Row],[VEHIDCODE]],CONTROL[VEHIDCODE],CONTROL[ENGLISH])</f>
        <v>Hitachi WAG-6B/C</v>
      </c>
      <c r="F1003" t="s">
        <v>631</v>
      </c>
      <c r="G1003" s="40" t="str">
        <f>_xlfn.XLOOKUP(PROPERTIES[[#This Row],[COUNTRY]],COUNTRIES[COUNTRY_DESCRIPTION],COUNTRIES[COUNTRY_LABEL],"")</f>
        <v>IN</v>
      </c>
      <c r="H1003" t="str" cm="1">
        <f t="array" ref="H10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3" t="s">
        <v>17</v>
      </c>
      <c r="J1003">
        <v>0</v>
      </c>
      <c r="K1003">
        <v>8</v>
      </c>
      <c r="L1003">
        <v>0</v>
      </c>
      <c r="M1003" t="str" cm="1">
        <f t="array" ref="M10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3">
        <f>_xlfn.XLOOKUP("LOADINGSPEEDDEF_"&amp;PROPERTIES[[#This Row],[LOADINGSPEED]],LOADINGSPEEDDEF[TYPE],LOADINGSPEEDDEF[SPEED])</f>
        <v>20</v>
      </c>
      <c r="O1003" t="str" cm="1">
        <f t="array" ref="O10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03">
        <f>IF(ISNUMBER(SEARCH("passenger",PROPERTIES[[#This Row],[CARGODEF]])),1,0)</f>
        <v>0</v>
      </c>
      <c r="Q1003" s="23">
        <v>123</v>
      </c>
      <c r="R1003">
        <v>6110</v>
      </c>
      <c r="S1003">
        <v>0</v>
      </c>
      <c r="T1003">
        <v>0</v>
      </c>
      <c r="U1003">
        <v>0</v>
      </c>
      <c r="V1003">
        <v>100</v>
      </c>
      <c r="W1003">
        <v>0</v>
      </c>
      <c r="X1003">
        <v>0</v>
      </c>
      <c r="Y1003">
        <v>0</v>
      </c>
      <c r="Z1003" s="20">
        <v>440</v>
      </c>
      <c r="AA1003" s="20">
        <f>IFERROR(PROPERTIES[[#This Row],[TE_STARTING_KN]]/(PROPERTIES[[#This Row],[WEIGHT]]*9.81),0)</f>
        <v>0.36465196456245907</v>
      </c>
      <c r="AB1003" s="20">
        <v>0</v>
      </c>
      <c r="AC1003" s="16">
        <f>ROUND(IF(IFERROR(PROPERTIES[[#This Row],[TE_COEFFICIENT_CALC]],0)=0,PROPERTIES[[#This Row],[TE_COEFFICIENT_MANUAL]],PROPERTIES[[#This Row],[TE_COEFFICIENT_CALC]]),3)</f>
        <v>0.36499999999999999</v>
      </c>
      <c r="AD1003" s="39" cm="1">
        <f t="array" ref="AD10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3" s="26">
        <v>0</v>
      </c>
      <c r="AF1003" s="6">
        <v>0</v>
      </c>
      <c r="AG1003" t="s">
        <v>238</v>
      </c>
      <c r="AH1003" t="s">
        <v>229</v>
      </c>
      <c r="AI1003" t="s">
        <v>229</v>
      </c>
      <c r="AJ1003" s="2" t="s">
        <v>229</v>
      </c>
      <c r="AK1003" s="7" t="s">
        <v>244</v>
      </c>
      <c r="AL100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3" s="2" t="str">
        <f>SUBSTITUTE(SUBSTITUTE(PROPERTIES[[#This Row],[PURCHASECOST_VALUE]], "PURCHASECOST_", ""), "_VALUE", "")</f>
        <v>ELECTRICENGINE</v>
      </c>
      <c r="AO1003" s="44" t="b">
        <v>0</v>
      </c>
      <c r="AP1003" s="48" t="b">
        <v>0</v>
      </c>
      <c r="AQ1003" s="48" t="b">
        <v>0</v>
      </c>
      <c r="AR1003" s="48">
        <v>0</v>
      </c>
      <c r="AS1003" s="48" t="b">
        <v>0</v>
      </c>
      <c r="AT1003" s="7" t="b">
        <v>0</v>
      </c>
      <c r="AU1003" s="40" t="str" cm="1">
        <f t="array" ref="AU1003">_xlfn.XLOOKUP(PROPERTIES[[#This Row],[VEHIDCODE]],GRAPHICS_PROPERTIES[VEHIDCODE],GRAPHICS_PROPERTIES[TEMPLATE_ID]&amp;GRAPHICS_PROPERTIES[TEMPLATE_AMENDMENT_CODE])</f>
        <v>TPL_01A</v>
      </c>
    </row>
    <row r="1004" spans="1:47" x14ac:dyDescent="0.35">
      <c r="A1004" s="2" t="s">
        <v>3432</v>
      </c>
      <c r="B1004">
        <v>1985</v>
      </c>
      <c r="D1004" cm="1">
        <f t="array" ref="D10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4" s="40" t="str">
        <f>_xlfn.XLOOKUP(PROPERTIES[[#This Row],[VEHIDCODE]],CONTROL[VEHIDCODE],CONTROL[ENGLISH])</f>
        <v>Toshiba 10E</v>
      </c>
      <c r="F1004" t="s">
        <v>771</v>
      </c>
      <c r="G1004" s="40" t="str">
        <f>_xlfn.XLOOKUP(PROPERTIES[[#This Row],[COUNTRY]],COUNTRIES[COUNTRY_DESCRIPTION],COUNTRIES[COUNTRY_LABEL],"")</f>
        <v>ZA</v>
      </c>
      <c r="H1004" t="str" cm="1">
        <f t="array" ref="H10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4" t="s">
        <v>17</v>
      </c>
      <c r="J1004">
        <v>0</v>
      </c>
      <c r="K1004">
        <v>8</v>
      </c>
      <c r="L1004">
        <v>0</v>
      </c>
      <c r="M1004" t="str" cm="1">
        <f t="array" ref="M10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4">
        <f>_xlfn.XLOOKUP("LOADINGSPEEDDEF_"&amp;PROPERTIES[[#This Row],[LOADINGSPEED]],LOADINGSPEEDDEF[TYPE],LOADINGSPEEDDEF[SPEED])</f>
        <v>20</v>
      </c>
      <c r="O1004" t="str" cm="1">
        <f t="array" ref="O10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04">
        <f>IF(ISNUMBER(SEARCH("passenger",PROPERTIES[[#This Row],[CARGODEF]])),1,0)</f>
        <v>0</v>
      </c>
      <c r="Q1004" s="23">
        <v>125</v>
      </c>
      <c r="R1004">
        <v>4340</v>
      </c>
      <c r="S1004">
        <v>0</v>
      </c>
      <c r="T1004">
        <v>0</v>
      </c>
      <c r="U1004">
        <v>0</v>
      </c>
      <c r="V1004">
        <v>90</v>
      </c>
      <c r="W1004">
        <v>0</v>
      </c>
      <c r="X1004">
        <v>0</v>
      </c>
      <c r="Y1004">
        <v>0</v>
      </c>
      <c r="Z1004" s="20">
        <v>450</v>
      </c>
      <c r="AA1004" s="20">
        <f>IFERROR(PROPERTIES[[#This Row],[TE_STARTING_KN]]/(PROPERTIES[[#This Row],[WEIGHT]]*9.81),0)</f>
        <v>0.3669724770642202</v>
      </c>
      <c r="AB1004" s="20">
        <v>0</v>
      </c>
      <c r="AC1004" s="16">
        <f>ROUND(IF(IFERROR(PROPERTIES[[#This Row],[TE_COEFFICIENT_CALC]],0)=0,PROPERTIES[[#This Row],[TE_COEFFICIENT_MANUAL]],PROPERTIES[[#This Row],[TE_COEFFICIENT_CALC]]),3)</f>
        <v>0.36699999999999999</v>
      </c>
      <c r="AD1004" s="39" cm="1">
        <f t="array" ref="AD10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4" s="26">
        <v>0</v>
      </c>
      <c r="AF1004" s="6">
        <v>0</v>
      </c>
      <c r="AG1004" t="s">
        <v>233</v>
      </c>
      <c r="AH1004" t="s">
        <v>229</v>
      </c>
      <c r="AI1004" t="s">
        <v>229</v>
      </c>
      <c r="AJ1004" s="2" t="s">
        <v>229</v>
      </c>
      <c r="AK1004" s="7" t="s">
        <v>244</v>
      </c>
      <c r="AL100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4" s="2" t="str">
        <f>SUBSTITUTE(SUBSTITUTE(PROPERTIES[[#This Row],[PURCHASECOST_VALUE]], "PURCHASECOST_", ""), "_VALUE", "")</f>
        <v>ELECTRICENGINE</v>
      </c>
      <c r="AO1004" s="44" t="b">
        <v>0</v>
      </c>
      <c r="AP1004" s="48" t="b">
        <v>0</v>
      </c>
      <c r="AQ1004" s="48" t="b">
        <v>0</v>
      </c>
      <c r="AR1004" s="48">
        <v>0</v>
      </c>
      <c r="AS1004" s="48" t="b">
        <v>0</v>
      </c>
      <c r="AT1004" s="7" t="b">
        <v>0</v>
      </c>
      <c r="AU1004" s="40" t="str" cm="1">
        <f t="array" ref="AU1004">_xlfn.XLOOKUP(PROPERTIES[[#This Row],[VEHIDCODE]],GRAPHICS_PROPERTIES[VEHIDCODE],GRAPHICS_PROPERTIES[TEMPLATE_ID]&amp;GRAPHICS_PROPERTIES[TEMPLATE_AMENDMENT_CODE])</f>
        <v>TPL_01A</v>
      </c>
    </row>
    <row r="1005" spans="1:47" x14ac:dyDescent="0.35">
      <c r="A1005" s="2" t="s">
        <v>3433</v>
      </c>
      <c r="B1005">
        <v>1978</v>
      </c>
      <c r="C1005">
        <v>1998</v>
      </c>
      <c r="D1005" cm="1">
        <f t="array" ref="D10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5" s="40" t="str">
        <f>_xlfn.XLOOKUP(PROPERTIES[[#This Row],[VEHIDCODE]],CONTROL[VEHIDCODE],CONTROL[ENGLISH])</f>
        <v>GEC 9E</v>
      </c>
      <c r="F1005" t="s">
        <v>771</v>
      </c>
      <c r="G1005" s="40" t="str">
        <f>_xlfn.XLOOKUP(PROPERTIES[[#This Row],[COUNTRY]],COUNTRIES[COUNTRY_DESCRIPTION],COUNTRIES[COUNTRY_LABEL],"")</f>
        <v>ZA</v>
      </c>
      <c r="H1005" t="str" cm="1">
        <f t="array" ref="H10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5" t="s">
        <v>17</v>
      </c>
      <c r="J1005">
        <v>0</v>
      </c>
      <c r="K1005">
        <v>8</v>
      </c>
      <c r="L1005">
        <v>0</v>
      </c>
      <c r="M1005" t="str" cm="1">
        <f t="array" ref="M10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5">
        <f>_xlfn.XLOOKUP("LOADINGSPEEDDEF_"&amp;PROPERTIES[[#This Row],[LOADINGSPEED]],LOADINGSPEEDDEF[TYPE],LOADINGSPEEDDEF[SPEED])</f>
        <v>20</v>
      </c>
      <c r="O1005" cm="1">
        <f t="array" ref="O10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5">
        <f>IF(ISNUMBER(SEARCH("passenger",PROPERTIES[[#This Row],[CARGODEF]])),1,0)</f>
        <v>0</v>
      </c>
      <c r="Q1005" s="23">
        <v>166.3</v>
      </c>
      <c r="R1005">
        <v>5550</v>
      </c>
      <c r="S1005">
        <v>0</v>
      </c>
      <c r="T1005">
        <v>0</v>
      </c>
      <c r="U1005">
        <v>0</v>
      </c>
      <c r="V1005">
        <v>90</v>
      </c>
      <c r="W1005">
        <v>0</v>
      </c>
      <c r="X1005">
        <v>0</v>
      </c>
      <c r="Y1005">
        <v>0</v>
      </c>
      <c r="Z1005" s="20">
        <v>570</v>
      </c>
      <c r="AA1005" s="20">
        <f>IFERROR(PROPERTIES[[#This Row],[TE_STARTING_KN]]/(PROPERTIES[[#This Row],[WEIGHT]]*9.81),0)</f>
        <v>0.34939251674785438</v>
      </c>
      <c r="AB1005" s="20">
        <v>0</v>
      </c>
      <c r="AC1005" s="16">
        <f>ROUND(IF(IFERROR(PROPERTIES[[#This Row],[TE_COEFFICIENT_CALC]],0)=0,PROPERTIES[[#This Row],[TE_COEFFICIENT_MANUAL]],PROPERTIES[[#This Row],[TE_COEFFICIENT_CALC]]),3)</f>
        <v>0.34899999999999998</v>
      </c>
      <c r="AD1005" s="39" cm="1">
        <f t="array" ref="AD10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5" s="26">
        <v>0</v>
      </c>
      <c r="AF1005" s="6">
        <v>0</v>
      </c>
      <c r="AG1005" t="s">
        <v>233</v>
      </c>
      <c r="AH1005" t="s">
        <v>229</v>
      </c>
      <c r="AI1005" t="s">
        <v>229</v>
      </c>
      <c r="AJ1005" s="2" t="s">
        <v>229</v>
      </c>
      <c r="AK1005" s="7" t="s">
        <v>244</v>
      </c>
      <c r="AL100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5" s="2" t="str">
        <f>SUBSTITUTE(SUBSTITUTE(PROPERTIES[[#This Row],[PURCHASECOST_VALUE]], "PURCHASECOST_", ""), "_VALUE", "")</f>
        <v>ELECTRICENGINE</v>
      </c>
      <c r="AO1005" s="44" t="b">
        <v>0</v>
      </c>
      <c r="AP1005" s="48" t="b">
        <v>0</v>
      </c>
      <c r="AQ1005" s="48" t="b">
        <v>0</v>
      </c>
      <c r="AR1005" s="48">
        <v>0</v>
      </c>
      <c r="AS1005" s="48" t="b">
        <v>0</v>
      </c>
      <c r="AT1005" s="7" t="b">
        <v>0</v>
      </c>
      <c r="AU1005" s="40" t="str" cm="1">
        <f t="array" ref="AU1005">_xlfn.XLOOKUP(PROPERTIES[[#This Row],[VEHIDCODE]],GRAPHICS_PROPERTIES[VEHIDCODE],GRAPHICS_PROPERTIES[TEMPLATE_ID]&amp;GRAPHICS_PROPERTIES[TEMPLATE_AMENDMENT_CODE])</f>
        <v>TPL_01A</v>
      </c>
    </row>
    <row r="1006" spans="1:47" x14ac:dyDescent="0.35">
      <c r="A1006" s="2" t="s">
        <v>3434</v>
      </c>
      <c r="B1006">
        <v>1977</v>
      </c>
      <c r="C1006">
        <v>1998</v>
      </c>
      <c r="D1006" cm="1">
        <f t="array" ref="D10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6" s="40" t="str">
        <f>_xlfn.XLOOKUP(PROPERTIES[[#This Row],[VEHIDCODE]],CONTROL[VEHIDCODE],CONTROL[ENGLISH])</f>
        <v>Hitachi E1100</v>
      </c>
      <c r="F1006" t="s">
        <v>663</v>
      </c>
      <c r="G1006" s="40" t="str">
        <f>_xlfn.XLOOKUP(PROPERTIES[[#This Row],[COUNTRY]],COUNTRIES[COUNTRY_DESCRIPTION],COUNTRIES[COUNTRY_LABEL],"")</f>
        <v>MA</v>
      </c>
      <c r="H1006" t="str" cm="1">
        <f t="array" ref="H10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6" t="s">
        <v>17</v>
      </c>
      <c r="J1006">
        <v>0</v>
      </c>
      <c r="K1006">
        <v>8</v>
      </c>
      <c r="L1006">
        <v>0</v>
      </c>
      <c r="M1006" t="str" cm="1">
        <f t="array" ref="M10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6">
        <f>_xlfn.XLOOKUP("LOADINGSPEEDDEF_"&amp;PROPERTIES[[#This Row],[LOADINGSPEED]],LOADINGSPEEDDEF[TYPE],LOADINGSPEEDDEF[SPEED])</f>
        <v>20</v>
      </c>
      <c r="O1006" cm="1">
        <f t="array" ref="O10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6">
        <f>IF(ISNUMBER(SEARCH("passenger",PROPERTIES[[#This Row],[CARGODEF]])),1,0)</f>
        <v>0</v>
      </c>
      <c r="Q1006" s="23">
        <v>120</v>
      </c>
      <c r="R1006">
        <v>3822</v>
      </c>
      <c r="S1006">
        <v>0</v>
      </c>
      <c r="T1006">
        <v>0</v>
      </c>
      <c r="U1006">
        <v>0</v>
      </c>
      <c r="V1006">
        <v>100</v>
      </c>
      <c r="W1006">
        <v>0</v>
      </c>
      <c r="X1006">
        <v>0</v>
      </c>
      <c r="Y1006">
        <v>0</v>
      </c>
      <c r="Z1006" s="20">
        <v>313</v>
      </c>
      <c r="AA1006" s="20">
        <f>IFERROR(PROPERTIES[[#This Row],[TE_STARTING_KN]]/(PROPERTIES[[#This Row],[WEIGHT]]*9.81),0)</f>
        <v>0.26588515120625211</v>
      </c>
      <c r="AB1006" s="20">
        <v>0</v>
      </c>
      <c r="AC1006" s="16">
        <f>ROUND(IF(IFERROR(PROPERTIES[[#This Row],[TE_COEFFICIENT_CALC]],0)=0,PROPERTIES[[#This Row],[TE_COEFFICIENT_MANUAL]],PROPERTIES[[#This Row],[TE_COEFFICIENT_CALC]]),3)</f>
        <v>0.26600000000000001</v>
      </c>
      <c r="AD1006" s="39" cm="1">
        <f t="array" ref="AD10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6" s="26">
        <v>0</v>
      </c>
      <c r="AF1006" s="6">
        <v>0</v>
      </c>
      <c r="AG1006" t="s">
        <v>233</v>
      </c>
      <c r="AH1006" t="s">
        <v>229</v>
      </c>
      <c r="AI1006" t="s">
        <v>229</v>
      </c>
      <c r="AJ1006" s="2" t="s">
        <v>229</v>
      </c>
      <c r="AK1006" s="7" t="s">
        <v>244</v>
      </c>
      <c r="AL100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6" s="2" t="str">
        <f>SUBSTITUTE(SUBSTITUTE(PROPERTIES[[#This Row],[PURCHASECOST_VALUE]], "PURCHASECOST_", ""), "_VALUE", "")</f>
        <v>ELECTRICENGINE</v>
      </c>
      <c r="AO1006" s="44" t="b">
        <v>0</v>
      </c>
      <c r="AP1006" s="48" t="b">
        <v>0</v>
      </c>
      <c r="AQ1006" s="48" t="b">
        <v>0</v>
      </c>
      <c r="AR1006" s="48">
        <v>0</v>
      </c>
      <c r="AS1006" s="48" t="b">
        <v>0</v>
      </c>
      <c r="AT1006" s="7" t="b">
        <v>0</v>
      </c>
      <c r="AU1006" s="40" t="str" cm="1">
        <f t="array" ref="AU1006">_xlfn.XLOOKUP(PROPERTIES[[#This Row],[VEHIDCODE]],GRAPHICS_PROPERTIES[VEHIDCODE],GRAPHICS_PROPERTIES[TEMPLATE_ID]&amp;GRAPHICS_PROPERTIES[TEMPLATE_AMENDMENT_CODE])</f>
        <v>TPL_01A</v>
      </c>
    </row>
    <row r="1007" spans="1:47" x14ac:dyDescent="0.35">
      <c r="A1007" s="2" t="s">
        <v>3435</v>
      </c>
      <c r="B1007">
        <v>1970</v>
      </c>
      <c r="C1007">
        <v>1994</v>
      </c>
      <c r="D1007" cm="1">
        <f t="array" ref="D10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7" s="40" t="str">
        <f>_xlfn.XLOOKUP(PROPERTIES[[#This Row],[VEHIDCODE]],CONTROL[VEHIDCODE],CONTROL[ENGLISH])</f>
        <v>RDSO/CLW WAM-4</v>
      </c>
      <c r="F1007" t="s">
        <v>631</v>
      </c>
      <c r="G1007" s="40" t="str">
        <f>_xlfn.XLOOKUP(PROPERTIES[[#This Row],[COUNTRY]],COUNTRIES[COUNTRY_DESCRIPTION],COUNTRIES[COUNTRY_LABEL],"")</f>
        <v>IN</v>
      </c>
      <c r="H1007" t="str" cm="1">
        <f t="array" ref="H10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7" t="s">
        <v>17</v>
      </c>
      <c r="J1007">
        <v>0</v>
      </c>
      <c r="K1007">
        <v>8</v>
      </c>
      <c r="L1007">
        <v>0</v>
      </c>
      <c r="M1007" t="str" cm="1">
        <f t="array" ref="M10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7">
        <f>_xlfn.XLOOKUP("LOADINGSPEEDDEF_"&amp;PROPERTIES[[#This Row],[LOADINGSPEED]],LOADINGSPEEDDEF[TYPE],LOADINGSPEEDDEF[SPEED])</f>
        <v>20</v>
      </c>
      <c r="O1007" cm="1">
        <f t="array" ref="O10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7">
        <f>IF(ISNUMBER(SEARCH("passenger",PROPERTIES[[#This Row],[CARGODEF]])),1,0)</f>
        <v>0</v>
      </c>
      <c r="Q1007" s="23">
        <v>112.8</v>
      </c>
      <c r="R1007">
        <v>3640</v>
      </c>
      <c r="S1007">
        <v>0</v>
      </c>
      <c r="T1007">
        <v>0</v>
      </c>
      <c r="U1007">
        <v>0</v>
      </c>
      <c r="V1007">
        <v>120</v>
      </c>
      <c r="W1007">
        <v>0</v>
      </c>
      <c r="X1007">
        <v>0</v>
      </c>
      <c r="Y1007">
        <v>0</v>
      </c>
      <c r="Z1007" s="20">
        <v>331.9</v>
      </c>
      <c r="AA1007" s="20">
        <f>IFERROR(PROPERTIES[[#This Row],[TE_STARTING_KN]]/(PROPERTIES[[#This Row],[WEIGHT]]*9.81),0)</f>
        <v>0.29993637987001248</v>
      </c>
      <c r="AB1007" s="20">
        <v>0</v>
      </c>
      <c r="AC1007" s="16">
        <f>ROUND(IF(IFERROR(PROPERTIES[[#This Row],[TE_COEFFICIENT_CALC]],0)=0,PROPERTIES[[#This Row],[TE_COEFFICIENT_MANUAL]],PROPERTIES[[#This Row],[TE_COEFFICIENT_CALC]]),3)</f>
        <v>0.3</v>
      </c>
      <c r="AD1007" s="39" cm="1">
        <f t="array" ref="AD10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7" s="26">
        <v>0</v>
      </c>
      <c r="AF1007" s="6">
        <v>0</v>
      </c>
      <c r="AG1007" t="s">
        <v>238</v>
      </c>
      <c r="AH1007" t="s">
        <v>229</v>
      </c>
      <c r="AI1007" t="s">
        <v>229</v>
      </c>
      <c r="AJ1007" s="2" t="s">
        <v>229</v>
      </c>
      <c r="AK1007" s="7" t="s">
        <v>244</v>
      </c>
      <c r="AL100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7" s="2" t="str">
        <f>SUBSTITUTE(SUBSTITUTE(PROPERTIES[[#This Row],[PURCHASECOST_VALUE]], "PURCHASECOST_", ""), "_VALUE", "")</f>
        <v>ELECTRICENGINE</v>
      </c>
      <c r="AO1007" s="44" t="b">
        <v>0</v>
      </c>
      <c r="AP1007" s="48" t="b">
        <v>0</v>
      </c>
      <c r="AQ1007" s="48" t="b">
        <v>0</v>
      </c>
      <c r="AR1007" s="48">
        <v>0</v>
      </c>
      <c r="AS1007" s="48" t="b">
        <v>0</v>
      </c>
      <c r="AT1007" s="7" t="b">
        <v>0</v>
      </c>
      <c r="AU1007" s="40" t="str" cm="1">
        <f t="array" ref="AU1007">_xlfn.XLOOKUP(PROPERTIES[[#This Row],[VEHIDCODE]],GRAPHICS_PROPERTIES[VEHIDCODE],GRAPHICS_PROPERTIES[TEMPLATE_ID]&amp;GRAPHICS_PROPERTIES[TEMPLATE_AMENDMENT_CODE])</f>
        <v>TPL_01A</v>
      </c>
    </row>
    <row r="1008" spans="1:47" x14ac:dyDescent="0.35">
      <c r="A1008" s="2" t="s">
        <v>3436</v>
      </c>
      <c r="B1008">
        <v>1960</v>
      </c>
      <c r="C1008">
        <v>1980</v>
      </c>
      <c r="D1008" cm="1">
        <f t="array" ref="D10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8" s="40" t="str">
        <f>_xlfn.XLOOKUP(PROPERTIES[[#This Row],[VEHIDCODE]],CONTROL[VEHIDCODE],CONTROL[ENGLISH])</f>
        <v>Groupement 50 Hz WAM 1</v>
      </c>
      <c r="F1008" t="s">
        <v>631</v>
      </c>
      <c r="G1008" s="40" t="str">
        <f>_xlfn.XLOOKUP(PROPERTIES[[#This Row],[COUNTRY]],COUNTRIES[COUNTRY_DESCRIPTION],COUNTRIES[COUNTRY_LABEL],"")</f>
        <v>IN</v>
      </c>
      <c r="H1008" t="str" cm="1">
        <f t="array" ref="H10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8" t="s">
        <v>17</v>
      </c>
      <c r="J1008">
        <v>0</v>
      </c>
      <c r="K1008">
        <v>7</v>
      </c>
      <c r="L1008">
        <v>0</v>
      </c>
      <c r="M1008" t="str" cm="1">
        <f t="array" ref="M10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8">
        <f>_xlfn.XLOOKUP("LOADINGSPEEDDEF_"&amp;PROPERTIES[[#This Row],[LOADINGSPEED]],LOADINGSPEEDDEF[TYPE],LOADINGSPEEDDEF[SPEED])</f>
        <v>20</v>
      </c>
      <c r="O1008" cm="1">
        <f t="array" ref="O10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8">
        <f>IF(ISNUMBER(SEARCH("passenger",PROPERTIES[[#This Row],[CARGODEF]])),1,0)</f>
        <v>0</v>
      </c>
      <c r="Q1008" s="23">
        <v>74</v>
      </c>
      <c r="R1008">
        <v>3010</v>
      </c>
      <c r="S1008">
        <v>0</v>
      </c>
      <c r="T1008">
        <v>0</v>
      </c>
      <c r="U1008">
        <v>0</v>
      </c>
      <c r="V1008">
        <v>112</v>
      </c>
      <c r="W1008">
        <v>0</v>
      </c>
      <c r="X1008">
        <v>0</v>
      </c>
      <c r="Y1008">
        <v>0</v>
      </c>
      <c r="Z1008" s="20">
        <v>250</v>
      </c>
      <c r="AA1008" s="20">
        <f>IFERROR(PROPERTIES[[#This Row],[TE_STARTING_KN]]/(PROPERTIES[[#This Row],[WEIGHT]]*9.81),0)</f>
        <v>0.34438107832603243</v>
      </c>
      <c r="AB1008" s="20">
        <v>0</v>
      </c>
      <c r="AC1008" s="16">
        <f>ROUND(IF(IFERROR(PROPERTIES[[#This Row],[TE_COEFFICIENT_CALC]],0)=0,PROPERTIES[[#This Row],[TE_COEFFICIENT_MANUAL]],PROPERTIES[[#This Row],[TE_COEFFICIENT_CALC]]),3)</f>
        <v>0.34399999999999997</v>
      </c>
      <c r="AD1008" s="39" cm="1">
        <f t="array" ref="AD10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8" s="26">
        <v>0</v>
      </c>
      <c r="AF1008" s="6">
        <v>0</v>
      </c>
      <c r="AG1008" t="s">
        <v>238</v>
      </c>
      <c r="AH1008" t="s">
        <v>229</v>
      </c>
      <c r="AI1008" t="s">
        <v>229</v>
      </c>
      <c r="AJ1008" s="2" t="s">
        <v>229</v>
      </c>
      <c r="AK1008" s="7" t="s">
        <v>244</v>
      </c>
      <c r="AL100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8" s="2" t="str">
        <f>SUBSTITUTE(SUBSTITUTE(PROPERTIES[[#This Row],[PURCHASECOST_VALUE]], "PURCHASECOST_", ""), "_VALUE", "")</f>
        <v>ELECTRICENGINE</v>
      </c>
      <c r="AO1008" s="44" t="b">
        <v>0</v>
      </c>
      <c r="AP1008" s="48" t="b">
        <v>0</v>
      </c>
      <c r="AQ1008" s="48" t="b">
        <v>0</v>
      </c>
      <c r="AR1008" s="48">
        <v>0</v>
      </c>
      <c r="AS1008" s="48" t="b">
        <v>0</v>
      </c>
      <c r="AT1008" s="7" t="b">
        <v>0</v>
      </c>
      <c r="AU1008" s="40" t="str" cm="1">
        <f t="array" ref="AU1008">_xlfn.XLOOKUP(PROPERTIES[[#This Row],[VEHIDCODE]],GRAPHICS_PROPERTIES[VEHIDCODE],GRAPHICS_PROPERTIES[TEMPLATE_ID]&amp;GRAPHICS_PROPERTIES[TEMPLATE_AMENDMENT_CODE])</f>
        <v>TPL_01A</v>
      </c>
    </row>
    <row r="1009" spans="1:47" x14ac:dyDescent="0.35">
      <c r="A1009" s="2" t="s">
        <v>3437</v>
      </c>
      <c r="B1009">
        <v>1953</v>
      </c>
      <c r="C1009">
        <v>1975</v>
      </c>
      <c r="D1009" cm="1">
        <f t="array" ref="D10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9" s="40" t="str">
        <f>_xlfn.XLOOKUP(PROPERTIES[[#This Row],[VEHIDCODE]],CONTROL[VEHIDCODE],CONTROL[ENGLISH])</f>
        <v>Baldwin-Lima-Hamilton RF-615-E</v>
      </c>
      <c r="F1009" t="s">
        <v>538</v>
      </c>
      <c r="G1009" s="40" t="str">
        <f>_xlfn.XLOOKUP(PROPERTIES[[#This Row],[COUNTRY]],COUNTRIES[COUNTRY_DESCRIPTION],COUNTRIES[COUNTRY_LABEL],"")</f>
        <v>AR</v>
      </c>
      <c r="H1009" t="str" cm="1">
        <f t="array" ref="H10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09" t="s">
        <v>17</v>
      </c>
      <c r="J1009">
        <v>0</v>
      </c>
      <c r="K1009">
        <v>8</v>
      </c>
      <c r="L1009">
        <v>0</v>
      </c>
      <c r="M1009" t="str" cm="1">
        <f t="array" ref="M10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9">
        <f>_xlfn.XLOOKUP("LOADINGSPEEDDEF_"&amp;PROPERTIES[[#This Row],[LOADINGSPEED]],LOADINGSPEEDDEF[TYPE],LOADINGSPEEDDEF[SPEED])</f>
        <v>20</v>
      </c>
      <c r="O1009" cm="1">
        <f t="array" ref="O10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9">
        <f>IF(ISNUMBER(SEARCH("passenger",PROPERTIES[[#This Row],[CARGODEF]])),1,0)</f>
        <v>0</v>
      </c>
      <c r="Q1009" s="23">
        <v>105</v>
      </c>
      <c r="R1009">
        <v>1500</v>
      </c>
      <c r="S1009">
        <v>0</v>
      </c>
      <c r="T1009">
        <v>0</v>
      </c>
      <c r="U1009">
        <v>0</v>
      </c>
      <c r="V1009">
        <v>120</v>
      </c>
      <c r="W1009">
        <v>0</v>
      </c>
      <c r="X1009">
        <v>0</v>
      </c>
      <c r="Y1009">
        <v>0</v>
      </c>
      <c r="Z1009" s="20">
        <v>263</v>
      </c>
      <c r="AA1009" s="20">
        <f>IFERROR(PROPERTIES[[#This Row],[TE_STARTING_KN]]/(PROPERTIES[[#This Row],[WEIGHT]]*9.81),0)</f>
        <v>0.25532741129071407</v>
      </c>
      <c r="AB1009" s="20">
        <v>0</v>
      </c>
      <c r="AC1009" s="16">
        <f>ROUND(IF(IFERROR(PROPERTIES[[#This Row],[TE_COEFFICIENT_CALC]],0)=0,PROPERTIES[[#This Row],[TE_COEFFICIENT_MANUAL]],PROPERTIES[[#This Row],[TE_COEFFICIENT_CALC]]),3)</f>
        <v>0.255</v>
      </c>
      <c r="AD1009" s="39" cm="1">
        <f t="array" ref="AD10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9" s="26">
        <v>0</v>
      </c>
      <c r="AF1009" s="6">
        <v>0</v>
      </c>
      <c r="AG1009" t="s">
        <v>237</v>
      </c>
      <c r="AH1009" t="s">
        <v>229</v>
      </c>
      <c r="AI1009" t="s">
        <v>229</v>
      </c>
      <c r="AJ1009" s="2" t="s">
        <v>229</v>
      </c>
      <c r="AK1009" s="7" t="s">
        <v>244</v>
      </c>
      <c r="AL100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0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09" s="2" t="str">
        <f>SUBSTITUTE(SUBSTITUTE(PROPERTIES[[#This Row],[PURCHASECOST_VALUE]], "PURCHASECOST_", ""), "_VALUE", "")</f>
        <v>DIESELENGINE</v>
      </c>
      <c r="AO1009" s="44" t="b">
        <v>0</v>
      </c>
      <c r="AP1009" s="48" t="b">
        <v>0</v>
      </c>
      <c r="AQ1009" s="48" t="b">
        <v>0</v>
      </c>
      <c r="AR1009" s="48">
        <v>0</v>
      </c>
      <c r="AS1009" s="48" t="b">
        <v>0</v>
      </c>
      <c r="AT1009" s="7" t="b">
        <v>0</v>
      </c>
      <c r="AU1009" s="40" t="str" cm="1">
        <f t="array" ref="AU1009">_xlfn.XLOOKUP(PROPERTIES[[#This Row],[VEHIDCODE]],GRAPHICS_PROPERTIES[VEHIDCODE],GRAPHICS_PROPERTIES[TEMPLATE_ID]&amp;GRAPHICS_PROPERTIES[TEMPLATE_AMENDMENT_CODE])</f>
        <v>TPL_01A</v>
      </c>
    </row>
    <row r="1010" spans="1:47" x14ac:dyDescent="0.35">
      <c r="A1010" s="2" t="s">
        <v>3438</v>
      </c>
      <c r="B1010">
        <v>1955</v>
      </c>
      <c r="D1010" cm="1">
        <f t="array" ref="D10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0" s="40" t="str">
        <f>_xlfn.XLOOKUP(PROPERTIES[[#This Row],[VEHIDCODE]],CONTROL[VEHIDCODE],CONTROL[ENGLISH])</f>
        <v>EE/Dick, Kerr &amp; Co/Vulcan Foundry DE2</v>
      </c>
      <c r="F1010" t="s">
        <v>773</v>
      </c>
      <c r="G1010" s="40" t="str">
        <f>_xlfn.XLOOKUP(PROPERTIES[[#This Row],[COUNTRY]],COUNTRIES[COUNTRY_DESCRIPTION],COUNTRIES[COUNTRY_LABEL],"")</f>
        <v>ZW</v>
      </c>
      <c r="H1010" t="str" cm="1">
        <f t="array" ref="H10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10" t="s">
        <v>17</v>
      </c>
      <c r="J1010">
        <v>0</v>
      </c>
      <c r="K1010">
        <v>8</v>
      </c>
      <c r="L1010">
        <v>0</v>
      </c>
      <c r="M1010" t="str" cm="1">
        <f t="array" ref="M10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0">
        <f>_xlfn.XLOOKUP("LOADINGSPEEDDEF_"&amp;PROPERTIES[[#This Row],[LOADINGSPEED]],LOADINGSPEEDDEF[TYPE],LOADINGSPEEDDEF[SPEED])</f>
        <v>20</v>
      </c>
      <c r="O1010" cm="1">
        <f t="array" ref="O10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0">
        <f>IF(ISNUMBER(SEARCH("passenger",PROPERTIES[[#This Row],[CARGODEF]])),1,0)</f>
        <v>0</v>
      </c>
      <c r="Q1010" s="23">
        <v>113</v>
      </c>
      <c r="R1010">
        <v>1710</v>
      </c>
      <c r="S1010">
        <v>0</v>
      </c>
      <c r="T1010">
        <v>0</v>
      </c>
      <c r="U1010">
        <v>0</v>
      </c>
      <c r="V1010">
        <v>97</v>
      </c>
      <c r="W1010">
        <v>0</v>
      </c>
      <c r="X1010">
        <v>0</v>
      </c>
      <c r="Y1010">
        <v>0</v>
      </c>
      <c r="Z1010" s="20">
        <v>268.2</v>
      </c>
      <c r="AA1010" s="20">
        <f>IFERROR(PROPERTIES[[#This Row],[TE_STARTING_KN]]/(PROPERTIES[[#This Row],[WEIGHT]]*9.81),0)</f>
        <v>0.24194203133880002</v>
      </c>
      <c r="AB1010" s="20">
        <v>0</v>
      </c>
      <c r="AC1010" s="16">
        <f>ROUND(IF(IFERROR(PROPERTIES[[#This Row],[TE_COEFFICIENT_CALC]],0)=0,PROPERTIES[[#This Row],[TE_COEFFICIENT_MANUAL]],PROPERTIES[[#This Row],[TE_COEFFICIENT_CALC]]),3)</f>
        <v>0.24199999999999999</v>
      </c>
      <c r="AD1010" s="39" cm="1">
        <f t="array" ref="AD10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10" s="26">
        <v>0</v>
      </c>
      <c r="AF1010" s="6">
        <v>0</v>
      </c>
      <c r="AG1010" t="s">
        <v>233</v>
      </c>
      <c r="AH1010" t="s">
        <v>229</v>
      </c>
      <c r="AI1010" t="s">
        <v>229</v>
      </c>
      <c r="AJ1010" s="2" t="s">
        <v>229</v>
      </c>
      <c r="AK1010" s="7" t="s">
        <v>244</v>
      </c>
      <c r="AL101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1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10" s="2" t="str">
        <f>SUBSTITUTE(SUBSTITUTE(PROPERTIES[[#This Row],[PURCHASECOST_VALUE]], "PURCHASECOST_", ""), "_VALUE", "")</f>
        <v>DIESELENGINE</v>
      </c>
      <c r="AO1010" s="44" t="b">
        <v>0</v>
      </c>
      <c r="AP1010" s="48" t="b">
        <v>0</v>
      </c>
      <c r="AQ1010" s="48" t="b">
        <v>0</v>
      </c>
      <c r="AR1010" s="48">
        <v>0</v>
      </c>
      <c r="AS1010" s="48" t="b">
        <v>0</v>
      </c>
      <c r="AT1010" s="7" t="b">
        <v>0</v>
      </c>
      <c r="AU1010" s="40" t="str" cm="1">
        <f t="array" ref="AU1010">_xlfn.XLOOKUP(PROPERTIES[[#This Row],[VEHIDCODE]],GRAPHICS_PROPERTIES[VEHIDCODE],GRAPHICS_PROPERTIES[TEMPLATE_ID]&amp;GRAPHICS_PROPERTIES[TEMPLATE_AMENDMENT_CODE])</f>
        <v>TPL_01A</v>
      </c>
    </row>
    <row r="1011" spans="1:47" x14ac:dyDescent="0.35">
      <c r="A1011" t="s">
        <v>3487</v>
      </c>
      <c r="B1011">
        <v>2008</v>
      </c>
      <c r="D1011" cm="1">
        <f t="array" ref="D10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1" s="40" t="str">
        <f>_xlfn.XLOOKUP(PROPERTIES[[#This Row],[VEHIDCODE]],CONTROL[VEHIDCODE],CONTROL[ENGLISH])</f>
        <v>Ingeteam TD2000 series</v>
      </c>
      <c r="F1011" t="s">
        <v>595</v>
      </c>
      <c r="G1011" s="40" t="str">
        <f>_xlfn.XLOOKUP(PROPERTIES[[#This Row],[COUNTRY]],COUNTRIES[COUNTRY_DESCRIPTION],COUNTRIES[COUNTRY_LABEL],"")</f>
        <v>ES</v>
      </c>
      <c r="H1011" t="str" cm="1">
        <f t="array" ref="H10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11" t="s">
        <v>17</v>
      </c>
      <c r="J1011">
        <v>0</v>
      </c>
      <c r="K1011">
        <v>7</v>
      </c>
      <c r="L1011">
        <v>0</v>
      </c>
      <c r="M1011" t="str" cm="1">
        <f t="array" ref="M10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1">
        <f>_xlfn.XLOOKUP("LOADINGSPEEDDEF_"&amp;PROPERTIES[[#This Row],[LOADINGSPEED]],LOADINGSPEEDDEF[TYPE],LOADINGSPEEDDEF[SPEED])</f>
        <v>20</v>
      </c>
      <c r="O1011" t="str" cm="1">
        <f t="array" ref="O10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11">
        <f>IF(ISNUMBER(SEARCH("passenger",PROPERTIES[[#This Row],[CARGODEF]])),1,0)</f>
        <v>0</v>
      </c>
      <c r="Q1011" s="23">
        <v>62</v>
      </c>
      <c r="R1011">
        <v>1600</v>
      </c>
      <c r="S1011">
        <v>0</v>
      </c>
      <c r="T1011">
        <v>0</v>
      </c>
      <c r="U1011">
        <v>0</v>
      </c>
      <c r="V1011">
        <v>80</v>
      </c>
      <c r="W1011">
        <v>0</v>
      </c>
      <c r="X1011">
        <v>0</v>
      </c>
      <c r="Y1011">
        <v>0</v>
      </c>
      <c r="Z1011" s="20">
        <v>260</v>
      </c>
      <c r="AA1011" s="20">
        <f>IFERROR(PROPERTIES[[#This Row],[TE_STARTING_KN]]/(PROPERTIES[[#This Row],[WEIGHT]]*9.81),0)</f>
        <v>0.42747689980599124</v>
      </c>
      <c r="AB1011" s="20">
        <v>0</v>
      </c>
      <c r="AC1011" s="16">
        <f>ROUND(IF(IFERROR(PROPERTIES[[#This Row],[TE_COEFFICIENT_CALC]],0)=0,PROPERTIES[[#This Row],[TE_COEFFICIENT_MANUAL]],PROPERTIES[[#This Row],[TE_COEFFICIENT_CALC]]),3)</f>
        <v>0.42699999999999999</v>
      </c>
      <c r="AD1011" s="39" cm="1">
        <f t="array" ref="AD10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11" s="26">
        <v>0</v>
      </c>
      <c r="AF1011" s="6">
        <v>0</v>
      </c>
      <c r="AG1011" t="s">
        <v>237</v>
      </c>
      <c r="AH1011" t="s">
        <v>231</v>
      </c>
      <c r="AI1011" t="s">
        <v>229</v>
      </c>
      <c r="AJ1011" s="2" t="s">
        <v>229</v>
      </c>
      <c r="AK1011" s="7" t="s">
        <v>244</v>
      </c>
      <c r="AL1011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11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11" s="2" t="str">
        <f>SUBSTITUTE(SUBSTITUTE(PROPERTIES[[#This Row],[PURCHASECOST_VALUE]], "PURCHASECOST_", ""), "_VALUE", "")</f>
        <v>DIESELENGINE</v>
      </c>
      <c r="AO1011" s="44" t="b">
        <v>0</v>
      </c>
      <c r="AP1011" s="48" t="b">
        <v>0</v>
      </c>
      <c r="AQ1011" s="48" t="b">
        <v>0</v>
      </c>
      <c r="AR1011" s="48">
        <v>0</v>
      </c>
      <c r="AS1011" s="48" t="b">
        <v>0</v>
      </c>
      <c r="AT1011" s="7" t="b">
        <v>0</v>
      </c>
      <c r="AU1011" s="40" t="str" cm="1">
        <f t="array" ref="AU1011">_xlfn.XLOOKUP(PROPERTIES[[#This Row],[VEHIDCODE]],GRAPHICS_PROPERTIES[VEHIDCODE],GRAPHICS_PROPERTIES[TEMPLATE_ID]&amp;GRAPHICS_PROPERTIES[TEMPLATE_AMENDMENT_CODE])</f>
        <v>TPL_01A</v>
      </c>
    </row>
    <row r="1012" spans="1:47" x14ac:dyDescent="0.35">
      <c r="A1012" s="2" t="s">
        <v>3479</v>
      </c>
      <c r="B1012">
        <v>1952</v>
      </c>
      <c r="C1012">
        <v>1961</v>
      </c>
      <c r="D1012" cm="1">
        <f t="array" ref="D10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2" s="40" t="str">
        <f>_xlfn.XLOOKUP(PROPERTIES[[#This Row],[VEHIDCODE]],CONTROL[VEHIDCODE],CONTROL[ENGLISH])</f>
        <v>Tulloch 0-6-0DM 'W' Class</v>
      </c>
      <c r="F1012" t="s">
        <v>541</v>
      </c>
      <c r="G1012" s="40" t="str">
        <f>_xlfn.XLOOKUP(PROPERTIES[[#This Row],[COUNTRY]],COUNTRIES[COUNTRY_DESCRIPTION],COUNTRIES[COUNTRY_LABEL],"")</f>
        <v>AU</v>
      </c>
      <c r="H1012" t="str" cm="1">
        <f t="array" ref="H10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12" t="s">
        <v>17</v>
      </c>
      <c r="J1012">
        <v>0</v>
      </c>
      <c r="K1012">
        <v>5</v>
      </c>
      <c r="L1012">
        <v>0</v>
      </c>
      <c r="M1012" t="str" cm="1">
        <f t="array" ref="M10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2">
        <f>_xlfn.XLOOKUP("LOADINGSPEEDDEF_"&amp;PROPERTIES[[#This Row],[LOADINGSPEED]],LOADINGSPEEDDEF[TYPE],LOADINGSPEEDDEF[SPEED])</f>
        <v>20</v>
      </c>
      <c r="O1012" cm="1">
        <f t="array" ref="O10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2">
        <f>IF(ISNUMBER(SEARCH("passenger",PROPERTIES[[#This Row],[CARGODEF]])),1,0)</f>
        <v>0</v>
      </c>
      <c r="Q1012" s="23">
        <v>110</v>
      </c>
      <c r="R1012">
        <v>2700</v>
      </c>
      <c r="S1012">
        <v>0</v>
      </c>
      <c r="T1012">
        <v>0</v>
      </c>
      <c r="U1012">
        <v>0</v>
      </c>
      <c r="V1012">
        <v>113</v>
      </c>
      <c r="W1012">
        <v>0</v>
      </c>
      <c r="X1012">
        <v>0</v>
      </c>
      <c r="Y1012">
        <v>0</v>
      </c>
      <c r="Z1012" s="20">
        <v>267</v>
      </c>
      <c r="AA1012" s="19">
        <f>IFERROR(PROPERTIES[[#This Row],[TE_STARTING_KN]]/(PROPERTIES[[#This Row],[WEIGHT]]*9.81),0)</f>
        <v>0.24742841256602721</v>
      </c>
      <c r="AB1012" s="19">
        <v>0</v>
      </c>
      <c r="AC1012" s="16">
        <f>ROUND(IF(IFERROR(PROPERTIES[[#This Row],[TE_COEFFICIENT_CALC]],0)=0,PROPERTIES[[#This Row],[TE_COEFFICIENT_MANUAL]],PROPERTIES[[#This Row],[TE_COEFFICIENT_CALC]]),3)</f>
        <v>0.247</v>
      </c>
      <c r="AD1012" s="8" cm="1">
        <f t="array" ref="AD10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12" s="26">
        <v>0</v>
      </c>
      <c r="AF1012" s="6">
        <v>0</v>
      </c>
      <c r="AG1012" t="s">
        <v>232</v>
      </c>
      <c r="AH1012" t="s">
        <v>229</v>
      </c>
      <c r="AI1012" t="s">
        <v>229</v>
      </c>
      <c r="AJ1012" s="2" t="s">
        <v>229</v>
      </c>
      <c r="AK1012" s="7" t="s">
        <v>244</v>
      </c>
      <c r="AL101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1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12" s="2" t="str">
        <f>SUBSTITUTE(SUBSTITUTE(PROPERTIES[[#This Row],[PURCHASECOST_VALUE]], "PURCHASECOST_", ""), "_VALUE", "")</f>
        <v>DIESELENGINE</v>
      </c>
      <c r="AO1012" s="44" t="b">
        <v>0</v>
      </c>
      <c r="AP1012" s="48" t="b">
        <v>0</v>
      </c>
      <c r="AQ1012" s="48" t="b">
        <v>0</v>
      </c>
      <c r="AR1012" s="48">
        <v>0</v>
      </c>
      <c r="AS1012" s="48" t="b">
        <v>0</v>
      </c>
      <c r="AT1012" s="7" t="b">
        <v>0</v>
      </c>
      <c r="AU1012" s="40" t="str" cm="1">
        <f t="array" ref="AU1012">_xlfn.XLOOKUP(PROPERTIES[[#This Row],[VEHIDCODE]],GRAPHICS_PROPERTIES[VEHIDCODE],GRAPHICS_PROPERTIES[TEMPLATE_ID]&amp;GRAPHICS_PROPERTIES[TEMPLATE_AMENDMENT_CODE])</f>
        <v>TPL_01A</v>
      </c>
    </row>
    <row r="1013" spans="1:47" x14ac:dyDescent="0.35">
      <c r="A1013" s="2" t="s">
        <v>3491</v>
      </c>
      <c r="B1013">
        <v>1927</v>
      </c>
      <c r="C1013">
        <v>2015</v>
      </c>
      <c r="D1013" cm="1">
        <f t="array" ref="D10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3" s="40" t="str">
        <f>_xlfn.XLOOKUP(PROPERTIES[[#This Row],[VEHIDCODE]],CONTROL[VEHIDCODE],CONTROL[ENGLISH])</f>
        <v>GE 289A Boxcab</v>
      </c>
      <c r="F1013" t="s">
        <v>573</v>
      </c>
      <c r="G1013" s="40" t="str">
        <f>_xlfn.XLOOKUP(PROPERTIES[[#This Row],[COUNTRY]],COUNTRIES[COUNTRY_DESCRIPTION],COUNTRIES[COUNTRY_LABEL],"")</f>
        <v>CL</v>
      </c>
      <c r="H1013" t="str" cm="1">
        <f t="array" ref="H10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13" t="s">
        <v>17</v>
      </c>
      <c r="J1013">
        <v>0</v>
      </c>
      <c r="K1013">
        <v>6</v>
      </c>
      <c r="L1013">
        <v>0</v>
      </c>
      <c r="M1013" t="str" cm="1">
        <f t="array" ref="M10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3">
        <f>_xlfn.XLOOKUP("LOADINGSPEEDDEF_"&amp;PROPERTIES[[#This Row],[LOADINGSPEED]],LOADINGSPEEDDEF[TYPE],LOADINGSPEEDDEF[SPEED])</f>
        <v>20</v>
      </c>
      <c r="O1013" cm="1">
        <f t="array" ref="O10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3">
        <f>IF(ISNUMBER(SEARCH("passenger",PROPERTIES[[#This Row],[CARGODEF]])),1,0)</f>
        <v>0</v>
      </c>
      <c r="Q1013">
        <v>67</v>
      </c>
      <c r="R1013">
        <v>970</v>
      </c>
      <c r="S1013">
        <v>0</v>
      </c>
      <c r="T1013">
        <v>0</v>
      </c>
      <c r="U1013">
        <v>0</v>
      </c>
      <c r="V1013">
        <v>25</v>
      </c>
      <c r="W1013">
        <v>0</v>
      </c>
      <c r="X1013">
        <v>0</v>
      </c>
      <c r="Y1013">
        <v>0</v>
      </c>
      <c r="Z1013" s="20">
        <v>250</v>
      </c>
      <c r="AA1013" s="19">
        <f>IFERROR(PROPERTIES[[#This Row],[TE_STARTING_KN]]/(PROPERTIES[[#This Row],[WEIGHT]]*9.81),0)</f>
        <v>0.38036119098696125</v>
      </c>
      <c r="AB1013" s="20">
        <v>0</v>
      </c>
      <c r="AC1013" s="16">
        <f>ROUND(IF(IFERROR(PROPERTIES[[#This Row],[TE_COEFFICIENT_CALC]],0)=0,PROPERTIES[[#This Row],[TE_COEFFICIENT_MANUAL]],PROPERTIES[[#This Row],[TE_COEFFICIENT_CALC]]),3)</f>
        <v>0.38</v>
      </c>
      <c r="AD1013" s="39" cm="1">
        <f t="array" ref="AD10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88</v>
      </c>
      <c r="AE1013" s="26">
        <v>0</v>
      </c>
      <c r="AF1013" s="6">
        <v>0</v>
      </c>
      <c r="AG1013" t="s">
        <v>237</v>
      </c>
      <c r="AH1013" t="s">
        <v>229</v>
      </c>
      <c r="AI1013" t="s">
        <v>229</v>
      </c>
      <c r="AJ1013" s="2" t="s">
        <v>229</v>
      </c>
      <c r="AK1013" s="7" t="s">
        <v>244</v>
      </c>
      <c r="AL101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1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13" s="2" t="str">
        <f>SUBSTITUTE(SUBSTITUTE(PROPERTIES[[#This Row],[PURCHASECOST_VALUE]], "PURCHASECOST_", ""), "_VALUE", "")</f>
        <v>ELECTRICENGINE</v>
      </c>
      <c r="AO1013" s="44" t="b">
        <v>0</v>
      </c>
      <c r="AP1013" s="48" t="b">
        <v>0</v>
      </c>
      <c r="AQ1013" s="48" t="b">
        <v>0</v>
      </c>
      <c r="AR1013" s="48">
        <v>0</v>
      </c>
      <c r="AS1013" s="48" t="b">
        <v>0</v>
      </c>
      <c r="AT1013" s="7" t="b">
        <v>0</v>
      </c>
      <c r="AU1013" s="40" t="str" cm="1">
        <f t="array" ref="AU1013">_xlfn.XLOOKUP(PROPERTIES[[#This Row],[VEHIDCODE]],GRAPHICS_PROPERTIES[VEHIDCODE],GRAPHICS_PROPERTIES[TEMPLATE_ID]&amp;GRAPHICS_PROPERTIES[TEMPLATE_AMENDMENT_CODE])</f>
        <v>TPL_01A</v>
      </c>
    </row>
    <row r="1014" spans="1:47" x14ac:dyDescent="0.35">
      <c r="A1014" s="2" t="s">
        <v>3494</v>
      </c>
      <c r="B1014">
        <v>1984</v>
      </c>
      <c r="D1014" cm="1">
        <f t="array" ref="D10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4" s="40" t="str">
        <f>_xlfn.XLOOKUP(PROPERTIES[[#This Row],[VEHIDCODE]],CONTROL[VEHIDCODE],CONTROL[ENGLISH])</f>
        <v>Alsthom EC 386</v>
      </c>
      <c r="F1014" t="s">
        <v>573</v>
      </c>
      <c r="G1014" s="40" t="str">
        <f>_xlfn.XLOOKUP(PROPERTIES[[#This Row],[COUNTRY]],COUNTRIES[COUNTRY_DESCRIPTION],COUNTRIES[COUNTRY_LABEL],"")</f>
        <v>CL</v>
      </c>
      <c r="H1014" t="str" cm="1">
        <f t="array" ref="H10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14" t="s">
        <v>17</v>
      </c>
      <c r="J1014">
        <v>0</v>
      </c>
      <c r="K1014">
        <v>8</v>
      </c>
      <c r="L1014">
        <v>0</v>
      </c>
      <c r="M1014" t="str" cm="1">
        <f t="array" ref="M10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4">
        <f>_xlfn.XLOOKUP("LOADINGSPEEDDEF_"&amp;PROPERTIES[[#This Row],[LOADINGSPEED]],LOADINGSPEEDDEF[TYPE],LOADINGSPEEDDEF[SPEED])</f>
        <v>20</v>
      </c>
      <c r="O1014" cm="1">
        <f t="array" ref="O10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4">
        <f>IF(ISNUMBER(SEARCH("passenger",PROPERTIES[[#This Row],[CARGODEF]])),1,0)</f>
        <v>0</v>
      </c>
      <c r="Q1014" s="23">
        <v>98</v>
      </c>
      <c r="R1014">
        <f>INT(2540*1.341)</f>
        <v>3406</v>
      </c>
      <c r="S1014">
        <v>0</v>
      </c>
      <c r="T1014">
        <v>0</v>
      </c>
      <c r="U1014">
        <v>0</v>
      </c>
      <c r="V1014">
        <v>90</v>
      </c>
      <c r="W1014">
        <v>0</v>
      </c>
      <c r="X1014">
        <v>0</v>
      </c>
      <c r="Y1014">
        <v>0</v>
      </c>
      <c r="Z1014" s="20">
        <v>0</v>
      </c>
      <c r="AA1014" s="20">
        <f>IFERROR(PROPERTIES[[#This Row],[TE_STARTING_KN]]/(PROPERTIES[[#This Row],[WEIGHT]]*9.81),0)</f>
        <v>0</v>
      </c>
      <c r="AB1014" s="20">
        <v>0.25</v>
      </c>
      <c r="AC1014" s="16">
        <f>ROUND(IF(IFERROR(PROPERTIES[[#This Row],[TE_COEFFICIENT_CALC]],0)=0,PROPERTIES[[#This Row],[TE_COEFFICIENT_MANUAL]],PROPERTIES[[#This Row],[TE_COEFFICIENT_CALC]]),3)</f>
        <v>0.25</v>
      </c>
      <c r="AD1014" s="39" cm="1">
        <f t="array" ref="AD10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14" s="26">
        <v>0</v>
      </c>
      <c r="AF1014" s="6">
        <v>0</v>
      </c>
      <c r="AG1014" t="s">
        <v>237</v>
      </c>
      <c r="AH1014" t="s">
        <v>229</v>
      </c>
      <c r="AI1014" t="s">
        <v>229</v>
      </c>
      <c r="AJ1014" s="2" t="s">
        <v>229</v>
      </c>
      <c r="AK1014" s="7" t="s">
        <v>244</v>
      </c>
      <c r="AL101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1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14" s="2" t="str">
        <f>SUBSTITUTE(SUBSTITUTE(PROPERTIES[[#This Row],[PURCHASECOST_VALUE]], "PURCHASECOST_", ""), "_VALUE", "")</f>
        <v>ELECTRICENGINE</v>
      </c>
      <c r="AO1014" s="44" t="b">
        <v>0</v>
      </c>
      <c r="AP1014" s="48" t="b">
        <v>0</v>
      </c>
      <c r="AQ1014" s="48" t="b">
        <v>0</v>
      </c>
      <c r="AR1014" s="48">
        <v>0</v>
      </c>
      <c r="AS1014" s="48" t="b">
        <v>0</v>
      </c>
      <c r="AT1014" s="7" t="b">
        <v>0</v>
      </c>
      <c r="AU1014" s="40" t="str" cm="1">
        <f t="array" ref="AU1014">_xlfn.XLOOKUP(PROPERTIES[[#This Row],[VEHIDCODE]],GRAPHICS_PROPERTIES[VEHIDCODE],GRAPHICS_PROPERTIES[TEMPLATE_ID]&amp;GRAPHICS_PROPERTIES[TEMPLATE_AMENDMENT_CODE])</f>
        <v>TPL_01A</v>
      </c>
    </row>
    <row r="1015" spans="1:47" x14ac:dyDescent="0.35">
      <c r="A1015" t="s">
        <v>3499</v>
      </c>
      <c r="B1015">
        <v>2008</v>
      </c>
      <c r="C1015">
        <v>2016</v>
      </c>
      <c r="D1015" cm="1">
        <f t="array" ref="D10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5" s="40" t="str">
        <f>_xlfn.XLOOKUP(PROPERTIES[[#This Row],[VEHIDCODE]],CONTROL[VEHIDCODE],CONTROL[ENGLISH])</f>
        <v>Chesta Casagrande E650</v>
      </c>
      <c r="F1015" t="s">
        <v>573</v>
      </c>
      <c r="G1015" s="40" t="str">
        <f>_xlfn.XLOOKUP(PROPERTIES[[#This Row],[COUNTRY]],COUNTRIES[COUNTRY_DESCRIPTION],COUNTRIES[COUNTRY_LABEL],"")</f>
        <v>CL</v>
      </c>
      <c r="H1015" t="str" cm="1">
        <f t="array" ref="H10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15" t="s">
        <v>17</v>
      </c>
      <c r="J1015">
        <v>0</v>
      </c>
      <c r="K1015">
        <v>6</v>
      </c>
      <c r="L1015">
        <v>0</v>
      </c>
      <c r="M1015" t="str" cm="1">
        <f t="array" ref="M10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5">
        <f>_xlfn.XLOOKUP("LOADINGSPEEDDEF_"&amp;PROPERTIES[[#This Row],[LOADINGSPEED]],LOADINGSPEEDDEF[TYPE],LOADINGSPEEDDEF[SPEED])</f>
        <v>20</v>
      </c>
      <c r="O1015" t="str" cm="1">
        <f t="array" ref="O10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15">
        <f>IF(ISNUMBER(SEARCH("passenger",PROPERTIES[[#This Row],[CARGODEF]])),1,0)</f>
        <v>0</v>
      </c>
      <c r="Q1015" s="23">
        <v>60</v>
      </c>
      <c r="R1015">
        <v>1140</v>
      </c>
      <c r="S1015">
        <v>0</v>
      </c>
      <c r="T1015">
        <v>0</v>
      </c>
      <c r="U1015">
        <v>0</v>
      </c>
      <c r="V1015">
        <v>30</v>
      </c>
      <c r="W1015">
        <v>0</v>
      </c>
      <c r="X1015">
        <v>0</v>
      </c>
      <c r="Y1015">
        <v>0</v>
      </c>
      <c r="Z1015" s="20">
        <v>0</v>
      </c>
      <c r="AA1015" s="20">
        <f>IFERROR(PROPERTIES[[#This Row],[TE_STARTING_KN]]/(PROPERTIES[[#This Row],[WEIGHT]]*9.81),0)</f>
        <v>0</v>
      </c>
      <c r="AB1015" s="20">
        <v>0.25</v>
      </c>
      <c r="AC1015" s="16">
        <f>ROUND(IF(IFERROR(PROPERTIES[[#This Row],[TE_COEFFICIENT_CALC]],0)=0,PROPERTIES[[#This Row],[TE_COEFFICIENT_MANUAL]],PROPERTIES[[#This Row],[TE_COEFFICIENT_CALC]]),3)</f>
        <v>0.25</v>
      </c>
      <c r="AD1015" s="39" cm="1">
        <f t="array" ref="AD10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15" s="26">
        <v>0</v>
      </c>
      <c r="AF1015" s="6">
        <v>0</v>
      </c>
      <c r="AG1015" t="s">
        <v>237</v>
      </c>
      <c r="AH1015" t="s">
        <v>229</v>
      </c>
      <c r="AI1015" t="s">
        <v>229</v>
      </c>
      <c r="AJ1015" s="2" t="s">
        <v>229</v>
      </c>
      <c r="AK1015" s="7" t="s">
        <v>244</v>
      </c>
      <c r="AL101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1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15" s="2" t="str">
        <f>SUBSTITUTE(SUBSTITUTE(PROPERTIES[[#This Row],[PURCHASECOST_VALUE]], "PURCHASECOST_", ""), "_VALUE", "")</f>
        <v>ELECTRICENGINE</v>
      </c>
      <c r="AO1015" s="44" t="b">
        <v>0</v>
      </c>
      <c r="AP1015" s="48" t="b">
        <v>0</v>
      </c>
      <c r="AQ1015" s="48" t="b">
        <v>0</v>
      </c>
      <c r="AR1015" s="48">
        <v>0</v>
      </c>
      <c r="AS1015" s="48" t="b">
        <v>0</v>
      </c>
      <c r="AT1015" s="7" t="b">
        <v>0</v>
      </c>
      <c r="AU1015" s="40" t="str" cm="1">
        <f t="array" ref="AU1015">_xlfn.XLOOKUP(PROPERTIES[[#This Row],[VEHIDCODE]],GRAPHICS_PROPERTIES[VEHIDCODE],GRAPHICS_PROPERTIES[TEMPLATE_ID]&amp;GRAPHICS_PROPERTIES[TEMPLATE_AMENDMENT_CODE])</f>
        <v>TPL_01A</v>
      </c>
    </row>
    <row r="1016" spans="1:47" x14ac:dyDescent="0.35">
      <c r="A1016" s="2" t="s">
        <v>3492</v>
      </c>
      <c r="B1016">
        <v>1961</v>
      </c>
      <c r="D1016" cm="1">
        <f t="array" ref="D10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6" s="40" t="str">
        <f>_xlfn.XLOOKUP(PROPERTIES[[#This Row],[VEHIDCODE]],CONTROL[VEHIDCODE],CONTROL[ENGLISH])</f>
        <v>Breda Marelli E32</v>
      </c>
      <c r="F1016" t="s">
        <v>573</v>
      </c>
      <c r="G1016" s="40" t="str">
        <f>_xlfn.XLOOKUP(PROPERTIES[[#This Row],[COUNTRY]],COUNTRIES[COUNTRY_DESCRIPTION],COUNTRIES[COUNTRY_LABEL],"")</f>
        <v>CL</v>
      </c>
      <c r="H1016" t="str" cm="1">
        <f t="array" ref="H10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16" t="s">
        <v>17</v>
      </c>
      <c r="J1016">
        <v>0</v>
      </c>
      <c r="K1016">
        <v>8</v>
      </c>
      <c r="L1016">
        <v>0</v>
      </c>
      <c r="M1016" t="str" cm="1">
        <f t="array" ref="M10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6">
        <f>_xlfn.XLOOKUP("LOADINGSPEEDDEF_"&amp;PROPERTIES[[#This Row],[LOADINGSPEED]],LOADINGSPEEDDEF[TYPE],LOADINGSPEEDDEF[SPEED])</f>
        <v>20</v>
      </c>
      <c r="O1016" cm="1">
        <f t="array" ref="O10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6">
        <f>IF(ISNUMBER(SEARCH("passenger",PROPERTIES[[#This Row],[CARGODEF]])),1,0)</f>
        <v>0</v>
      </c>
      <c r="Q1016" s="23">
        <v>136</v>
      </c>
      <c r="R1016">
        <v>3600</v>
      </c>
      <c r="S1016">
        <v>0</v>
      </c>
      <c r="T1016">
        <v>0</v>
      </c>
      <c r="U1016">
        <v>0</v>
      </c>
      <c r="V1016">
        <v>130</v>
      </c>
      <c r="W1016">
        <v>0</v>
      </c>
      <c r="X1016">
        <v>0</v>
      </c>
      <c r="Y1016">
        <v>0</v>
      </c>
      <c r="Z1016" s="20">
        <v>0</v>
      </c>
      <c r="AA1016" s="20">
        <f>IFERROR(PROPERTIES[[#This Row],[TE_STARTING_KN]]/(PROPERTIES[[#This Row],[WEIGHT]]*9.81),0)</f>
        <v>0</v>
      </c>
      <c r="AB1016" s="20">
        <v>0.25</v>
      </c>
      <c r="AC1016" s="16">
        <f>ROUND(IF(IFERROR(PROPERTIES[[#This Row],[TE_COEFFICIENT_CALC]],0)=0,PROPERTIES[[#This Row],[TE_COEFFICIENT_MANUAL]],PROPERTIES[[#This Row],[TE_COEFFICIENT_CALC]]),3)</f>
        <v>0.25</v>
      </c>
      <c r="AD1016" s="39" cm="1">
        <f t="array" ref="AD10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16" s="26">
        <v>0</v>
      </c>
      <c r="AF1016" s="6">
        <v>0</v>
      </c>
      <c r="AG1016" t="s">
        <v>237</v>
      </c>
      <c r="AH1016" t="s">
        <v>229</v>
      </c>
      <c r="AI1016" t="s">
        <v>229</v>
      </c>
      <c r="AJ1016" s="2" t="s">
        <v>229</v>
      </c>
      <c r="AK1016" s="7" t="s">
        <v>244</v>
      </c>
      <c r="AL101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1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16" s="2" t="str">
        <f>SUBSTITUTE(SUBSTITUTE(PROPERTIES[[#This Row],[PURCHASECOST_VALUE]], "PURCHASECOST_", ""), "_VALUE", "")</f>
        <v>ELECTRICENGINE</v>
      </c>
      <c r="AO1016" s="44" t="b">
        <v>0</v>
      </c>
      <c r="AP1016" s="48" t="b">
        <v>0</v>
      </c>
      <c r="AQ1016" s="48" t="b">
        <v>0</v>
      </c>
      <c r="AR1016" s="48">
        <v>0</v>
      </c>
      <c r="AS1016" s="48" t="b">
        <v>0</v>
      </c>
      <c r="AT1016" s="7" t="b">
        <v>0</v>
      </c>
      <c r="AU1016" s="40" t="str" cm="1">
        <f t="array" ref="AU1016">_xlfn.XLOOKUP(PROPERTIES[[#This Row],[VEHIDCODE]],GRAPHICS_PROPERTIES[VEHIDCODE],GRAPHICS_PROPERTIES[TEMPLATE_ID]&amp;GRAPHICS_PROPERTIES[TEMPLATE_AMENDMENT_CODE])</f>
        <v>TPL_01A</v>
      </c>
    </row>
    <row r="1017" spans="1:47" x14ac:dyDescent="0.35">
      <c r="A1017" s="2" t="s">
        <v>3502</v>
      </c>
      <c r="B1017">
        <v>2011</v>
      </c>
      <c r="D1017" cm="1">
        <f t="array" ref="D10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7" s="40" t="str">
        <f>_xlfn.XLOOKUP(PROPERTIES[[#This Row],[VEHIDCODE]],CONTROL[VEHIDCODE],CONTROL[ENGLISH])</f>
        <v>GE ES58ACi</v>
      </c>
      <c r="F1017" t="s">
        <v>558</v>
      </c>
      <c r="G1017" s="40" t="str">
        <f>_xlfn.XLOOKUP(PROPERTIES[[#This Row],[COUNTRY]],COUNTRIES[COUNTRY_DESCRIPTION],COUNTRIES[COUNTRY_LABEL],"")</f>
        <v>BR</v>
      </c>
      <c r="H1017" t="str" cm="1">
        <f t="array" ref="H10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17" t="s">
        <v>17</v>
      </c>
      <c r="J1017">
        <v>0</v>
      </c>
      <c r="K1017">
        <v>8</v>
      </c>
      <c r="L1017">
        <v>0</v>
      </c>
      <c r="M1017" t="str" cm="1">
        <f t="array" ref="M10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7">
        <f>_xlfn.XLOOKUP("LOADINGSPEEDDEF_"&amp;PROPERTIES[[#This Row],[LOADINGSPEED]],LOADINGSPEEDDEF[TYPE],LOADINGSPEEDDEF[SPEED])</f>
        <v>20</v>
      </c>
      <c r="O1017" t="str" cm="1">
        <f t="array" ref="O10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17">
        <f>IF(ISNUMBER(SEARCH("passenger",PROPERTIES[[#This Row],[CARGODEF]])),1,0)</f>
        <v>0</v>
      </c>
      <c r="Q1017" s="23">
        <v>160</v>
      </c>
      <c r="R1017">
        <v>6200</v>
      </c>
      <c r="S1017">
        <v>0</v>
      </c>
      <c r="T1017">
        <v>0</v>
      </c>
      <c r="U1017">
        <v>0</v>
      </c>
      <c r="V1017">
        <v>70</v>
      </c>
      <c r="W1017">
        <v>0</v>
      </c>
      <c r="X1017">
        <v>0</v>
      </c>
      <c r="Y1017">
        <v>0</v>
      </c>
      <c r="Z1017" s="20">
        <v>907</v>
      </c>
      <c r="AA1017" s="20">
        <f>IFERROR(PROPERTIES[[#This Row],[TE_STARTING_KN]]/(PROPERTIES[[#This Row],[WEIGHT]]*9.81),0)</f>
        <v>0.5778542303771661</v>
      </c>
      <c r="AB1017" s="20">
        <v>0</v>
      </c>
      <c r="AC1017" s="16">
        <f>ROUND(IF(IFERROR(PROPERTIES[[#This Row],[TE_COEFFICIENT_CALC]],0)=0,PROPERTIES[[#This Row],[TE_COEFFICIENT_MANUAL]],PROPERTIES[[#This Row],[TE_COEFFICIENT_CALC]]),3)</f>
        <v>0.57799999999999996</v>
      </c>
      <c r="AD1017" s="39" cm="1">
        <f t="array" ref="AD10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17" s="26">
        <v>0</v>
      </c>
      <c r="AF1017" s="6">
        <v>0</v>
      </c>
      <c r="AG1017" t="s">
        <v>237</v>
      </c>
      <c r="AH1017" t="s">
        <v>229</v>
      </c>
      <c r="AI1017" t="s">
        <v>229</v>
      </c>
      <c r="AJ1017" s="2" t="s">
        <v>229</v>
      </c>
      <c r="AK1017" s="7" t="s">
        <v>244</v>
      </c>
      <c r="AL101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1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17" s="2" t="str">
        <f>SUBSTITUTE(SUBSTITUTE(PROPERTIES[[#This Row],[PURCHASECOST_VALUE]], "PURCHASECOST_", ""), "_VALUE", "")</f>
        <v>DIESELENGINE</v>
      </c>
      <c r="AO1017" s="44" t="b">
        <v>0</v>
      </c>
      <c r="AP1017" s="48" t="b">
        <v>0</v>
      </c>
      <c r="AQ1017" s="48" t="b">
        <v>0</v>
      </c>
      <c r="AR1017" s="48">
        <v>0</v>
      </c>
      <c r="AS1017" s="48" t="b">
        <v>0</v>
      </c>
      <c r="AT1017" s="7" t="b">
        <v>0</v>
      </c>
      <c r="AU1017" s="40" t="str" cm="1">
        <f t="array" ref="AU1017">_xlfn.XLOOKUP(PROPERTIES[[#This Row],[VEHIDCODE]],GRAPHICS_PROPERTIES[VEHIDCODE],GRAPHICS_PROPERTIES[TEMPLATE_ID]&amp;GRAPHICS_PROPERTIES[TEMPLATE_AMENDMENT_CODE])</f>
        <v>TPL_01A</v>
      </c>
    </row>
    <row r="1018" spans="1:47" x14ac:dyDescent="0.35">
      <c r="A1018" s="2" t="s">
        <v>3703</v>
      </c>
      <c r="B1018">
        <v>1983</v>
      </c>
      <c r="C1018">
        <v>1995</v>
      </c>
      <c r="D1018" cm="1">
        <f t="array" ref="D10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8" s="40" t="str">
        <f>_xlfn.XLOOKUP(PROPERTIES[[#This Row],[VEHIDCODE]],CONTROL[VEHIDCODE],CONTROL[ENGLISH])</f>
        <v>Ganz-MAVAG Ikarus 725.00</v>
      </c>
      <c r="F1018" t="s">
        <v>626</v>
      </c>
      <c r="G1018" s="40" t="str">
        <f>_xlfn.XLOOKUP(PROPERTIES[[#This Row],[COUNTRY]],COUNTRIES[COUNTRY_DESCRIPTION],COUNTRIES[COUNTRY_LABEL],"")</f>
        <v>HU</v>
      </c>
      <c r="H1018" t="str" cm="1">
        <f t="array" ref="H10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18" t="s">
        <v>22</v>
      </c>
      <c r="J1018">
        <f>86/2</f>
        <v>43</v>
      </c>
      <c r="K1018">
        <v>7</v>
      </c>
      <c r="L1018">
        <v>0</v>
      </c>
      <c r="M1018" t="str" cm="1">
        <f t="array" ref="M10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18">
        <f>_xlfn.XLOOKUP("LOADINGSPEEDDEF_"&amp;PROPERTIES[[#This Row],[LOADINGSPEED]],LOADINGSPEEDDEF[TYPE],LOADINGSPEEDDEF[SPEED])</f>
        <v>60</v>
      </c>
      <c r="O1018" cm="1">
        <f t="array" ref="O10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8">
        <f>IF(ISNUMBER(SEARCH("passenger",PROPERTIES[[#This Row],[CARGODEF]])),1,0)</f>
        <v>1</v>
      </c>
      <c r="Q1018" s="23">
        <v>32</v>
      </c>
      <c r="R1018">
        <v>250</v>
      </c>
      <c r="S1018">
        <v>0</v>
      </c>
      <c r="T1018">
        <v>0</v>
      </c>
      <c r="U1018">
        <v>0</v>
      </c>
      <c r="V1018">
        <v>100</v>
      </c>
      <c r="W1018">
        <v>0</v>
      </c>
      <c r="X1018">
        <v>0</v>
      </c>
      <c r="Y1018">
        <v>0</v>
      </c>
      <c r="Z1018" s="20">
        <v>0</v>
      </c>
      <c r="AA1018" s="20">
        <f>IFERROR(PROPERTIES[[#This Row],[TE_STARTING_KN]]/(PROPERTIES[[#This Row],[WEIGHT]]*9.81),0)</f>
        <v>0</v>
      </c>
      <c r="AB1018" s="20">
        <v>0.2</v>
      </c>
      <c r="AC1018" s="16">
        <f>ROUND(IF(IFERROR(PROPERTIES[[#This Row],[TE_COEFFICIENT_CALC]],0)=0,PROPERTIES[[#This Row],[TE_COEFFICIENT_MANUAL]],PROPERTIES[[#This Row],[TE_COEFFICIENT_CALC]]),3)</f>
        <v>0.2</v>
      </c>
      <c r="AD1018" s="39" cm="1">
        <f t="array" ref="AD10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18" s="26">
        <v>0</v>
      </c>
      <c r="AF1018" s="6">
        <v>7</v>
      </c>
      <c r="AG1018" s="6" t="s">
        <v>1948</v>
      </c>
      <c r="AH1018" t="s">
        <v>229</v>
      </c>
      <c r="AI1018" t="s">
        <v>229</v>
      </c>
      <c r="AJ1018" s="2" t="s">
        <v>229</v>
      </c>
      <c r="AK1018" s="7" t="s">
        <v>244</v>
      </c>
      <c r="AL101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01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018" s="2" t="str">
        <f>SUBSTITUTE(SUBSTITUTE(PROPERTIES[[#This Row],[PURCHASECOST_VALUE]], "PURCHASECOST_", ""), "_VALUE", "")</f>
        <v>DIESELRAILBUS</v>
      </c>
      <c r="AO1018" s="44" t="b">
        <v>0</v>
      </c>
      <c r="AP1018" s="48" t="b">
        <v>0</v>
      </c>
      <c r="AQ1018" s="48" t="b">
        <v>0</v>
      </c>
      <c r="AR1018" s="48">
        <v>0</v>
      </c>
      <c r="AS1018" s="48" t="b">
        <v>0</v>
      </c>
      <c r="AT1018" s="7" t="b">
        <v>0</v>
      </c>
      <c r="AU1018" s="40" t="str" cm="1">
        <f t="array" ref="AU1018">_xlfn.XLOOKUP(PROPERTIES[[#This Row],[VEHIDCODE]],GRAPHICS_PROPERTIES[VEHIDCODE],GRAPHICS_PROPERTIES[TEMPLATE_ID]&amp;GRAPHICS_PROPERTIES[TEMPLATE_AMENDMENT_CODE])</f>
        <v>TPL_03E</v>
      </c>
    </row>
    <row r="1019" spans="1:47" x14ac:dyDescent="0.35">
      <c r="A1019" s="2" t="s">
        <v>3558</v>
      </c>
      <c r="B1019">
        <v>1998</v>
      </c>
      <c r="D1019" cm="1">
        <f t="array" ref="D10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19" s="40" t="str">
        <f>_xlfn.XLOOKUP(PROPERTIES[[#This Row],[VEHIDCODE]],CONTROL[VEHIDCODE],CONTROL[ENGLISH])</f>
        <v>Alstom Metropolis</v>
      </c>
      <c r="F1019" t="s">
        <v>602</v>
      </c>
      <c r="G1019" s="40" t="str">
        <f>_xlfn.XLOOKUP(PROPERTIES[[#This Row],[COUNTRY]],COUNTRIES[COUNTRY_DESCRIPTION],COUNTRIES[COUNTRY_LABEL],"")</f>
        <v>FR</v>
      </c>
      <c r="H1019" t="str" cm="1">
        <f t="array" ref="H10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1019" t="s">
        <v>22</v>
      </c>
      <c r="J1019">
        <v>150</v>
      </c>
      <c r="K1019">
        <v>8</v>
      </c>
      <c r="M1019" t="str" cm="1">
        <f t="array" ref="M10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1019">
        <f>_xlfn.XLOOKUP("LOADINGSPEEDDEF_"&amp;PROPERTIES[[#This Row],[LOADINGSPEED]],LOADINGSPEEDDEF[TYPE],LOADINGSPEEDDEF[SPEED])</f>
        <v>120</v>
      </c>
      <c r="O1019" t="str" cm="1">
        <f t="array" ref="O10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19">
        <f>IF(ISNUMBER(SEARCH("passenger",PROPERTIES[[#This Row],[CARGODEF]])),1,0)</f>
        <v>1</v>
      </c>
      <c r="Q1019" s="23">
        <v>33</v>
      </c>
      <c r="R1019">
        <v>1500</v>
      </c>
      <c r="S1019">
        <v>0</v>
      </c>
      <c r="T1019">
        <v>0</v>
      </c>
      <c r="U1019">
        <v>0</v>
      </c>
      <c r="V1019">
        <v>120</v>
      </c>
      <c r="W1019">
        <v>0</v>
      </c>
      <c r="X1019">
        <v>0</v>
      </c>
      <c r="Y1019">
        <v>0</v>
      </c>
      <c r="Z1019" s="20">
        <v>0</v>
      </c>
      <c r="AA1019" s="20">
        <v>0.3</v>
      </c>
      <c r="AB1019" s="20">
        <v>0</v>
      </c>
      <c r="AC1019" s="16">
        <f>ROUND(IF(IFERROR(PROPERTIES[[#This Row],[TE_COEFFICIENT_CALC]],0)=0,PROPERTIES[[#This Row],[TE_COEFFICIENT_MANUAL]],PROPERTIES[[#This Row],[TE_COEFFICIENT_CALC]]),3)</f>
        <v>0.3</v>
      </c>
      <c r="AD1019" s="39" cm="1">
        <f t="array" ref="AD10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1019" s="26">
        <v>250</v>
      </c>
      <c r="AF1019" s="6">
        <v>8</v>
      </c>
      <c r="AG1019" s="6" t="s">
        <v>240</v>
      </c>
      <c r="AH1019" s="6" t="s">
        <v>1947</v>
      </c>
      <c r="AI1019" t="s">
        <v>230</v>
      </c>
      <c r="AJ1019" s="2" t="s">
        <v>236</v>
      </c>
      <c r="AK1019" s="7" t="s">
        <v>244</v>
      </c>
      <c r="AL1019" s="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1019" s="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1019" s="2" t="str">
        <f>SUBSTITUTE(SUBSTITUTE(PROPERTIES[[#This Row],[PURCHASECOST_VALUE]], "PURCHASECOST_", ""), "_VALUE", "")</f>
        <v>METRO</v>
      </c>
      <c r="AO1019" s="44" t="b">
        <v>0</v>
      </c>
      <c r="AP1019" s="48" t="b">
        <v>0</v>
      </c>
      <c r="AQ1019" s="48" t="b">
        <v>0</v>
      </c>
      <c r="AR1019" s="48">
        <v>0</v>
      </c>
      <c r="AS1019" s="48" t="b">
        <v>0</v>
      </c>
      <c r="AT1019" s="7" t="b">
        <v>0</v>
      </c>
      <c r="AU1019" s="40" t="str" cm="1">
        <f t="array" ref="AU1019">_xlfn.XLOOKUP(PROPERTIES[[#This Row],[VEHIDCODE]],GRAPHICS_PROPERTIES[VEHIDCODE],GRAPHICS_PROPERTIES[TEMPLATE_ID]&amp;GRAPHICS_PROPERTIES[TEMPLATE_AMENDMENT_CODE])</f>
        <v>TPL_02C</v>
      </c>
    </row>
    <row r="1020" spans="1:47" x14ac:dyDescent="0.35">
      <c r="A1020" s="2" t="s">
        <v>3561</v>
      </c>
      <c r="B1020">
        <v>1844</v>
      </c>
      <c r="D1020" cm="1">
        <f t="array" ref="D10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0" s="40" t="str">
        <f>_xlfn.XLOOKUP(PROPERTIES[[#This Row],[VEHIDCODE]],CONTROL[VEHIDCODE],CONTROL[ENGLISH])</f>
        <v>Sharp Brothers 2-2-2 'Patriot'</v>
      </c>
      <c r="F1020" t="s">
        <v>638</v>
      </c>
      <c r="G1020" s="40" t="str">
        <f>_xlfn.XLOOKUP(PROPERTIES[[#This Row],[COUNTRY]],COUNTRIES[COUNTRY_DESCRIPTION],COUNTRIES[COUNTRY_LABEL],"")</f>
        <v>JM</v>
      </c>
      <c r="H1020" t="str" cm="1">
        <f t="array" ref="H10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20" t="s">
        <v>17</v>
      </c>
      <c r="J1020">
        <v>0</v>
      </c>
      <c r="K1020">
        <v>7</v>
      </c>
      <c r="L1020">
        <v>0</v>
      </c>
      <c r="M1020" t="str" cm="1">
        <f t="array" ref="M10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20">
        <f>_xlfn.XLOOKUP("LOADINGSPEEDDEF_"&amp;PROPERTIES[[#This Row],[LOADINGSPEED]],LOADINGSPEEDDEF[TYPE],LOADINGSPEEDDEF[SPEED])</f>
        <v>20</v>
      </c>
      <c r="O1020" cm="1">
        <f t="array" ref="O10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0">
        <f>IF(ISNUMBER(SEARCH("passenger",PROPERTIES[[#This Row],[CARGODEF]])),1,0)</f>
        <v>0</v>
      </c>
      <c r="Q1020" s="23">
        <v>60</v>
      </c>
      <c r="R1020">
        <v>180</v>
      </c>
      <c r="S1020">
        <v>0</v>
      </c>
      <c r="T1020">
        <v>0</v>
      </c>
      <c r="U1020">
        <v>0</v>
      </c>
      <c r="V1020">
        <v>48</v>
      </c>
      <c r="W1020">
        <v>0</v>
      </c>
      <c r="X1020">
        <v>0</v>
      </c>
      <c r="Y1020">
        <v>0</v>
      </c>
      <c r="Z1020" s="20">
        <v>18.100000000000001</v>
      </c>
      <c r="AA1020" s="19">
        <f>IFERROR(PROPERTIES[[#This Row],[TE_STARTING_KN]]/(PROPERTIES[[#This Row],[WEIGHT]]*9.81),0)</f>
        <v>3.0750934420659192E-2</v>
      </c>
      <c r="AB1020" s="19">
        <v>0</v>
      </c>
      <c r="AC1020" s="16">
        <f>ROUND(IF(IFERROR(PROPERTIES[[#This Row],[TE_COEFFICIENT_CALC]],0)=0,PROPERTIES[[#This Row],[TE_COEFFICIENT_MANUAL]],PROPERTIES[[#This Row],[TE_COEFFICIENT_CALC]]),3)</f>
        <v>3.1E-2</v>
      </c>
      <c r="AD1020" s="8" cm="1">
        <f t="array" ref="AD10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20" s="26">
        <v>0</v>
      </c>
      <c r="AF1020" s="6">
        <v>0</v>
      </c>
      <c r="AG1020" t="s">
        <v>235</v>
      </c>
      <c r="AH1020" t="s">
        <v>229</v>
      </c>
      <c r="AI1020" t="s">
        <v>229</v>
      </c>
      <c r="AJ1020" s="2" t="s">
        <v>229</v>
      </c>
      <c r="AK1020" s="2" t="s">
        <v>244</v>
      </c>
      <c r="AL102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2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20" s="2" t="str">
        <f>SUBSTITUTE(SUBSTITUTE(PROPERTIES[[#This Row],[PURCHASECOST_VALUE]], "PURCHASECOST_", ""), "_VALUE", "")</f>
        <v>STEAMENGINE</v>
      </c>
      <c r="AO1020" s="44" t="b">
        <v>0</v>
      </c>
      <c r="AP1020" s="48" t="b">
        <v>0</v>
      </c>
      <c r="AQ1020" s="48" t="b">
        <v>0</v>
      </c>
      <c r="AR1020" s="48">
        <v>0</v>
      </c>
      <c r="AS1020" s="48" t="b">
        <v>0</v>
      </c>
      <c r="AT1020" s="7" t="b">
        <v>0</v>
      </c>
      <c r="AU1020" s="40" t="str" cm="1">
        <f t="array" ref="AU1020">_xlfn.XLOOKUP(PROPERTIES[[#This Row],[VEHIDCODE]],GRAPHICS_PROPERTIES[VEHIDCODE],GRAPHICS_PROPERTIES[TEMPLATE_ID]&amp;GRAPHICS_PROPERTIES[TEMPLATE_AMENDMENT_CODE])</f>
        <v>TPL_03C</v>
      </c>
    </row>
    <row r="1021" spans="1:47" x14ac:dyDescent="0.35">
      <c r="A1021" s="2" t="s">
        <v>3570</v>
      </c>
      <c r="B1021">
        <v>1900</v>
      </c>
      <c r="D1021" cm="1">
        <f t="array" ref="D10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1" s="40" t="str">
        <f>_xlfn.XLOOKUP(PROPERTIES[[#This Row],[VEHIDCODE]],CONTROL[VEHIDCODE],CONTROL[ENGLISH])</f>
        <v>Heavyweight Regional Coach</v>
      </c>
      <c r="G1021" s="40" t="str">
        <f>_xlfn.XLOOKUP(PROPERTIES[[#This Row],[COUNTRY]],COUNTRIES[COUNTRY_DESCRIPTION],COUNTRIES[COUNTRY_LABEL],"")</f>
        <v/>
      </c>
      <c r="H1021" t="str" cm="1">
        <f t="array" ref="H10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21" t="s">
        <v>22</v>
      </c>
      <c r="J1021">
        <v>90</v>
      </c>
      <c r="K1021">
        <v>8</v>
      </c>
      <c r="L1021">
        <v>0</v>
      </c>
      <c r="M1021" t="str" cm="1">
        <f t="array" ref="M10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21">
        <f>_xlfn.XLOOKUP("LOADINGSPEEDDEF_"&amp;PROPERTIES[[#This Row],[LOADINGSPEED]],LOADINGSPEEDDEF[TYPE],LOADINGSPEEDDEF[SPEED])</f>
        <v>60</v>
      </c>
      <c r="O1021" cm="1">
        <f t="array" ref="O10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21">
        <f>IF(ISNUMBER(SEARCH("passenger",PROPERTIES[[#This Row],[CARGODEF]])),1,0)</f>
        <v>1</v>
      </c>
      <c r="Q1021" s="23">
        <v>60</v>
      </c>
      <c r="R1021">
        <v>0</v>
      </c>
      <c r="S1021">
        <v>0</v>
      </c>
      <c r="T1021">
        <v>0</v>
      </c>
      <c r="U1021">
        <v>0</v>
      </c>
      <c r="V1021">
        <v>145</v>
      </c>
      <c r="W1021">
        <v>0</v>
      </c>
      <c r="X1021">
        <v>0</v>
      </c>
      <c r="Y1021">
        <v>0</v>
      </c>
      <c r="Z1021" s="20">
        <v>0</v>
      </c>
      <c r="AA1021" s="19">
        <f>IFERROR(PROPERTIES[[#This Row],[TE_STARTING_KN]]/(PROPERTIES[[#This Row],[WEIGHT]]*9.81),0)</f>
        <v>0</v>
      </c>
      <c r="AB1021" s="19">
        <v>0.3</v>
      </c>
      <c r="AC1021" s="16">
        <f>ROUND(IF(IFERROR(PROPERTIES[[#This Row],[TE_COEFFICIENT_CALC]],0)=0,PROPERTIES[[#This Row],[TE_COEFFICIENT_MANUAL]],PROPERTIES[[#This Row],[TE_COEFFICIENT_CALC]]),3)</f>
        <v>0.3</v>
      </c>
      <c r="AD1021" s="38" cm="1">
        <f t="array" ref="AD10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21" s="26">
        <v>0</v>
      </c>
      <c r="AF1021" s="6">
        <v>0</v>
      </c>
      <c r="AG1021" s="6" t="s">
        <v>240</v>
      </c>
      <c r="AH1021" s="6" t="s">
        <v>232</v>
      </c>
      <c r="AI1021" t="s">
        <v>229</v>
      </c>
      <c r="AJ1021" s="2" t="s">
        <v>229</v>
      </c>
      <c r="AK1021" s="7" t="s">
        <v>244</v>
      </c>
      <c r="AL1021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21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21" s="2" t="str">
        <f>SUBSTITUTE(SUBSTITUTE(PROPERTIES[[#This Row],[PURCHASECOST_VALUE]], "PURCHASECOST_", ""), "_VALUE", "")</f>
        <v>COACH</v>
      </c>
      <c r="AO1021" s="44" t="b">
        <v>0</v>
      </c>
      <c r="AP1021" s="48" t="b">
        <v>0</v>
      </c>
      <c r="AQ1021" s="48" t="b">
        <v>0</v>
      </c>
      <c r="AR1021" s="48">
        <v>0</v>
      </c>
      <c r="AS1021" s="48" t="b">
        <v>0</v>
      </c>
      <c r="AT1021" s="7" t="b">
        <v>0</v>
      </c>
      <c r="AU1021" s="40" t="str" cm="1">
        <f t="array" ref="AU1021">_xlfn.XLOOKUP(PROPERTIES[[#This Row],[VEHIDCODE]],GRAPHICS_PROPERTIES[VEHIDCODE],GRAPHICS_PROPERTIES[TEMPLATE_ID]&amp;GRAPHICS_PROPERTIES[TEMPLATE_AMENDMENT_CODE])</f>
        <v>TPL_04A</v>
      </c>
    </row>
    <row r="1022" spans="1:47" x14ac:dyDescent="0.35">
      <c r="A1022" s="2" t="s">
        <v>3575</v>
      </c>
      <c r="B1022">
        <v>1870</v>
      </c>
      <c r="D1022" cm="1">
        <f t="array" ref="D10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2" s="40" t="str">
        <f>_xlfn.XLOOKUP(PROPERTIES[[#This Row],[VEHIDCODE]],CONTROL[VEHIDCODE],CONTROL[ENGLISH])</f>
        <v>Early American End-Platform Coach [Larger]</v>
      </c>
      <c r="G1022" s="40" t="str">
        <f>_xlfn.XLOOKUP(PROPERTIES[[#This Row],[COUNTRY]],COUNTRIES[COUNTRY_DESCRIPTION],COUNTRIES[COUNTRY_LABEL],"")</f>
        <v/>
      </c>
      <c r="H1022" t="str" cm="1">
        <f t="array" ref="H10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22" t="s">
        <v>22</v>
      </c>
      <c r="J1022">
        <v>70</v>
      </c>
      <c r="K1022">
        <v>7</v>
      </c>
      <c r="L1022">
        <v>0</v>
      </c>
      <c r="M1022" t="str" cm="1">
        <f t="array" ref="M10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22">
        <f>_xlfn.XLOOKUP("LOADINGSPEEDDEF_"&amp;PROPERTIES[[#This Row],[LOADINGSPEED]],LOADINGSPEEDDEF[TYPE],LOADINGSPEEDDEF[SPEED])</f>
        <v>60</v>
      </c>
      <c r="O1022" cm="1">
        <f t="array" ref="O10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22">
        <f>IF(ISNUMBER(SEARCH("passenger",PROPERTIES[[#This Row],[CARGODEF]])),1,0)</f>
        <v>1</v>
      </c>
      <c r="Q1022" s="23">
        <v>50</v>
      </c>
      <c r="R1022">
        <v>0</v>
      </c>
      <c r="S1022">
        <v>0</v>
      </c>
      <c r="T1022">
        <v>0</v>
      </c>
      <c r="U1022">
        <v>0</v>
      </c>
      <c r="V1022">
        <v>110</v>
      </c>
      <c r="W1022">
        <v>0</v>
      </c>
      <c r="X1022">
        <v>0</v>
      </c>
      <c r="Y1022">
        <v>0</v>
      </c>
      <c r="Z1022" s="20">
        <v>0</v>
      </c>
      <c r="AA1022" s="20">
        <f>IFERROR(PROPERTIES[[#This Row],[TE_STARTING_KN]]/(PROPERTIES[[#This Row],[WEIGHT]]*9.81),0)</f>
        <v>0</v>
      </c>
      <c r="AB1022" s="20">
        <v>0.3</v>
      </c>
      <c r="AC1022" s="16">
        <f>ROUND(IF(IFERROR(PROPERTIES[[#This Row],[TE_COEFFICIENT_CALC]],0)=0,PROPERTIES[[#This Row],[TE_COEFFICIENT_MANUAL]],PROPERTIES[[#This Row],[TE_COEFFICIENT_CALC]]),3)</f>
        <v>0.3</v>
      </c>
      <c r="AD1022" s="39" cm="1">
        <f t="array" ref="AD10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22" s="26">
        <v>0</v>
      </c>
      <c r="AF1022" s="6">
        <v>0</v>
      </c>
      <c r="AG1022" s="6" t="s">
        <v>1946</v>
      </c>
      <c r="AH1022" t="s">
        <v>229</v>
      </c>
      <c r="AI1022" t="s">
        <v>229</v>
      </c>
      <c r="AJ1022" s="2" t="s">
        <v>229</v>
      </c>
      <c r="AK1022" s="7" t="s">
        <v>244</v>
      </c>
      <c r="AL1022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22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22" s="2" t="str">
        <f>SUBSTITUTE(SUBSTITUTE(PROPERTIES[[#This Row],[PURCHASECOST_VALUE]], "PURCHASECOST_", ""), "_VALUE", "")</f>
        <v>COACH</v>
      </c>
      <c r="AO1022" s="44" t="b">
        <v>0</v>
      </c>
      <c r="AP1022" s="48" t="b">
        <v>0</v>
      </c>
      <c r="AQ1022" s="48" t="b">
        <v>0</v>
      </c>
      <c r="AR1022" s="48">
        <v>0</v>
      </c>
      <c r="AS1022" s="48" t="b">
        <v>0</v>
      </c>
      <c r="AT1022" s="7" t="b">
        <v>0</v>
      </c>
      <c r="AU1022" s="40" t="str" cm="1">
        <f t="array" ref="AU1022">_xlfn.XLOOKUP(PROPERTIES[[#This Row],[VEHIDCODE]],GRAPHICS_PROPERTIES[VEHIDCODE],GRAPHICS_PROPERTIES[TEMPLATE_ID]&amp;GRAPHICS_PROPERTIES[TEMPLATE_AMENDMENT_CODE])</f>
        <v>TPL_04A</v>
      </c>
    </row>
    <row r="1023" spans="1:47" x14ac:dyDescent="0.35">
      <c r="A1023" s="2" t="s">
        <v>3574</v>
      </c>
      <c r="B1023">
        <v>1870</v>
      </c>
      <c r="D1023" cm="1">
        <f t="array" ref="D10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3" s="40" t="str">
        <f>_xlfn.XLOOKUP(PROPERTIES[[#This Row],[VEHIDCODE]],CONTROL[VEHIDCODE],CONTROL[ENGLISH])</f>
        <v>Early American End-Platform Mail Coach [Larger]</v>
      </c>
      <c r="G1023" s="40" t="str">
        <f>_xlfn.XLOOKUP(PROPERTIES[[#This Row],[COUNTRY]],COUNTRIES[COUNTRY_DESCRIPTION],COUNTRIES[COUNTRY_LABEL],"")</f>
        <v/>
      </c>
      <c r="H1023" t="str" cm="1">
        <f t="array" ref="H10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23" t="s">
        <v>36</v>
      </c>
      <c r="J1023">
        <v>70</v>
      </c>
      <c r="K1023">
        <v>7</v>
      </c>
      <c r="L1023">
        <v>0</v>
      </c>
      <c r="M1023" t="str" cm="1">
        <f t="array" ref="M10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1023">
        <f>_xlfn.XLOOKUP("LOADINGSPEEDDEF_"&amp;PROPERTIES[[#This Row],[LOADINGSPEED]],LOADINGSPEEDDEF[TYPE],LOADINGSPEEDDEF[SPEED])</f>
        <v>15</v>
      </c>
      <c r="O1023" cm="1">
        <f t="array" ref="O10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23">
        <f>IF(ISNUMBER(SEARCH("passenger",PROPERTIES[[#This Row],[CARGODEF]])),1,0)</f>
        <v>0</v>
      </c>
      <c r="Q1023" s="23">
        <v>50</v>
      </c>
      <c r="R1023">
        <v>0</v>
      </c>
      <c r="S1023">
        <v>0</v>
      </c>
      <c r="T1023">
        <v>0</v>
      </c>
      <c r="U1023">
        <v>0</v>
      </c>
      <c r="V1023">
        <v>110</v>
      </c>
      <c r="W1023">
        <v>0</v>
      </c>
      <c r="X1023">
        <v>0</v>
      </c>
      <c r="Y1023">
        <v>0</v>
      </c>
      <c r="Z1023" s="20">
        <v>0</v>
      </c>
      <c r="AA1023" s="20">
        <f>IFERROR(PROPERTIES[[#This Row],[TE_STARTING_KN]]/(PROPERTIES[[#This Row],[WEIGHT]]*9.81),0)</f>
        <v>0</v>
      </c>
      <c r="AB1023" s="20">
        <v>0.3</v>
      </c>
      <c r="AC1023" s="16">
        <f>ROUND(IF(IFERROR(PROPERTIES[[#This Row],[TE_COEFFICIENT_CALC]],0)=0,PROPERTIES[[#This Row],[TE_COEFFICIENT_MANUAL]],PROPERTIES[[#This Row],[TE_COEFFICIENT_CALC]]),3)</f>
        <v>0.3</v>
      </c>
      <c r="AD1023" s="39" cm="1">
        <f t="array" ref="AD10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23" s="26">
        <v>0</v>
      </c>
      <c r="AF1023" s="6">
        <v>0</v>
      </c>
      <c r="AG1023" s="6" t="s">
        <v>1946</v>
      </c>
      <c r="AH1023" t="s">
        <v>229</v>
      </c>
      <c r="AI1023" t="s">
        <v>229</v>
      </c>
      <c r="AJ1023" s="2" t="s">
        <v>229</v>
      </c>
      <c r="AK1023" s="7" t="s">
        <v>244</v>
      </c>
      <c r="AL1023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23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23" s="2" t="str">
        <f>SUBSTITUTE(SUBSTITUTE(PROPERTIES[[#This Row],[PURCHASECOST_VALUE]], "PURCHASECOST_", ""), "_VALUE", "")</f>
        <v>COACH</v>
      </c>
      <c r="AO1023" s="44" t="b">
        <v>0</v>
      </c>
      <c r="AP1023" s="48" t="b">
        <v>0</v>
      </c>
      <c r="AQ1023" s="48" t="b">
        <v>0</v>
      </c>
      <c r="AR1023" s="48">
        <v>0</v>
      </c>
      <c r="AS1023" s="48" t="b">
        <v>0</v>
      </c>
      <c r="AT1023" s="7" t="b">
        <v>0</v>
      </c>
      <c r="AU1023" s="40" t="str" cm="1">
        <f t="array" ref="AU1023">_xlfn.XLOOKUP(PROPERTIES[[#This Row],[VEHIDCODE]],GRAPHICS_PROPERTIES[VEHIDCODE],GRAPHICS_PROPERTIES[TEMPLATE_ID]&amp;GRAPHICS_PROPERTIES[TEMPLATE_AMENDMENT_CODE])</f>
        <v>TPL_04A</v>
      </c>
    </row>
    <row r="1024" spans="1:47" x14ac:dyDescent="0.35">
      <c r="A1024" s="2" t="s">
        <v>3581</v>
      </c>
      <c r="B1024">
        <v>1950</v>
      </c>
      <c r="D1024" cm="1">
        <f t="array" ref="D10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4" s="40" t="str">
        <f>_xlfn.XLOOKUP(PROPERTIES[[#This Row],[VEHIDCODE]],CONTROL[VEHIDCODE],CONTROL[ENGLISH])</f>
        <v>Lightweight Commuter Coach</v>
      </c>
      <c r="G1024" s="40" t="str">
        <f>_xlfn.XLOOKUP(PROPERTIES[[#This Row],[COUNTRY]],COUNTRIES[COUNTRY_DESCRIPTION],COUNTRIES[COUNTRY_LABEL],"")</f>
        <v/>
      </c>
      <c r="H1024" t="str" cm="1">
        <f t="array" ref="H10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24" t="s">
        <v>22</v>
      </c>
      <c r="J1024">
        <v>130</v>
      </c>
      <c r="K1024">
        <v>8</v>
      </c>
      <c r="L1024">
        <v>0</v>
      </c>
      <c r="M1024" t="str" cm="1">
        <f t="array" ref="M10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24">
        <f>_xlfn.XLOOKUP("LOADINGSPEEDDEF_"&amp;PROPERTIES[[#This Row],[LOADINGSPEED]],LOADINGSPEEDDEF[TYPE],LOADINGSPEEDDEF[SPEED])</f>
        <v>60</v>
      </c>
      <c r="O1024" cm="1">
        <f t="array" ref="O10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24">
        <f>IF(ISNUMBER(SEARCH("passenger",PROPERTIES[[#This Row],[CARGODEF]])),1,0)</f>
        <v>1</v>
      </c>
      <c r="Q1024" s="23">
        <v>34</v>
      </c>
      <c r="R1024">
        <v>0</v>
      </c>
      <c r="S1024">
        <v>0</v>
      </c>
      <c r="T1024">
        <v>0</v>
      </c>
      <c r="U1024">
        <v>0</v>
      </c>
      <c r="V1024">
        <v>135</v>
      </c>
      <c r="W1024">
        <v>0</v>
      </c>
      <c r="X1024">
        <v>0</v>
      </c>
      <c r="Y1024">
        <v>0</v>
      </c>
      <c r="Z1024" s="20">
        <v>0</v>
      </c>
      <c r="AA1024" s="20">
        <f>IFERROR(PROPERTIES[[#This Row],[TE_STARTING_KN]]/(PROPERTIES[[#This Row],[WEIGHT]]*9.81),0)</f>
        <v>0</v>
      </c>
      <c r="AB1024" s="20">
        <v>0.3</v>
      </c>
      <c r="AC1024" s="16">
        <f>ROUND(IF(IFERROR(PROPERTIES[[#This Row],[TE_COEFFICIENT_CALC]],0)=0,PROPERTIES[[#This Row],[TE_COEFFICIENT_MANUAL]],PROPERTIES[[#This Row],[TE_COEFFICIENT_CALC]]),3)</f>
        <v>0.3</v>
      </c>
      <c r="AD1024" s="39" cm="1">
        <f t="array" ref="AD10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24" s="26">
        <v>0</v>
      </c>
      <c r="AF1024" s="6">
        <v>0</v>
      </c>
      <c r="AG1024" s="6" t="s">
        <v>235</v>
      </c>
      <c r="AH1024" t="s">
        <v>229</v>
      </c>
      <c r="AI1024" t="s">
        <v>229</v>
      </c>
      <c r="AJ1024" s="2" t="s">
        <v>229</v>
      </c>
      <c r="AK1024" s="7" t="s">
        <v>244</v>
      </c>
      <c r="AL1024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24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24" s="2" t="str">
        <f>SUBSTITUTE(SUBSTITUTE(PROPERTIES[[#This Row],[PURCHASECOST_VALUE]], "PURCHASECOST_", ""), "_VALUE", "")</f>
        <v>COACH</v>
      </c>
      <c r="AO1024" s="44" t="b">
        <v>0</v>
      </c>
      <c r="AP1024" s="48" t="b">
        <v>1</v>
      </c>
      <c r="AQ1024" s="48" t="b">
        <v>0</v>
      </c>
      <c r="AR1024" s="48">
        <v>0</v>
      </c>
      <c r="AS1024" s="48" t="b">
        <v>0</v>
      </c>
      <c r="AT1024" s="7" t="b">
        <v>0</v>
      </c>
      <c r="AU1024" s="40" t="str" cm="1">
        <f t="array" ref="AU1024">_xlfn.XLOOKUP(PROPERTIES[[#This Row],[VEHIDCODE]],GRAPHICS_PROPERTIES[VEHIDCODE],GRAPHICS_PROPERTIES[TEMPLATE_ID]&amp;GRAPHICS_PROPERTIES[TEMPLATE_AMENDMENT_CODE])</f>
        <v>TPL_04A</v>
      </c>
    </row>
    <row r="1025" spans="1:47" x14ac:dyDescent="0.35">
      <c r="A1025" s="2" t="s">
        <v>3583</v>
      </c>
      <c r="B1025">
        <v>1913</v>
      </c>
      <c r="D1025" cm="1">
        <f t="array" ref="D10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5" s="40" t="str">
        <f>_xlfn.XLOOKUP(PROPERTIES[[#This Row],[VEHIDCODE]],CONTROL[VEHIDCODE],CONTROL[ENGLISH])</f>
        <v>ALCO-GE T-Motor</v>
      </c>
      <c r="F1025" t="s">
        <v>757</v>
      </c>
      <c r="G1025" s="40" t="str">
        <f>_xlfn.XLOOKUP(PROPERTIES[[#This Row],[COUNTRY]],COUNTRIES[COUNTRY_DESCRIPTION],COUNTRIES[COUNTRY_LABEL],"")</f>
        <v>US</v>
      </c>
      <c r="H1025" t="str" cm="1">
        <f t="array" ref="H10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25" t="s">
        <v>17</v>
      </c>
      <c r="J1025">
        <v>0</v>
      </c>
      <c r="K1025">
        <v>8</v>
      </c>
      <c r="L1025">
        <v>0</v>
      </c>
      <c r="M1025" t="str" cm="1">
        <f t="array" ref="M10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25">
        <f>_xlfn.XLOOKUP("LOADINGSPEEDDEF_"&amp;PROPERTIES[[#This Row],[LOADINGSPEED]],LOADINGSPEEDDEF[TYPE],LOADINGSPEEDDEF[SPEED])</f>
        <v>20</v>
      </c>
      <c r="O1025" cm="1">
        <f t="array" ref="O10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5">
        <f>IF(ISNUMBER(SEARCH("passenger",PROPERTIES[[#This Row],[CARGODEF]])),1,0)</f>
        <v>0</v>
      </c>
      <c r="Q1025" s="23">
        <v>120</v>
      </c>
      <c r="R1025">
        <v>3040</v>
      </c>
      <c r="S1025">
        <v>0</v>
      </c>
      <c r="T1025">
        <v>0</v>
      </c>
      <c r="U1025">
        <v>0</v>
      </c>
      <c r="V1025">
        <v>120</v>
      </c>
      <c r="W1025">
        <v>0</v>
      </c>
      <c r="X1025">
        <v>0</v>
      </c>
      <c r="Y1025">
        <v>0</v>
      </c>
      <c r="Z1025" s="20">
        <v>290</v>
      </c>
      <c r="AA1025" s="20">
        <f>IFERROR(PROPERTIES[[#This Row],[TE_STARTING_KN]]/(PROPERTIES[[#This Row],[WEIGHT]]*9.81),0)</f>
        <v>0.24634726469588855</v>
      </c>
      <c r="AB1025" s="20">
        <v>0</v>
      </c>
      <c r="AC1025" s="16">
        <f>ROUND(IF(IFERROR(PROPERTIES[[#This Row],[TE_COEFFICIENT_CALC]],0)=0,PROPERTIES[[#This Row],[TE_COEFFICIENT_MANUAL]],PROPERTIES[[#This Row],[TE_COEFFICIENT_CALC]]),3)</f>
        <v>0.246</v>
      </c>
      <c r="AD1025" s="39" cm="1">
        <f t="array" ref="AD10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25" s="26">
        <v>0</v>
      </c>
      <c r="AF1025" s="6">
        <v>0</v>
      </c>
      <c r="AG1025" s="6" t="s">
        <v>235</v>
      </c>
      <c r="AH1025" t="s">
        <v>229</v>
      </c>
      <c r="AI1025" t="s">
        <v>229</v>
      </c>
      <c r="AJ1025" s="2" t="s">
        <v>229</v>
      </c>
      <c r="AK1025" s="7" t="s">
        <v>244</v>
      </c>
      <c r="AL1025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25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25" s="2" t="str">
        <f>SUBSTITUTE(SUBSTITUTE(PROPERTIES[[#This Row],[PURCHASECOST_VALUE]], "PURCHASECOST_", ""), "_VALUE", "")</f>
        <v>ELECTRICENGINE</v>
      </c>
      <c r="AO1025" s="44" t="b">
        <v>0</v>
      </c>
      <c r="AP1025" s="48" t="b">
        <v>0</v>
      </c>
      <c r="AQ1025" s="48" t="b">
        <v>0</v>
      </c>
      <c r="AR1025" s="48">
        <v>0</v>
      </c>
      <c r="AS1025" s="48" t="b">
        <v>0</v>
      </c>
      <c r="AT1025" s="7" t="b">
        <v>0</v>
      </c>
      <c r="AU1025" s="40" t="str" cm="1">
        <f t="array" ref="AU1025">_xlfn.XLOOKUP(PROPERTIES[[#This Row],[VEHIDCODE]],GRAPHICS_PROPERTIES[VEHIDCODE],GRAPHICS_PROPERTIES[TEMPLATE_ID]&amp;GRAPHICS_PROPERTIES[TEMPLATE_AMENDMENT_CODE])</f>
        <v>TPL_01A</v>
      </c>
    </row>
    <row r="1026" spans="1:47" x14ac:dyDescent="0.35">
      <c r="A1026" t="s">
        <v>3586</v>
      </c>
      <c r="B1026">
        <v>1910</v>
      </c>
      <c r="C1026">
        <v>1949</v>
      </c>
      <c r="D1026" cm="1">
        <f t="array" ref="D10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6" s="40" t="str">
        <f>_xlfn.XLOOKUP(PROPERTIES[[#This Row],[VEHIDCODE]],CONTROL[VEHIDCODE],CONTROL[ENGLISH])</f>
        <v>Altoona Works Pennsylvania Railroad DD1</v>
      </c>
      <c r="F1026" t="s">
        <v>757</v>
      </c>
      <c r="G1026" s="40" t="str">
        <f>_xlfn.XLOOKUP(PROPERTIES[[#This Row],[COUNTRY]],COUNTRIES[COUNTRY_DESCRIPTION],COUNTRIES[COUNTRY_LABEL],"")</f>
        <v>US</v>
      </c>
      <c r="H1026" t="str" cm="1">
        <f t="array" ref="H10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26" t="s">
        <v>17</v>
      </c>
      <c r="J1026">
        <v>0</v>
      </c>
      <c r="K1026">
        <v>5</v>
      </c>
      <c r="L1026">
        <v>0</v>
      </c>
      <c r="M1026" t="str" cm="1">
        <f t="array" ref="M10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26">
        <f>_xlfn.XLOOKUP("LOADINGSPEEDDEF_"&amp;PROPERTIES[[#This Row],[LOADINGSPEED]],LOADINGSPEEDDEF[TYPE],LOADINGSPEEDDEF[SPEED])</f>
        <v>20</v>
      </c>
      <c r="O1026" cm="1">
        <f t="array" ref="O10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6">
        <f>IF(ISNUMBER(SEARCH("passenger",PROPERTIES[[#This Row],[CARGODEF]])),1,0)</f>
        <v>0</v>
      </c>
      <c r="Q1026" s="23">
        <v>142</v>
      </c>
      <c r="R1026">
        <v>3160</v>
      </c>
      <c r="S1026">
        <v>0</v>
      </c>
      <c r="T1026">
        <v>0</v>
      </c>
      <c r="U1026">
        <v>0</v>
      </c>
      <c r="V1026">
        <v>136</v>
      </c>
      <c r="W1026">
        <v>0</v>
      </c>
      <c r="X1026">
        <v>0</v>
      </c>
      <c r="Y1026">
        <v>0</v>
      </c>
      <c r="Z1026" s="20">
        <v>494</v>
      </c>
      <c r="AA1026" s="19">
        <f>IFERROR(PROPERTIES[[#This Row],[TE_STARTING_KN]]/(PROPERTIES[[#This Row],[WEIGHT]]*9.81),0)</f>
        <v>0.35462520279680121</v>
      </c>
      <c r="AB1026" s="19">
        <v>0</v>
      </c>
      <c r="AC1026" s="16">
        <f>ROUND(IF(IFERROR(PROPERTIES[[#This Row],[TE_COEFFICIENT_CALC]],0)=0,PROPERTIES[[#This Row],[TE_COEFFICIENT_MANUAL]],PROPERTIES[[#This Row],[TE_COEFFICIENT_CALC]]),3)</f>
        <v>0.35499999999999998</v>
      </c>
      <c r="AD1026" s="38" cm="1">
        <f t="array" ref="AD10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39</v>
      </c>
      <c r="AE1026" s="26">
        <v>0</v>
      </c>
      <c r="AF1026" s="6">
        <v>5</v>
      </c>
      <c r="AG1026" s="6" t="s">
        <v>235</v>
      </c>
      <c r="AH1026" s="6" t="s">
        <v>229</v>
      </c>
      <c r="AI1026" t="s">
        <v>229</v>
      </c>
      <c r="AJ1026" s="2" t="s">
        <v>229</v>
      </c>
      <c r="AK1026" s="7" t="s">
        <v>244</v>
      </c>
      <c r="AL1026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26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26" s="2" t="str">
        <f>SUBSTITUTE(SUBSTITUTE(PROPERTIES[[#This Row],[PURCHASECOST_VALUE]], "PURCHASECOST_", ""), "_VALUE", "")</f>
        <v>ELECTRICENGINE</v>
      </c>
      <c r="AO1026" s="44" t="b">
        <v>0</v>
      </c>
      <c r="AP1026" s="48" t="b">
        <v>0</v>
      </c>
      <c r="AQ1026" s="48" t="b">
        <v>0</v>
      </c>
      <c r="AR1026" s="48">
        <v>0</v>
      </c>
      <c r="AS1026" s="48" t="b">
        <v>0</v>
      </c>
      <c r="AT1026" s="7" t="b">
        <v>0</v>
      </c>
      <c r="AU1026" s="40" t="str" cm="1">
        <f t="array" ref="AU1026">_xlfn.XLOOKUP(PROPERTIES[[#This Row],[VEHIDCODE]],GRAPHICS_PROPERTIES[VEHIDCODE],GRAPHICS_PROPERTIES[TEMPLATE_ID]&amp;GRAPHICS_PROPERTIES[TEMPLATE_AMENDMENT_CODE])</f>
        <v>TPL_17E</v>
      </c>
    </row>
    <row r="1027" spans="1:47" x14ac:dyDescent="0.35">
      <c r="A1027" s="2" t="s">
        <v>3591</v>
      </c>
      <c r="B1027">
        <v>1932</v>
      </c>
      <c r="C1027">
        <v>1972</v>
      </c>
      <c r="D1027" cm="1">
        <f t="array" ref="D10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27" s="40" t="str">
        <f>_xlfn.XLOOKUP(PROPERTIES[[#This Row],[VEHIDCODE]],CONTROL[VEHIDCODE],CONTROL[ENGLISH])</f>
        <v>PRR MP70</v>
      </c>
      <c r="F1027" t="s">
        <v>757</v>
      </c>
      <c r="G1027" s="40" t="str">
        <f>_xlfn.XLOOKUP(PROPERTIES[[#This Row],[COUNTRY]],COUNTRIES[COUNTRY_DESCRIPTION],COUNTRIES[COUNTRY_LABEL],"")</f>
        <v>US</v>
      </c>
      <c r="H1027" t="str" cm="1">
        <f t="array" ref="H10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27" t="s">
        <v>22</v>
      </c>
      <c r="J1027">
        <v>132</v>
      </c>
      <c r="K1027">
        <v>8</v>
      </c>
      <c r="M1027" t="str" cm="1">
        <f t="array" ref="M10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27">
        <f>_xlfn.XLOOKUP("LOADINGSPEEDDEF_"&amp;PROPERTIES[[#This Row],[LOADINGSPEED]],LOADINGSPEEDDEF[TYPE],LOADINGSPEEDDEF[SPEED])</f>
        <v>60</v>
      </c>
      <c r="O1027" cm="1">
        <f t="array" ref="O10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7">
        <f>IF(ISNUMBER(SEARCH("passenger",PROPERTIES[[#This Row],[CARGODEF]])),1,0)</f>
        <v>1</v>
      </c>
      <c r="Q1027" s="23">
        <f>55/2</f>
        <v>27.5</v>
      </c>
      <c r="R1027">
        <v>920</v>
      </c>
      <c r="S1027">
        <v>0</v>
      </c>
      <c r="T1027">
        <v>0</v>
      </c>
      <c r="U1027">
        <v>0</v>
      </c>
      <c r="V1027">
        <v>105</v>
      </c>
      <c r="W1027">
        <v>0</v>
      </c>
      <c r="X1027">
        <v>0</v>
      </c>
      <c r="Y1027">
        <v>0</v>
      </c>
      <c r="Z1027" s="20">
        <v>0</v>
      </c>
      <c r="AA1027" s="20">
        <f>IFERROR(PROPERTIES[[#This Row],[TE_STARTING_KN]]/(PROPERTIES[[#This Row],[WEIGHT]]*9.81),0)</f>
        <v>0</v>
      </c>
      <c r="AB1027" s="20">
        <v>0.25</v>
      </c>
      <c r="AC1027" s="16">
        <f>ROUND(IF(IFERROR(PROPERTIES[[#This Row],[TE_COEFFICIENT_CALC]],0)=0,PROPERTIES[[#This Row],[TE_COEFFICIENT_MANUAL]],PROPERTIES[[#This Row],[TE_COEFFICIENT_CALC]]),3)</f>
        <v>0.25</v>
      </c>
      <c r="AD1027" s="39" cm="1">
        <f t="array" ref="AD10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27" s="26">
        <v>132</v>
      </c>
      <c r="AF1027" s="6">
        <v>8</v>
      </c>
      <c r="AG1027" s="6" t="s">
        <v>235</v>
      </c>
      <c r="AH1027" s="6" t="s">
        <v>229</v>
      </c>
      <c r="AI1027" t="s">
        <v>229</v>
      </c>
      <c r="AJ1027" s="2" t="s">
        <v>229</v>
      </c>
      <c r="AK1027" s="7" t="s">
        <v>244</v>
      </c>
      <c r="AL1027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1027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1027" s="2" t="str">
        <f>SUBSTITUTE(SUBSTITUTE(PROPERTIES[[#This Row],[PURCHASECOST_VALUE]], "PURCHASECOST_", ""), "_VALUE", "")</f>
        <v>EMU</v>
      </c>
      <c r="AO1027" s="44" t="b">
        <v>0</v>
      </c>
      <c r="AP1027" s="48" t="b">
        <v>0</v>
      </c>
      <c r="AQ1027" s="48" t="b">
        <v>0</v>
      </c>
      <c r="AR1027" s="48">
        <v>0</v>
      </c>
      <c r="AS1027" s="48" t="b">
        <v>0</v>
      </c>
      <c r="AT1027" s="7" t="b">
        <v>0</v>
      </c>
      <c r="AU1027" s="40" t="str" cm="1">
        <f t="array" ref="AU1027">_xlfn.XLOOKUP(PROPERTIES[[#This Row],[VEHIDCODE]],GRAPHICS_PROPERTIES[VEHIDCODE],GRAPHICS_PROPERTIES[TEMPLATE_ID]&amp;GRAPHICS_PROPERTIES[TEMPLATE_AMENDMENT_CODE])</f>
        <v>TPL_02A</v>
      </c>
    </row>
    <row r="1028" spans="1:47" x14ac:dyDescent="0.35">
      <c r="A1028" s="2" t="s">
        <v>3592</v>
      </c>
      <c r="B1028">
        <v>1963</v>
      </c>
      <c r="C1028">
        <v>2004</v>
      </c>
      <c r="D1028" cm="1">
        <f t="array" ref="D10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28" s="40" t="str">
        <f>_xlfn.XLOOKUP(PROPERTIES[[#This Row],[VEHIDCODE]],CONTROL[VEHIDCODE],CONTROL[ENGLISH])</f>
        <v>Pullman Standard LIRR MP75 ACMU</v>
      </c>
      <c r="F1028" t="s">
        <v>757</v>
      </c>
      <c r="G1028" s="40" t="str">
        <f>_xlfn.XLOOKUP(PROPERTIES[[#This Row],[COUNTRY]],COUNTRIES[COUNTRY_DESCRIPTION],COUNTRIES[COUNTRY_LABEL],"")</f>
        <v>US</v>
      </c>
      <c r="H1028" t="str" cm="1">
        <f t="array" ref="H10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28" t="s">
        <v>22</v>
      </c>
      <c r="J1028">
        <v>130</v>
      </c>
      <c r="K1028">
        <v>8</v>
      </c>
      <c r="M1028" t="str" cm="1">
        <f t="array" ref="M10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28">
        <f>_xlfn.XLOOKUP("LOADINGSPEEDDEF_"&amp;PROPERTIES[[#This Row],[LOADINGSPEED]],LOADINGSPEEDDEF[TYPE],LOADINGSPEEDDEF[SPEED])</f>
        <v>60</v>
      </c>
      <c r="O1028" cm="1">
        <f t="array" ref="O10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8">
        <f>IF(ISNUMBER(SEARCH("passenger",PROPERTIES[[#This Row],[CARGODEF]])),1,0)</f>
        <v>1</v>
      </c>
      <c r="Q1028" s="23">
        <f>52/2</f>
        <v>26</v>
      </c>
      <c r="R1028">
        <v>800</v>
      </c>
      <c r="S1028">
        <v>0</v>
      </c>
      <c r="T1028">
        <v>0</v>
      </c>
      <c r="U1028">
        <v>0</v>
      </c>
      <c r="V1028">
        <v>130</v>
      </c>
      <c r="W1028">
        <v>0</v>
      </c>
      <c r="X1028">
        <v>0</v>
      </c>
      <c r="Y1028">
        <v>0</v>
      </c>
      <c r="Z1028" s="20">
        <v>0</v>
      </c>
      <c r="AA1028" s="20">
        <f>IFERROR(PROPERTIES[[#This Row],[TE_STARTING_KN]]/(PROPERTIES[[#This Row],[WEIGHT]]*9.81),0)</f>
        <v>0</v>
      </c>
      <c r="AB1028" s="20">
        <v>0.25</v>
      </c>
      <c r="AC1028" s="16">
        <f>ROUND(IF(IFERROR(PROPERTIES[[#This Row],[TE_COEFFICIENT_CALC]],0)=0,PROPERTIES[[#This Row],[TE_COEFFICIENT_MANUAL]],PROPERTIES[[#This Row],[TE_COEFFICIENT_CALC]]),3)</f>
        <v>0.25</v>
      </c>
      <c r="AD1028" s="39" cm="1">
        <f t="array" ref="AD10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1028" s="26">
        <v>130</v>
      </c>
      <c r="AF1028" s="6">
        <v>8</v>
      </c>
      <c r="AG1028" s="6" t="s">
        <v>235</v>
      </c>
      <c r="AH1028" s="6" t="s">
        <v>229</v>
      </c>
      <c r="AI1028" t="s">
        <v>229</v>
      </c>
      <c r="AJ1028" s="2" t="s">
        <v>229</v>
      </c>
      <c r="AK1028" s="7" t="s">
        <v>244</v>
      </c>
      <c r="AL1028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1028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1028" s="2" t="str">
        <f>SUBSTITUTE(SUBSTITUTE(PROPERTIES[[#This Row],[PURCHASECOST_VALUE]], "PURCHASECOST_", ""), "_VALUE", "")</f>
        <v>EMU</v>
      </c>
      <c r="AO1028" s="44" t="b">
        <v>0</v>
      </c>
      <c r="AP1028" s="48" t="b">
        <v>0</v>
      </c>
      <c r="AQ1028" s="48" t="b">
        <v>0</v>
      </c>
      <c r="AR1028" s="48">
        <v>0</v>
      </c>
      <c r="AS1028" s="48" t="b">
        <v>0</v>
      </c>
      <c r="AT1028" s="7" t="b">
        <v>0</v>
      </c>
      <c r="AU1028" s="40" t="str" cm="1">
        <f t="array" ref="AU1028">_xlfn.XLOOKUP(PROPERTIES[[#This Row],[VEHIDCODE]],GRAPHICS_PROPERTIES[VEHIDCODE],GRAPHICS_PROPERTIES[TEMPLATE_ID]&amp;GRAPHICS_PROPERTIES[TEMPLATE_AMENDMENT_CODE])</f>
        <v>TPL_02A</v>
      </c>
    </row>
    <row r="1029" spans="1:47" x14ac:dyDescent="0.35">
      <c r="A1029" s="2" t="s">
        <v>3596</v>
      </c>
      <c r="B1029">
        <v>1906</v>
      </c>
      <c r="C1029">
        <v>1973</v>
      </c>
      <c r="D1029" cm="1">
        <f t="array" ref="D10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9" s="40" t="str">
        <f>_xlfn.XLOOKUP(PROPERTIES[[#This Row],[VEHIDCODE]],CONTROL[VEHIDCODE],CONTROL[ENGLISH])</f>
        <v>ACF New York Central Heavyweight MU</v>
      </c>
      <c r="F1029" t="s">
        <v>757</v>
      </c>
      <c r="G1029" s="40" t="str">
        <f>_xlfn.XLOOKUP(PROPERTIES[[#This Row],[COUNTRY]],COUNTRIES[COUNTRY_DESCRIPTION],COUNTRIES[COUNTRY_LABEL],"")</f>
        <v>US</v>
      </c>
      <c r="H1029" t="str" cm="1">
        <f t="array" ref="H10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1029" t="s">
        <v>22</v>
      </c>
      <c r="J1029">
        <v>100</v>
      </c>
      <c r="K1029">
        <v>8</v>
      </c>
      <c r="L1029">
        <v>0</v>
      </c>
      <c r="M1029" t="str" cm="1">
        <f t="array" ref="M10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1029">
        <f>_xlfn.XLOOKUP("LOADINGSPEEDDEF_"&amp;PROPERTIES[[#This Row],[LOADINGSPEED]],LOADINGSPEEDDEF[TYPE],LOADINGSPEEDDEF[SPEED])</f>
        <v>120</v>
      </c>
      <c r="O1029" cm="1">
        <f t="array" ref="O10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9">
        <f>IF(ISNUMBER(SEARCH("passenger",PROPERTIES[[#This Row],[CARGODEF]])),1,0)</f>
        <v>1</v>
      </c>
      <c r="Q1029" s="23">
        <v>60</v>
      </c>
      <c r="R1029">
        <v>400</v>
      </c>
      <c r="S1029">
        <v>0</v>
      </c>
      <c r="T1029">
        <v>0</v>
      </c>
      <c r="U1029">
        <v>0</v>
      </c>
      <c r="V1029">
        <v>90</v>
      </c>
      <c r="W1029">
        <v>0</v>
      </c>
      <c r="X1029">
        <v>0</v>
      </c>
      <c r="Y1029">
        <v>0</v>
      </c>
      <c r="Z1029" s="20">
        <v>0</v>
      </c>
      <c r="AA1029" s="20">
        <f>IFERROR(PROPERTIES[[#This Row],[TE_STARTING_KN]]/(PROPERTIES[[#This Row],[WEIGHT]]*9.81),0)</f>
        <v>0</v>
      </c>
      <c r="AB1029" s="20">
        <v>0.2</v>
      </c>
      <c r="AC1029" s="16">
        <f>ROUND(IF(IFERROR(PROPERTIES[[#This Row],[TE_COEFFICIENT_CALC]],0)=0,PROPERTIES[[#This Row],[TE_COEFFICIENT_MANUAL]],PROPERTIES[[#This Row],[TE_COEFFICIENT_CALC]]),3)</f>
        <v>0.2</v>
      </c>
      <c r="AD1029" s="39" cm="1">
        <f t="array" ref="AD10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67</v>
      </c>
      <c r="AE1029" s="26">
        <v>0</v>
      </c>
      <c r="AF1029" s="6">
        <v>0</v>
      </c>
      <c r="AG1029" s="6" t="s">
        <v>235</v>
      </c>
      <c r="AH1029" s="6" t="s">
        <v>229</v>
      </c>
      <c r="AI1029" t="s">
        <v>229</v>
      </c>
      <c r="AJ1029" s="2" t="s">
        <v>229</v>
      </c>
      <c r="AK1029" s="7" t="s">
        <v>244</v>
      </c>
      <c r="AL1029" s="6" t="str">
        <f>"PURCHASECOST_"&amp;_xlfn.XLOOKUP(_xlfn.XLOOKUP(PROPERTIES[[#This Row],[VEHIDCODE]],CONTROL[VEHIDCODE],CONTROL[VEHID_ID_CATEGORY]),VEHICLE_ID_RANGES[ID Type],VEHICLE_ID_RANGES[COST_VALUE_TYPE])&amp;"_VALUE"</f>
        <v>PURCHASECOST_METRORAILBUS_VALUE</v>
      </c>
      <c r="AM1029" s="6" t="str">
        <f>"RUNNINGCOST_"&amp;_xlfn.XLOOKUP(_xlfn.XLOOKUP(PROPERTIES[[#This Row],[VEHIDCODE]],CONTROL[VEHIDCODE],CONTROL[VEHID_ID_CATEGORY]),VEHICLE_ID_RANGES[ID Type],VEHICLE_ID_RANGES[COST_VALUE_TYPE])&amp;"_VALUE"</f>
        <v>RUNNINGCOST_METRORAILBUS_VALUE</v>
      </c>
      <c r="AN1029" s="2" t="str">
        <f>SUBSTITUTE(SUBSTITUTE(PROPERTIES[[#This Row],[PURCHASECOST_VALUE]], "PURCHASECOST_", ""), "_VALUE", "")</f>
        <v>METRORAILBUS</v>
      </c>
      <c r="AO1029" s="44" t="b">
        <v>0</v>
      </c>
      <c r="AP1029" s="48" t="b">
        <v>0</v>
      </c>
      <c r="AQ1029" s="48" t="b">
        <v>0</v>
      </c>
      <c r="AR1029" s="48">
        <v>0</v>
      </c>
      <c r="AS1029" s="48" t="b">
        <v>0</v>
      </c>
      <c r="AT1029" s="7" t="b">
        <v>0</v>
      </c>
      <c r="AU1029" s="40" t="str" cm="1">
        <f t="array" ref="AU1029">_xlfn.XLOOKUP(PROPERTIES[[#This Row],[VEHIDCODE]],GRAPHICS_PROPERTIES[VEHIDCODE],GRAPHICS_PROPERTIES[TEMPLATE_ID]&amp;GRAPHICS_PROPERTIES[TEMPLATE_AMENDMENT_CODE])</f>
        <v>TPL_01A</v>
      </c>
    </row>
    <row r="1030" spans="1:47" x14ac:dyDescent="0.35">
      <c r="A1030" s="2" t="s">
        <v>3598</v>
      </c>
      <c r="B1030">
        <v>1952</v>
      </c>
      <c r="D1030" cm="1">
        <f t="array" ref="D10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0" s="40" t="str">
        <f>_xlfn.XLOOKUP(PROPERTIES[[#This Row],[VEHIDCODE]],CONTROL[VEHIDCODE],CONTROL[ENGLISH])</f>
        <v>Goerlitz Articulated Double Decker Coach</v>
      </c>
      <c r="G1030" s="40" t="str">
        <f>_xlfn.XLOOKUP(PROPERTIES[[#This Row],[COUNTRY]],COUNTRIES[COUNTRY_DESCRIPTION],COUNTRIES[COUNTRY_LABEL],"")</f>
        <v/>
      </c>
      <c r="H1030" t="str" cm="1">
        <f t="array" ref="H10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0" t="s">
        <v>22</v>
      </c>
      <c r="J1030">
        <v>231</v>
      </c>
      <c r="K1030">
        <v>8</v>
      </c>
      <c r="L1030">
        <v>0</v>
      </c>
      <c r="M1030" t="str" cm="1">
        <f t="array" ref="M10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0">
        <f>_xlfn.XLOOKUP("LOADINGSPEEDDEF_"&amp;PROPERTIES[[#This Row],[LOADINGSPEED]],LOADINGSPEEDDEF[TYPE],LOADINGSPEEDDEF[SPEED])</f>
        <v>60</v>
      </c>
      <c r="O1030" cm="1">
        <f t="array" ref="O10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30">
        <f>IF(ISNUMBER(SEARCH("passenger",PROPERTIES[[#This Row],[CARGODEF]])),1,0)</f>
        <v>1</v>
      </c>
      <c r="Q1030" s="23">
        <f>85/2</f>
        <v>42.5</v>
      </c>
      <c r="R1030">
        <v>0</v>
      </c>
      <c r="S1030">
        <v>0</v>
      </c>
      <c r="T1030">
        <v>0</v>
      </c>
      <c r="U1030">
        <v>0</v>
      </c>
      <c r="V1030">
        <v>120</v>
      </c>
      <c r="W1030">
        <v>0</v>
      </c>
      <c r="X1030">
        <v>0</v>
      </c>
      <c r="Y1030">
        <v>0</v>
      </c>
      <c r="Z1030" s="20">
        <v>0</v>
      </c>
      <c r="AA1030" s="19">
        <f>IFERROR(PROPERTIES[[#This Row],[TE_STARTING_KN]]/(PROPERTIES[[#This Row],[WEIGHT]]*9.81),0)</f>
        <v>0</v>
      </c>
      <c r="AB1030" s="19">
        <v>0.3</v>
      </c>
      <c r="AC1030" s="16">
        <f>ROUND(IF(IFERROR(PROPERTIES[[#This Row],[TE_COEFFICIENT_CALC]],0)=0,PROPERTIES[[#This Row],[TE_COEFFICIENT_MANUAL]],PROPERTIES[[#This Row],[TE_COEFFICIENT_CALC]]),3)</f>
        <v>0.3</v>
      </c>
      <c r="AD1030" s="8" cm="1">
        <f t="array" ref="AD10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30" s="26">
        <v>0</v>
      </c>
      <c r="AF1030" s="6">
        <v>0</v>
      </c>
      <c r="AG1030" t="s">
        <v>1945</v>
      </c>
      <c r="AH1030" t="s">
        <v>229</v>
      </c>
      <c r="AI1030" t="s">
        <v>229</v>
      </c>
      <c r="AJ1030" s="2" t="s">
        <v>229</v>
      </c>
      <c r="AK1030" s="2" t="s">
        <v>244</v>
      </c>
      <c r="AL103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3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30" s="2" t="str">
        <f>SUBSTITUTE(SUBSTITUTE(PROPERTIES[[#This Row],[PURCHASECOST_VALUE]], "PURCHASECOST_", ""), "_VALUE", "")</f>
        <v>COACH</v>
      </c>
      <c r="AO1030" s="44" t="b">
        <v>0</v>
      </c>
      <c r="AP1030" s="48" t="b">
        <v>0</v>
      </c>
      <c r="AQ1030" s="48" t="b">
        <v>0</v>
      </c>
      <c r="AR1030" s="48">
        <v>0</v>
      </c>
      <c r="AS1030" s="48" t="b">
        <v>0</v>
      </c>
      <c r="AT1030" s="7" t="b">
        <v>0</v>
      </c>
      <c r="AU1030" s="40" t="str" cm="1">
        <f t="array" ref="AU1030">_xlfn.XLOOKUP(PROPERTIES[[#This Row],[VEHIDCODE]],GRAPHICS_PROPERTIES[VEHIDCODE],GRAPHICS_PROPERTIES[TEMPLATE_ID]&amp;GRAPHICS_PROPERTIES[TEMPLATE_AMENDMENT_CODE])</f>
        <v>TPL_04S</v>
      </c>
    </row>
    <row r="1031" spans="1:47" x14ac:dyDescent="0.35">
      <c r="A1031" s="2" t="s">
        <v>3603</v>
      </c>
      <c r="B1031">
        <v>1908</v>
      </c>
      <c r="C1031">
        <v>1958</v>
      </c>
      <c r="D1031" cm="1">
        <f t="array" ref="D10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31" s="40" t="str">
        <f>_xlfn.XLOOKUP(PROPERTIES[[#This Row],[VEHIDCODE]],CONTROL[VEHIDCODE],CONTROL[ENGLISH])</f>
        <v>PRR MP54</v>
      </c>
      <c r="F1031" t="s">
        <v>757</v>
      </c>
      <c r="G1031" s="40" t="str">
        <f>_xlfn.XLOOKUP(PROPERTIES[[#This Row],[COUNTRY]],COUNTRIES[COUNTRY_DESCRIPTION],COUNTRIES[COUNTRY_LABEL],"")</f>
        <v>US</v>
      </c>
      <c r="H1031" t="str" cm="1">
        <f t="array" ref="H10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31" t="s">
        <v>15</v>
      </c>
      <c r="J1031">
        <v>72</v>
      </c>
      <c r="K1031">
        <v>8</v>
      </c>
      <c r="M1031" t="str" cm="1">
        <f t="array" ref="M10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1">
        <f>_xlfn.XLOOKUP("LOADINGSPEEDDEF_"&amp;PROPERTIES[[#This Row],[LOADINGSPEED]],LOADINGSPEEDDEF[TYPE],LOADINGSPEEDDEF[SPEED])</f>
        <v>60</v>
      </c>
      <c r="O1031" cm="1">
        <f t="array" ref="O10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31">
        <f>IF(ISNUMBER(SEARCH("passenger",PROPERTIES[[#This Row],[CARGODEF]])),1,0)</f>
        <v>1</v>
      </c>
      <c r="Q1031" s="23">
        <v>54</v>
      </c>
      <c r="R1031">
        <v>450</v>
      </c>
      <c r="S1031">
        <v>0</v>
      </c>
      <c r="T1031">
        <v>0</v>
      </c>
      <c r="U1031">
        <v>0</v>
      </c>
      <c r="V1031">
        <v>105</v>
      </c>
      <c r="W1031">
        <v>0</v>
      </c>
      <c r="X1031">
        <v>0</v>
      </c>
      <c r="Y1031">
        <v>0</v>
      </c>
      <c r="Z1031" s="20">
        <v>80</v>
      </c>
      <c r="AA1031" s="19">
        <f>IFERROR(PROPERTIES[[#This Row],[TE_STARTING_KN]]/(PROPERTIES[[#This Row],[WEIGHT]]*9.81),0)</f>
        <v>0.15101748027334164</v>
      </c>
      <c r="AB1031" s="19">
        <v>0</v>
      </c>
      <c r="AC1031" s="16">
        <f>ROUND(IF(IFERROR(PROPERTIES[[#This Row],[TE_COEFFICIENT_CALC]],0)=0,PROPERTIES[[#This Row],[TE_COEFFICIENT_MANUAL]],PROPERTIES[[#This Row],[TE_COEFFICIENT_CALC]]),3)</f>
        <v>0.151</v>
      </c>
      <c r="AD1031" s="8" cm="1">
        <f t="array" ref="AD10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1031" s="26">
        <v>72</v>
      </c>
      <c r="AF1031" s="6">
        <v>8</v>
      </c>
      <c r="AG1031" t="s">
        <v>235</v>
      </c>
      <c r="AH1031" t="s">
        <v>229</v>
      </c>
      <c r="AI1031" t="s">
        <v>229</v>
      </c>
      <c r="AJ1031" s="2" t="s">
        <v>229</v>
      </c>
      <c r="AK1031" s="2" t="s">
        <v>244</v>
      </c>
      <c r="AL103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103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1031" s="2" t="str">
        <f>SUBSTITUTE(SUBSTITUTE(PROPERTIES[[#This Row],[PURCHASECOST_VALUE]], "PURCHASECOST_", ""), "_VALUE", "")</f>
        <v>EMU</v>
      </c>
      <c r="AO1031" s="44" t="b">
        <v>0</v>
      </c>
      <c r="AP1031" s="48" t="b">
        <v>0</v>
      </c>
      <c r="AQ1031" s="48" t="b">
        <v>0</v>
      </c>
      <c r="AR1031" s="48">
        <v>0</v>
      </c>
      <c r="AS1031" s="48" t="b">
        <v>0</v>
      </c>
      <c r="AT1031" s="7" t="b">
        <v>0</v>
      </c>
      <c r="AU1031" s="40" t="str" cm="1">
        <f t="array" ref="AU1031">_xlfn.XLOOKUP(PROPERTIES[[#This Row],[VEHIDCODE]],GRAPHICS_PROPERTIES[VEHIDCODE],GRAPHICS_PROPERTIES[TEMPLATE_ID]&amp;GRAPHICS_PROPERTIES[TEMPLATE_AMENDMENT_CODE])</f>
        <v>TPL_02A</v>
      </c>
    </row>
    <row r="1032" spans="1:47" x14ac:dyDescent="0.35">
      <c r="A1032" s="2" t="s">
        <v>3604</v>
      </c>
      <c r="B1032">
        <v>1915</v>
      </c>
      <c r="C1032">
        <v>1958</v>
      </c>
      <c r="D1032" cm="1">
        <f t="array" ref="D10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32" s="40" t="str">
        <f>_xlfn.XLOOKUP(PROPERTIES[[#This Row],[VEHIDCODE]],CONTROL[VEHIDCODE],CONTROL[ENGLISH])</f>
        <v>PRR MP54</v>
      </c>
      <c r="F1032" t="s">
        <v>757</v>
      </c>
      <c r="G1032" s="40" t="str">
        <f>_xlfn.XLOOKUP(PROPERTIES[[#This Row],[COUNTRY]],COUNTRIES[COUNTRY_DESCRIPTION],COUNTRIES[COUNTRY_LABEL],"")</f>
        <v>US</v>
      </c>
      <c r="H1032" t="str" cm="1">
        <f t="array" ref="H10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32" t="s">
        <v>15</v>
      </c>
      <c r="J1032">
        <v>72</v>
      </c>
      <c r="K1032">
        <v>8</v>
      </c>
      <c r="M1032" t="str" cm="1">
        <f t="array" ref="M10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2">
        <f>_xlfn.XLOOKUP("LOADINGSPEEDDEF_"&amp;PROPERTIES[[#This Row],[LOADINGSPEED]],LOADINGSPEEDDEF[TYPE],LOADINGSPEEDDEF[SPEED])</f>
        <v>60</v>
      </c>
      <c r="O1032" cm="1">
        <f t="array" ref="O10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32">
        <f>IF(ISNUMBER(SEARCH("passenger",PROPERTIES[[#This Row],[CARGODEF]])),1,0)</f>
        <v>1</v>
      </c>
      <c r="Q1032" s="23">
        <v>54</v>
      </c>
      <c r="R1032">
        <v>450</v>
      </c>
      <c r="S1032">
        <v>0</v>
      </c>
      <c r="T1032">
        <v>0</v>
      </c>
      <c r="U1032">
        <v>0</v>
      </c>
      <c r="V1032">
        <v>105</v>
      </c>
      <c r="W1032">
        <v>0</v>
      </c>
      <c r="X1032">
        <v>0</v>
      </c>
      <c r="Y1032">
        <v>0</v>
      </c>
      <c r="Z1032" s="20">
        <v>80</v>
      </c>
      <c r="AA1032" s="19">
        <f>IFERROR(PROPERTIES[[#This Row],[TE_STARTING_KN]]/(PROPERTIES[[#This Row],[WEIGHT]]*9.81),0)</f>
        <v>0.15101748027334164</v>
      </c>
      <c r="AB1032" s="19">
        <v>0</v>
      </c>
      <c r="AC1032" s="16">
        <f>ROUND(IF(IFERROR(PROPERTIES[[#This Row],[TE_COEFFICIENT_CALC]],0)=0,PROPERTIES[[#This Row],[TE_COEFFICIENT_MANUAL]],PROPERTIES[[#This Row],[TE_COEFFICIENT_CALC]]),3)</f>
        <v>0.151</v>
      </c>
      <c r="AD1032" s="8" cm="1">
        <f t="array" ref="AD10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1032" s="26">
        <v>72</v>
      </c>
      <c r="AF1032" s="6">
        <v>8</v>
      </c>
      <c r="AG1032" t="s">
        <v>235</v>
      </c>
      <c r="AH1032" t="s">
        <v>229</v>
      </c>
      <c r="AI1032" t="s">
        <v>229</v>
      </c>
      <c r="AJ1032" s="2" t="s">
        <v>229</v>
      </c>
      <c r="AK1032" s="2" t="s">
        <v>244</v>
      </c>
      <c r="AL103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103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1032" s="2" t="str">
        <f>SUBSTITUTE(SUBSTITUTE(PROPERTIES[[#This Row],[PURCHASECOST_VALUE]], "PURCHASECOST_", ""), "_VALUE", "")</f>
        <v>EMU</v>
      </c>
      <c r="AO1032" s="44" t="b">
        <v>0</v>
      </c>
      <c r="AP1032" s="48" t="b">
        <v>0</v>
      </c>
      <c r="AQ1032" s="48" t="b">
        <v>0</v>
      </c>
      <c r="AR1032" s="48">
        <v>0</v>
      </c>
      <c r="AS1032" s="48" t="b">
        <v>0</v>
      </c>
      <c r="AT1032" s="7" t="b">
        <v>0</v>
      </c>
      <c r="AU1032" s="40" t="str" cm="1">
        <f t="array" ref="AU1032">_xlfn.XLOOKUP(PROPERTIES[[#This Row],[VEHIDCODE]],GRAPHICS_PROPERTIES[VEHIDCODE],GRAPHICS_PROPERTIES[TEMPLATE_ID]&amp;GRAPHICS_PROPERTIES[TEMPLATE_AMENDMENT_CODE])</f>
        <v>TPL_02A</v>
      </c>
    </row>
    <row r="1033" spans="1:47" x14ac:dyDescent="0.35">
      <c r="A1033" s="2" t="s">
        <v>3606</v>
      </c>
      <c r="B1033">
        <v>1908</v>
      </c>
      <c r="C1033">
        <v>1958</v>
      </c>
      <c r="D1033" cm="1">
        <f t="array" ref="D10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3" s="40" t="str">
        <f>_xlfn.XLOOKUP(PROPERTIES[[#This Row],[VEHIDCODE]],CONTROL[VEHIDCODE],CONTROL[ENGLISH])</f>
        <v>PRR P54 Commuter Coach</v>
      </c>
      <c r="G1033" s="40" t="str">
        <f>_xlfn.XLOOKUP(PROPERTIES[[#This Row],[COUNTRY]],COUNTRIES[COUNTRY_DESCRIPTION],COUNTRIES[COUNTRY_LABEL],"")</f>
        <v/>
      </c>
      <c r="H1033" t="str" cm="1">
        <f t="array" ref="H10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3" t="s">
        <v>22</v>
      </c>
      <c r="J1033">
        <v>72</v>
      </c>
      <c r="K1033">
        <v>8</v>
      </c>
      <c r="L1033">
        <v>0</v>
      </c>
      <c r="M1033" t="str" cm="1">
        <f t="array" ref="M10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3">
        <f>_xlfn.XLOOKUP("LOADINGSPEEDDEF_"&amp;PROPERTIES[[#This Row],[LOADINGSPEED]],LOADINGSPEEDDEF[TYPE],LOADINGSPEEDDEF[SPEED])</f>
        <v>60</v>
      </c>
      <c r="O1033" cm="1">
        <f t="array" ref="O10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33">
        <f>IF(ISNUMBER(SEARCH("passenger",PROPERTIES[[#This Row],[CARGODEF]])),1,0)</f>
        <v>1</v>
      </c>
      <c r="Q1033" s="23">
        <v>45</v>
      </c>
      <c r="R1033">
        <v>0</v>
      </c>
      <c r="S1033">
        <v>0</v>
      </c>
      <c r="T1033">
        <v>0</v>
      </c>
      <c r="U1033">
        <v>0</v>
      </c>
      <c r="V1033">
        <v>105</v>
      </c>
      <c r="W1033">
        <v>0</v>
      </c>
      <c r="X1033">
        <v>0</v>
      </c>
      <c r="Y1033">
        <v>0</v>
      </c>
      <c r="Z1033" s="20">
        <v>0</v>
      </c>
      <c r="AA1033" s="19">
        <f>IFERROR(PROPERTIES[[#This Row],[TE_STARTING_KN]]/(PROPERTIES[[#This Row],[WEIGHT]]*9.81),0)</f>
        <v>0</v>
      </c>
      <c r="AB1033" s="19">
        <v>0.3</v>
      </c>
      <c r="AC1033" s="16">
        <f>ROUND(IF(IFERROR(PROPERTIES[[#This Row],[TE_COEFFICIENT_CALC]],0)=0,PROPERTIES[[#This Row],[TE_COEFFICIENT_MANUAL]],PROPERTIES[[#This Row],[TE_COEFFICIENT_CALC]]),3)</f>
        <v>0.3</v>
      </c>
      <c r="AD1033" s="8" cm="1">
        <f t="array" ref="AD10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1033" s="26">
        <v>0</v>
      </c>
      <c r="AF1033" s="6">
        <v>0</v>
      </c>
      <c r="AG1033" t="s">
        <v>235</v>
      </c>
      <c r="AH1033" t="s">
        <v>229</v>
      </c>
      <c r="AI1033" t="s">
        <v>229</v>
      </c>
      <c r="AJ1033" s="2" t="s">
        <v>229</v>
      </c>
      <c r="AK1033" s="2" t="s">
        <v>244</v>
      </c>
      <c r="AL103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3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33" s="2" t="str">
        <f>SUBSTITUTE(SUBSTITUTE(PROPERTIES[[#This Row],[PURCHASECOST_VALUE]], "PURCHASECOST_", ""), "_VALUE", "")</f>
        <v>COACH</v>
      </c>
      <c r="AO1033" s="44" t="b">
        <v>0</v>
      </c>
      <c r="AP1033" s="48" t="b">
        <v>0</v>
      </c>
      <c r="AQ1033" s="48" t="b">
        <v>0</v>
      </c>
      <c r="AR1033" s="48">
        <v>0</v>
      </c>
      <c r="AS1033" s="48" t="b">
        <v>0</v>
      </c>
      <c r="AT1033" s="7" t="b">
        <v>0</v>
      </c>
      <c r="AU1033" s="40" t="str" cm="1">
        <f t="array" ref="AU1033">_xlfn.XLOOKUP(PROPERTIES[[#This Row],[VEHIDCODE]],GRAPHICS_PROPERTIES[VEHIDCODE],GRAPHICS_PROPERTIES[TEMPLATE_ID]&amp;GRAPHICS_PROPERTIES[TEMPLATE_AMENDMENT_CODE])</f>
        <v>TPL_04A</v>
      </c>
    </row>
    <row r="1034" spans="1:47" x14ac:dyDescent="0.35">
      <c r="A1034" s="2" t="s">
        <v>3605</v>
      </c>
      <c r="B1034">
        <v>1908</v>
      </c>
      <c r="C1034">
        <v>1958</v>
      </c>
      <c r="D1034" cm="1">
        <f t="array" ref="D10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4" s="40" t="str">
        <f>_xlfn.XLOOKUP(PROPERTIES[[#This Row],[VEHIDCODE]],CONTROL[VEHIDCODE],CONTROL[ENGLISH])</f>
        <v>PRR P54 Mail Coach</v>
      </c>
      <c r="G1034" s="40" t="str">
        <f>_xlfn.XLOOKUP(PROPERTIES[[#This Row],[COUNTRY]],COUNTRIES[COUNTRY_DESCRIPTION],COUNTRIES[COUNTRY_LABEL],"")</f>
        <v/>
      </c>
      <c r="H1034" t="str" cm="1">
        <f t="array" ref="H10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4" t="s">
        <v>36</v>
      </c>
      <c r="J1034">
        <v>72</v>
      </c>
      <c r="K1034">
        <v>8</v>
      </c>
      <c r="L1034">
        <v>0</v>
      </c>
      <c r="M1034" t="str" cm="1">
        <f t="array" ref="M10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1034">
        <f>_xlfn.XLOOKUP("LOADINGSPEEDDEF_"&amp;PROPERTIES[[#This Row],[LOADINGSPEED]],LOADINGSPEEDDEF[TYPE],LOADINGSPEEDDEF[SPEED])</f>
        <v>15</v>
      </c>
      <c r="O1034" cm="1">
        <f t="array" ref="O10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34">
        <f>IF(ISNUMBER(SEARCH("passenger",PROPERTIES[[#This Row],[CARGODEF]])),1,0)</f>
        <v>0</v>
      </c>
      <c r="Q1034" s="23">
        <v>45</v>
      </c>
      <c r="R1034">
        <v>0</v>
      </c>
      <c r="S1034">
        <v>0</v>
      </c>
      <c r="T1034">
        <v>0</v>
      </c>
      <c r="U1034">
        <v>0</v>
      </c>
      <c r="V1034">
        <v>105</v>
      </c>
      <c r="W1034">
        <v>0</v>
      </c>
      <c r="X1034">
        <v>0</v>
      </c>
      <c r="Y1034">
        <v>0</v>
      </c>
      <c r="Z1034" s="20">
        <v>0</v>
      </c>
      <c r="AA1034" s="19">
        <f>IFERROR(PROPERTIES[[#This Row],[TE_STARTING_KN]]/(PROPERTIES[[#This Row],[WEIGHT]]*9.81),0)</f>
        <v>0</v>
      </c>
      <c r="AB1034" s="19">
        <v>0.3</v>
      </c>
      <c r="AC1034" s="16">
        <f>ROUND(IF(IFERROR(PROPERTIES[[#This Row],[TE_COEFFICIENT_CALC]],0)=0,PROPERTIES[[#This Row],[TE_COEFFICIENT_MANUAL]],PROPERTIES[[#This Row],[TE_COEFFICIENT_CALC]]),3)</f>
        <v>0.3</v>
      </c>
      <c r="AD1034" s="8" cm="1">
        <f t="array" ref="AD10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1034" s="26">
        <v>0</v>
      </c>
      <c r="AF1034" s="6">
        <v>0</v>
      </c>
      <c r="AG1034" t="s">
        <v>235</v>
      </c>
      <c r="AH1034" t="s">
        <v>229</v>
      </c>
      <c r="AI1034" t="s">
        <v>229</v>
      </c>
      <c r="AJ1034" s="2" t="s">
        <v>229</v>
      </c>
      <c r="AK1034" s="2" t="s">
        <v>244</v>
      </c>
      <c r="AL103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3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34" s="2" t="str">
        <f>SUBSTITUTE(SUBSTITUTE(PROPERTIES[[#This Row],[PURCHASECOST_VALUE]], "PURCHASECOST_", ""), "_VALUE", "")</f>
        <v>COACH</v>
      </c>
      <c r="AO1034" s="44" t="b">
        <v>0</v>
      </c>
      <c r="AP1034" s="48" t="b">
        <v>0</v>
      </c>
      <c r="AQ1034" s="48" t="b">
        <v>0</v>
      </c>
      <c r="AR1034" s="48">
        <v>0</v>
      </c>
      <c r="AS1034" s="48" t="b">
        <v>0</v>
      </c>
      <c r="AT1034" s="7" t="b">
        <v>0</v>
      </c>
      <c r="AU1034" s="40" t="str" cm="1">
        <f t="array" ref="AU1034">_xlfn.XLOOKUP(PROPERTIES[[#This Row],[VEHIDCODE]],GRAPHICS_PROPERTIES[VEHIDCODE],GRAPHICS_PROPERTIES[TEMPLATE_ID]&amp;GRAPHICS_PROPERTIES[TEMPLATE_AMENDMENT_CODE])</f>
        <v>TPL_04A</v>
      </c>
    </row>
    <row r="1035" spans="1:47" x14ac:dyDescent="0.35">
      <c r="A1035" s="2" t="s">
        <v>3612</v>
      </c>
      <c r="B1035">
        <v>1932</v>
      </c>
      <c r="D1035" cm="1">
        <f t="array" ref="D10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5" s="40" t="str">
        <f>_xlfn.XLOOKUP(PROPERTIES[[#This Row],[VEHIDCODE]],CONTROL[VEHIDCODE],CONTROL[ENGLISH])</f>
        <v>PRR P70 Bilevel Coach</v>
      </c>
      <c r="G1035" s="40" t="str">
        <f>_xlfn.XLOOKUP(PROPERTIES[[#This Row],[COUNTRY]],COUNTRIES[COUNTRY_DESCRIPTION],COUNTRIES[COUNTRY_LABEL],"")</f>
        <v/>
      </c>
      <c r="H1035" t="str" cm="1">
        <f t="array" ref="H10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5" t="s">
        <v>22</v>
      </c>
      <c r="J1035">
        <v>134</v>
      </c>
      <c r="K1035">
        <v>8</v>
      </c>
      <c r="L1035">
        <v>0</v>
      </c>
      <c r="M1035" t="str" cm="1">
        <f t="array" ref="M10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5">
        <f>_xlfn.XLOOKUP("LOADINGSPEEDDEF_"&amp;PROPERTIES[[#This Row],[LOADINGSPEED]],LOADINGSPEEDDEF[TYPE],LOADINGSPEEDDEF[SPEED])</f>
        <v>60</v>
      </c>
      <c r="O1035" cm="1">
        <f t="array" ref="O10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35">
        <f>IF(ISNUMBER(SEARCH("passenger",PROPERTIES[[#This Row],[CARGODEF]])),1,0)</f>
        <v>1</v>
      </c>
      <c r="Q1035" s="23">
        <v>52</v>
      </c>
      <c r="R1035">
        <v>0</v>
      </c>
      <c r="S1035">
        <v>0</v>
      </c>
      <c r="T1035">
        <v>0</v>
      </c>
      <c r="U1035">
        <v>0</v>
      </c>
      <c r="V1035">
        <v>105</v>
      </c>
      <c r="W1035">
        <v>0</v>
      </c>
      <c r="X1035">
        <v>0</v>
      </c>
      <c r="Y1035">
        <v>0</v>
      </c>
      <c r="Z1035" s="20">
        <v>0</v>
      </c>
      <c r="AA1035" s="20">
        <f>IFERROR(PROPERTIES[[#This Row],[TE_STARTING_KN]]/(PROPERTIES[[#This Row],[WEIGHT]]*9.81),0)</f>
        <v>0</v>
      </c>
      <c r="AB1035" s="20">
        <v>0</v>
      </c>
      <c r="AC1035" s="16">
        <f>ROUND(IF(IFERROR(PROPERTIES[[#This Row],[TE_COEFFICIENT_CALC]],0)=0,PROPERTIES[[#This Row],[TE_COEFFICIENT_MANUAL]],PROPERTIES[[#This Row],[TE_COEFFICIENT_CALC]]),3)</f>
        <v>0</v>
      </c>
      <c r="AD1035" s="39" cm="1">
        <f t="array" ref="AD10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35" s="26">
        <v>134</v>
      </c>
      <c r="AF1035" s="6">
        <v>0</v>
      </c>
      <c r="AG1035" t="s">
        <v>235</v>
      </c>
      <c r="AH1035" t="s">
        <v>229</v>
      </c>
      <c r="AI1035" t="s">
        <v>229</v>
      </c>
      <c r="AJ1035" s="2" t="s">
        <v>229</v>
      </c>
      <c r="AK1035" s="2" t="s">
        <v>245</v>
      </c>
      <c r="AL103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3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35" s="2" t="str">
        <f>SUBSTITUTE(SUBSTITUTE(PROPERTIES[[#This Row],[PURCHASECOST_VALUE]], "PURCHASECOST_", ""), "_VALUE", "")</f>
        <v>COACH</v>
      </c>
      <c r="AO1035" s="44" t="b">
        <v>0</v>
      </c>
      <c r="AP1035" s="48" t="b">
        <v>1</v>
      </c>
      <c r="AQ1035" s="48" t="b">
        <v>0</v>
      </c>
      <c r="AR1035" s="48">
        <v>0</v>
      </c>
      <c r="AS1035" s="48" t="b">
        <v>0</v>
      </c>
      <c r="AT1035" s="7" t="b">
        <v>0</v>
      </c>
      <c r="AU1035" s="40" t="str" cm="1">
        <f t="array" ref="AU1035">_xlfn.XLOOKUP(PROPERTIES[[#This Row],[VEHIDCODE]],GRAPHICS_PROPERTIES[VEHIDCODE],GRAPHICS_PROPERTIES[TEMPLATE_ID]&amp;GRAPHICS_PROPERTIES[TEMPLATE_AMENDMENT_CODE])</f>
        <v>TPL_04A</v>
      </c>
    </row>
    <row r="1036" spans="1:47" x14ac:dyDescent="0.35">
      <c r="A1036" s="2" t="s">
        <v>3614</v>
      </c>
      <c r="B1036">
        <v>1981</v>
      </c>
      <c r="D1036" cm="1">
        <f t="array" ref="D10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6" s="40" t="str">
        <f>_xlfn.XLOOKUP(PROPERTIES[[#This Row],[VEHIDCODE]],CONTROL[VEHIDCODE],CONTROL[ENGLISH])</f>
        <v>LTZ 2TE10M</v>
      </c>
      <c r="F1036" t="s">
        <v>716</v>
      </c>
      <c r="G1036" s="40" t="str">
        <f>_xlfn.XLOOKUP(PROPERTIES[[#This Row],[COUNTRY]],COUNTRIES[COUNTRY_DESCRIPTION],COUNTRIES[COUNTRY_LABEL],"")</f>
        <v>RU</v>
      </c>
      <c r="H1036" t="str" cm="1">
        <f t="array" ref="H10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6" t="s">
        <v>17</v>
      </c>
      <c r="J1036">
        <v>0</v>
      </c>
      <c r="K1036">
        <v>8</v>
      </c>
      <c r="L1036">
        <v>0</v>
      </c>
      <c r="M1036" t="str" cm="1">
        <f t="array" ref="M10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36">
        <f>_xlfn.XLOOKUP("LOADINGSPEEDDEF_"&amp;PROPERTIES[[#This Row],[LOADINGSPEED]],LOADINGSPEEDDEF[TYPE],LOADINGSPEEDDEF[SPEED])</f>
        <v>20</v>
      </c>
      <c r="O1036" cm="1">
        <f t="array" ref="O10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36">
        <f>IF(ISNUMBER(SEARCH("passenger",PROPERTIES[[#This Row],[CARGODEF]])),1,0)</f>
        <v>0</v>
      </c>
      <c r="Q1036" s="23">
        <f>276/2</f>
        <v>138</v>
      </c>
      <c r="R1036">
        <f>6160/2</f>
        <v>3080</v>
      </c>
      <c r="S1036">
        <v>0</v>
      </c>
      <c r="T1036">
        <v>0</v>
      </c>
      <c r="U1036">
        <v>0</v>
      </c>
      <c r="V1036">
        <v>100</v>
      </c>
      <c r="W1036">
        <v>0</v>
      </c>
      <c r="X1036">
        <v>0</v>
      </c>
      <c r="Y1036">
        <v>0</v>
      </c>
      <c r="Z1036" s="20">
        <f>784/2</f>
        <v>392</v>
      </c>
      <c r="AA1036" s="19">
        <f>IFERROR(PROPERTIES[[#This Row],[TE_STARTING_KN]]/(PROPERTIES[[#This Row],[WEIGHT]]*9.81),0)</f>
        <v>0.28955960348062465</v>
      </c>
      <c r="AB1036" s="19">
        <v>0</v>
      </c>
      <c r="AC1036" s="16">
        <f>ROUND(IF(IFERROR(PROPERTIES[[#This Row],[TE_COEFFICIENT_CALC]],0)=0,PROPERTIES[[#This Row],[TE_COEFFICIENT_MANUAL]],PROPERTIES[[#This Row],[TE_COEFFICIENT_CALC]]),3)</f>
        <v>0.28999999999999998</v>
      </c>
      <c r="AD1036" s="8" cm="1">
        <f t="array" ref="AD10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36" s="26">
        <v>0</v>
      </c>
      <c r="AF1036" s="6">
        <v>0</v>
      </c>
      <c r="AG1036" t="s">
        <v>1951</v>
      </c>
      <c r="AH1036" t="s">
        <v>229</v>
      </c>
      <c r="AI1036" t="s">
        <v>229</v>
      </c>
      <c r="AJ1036" s="2" t="s">
        <v>229</v>
      </c>
      <c r="AK1036" s="2" t="s">
        <v>244</v>
      </c>
      <c r="AL103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3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36" s="2" t="str">
        <f>SUBSTITUTE(SUBSTITUTE(PROPERTIES[[#This Row],[PURCHASECOST_VALUE]], "PURCHASECOST_", ""), "_VALUE", "")</f>
        <v>DIESELENGINE</v>
      </c>
      <c r="AO1036" s="44" t="b">
        <v>0</v>
      </c>
      <c r="AP1036" s="48" t="b">
        <v>0</v>
      </c>
      <c r="AQ1036" s="48" t="b">
        <v>0</v>
      </c>
      <c r="AR1036" s="48">
        <v>0</v>
      </c>
      <c r="AS1036" s="48" t="b">
        <v>0</v>
      </c>
      <c r="AT1036" s="7" t="b">
        <v>0</v>
      </c>
      <c r="AU1036" s="40" t="str" cm="1">
        <f t="array" ref="AU1036">_xlfn.XLOOKUP(PROPERTIES[[#This Row],[VEHIDCODE]],GRAPHICS_PROPERTIES[VEHIDCODE],GRAPHICS_PROPERTIES[TEMPLATE_ID]&amp;GRAPHICS_PROPERTIES[TEMPLATE_AMENDMENT_CODE])</f>
        <v>TPL_03F</v>
      </c>
    </row>
    <row r="1037" spans="1:47" x14ac:dyDescent="0.35">
      <c r="A1037" s="2" t="s">
        <v>3615</v>
      </c>
      <c r="B1037">
        <v>1988</v>
      </c>
      <c r="C1037">
        <v>1990</v>
      </c>
      <c r="D1037" cm="1">
        <f t="array" ref="D10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7" s="40" t="str">
        <f>_xlfn.XLOOKUP(PROPERTIES[[#This Row],[VEHIDCODE]],CONTROL[VEHIDCODE],CONTROL[ENGLISH])</f>
        <v>LTZ 2TE126</v>
      </c>
      <c r="F1037" t="s">
        <v>754</v>
      </c>
      <c r="G1037" s="40" t="str">
        <f>_xlfn.XLOOKUP(PROPERTIES[[#This Row],[COUNTRY]],COUNTRIES[COUNTRY_DESCRIPTION],COUNTRIES[COUNTRY_LABEL],"")</f>
        <v>UA</v>
      </c>
      <c r="H1037" t="str" cm="1">
        <f t="array" ref="H10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7" t="s">
        <v>17</v>
      </c>
      <c r="J1037">
        <v>0</v>
      </c>
      <c r="K1037">
        <v>8</v>
      </c>
      <c r="M1037" t="str" cm="1">
        <f t="array" ref="M10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37">
        <f>_xlfn.XLOOKUP("LOADINGSPEEDDEF_"&amp;PROPERTIES[[#This Row],[LOADINGSPEED]],LOADINGSPEEDDEF[TYPE],LOADINGSPEEDDEF[SPEED])</f>
        <v>20</v>
      </c>
      <c r="O1037" t="str" cm="1">
        <f t="array" ref="O10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37">
        <f>IF(ISNUMBER(SEARCH("passenger",PROPERTIES[[#This Row],[CARGODEF]])),1,0)</f>
        <v>0</v>
      </c>
      <c r="Q1037" s="23">
        <v>230</v>
      </c>
      <c r="R1037">
        <v>6000</v>
      </c>
      <c r="S1037">
        <v>0</v>
      </c>
      <c r="T1037">
        <v>0</v>
      </c>
      <c r="U1037">
        <v>0</v>
      </c>
      <c r="V1037">
        <v>100</v>
      </c>
      <c r="W1037">
        <v>0</v>
      </c>
      <c r="X1037">
        <v>0</v>
      </c>
      <c r="Y1037">
        <v>0</v>
      </c>
      <c r="Z1037" s="20">
        <v>470</v>
      </c>
      <c r="AA1037" s="19">
        <f>IFERROR(PROPERTIES[[#This Row],[TE_STARTING_KN]]/(PROPERTIES[[#This Row],[WEIGHT]]*9.81),0)</f>
        <v>0.20830563311616362</v>
      </c>
      <c r="AB1037" s="19">
        <v>0</v>
      </c>
      <c r="AC1037" s="16">
        <f>ROUND(IF(IFERROR(PROPERTIES[[#This Row],[TE_COEFFICIENT_CALC]],0)=0,PROPERTIES[[#This Row],[TE_COEFFICIENT_MANUAL]],PROPERTIES[[#This Row],[TE_COEFFICIENT_CALC]]),3)</f>
        <v>0.20799999999999999</v>
      </c>
      <c r="AD1037" s="8" cm="1">
        <f t="array" ref="AD10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37" s="26">
        <v>0</v>
      </c>
      <c r="AF1037" s="6">
        <v>2</v>
      </c>
      <c r="AG1037" t="s">
        <v>1948</v>
      </c>
      <c r="AH1037" t="s">
        <v>229</v>
      </c>
      <c r="AI1037" t="s">
        <v>229</v>
      </c>
      <c r="AJ1037" s="2" t="s">
        <v>229</v>
      </c>
      <c r="AK1037" s="2" t="s">
        <v>244</v>
      </c>
      <c r="AL103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3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37" s="2" t="str">
        <f>SUBSTITUTE(SUBSTITUTE(PROPERTIES[[#This Row],[PURCHASECOST_VALUE]], "PURCHASECOST_", ""), "_VALUE", "")</f>
        <v>DIESELENGINE</v>
      </c>
      <c r="AO1037" s="44" t="b">
        <v>0</v>
      </c>
      <c r="AP1037" s="48" t="b">
        <v>0</v>
      </c>
      <c r="AQ1037" s="48" t="b">
        <v>0</v>
      </c>
      <c r="AR1037" s="48">
        <v>0</v>
      </c>
      <c r="AS1037" s="48" t="b">
        <v>0</v>
      </c>
      <c r="AT1037" s="7" t="b">
        <v>0</v>
      </c>
      <c r="AU1037" s="40" t="str" cm="1">
        <f t="array" ref="AU1037">_xlfn.XLOOKUP(PROPERTIES[[#This Row],[VEHIDCODE]],GRAPHICS_PROPERTIES[VEHIDCODE],GRAPHICS_PROPERTIES[TEMPLATE_ID]&amp;GRAPHICS_PROPERTIES[TEMPLATE_AMENDMENT_CODE])</f>
        <v>TPL_32D</v>
      </c>
    </row>
    <row r="1038" spans="1:47" x14ac:dyDescent="0.35">
      <c r="A1038" s="2" t="s">
        <v>3616</v>
      </c>
      <c r="B1038">
        <v>1989</v>
      </c>
      <c r="D1038" cm="1">
        <f t="array" ref="D10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8" s="40" t="str">
        <f>_xlfn.XLOOKUP(PROPERTIES[[#This Row],[VEHIDCODE]],CONTROL[VEHIDCODE],CONTROL[ENGLISH])</f>
        <v>LTZ 2TE10Ut</v>
      </c>
      <c r="F1038" t="s">
        <v>754</v>
      </c>
      <c r="G1038" s="40" t="str">
        <f>_xlfn.XLOOKUP(PROPERTIES[[#This Row],[COUNTRY]],COUNTRIES[COUNTRY_DESCRIPTION],COUNTRIES[COUNTRY_LABEL],"")</f>
        <v>UA</v>
      </c>
      <c r="H1038" t="str" cm="1">
        <f t="array" ref="H10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8" t="s">
        <v>17</v>
      </c>
      <c r="J1038">
        <v>0</v>
      </c>
      <c r="K1038">
        <v>8</v>
      </c>
      <c r="L1038">
        <v>0</v>
      </c>
      <c r="M1038" t="str" cm="1">
        <f t="array" ref="M10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38">
        <f>_xlfn.XLOOKUP("LOADINGSPEEDDEF_"&amp;PROPERTIES[[#This Row],[LOADINGSPEED]],LOADINGSPEEDDEF[TYPE],LOADINGSPEEDDEF[SPEED])</f>
        <v>20</v>
      </c>
      <c r="O1038" t="str" cm="1">
        <f t="array" ref="O10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38">
        <f>IF(ISNUMBER(SEARCH("passenger",PROPERTIES[[#This Row],[CARGODEF]])),1,0)</f>
        <v>0</v>
      </c>
      <c r="Q1038" s="23">
        <f>276/2</f>
        <v>138</v>
      </c>
      <c r="R1038">
        <f>4560/2</f>
        <v>2280</v>
      </c>
      <c r="S1038">
        <v>0</v>
      </c>
      <c r="T1038">
        <v>0</v>
      </c>
      <c r="U1038">
        <v>0</v>
      </c>
      <c r="V1038">
        <v>120</v>
      </c>
      <c r="W1038">
        <v>0</v>
      </c>
      <c r="X1038">
        <v>0</v>
      </c>
      <c r="Y1038">
        <v>0</v>
      </c>
      <c r="Z1038" s="20">
        <v>0</v>
      </c>
      <c r="AA1038" s="19">
        <f>IFERROR(PROPERTIES[[#This Row],[TE_STARTING_KN]]/(PROPERTIES[[#This Row],[WEIGHT]]*9.81),0)</f>
        <v>0</v>
      </c>
      <c r="AB1038" s="19">
        <v>0.15</v>
      </c>
      <c r="AC1038" s="16">
        <f>ROUND(IF(IFERROR(PROPERTIES[[#This Row],[TE_COEFFICIENT_CALC]],0)=0,PROPERTIES[[#This Row],[TE_COEFFICIENT_MANUAL]],PROPERTIES[[#This Row],[TE_COEFFICIENT_CALC]]),3)</f>
        <v>0.15</v>
      </c>
      <c r="AD1038" s="8" cm="1">
        <f t="array" ref="AD10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38" s="26">
        <v>0</v>
      </c>
      <c r="AF1038" s="6">
        <v>0</v>
      </c>
      <c r="AG1038" t="s">
        <v>1948</v>
      </c>
      <c r="AH1038" t="s">
        <v>229</v>
      </c>
      <c r="AI1038" t="s">
        <v>229</v>
      </c>
      <c r="AJ1038" s="2" t="s">
        <v>229</v>
      </c>
      <c r="AK1038" s="2" t="s">
        <v>244</v>
      </c>
      <c r="AL103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3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38" s="2" t="str">
        <f>SUBSTITUTE(SUBSTITUTE(PROPERTIES[[#This Row],[PURCHASECOST_VALUE]], "PURCHASECOST_", ""), "_VALUE", "")</f>
        <v>DIESELENGINE</v>
      </c>
      <c r="AO1038" s="44" t="b">
        <v>0</v>
      </c>
      <c r="AP1038" s="48" t="b">
        <v>0</v>
      </c>
      <c r="AQ1038" s="48" t="b">
        <v>0</v>
      </c>
      <c r="AR1038" s="48">
        <v>0</v>
      </c>
      <c r="AS1038" s="48" t="b">
        <v>0</v>
      </c>
      <c r="AT1038" s="7" t="b">
        <v>0</v>
      </c>
      <c r="AU1038" s="40" t="str" cm="1">
        <f t="array" ref="AU1038">_xlfn.XLOOKUP(PROPERTIES[[#This Row],[VEHIDCODE]],GRAPHICS_PROPERTIES[VEHIDCODE],GRAPHICS_PROPERTIES[TEMPLATE_ID]&amp;GRAPHICS_PROPERTIES[TEMPLATE_AMENDMENT_CODE])</f>
        <v>TPL_03F</v>
      </c>
    </row>
    <row r="1039" spans="1:47" x14ac:dyDescent="0.35">
      <c r="A1039" t="s">
        <v>3656</v>
      </c>
      <c r="B1039">
        <v>1984</v>
      </c>
      <c r="D1039" cm="1">
        <f t="array" ref="D10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9" s="40" t="str">
        <f>_xlfn.XLOOKUP(PROPERTIES[[#This Row],[VEHIDCODE]],CONTROL[VEHIDCODE],CONTROL[ENGLISH])</f>
        <v>Faur A20D-P</v>
      </c>
      <c r="F1039" t="s">
        <v>714</v>
      </c>
      <c r="G1039" s="40" t="str">
        <f>_xlfn.XLOOKUP(PROPERTIES[[#This Row],[COUNTRY]],COUNTRIES[COUNTRY_DESCRIPTION],COUNTRIES[COUNTRY_LABEL],"")</f>
        <v>RO</v>
      </c>
      <c r="H1039" t="str" cm="1">
        <f t="array" ref="H10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9" t="s">
        <v>22</v>
      </c>
      <c r="J1039">
        <v>39</v>
      </c>
      <c r="K1039">
        <v>8</v>
      </c>
      <c r="L1039">
        <v>0</v>
      </c>
      <c r="M1039" t="str" cm="1">
        <f t="array" ref="M10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9">
        <f>_xlfn.XLOOKUP("LOADINGSPEEDDEF_"&amp;PROPERTIES[[#This Row],[LOADINGSPEED]],LOADINGSPEEDDEF[TYPE],LOADINGSPEEDDEF[SPEED])</f>
        <v>60</v>
      </c>
      <c r="O1039" cm="1">
        <f t="array" ref="O10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39">
        <f>IF(ISNUMBER(SEARCH("passenger",PROPERTIES[[#This Row],[CARGODEF]])),1,0)</f>
        <v>1</v>
      </c>
      <c r="Q1039" s="23">
        <v>62.4</v>
      </c>
      <c r="R1039">
        <f>INT(1.341*141)</f>
        <v>189</v>
      </c>
      <c r="S1039">
        <v>0</v>
      </c>
      <c r="T1039">
        <v>0</v>
      </c>
      <c r="U1039">
        <v>0</v>
      </c>
      <c r="V1039">
        <v>60</v>
      </c>
      <c r="W1039">
        <v>0</v>
      </c>
      <c r="X1039">
        <v>0</v>
      </c>
      <c r="Y1039">
        <v>0</v>
      </c>
      <c r="Z1039" s="20">
        <v>0</v>
      </c>
      <c r="AA1039" s="20">
        <f>IFERROR(PROPERTIES[[#This Row],[TE_STARTING_KN]]/(PROPERTIES[[#This Row],[WEIGHT]]*9.81),0)</f>
        <v>0</v>
      </c>
      <c r="AB1039" s="20">
        <v>0.2</v>
      </c>
      <c r="AC1039" s="16">
        <f>ROUND(IF(IFERROR(PROPERTIES[[#This Row],[TE_COEFFICIENT_CALC]],0)=0,PROPERTIES[[#This Row],[TE_COEFFICIENT_MANUAL]],PROPERTIES[[#This Row],[TE_COEFFICIENT_CALC]]),3)</f>
        <v>0.2</v>
      </c>
      <c r="AD1039" s="39" cm="1">
        <f t="array" ref="AD10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39" s="26">
        <v>0</v>
      </c>
      <c r="AF1039" s="6">
        <v>0</v>
      </c>
      <c r="AG1039" s="6" t="s">
        <v>236</v>
      </c>
      <c r="AH1039" t="s">
        <v>229</v>
      </c>
      <c r="AI1039" t="s">
        <v>229</v>
      </c>
      <c r="AJ1039" s="2" t="s">
        <v>229</v>
      </c>
      <c r="AK1039" s="2" t="s">
        <v>244</v>
      </c>
      <c r="AL103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03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039" s="2" t="str">
        <f>SUBSTITUTE(SUBSTITUTE(PROPERTIES[[#This Row],[PURCHASECOST_VALUE]], "PURCHASECOST_", ""), "_VALUE", "")</f>
        <v>DIESELRAILBUS</v>
      </c>
      <c r="AO1039" s="44" t="b">
        <v>0</v>
      </c>
      <c r="AP1039" s="48" t="b">
        <v>0</v>
      </c>
      <c r="AQ1039" s="48" t="b">
        <v>0</v>
      </c>
      <c r="AR1039" s="48">
        <v>0</v>
      </c>
      <c r="AS1039" s="48" t="b">
        <v>0</v>
      </c>
      <c r="AT1039" s="7" t="b">
        <v>0</v>
      </c>
      <c r="AU1039" s="40" t="str" cm="1">
        <f t="array" ref="AU1039">_xlfn.XLOOKUP(PROPERTIES[[#This Row],[VEHIDCODE]],GRAPHICS_PROPERTIES[VEHIDCODE],GRAPHICS_PROPERTIES[TEMPLATE_ID]&amp;GRAPHICS_PROPERTIES[TEMPLATE_AMENDMENT_CODE])</f>
        <v>TPL_01A</v>
      </c>
    </row>
    <row r="1040" spans="1:47" x14ac:dyDescent="0.35">
      <c r="A1040" s="2" t="s">
        <v>3619</v>
      </c>
      <c r="B1040">
        <v>1984</v>
      </c>
      <c r="D1040" cm="1">
        <f t="array" ref="D10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0" s="40" t="str">
        <f>_xlfn.XLOOKUP(PROPERTIES[[#This Row],[VEHIDCODE]],CONTROL[VEHIDCODE],CONTROL[ENGLISH])</f>
        <v>Faur A20D-P Trailer</v>
      </c>
      <c r="G1040" s="40" t="str">
        <f>_xlfn.XLOOKUP(PROPERTIES[[#This Row],[COUNTRY]],COUNTRIES[COUNTRY_DESCRIPTION],COUNTRIES[COUNTRY_LABEL],"")</f>
        <v/>
      </c>
      <c r="H1040" t="str" cm="1">
        <f t="array" ref="H10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40" t="s">
        <v>22</v>
      </c>
      <c r="J1040">
        <v>45</v>
      </c>
      <c r="K1040">
        <v>8</v>
      </c>
      <c r="L1040">
        <v>0</v>
      </c>
      <c r="M1040" t="str" cm="1">
        <f t="array" ref="M10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40">
        <f>_xlfn.XLOOKUP("LOADINGSPEEDDEF_"&amp;PROPERTIES[[#This Row],[LOADINGSPEED]],LOADINGSPEEDDEF[TYPE],LOADINGSPEEDDEF[SPEED])</f>
        <v>60</v>
      </c>
      <c r="O1040" cm="1">
        <f t="array" ref="O10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40">
        <f>IF(ISNUMBER(SEARCH("passenger",PROPERTIES[[#This Row],[CARGODEF]])),1,0)</f>
        <v>1</v>
      </c>
      <c r="Q1040" s="23">
        <v>19</v>
      </c>
      <c r="R1040">
        <v>0</v>
      </c>
      <c r="S1040">
        <v>0</v>
      </c>
      <c r="T1040">
        <v>0</v>
      </c>
      <c r="U1040">
        <v>0</v>
      </c>
      <c r="V1040">
        <v>60</v>
      </c>
      <c r="W1040">
        <v>0</v>
      </c>
      <c r="X1040">
        <v>0</v>
      </c>
      <c r="Y1040">
        <v>0</v>
      </c>
      <c r="Z1040" s="20">
        <v>0</v>
      </c>
      <c r="AA1040" s="20">
        <f>IFERROR(PROPERTIES[[#This Row],[TE_STARTING_KN]]/(PROPERTIES[[#This Row],[WEIGHT]]*9.81),0)</f>
        <v>0</v>
      </c>
      <c r="AB1040" s="20">
        <v>0.3</v>
      </c>
      <c r="AC1040" s="16">
        <f>ROUND(IF(IFERROR(PROPERTIES[[#This Row],[TE_COEFFICIENT_CALC]],0)=0,PROPERTIES[[#This Row],[TE_COEFFICIENT_MANUAL]],PROPERTIES[[#This Row],[TE_COEFFICIENT_CALC]]),3)</f>
        <v>0.3</v>
      </c>
      <c r="AD1040" s="39" cm="1">
        <f t="array" ref="AD10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40" s="26">
        <v>0</v>
      </c>
      <c r="AF1040" s="6">
        <v>0</v>
      </c>
      <c r="AG1040" s="6" t="s">
        <v>236</v>
      </c>
      <c r="AH1040" t="s">
        <v>229</v>
      </c>
      <c r="AI1040" t="s">
        <v>229</v>
      </c>
      <c r="AJ1040" s="2" t="s">
        <v>229</v>
      </c>
      <c r="AK1040" s="2" t="s">
        <v>244</v>
      </c>
      <c r="AL104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4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40" s="2" t="str">
        <f>SUBSTITUTE(SUBSTITUTE(PROPERTIES[[#This Row],[PURCHASECOST_VALUE]], "PURCHASECOST_", ""), "_VALUE", "")</f>
        <v>COACH</v>
      </c>
      <c r="AO1040" s="44" t="b">
        <v>0</v>
      </c>
      <c r="AP1040" s="48" t="b">
        <v>0</v>
      </c>
      <c r="AQ1040" s="48" t="b">
        <v>0</v>
      </c>
      <c r="AR1040" s="48">
        <v>0</v>
      </c>
      <c r="AS1040" s="48" t="b">
        <v>0</v>
      </c>
      <c r="AT1040" s="7" t="b">
        <v>0</v>
      </c>
      <c r="AU1040" s="40" t="str" cm="1">
        <f t="array" ref="AU1040">_xlfn.XLOOKUP(PROPERTIES[[#This Row],[VEHIDCODE]],GRAPHICS_PROPERTIES[VEHIDCODE],GRAPHICS_PROPERTIES[TEMPLATE_ID]&amp;GRAPHICS_PROPERTIES[TEMPLATE_AMENDMENT_CODE])</f>
        <v>TPL_04U</v>
      </c>
    </row>
    <row r="1041" spans="1:47" x14ac:dyDescent="0.35">
      <c r="A1041" s="2" t="s">
        <v>3621</v>
      </c>
      <c r="B1041">
        <v>1964</v>
      </c>
      <c r="C1041">
        <v>1990</v>
      </c>
      <c r="D1041" cm="1">
        <f t="array" ref="D10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1" s="40" t="str">
        <f>_xlfn.XLOOKUP(PROPERTIES[[#This Row],[VEHIDCODE]],CONTROL[VEHIDCODE],CONTROL[ENGLISH])</f>
        <v>Faur L45H</v>
      </c>
      <c r="F1041" t="s">
        <v>714</v>
      </c>
      <c r="G1041" s="40" t="str">
        <f>_xlfn.XLOOKUP(PROPERTIES[[#This Row],[COUNTRY]],COUNTRIES[COUNTRY_DESCRIPTION],COUNTRIES[COUNTRY_LABEL],"")</f>
        <v>RO</v>
      </c>
      <c r="H1041" t="str" cm="1">
        <f t="array" ref="H10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41" t="s">
        <v>17</v>
      </c>
      <c r="J1041">
        <v>0</v>
      </c>
      <c r="K1041">
        <v>5</v>
      </c>
      <c r="L1041">
        <v>0</v>
      </c>
      <c r="M1041" t="str" cm="1">
        <f t="array" ref="M10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1">
        <f>_xlfn.XLOOKUP("LOADINGSPEEDDEF_"&amp;PROPERTIES[[#This Row],[LOADINGSPEED]],LOADINGSPEEDDEF[TYPE],LOADINGSPEEDDEF[SPEED])</f>
        <v>20</v>
      </c>
      <c r="O1041" cm="1">
        <f t="array" ref="O10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1">
        <f>IF(ISNUMBER(SEARCH("passenger",PROPERTIES[[#This Row],[CARGODEF]])),1,0)</f>
        <v>0</v>
      </c>
      <c r="Q1041" s="23">
        <v>32</v>
      </c>
      <c r="R1041">
        <v>450</v>
      </c>
      <c r="S1041">
        <v>0</v>
      </c>
      <c r="T1041">
        <v>0</v>
      </c>
      <c r="U1041">
        <v>0</v>
      </c>
      <c r="V1041">
        <v>40</v>
      </c>
      <c r="W1041">
        <v>0</v>
      </c>
      <c r="X1041">
        <v>0</v>
      </c>
      <c r="Y1041">
        <v>0</v>
      </c>
      <c r="Z1041" s="20">
        <v>0</v>
      </c>
      <c r="AA1041" s="20">
        <f>IFERROR(PROPERTIES[[#This Row],[TE_STARTING_KN]]/(PROPERTIES[[#This Row],[WEIGHT]]*9.81),0)</f>
        <v>0</v>
      </c>
      <c r="AB1041" s="20">
        <v>0.2</v>
      </c>
      <c r="AC1041" s="16">
        <f>ROUND(IF(IFERROR(PROPERTIES[[#This Row],[TE_COEFFICIENT_CALC]],0)=0,PROPERTIES[[#This Row],[TE_COEFFICIENT_MANUAL]],PROPERTIES[[#This Row],[TE_COEFFICIENT_CALC]]),3)</f>
        <v>0.2</v>
      </c>
      <c r="AD1041" s="39" cm="1">
        <f t="array" ref="AD10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41" s="26">
        <v>0</v>
      </c>
      <c r="AF1041" s="6">
        <v>0</v>
      </c>
      <c r="AG1041" s="6" t="s">
        <v>1948</v>
      </c>
      <c r="AH1041" s="6" t="s">
        <v>230</v>
      </c>
      <c r="AI1041" t="s">
        <v>233</v>
      </c>
      <c r="AJ1041" s="2" t="s">
        <v>229</v>
      </c>
      <c r="AK1041" s="2" t="s">
        <v>244</v>
      </c>
      <c r="AL104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4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41" s="2" t="str">
        <f>SUBSTITUTE(SUBSTITUTE(PROPERTIES[[#This Row],[PURCHASECOST_VALUE]], "PURCHASECOST_", ""), "_VALUE", "")</f>
        <v>DIESELENGINE</v>
      </c>
      <c r="AO1041" s="44" t="b">
        <v>0</v>
      </c>
      <c r="AP1041" s="48" t="b">
        <v>0</v>
      </c>
      <c r="AQ1041" s="48" t="b">
        <v>0</v>
      </c>
      <c r="AR1041" s="48">
        <v>0</v>
      </c>
      <c r="AS1041" s="48" t="b">
        <v>0</v>
      </c>
      <c r="AT1041" s="7" t="b">
        <v>0</v>
      </c>
      <c r="AU1041" s="40" t="str" cm="1">
        <f t="array" ref="AU1041">_xlfn.XLOOKUP(PROPERTIES[[#This Row],[VEHIDCODE]],GRAPHICS_PROPERTIES[VEHIDCODE],GRAPHICS_PROPERTIES[TEMPLATE_ID]&amp;GRAPHICS_PROPERTIES[TEMPLATE_AMENDMENT_CODE])</f>
        <v>TPL_01A</v>
      </c>
    </row>
    <row r="1042" spans="1:47" x14ac:dyDescent="0.35">
      <c r="A1042" s="2" t="s">
        <v>3625</v>
      </c>
      <c r="B1042">
        <v>1954</v>
      </c>
      <c r="D1042" cm="1">
        <f t="array" ref="D10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2" s="40" t="str">
        <f>_xlfn.XLOOKUP(PROPERTIES[[#This Row],[VEHIDCODE]],CONTROL[VEHIDCODE],CONTROL[ENGLISH])</f>
        <v>Pafawag 3Aw</v>
      </c>
      <c r="F1042" t="s">
        <v>705</v>
      </c>
      <c r="G1042" s="40" t="str">
        <f>_xlfn.XLOOKUP(PROPERTIES[[#This Row],[COUNTRY]],COUNTRIES[COUNTRY_DESCRIPTION],COUNTRIES[COUNTRY_LABEL],"")</f>
        <v>PL</v>
      </c>
      <c r="H1042" t="str" cm="1">
        <f t="array" ref="H10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42" t="s">
        <v>22</v>
      </c>
      <c r="J1042">
        <v>39</v>
      </c>
      <c r="K1042">
        <v>8</v>
      </c>
      <c r="L1042">
        <v>0</v>
      </c>
      <c r="M1042" t="str" cm="1">
        <f t="array" ref="M10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42">
        <f>_xlfn.XLOOKUP("LOADINGSPEEDDEF_"&amp;PROPERTIES[[#This Row],[LOADINGSPEED]],LOADINGSPEEDDEF[TYPE],LOADINGSPEEDDEF[SPEED])</f>
        <v>60</v>
      </c>
      <c r="O1042" cm="1">
        <f t="array" ref="O10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42">
        <f>IF(ISNUMBER(SEARCH("passenger",PROPERTIES[[#This Row],[CARGODEF]])),1,0)</f>
        <v>1</v>
      </c>
      <c r="Q1042" s="23">
        <v>16.7</v>
      </c>
      <c r="R1042">
        <v>0</v>
      </c>
      <c r="S1042">
        <v>0</v>
      </c>
      <c r="T1042">
        <v>0</v>
      </c>
      <c r="U1042">
        <v>0</v>
      </c>
      <c r="V1042">
        <v>60</v>
      </c>
      <c r="W1042">
        <v>0</v>
      </c>
      <c r="X1042">
        <v>0</v>
      </c>
      <c r="Y1042">
        <v>0</v>
      </c>
      <c r="Z1042" s="20">
        <v>0</v>
      </c>
      <c r="AA1042" s="20">
        <f>IFERROR(PROPERTIES[[#This Row],[TE_STARTING_KN]]/(PROPERTIES[[#This Row],[WEIGHT]]*9.81),0)</f>
        <v>0</v>
      </c>
      <c r="AB1042" s="20">
        <v>0.3</v>
      </c>
      <c r="AC1042" s="16">
        <f>ROUND(IF(IFERROR(PROPERTIES[[#This Row],[TE_COEFFICIENT_CALC]],0)=0,PROPERTIES[[#This Row],[TE_COEFFICIENT_MANUAL]],PROPERTIES[[#This Row],[TE_COEFFICIENT_CALC]]),3)</f>
        <v>0.3</v>
      </c>
      <c r="AD1042" s="39" cm="1">
        <f t="array" ref="AD10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42" s="26">
        <v>0</v>
      </c>
      <c r="AF1042" s="6">
        <v>0</v>
      </c>
      <c r="AG1042" s="6" t="s">
        <v>1948</v>
      </c>
      <c r="AH1042" t="s">
        <v>229</v>
      </c>
      <c r="AI1042" t="s">
        <v>229</v>
      </c>
      <c r="AJ1042" s="2" t="s">
        <v>229</v>
      </c>
      <c r="AK1042" s="2" t="s">
        <v>244</v>
      </c>
      <c r="AL104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4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42" s="2" t="str">
        <f>SUBSTITUTE(SUBSTITUTE(PROPERTIES[[#This Row],[PURCHASECOST_VALUE]], "PURCHASECOST_", ""), "_VALUE", "")</f>
        <v>COACH</v>
      </c>
      <c r="AO1042" s="44" t="b">
        <v>0</v>
      </c>
      <c r="AP1042" s="48" t="b">
        <v>0</v>
      </c>
      <c r="AQ1042" s="48" t="b">
        <v>0</v>
      </c>
      <c r="AR1042" s="48">
        <v>0</v>
      </c>
      <c r="AS1042" s="48" t="b">
        <v>0</v>
      </c>
      <c r="AT1042" s="7" t="b">
        <v>0</v>
      </c>
      <c r="AU1042" s="40" t="str" cm="1">
        <f t="array" ref="AU1042">_xlfn.XLOOKUP(PROPERTIES[[#This Row],[VEHIDCODE]],GRAPHICS_PROPERTIES[VEHIDCODE],GRAPHICS_PROPERTIES[TEMPLATE_ID]&amp;GRAPHICS_PROPERTIES[TEMPLATE_AMENDMENT_CODE])</f>
        <v>TPL_04U</v>
      </c>
    </row>
    <row r="1043" spans="1:47" x14ac:dyDescent="0.35">
      <c r="A1043" s="2" t="s">
        <v>3627</v>
      </c>
      <c r="B1043">
        <v>1971</v>
      </c>
      <c r="D1043" cm="1">
        <f t="array" ref="D10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3" s="40" t="str">
        <f>_xlfn.XLOOKUP(PROPERTIES[[#This Row],[VEHIDCODE]],CONTROL[VEHIDCODE],CONTROL[ENGLISH])</f>
        <v>KMZ TU7/TGM40</v>
      </c>
      <c r="F1043" t="s">
        <v>716</v>
      </c>
      <c r="G1043" s="40" t="str">
        <f>_xlfn.XLOOKUP(PROPERTIES[[#This Row],[COUNTRY]],COUNTRIES[COUNTRY_DESCRIPTION],COUNTRIES[COUNTRY_LABEL],"")</f>
        <v>RU</v>
      </c>
      <c r="H1043" t="str" cm="1">
        <f t="array" ref="H10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43" t="s">
        <v>17</v>
      </c>
      <c r="J1043">
        <v>0</v>
      </c>
      <c r="K1043">
        <v>5</v>
      </c>
      <c r="L1043">
        <v>0</v>
      </c>
      <c r="M1043" t="str" cm="1">
        <f t="array" ref="M10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3">
        <f>_xlfn.XLOOKUP("LOADINGSPEEDDEF_"&amp;PROPERTIES[[#This Row],[LOADINGSPEED]],LOADINGSPEEDDEF[TYPE],LOADINGSPEEDDEF[SPEED])</f>
        <v>20</v>
      </c>
      <c r="O1043" cm="1">
        <f t="array" ref="O10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3">
        <f>IF(ISNUMBER(SEARCH("passenger",PROPERTIES[[#This Row],[CARGODEF]])),1,0)</f>
        <v>0</v>
      </c>
      <c r="Q1043" s="23">
        <v>34</v>
      </c>
      <c r="R1043">
        <v>400</v>
      </c>
      <c r="S1043">
        <v>0</v>
      </c>
      <c r="T1043">
        <v>0</v>
      </c>
      <c r="U1043">
        <v>0</v>
      </c>
      <c r="V1043">
        <v>40</v>
      </c>
      <c r="W1043">
        <v>0</v>
      </c>
      <c r="X1043">
        <v>0</v>
      </c>
      <c r="Y1043">
        <v>0</v>
      </c>
      <c r="Z1043" s="20">
        <v>0</v>
      </c>
      <c r="AA1043" s="20">
        <f>IFERROR(PROPERTIES[[#This Row],[TE_STARTING_KN]]/(PROPERTIES[[#This Row],[WEIGHT]]*9.81),0)</f>
        <v>0</v>
      </c>
      <c r="AB1043" s="20">
        <v>0.2</v>
      </c>
      <c r="AC1043" s="16">
        <f>ROUND(IF(IFERROR(PROPERTIES[[#This Row],[TE_COEFFICIENT_CALC]],0)=0,PROPERTIES[[#This Row],[TE_COEFFICIENT_MANUAL]],PROPERTIES[[#This Row],[TE_COEFFICIENT_CALC]]),3)</f>
        <v>0.2</v>
      </c>
      <c r="AD1043" s="39" cm="1">
        <f t="array" ref="AD10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43" s="26">
        <v>0</v>
      </c>
      <c r="AF1043" s="6">
        <v>0</v>
      </c>
      <c r="AG1043" s="6" t="s">
        <v>239</v>
      </c>
      <c r="AH1043" s="6" t="s">
        <v>238</v>
      </c>
      <c r="AI1043" t="s">
        <v>229</v>
      </c>
      <c r="AJ1043" s="2" t="s">
        <v>229</v>
      </c>
      <c r="AK1043" s="2" t="s">
        <v>244</v>
      </c>
      <c r="AL104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4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43" s="2" t="str">
        <f>SUBSTITUTE(SUBSTITUTE(PROPERTIES[[#This Row],[PURCHASECOST_VALUE]], "PURCHASECOST_", ""), "_VALUE", "")</f>
        <v>DIESELENGINE</v>
      </c>
      <c r="AO1043" s="44" t="b">
        <v>0</v>
      </c>
      <c r="AP1043" s="48" t="b">
        <v>0</v>
      </c>
      <c r="AQ1043" s="48" t="b">
        <v>0</v>
      </c>
      <c r="AR1043" s="48">
        <v>0</v>
      </c>
      <c r="AS1043" s="48" t="b">
        <v>0</v>
      </c>
      <c r="AT1043" s="7" t="b">
        <v>0</v>
      </c>
      <c r="AU1043" s="40" t="str" cm="1">
        <f t="array" ref="AU1043">_xlfn.XLOOKUP(PROPERTIES[[#This Row],[VEHIDCODE]],GRAPHICS_PROPERTIES[VEHIDCODE],GRAPHICS_PROPERTIES[TEMPLATE_ID]&amp;GRAPHICS_PROPERTIES[TEMPLATE_AMENDMENT_CODE])</f>
        <v>TPL_01A</v>
      </c>
    </row>
    <row r="1044" spans="1:47" x14ac:dyDescent="0.35">
      <c r="A1044" s="2" t="s">
        <v>3632</v>
      </c>
      <c r="B1044">
        <v>1952</v>
      </c>
      <c r="C1044">
        <v>2001</v>
      </c>
      <c r="D1044" cm="1">
        <f t="array" ref="D10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4" s="40" t="str">
        <f>_xlfn.XLOOKUP(PROPERTIES[[#This Row],[VEHIDCODE]],CONTROL[VEHIDCODE],CONTROL[ENGLISH])</f>
        <v>Alsthom CC 7100</v>
      </c>
      <c r="F1044" t="s">
        <v>602</v>
      </c>
      <c r="G1044" s="40" t="str">
        <f>_xlfn.XLOOKUP(PROPERTIES[[#This Row],[COUNTRY]],COUNTRIES[COUNTRY_DESCRIPTION],COUNTRIES[COUNTRY_LABEL],"")</f>
        <v>FR</v>
      </c>
      <c r="H1044" t="str" cm="1">
        <f t="array" ref="H10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44" t="s">
        <v>17</v>
      </c>
      <c r="J1044">
        <v>0</v>
      </c>
      <c r="K1044">
        <v>8</v>
      </c>
      <c r="L1044">
        <v>0</v>
      </c>
      <c r="M1044" t="str" cm="1">
        <f t="array" ref="M10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4">
        <f>_xlfn.XLOOKUP("LOADINGSPEEDDEF_"&amp;PROPERTIES[[#This Row],[LOADINGSPEED]],LOADINGSPEEDDEF[TYPE],LOADINGSPEEDDEF[SPEED])</f>
        <v>20</v>
      </c>
      <c r="O1044" cm="1">
        <f t="array" ref="O10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4">
        <f>IF(ISNUMBER(SEARCH("passenger",PROPERTIES[[#This Row],[CARGODEF]])),1,0)</f>
        <v>0</v>
      </c>
      <c r="Q1044" s="23">
        <v>107</v>
      </c>
      <c r="R1044">
        <v>4680</v>
      </c>
      <c r="S1044">
        <v>0</v>
      </c>
      <c r="T1044">
        <v>0</v>
      </c>
      <c r="U1044">
        <v>0</v>
      </c>
      <c r="V1044">
        <v>130</v>
      </c>
      <c r="W1044">
        <v>0</v>
      </c>
      <c r="X1044">
        <v>0</v>
      </c>
      <c r="Y1044">
        <v>0</v>
      </c>
      <c r="Z1044" s="20">
        <v>260</v>
      </c>
      <c r="AA1044" s="20">
        <f>IFERROR(PROPERTIES[[#This Row],[TE_STARTING_KN]]/(PROPERTIES[[#This Row],[WEIGHT]]*9.81),0)</f>
        <v>0.24769689521468649</v>
      </c>
      <c r="AB1044" s="20">
        <v>0</v>
      </c>
      <c r="AC1044" s="16">
        <f>ROUND(IF(IFERROR(PROPERTIES[[#This Row],[TE_COEFFICIENT_CALC]],0)=0,PROPERTIES[[#This Row],[TE_COEFFICIENT_MANUAL]],PROPERTIES[[#This Row],[TE_COEFFICIENT_CALC]]),3)</f>
        <v>0.248</v>
      </c>
      <c r="AD1044" s="39" cm="1">
        <f t="array" ref="AD10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1044" s="26">
        <v>0</v>
      </c>
      <c r="AF1044" s="6">
        <v>0</v>
      </c>
      <c r="AG1044" s="6" t="s">
        <v>230</v>
      </c>
      <c r="AH1044" s="6" t="s">
        <v>233</v>
      </c>
      <c r="AI1044" t="s">
        <v>231</v>
      </c>
      <c r="AJ1044" s="2" t="s">
        <v>229</v>
      </c>
      <c r="AK1044" s="2" t="s">
        <v>244</v>
      </c>
      <c r="AL104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4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44" s="2" t="str">
        <f>SUBSTITUTE(SUBSTITUTE(PROPERTIES[[#This Row],[PURCHASECOST_VALUE]], "PURCHASECOST_", ""), "_VALUE", "")</f>
        <v>ELECTRICENGINE</v>
      </c>
      <c r="AO1044" s="44" t="b">
        <v>0</v>
      </c>
      <c r="AP1044" s="48" t="b">
        <v>0</v>
      </c>
      <c r="AQ1044" s="48" t="b">
        <v>0</v>
      </c>
      <c r="AR1044" s="48">
        <v>0</v>
      </c>
      <c r="AS1044" s="48" t="b">
        <v>0</v>
      </c>
      <c r="AT1044" s="7" t="b">
        <v>0</v>
      </c>
      <c r="AU1044" s="40" t="str" cm="1">
        <f t="array" ref="AU1044">_xlfn.XLOOKUP(PROPERTIES[[#This Row],[VEHIDCODE]],GRAPHICS_PROPERTIES[VEHIDCODE],GRAPHICS_PROPERTIES[TEMPLATE_ID]&amp;GRAPHICS_PROPERTIES[TEMPLATE_AMENDMENT_CODE])</f>
        <v>TPL_01A</v>
      </c>
    </row>
    <row r="1045" spans="1:47" x14ac:dyDescent="0.35">
      <c r="A1045" s="2" t="s">
        <v>3630</v>
      </c>
      <c r="B1045">
        <v>1959</v>
      </c>
      <c r="C1045">
        <v>1987</v>
      </c>
      <c r="D1045" cm="1">
        <f t="array" ref="D10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5" s="40" t="str">
        <f>_xlfn.XLOOKUP(PROPERTIES[[#This Row],[VEHIDCODE]],CONTROL[VEHIDCODE],CONTROL[ENGLISH])</f>
        <v>Alsthom F Series</v>
      </c>
      <c r="F1045" t="s">
        <v>602</v>
      </c>
      <c r="G1045" s="40" t="str">
        <f>_xlfn.XLOOKUP(PROPERTIES[[#This Row],[COUNTRY]],COUNTRIES[COUNTRY_DESCRIPTION],COUNTRIES[COUNTRY_LABEL],"")</f>
        <v>FR</v>
      </c>
      <c r="H1045" t="str" cm="1">
        <f t="array" ref="H10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45" t="s">
        <v>17</v>
      </c>
      <c r="J1045">
        <v>0</v>
      </c>
      <c r="K1045">
        <v>8</v>
      </c>
      <c r="L1045">
        <v>0</v>
      </c>
      <c r="M1045" t="str" cm="1">
        <f t="array" ref="M10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5">
        <f>_xlfn.XLOOKUP("LOADINGSPEEDDEF_"&amp;PROPERTIES[[#This Row],[LOADINGSPEED]],LOADINGSPEEDDEF[TYPE],LOADINGSPEEDDEF[SPEED])</f>
        <v>20</v>
      </c>
      <c r="O1045" cm="1">
        <f t="array" ref="O10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5">
        <f>IF(ISNUMBER(SEARCH("passenger",PROPERTIES[[#This Row],[CARGODEF]])),1,0)</f>
        <v>0</v>
      </c>
      <c r="Q1045" s="23">
        <v>138</v>
      </c>
      <c r="R1045">
        <f>INT(4740*1.341)</f>
        <v>6356</v>
      </c>
      <c r="S1045">
        <v>0</v>
      </c>
      <c r="T1045">
        <v>0</v>
      </c>
      <c r="U1045">
        <v>0</v>
      </c>
      <c r="V1045">
        <v>160</v>
      </c>
      <c r="W1045">
        <v>0</v>
      </c>
      <c r="X1045">
        <v>0</v>
      </c>
      <c r="Y1045">
        <v>0</v>
      </c>
      <c r="Z1045" s="20">
        <v>510.1</v>
      </c>
      <c r="AA1045" s="20">
        <f>IFERROR(PROPERTIES[[#This Row],[TE_STARTING_KN]]/(PROPERTIES[[#This Row],[WEIGHT]]*9.81),0)</f>
        <v>0.37679682075374138</v>
      </c>
      <c r="AB1045" s="20">
        <v>0</v>
      </c>
      <c r="AC1045" s="16">
        <f>ROUND(IF(IFERROR(PROPERTIES[[#This Row],[TE_COEFFICIENT_CALC]],0)=0,PROPERTIES[[#This Row],[TE_COEFFICIENT_MANUAL]],PROPERTIES[[#This Row],[TE_COEFFICIENT_CALC]]),3)</f>
        <v>0.377</v>
      </c>
      <c r="AD1045" s="39" cm="1">
        <f t="array" ref="AD10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45" s="26">
        <v>0</v>
      </c>
      <c r="AF1045" s="6">
        <v>0</v>
      </c>
      <c r="AG1045" s="6" t="s">
        <v>236</v>
      </c>
      <c r="AH1045" s="6" t="s">
        <v>238</v>
      </c>
      <c r="AI1045" t="s">
        <v>229</v>
      </c>
      <c r="AJ1045" s="2" t="s">
        <v>229</v>
      </c>
      <c r="AK1045" s="2" t="s">
        <v>244</v>
      </c>
      <c r="AL104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4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45" s="2" t="str">
        <f>SUBSTITUTE(SUBSTITUTE(PROPERTIES[[#This Row],[PURCHASECOST_VALUE]], "PURCHASECOST_", ""), "_VALUE", "")</f>
        <v>ELECTRICENGINE</v>
      </c>
      <c r="AO1045" s="44" t="b">
        <v>0</v>
      </c>
      <c r="AP1045" s="48" t="b">
        <v>0</v>
      </c>
      <c r="AQ1045" s="48" t="b">
        <v>0</v>
      </c>
      <c r="AR1045" s="48">
        <v>0</v>
      </c>
      <c r="AS1045" s="48" t="b">
        <v>0</v>
      </c>
      <c r="AT1045" s="7" t="b">
        <v>0</v>
      </c>
      <c r="AU1045" s="40" t="str" cm="1">
        <f t="array" ref="AU1045">_xlfn.XLOOKUP(PROPERTIES[[#This Row],[VEHIDCODE]],GRAPHICS_PROPERTIES[VEHIDCODE],GRAPHICS_PROPERTIES[TEMPLATE_ID]&amp;GRAPHICS_PROPERTIES[TEMPLATE_AMENDMENT_CODE])</f>
        <v>TPL_01A</v>
      </c>
    </row>
    <row r="1046" spans="1:47" x14ac:dyDescent="0.35">
      <c r="A1046" s="2" t="s">
        <v>3676</v>
      </c>
      <c r="B1046">
        <v>2015</v>
      </c>
      <c r="D1046" cm="1">
        <f t="array" ref="D10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6" s="40" t="str">
        <f>_xlfn.XLOOKUP(PROPERTIES[[#This Row],[VEHIDCODE]],CONTROL[VEHIDCODE],CONTROL[ENGLISH])</f>
        <v>Siemens Vectron MS</v>
      </c>
      <c r="F1046" t="s">
        <v>584</v>
      </c>
      <c r="G1046" s="40" t="str">
        <f>_xlfn.XLOOKUP(PROPERTIES[[#This Row],[COUNTRY]],COUNTRIES[COUNTRY_DESCRIPTION],COUNTRIES[COUNTRY_LABEL],"")</f>
        <v>DE</v>
      </c>
      <c r="H1046" t="str" cm="1">
        <f t="array" ref="H10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46" t="s">
        <v>17</v>
      </c>
      <c r="J1046">
        <v>0</v>
      </c>
      <c r="K1046">
        <v>8</v>
      </c>
      <c r="L1046">
        <v>0</v>
      </c>
      <c r="M1046" t="str" cm="1">
        <f t="array" ref="M10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6">
        <f>_xlfn.XLOOKUP("LOADINGSPEEDDEF_"&amp;PROPERTIES[[#This Row],[LOADINGSPEED]],LOADINGSPEEDDEF[TYPE],LOADINGSPEEDDEF[SPEED])</f>
        <v>20</v>
      </c>
      <c r="O1046" t="str" cm="1">
        <f t="array" ref="O10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46">
        <f>IF(ISNUMBER(SEARCH("passenger",PROPERTIES[[#This Row],[CARGODEF]])),1,0)</f>
        <v>0</v>
      </c>
      <c r="Q1046" s="23">
        <v>86</v>
      </c>
      <c r="R1046">
        <f>INT(6400*1.341)</f>
        <v>8582</v>
      </c>
      <c r="S1046">
        <v>0</v>
      </c>
      <c r="T1046">
        <f>INT(3500*1.341)</f>
        <v>4693</v>
      </c>
      <c r="U1046">
        <v>0</v>
      </c>
      <c r="V1046">
        <v>160</v>
      </c>
      <c r="W1046">
        <v>0</v>
      </c>
      <c r="X1046">
        <v>0</v>
      </c>
      <c r="Y1046">
        <v>0</v>
      </c>
      <c r="Z1046" s="20">
        <v>300</v>
      </c>
      <c r="AA1046" s="20">
        <f>IFERROR(PROPERTIES[[#This Row],[TE_STARTING_KN]]/(PROPERTIES[[#This Row],[WEIGHT]]*9.81),0)</f>
        <v>0.3555934855273451</v>
      </c>
      <c r="AB1046" s="20">
        <v>0</v>
      </c>
      <c r="AC1046" s="16">
        <f>ROUND(IF(IFERROR(PROPERTIES[[#This Row],[TE_COEFFICIENT_CALC]],0)=0,PROPERTIES[[#This Row],[TE_COEFFICIENT_MANUAL]],PROPERTIES[[#This Row],[TE_COEFFICIENT_CALC]]),3)</f>
        <v>0.35599999999999998</v>
      </c>
      <c r="AD1046" s="39" cm="1">
        <f t="array" ref="AD10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46" s="26">
        <v>0</v>
      </c>
      <c r="AF1046" s="6">
        <v>0</v>
      </c>
      <c r="AG1046" s="6" t="s">
        <v>239</v>
      </c>
      <c r="AH1046" t="s">
        <v>229</v>
      </c>
      <c r="AI1046" t="s">
        <v>229</v>
      </c>
      <c r="AJ1046" s="2" t="s">
        <v>229</v>
      </c>
      <c r="AK1046" s="2" t="s">
        <v>244</v>
      </c>
      <c r="AL1046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46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46" s="2" t="str">
        <f>SUBSTITUTE(SUBSTITUTE(PROPERTIES[[#This Row],[PURCHASECOST_VALUE]], "PURCHASECOST_", ""), "_VALUE", "")</f>
        <v>ELECTRICENGINE</v>
      </c>
      <c r="AO1046" s="44" t="b">
        <v>0</v>
      </c>
      <c r="AP1046" s="48" t="b">
        <v>0</v>
      </c>
      <c r="AQ1046" s="48" t="b">
        <v>0</v>
      </c>
      <c r="AR1046" s="48">
        <v>0</v>
      </c>
      <c r="AS1046" s="48" t="b">
        <v>0</v>
      </c>
      <c r="AT1046" s="7" t="b">
        <v>0</v>
      </c>
      <c r="AU1046" s="40" t="str" cm="1">
        <f t="array" ref="AU1046">_xlfn.XLOOKUP(PROPERTIES[[#This Row],[VEHIDCODE]],GRAPHICS_PROPERTIES[VEHIDCODE],GRAPHICS_PROPERTIES[TEMPLATE_ID]&amp;GRAPHICS_PROPERTIES[TEMPLATE_AMENDMENT_CODE])</f>
        <v>TPL_01A</v>
      </c>
    </row>
    <row r="1047" spans="1:47" x14ac:dyDescent="0.35">
      <c r="A1047" s="2" t="s">
        <v>3641</v>
      </c>
      <c r="B1047">
        <v>2016</v>
      </c>
      <c r="D1047" cm="1">
        <f t="array" ref="D10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7" s="40" t="str">
        <f>_xlfn.XLOOKUP(PROPERTIES[[#This Row],[VEHIDCODE]],CONTROL[VEHIDCODE],CONTROL[ENGLISH])</f>
        <v>Siemens Vectron DE</v>
      </c>
      <c r="F1047" t="s">
        <v>584</v>
      </c>
      <c r="G1047" s="40" t="str">
        <f>_xlfn.XLOOKUP(PROPERTIES[[#This Row],[COUNTRY]],COUNTRIES[COUNTRY_DESCRIPTION],COUNTRIES[COUNTRY_LABEL],"")</f>
        <v>DE</v>
      </c>
      <c r="H1047" t="str" cm="1">
        <f t="array" ref="H10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47" t="s">
        <v>17</v>
      </c>
      <c r="J1047">
        <v>0</v>
      </c>
      <c r="K1047">
        <v>8</v>
      </c>
      <c r="L1047">
        <v>0</v>
      </c>
      <c r="M1047" t="str" cm="1">
        <f t="array" ref="M10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7">
        <f>_xlfn.XLOOKUP("LOADINGSPEEDDEF_"&amp;PROPERTIES[[#This Row],[LOADINGSPEED]],LOADINGSPEEDDEF[TYPE],LOADINGSPEEDDEF[SPEED])</f>
        <v>20</v>
      </c>
      <c r="O1047" t="str" cm="1">
        <f t="array" ref="O10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47">
        <f>IF(ISNUMBER(SEARCH("passenger",PROPERTIES[[#This Row],[CARGODEF]])),1,0)</f>
        <v>0</v>
      </c>
      <c r="Q1047" s="23">
        <v>86</v>
      </c>
      <c r="R1047">
        <f>INT(2700*1.341)</f>
        <v>3620</v>
      </c>
      <c r="S1047">
        <v>0</v>
      </c>
      <c r="T1047">
        <v>0</v>
      </c>
      <c r="U1047">
        <v>0</v>
      </c>
      <c r="V1047">
        <v>160</v>
      </c>
      <c r="W1047">
        <v>0</v>
      </c>
      <c r="X1047">
        <v>0</v>
      </c>
      <c r="Y1047">
        <v>0</v>
      </c>
      <c r="Z1047" s="20">
        <v>300</v>
      </c>
      <c r="AA1047" s="20">
        <f>IFERROR(PROPERTIES[[#This Row],[TE_STARTING_KN]]/(PROPERTIES[[#This Row],[WEIGHT]]*9.81),0)</f>
        <v>0.3555934855273451</v>
      </c>
      <c r="AB1047" s="20">
        <v>0</v>
      </c>
      <c r="AC1047" s="16">
        <f>ROUND(IF(IFERROR(PROPERTIES[[#This Row],[TE_COEFFICIENT_CALC]],0)=0,PROPERTIES[[#This Row],[TE_COEFFICIENT_MANUAL]],PROPERTIES[[#This Row],[TE_COEFFICIENT_CALC]]),3)</f>
        <v>0.35599999999999998</v>
      </c>
      <c r="AD1047" s="39" cm="1">
        <f t="array" ref="AD10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47" s="26">
        <v>0</v>
      </c>
      <c r="AF1047" s="6">
        <v>0</v>
      </c>
      <c r="AG1047" s="6" t="s">
        <v>239</v>
      </c>
      <c r="AH1047" t="s">
        <v>229</v>
      </c>
      <c r="AI1047" t="s">
        <v>229</v>
      </c>
      <c r="AJ1047" s="2" t="s">
        <v>229</v>
      </c>
      <c r="AK1047" s="2" t="s">
        <v>244</v>
      </c>
      <c r="AL1047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47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47" s="2" t="str">
        <f>SUBSTITUTE(SUBSTITUTE(PROPERTIES[[#This Row],[PURCHASECOST_VALUE]], "PURCHASECOST_", ""), "_VALUE", "")</f>
        <v>DIESELENGINE</v>
      </c>
      <c r="AO1047" s="44" t="b">
        <v>0</v>
      </c>
      <c r="AP1047" s="48" t="b">
        <v>0</v>
      </c>
      <c r="AQ1047" s="48" t="b">
        <v>0</v>
      </c>
      <c r="AR1047" s="48">
        <v>0</v>
      </c>
      <c r="AS1047" s="48" t="b">
        <v>0</v>
      </c>
      <c r="AT1047" s="7" t="b">
        <v>0</v>
      </c>
      <c r="AU1047" s="40" t="str" cm="1">
        <f t="array" ref="AU1047">_xlfn.XLOOKUP(PROPERTIES[[#This Row],[VEHIDCODE]],GRAPHICS_PROPERTIES[VEHIDCODE],GRAPHICS_PROPERTIES[TEMPLATE_ID]&amp;GRAPHICS_PROPERTIES[TEMPLATE_AMENDMENT_CODE])</f>
        <v>TPL_01A</v>
      </c>
    </row>
    <row r="1048" spans="1:47" x14ac:dyDescent="0.35">
      <c r="A1048" s="2" t="s">
        <v>3638</v>
      </c>
      <c r="B1048">
        <v>2026</v>
      </c>
      <c r="D1048" cm="1">
        <f t="array" ref="D10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8" s="40" t="str">
        <f>_xlfn.XLOOKUP(PROPERTIES[[#This Row],[VEHIDCODE]],CONTROL[VEHIDCODE],CONTROL[ENGLISH])</f>
        <v>Siemens Vectron Dual Mode</v>
      </c>
      <c r="F1048" t="s">
        <v>584</v>
      </c>
      <c r="G1048" s="40" t="str">
        <f>_xlfn.XLOOKUP(PROPERTIES[[#This Row],[COUNTRY]],COUNTRIES[COUNTRY_DESCRIPTION],COUNTRIES[COUNTRY_LABEL],"")</f>
        <v>DE</v>
      </c>
      <c r="H1048" t="str" cm="1">
        <f t="array" ref="H10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48" t="s">
        <v>17</v>
      </c>
      <c r="J1048">
        <v>0</v>
      </c>
      <c r="K1048">
        <v>8</v>
      </c>
      <c r="L1048">
        <v>0</v>
      </c>
      <c r="M1048" t="str" cm="1">
        <f t="array" ref="M10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8">
        <f>_xlfn.XLOOKUP("LOADINGSPEEDDEF_"&amp;PROPERTIES[[#This Row],[LOADINGSPEED]],LOADINGSPEEDDEF[TYPE],LOADINGSPEEDDEF[SPEED])</f>
        <v>20</v>
      </c>
      <c r="O1048" t="str" cm="1">
        <f t="array" ref="O10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48">
        <f>IF(ISNUMBER(SEARCH("passenger",PROPERTIES[[#This Row],[CARGODEF]])),1,0)</f>
        <v>0</v>
      </c>
      <c r="Q1048" s="23">
        <v>86</v>
      </c>
      <c r="R1048">
        <f>INT(2400*1.341)</f>
        <v>3218</v>
      </c>
      <c r="S1048">
        <v>0</v>
      </c>
      <c r="T1048">
        <v>0</v>
      </c>
      <c r="U1048">
        <f>INT(2000*1.341)</f>
        <v>2682</v>
      </c>
      <c r="V1048">
        <v>160</v>
      </c>
      <c r="W1048">
        <v>0</v>
      </c>
      <c r="X1048">
        <v>0</v>
      </c>
      <c r="Y1048">
        <v>160</v>
      </c>
      <c r="Z1048" s="20">
        <v>300</v>
      </c>
      <c r="AA1048" s="20">
        <f>IFERROR(PROPERTIES[[#This Row],[TE_STARTING_KN]]/(PROPERTIES[[#This Row],[WEIGHT]]*9.81),0)</f>
        <v>0.3555934855273451</v>
      </c>
      <c r="AB1048" s="20">
        <v>0</v>
      </c>
      <c r="AC1048" s="16">
        <f>ROUND(IF(IFERROR(PROPERTIES[[#This Row],[TE_COEFFICIENT_CALC]],0)=0,PROPERTIES[[#This Row],[TE_COEFFICIENT_MANUAL]],PROPERTIES[[#This Row],[TE_COEFFICIENT_CALC]]),3)</f>
        <v>0.35599999999999998</v>
      </c>
      <c r="AD1048" s="39" cm="1">
        <f t="array" ref="AD10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48" s="26">
        <v>0</v>
      </c>
      <c r="AF1048" s="6">
        <v>0</v>
      </c>
      <c r="AG1048" s="6" t="s">
        <v>230</v>
      </c>
      <c r="AH1048" t="s">
        <v>229</v>
      </c>
      <c r="AI1048" t="s">
        <v>229</v>
      </c>
      <c r="AJ1048" s="2" t="s">
        <v>229</v>
      </c>
      <c r="AK1048" s="2" t="s">
        <v>244</v>
      </c>
      <c r="AL1048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48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48" s="2" t="str">
        <f>SUBSTITUTE(SUBSTITUTE(PROPERTIES[[#This Row],[PURCHASECOST_VALUE]], "PURCHASECOST_", ""), "_VALUE", "")</f>
        <v>ELECTRICENGINE</v>
      </c>
      <c r="AO1048" s="44" t="s">
        <v>3645</v>
      </c>
      <c r="AP1048" s="48" t="b">
        <v>0</v>
      </c>
      <c r="AQ1048" s="48" t="b">
        <v>0</v>
      </c>
      <c r="AR1048" s="48">
        <v>0</v>
      </c>
      <c r="AS1048" s="48" t="b">
        <v>0</v>
      </c>
      <c r="AT1048" s="7" t="b">
        <v>0</v>
      </c>
      <c r="AU1048" s="40" t="str" cm="1">
        <f t="array" ref="AU1048">_xlfn.XLOOKUP(PROPERTIES[[#This Row],[VEHIDCODE]],GRAPHICS_PROPERTIES[VEHIDCODE],GRAPHICS_PROPERTIES[TEMPLATE_ID]&amp;GRAPHICS_PROPERTIES[TEMPLATE_AMENDMENT_CODE])</f>
        <v>TPL_01A</v>
      </c>
    </row>
    <row r="1049" spans="1:47" x14ac:dyDescent="0.35">
      <c r="A1049" s="2" t="s">
        <v>3659</v>
      </c>
      <c r="B1049">
        <v>1946</v>
      </c>
      <c r="C1049">
        <v>1954</v>
      </c>
      <c r="D1049" cm="1">
        <f t="array" ref="D10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9" s="40" t="str">
        <f>_xlfn.XLOOKUP(PROPERTIES[[#This Row],[VEHIDCODE]],CONTROL[VEHIDCODE],CONTROL[ENGLISH])</f>
        <v>Tours/Chapelon 2-12-0 SNCF 160A</v>
      </c>
      <c r="F1049" t="s">
        <v>602</v>
      </c>
      <c r="G1049" s="40" t="str">
        <f>_xlfn.XLOOKUP(PROPERTIES[[#This Row],[COUNTRY]],COUNTRIES[COUNTRY_DESCRIPTION],COUNTRIES[COUNTRY_LABEL],"")</f>
        <v>FR</v>
      </c>
      <c r="H1049" t="str" cm="1">
        <f t="array" ref="H10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49" t="s">
        <v>17</v>
      </c>
      <c r="J1049">
        <v>0</v>
      </c>
      <c r="K1049">
        <v>6</v>
      </c>
      <c r="L1049">
        <v>3</v>
      </c>
      <c r="M1049" t="str" cm="1">
        <f t="array" ref="M10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9">
        <f>_xlfn.XLOOKUP("LOADINGSPEEDDEF_"&amp;PROPERTIES[[#This Row],[LOADINGSPEED]],LOADINGSPEEDDEF[TYPE],LOADINGSPEEDDEF[SPEED])</f>
        <v>20</v>
      </c>
      <c r="O1049" cm="1">
        <f t="array" ref="O10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9">
        <f>IF(ISNUMBER(SEARCH("passenger",PROPERTIES[[#This Row],[CARGODEF]])),1,0)</f>
        <v>0</v>
      </c>
      <c r="Q1049" s="23">
        <v>135</v>
      </c>
      <c r="R1049">
        <v>2713</v>
      </c>
      <c r="U1049">
        <v>0</v>
      </c>
      <c r="V1049">
        <v>100</v>
      </c>
      <c r="Y1049">
        <v>0</v>
      </c>
      <c r="Z1049" s="20">
        <f>100715*0.0045</f>
        <v>453.21749999999997</v>
      </c>
      <c r="AA1049" s="20">
        <f>IFERROR(PROPERTIES[[#This Row],[TE_STARTING_KN]]/(PROPERTIES[[#This Row],[WEIGHT]]*9.81),0)</f>
        <v>0.34221882432891604</v>
      </c>
      <c r="AB1049" s="20">
        <v>0</v>
      </c>
      <c r="AC1049" s="16">
        <f>ROUND(IF(IFERROR(PROPERTIES[[#This Row],[TE_COEFFICIENT_CALC]],0)=0,PROPERTIES[[#This Row],[TE_COEFFICIENT_MANUAL]],PROPERTIES[[#This Row],[TE_COEFFICIENT_CALC]]),3)</f>
        <v>0.34200000000000003</v>
      </c>
      <c r="AD1049" s="39" cm="1">
        <f t="array" ref="AD10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49" s="26">
        <v>0</v>
      </c>
      <c r="AF1049" s="6">
        <v>5</v>
      </c>
      <c r="AG1049" s="6" t="s">
        <v>230</v>
      </c>
      <c r="AH1049" t="s">
        <v>229</v>
      </c>
      <c r="AI1049" t="s">
        <v>229</v>
      </c>
      <c r="AJ1049" s="2" t="s">
        <v>229</v>
      </c>
      <c r="AK1049" s="2" t="s">
        <v>244</v>
      </c>
      <c r="AL1049" s="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49" s="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49" s="2" t="str">
        <f>SUBSTITUTE(SUBSTITUTE(PROPERTIES[[#This Row],[PURCHASECOST_VALUE]], "PURCHASECOST_", ""), "_VALUE", "")</f>
        <v>STEAMENGINE</v>
      </c>
      <c r="AO1049" s="44" t="b">
        <v>0</v>
      </c>
      <c r="AP1049" s="48" t="b">
        <v>0</v>
      </c>
      <c r="AQ1049" s="48" t="b">
        <v>0</v>
      </c>
      <c r="AR1049" s="48">
        <v>0</v>
      </c>
      <c r="AS1049" s="48" t="b">
        <v>0</v>
      </c>
      <c r="AT1049" s="7" t="b">
        <v>0</v>
      </c>
      <c r="AU1049" s="40" t="str" cm="1">
        <f t="array" ref="AU1049">_xlfn.XLOOKUP(PROPERTIES[[#This Row],[VEHIDCODE]],GRAPHICS_PROPERTIES[VEHIDCODE],GRAPHICS_PROPERTIES[TEMPLATE_ID]&amp;GRAPHICS_PROPERTIES[TEMPLATE_AMENDMENT_CODE])</f>
        <v>TPL_03G</v>
      </c>
    </row>
    <row r="1050" spans="1:47" x14ac:dyDescent="0.35">
      <c r="A1050" s="2" t="s">
        <v>3674</v>
      </c>
      <c r="B1050">
        <v>1971</v>
      </c>
      <c r="C1050">
        <v>2030</v>
      </c>
      <c r="D1050" cm="1">
        <f t="array" ref="D10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50" s="40" t="str">
        <f>_xlfn.XLOOKUP(PROPERTIES[[#This Row],[VEHIDCODE]],CONTROL[VEHIDCODE],CONTROL[ENGLISH])</f>
        <v>LTZ 2TE116</v>
      </c>
      <c r="F1050" t="s">
        <v>754</v>
      </c>
      <c r="G1050" s="40" t="str">
        <f>_xlfn.XLOOKUP(PROPERTIES[[#This Row],[COUNTRY]],COUNTRIES[COUNTRY_DESCRIPTION],COUNTRIES[COUNTRY_LABEL],"")</f>
        <v>UA</v>
      </c>
      <c r="H1050" t="str" cm="1">
        <f t="array" ref="H10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50" t="s">
        <v>17</v>
      </c>
      <c r="J1050">
        <v>0</v>
      </c>
      <c r="K1050">
        <v>8</v>
      </c>
      <c r="L1050">
        <v>0</v>
      </c>
      <c r="M1050" t="str" cm="1">
        <f t="array" ref="M10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50">
        <f>_xlfn.XLOOKUP("LOADINGSPEEDDEF_"&amp;PROPERTIES[[#This Row],[LOADINGSPEED]],LOADINGSPEEDDEF[TYPE],LOADINGSPEEDDEF[SPEED])</f>
        <v>20</v>
      </c>
      <c r="O1050" t="str" cm="1">
        <f t="array" ref="O10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50">
        <f>IF(ISNUMBER(SEARCH("passenger",PROPERTIES[[#This Row],[CARGODEF]])),1,0)</f>
        <v>0</v>
      </c>
      <c r="Q1050" s="23">
        <v>138</v>
      </c>
      <c r="R1050">
        <v>3060</v>
      </c>
      <c r="U1050">
        <v>0</v>
      </c>
      <c r="V1050">
        <v>100</v>
      </c>
      <c r="Y1050">
        <v>0</v>
      </c>
      <c r="Z1050" s="20">
        <v>248</v>
      </c>
      <c r="AA1050" s="20">
        <f>IFERROR(PROPERTIES[[#This Row],[TE_STARTING_KN]]/(PROPERTIES[[#This Row],[WEIGHT]]*9.81),0)</f>
        <v>0.1831907695489666</v>
      </c>
      <c r="AB1050" s="20">
        <v>0</v>
      </c>
      <c r="AC1050" s="16">
        <f>ROUND(IF(IFERROR(PROPERTIES[[#This Row],[TE_COEFFICIENT_CALC]],0)=0,PROPERTIES[[#This Row],[TE_COEFFICIENT_MANUAL]],PROPERTIES[[#This Row],[TE_COEFFICIENT_CALC]]),3)</f>
        <v>0.183</v>
      </c>
      <c r="AD1050" s="39" cm="1">
        <f t="array" ref="AD10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1050" s="26">
        <v>0</v>
      </c>
      <c r="AF1050" s="6">
        <v>0</v>
      </c>
      <c r="AG1050" s="6" t="s">
        <v>1948</v>
      </c>
      <c r="AH1050" t="s">
        <v>229</v>
      </c>
      <c r="AI1050" t="s">
        <v>229</v>
      </c>
      <c r="AJ1050" s="2" t="s">
        <v>229</v>
      </c>
      <c r="AK1050" s="2" t="s">
        <v>244</v>
      </c>
      <c r="AL1050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50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50" s="2" t="str">
        <f>SUBSTITUTE(SUBSTITUTE(PROPERTIES[[#This Row],[PURCHASECOST_VALUE]], "PURCHASECOST_", ""), "_VALUE", "")</f>
        <v>DIESELENGINE</v>
      </c>
      <c r="AO1050" s="44" t="b">
        <v>0</v>
      </c>
      <c r="AP1050" s="48" t="b">
        <v>0</v>
      </c>
      <c r="AQ1050" s="48" t="b">
        <v>0</v>
      </c>
      <c r="AR1050" s="48">
        <v>0</v>
      </c>
      <c r="AS1050" s="48" t="b">
        <v>0</v>
      </c>
      <c r="AT1050" s="7" t="b">
        <v>0</v>
      </c>
      <c r="AU1050" s="40" t="str" cm="1">
        <f t="array" ref="AU1050">_xlfn.XLOOKUP(PROPERTIES[[#This Row],[VEHIDCODE]],GRAPHICS_PROPERTIES[VEHIDCODE],GRAPHICS_PROPERTIES[TEMPLATE_ID]&amp;GRAPHICS_PROPERTIES[TEMPLATE_AMENDMENT_CODE])</f>
        <v>TPL_03F</v>
      </c>
    </row>
    <row r="1051" spans="1:47" x14ac:dyDescent="0.35">
      <c r="A1051" s="2" t="s">
        <v>3700</v>
      </c>
      <c r="B1051">
        <v>1960</v>
      </c>
      <c r="C1051">
        <v>1975</v>
      </c>
      <c r="D1051" cm="1">
        <f t="array" ref="D10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51" s="40" t="str">
        <f>_xlfn.XLOOKUP(PROPERTIES[[#This Row],[VEHIDCODE]],CONTROL[VEHIDCODE],CONTROL[ENGLISH])</f>
        <v>Ganz-MAVAG SN61</v>
      </c>
      <c r="F1051" t="s">
        <v>626</v>
      </c>
      <c r="G1051" s="40" t="str">
        <f>_xlfn.XLOOKUP(PROPERTIES[[#This Row],[COUNTRY]],COUNTRIES[COUNTRY_DESCRIPTION],COUNTRIES[COUNTRY_LABEL],"")</f>
        <v>HU</v>
      </c>
      <c r="H1051" t="str" cm="1">
        <f t="array" ref="H10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51" t="s">
        <v>22</v>
      </c>
      <c r="J1051">
        <v>48</v>
      </c>
      <c r="K1051">
        <v>8</v>
      </c>
      <c r="L1051">
        <v>0</v>
      </c>
      <c r="M1051" t="str" cm="1">
        <f t="array" ref="M10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51">
        <f>_xlfn.XLOOKUP("LOADINGSPEEDDEF_"&amp;PROPERTIES[[#This Row],[LOADINGSPEED]],LOADINGSPEEDDEF[TYPE],LOADINGSPEEDDEF[SPEED])</f>
        <v>60</v>
      </c>
      <c r="O1051" cm="1">
        <f t="array" ref="O10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51">
        <f>IF(ISNUMBER(SEARCH("passenger",PROPERTIES[[#This Row],[CARGODEF]])),1,0)</f>
        <v>1</v>
      </c>
      <c r="Q1051" s="23">
        <v>57</v>
      </c>
      <c r="R1051">
        <v>500</v>
      </c>
      <c r="U1051">
        <v>0</v>
      </c>
      <c r="V1051">
        <v>108</v>
      </c>
      <c r="Y1051">
        <v>0</v>
      </c>
      <c r="Z1051" s="20">
        <v>0</v>
      </c>
      <c r="AA1051" s="20">
        <f>IFERROR(PROPERTIES[[#This Row],[TE_STARTING_KN]]/(PROPERTIES[[#This Row],[WEIGHT]]*9.81),0)</f>
        <v>0</v>
      </c>
      <c r="AB1051" s="20">
        <v>0.2</v>
      </c>
      <c r="AC1051" s="16">
        <f>ROUND(IF(IFERROR(PROPERTIES[[#This Row],[TE_COEFFICIENT_CALC]],0)=0,PROPERTIES[[#This Row],[TE_COEFFICIENT_MANUAL]],PROPERTIES[[#This Row],[TE_COEFFICIENT_CALC]]),3)</f>
        <v>0.2</v>
      </c>
      <c r="AD1051" s="39" cm="1">
        <f t="array" ref="AD10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51" s="26">
        <v>0</v>
      </c>
      <c r="AF1051" s="6">
        <v>0</v>
      </c>
      <c r="AG1051" s="6" t="s">
        <v>236</v>
      </c>
      <c r="AH1051" t="s">
        <v>229</v>
      </c>
      <c r="AI1051" t="s">
        <v>229</v>
      </c>
      <c r="AJ1051" s="2" t="s">
        <v>229</v>
      </c>
      <c r="AK1051" s="2" t="s">
        <v>244</v>
      </c>
      <c r="AL1051" s="6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051" s="6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051" s="2" t="str">
        <f>SUBSTITUTE(SUBSTITUTE(PROPERTIES[[#This Row],[PURCHASECOST_VALUE]], "PURCHASECOST_", ""), "_VALUE", "")</f>
        <v>DIESELRAILBUS</v>
      </c>
      <c r="AO1051" s="44" t="b">
        <v>0</v>
      </c>
      <c r="AP1051" s="48" t="b">
        <v>0</v>
      </c>
      <c r="AQ1051" s="48" t="b">
        <v>0</v>
      </c>
      <c r="AR1051" s="48">
        <v>0</v>
      </c>
      <c r="AS1051" s="48" t="b">
        <v>0</v>
      </c>
      <c r="AT1051" s="7" t="b">
        <v>0</v>
      </c>
      <c r="AU1051" s="40" t="str" cm="1">
        <f t="array" ref="AU1051">_xlfn.XLOOKUP(PROPERTIES[[#This Row],[VEHIDCODE]],GRAPHICS_PROPERTIES[VEHIDCODE],GRAPHICS_PROPERTIES[TEMPLATE_ID]&amp;GRAPHICS_PROPERTIES[TEMPLATE_AMENDMENT_CODE])</f>
        <v>TPL_01H</v>
      </c>
    </row>
  </sheetData>
  <phoneticPr fontId="18" type="noConversion"/>
  <conditionalFormatting sqref="A1:A891 A895:A1050 A1052:A1048576">
    <cfRule type="expression" dxfId="81" priority="39">
      <formula>$AT1=TRUE</formula>
    </cfRule>
  </conditionalFormatting>
  <conditionalFormatting sqref="A892:A894">
    <cfRule type="expression" dxfId="80" priority="15">
      <formula>$Q892=TRUE</formula>
    </cfRule>
  </conditionalFormatting>
  <conditionalFormatting sqref="A892:A940">
    <cfRule type="containsText" dxfId="79" priority="16" operator="containsText" text=" ">
      <formula>NOT(ISERROR(SEARCH(" ",A892)))</formula>
    </cfRule>
  </conditionalFormatting>
  <conditionalFormatting sqref="A942:A943">
    <cfRule type="containsText" dxfId="78" priority="225" operator="containsText" text=" ">
      <formula>NOT(ISERROR(SEARCH(" ",A942)))</formula>
    </cfRule>
  </conditionalFormatting>
  <conditionalFormatting sqref="A946:A950">
    <cfRule type="containsText" dxfId="77" priority="214" operator="containsText" text=" ">
      <formula>NOT(ISERROR(SEARCH(" ",A946)))</formula>
    </cfRule>
  </conditionalFormatting>
  <conditionalFormatting sqref="A952:A953">
    <cfRule type="containsText" dxfId="76" priority="205" operator="containsText" text=" ">
      <formula>NOT(ISERROR(SEARCH(" ",A952)))</formula>
    </cfRule>
  </conditionalFormatting>
  <conditionalFormatting sqref="A956:A971">
    <cfRule type="containsText" dxfId="75" priority="172" operator="containsText" text=" ">
      <formula>NOT(ISERROR(SEARCH(" ",A956)))</formula>
    </cfRule>
  </conditionalFormatting>
  <conditionalFormatting sqref="A974:A977">
    <cfRule type="containsText" dxfId="74" priority="159" operator="containsText" text=" ">
      <formula>NOT(ISERROR(SEARCH(" ",A974)))</formula>
    </cfRule>
  </conditionalFormatting>
  <conditionalFormatting sqref="A979:A982">
    <cfRule type="containsText" dxfId="73" priority="144" operator="containsText" text=" ">
      <formula>NOT(ISERROR(SEARCH(" ",A979)))</formula>
    </cfRule>
  </conditionalFormatting>
  <conditionalFormatting sqref="A985:A986">
    <cfRule type="containsText" dxfId="72" priority="140" operator="containsText" text=" ">
      <formula>NOT(ISERROR(SEARCH(" ",A985)))</formula>
    </cfRule>
  </conditionalFormatting>
  <conditionalFormatting sqref="A988:A991">
    <cfRule type="containsText" dxfId="71" priority="135" operator="containsText" text=" ">
      <formula>NOT(ISERROR(SEARCH(" ",A988)))</formula>
    </cfRule>
  </conditionalFormatting>
  <conditionalFormatting sqref="A994:A1029">
    <cfRule type="containsText" dxfId="70" priority="64" operator="containsText" text=" ">
      <formula>NOT(ISERROR(SEARCH(" ",A994)))</formula>
    </cfRule>
  </conditionalFormatting>
  <conditionalFormatting sqref="A1031:A1051">
    <cfRule type="containsText" dxfId="69" priority="2" operator="containsText" text=" ">
      <formula>NOT(ISERROR(SEARCH(" ",A1031)))</formula>
    </cfRule>
  </conditionalFormatting>
  <conditionalFormatting sqref="A1050:A1051">
    <cfRule type="expression" dxfId="68" priority="1">
      <formula>$Q1050=TRUE</formula>
    </cfRule>
  </conditionalFormatting>
  <conditionalFormatting sqref="J1:J1048576">
    <cfRule type="expression" dxfId="66" priority="211">
      <formula>AND(I1="NONE",J1&gt;0)</formula>
    </cfRule>
  </conditionalFormatting>
  <conditionalFormatting sqref="W1:Y1051 L1:L1048576 R1:U1048576">
    <cfRule type="cellIs" dxfId="65" priority="40" operator="equal">
      <formula>0</formula>
    </cfRule>
  </conditionalFormatting>
  <conditionalFormatting sqref="Z829:Z831 AA974:AC976 AA979:AC979 AA982:AC991 AA993:AC998 AA1000:AC1000 AA1003:AC1011 AB1013:AC1013 AA1014:AC1019 AA1022:AC1025 AA1027:AC1029 AA1035:AC1035 AA1039:AC1048576">
    <cfRule type="cellIs" dxfId="64" priority="324" operator="equal">
      <formula>0</formula>
    </cfRule>
  </conditionalFormatting>
  <conditionalFormatting sqref="Z898:Z899">
    <cfRule type="cellIs" dxfId="63" priority="283" operator="equal">
      <formula>0</formula>
    </cfRule>
  </conditionalFormatting>
  <conditionalFormatting sqref="Z914:Z915">
    <cfRule type="cellIs" dxfId="62" priority="262" operator="equal">
      <formula>0</formula>
    </cfRule>
  </conditionalFormatting>
  <conditionalFormatting sqref="Z975">
    <cfRule type="cellIs" dxfId="61" priority="163" operator="equal">
      <formula>0</formula>
    </cfRule>
  </conditionalFormatting>
  <conditionalFormatting sqref="Z1033:Z1034">
    <cfRule type="cellIs" dxfId="60" priority="58" operator="equal">
      <formula>0</formula>
    </cfRule>
  </conditionalFormatting>
  <conditionalFormatting sqref="Z1013:AA1013">
    <cfRule type="cellIs" dxfId="59" priority="83" operator="equal">
      <formula>0</formula>
    </cfRule>
  </conditionalFormatting>
  <conditionalFormatting sqref="Z1:AB825 AA796:AC799 AA802:AC803 AA805:AC806 AA822:AC823 AA825:AC825 Z826:AC826 Z827:AB827 Z828:AC828 AA829:AC831 Z832:AB832 AA833:AC880 Z881:AB886 AA887:AC890 Z891:AB891 AA892:AB892 Z893:AB893 AA894:AB894 Z895:AB895 AA896:AC908 Z909:AC909 Z910:AB913 AA914:AC937 Z938:AB938 AA939:AC940 Z941:AB941 AA942:AC957 Z958:AB960 AA961:AC964 Z965:AB968 AA969:AC969">
    <cfRule type="cellIs" dxfId="58" priority="370" operator="equal">
      <formula>0</formula>
    </cfRule>
  </conditionalFormatting>
  <conditionalFormatting sqref="Z970:AB973">
    <cfRule type="cellIs" dxfId="57" priority="168" operator="equal">
      <formula>0</formula>
    </cfRule>
  </conditionalFormatting>
  <conditionalFormatting sqref="Z977:AB978">
    <cfRule type="cellIs" dxfId="56" priority="156" operator="equal">
      <formula>0</formula>
    </cfRule>
  </conditionalFormatting>
  <conditionalFormatting sqref="Z981:AB981">
    <cfRule type="cellIs" dxfId="55" priority="147" operator="equal">
      <formula>0</formula>
    </cfRule>
  </conditionalFormatting>
  <conditionalFormatting sqref="Z992:AB992">
    <cfRule type="cellIs" dxfId="54" priority="134" operator="equal">
      <formula>0</formula>
    </cfRule>
  </conditionalFormatting>
  <conditionalFormatting sqref="Z999:AB999">
    <cfRule type="cellIs" dxfId="53" priority="113" operator="equal">
      <formula>0</formula>
    </cfRule>
  </conditionalFormatting>
  <conditionalFormatting sqref="Z1001:AB1002">
    <cfRule type="cellIs" dxfId="52" priority="110" operator="equal">
      <formula>0</formula>
    </cfRule>
  </conditionalFormatting>
  <conditionalFormatting sqref="Z1012:AB1012">
    <cfRule type="cellIs" dxfId="51" priority="90" operator="equal">
      <formula>0</formula>
    </cfRule>
  </conditionalFormatting>
  <conditionalFormatting sqref="Z1020:AB1021">
    <cfRule type="cellIs" dxfId="50" priority="73" operator="equal">
      <formula>0</formula>
    </cfRule>
  </conditionalFormatting>
  <conditionalFormatting sqref="Z1026:AB1026">
    <cfRule type="cellIs" dxfId="49" priority="68" operator="equal">
      <formula>0</formula>
    </cfRule>
  </conditionalFormatting>
  <conditionalFormatting sqref="Z1030:AB1032">
    <cfRule type="cellIs" dxfId="48" priority="61" operator="equal">
      <formula>0</formula>
    </cfRule>
  </conditionalFormatting>
  <conditionalFormatting sqref="Z1036:AB1038">
    <cfRule type="cellIs" dxfId="47" priority="55" operator="equal">
      <formula>0</formula>
    </cfRule>
  </conditionalFormatting>
  <conditionalFormatting sqref="AA980:AB980">
    <cfRule type="cellIs" dxfId="46" priority="151" operator="equal">
      <formula>0</formula>
    </cfRule>
  </conditionalFormatting>
  <conditionalFormatting sqref="AA1033:AB1034">
    <cfRule type="cellIs" dxfId="45" priority="59" operator="equal">
      <formula>0</formula>
    </cfRule>
  </conditionalFormatting>
  <conditionalFormatting sqref="AG1:AJ1048576">
    <cfRule type="containsText" dxfId="44" priority="79" operator="containsText" text="NO_REGION">
      <formula>NOT(ISERROR(SEARCH("NO_REGION",AG1)))</formula>
    </cfRule>
  </conditionalFormatting>
  <conditionalFormatting sqref="AK2:AK1051">
    <cfRule type="containsText" dxfId="43" priority="80" operator="containsText" text="NO_CONCEPT">
      <formula>NOT(ISERROR(SEARCH("NO_CONCEPT",AK2)))</formula>
    </cfRule>
  </conditionalFormatting>
  <conditionalFormatting sqref="AL2:AM1051">
    <cfRule type="cellIs" dxfId="42" priority="306" operator="equal">
      <formula>FALSE</formula>
    </cfRule>
  </conditionalFormatting>
  <conditionalFormatting sqref="AO2:AO1051">
    <cfRule type="containsText" dxfId="41" priority="355" operator="containsText" text="FALSE">
      <formula>NOT(ISERROR(SEARCH("FALSE",AO2)))</formula>
    </cfRule>
  </conditionalFormatting>
  <conditionalFormatting sqref="AP2:AT1051">
    <cfRule type="cellIs" dxfId="40" priority="47" operator="equal">
      <formula>FALSE</formula>
    </cfRule>
  </conditionalFormatting>
  <dataValidations count="16">
    <dataValidation type="whole" operator="greaterThanOrEqual" allowBlank="1" showInputMessage="1" showErrorMessage="1" sqref="Q1013 R2:Y1051 P2:P1051 AE2:AF1051 J2:J1051 AR2:AS1048576" xr:uid="{699258F9-37E8-437E-9547-ACEA0AFD7DA4}">
      <formula1>0</formula1>
    </dataValidation>
    <dataValidation type="decimal" operator="greaterThanOrEqual" allowBlank="1" showInputMessage="1" showErrorMessage="1" sqref="Q1014:Q1016 Q2:Q1012 Q1026 Q1020:Q1021 Q1030:Q1034 Q1036:Q1038 Z2:AC1051" xr:uid="{F342F512-E760-4CD3-801B-E5B9CF70B7FD}">
      <formula1>0</formula1>
    </dataValidation>
    <dataValidation operator="greaterThanOrEqual" allowBlank="1" showInputMessage="1" showErrorMessage="1" sqref="AU792:AV992 AR1:AS1 AU790:AU791 AV993:AV1048576" xr:uid="{2D963A9D-C2E3-4020-ABFA-FD04EDA25119}"/>
    <dataValidation type="whole" allowBlank="1" showInputMessage="1" showErrorMessage="1" sqref="B1012 B881 B818 B804 B960 B792 B2:B789 B1021 B1026 B1030:B1034 B1036:B1038" xr:uid="{DEF10C41-55B4-45CA-9782-0B79331628F3}">
      <formula1>1660</formula1>
      <formula2>3000</formula2>
    </dataValidation>
    <dataValidation type="list" allowBlank="1" showInputMessage="1" showErrorMessage="1" sqref="H896" xr:uid="{EB4398F4-10E4-463B-A52E-1F5C116A99EF}">
      <formula1>INDIRECT("VALID_ENGINE_CLASS[ENGINE_CLASS]")</formula1>
    </dataValidation>
    <dataValidation type="list" allowBlank="1" showInputMessage="1" showErrorMessage="1" sqref="AP1052:AQ1048576" xr:uid="{3DF92062-7B45-4CFD-B785-6FCE07E25CA8}">
      <formula1>"GAS_TURBINE,DUAL"</formula1>
    </dataValidation>
    <dataValidation type="list" allowBlank="1" showInputMessage="1" showErrorMessage="1" sqref="F2:F1051" xr:uid="{33652263-03A3-437A-966A-BE8C0F8BE076}">
      <formula1>INDIRECT("COUNTRIES[COUNTRY_DESCRIPTION]")</formula1>
    </dataValidation>
    <dataValidation type="list" allowBlank="1" showInputMessage="1" showErrorMessage="1" sqref="G2:G1051" xr:uid="{588AE673-9464-4BE0-859D-79E758214056}">
      <formula1>INDIRECT("COUNTRIES[COUNTRY_LABEL]")</formula1>
    </dataValidation>
    <dataValidation type="list" allowBlank="1" showInputMessage="1" showErrorMessage="1" sqref="AT2:AT1051 AP2:AQ1051" xr:uid="{F2DE25A7-EAF4-4DA6-85FD-9F7B7EE18717}">
      <formula1>"TRUE,FALSE"</formula1>
    </dataValidation>
    <dataValidation type="whole" allowBlank="1" showInputMessage="1" showErrorMessage="1" sqref="K2:K1051" xr:uid="{607F370E-253D-4A13-94DF-726661E11AFB}">
      <formula1>1</formula1>
      <formula2>8</formula2>
    </dataValidation>
    <dataValidation type="list" allowBlank="1" showInputMessage="1" showErrorMessage="1" sqref="I2:I1051" xr:uid="{B4C03D86-C7FA-4754-AA46-736C1B535A70}">
      <formula1>INDIRECT("CARGODEF[CARGODEF]")</formula1>
    </dataValidation>
    <dataValidation type="list" allowBlank="1" showInputMessage="1" showErrorMessage="1" sqref="AG2:AJ1048576" xr:uid="{A6AEDF15-D52E-4DEA-AD86-7127D84AEEAD}">
      <formula1>INDIRECT("VALID_REGIONS[VALID_REGIONS]")</formula1>
    </dataValidation>
    <dataValidation operator="greaterThan" allowBlank="1" showInputMessage="1" showErrorMessage="1" sqref="M2:M1048576" xr:uid="{62E0D809-8F43-4BE7-A21D-CE73BB7309D3}"/>
    <dataValidation type="list" allowBlank="1" showInputMessage="1" showErrorMessage="1" sqref="AK2:AK1048576" xr:uid="{8C26233E-517C-44B3-9DC0-D7A817FC386D}">
      <formula1>"IS_CONCEPT,NO_CONCEPT"</formula1>
    </dataValidation>
    <dataValidation type="list" allowBlank="1" showInputMessage="1" showErrorMessage="1" sqref="AO1:AO1048576" xr:uid="{8E0E1A95-2411-4628-ACC2-EDFA5938AD76}">
      <formula1>"GAS_TURBINE,DUAL,FALSE"</formula1>
    </dataValidation>
    <dataValidation type="whole" allowBlank="1" showInputMessage="1" showErrorMessage="1" sqref="L1:L1048576" xr:uid="{E8794ACB-4DCD-4E11-8B87-13393862E07A}">
      <formula1>0</formula1>
      <formula2>8</formula2>
    </dataValidation>
  </dataValidations>
  <pageMargins left="0.7" right="0.7" top="0.75" bottom="0.75" header="0.3" footer="0.3"/>
  <pageSetup paperSize="9" orientation="portrait" r:id="rId1"/>
  <ignoredErrors>
    <ignoredError sqref="G572 G932" listDataValidatio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2" id="{2DF549D0-9C7F-4C30-99F2-6EAA1082651B}">
            <xm:f>AND(ISBLANK(F1),_xlfn.XLOOKUP(A1,'control'!$A:$A,'control'!$I:$I)=FALSE)</xm:f>
            <x14:dxf>
              <fill>
                <patternFill>
                  <bgColor rgb="FFC00000"/>
                </patternFill>
              </fill>
            </x14:dxf>
          </x14:cfRule>
          <xm:sqref>F1:F1048576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8CC2-EA96-4749-AB2B-3364884F9AFC}">
  <dimension ref="A1:AR1051"/>
  <sheetViews>
    <sheetView zoomScaleNormal="100" workbookViewId="0">
      <pane xSplit="1" ySplit="1" topLeftCell="M618" activePane="bottomRight" state="frozen"/>
      <selection pane="topRight" activeCell="B1" sqref="B1"/>
      <selection pane="bottomLeft" activeCell="A2" sqref="A2"/>
      <selection pane="bottomRight" activeCell="W634" sqref="W634"/>
    </sheetView>
  </sheetViews>
  <sheetFormatPr defaultRowHeight="14.5" x14ac:dyDescent="0.35"/>
  <cols>
    <col min="1" max="1" width="50.7265625" bestFit="1" customWidth="1"/>
    <col min="2" max="2" width="50.7265625" customWidth="1"/>
    <col min="3" max="9" width="26.1796875" bestFit="1" customWidth="1"/>
    <col min="10" max="10" width="27.26953125" style="2" bestFit="1" customWidth="1"/>
    <col min="11" max="13" width="25.7265625" bestFit="1" customWidth="1"/>
    <col min="14" max="14" width="24.6328125" bestFit="1" customWidth="1"/>
    <col min="15" max="16" width="25.7265625" bestFit="1" customWidth="1"/>
    <col min="17" max="17" width="24.6328125" bestFit="1" customWidth="1"/>
    <col min="18" max="18" width="25.7265625" style="2" bestFit="1" customWidth="1"/>
    <col min="19" max="21" width="25.26953125" bestFit="1" customWidth="1"/>
    <col min="22" max="22" width="24" bestFit="1" customWidth="1"/>
    <col min="23" max="23" width="25.26953125" bestFit="1" customWidth="1"/>
    <col min="24" max="25" width="24" bestFit="1" customWidth="1"/>
    <col min="26" max="26" width="25.26953125" style="2" bestFit="1" customWidth="1"/>
    <col min="27" max="27" width="20.08984375" bestFit="1" customWidth="1"/>
    <col min="28" max="28" width="19.54296875" bestFit="1" customWidth="1"/>
    <col min="29" max="29" width="19.6328125" bestFit="1" customWidth="1"/>
    <col min="30" max="30" width="16.26953125" bestFit="1" customWidth="1"/>
    <col min="31" max="33" width="12.81640625" style="38" customWidth="1"/>
    <col min="34" max="34" width="12.36328125" bestFit="1" customWidth="1"/>
    <col min="35" max="35" width="14.7265625" bestFit="1" customWidth="1"/>
    <col min="39" max="40" width="18.26953125" bestFit="1" customWidth="1"/>
    <col min="41" max="41" width="22.26953125" bestFit="1" customWidth="1"/>
    <col min="42" max="42" width="19.1796875" style="6" bestFit="1" customWidth="1"/>
    <col min="43" max="43" width="17.453125" style="7" bestFit="1" customWidth="1"/>
    <col min="44" max="44" width="10" style="8" bestFit="1" customWidth="1"/>
    <col min="45" max="45" width="24" bestFit="1" customWidth="1"/>
    <col min="46" max="46" width="23.7265625" bestFit="1" customWidth="1"/>
    <col min="47" max="47" width="26.7265625" bestFit="1" customWidth="1"/>
    <col min="48" max="48" width="26.90625" bestFit="1" customWidth="1"/>
    <col min="49" max="49" width="19" bestFit="1" customWidth="1"/>
    <col min="50" max="50" width="25.1796875" bestFit="1" customWidth="1"/>
    <col min="51" max="51" width="20.6328125" bestFit="1" customWidth="1"/>
    <col min="52" max="52" width="11.1796875" customWidth="1"/>
    <col min="53" max="54" width="21.36328125" customWidth="1"/>
    <col min="55" max="55" width="20.90625" bestFit="1" customWidth="1"/>
    <col min="56" max="56" width="18.90625" bestFit="1" customWidth="1"/>
    <col min="58" max="60" width="11.1796875" customWidth="1"/>
    <col min="61" max="61" width="11.54296875" bestFit="1" customWidth="1"/>
  </cols>
  <sheetData>
    <row r="1" spans="1:44" s="1" customFormat="1" ht="44.15" customHeight="1" x14ac:dyDescent="0.35">
      <c r="A1" s="1" t="s">
        <v>0</v>
      </c>
      <c r="B1" s="41" t="s">
        <v>2566</v>
      </c>
      <c r="C1" s="1" t="s">
        <v>37</v>
      </c>
      <c r="D1" s="1" t="s">
        <v>38</v>
      </c>
      <c r="E1" s="1" t="s">
        <v>39</v>
      </c>
      <c r="F1" s="1" t="s">
        <v>52</v>
      </c>
      <c r="G1" s="1" t="s">
        <v>248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41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42</v>
      </c>
      <c r="X1" s="1" t="s">
        <v>66</v>
      </c>
      <c r="Y1" s="1" t="s">
        <v>67</v>
      </c>
      <c r="Z1" s="1" t="s">
        <v>68</v>
      </c>
      <c r="AA1" s="1" t="s">
        <v>43</v>
      </c>
      <c r="AB1" s="1" t="s">
        <v>44</v>
      </c>
      <c r="AC1" s="1" t="s">
        <v>45</v>
      </c>
      <c r="AD1" s="10" t="s">
        <v>247</v>
      </c>
      <c r="AE1" s="38" t="s">
        <v>1736</v>
      </c>
      <c r="AF1" s="38" t="s">
        <v>1737</v>
      </c>
      <c r="AG1" s="38" t="s">
        <v>1738</v>
      </c>
      <c r="AH1" s="10" t="s">
        <v>1739</v>
      </c>
    </row>
    <row r="2" spans="1:44" x14ac:dyDescent="0.35">
      <c r="A2" s="2" t="s">
        <v>71</v>
      </c>
      <c r="B2" s="40" t="str">
        <f>_xlfn.XLOOKUP(PROPERTIES[[#This Row],[VEHIDCODE]],CONTROL[VEHIDCODE],CONTROL[ENGLISH])</f>
        <v>Maglev Unit Wagon</v>
      </c>
      <c r="AB2" t="b">
        <v>1</v>
      </c>
      <c r="AC2" s="2"/>
      <c r="AD2" s="2" t="b">
        <f>LEN(_xlfn.CONCAT(TRACK_TYPES[[#This Row],[TRACK_TYPE_STANDARD_GAUGE_RAILTYPE_OHLE]:[TRACK_TYPE_MTRO]]))&gt;0</f>
        <v>1</v>
      </c>
      <c r="AE2" s="38" t="b" cm="1">
        <f t="array" ref="AE2">IFERROR(_xlfn.BYROW(TRACK_TYPES[[#This Row],[TRACK_TYPE_STANDARD_GAUGE_RAILTYPE_OHLE]:[TRACK_TYPE_STANDARD_GAUGE_RAILTYPE_NONE]],_xlfn.LAMBDA(_xlpm.r,OR(_xlpm.r))),FALSE)</f>
        <v>0</v>
      </c>
      <c r="AF2" s="38" t="b" cm="1">
        <f t="array" ref="AF2">IFERROR(_xlfn.BYROW(TRACK_TYPES[[#This Row],[TRACK_TYPE_NARROW_GAUGE_RAILTYPE_OHLE]:[TRACK_TYPE_NARROW_GAUGE_RAILTYPE_NONE]],_xlfn.LAMBDA(_xlpm.r,OR(_xlpm.r))),FALSE)</f>
        <v>0</v>
      </c>
      <c r="AG2" s="38" t="b" cm="1">
        <f t="array" ref="AG2">IFERROR(_xlfn.BYROW(TRACK_TYPES[[#This Row],[TRACK_TYPE_BROAD_GAUGE_RAILTYPE_OHLE]:[TRACK_TYPE_BROAD_GAUGE_RAILTYPE_NONE]],_xlfn.LAMBDA(_xlpm.r,OR(_xlpm.r))),FALSE)</f>
        <v>0</v>
      </c>
      <c r="AH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2"/>
      <c r="AQ2"/>
      <c r="AR2"/>
    </row>
    <row r="3" spans="1:44" x14ac:dyDescent="0.35">
      <c r="A3" s="2" t="s">
        <v>72</v>
      </c>
      <c r="B3" s="40" t="str">
        <f>_xlfn.XLOOKUP(PROPERTIES[[#This Row],[VEHIDCODE]],CONTROL[VEHIDCODE],CONTROL[ENGLISH])</f>
        <v>Maglev Unit Wagon</v>
      </c>
      <c r="AB3" t="b">
        <v>1</v>
      </c>
      <c r="AC3" s="2"/>
      <c r="AD3" s="2" t="b">
        <f>LEN(_xlfn.CONCAT(TRACK_TYPES[[#This Row],[TRACK_TYPE_STANDARD_GAUGE_RAILTYPE_OHLE]:[TRACK_TYPE_MTRO]]))&gt;0</f>
        <v>1</v>
      </c>
      <c r="AE3" s="38" t="b" cm="1">
        <f t="array" ref="AE3">IFERROR(_xlfn.BYROW(TRACK_TYPES[[#This Row],[TRACK_TYPE_STANDARD_GAUGE_RAILTYPE_OHLE]:[TRACK_TYPE_STANDARD_GAUGE_RAILTYPE_NONE]],_xlfn.LAMBDA(_xlpm.r,OR(_xlpm.r))),FALSE)</f>
        <v>0</v>
      </c>
      <c r="AF3" s="38" t="b" cm="1">
        <f t="array" ref="AF3">IFERROR(_xlfn.BYROW(TRACK_TYPES[[#This Row],[TRACK_TYPE_NARROW_GAUGE_RAILTYPE_OHLE]:[TRACK_TYPE_NARROW_GAUGE_RAILTYPE_NONE]],_xlfn.LAMBDA(_xlpm.r,OR(_xlpm.r))),FALSE)</f>
        <v>0</v>
      </c>
      <c r="AG3" s="38" t="b" cm="1">
        <f t="array" ref="AG3">IFERROR(_xlfn.BYROW(TRACK_TYPES[[#This Row],[TRACK_TYPE_BROAD_GAUGE_RAILTYPE_OHLE]:[TRACK_TYPE_BROAD_GAUGE_RAILTYPE_NONE]],_xlfn.LAMBDA(_xlpm.r,OR(_xlpm.r))),FALSE)</f>
        <v>0</v>
      </c>
      <c r="AH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3"/>
      <c r="AQ3"/>
      <c r="AR3"/>
    </row>
    <row r="4" spans="1:44" x14ac:dyDescent="0.35">
      <c r="A4" s="2" t="s">
        <v>2649</v>
      </c>
      <c r="B4" s="40" t="str">
        <f>_xlfn.XLOOKUP(PROPERTIES[[#This Row],[VEHIDCODE]],CONTROL[VEHIDCODE],CONTROL[ENGLISH])</f>
        <v>Komarek NOLB 1</v>
      </c>
      <c r="R4" s="2" t="b">
        <v>1</v>
      </c>
      <c r="AC4" s="2"/>
      <c r="AD4" s="2" t="b">
        <f>LEN(_xlfn.CONCAT(TRACK_TYPES[[#This Row],[TRACK_TYPE_STANDARD_GAUGE_RAILTYPE_OHLE]:[TRACK_TYPE_MTRO]]))&gt;0</f>
        <v>1</v>
      </c>
      <c r="AE4" s="38" t="b" cm="1">
        <f t="array" ref="AE4">IFERROR(_xlfn.BYROW(TRACK_TYPES[[#This Row],[TRACK_TYPE_STANDARD_GAUGE_RAILTYPE_OHLE]:[TRACK_TYPE_STANDARD_GAUGE_RAILTYPE_NONE]],_xlfn.LAMBDA(_xlpm.r,OR(_xlpm.r))),FALSE)</f>
        <v>0</v>
      </c>
      <c r="AF4" s="38" t="b" cm="1">
        <f t="array" ref="AF4">IFERROR(_xlfn.BYROW(TRACK_TYPES[[#This Row],[TRACK_TYPE_NARROW_GAUGE_RAILTYPE_OHLE]:[TRACK_TYPE_NARROW_GAUGE_RAILTYPE_NONE]],_xlfn.LAMBDA(_xlpm.r,OR(_xlpm.r))),FALSE)</f>
        <v>1</v>
      </c>
      <c r="AG4" s="38" t="b" cm="1">
        <f t="array" ref="AG4">IFERROR(_xlfn.BYROW(TRACK_TYPES[[#This Row],[TRACK_TYPE_BROAD_GAUGE_RAILTYPE_OHLE]:[TRACK_TYPE_BROAD_GAUGE_RAILTYPE_NONE]],_xlfn.LAMBDA(_xlpm.r,OR(_xlpm.r))),FALSE)</f>
        <v>0</v>
      </c>
      <c r="AH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"/>
      <c r="AQ4"/>
      <c r="AR4"/>
    </row>
    <row r="5" spans="1:44" x14ac:dyDescent="0.35">
      <c r="A5" s="2" t="s">
        <v>2650</v>
      </c>
      <c r="B5" s="40" t="str">
        <f>_xlfn.XLOOKUP(PROPERTIES[[#This Row],[VEHIDCODE]],CONTROL[VEHIDCODE],CONTROL[ENGLISH])</f>
        <v>Kerr, Stuart &amp; Co. 86</v>
      </c>
      <c r="J5" s="2" t="b">
        <v>1</v>
      </c>
      <c r="AC5" s="2"/>
      <c r="AD5" s="2" t="b">
        <f>LEN(_xlfn.CONCAT(TRACK_TYPES[[#This Row],[TRACK_TYPE_STANDARD_GAUGE_RAILTYPE_OHLE]:[TRACK_TYPE_MTRO]]))&gt;0</f>
        <v>1</v>
      </c>
      <c r="AE5" s="38" t="b" cm="1">
        <f t="array" ref="AE5">IFERROR(_xlfn.BYROW(TRACK_TYPES[[#This Row],[TRACK_TYPE_STANDARD_GAUGE_RAILTYPE_OHLE]:[TRACK_TYPE_STANDARD_GAUGE_RAILTYPE_NONE]],_xlfn.LAMBDA(_xlpm.r,OR(_xlpm.r))),FALSE)</f>
        <v>1</v>
      </c>
      <c r="AF5" s="38" t="b" cm="1">
        <f t="array" ref="AF5">IFERROR(_xlfn.BYROW(TRACK_TYPES[[#This Row],[TRACK_TYPE_NARROW_GAUGE_RAILTYPE_OHLE]:[TRACK_TYPE_NARROW_GAUGE_RAILTYPE_NONE]],_xlfn.LAMBDA(_xlpm.r,OR(_xlpm.r))),FALSE)</f>
        <v>0</v>
      </c>
      <c r="AG5" s="38" t="b" cm="1">
        <f t="array" ref="AG5">IFERROR(_xlfn.BYROW(TRACK_TYPES[[#This Row],[TRACK_TYPE_BROAD_GAUGE_RAILTYPE_OHLE]:[TRACK_TYPE_BROAD_GAUGE_RAILTYPE_NONE]],_xlfn.LAMBDA(_xlpm.r,OR(_xlpm.r))),FALSE)</f>
        <v>0</v>
      </c>
      <c r="AH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"/>
      <c r="AQ5"/>
      <c r="AR5"/>
    </row>
    <row r="6" spans="1:44" x14ac:dyDescent="0.35">
      <c r="A6" s="2" t="s">
        <v>2651</v>
      </c>
      <c r="B6" s="40" t="str">
        <f>_xlfn.XLOOKUP(PROPERTIES[[#This Row],[VEHIDCODE]],CONTROL[VEHIDCODE],CONTROL[ENGLISH])</f>
        <v>Victorian Railways Rowan Railmotor</v>
      </c>
      <c r="Z6" s="2" t="b">
        <v>1</v>
      </c>
      <c r="AC6" s="2"/>
      <c r="AD6" s="2" t="b">
        <f>LEN(_xlfn.CONCAT(TRACK_TYPES[[#This Row],[TRACK_TYPE_STANDARD_GAUGE_RAILTYPE_OHLE]:[TRACK_TYPE_MTRO]]))&gt;0</f>
        <v>1</v>
      </c>
      <c r="AE6" s="38" t="b" cm="1">
        <f t="array" ref="AE6">IFERROR(_xlfn.BYROW(TRACK_TYPES[[#This Row],[TRACK_TYPE_STANDARD_GAUGE_RAILTYPE_OHLE]:[TRACK_TYPE_STANDARD_GAUGE_RAILTYPE_NONE]],_xlfn.LAMBDA(_xlpm.r,OR(_xlpm.r))),FALSE)</f>
        <v>0</v>
      </c>
      <c r="AF6" s="38" t="b" cm="1">
        <f t="array" ref="AF6">IFERROR(_xlfn.BYROW(TRACK_TYPES[[#This Row],[TRACK_TYPE_NARROW_GAUGE_RAILTYPE_OHLE]:[TRACK_TYPE_NARROW_GAUGE_RAILTYPE_NONE]],_xlfn.LAMBDA(_xlpm.r,OR(_xlpm.r))),FALSE)</f>
        <v>0</v>
      </c>
      <c r="AG6" s="38" t="b" cm="1">
        <f t="array" ref="AG6">IFERROR(_xlfn.BYROW(TRACK_TYPES[[#This Row],[TRACK_TYPE_BROAD_GAUGE_RAILTYPE_OHLE]:[TRACK_TYPE_BROAD_GAUGE_RAILTYPE_NONE]],_xlfn.LAMBDA(_xlpm.r,OR(_xlpm.r))),FALSE)</f>
        <v>1</v>
      </c>
      <c r="AH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"/>
      <c r="AQ6"/>
      <c r="AR6"/>
    </row>
    <row r="7" spans="1:44" x14ac:dyDescent="0.35">
      <c r="A7" s="2" t="s">
        <v>2652</v>
      </c>
      <c r="B7" s="40" t="str">
        <f>_xlfn.XLOOKUP(PROPERTIES[[#This Row],[VEHIDCODE]],CONTROL[VEHIDCODE],CONTROL[ENGLISH])</f>
        <v>Esslingen Czm 1/2</v>
      </c>
      <c r="J7" s="2" t="b">
        <v>1</v>
      </c>
      <c r="AC7" s="2"/>
      <c r="AD7" s="2" t="b">
        <f>LEN(_xlfn.CONCAT(TRACK_TYPES[[#This Row],[TRACK_TYPE_STANDARD_GAUGE_RAILTYPE_OHLE]:[TRACK_TYPE_MTRO]]))&gt;0</f>
        <v>1</v>
      </c>
      <c r="AE7" s="38" t="b" cm="1">
        <f t="array" ref="AE7">IFERROR(_xlfn.BYROW(TRACK_TYPES[[#This Row],[TRACK_TYPE_STANDARD_GAUGE_RAILTYPE_OHLE]:[TRACK_TYPE_STANDARD_GAUGE_RAILTYPE_NONE]],_xlfn.LAMBDA(_xlpm.r,OR(_xlpm.r))),FALSE)</f>
        <v>1</v>
      </c>
      <c r="AF7" s="38" t="b" cm="1">
        <f t="array" ref="AF7">IFERROR(_xlfn.BYROW(TRACK_TYPES[[#This Row],[TRACK_TYPE_NARROW_GAUGE_RAILTYPE_OHLE]:[TRACK_TYPE_NARROW_GAUGE_RAILTYPE_NONE]],_xlfn.LAMBDA(_xlpm.r,OR(_xlpm.r))),FALSE)</f>
        <v>0</v>
      </c>
      <c r="AG7" s="38" t="b" cm="1">
        <f t="array" ref="AG7">IFERROR(_xlfn.BYROW(TRACK_TYPES[[#This Row],[TRACK_TYPE_BROAD_GAUGE_RAILTYPE_OHLE]:[TRACK_TYPE_BROAD_GAUGE_RAILTYPE_NONE]],_xlfn.LAMBDA(_xlpm.r,OR(_xlpm.r))),FALSE)</f>
        <v>0</v>
      </c>
      <c r="AH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"/>
      <c r="AQ7"/>
      <c r="AR7"/>
    </row>
    <row r="8" spans="1:44" x14ac:dyDescent="0.35">
      <c r="A8" s="2" t="s">
        <v>2653</v>
      </c>
      <c r="B8" s="40" t="str">
        <f>_xlfn.XLOOKUP(PROPERTIES[[#This Row],[VEHIDCODE]],CONTROL[VEHIDCODE],CONTROL[ENGLISH])</f>
        <v>Maffei MCCi</v>
      </c>
      <c r="J8" s="2" t="b">
        <v>1</v>
      </c>
      <c r="AC8" s="2"/>
      <c r="AD8" s="2" t="b">
        <f>LEN(_xlfn.CONCAT(TRACK_TYPES[[#This Row],[TRACK_TYPE_STANDARD_GAUGE_RAILTYPE_OHLE]:[TRACK_TYPE_MTRO]]))&gt;0</f>
        <v>1</v>
      </c>
      <c r="AE8" s="38" t="b" cm="1">
        <f t="array" ref="AE8">IFERROR(_xlfn.BYROW(TRACK_TYPES[[#This Row],[TRACK_TYPE_STANDARD_GAUGE_RAILTYPE_OHLE]:[TRACK_TYPE_STANDARD_GAUGE_RAILTYPE_NONE]],_xlfn.LAMBDA(_xlpm.r,OR(_xlpm.r))),FALSE)</f>
        <v>1</v>
      </c>
      <c r="AF8" s="38" t="b" cm="1">
        <f t="array" ref="AF8">IFERROR(_xlfn.BYROW(TRACK_TYPES[[#This Row],[TRACK_TYPE_NARROW_GAUGE_RAILTYPE_OHLE]:[TRACK_TYPE_NARROW_GAUGE_RAILTYPE_NONE]],_xlfn.LAMBDA(_xlpm.r,OR(_xlpm.r))),FALSE)</f>
        <v>0</v>
      </c>
      <c r="AG8" s="38" t="b" cm="1">
        <f t="array" ref="AG8">IFERROR(_xlfn.BYROW(TRACK_TYPES[[#This Row],[TRACK_TYPE_BROAD_GAUGE_RAILTYPE_OHLE]:[TRACK_TYPE_BROAD_GAUGE_RAILTYPE_NONE]],_xlfn.LAMBDA(_xlpm.r,OR(_xlpm.r))),FALSE)</f>
        <v>0</v>
      </c>
      <c r="AH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"/>
      <c r="AQ8"/>
      <c r="AR8"/>
    </row>
    <row r="9" spans="1:44" x14ac:dyDescent="0.35">
      <c r="A9" s="2" t="s">
        <v>2654</v>
      </c>
      <c r="B9" s="40" t="str">
        <f>_xlfn.XLOOKUP(PROPERTIES[[#This Row],[VEHIDCODE]],CONTROL[VEHIDCODE],CONTROL[ENGLISH])</f>
        <v>Kitson &amp; Co. CSAR Railmotor</v>
      </c>
      <c r="R9" s="2" t="b">
        <v>1</v>
      </c>
      <c r="AC9" s="2"/>
      <c r="AD9" s="2" t="b">
        <f>LEN(_xlfn.CONCAT(TRACK_TYPES[[#This Row],[TRACK_TYPE_STANDARD_GAUGE_RAILTYPE_OHLE]:[TRACK_TYPE_MTRO]]))&gt;0</f>
        <v>1</v>
      </c>
      <c r="AE9" s="38" t="b" cm="1">
        <f t="array" ref="AE9">IFERROR(_xlfn.BYROW(TRACK_TYPES[[#This Row],[TRACK_TYPE_STANDARD_GAUGE_RAILTYPE_OHLE]:[TRACK_TYPE_STANDARD_GAUGE_RAILTYPE_NONE]],_xlfn.LAMBDA(_xlpm.r,OR(_xlpm.r))),FALSE)</f>
        <v>0</v>
      </c>
      <c r="AF9" s="38" t="b" cm="1">
        <f t="array" ref="AF9">IFERROR(_xlfn.BYROW(TRACK_TYPES[[#This Row],[TRACK_TYPE_NARROW_GAUGE_RAILTYPE_OHLE]:[TRACK_TYPE_NARROW_GAUGE_RAILTYPE_NONE]],_xlfn.LAMBDA(_xlpm.r,OR(_xlpm.r))),FALSE)</f>
        <v>1</v>
      </c>
      <c r="AG9" s="38" t="b" cm="1">
        <f t="array" ref="AG9">IFERROR(_xlfn.BYROW(TRACK_TYPES[[#This Row],[TRACK_TYPE_BROAD_GAUGE_RAILTYPE_OHLE]:[TRACK_TYPE_BROAD_GAUGE_RAILTYPE_NONE]],_xlfn.LAMBDA(_xlpm.r,OR(_xlpm.r))),FALSE)</f>
        <v>0</v>
      </c>
      <c r="AH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9"/>
      <c r="AQ9"/>
      <c r="AR9"/>
    </row>
    <row r="10" spans="1:44" x14ac:dyDescent="0.35">
      <c r="A10" s="2" t="s">
        <v>2655</v>
      </c>
      <c r="B10" s="40" t="str">
        <f>_xlfn.XLOOKUP(PROPERTIES[[#This Row],[VEHIDCODE]],CONTROL[VEHIDCODE],CONTROL[ENGLISH])</f>
        <v>Kerr, Stuart &amp; Co. Motor Car 3</v>
      </c>
      <c r="Z10" s="2" t="b">
        <v>1</v>
      </c>
      <c r="AC10" s="2"/>
      <c r="AD10" s="2" t="b">
        <f>LEN(_xlfn.CONCAT(TRACK_TYPES[[#This Row],[TRACK_TYPE_STANDARD_GAUGE_RAILTYPE_OHLE]:[TRACK_TYPE_MTRO]]))&gt;0</f>
        <v>1</v>
      </c>
      <c r="AE10" s="38" t="b" cm="1">
        <f t="array" ref="AE10">IFERROR(_xlfn.BYROW(TRACK_TYPES[[#This Row],[TRACK_TYPE_STANDARD_GAUGE_RAILTYPE_OHLE]:[TRACK_TYPE_STANDARD_GAUGE_RAILTYPE_NONE]],_xlfn.LAMBDA(_xlpm.r,OR(_xlpm.r))),FALSE)</f>
        <v>0</v>
      </c>
      <c r="AF10" s="38" t="b" cm="1">
        <f t="array" ref="AF10">IFERROR(_xlfn.BYROW(TRACK_TYPES[[#This Row],[TRACK_TYPE_NARROW_GAUGE_RAILTYPE_OHLE]:[TRACK_TYPE_NARROW_GAUGE_RAILTYPE_NONE]],_xlfn.LAMBDA(_xlpm.r,OR(_xlpm.r))),FALSE)</f>
        <v>0</v>
      </c>
      <c r="AG10" s="38" t="b" cm="1">
        <f t="array" ref="AG10">IFERROR(_xlfn.BYROW(TRACK_TYPES[[#This Row],[TRACK_TYPE_BROAD_GAUGE_RAILTYPE_OHLE]:[TRACK_TYPE_BROAD_GAUGE_RAILTYPE_NONE]],_xlfn.LAMBDA(_xlpm.r,OR(_xlpm.r))),FALSE)</f>
        <v>1</v>
      </c>
      <c r="AH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0"/>
      <c r="AQ10"/>
      <c r="AR10"/>
    </row>
    <row r="11" spans="1:44" x14ac:dyDescent="0.35">
      <c r="A11" s="2" t="s">
        <v>2656</v>
      </c>
      <c r="B11" s="40" t="str">
        <f>_xlfn.XLOOKUP(PROPERTIES[[#This Row],[VEHIDCODE]],CONTROL[VEHIDCODE],CONTROL[ENGLISH])</f>
        <v>KkStB 4.0</v>
      </c>
      <c r="J11" s="2" t="b">
        <v>1</v>
      </c>
      <c r="AC11" s="2"/>
      <c r="AD11" s="2" t="b">
        <f>LEN(_xlfn.CONCAT(TRACK_TYPES[[#This Row],[TRACK_TYPE_STANDARD_GAUGE_RAILTYPE_OHLE]:[TRACK_TYPE_MTRO]]))&gt;0</f>
        <v>1</v>
      </c>
      <c r="AE11" s="38" t="b" cm="1">
        <f t="array" ref="AE11">IFERROR(_xlfn.BYROW(TRACK_TYPES[[#This Row],[TRACK_TYPE_STANDARD_GAUGE_RAILTYPE_OHLE]:[TRACK_TYPE_STANDARD_GAUGE_RAILTYPE_NONE]],_xlfn.LAMBDA(_xlpm.r,OR(_xlpm.r))),FALSE)</f>
        <v>1</v>
      </c>
      <c r="AF11" s="38" t="b" cm="1">
        <f t="array" ref="AF11">IFERROR(_xlfn.BYROW(TRACK_TYPES[[#This Row],[TRACK_TYPE_NARROW_GAUGE_RAILTYPE_OHLE]:[TRACK_TYPE_NARROW_GAUGE_RAILTYPE_NONE]],_xlfn.LAMBDA(_xlpm.r,OR(_xlpm.r))),FALSE)</f>
        <v>0</v>
      </c>
      <c r="AG11" s="38" t="b" cm="1">
        <f t="array" ref="AG11">IFERROR(_xlfn.BYROW(TRACK_TYPES[[#This Row],[TRACK_TYPE_BROAD_GAUGE_RAILTYPE_OHLE]:[TRACK_TYPE_BROAD_GAUGE_RAILTYPE_NONE]],_xlfn.LAMBDA(_xlpm.r,OR(_xlpm.r))),FALSE)</f>
        <v>0</v>
      </c>
      <c r="AH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"/>
      <c r="AQ11"/>
      <c r="AR11"/>
    </row>
    <row r="12" spans="1:44" x14ac:dyDescent="0.35">
      <c r="A12" s="2" t="s">
        <v>2657</v>
      </c>
      <c r="B12" s="40" t="str">
        <f>_xlfn.XLOOKUP(PROPERTIES[[#This Row],[VEHIDCODE]],CONTROL[VEHIDCODE],CONTROL[ENGLISH])</f>
        <v>AEC Railmotor RM1</v>
      </c>
      <c r="Z12" s="2" t="b">
        <v>1</v>
      </c>
      <c r="AC12" s="2"/>
      <c r="AD12" s="2" t="b">
        <f>LEN(_xlfn.CONCAT(TRACK_TYPES[[#This Row],[TRACK_TYPE_STANDARD_GAUGE_RAILTYPE_OHLE]:[TRACK_TYPE_MTRO]]))&gt;0</f>
        <v>1</v>
      </c>
      <c r="AE12" s="38" t="b" cm="1">
        <f t="array" ref="AE12">IFERROR(_xlfn.BYROW(TRACK_TYPES[[#This Row],[TRACK_TYPE_STANDARD_GAUGE_RAILTYPE_OHLE]:[TRACK_TYPE_STANDARD_GAUGE_RAILTYPE_NONE]],_xlfn.LAMBDA(_xlpm.r,OR(_xlpm.r))),FALSE)</f>
        <v>0</v>
      </c>
      <c r="AF12" s="38" t="b" cm="1">
        <f t="array" ref="AF12">IFERROR(_xlfn.BYROW(TRACK_TYPES[[#This Row],[TRACK_TYPE_NARROW_GAUGE_RAILTYPE_OHLE]:[TRACK_TYPE_NARROW_GAUGE_RAILTYPE_NONE]],_xlfn.LAMBDA(_xlpm.r,OR(_xlpm.r))),FALSE)</f>
        <v>0</v>
      </c>
      <c r="AG12" s="38" t="b" cm="1">
        <f t="array" ref="AG12">IFERROR(_xlfn.BYROW(TRACK_TYPES[[#This Row],[TRACK_TYPE_BROAD_GAUGE_RAILTYPE_OHLE]:[TRACK_TYPE_BROAD_GAUGE_RAILTYPE_NONE]],_xlfn.LAMBDA(_xlpm.r,OR(_xlpm.r))),FALSE)</f>
        <v>1</v>
      </c>
      <c r="AH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2"/>
      <c r="AQ12"/>
      <c r="AR12"/>
    </row>
    <row r="13" spans="1:44" x14ac:dyDescent="0.35">
      <c r="A13" s="2" t="s">
        <v>2658</v>
      </c>
      <c r="B13" s="40" t="str">
        <f>_xlfn.XLOOKUP(PROPERTIES[[#This Row],[VEHIDCODE]],CONTROL[VEHIDCODE],CONTROL[ENGLISH])</f>
        <v>VT133 Wismar Railcar</v>
      </c>
      <c r="J13" s="2" t="b">
        <v>1</v>
      </c>
      <c r="R13" s="2" t="b">
        <v>1</v>
      </c>
      <c r="AC13" s="2"/>
      <c r="AD13" s="2" t="b">
        <f>LEN(_xlfn.CONCAT(TRACK_TYPES[[#This Row],[TRACK_TYPE_STANDARD_GAUGE_RAILTYPE_OHLE]:[TRACK_TYPE_MTRO]]))&gt;0</f>
        <v>1</v>
      </c>
      <c r="AE13" s="38" t="b" cm="1">
        <f t="array" ref="AE13">IFERROR(_xlfn.BYROW(TRACK_TYPES[[#This Row],[TRACK_TYPE_STANDARD_GAUGE_RAILTYPE_OHLE]:[TRACK_TYPE_STANDARD_GAUGE_RAILTYPE_NONE]],_xlfn.LAMBDA(_xlpm.r,OR(_xlpm.r))),FALSE)</f>
        <v>1</v>
      </c>
      <c r="AF13" s="38" t="b" cm="1">
        <f t="array" ref="AF13">IFERROR(_xlfn.BYROW(TRACK_TYPES[[#This Row],[TRACK_TYPE_NARROW_GAUGE_RAILTYPE_OHLE]:[TRACK_TYPE_NARROW_GAUGE_RAILTYPE_NONE]],_xlfn.LAMBDA(_xlpm.r,OR(_xlpm.r))),FALSE)</f>
        <v>1</v>
      </c>
      <c r="AG13" s="38" t="b" cm="1">
        <f t="array" ref="AG13">IFERROR(_xlfn.BYROW(TRACK_TYPES[[#This Row],[TRACK_TYPE_BROAD_GAUGE_RAILTYPE_OHLE]:[TRACK_TYPE_BROAD_GAUGE_RAILTYPE_NONE]],_xlfn.LAMBDA(_xlpm.r,OR(_xlpm.r))),FALSE)</f>
        <v>0</v>
      </c>
      <c r="AH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3"/>
      <c r="AQ13"/>
      <c r="AR13"/>
    </row>
    <row r="14" spans="1:44" x14ac:dyDescent="0.35">
      <c r="A14" s="2" t="s">
        <v>2659</v>
      </c>
      <c r="B14" s="40" t="str">
        <f>_xlfn.XLOOKUP(PROPERTIES[[#This Row],[VEHIDCODE]],CONTROL[VEHIDCODE],CONTROL[ENGLISH])</f>
        <v>AEC Railcar</v>
      </c>
      <c r="J14" s="2" t="b">
        <v>1</v>
      </c>
      <c r="AC14" s="2"/>
      <c r="AD14" s="2" t="b">
        <f>LEN(_xlfn.CONCAT(TRACK_TYPES[[#This Row],[TRACK_TYPE_STANDARD_GAUGE_RAILTYPE_OHLE]:[TRACK_TYPE_MTRO]]))&gt;0</f>
        <v>1</v>
      </c>
      <c r="AE14" s="38" t="b" cm="1">
        <f t="array" ref="AE14">IFERROR(_xlfn.BYROW(TRACK_TYPES[[#This Row],[TRACK_TYPE_STANDARD_GAUGE_RAILTYPE_OHLE]:[TRACK_TYPE_STANDARD_GAUGE_RAILTYPE_NONE]],_xlfn.LAMBDA(_xlpm.r,OR(_xlpm.r))),FALSE)</f>
        <v>1</v>
      </c>
      <c r="AF14" s="38" t="b" cm="1">
        <f t="array" ref="AF14">IFERROR(_xlfn.BYROW(TRACK_TYPES[[#This Row],[TRACK_TYPE_NARROW_GAUGE_RAILTYPE_OHLE]:[TRACK_TYPE_NARROW_GAUGE_RAILTYPE_NONE]],_xlfn.LAMBDA(_xlpm.r,OR(_xlpm.r))),FALSE)</f>
        <v>0</v>
      </c>
      <c r="AG14" s="38" t="b" cm="1">
        <f t="array" ref="AG14">IFERROR(_xlfn.BYROW(TRACK_TYPES[[#This Row],[TRACK_TYPE_BROAD_GAUGE_RAILTYPE_OHLE]:[TRACK_TYPE_BROAD_GAUGE_RAILTYPE_NONE]],_xlfn.LAMBDA(_xlpm.r,OR(_xlpm.r))),FALSE)</f>
        <v>0</v>
      </c>
      <c r="AH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4"/>
      <c r="AQ14"/>
      <c r="AR14"/>
    </row>
    <row r="15" spans="1:44" x14ac:dyDescent="0.35">
      <c r="A15" s="2" t="s">
        <v>2660</v>
      </c>
      <c r="B15" s="40" t="str">
        <f>_xlfn.XLOOKUP(PROPERTIES[[#This Row],[VEHIDCODE]],CONTROL[VEHIDCODE],CONTROL[ENGLISH])</f>
        <v>Simmering VT42</v>
      </c>
      <c r="J15" s="2" t="b">
        <v>1</v>
      </c>
      <c r="AC15" s="2"/>
      <c r="AD15" s="2" t="b">
        <f>LEN(_xlfn.CONCAT(TRACK_TYPES[[#This Row],[TRACK_TYPE_STANDARD_GAUGE_RAILTYPE_OHLE]:[TRACK_TYPE_MTRO]]))&gt;0</f>
        <v>1</v>
      </c>
      <c r="AE15" s="38" t="b" cm="1">
        <f t="array" ref="AE15">IFERROR(_xlfn.BYROW(TRACK_TYPES[[#This Row],[TRACK_TYPE_STANDARD_GAUGE_RAILTYPE_OHLE]:[TRACK_TYPE_STANDARD_GAUGE_RAILTYPE_NONE]],_xlfn.LAMBDA(_xlpm.r,OR(_xlpm.r))),FALSE)</f>
        <v>1</v>
      </c>
      <c r="AF15" s="38" t="b" cm="1">
        <f t="array" ref="AF15">IFERROR(_xlfn.BYROW(TRACK_TYPES[[#This Row],[TRACK_TYPE_NARROW_GAUGE_RAILTYPE_OHLE]:[TRACK_TYPE_NARROW_GAUGE_RAILTYPE_NONE]],_xlfn.LAMBDA(_xlpm.r,OR(_xlpm.r))),FALSE)</f>
        <v>0</v>
      </c>
      <c r="AG15" s="38" t="b" cm="1">
        <f t="array" ref="AG15">IFERROR(_xlfn.BYROW(TRACK_TYPES[[#This Row],[TRACK_TYPE_BROAD_GAUGE_RAILTYPE_OHLE]:[TRACK_TYPE_BROAD_GAUGE_RAILTYPE_NONE]],_xlfn.LAMBDA(_xlpm.r,OR(_xlpm.r))),FALSE)</f>
        <v>0</v>
      </c>
      <c r="AH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"/>
      <c r="AQ15"/>
      <c r="AR15"/>
    </row>
    <row r="16" spans="1:44" x14ac:dyDescent="0.35">
      <c r="A16" s="2" t="s">
        <v>2661</v>
      </c>
      <c r="B16" s="40" t="str">
        <f>_xlfn.XLOOKUP(PROPERTIES[[#This Row],[VEHIDCODE]],CONTROL[VEHIDCODE],CONTROL[ENGLISH])</f>
        <v>Hutt RM31</v>
      </c>
      <c r="R16" s="2" t="b">
        <v>1</v>
      </c>
      <c r="AC16" s="2"/>
      <c r="AD16" s="2" t="b">
        <f>LEN(_xlfn.CONCAT(TRACK_TYPES[[#This Row],[TRACK_TYPE_STANDARD_GAUGE_RAILTYPE_OHLE]:[TRACK_TYPE_MTRO]]))&gt;0</f>
        <v>1</v>
      </c>
      <c r="AE16" s="38" t="b" cm="1">
        <f t="array" ref="AE16">IFERROR(_xlfn.BYROW(TRACK_TYPES[[#This Row],[TRACK_TYPE_STANDARD_GAUGE_RAILTYPE_OHLE]:[TRACK_TYPE_STANDARD_GAUGE_RAILTYPE_NONE]],_xlfn.LAMBDA(_xlpm.r,OR(_xlpm.r))),FALSE)</f>
        <v>0</v>
      </c>
      <c r="AF16" s="38" t="b" cm="1">
        <f t="array" ref="AF16">IFERROR(_xlfn.BYROW(TRACK_TYPES[[#This Row],[TRACK_TYPE_NARROW_GAUGE_RAILTYPE_OHLE]:[TRACK_TYPE_NARROW_GAUGE_RAILTYPE_NONE]],_xlfn.LAMBDA(_xlpm.r,OR(_xlpm.r))),FALSE)</f>
        <v>1</v>
      </c>
      <c r="AG16" s="38" t="b" cm="1">
        <f t="array" ref="AG16">IFERROR(_xlfn.BYROW(TRACK_TYPES[[#This Row],[TRACK_TYPE_BROAD_GAUGE_RAILTYPE_OHLE]:[TRACK_TYPE_BROAD_GAUGE_RAILTYPE_NONE]],_xlfn.LAMBDA(_xlpm.r,OR(_xlpm.r))),FALSE)</f>
        <v>0</v>
      </c>
      <c r="AH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6"/>
      <c r="AQ16"/>
      <c r="AR16"/>
    </row>
    <row r="17" spans="1:44" x14ac:dyDescent="0.35">
      <c r="A17" s="2" t="s">
        <v>2662</v>
      </c>
      <c r="B17" s="40" t="str">
        <f>_xlfn.XLOOKUP(PROPERTIES[[#This Row],[VEHIDCODE]],CONTROL[VEHIDCODE],CONTROL[ENGLISH])</f>
        <v>NOHAB CP 0100</v>
      </c>
      <c r="Z17" s="2" t="b">
        <v>1</v>
      </c>
      <c r="AC17" s="2"/>
      <c r="AD17" s="2" t="b">
        <f>LEN(_xlfn.CONCAT(TRACK_TYPES[[#This Row],[TRACK_TYPE_STANDARD_GAUGE_RAILTYPE_OHLE]:[TRACK_TYPE_MTRO]]))&gt;0</f>
        <v>1</v>
      </c>
      <c r="AE17" s="38" t="b" cm="1">
        <f t="array" ref="AE17">IFERROR(_xlfn.BYROW(TRACK_TYPES[[#This Row],[TRACK_TYPE_STANDARD_GAUGE_RAILTYPE_OHLE]:[TRACK_TYPE_STANDARD_GAUGE_RAILTYPE_NONE]],_xlfn.LAMBDA(_xlpm.r,OR(_xlpm.r))),FALSE)</f>
        <v>0</v>
      </c>
      <c r="AF17" s="38" t="b" cm="1">
        <f t="array" ref="AF17">IFERROR(_xlfn.BYROW(TRACK_TYPES[[#This Row],[TRACK_TYPE_NARROW_GAUGE_RAILTYPE_OHLE]:[TRACK_TYPE_NARROW_GAUGE_RAILTYPE_NONE]],_xlfn.LAMBDA(_xlpm.r,OR(_xlpm.r))),FALSE)</f>
        <v>0</v>
      </c>
      <c r="AG17" s="38" t="b" cm="1">
        <f t="array" ref="AG17">IFERROR(_xlfn.BYROW(TRACK_TYPES[[#This Row],[TRACK_TYPE_BROAD_GAUGE_RAILTYPE_OHLE]:[TRACK_TYPE_BROAD_GAUGE_RAILTYPE_NONE]],_xlfn.LAMBDA(_xlpm.r,OR(_xlpm.r))),FALSE)</f>
        <v>1</v>
      </c>
      <c r="AH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7"/>
      <c r="AQ17"/>
      <c r="AR17"/>
    </row>
    <row r="18" spans="1:44" x14ac:dyDescent="0.35">
      <c r="A18" s="2" t="s">
        <v>2663</v>
      </c>
      <c r="B18" s="40" t="str">
        <f>_xlfn.XLOOKUP(PROPERTIES[[#This Row],[VEHIDCODE]],CONTROL[VEHIDCODE],CONTROL[ENGLISH])</f>
        <v>Budd RDC</v>
      </c>
      <c r="J18" s="2" t="b">
        <v>1</v>
      </c>
      <c r="R18" s="2" t="b">
        <v>1</v>
      </c>
      <c r="Z18" s="2" t="b">
        <v>1</v>
      </c>
      <c r="AC18" s="2"/>
      <c r="AD18" s="2" t="b">
        <f>LEN(_xlfn.CONCAT(TRACK_TYPES[[#This Row],[TRACK_TYPE_STANDARD_GAUGE_RAILTYPE_OHLE]:[TRACK_TYPE_MTRO]]))&gt;0</f>
        <v>1</v>
      </c>
      <c r="AE18" s="38" t="b" cm="1">
        <f t="array" ref="AE18">IFERROR(_xlfn.BYROW(TRACK_TYPES[[#This Row],[TRACK_TYPE_STANDARD_GAUGE_RAILTYPE_OHLE]:[TRACK_TYPE_STANDARD_GAUGE_RAILTYPE_NONE]],_xlfn.LAMBDA(_xlpm.r,OR(_xlpm.r))),FALSE)</f>
        <v>1</v>
      </c>
      <c r="AF18" s="38" t="b" cm="1">
        <f t="array" ref="AF18">IFERROR(_xlfn.BYROW(TRACK_TYPES[[#This Row],[TRACK_TYPE_NARROW_GAUGE_RAILTYPE_OHLE]:[TRACK_TYPE_NARROW_GAUGE_RAILTYPE_NONE]],_xlfn.LAMBDA(_xlpm.r,OR(_xlpm.r))),FALSE)</f>
        <v>1</v>
      </c>
      <c r="AG18" s="38" t="b" cm="1">
        <f t="array" ref="AG18">IFERROR(_xlfn.BYROW(TRACK_TYPES[[#This Row],[TRACK_TYPE_BROAD_GAUGE_RAILTYPE_OHLE]:[TRACK_TYPE_BROAD_GAUGE_RAILTYPE_NONE]],_xlfn.LAMBDA(_xlpm.r,OR(_xlpm.r))),FALSE)</f>
        <v>1</v>
      </c>
      <c r="AH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"/>
      <c r="AQ18"/>
      <c r="AR18"/>
    </row>
    <row r="19" spans="1:44" x14ac:dyDescent="0.35">
      <c r="A19" s="2" t="s">
        <v>2664</v>
      </c>
      <c r="B19" s="40" t="str">
        <f>_xlfn.XLOOKUP(PROPERTIES[[#This Row],[VEHIDCODE]],CONTROL[VEHIDCODE],CONTROL[ENGLISH])</f>
        <v>Uerdingen railbus</v>
      </c>
      <c r="J19" s="2" t="b">
        <v>1</v>
      </c>
      <c r="AC19" s="2"/>
      <c r="AD19" s="2" t="b">
        <f>LEN(_xlfn.CONCAT(TRACK_TYPES[[#This Row],[TRACK_TYPE_STANDARD_GAUGE_RAILTYPE_OHLE]:[TRACK_TYPE_MTRO]]))&gt;0</f>
        <v>1</v>
      </c>
      <c r="AE19" s="38" t="b" cm="1">
        <f t="array" ref="AE19">IFERROR(_xlfn.BYROW(TRACK_TYPES[[#This Row],[TRACK_TYPE_STANDARD_GAUGE_RAILTYPE_OHLE]:[TRACK_TYPE_STANDARD_GAUGE_RAILTYPE_NONE]],_xlfn.LAMBDA(_xlpm.r,OR(_xlpm.r))),FALSE)</f>
        <v>1</v>
      </c>
      <c r="AF19" s="38" t="b" cm="1">
        <f t="array" ref="AF19">IFERROR(_xlfn.BYROW(TRACK_TYPES[[#This Row],[TRACK_TYPE_NARROW_GAUGE_RAILTYPE_OHLE]:[TRACK_TYPE_NARROW_GAUGE_RAILTYPE_NONE]],_xlfn.LAMBDA(_xlpm.r,OR(_xlpm.r))),FALSE)</f>
        <v>0</v>
      </c>
      <c r="AG19" s="38" t="b" cm="1">
        <f t="array" ref="AG19">IFERROR(_xlfn.BYROW(TRACK_TYPES[[#This Row],[TRACK_TYPE_BROAD_GAUGE_RAILTYPE_OHLE]:[TRACK_TYPE_BROAD_GAUGE_RAILTYPE_NONE]],_xlfn.LAMBDA(_xlpm.r,OR(_xlpm.r))),FALSE)</f>
        <v>0</v>
      </c>
      <c r="AH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"/>
      <c r="AQ19"/>
      <c r="AR19"/>
    </row>
    <row r="20" spans="1:44" x14ac:dyDescent="0.35">
      <c r="A20" s="2" t="s">
        <v>2665</v>
      </c>
      <c r="B20" s="40" t="str">
        <f>_xlfn.XLOOKUP(PROPERTIES[[#This Row],[VEHIDCODE]],CONTROL[VEHIDCODE],CONTROL[ENGLISH])</f>
        <v>MaK GDT</v>
      </c>
      <c r="J20" s="2" t="b">
        <v>1</v>
      </c>
      <c r="AC20" s="2"/>
      <c r="AD20" s="2" t="b">
        <f>LEN(_xlfn.CONCAT(TRACK_TYPES[[#This Row],[TRACK_TYPE_STANDARD_GAUGE_RAILTYPE_OHLE]:[TRACK_TYPE_MTRO]]))&gt;0</f>
        <v>1</v>
      </c>
      <c r="AE20" s="38" t="b" cm="1">
        <f t="array" ref="AE20">IFERROR(_xlfn.BYROW(TRACK_TYPES[[#This Row],[TRACK_TYPE_STANDARD_GAUGE_RAILTYPE_OHLE]:[TRACK_TYPE_STANDARD_GAUGE_RAILTYPE_NONE]],_xlfn.LAMBDA(_xlpm.r,OR(_xlpm.r))),FALSE)</f>
        <v>1</v>
      </c>
      <c r="AF20" s="38" t="b" cm="1">
        <f t="array" ref="AF20">IFERROR(_xlfn.BYROW(TRACK_TYPES[[#This Row],[TRACK_TYPE_NARROW_GAUGE_RAILTYPE_OHLE]:[TRACK_TYPE_NARROW_GAUGE_RAILTYPE_NONE]],_xlfn.LAMBDA(_xlpm.r,OR(_xlpm.r))),FALSE)</f>
        <v>0</v>
      </c>
      <c r="AG20" s="38" t="b" cm="1">
        <f t="array" ref="AG20">IFERROR(_xlfn.BYROW(TRACK_TYPES[[#This Row],[TRACK_TYPE_BROAD_GAUGE_RAILTYPE_OHLE]:[TRACK_TYPE_BROAD_GAUGE_RAILTYPE_NONE]],_xlfn.LAMBDA(_xlpm.r,OR(_xlpm.r))),FALSE)</f>
        <v>0</v>
      </c>
      <c r="AH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"/>
      <c r="AQ20"/>
      <c r="AR20"/>
    </row>
    <row r="21" spans="1:44" x14ac:dyDescent="0.35">
      <c r="A21" s="2" t="s">
        <v>2666</v>
      </c>
      <c r="B21" s="40" t="str">
        <f>_xlfn.XLOOKUP(PROPERTIES[[#This Row],[VEHIDCODE]],CONTROL[VEHIDCODE],CONTROL[ENGLISH])</f>
        <v>Allan 'Kameel'</v>
      </c>
      <c r="J21" s="2" t="b">
        <v>1</v>
      </c>
      <c r="AC21" s="2"/>
      <c r="AD21" s="2" t="b">
        <f>LEN(_xlfn.CONCAT(TRACK_TYPES[[#This Row],[TRACK_TYPE_STANDARD_GAUGE_RAILTYPE_OHLE]:[TRACK_TYPE_MTRO]]))&gt;0</f>
        <v>1</v>
      </c>
      <c r="AE21" s="38" t="b" cm="1">
        <f t="array" ref="AE21">IFERROR(_xlfn.BYROW(TRACK_TYPES[[#This Row],[TRACK_TYPE_STANDARD_GAUGE_RAILTYPE_OHLE]:[TRACK_TYPE_STANDARD_GAUGE_RAILTYPE_NONE]],_xlfn.LAMBDA(_xlpm.r,OR(_xlpm.r))),FALSE)</f>
        <v>1</v>
      </c>
      <c r="AF21" s="38" t="b" cm="1">
        <f t="array" ref="AF21">IFERROR(_xlfn.BYROW(TRACK_TYPES[[#This Row],[TRACK_TYPE_NARROW_GAUGE_RAILTYPE_OHLE]:[TRACK_TYPE_NARROW_GAUGE_RAILTYPE_NONE]],_xlfn.LAMBDA(_xlpm.r,OR(_xlpm.r))),FALSE)</f>
        <v>0</v>
      </c>
      <c r="AG21" s="38" t="b" cm="1">
        <f t="array" ref="AG21">IFERROR(_xlfn.BYROW(TRACK_TYPES[[#This Row],[TRACK_TYPE_BROAD_GAUGE_RAILTYPE_OHLE]:[TRACK_TYPE_BROAD_GAUGE_RAILTYPE_NONE]],_xlfn.LAMBDA(_xlpm.r,OR(_xlpm.r))),FALSE)</f>
        <v>0</v>
      </c>
      <c r="AH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"/>
      <c r="AQ21"/>
      <c r="AR21"/>
    </row>
    <row r="22" spans="1:44" x14ac:dyDescent="0.35">
      <c r="A22" s="2" t="s">
        <v>2667</v>
      </c>
      <c r="B22" s="40" t="str">
        <f>_xlfn.XLOOKUP(PROPERTIES[[#This Row],[VEHIDCODE]],CONTROL[VEHIDCODE],CONTROL[ENGLISH])</f>
        <v>NS DH1</v>
      </c>
      <c r="J22" s="2" t="b">
        <v>1</v>
      </c>
      <c r="AC22" s="2"/>
      <c r="AD22" s="2" t="b">
        <f>LEN(_xlfn.CONCAT(TRACK_TYPES[[#This Row],[TRACK_TYPE_STANDARD_GAUGE_RAILTYPE_OHLE]:[TRACK_TYPE_MTRO]]))&gt;0</f>
        <v>1</v>
      </c>
      <c r="AE22" s="38" t="b" cm="1">
        <f t="array" ref="AE22">IFERROR(_xlfn.BYROW(TRACK_TYPES[[#This Row],[TRACK_TYPE_STANDARD_GAUGE_RAILTYPE_OHLE]:[TRACK_TYPE_STANDARD_GAUGE_RAILTYPE_NONE]],_xlfn.LAMBDA(_xlpm.r,OR(_xlpm.r))),FALSE)</f>
        <v>1</v>
      </c>
      <c r="AF22" s="38" t="b" cm="1">
        <f t="array" ref="AF22">IFERROR(_xlfn.BYROW(TRACK_TYPES[[#This Row],[TRACK_TYPE_NARROW_GAUGE_RAILTYPE_OHLE]:[TRACK_TYPE_NARROW_GAUGE_RAILTYPE_NONE]],_xlfn.LAMBDA(_xlpm.r,OR(_xlpm.r))),FALSE)</f>
        <v>0</v>
      </c>
      <c r="AG22" s="38" t="b" cm="1">
        <f t="array" ref="AG22">IFERROR(_xlfn.BYROW(TRACK_TYPES[[#This Row],[TRACK_TYPE_BROAD_GAUGE_RAILTYPE_OHLE]:[TRACK_TYPE_BROAD_GAUGE_RAILTYPE_NONE]],_xlfn.LAMBDA(_xlpm.r,OR(_xlpm.r))),FALSE)</f>
        <v>0</v>
      </c>
      <c r="AH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"/>
      <c r="AQ22"/>
      <c r="AR22"/>
    </row>
    <row r="23" spans="1:44" x14ac:dyDescent="0.35">
      <c r="A23" s="2" t="s">
        <v>2668</v>
      </c>
      <c r="B23" s="40" t="str">
        <f>_xlfn.XLOOKUP(PROPERTIES[[#This Row],[VEHIDCODE]],CONTROL[VEHIDCODE],CONTROL[ENGLISH])</f>
        <v>Jenbacher Werke 5047</v>
      </c>
      <c r="J23" s="2" t="b">
        <v>1</v>
      </c>
      <c r="AC23" s="2"/>
      <c r="AD23" s="2" t="b">
        <f>LEN(_xlfn.CONCAT(TRACK_TYPES[[#This Row],[TRACK_TYPE_STANDARD_GAUGE_RAILTYPE_OHLE]:[TRACK_TYPE_MTRO]]))&gt;0</f>
        <v>1</v>
      </c>
      <c r="AE23" s="38" t="b" cm="1">
        <f t="array" ref="AE23">IFERROR(_xlfn.BYROW(TRACK_TYPES[[#This Row],[TRACK_TYPE_STANDARD_GAUGE_RAILTYPE_OHLE]:[TRACK_TYPE_STANDARD_GAUGE_RAILTYPE_NONE]],_xlfn.LAMBDA(_xlpm.r,OR(_xlpm.r))),FALSE)</f>
        <v>1</v>
      </c>
      <c r="AF23" s="38" t="b" cm="1">
        <f t="array" ref="AF23">IFERROR(_xlfn.BYROW(TRACK_TYPES[[#This Row],[TRACK_TYPE_NARROW_GAUGE_RAILTYPE_OHLE]:[TRACK_TYPE_NARROW_GAUGE_RAILTYPE_NONE]],_xlfn.LAMBDA(_xlpm.r,OR(_xlpm.r))),FALSE)</f>
        <v>0</v>
      </c>
      <c r="AG23" s="38" t="b" cm="1">
        <f t="array" ref="AG23">IFERROR(_xlfn.BYROW(TRACK_TYPES[[#This Row],[TRACK_TYPE_BROAD_GAUGE_RAILTYPE_OHLE]:[TRACK_TYPE_BROAD_GAUGE_RAILTYPE_NONE]],_xlfn.LAMBDA(_xlpm.r,OR(_xlpm.r))),FALSE)</f>
        <v>0</v>
      </c>
      <c r="AH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"/>
      <c r="AQ23"/>
      <c r="AR23"/>
    </row>
    <row r="24" spans="1:44" x14ac:dyDescent="0.35">
      <c r="A24" s="2" t="s">
        <v>2669</v>
      </c>
      <c r="B24" s="40" t="str">
        <f>_xlfn.XLOOKUP(PROPERTIES[[#This Row],[VEHIDCODE]],CONTROL[VEHIDCODE],CONTROL[ENGLISH])</f>
        <v>Hunslet-Barclay 'Super Sprinter'</v>
      </c>
      <c r="J24" s="2" t="b">
        <v>1</v>
      </c>
      <c r="AC24" s="2"/>
      <c r="AD24" s="2" t="b">
        <f>LEN(_xlfn.CONCAT(TRACK_TYPES[[#This Row],[TRACK_TYPE_STANDARD_GAUGE_RAILTYPE_OHLE]:[TRACK_TYPE_MTRO]]))&gt;0</f>
        <v>1</v>
      </c>
      <c r="AE24" s="38" t="b" cm="1">
        <f t="array" ref="AE24">IFERROR(_xlfn.BYROW(TRACK_TYPES[[#This Row],[TRACK_TYPE_STANDARD_GAUGE_RAILTYPE_OHLE]:[TRACK_TYPE_STANDARD_GAUGE_RAILTYPE_NONE]],_xlfn.LAMBDA(_xlpm.r,OR(_xlpm.r))),FALSE)</f>
        <v>1</v>
      </c>
      <c r="AF24" s="38" t="b" cm="1">
        <f t="array" ref="AF24">IFERROR(_xlfn.BYROW(TRACK_TYPES[[#This Row],[TRACK_TYPE_NARROW_GAUGE_RAILTYPE_OHLE]:[TRACK_TYPE_NARROW_GAUGE_RAILTYPE_NONE]],_xlfn.LAMBDA(_xlpm.r,OR(_xlpm.r))),FALSE)</f>
        <v>0</v>
      </c>
      <c r="AG24" s="38" t="b" cm="1">
        <f t="array" ref="AG24">IFERROR(_xlfn.BYROW(TRACK_TYPES[[#This Row],[TRACK_TYPE_BROAD_GAUGE_RAILTYPE_OHLE]:[TRACK_TYPE_BROAD_GAUGE_RAILTYPE_NONE]],_xlfn.LAMBDA(_xlpm.r,OR(_xlpm.r))),FALSE)</f>
        <v>0</v>
      </c>
      <c r="AH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"/>
      <c r="AQ24"/>
      <c r="AR24"/>
    </row>
    <row r="25" spans="1:44" x14ac:dyDescent="0.35">
      <c r="A25" s="2" t="s">
        <v>2670</v>
      </c>
      <c r="B25" s="40" t="str">
        <f>_xlfn.XLOOKUP(PROPERTIES[[#This Row],[VEHIDCODE]],CONTROL[VEHIDCODE],CONTROL[ENGLISH])</f>
        <v>Vagonka Studenka 809</v>
      </c>
      <c r="J25" s="2" t="b">
        <v>1</v>
      </c>
      <c r="AC25" s="2"/>
      <c r="AD25" s="2" t="b">
        <f>LEN(_xlfn.CONCAT(TRACK_TYPES[[#This Row],[TRACK_TYPE_STANDARD_GAUGE_RAILTYPE_OHLE]:[TRACK_TYPE_MTRO]]))&gt;0</f>
        <v>1</v>
      </c>
      <c r="AE25" s="38" t="b" cm="1">
        <f t="array" ref="AE25">IFERROR(_xlfn.BYROW(TRACK_TYPES[[#This Row],[TRACK_TYPE_STANDARD_GAUGE_RAILTYPE_OHLE]:[TRACK_TYPE_STANDARD_GAUGE_RAILTYPE_NONE]],_xlfn.LAMBDA(_xlpm.r,OR(_xlpm.r))),FALSE)</f>
        <v>1</v>
      </c>
      <c r="AF25" s="38" t="b" cm="1">
        <f t="array" ref="AF25">IFERROR(_xlfn.BYROW(TRACK_TYPES[[#This Row],[TRACK_TYPE_NARROW_GAUGE_RAILTYPE_OHLE]:[TRACK_TYPE_NARROW_GAUGE_RAILTYPE_NONE]],_xlfn.LAMBDA(_xlpm.r,OR(_xlpm.r))),FALSE)</f>
        <v>0</v>
      </c>
      <c r="AG25" s="38" t="b" cm="1">
        <f t="array" ref="AG25">IFERROR(_xlfn.BYROW(TRACK_TYPES[[#This Row],[TRACK_TYPE_BROAD_GAUGE_RAILTYPE_OHLE]:[TRACK_TYPE_BROAD_GAUGE_RAILTYPE_NONE]],_xlfn.LAMBDA(_xlpm.r,OR(_xlpm.r))),FALSE)</f>
        <v>0</v>
      </c>
      <c r="AH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"/>
      <c r="AQ25"/>
      <c r="AR25"/>
    </row>
    <row r="26" spans="1:44" x14ac:dyDescent="0.35">
      <c r="A26" s="2" t="s">
        <v>2671</v>
      </c>
      <c r="B26" s="40" t="str">
        <f>_xlfn.XLOOKUP(PROPERTIES[[#This Row],[VEHIDCODE]],CONTROL[VEHIDCODE],CONTROL[ENGLISH])</f>
        <v>DWA 670</v>
      </c>
      <c r="J26" s="2" t="b">
        <v>1</v>
      </c>
      <c r="AC26" s="2"/>
      <c r="AD26" s="2" t="b">
        <f>LEN(_xlfn.CONCAT(TRACK_TYPES[[#This Row],[TRACK_TYPE_STANDARD_GAUGE_RAILTYPE_OHLE]:[TRACK_TYPE_MTRO]]))&gt;0</f>
        <v>1</v>
      </c>
      <c r="AE26" s="38" t="b" cm="1">
        <f t="array" ref="AE26">IFERROR(_xlfn.BYROW(TRACK_TYPES[[#This Row],[TRACK_TYPE_STANDARD_GAUGE_RAILTYPE_OHLE]:[TRACK_TYPE_STANDARD_GAUGE_RAILTYPE_NONE]],_xlfn.LAMBDA(_xlpm.r,OR(_xlpm.r))),FALSE)</f>
        <v>1</v>
      </c>
      <c r="AF26" s="38" t="b" cm="1">
        <f t="array" ref="AF26">IFERROR(_xlfn.BYROW(TRACK_TYPES[[#This Row],[TRACK_TYPE_NARROW_GAUGE_RAILTYPE_OHLE]:[TRACK_TYPE_NARROW_GAUGE_RAILTYPE_NONE]],_xlfn.LAMBDA(_xlpm.r,OR(_xlpm.r))),FALSE)</f>
        <v>0</v>
      </c>
      <c r="AG26" s="38" t="b" cm="1">
        <f t="array" ref="AG26">IFERROR(_xlfn.BYROW(TRACK_TYPES[[#This Row],[TRACK_TYPE_BROAD_GAUGE_RAILTYPE_OHLE]:[TRACK_TYPE_BROAD_GAUGE_RAILTYPE_NONE]],_xlfn.LAMBDA(_xlpm.r,OR(_xlpm.r))),FALSE)</f>
        <v>0</v>
      </c>
      <c r="AH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6"/>
      <c r="AQ26"/>
      <c r="AR26"/>
    </row>
    <row r="27" spans="1:44" x14ac:dyDescent="0.35">
      <c r="A27" s="2" t="s">
        <v>2672</v>
      </c>
      <c r="B27" s="40" t="str">
        <f>_xlfn.XLOOKUP(PROPERTIES[[#This Row],[VEHIDCODE]],CONTROL[VEHIDCODE],CONTROL[ENGLISH])</f>
        <v>RVR AR2</v>
      </c>
      <c r="Z27" s="2" t="b">
        <v>1</v>
      </c>
      <c r="AC27" s="2"/>
      <c r="AD27" s="2" t="b">
        <f>LEN(_xlfn.CONCAT(TRACK_TYPES[[#This Row],[TRACK_TYPE_STANDARD_GAUGE_RAILTYPE_OHLE]:[TRACK_TYPE_MTRO]]))&gt;0</f>
        <v>1</v>
      </c>
      <c r="AE27" s="38" t="b" cm="1">
        <f t="array" ref="AE27">IFERROR(_xlfn.BYROW(TRACK_TYPES[[#This Row],[TRACK_TYPE_STANDARD_GAUGE_RAILTYPE_OHLE]:[TRACK_TYPE_STANDARD_GAUGE_RAILTYPE_NONE]],_xlfn.LAMBDA(_xlpm.r,OR(_xlpm.r))),FALSE)</f>
        <v>0</v>
      </c>
      <c r="AF27" s="38" t="b" cm="1">
        <f t="array" ref="AF27">IFERROR(_xlfn.BYROW(TRACK_TYPES[[#This Row],[TRACK_TYPE_NARROW_GAUGE_RAILTYPE_OHLE]:[TRACK_TYPE_NARROW_GAUGE_RAILTYPE_NONE]],_xlfn.LAMBDA(_xlpm.r,OR(_xlpm.r))),FALSE)</f>
        <v>0</v>
      </c>
      <c r="AG27" s="38" t="b" cm="1">
        <f t="array" ref="AG27">IFERROR(_xlfn.BYROW(TRACK_TYPES[[#This Row],[TRACK_TYPE_BROAD_GAUGE_RAILTYPE_OHLE]:[TRACK_TYPE_BROAD_GAUGE_RAILTYPE_NONE]],_xlfn.LAMBDA(_xlpm.r,OR(_xlpm.r))),FALSE)</f>
        <v>1</v>
      </c>
      <c r="AH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7"/>
      <c r="AQ27"/>
      <c r="AR27"/>
    </row>
    <row r="28" spans="1:44" x14ac:dyDescent="0.35">
      <c r="A28" s="2" t="s">
        <v>2673</v>
      </c>
      <c r="B28" s="40" t="str">
        <f>_xlfn.XLOOKUP(PROPERTIES[[#This Row],[VEHIDCODE]],CONTROL[VEHIDCODE],CONTROL[ENGLISH])</f>
        <v>Austro-Daimler Z1</v>
      </c>
      <c r="J28" s="2" t="b">
        <v>1</v>
      </c>
      <c r="AC28" s="2"/>
      <c r="AD28" s="2" t="b">
        <f>LEN(_xlfn.CONCAT(TRACK_TYPES[[#This Row],[TRACK_TYPE_STANDARD_GAUGE_RAILTYPE_OHLE]:[TRACK_TYPE_MTRO]]))&gt;0</f>
        <v>1</v>
      </c>
      <c r="AE28" s="38" t="b" cm="1">
        <f t="array" ref="AE28">IFERROR(_xlfn.BYROW(TRACK_TYPES[[#This Row],[TRACK_TYPE_STANDARD_GAUGE_RAILTYPE_OHLE]:[TRACK_TYPE_STANDARD_GAUGE_RAILTYPE_NONE]],_xlfn.LAMBDA(_xlpm.r,OR(_xlpm.r))),FALSE)</f>
        <v>1</v>
      </c>
      <c r="AF28" s="38" t="b" cm="1">
        <f t="array" ref="AF28">IFERROR(_xlfn.BYROW(TRACK_TYPES[[#This Row],[TRACK_TYPE_NARROW_GAUGE_RAILTYPE_OHLE]:[TRACK_TYPE_NARROW_GAUGE_RAILTYPE_NONE]],_xlfn.LAMBDA(_xlpm.r,OR(_xlpm.r))),FALSE)</f>
        <v>0</v>
      </c>
      <c r="AG28" s="38" t="b" cm="1">
        <f t="array" ref="AG28">IFERROR(_xlfn.BYROW(TRACK_TYPES[[#This Row],[TRACK_TYPE_BROAD_GAUGE_RAILTYPE_OHLE]:[TRACK_TYPE_BROAD_GAUGE_RAILTYPE_NONE]],_xlfn.LAMBDA(_xlpm.r,OR(_xlpm.r))),FALSE)</f>
        <v>0</v>
      </c>
      <c r="AH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"/>
      <c r="AQ28"/>
      <c r="AR28"/>
    </row>
    <row r="29" spans="1:44" x14ac:dyDescent="0.35">
      <c r="A29" s="2" t="s">
        <v>2674</v>
      </c>
      <c r="B29" s="40" t="str">
        <f>_xlfn.XLOOKUP(PROPERTIES[[#This Row],[VEHIDCODE]],CONTROL[VEHIDCODE],CONTROL[ENGLISH])</f>
        <v>McKeen Motor Car 70</v>
      </c>
      <c r="J29" s="2" t="b">
        <v>1</v>
      </c>
      <c r="AC29" s="2"/>
      <c r="AD29" s="2" t="b">
        <f>LEN(_xlfn.CONCAT(TRACK_TYPES[[#This Row],[TRACK_TYPE_STANDARD_GAUGE_RAILTYPE_OHLE]:[TRACK_TYPE_MTRO]]))&gt;0</f>
        <v>1</v>
      </c>
      <c r="AE29" s="38" t="b" cm="1">
        <f t="array" ref="AE29">IFERROR(_xlfn.BYROW(TRACK_TYPES[[#This Row],[TRACK_TYPE_STANDARD_GAUGE_RAILTYPE_OHLE]:[TRACK_TYPE_STANDARD_GAUGE_RAILTYPE_NONE]],_xlfn.LAMBDA(_xlpm.r,OR(_xlpm.r))),FALSE)</f>
        <v>1</v>
      </c>
      <c r="AF29" s="38" t="b" cm="1">
        <f t="array" ref="AF29">IFERROR(_xlfn.BYROW(TRACK_TYPES[[#This Row],[TRACK_TYPE_NARROW_GAUGE_RAILTYPE_OHLE]:[TRACK_TYPE_NARROW_GAUGE_RAILTYPE_NONE]],_xlfn.LAMBDA(_xlpm.r,OR(_xlpm.r))),FALSE)</f>
        <v>0</v>
      </c>
      <c r="AG29" s="38" t="b" cm="1">
        <f t="array" ref="AG29">IFERROR(_xlfn.BYROW(TRACK_TYPES[[#This Row],[TRACK_TYPE_BROAD_GAUGE_RAILTYPE_OHLE]:[TRACK_TYPE_BROAD_GAUGE_RAILTYPE_NONE]],_xlfn.LAMBDA(_xlpm.r,OR(_xlpm.r))),FALSE)</f>
        <v>0</v>
      </c>
      <c r="AH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"/>
      <c r="AQ29"/>
      <c r="AR29"/>
    </row>
    <row r="30" spans="1:44" x14ac:dyDescent="0.35">
      <c r="A30" s="2" t="s">
        <v>2675</v>
      </c>
      <c r="B30" s="40" t="str">
        <f>_xlfn.XLOOKUP(PROPERTIES[[#This Row],[VEHIDCODE]],CONTROL[VEHIDCODE],CONTROL[ENGLISH])</f>
        <v>BBC DET 1-2 'Sächsischer'</v>
      </c>
      <c r="J30" s="2" t="b">
        <v>1</v>
      </c>
      <c r="AC30" s="2"/>
      <c r="AD30" s="2" t="b">
        <f>LEN(_xlfn.CONCAT(TRACK_TYPES[[#This Row],[TRACK_TYPE_STANDARD_GAUGE_RAILTYPE_OHLE]:[TRACK_TYPE_MTRO]]))&gt;0</f>
        <v>1</v>
      </c>
      <c r="AE30" s="38" t="b" cm="1">
        <f t="array" ref="AE30">IFERROR(_xlfn.BYROW(TRACK_TYPES[[#This Row],[TRACK_TYPE_STANDARD_GAUGE_RAILTYPE_OHLE]:[TRACK_TYPE_STANDARD_GAUGE_RAILTYPE_NONE]],_xlfn.LAMBDA(_xlpm.r,OR(_xlpm.r))),FALSE)</f>
        <v>1</v>
      </c>
      <c r="AF30" s="38" t="b" cm="1">
        <f t="array" ref="AF30">IFERROR(_xlfn.BYROW(TRACK_TYPES[[#This Row],[TRACK_TYPE_NARROW_GAUGE_RAILTYPE_OHLE]:[TRACK_TYPE_NARROW_GAUGE_RAILTYPE_NONE]],_xlfn.LAMBDA(_xlpm.r,OR(_xlpm.r))),FALSE)</f>
        <v>0</v>
      </c>
      <c r="AG30" s="38" t="b" cm="1">
        <f t="array" ref="AG30">IFERROR(_xlfn.BYROW(TRACK_TYPES[[#This Row],[TRACK_TYPE_BROAD_GAUGE_RAILTYPE_OHLE]:[TRACK_TYPE_BROAD_GAUGE_RAILTYPE_NONE]],_xlfn.LAMBDA(_xlpm.r,OR(_xlpm.r))),FALSE)</f>
        <v>0</v>
      </c>
      <c r="AH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"/>
      <c r="AQ30"/>
      <c r="AR30"/>
    </row>
    <row r="31" spans="1:44" x14ac:dyDescent="0.35">
      <c r="A31" s="2" t="s">
        <v>2676</v>
      </c>
      <c r="B31" s="40" t="str">
        <f>_xlfn.XLOOKUP(PROPERTIES[[#This Row],[VEHIDCODE]],CONTROL[VEHIDCODE],CONTROL[ENGLISH])</f>
        <v>WC&amp;PR Drewry Railcar</v>
      </c>
      <c r="J31" s="2" t="b">
        <v>1</v>
      </c>
      <c r="AC31" s="2"/>
      <c r="AD31" s="2" t="b">
        <f>LEN(_xlfn.CONCAT(TRACK_TYPES[[#This Row],[TRACK_TYPE_STANDARD_GAUGE_RAILTYPE_OHLE]:[TRACK_TYPE_MTRO]]))&gt;0</f>
        <v>1</v>
      </c>
      <c r="AE31" s="38" t="b" cm="1">
        <f t="array" ref="AE31">IFERROR(_xlfn.BYROW(TRACK_TYPES[[#This Row],[TRACK_TYPE_STANDARD_GAUGE_RAILTYPE_OHLE]:[TRACK_TYPE_STANDARD_GAUGE_RAILTYPE_NONE]],_xlfn.LAMBDA(_xlpm.r,OR(_xlpm.r))),FALSE)</f>
        <v>1</v>
      </c>
      <c r="AF31" s="38" t="b" cm="1">
        <f t="array" ref="AF31">IFERROR(_xlfn.BYROW(TRACK_TYPES[[#This Row],[TRACK_TYPE_NARROW_GAUGE_RAILTYPE_OHLE]:[TRACK_TYPE_NARROW_GAUGE_RAILTYPE_NONE]],_xlfn.LAMBDA(_xlpm.r,OR(_xlpm.r))),FALSE)</f>
        <v>0</v>
      </c>
      <c r="AG31" s="38" t="b" cm="1">
        <f t="array" ref="AG31">IFERROR(_xlfn.BYROW(TRACK_TYPES[[#This Row],[TRACK_TYPE_BROAD_GAUGE_RAILTYPE_OHLE]:[TRACK_TYPE_BROAD_GAUGE_RAILTYPE_NONE]],_xlfn.LAMBDA(_xlpm.r,OR(_xlpm.r))),FALSE)</f>
        <v>0</v>
      </c>
      <c r="AH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"/>
      <c r="AQ31"/>
      <c r="AR31"/>
    </row>
    <row r="32" spans="1:44" x14ac:dyDescent="0.35">
      <c r="A32" s="2" t="s">
        <v>2677</v>
      </c>
      <c r="B32" s="40" t="str">
        <f>_xlfn.XLOOKUP(PROPERTIES[[#This Row],[VEHIDCODE]],CONTROL[VEHIDCODE],CONTROL[ENGLISH])</f>
        <v>LHW BSt 6001</v>
      </c>
      <c r="J32" s="2" t="b">
        <v>1</v>
      </c>
      <c r="AC32" s="2"/>
      <c r="AD32" s="2" t="b">
        <f>LEN(_xlfn.CONCAT(TRACK_TYPES[[#This Row],[TRACK_TYPE_STANDARD_GAUGE_RAILTYPE_OHLE]:[TRACK_TYPE_MTRO]]))&gt;0</f>
        <v>1</v>
      </c>
      <c r="AE32" s="38" t="b" cm="1">
        <f t="array" ref="AE32">IFERROR(_xlfn.BYROW(TRACK_TYPES[[#This Row],[TRACK_TYPE_STANDARD_GAUGE_RAILTYPE_OHLE]:[TRACK_TYPE_STANDARD_GAUGE_RAILTYPE_NONE]],_xlfn.LAMBDA(_xlpm.r,OR(_xlpm.r))),FALSE)</f>
        <v>1</v>
      </c>
      <c r="AF32" s="38" t="b" cm="1">
        <f t="array" ref="AF32">IFERROR(_xlfn.BYROW(TRACK_TYPES[[#This Row],[TRACK_TYPE_NARROW_GAUGE_RAILTYPE_OHLE]:[TRACK_TYPE_NARROW_GAUGE_RAILTYPE_NONE]],_xlfn.LAMBDA(_xlpm.r,OR(_xlpm.r))),FALSE)</f>
        <v>0</v>
      </c>
      <c r="AG32" s="38" t="b" cm="1">
        <f t="array" ref="AG32">IFERROR(_xlfn.BYROW(TRACK_TYPES[[#This Row],[TRACK_TYPE_BROAD_GAUGE_RAILTYPE_OHLE]:[TRACK_TYPE_BROAD_GAUGE_RAILTYPE_NONE]],_xlfn.LAMBDA(_xlpm.r,OR(_xlpm.r))),FALSE)</f>
        <v>0</v>
      </c>
      <c r="AH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"/>
      <c r="AQ32"/>
      <c r="AR32"/>
    </row>
    <row r="33" spans="1:44" x14ac:dyDescent="0.35">
      <c r="A33" s="2" t="s">
        <v>2678</v>
      </c>
      <c r="B33" s="40" t="str">
        <f>_xlfn.XLOOKUP(PROPERTIES[[#This Row],[VEHIDCODE]],CONTROL[VEHIDCODE],CONTROL[ENGLISH])</f>
        <v>EMC DERM</v>
      </c>
      <c r="Z33" s="2" t="b">
        <v>1</v>
      </c>
      <c r="AC33" s="2"/>
      <c r="AD33" s="2" t="b">
        <f>LEN(_xlfn.CONCAT(TRACK_TYPES[[#This Row],[TRACK_TYPE_STANDARD_GAUGE_RAILTYPE_OHLE]:[TRACK_TYPE_MTRO]]))&gt;0</f>
        <v>1</v>
      </c>
      <c r="AE33" s="38" t="b" cm="1">
        <f t="array" ref="AE33">IFERROR(_xlfn.BYROW(TRACK_TYPES[[#This Row],[TRACK_TYPE_STANDARD_GAUGE_RAILTYPE_OHLE]:[TRACK_TYPE_STANDARD_GAUGE_RAILTYPE_NONE]],_xlfn.LAMBDA(_xlpm.r,OR(_xlpm.r))),FALSE)</f>
        <v>0</v>
      </c>
      <c r="AF33" s="38" t="b" cm="1">
        <f t="array" ref="AF33">IFERROR(_xlfn.BYROW(TRACK_TYPES[[#This Row],[TRACK_TYPE_NARROW_GAUGE_RAILTYPE_OHLE]:[TRACK_TYPE_NARROW_GAUGE_RAILTYPE_NONE]],_xlfn.LAMBDA(_xlpm.r,OR(_xlpm.r))),FALSE)</f>
        <v>0</v>
      </c>
      <c r="AG33" s="38" t="b" cm="1">
        <f t="array" ref="AG33">IFERROR(_xlfn.BYROW(TRACK_TYPES[[#This Row],[TRACK_TYPE_BROAD_GAUGE_RAILTYPE_OHLE]:[TRACK_TYPE_BROAD_GAUGE_RAILTYPE_NONE]],_xlfn.LAMBDA(_xlpm.r,OR(_xlpm.r))),FALSE)</f>
        <v>1</v>
      </c>
      <c r="AH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3"/>
      <c r="AQ33"/>
      <c r="AR33"/>
    </row>
    <row r="34" spans="1:44" x14ac:dyDescent="0.35">
      <c r="A34" s="2" t="s">
        <v>2679</v>
      </c>
      <c r="B34" s="40" t="str">
        <f>_xlfn.XLOOKUP(PROPERTIES[[#This Row],[VEHIDCODE]],CONTROL[VEHIDCODE],CONTROL[ENGLISH])</f>
        <v>Tatra M120.4</v>
      </c>
      <c r="J34" s="2" t="b">
        <v>1</v>
      </c>
      <c r="AC34" s="2"/>
      <c r="AD34" s="2" t="b">
        <f>LEN(_xlfn.CONCAT(TRACK_TYPES[[#This Row],[TRACK_TYPE_STANDARD_GAUGE_RAILTYPE_OHLE]:[TRACK_TYPE_MTRO]]))&gt;0</f>
        <v>1</v>
      </c>
      <c r="AE34" s="38" t="b" cm="1">
        <f t="array" ref="AE34">IFERROR(_xlfn.BYROW(TRACK_TYPES[[#This Row],[TRACK_TYPE_STANDARD_GAUGE_RAILTYPE_OHLE]:[TRACK_TYPE_STANDARD_GAUGE_RAILTYPE_NONE]],_xlfn.LAMBDA(_xlpm.r,OR(_xlpm.r))),FALSE)</f>
        <v>1</v>
      </c>
      <c r="AF34" s="38" t="b" cm="1">
        <f t="array" ref="AF34">IFERROR(_xlfn.BYROW(TRACK_TYPES[[#This Row],[TRACK_TYPE_NARROW_GAUGE_RAILTYPE_OHLE]:[TRACK_TYPE_NARROW_GAUGE_RAILTYPE_NONE]],_xlfn.LAMBDA(_xlpm.r,OR(_xlpm.r))),FALSE)</f>
        <v>0</v>
      </c>
      <c r="AG34" s="38" t="b" cm="1">
        <f t="array" ref="AG34">IFERROR(_xlfn.BYROW(TRACK_TYPES[[#This Row],[TRACK_TYPE_BROAD_GAUGE_RAILTYPE_OHLE]:[TRACK_TYPE_BROAD_GAUGE_RAILTYPE_NONE]],_xlfn.LAMBDA(_xlpm.r,OR(_xlpm.r))),FALSE)</f>
        <v>0</v>
      </c>
      <c r="AH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"/>
      <c r="AQ34"/>
      <c r="AR34"/>
    </row>
    <row r="35" spans="1:44" x14ac:dyDescent="0.35">
      <c r="A35" s="2" t="s">
        <v>2680</v>
      </c>
      <c r="B35" s="40" t="str">
        <f>_xlfn.XLOOKUP(PROPERTIES[[#This Row],[VEHIDCODE]],CONTROL[VEHIDCODE],CONTROL[ENGLISH])</f>
        <v>Franz Kruckenberg Schienenzeppelin</v>
      </c>
      <c r="J35" s="2" t="b">
        <v>1</v>
      </c>
      <c r="AC35" s="2"/>
      <c r="AD35" s="2" t="b">
        <f>LEN(_xlfn.CONCAT(TRACK_TYPES[[#This Row],[TRACK_TYPE_STANDARD_GAUGE_RAILTYPE_OHLE]:[TRACK_TYPE_MTRO]]))&gt;0</f>
        <v>1</v>
      </c>
      <c r="AE35" s="38" t="b" cm="1">
        <f t="array" ref="AE35">IFERROR(_xlfn.BYROW(TRACK_TYPES[[#This Row],[TRACK_TYPE_STANDARD_GAUGE_RAILTYPE_OHLE]:[TRACK_TYPE_STANDARD_GAUGE_RAILTYPE_NONE]],_xlfn.LAMBDA(_xlpm.r,OR(_xlpm.r))),FALSE)</f>
        <v>1</v>
      </c>
      <c r="AF35" s="38" t="b" cm="1">
        <f t="array" ref="AF35">IFERROR(_xlfn.BYROW(TRACK_TYPES[[#This Row],[TRACK_TYPE_NARROW_GAUGE_RAILTYPE_OHLE]:[TRACK_TYPE_NARROW_GAUGE_RAILTYPE_NONE]],_xlfn.LAMBDA(_xlpm.r,OR(_xlpm.r))),FALSE)</f>
        <v>0</v>
      </c>
      <c r="AG35" s="38" t="b" cm="1">
        <f t="array" ref="AG35">IFERROR(_xlfn.BYROW(TRACK_TYPES[[#This Row],[TRACK_TYPE_BROAD_GAUGE_RAILTYPE_OHLE]:[TRACK_TYPE_BROAD_GAUGE_RAILTYPE_NONE]],_xlfn.LAMBDA(_xlpm.r,OR(_xlpm.r))),FALSE)</f>
        <v>0</v>
      </c>
      <c r="AH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"/>
      <c r="AQ35"/>
      <c r="AR35"/>
    </row>
    <row r="36" spans="1:44" x14ac:dyDescent="0.35">
      <c r="A36" s="2" t="s">
        <v>2681</v>
      </c>
      <c r="B36" s="40" t="str">
        <f>_xlfn.XLOOKUP(PROPERTIES[[#This Row],[VEHIDCODE]],CONTROL[VEHIDCODE],CONTROL[ENGLISH])</f>
        <v>DSB MO Serie 1</v>
      </c>
      <c r="J36" s="2" t="b">
        <v>1</v>
      </c>
      <c r="AC36" s="2"/>
      <c r="AD36" s="2" t="b">
        <f>LEN(_xlfn.CONCAT(TRACK_TYPES[[#This Row],[TRACK_TYPE_STANDARD_GAUGE_RAILTYPE_OHLE]:[TRACK_TYPE_MTRO]]))&gt;0</f>
        <v>1</v>
      </c>
      <c r="AE36" s="38" t="b" cm="1">
        <f t="array" ref="AE36">IFERROR(_xlfn.BYROW(TRACK_TYPES[[#This Row],[TRACK_TYPE_STANDARD_GAUGE_RAILTYPE_OHLE]:[TRACK_TYPE_STANDARD_GAUGE_RAILTYPE_NONE]],_xlfn.LAMBDA(_xlpm.r,OR(_xlpm.r))),FALSE)</f>
        <v>1</v>
      </c>
      <c r="AF36" s="38" t="b" cm="1">
        <f t="array" ref="AF36">IFERROR(_xlfn.BYROW(TRACK_TYPES[[#This Row],[TRACK_TYPE_NARROW_GAUGE_RAILTYPE_OHLE]:[TRACK_TYPE_NARROW_GAUGE_RAILTYPE_NONE]],_xlfn.LAMBDA(_xlpm.r,OR(_xlpm.r))),FALSE)</f>
        <v>0</v>
      </c>
      <c r="AG36" s="38" t="b" cm="1">
        <f t="array" ref="AG36">IFERROR(_xlfn.BYROW(TRACK_TYPES[[#This Row],[TRACK_TYPE_BROAD_GAUGE_RAILTYPE_OHLE]:[TRACK_TYPE_BROAD_GAUGE_RAILTYPE_NONE]],_xlfn.LAMBDA(_xlpm.r,OR(_xlpm.r))),FALSE)</f>
        <v>0</v>
      </c>
      <c r="AH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"/>
      <c r="AQ36"/>
      <c r="AR36"/>
    </row>
    <row r="37" spans="1:44" x14ac:dyDescent="0.35">
      <c r="A37" s="2" t="s">
        <v>2682</v>
      </c>
      <c r="B37" s="40" t="str">
        <f>_xlfn.XLOOKUP(PROPERTIES[[#This Row],[VEHIDCODE]],CONTROL[VEHIDCODE],CONTROL[ENGLISH])</f>
        <v>Strommens Kristine Valdresdatter</v>
      </c>
      <c r="J37" s="2" t="b">
        <v>1</v>
      </c>
      <c r="AC37" s="2"/>
      <c r="AD37" s="2" t="b">
        <f>LEN(_xlfn.CONCAT(TRACK_TYPES[[#This Row],[TRACK_TYPE_STANDARD_GAUGE_RAILTYPE_OHLE]:[TRACK_TYPE_MTRO]]))&gt;0</f>
        <v>1</v>
      </c>
      <c r="AE37" s="38" t="b" cm="1">
        <f t="array" ref="AE37">IFERROR(_xlfn.BYROW(TRACK_TYPES[[#This Row],[TRACK_TYPE_STANDARD_GAUGE_RAILTYPE_OHLE]:[TRACK_TYPE_STANDARD_GAUGE_RAILTYPE_NONE]],_xlfn.LAMBDA(_xlpm.r,OR(_xlpm.r))),FALSE)</f>
        <v>1</v>
      </c>
      <c r="AF37" s="38" t="b" cm="1">
        <f t="array" ref="AF37">IFERROR(_xlfn.BYROW(TRACK_TYPES[[#This Row],[TRACK_TYPE_NARROW_GAUGE_RAILTYPE_OHLE]:[TRACK_TYPE_NARROW_GAUGE_RAILTYPE_NONE]],_xlfn.LAMBDA(_xlpm.r,OR(_xlpm.r))),FALSE)</f>
        <v>0</v>
      </c>
      <c r="AG37" s="38" t="b" cm="1">
        <f t="array" ref="AG37">IFERROR(_xlfn.BYROW(TRACK_TYPES[[#This Row],[TRACK_TYPE_BROAD_GAUGE_RAILTYPE_OHLE]:[TRACK_TYPE_BROAD_GAUGE_RAILTYPE_NONE]],_xlfn.LAMBDA(_xlpm.r,OR(_xlpm.r))),FALSE)</f>
        <v>0</v>
      </c>
      <c r="AH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"/>
      <c r="AQ37"/>
      <c r="AR37"/>
    </row>
    <row r="38" spans="1:44" x14ac:dyDescent="0.35">
      <c r="A38" s="2" t="s">
        <v>2683</v>
      </c>
      <c r="B38" s="40" t="str">
        <f>_xlfn.XLOOKUP(PROPERTIES[[#This Row],[VEHIDCODE]],CONTROL[VEHIDCODE],CONTROL[ENGLISH])</f>
        <v>Tatra M290</v>
      </c>
      <c r="J38" s="2" t="b">
        <v>1</v>
      </c>
      <c r="AC38" s="2"/>
      <c r="AD38" s="2" t="b">
        <f>LEN(_xlfn.CONCAT(TRACK_TYPES[[#This Row],[TRACK_TYPE_STANDARD_GAUGE_RAILTYPE_OHLE]:[TRACK_TYPE_MTRO]]))&gt;0</f>
        <v>1</v>
      </c>
      <c r="AE38" s="38" t="b" cm="1">
        <f t="array" ref="AE38">IFERROR(_xlfn.BYROW(TRACK_TYPES[[#This Row],[TRACK_TYPE_STANDARD_GAUGE_RAILTYPE_OHLE]:[TRACK_TYPE_STANDARD_GAUGE_RAILTYPE_NONE]],_xlfn.LAMBDA(_xlpm.r,OR(_xlpm.r))),FALSE)</f>
        <v>1</v>
      </c>
      <c r="AF38" s="38" t="b" cm="1">
        <f t="array" ref="AF38">IFERROR(_xlfn.BYROW(TRACK_TYPES[[#This Row],[TRACK_TYPE_NARROW_GAUGE_RAILTYPE_OHLE]:[TRACK_TYPE_NARROW_GAUGE_RAILTYPE_NONE]],_xlfn.LAMBDA(_xlpm.r,OR(_xlpm.r))),FALSE)</f>
        <v>0</v>
      </c>
      <c r="AG38" s="38" t="b" cm="1">
        <f t="array" ref="AG38">IFERROR(_xlfn.BYROW(TRACK_TYPES[[#This Row],[TRACK_TYPE_BROAD_GAUGE_RAILTYPE_OHLE]:[TRACK_TYPE_BROAD_GAUGE_RAILTYPE_NONE]],_xlfn.LAMBDA(_xlpm.r,OR(_xlpm.r))),FALSE)</f>
        <v>0</v>
      </c>
      <c r="AH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8"/>
      <c r="AQ38"/>
      <c r="AR38"/>
    </row>
    <row r="39" spans="1:44" x14ac:dyDescent="0.35">
      <c r="A39" s="2" t="s">
        <v>2684</v>
      </c>
      <c r="B39" s="40" t="str">
        <f>_xlfn.XLOOKUP(PROPERTIES[[#This Row],[VEHIDCODE]],CONTROL[VEHIDCODE],CONTROL[ENGLISH])</f>
        <v>Werkspoor DM37</v>
      </c>
      <c r="J39" s="2" t="b">
        <v>1</v>
      </c>
      <c r="AC39" s="2"/>
      <c r="AD39" s="2" t="b">
        <f>LEN(_xlfn.CONCAT(TRACK_TYPES[[#This Row],[TRACK_TYPE_STANDARD_GAUGE_RAILTYPE_OHLE]:[TRACK_TYPE_MTRO]]))&gt;0</f>
        <v>1</v>
      </c>
      <c r="AE39" s="38" t="b" cm="1">
        <f t="array" ref="AE39">IFERROR(_xlfn.BYROW(TRACK_TYPES[[#This Row],[TRACK_TYPE_STANDARD_GAUGE_RAILTYPE_OHLE]:[TRACK_TYPE_STANDARD_GAUGE_RAILTYPE_NONE]],_xlfn.LAMBDA(_xlpm.r,OR(_xlpm.r))),FALSE)</f>
        <v>1</v>
      </c>
      <c r="AF39" s="38" t="b" cm="1">
        <f t="array" ref="AF39">IFERROR(_xlfn.BYROW(TRACK_TYPES[[#This Row],[TRACK_TYPE_NARROW_GAUGE_RAILTYPE_OHLE]:[TRACK_TYPE_NARROW_GAUGE_RAILTYPE_NONE]],_xlfn.LAMBDA(_xlpm.r,OR(_xlpm.r))),FALSE)</f>
        <v>0</v>
      </c>
      <c r="AG39" s="38" t="b" cm="1">
        <f t="array" ref="AG39">IFERROR(_xlfn.BYROW(TRACK_TYPES[[#This Row],[TRACK_TYPE_BROAD_GAUGE_RAILTYPE_OHLE]:[TRACK_TYPE_BROAD_GAUGE_RAILTYPE_NONE]],_xlfn.LAMBDA(_xlpm.r,OR(_xlpm.r))),FALSE)</f>
        <v>0</v>
      </c>
      <c r="AH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"/>
      <c r="AQ39"/>
      <c r="AR39"/>
    </row>
    <row r="40" spans="1:44" x14ac:dyDescent="0.35">
      <c r="A40" s="2" t="s">
        <v>2685</v>
      </c>
      <c r="B40" s="40" t="str">
        <f>_xlfn.XLOOKUP(PROPERTIES[[#This Row],[VEHIDCODE]],CONTROL[VEHIDCODE],CONTROL[ENGLISH])</f>
        <v>Eveleigh 400 Class</v>
      </c>
      <c r="J40" s="2" t="b">
        <v>1</v>
      </c>
      <c r="AC40" s="2"/>
      <c r="AD40" s="2" t="b">
        <f>LEN(_xlfn.CONCAT(TRACK_TYPES[[#This Row],[TRACK_TYPE_STANDARD_GAUGE_RAILTYPE_OHLE]:[TRACK_TYPE_MTRO]]))&gt;0</f>
        <v>1</v>
      </c>
      <c r="AE40" s="38" t="b" cm="1">
        <f t="array" ref="AE40">IFERROR(_xlfn.BYROW(TRACK_TYPES[[#This Row],[TRACK_TYPE_STANDARD_GAUGE_RAILTYPE_OHLE]:[TRACK_TYPE_STANDARD_GAUGE_RAILTYPE_NONE]],_xlfn.LAMBDA(_xlpm.r,OR(_xlpm.r))),FALSE)</f>
        <v>1</v>
      </c>
      <c r="AF40" s="38" t="b" cm="1">
        <f t="array" ref="AF40">IFERROR(_xlfn.BYROW(TRACK_TYPES[[#This Row],[TRACK_TYPE_NARROW_GAUGE_RAILTYPE_OHLE]:[TRACK_TYPE_NARROW_GAUGE_RAILTYPE_NONE]],_xlfn.LAMBDA(_xlpm.r,OR(_xlpm.r))),FALSE)</f>
        <v>0</v>
      </c>
      <c r="AG40" s="38" t="b" cm="1">
        <f t="array" ref="AG40">IFERROR(_xlfn.BYROW(TRACK_TYPES[[#This Row],[TRACK_TYPE_BROAD_GAUGE_RAILTYPE_OHLE]:[TRACK_TYPE_BROAD_GAUGE_RAILTYPE_NONE]],_xlfn.LAMBDA(_xlpm.r,OR(_xlpm.r))),FALSE)</f>
        <v>0</v>
      </c>
      <c r="AH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"/>
      <c r="AQ40"/>
      <c r="AR40"/>
    </row>
    <row r="41" spans="1:44" x14ac:dyDescent="0.35">
      <c r="A41" s="2" t="s">
        <v>2686</v>
      </c>
      <c r="B41" s="40" t="str">
        <f>_xlfn.XLOOKUP(PROPERTIES[[#This Row],[VEHIDCODE]],CONTROL[VEHIDCODE],CONTROL[ENGLISH])</f>
        <v>Vale do Vouga ME51-55</v>
      </c>
      <c r="R41" s="2" t="b">
        <v>1</v>
      </c>
      <c r="AC41" s="2"/>
      <c r="AD41" s="2" t="b">
        <f>LEN(_xlfn.CONCAT(TRACK_TYPES[[#This Row],[TRACK_TYPE_STANDARD_GAUGE_RAILTYPE_OHLE]:[TRACK_TYPE_MTRO]]))&gt;0</f>
        <v>1</v>
      </c>
      <c r="AE41" s="38" t="b" cm="1">
        <f t="array" ref="AE41">IFERROR(_xlfn.BYROW(TRACK_TYPES[[#This Row],[TRACK_TYPE_STANDARD_GAUGE_RAILTYPE_OHLE]:[TRACK_TYPE_STANDARD_GAUGE_RAILTYPE_NONE]],_xlfn.LAMBDA(_xlpm.r,OR(_xlpm.r))),FALSE)</f>
        <v>0</v>
      </c>
      <c r="AF41" s="38" t="b" cm="1">
        <f t="array" ref="AF41">IFERROR(_xlfn.BYROW(TRACK_TYPES[[#This Row],[TRACK_TYPE_NARROW_GAUGE_RAILTYPE_OHLE]:[TRACK_TYPE_NARROW_GAUGE_RAILTYPE_NONE]],_xlfn.LAMBDA(_xlpm.r,OR(_xlpm.r))),FALSE)</f>
        <v>1</v>
      </c>
      <c r="AG41" s="38" t="b" cm="1">
        <f t="array" ref="AG41">IFERROR(_xlfn.BYROW(TRACK_TYPES[[#This Row],[TRACK_TYPE_BROAD_GAUGE_RAILTYPE_OHLE]:[TRACK_TYPE_BROAD_GAUGE_RAILTYPE_NONE]],_xlfn.LAMBDA(_xlpm.r,OR(_xlpm.r))),FALSE)</f>
        <v>0</v>
      </c>
      <c r="AH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1"/>
      <c r="AQ41"/>
      <c r="AR41"/>
    </row>
    <row r="42" spans="1:44" x14ac:dyDescent="0.35">
      <c r="A42" s="2" t="s">
        <v>2687</v>
      </c>
      <c r="B42" s="40" t="str">
        <f>_xlfn.XLOOKUP(PROPERTIES[[#This Row],[VEHIDCODE]],CONTROL[VEHIDCODE],CONTROL[ENGLISH])</f>
        <v>Ateliers Germain 42/43</v>
      </c>
      <c r="J42" s="2" t="b">
        <v>1</v>
      </c>
      <c r="AC42" s="2"/>
      <c r="AD42" s="2" t="b">
        <f>LEN(_xlfn.CONCAT(TRACK_TYPES[[#This Row],[TRACK_TYPE_STANDARD_GAUGE_RAILTYPE_OHLE]:[TRACK_TYPE_MTRO]]))&gt;0</f>
        <v>1</v>
      </c>
      <c r="AE42" s="38" t="b" cm="1">
        <f t="array" ref="AE42">IFERROR(_xlfn.BYROW(TRACK_TYPES[[#This Row],[TRACK_TYPE_STANDARD_GAUGE_RAILTYPE_OHLE]:[TRACK_TYPE_STANDARD_GAUGE_RAILTYPE_NONE]],_xlfn.LAMBDA(_xlpm.r,OR(_xlpm.r))),FALSE)</f>
        <v>1</v>
      </c>
      <c r="AF42" s="38" t="b" cm="1">
        <f t="array" ref="AF42">IFERROR(_xlfn.BYROW(TRACK_TYPES[[#This Row],[TRACK_TYPE_NARROW_GAUGE_RAILTYPE_OHLE]:[TRACK_TYPE_NARROW_GAUGE_RAILTYPE_NONE]],_xlfn.LAMBDA(_xlpm.r,OR(_xlpm.r))),FALSE)</f>
        <v>0</v>
      </c>
      <c r="AG42" s="38" t="b" cm="1">
        <f t="array" ref="AG42">IFERROR(_xlfn.BYROW(TRACK_TYPES[[#This Row],[TRACK_TYPE_BROAD_GAUGE_RAILTYPE_OHLE]:[TRACK_TYPE_BROAD_GAUGE_RAILTYPE_NONE]],_xlfn.LAMBDA(_xlpm.r,OR(_xlpm.r))),FALSE)</f>
        <v>0</v>
      </c>
      <c r="AH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"/>
      <c r="AQ42"/>
      <c r="AR42"/>
    </row>
    <row r="43" spans="1:44" x14ac:dyDescent="0.35">
      <c r="A43" s="2" t="s">
        <v>2688</v>
      </c>
      <c r="B43" s="40" t="str">
        <f>_xlfn.XLOOKUP(PROPERTIES[[#This Row],[VEHIDCODE]],CONTROL[VEHIDCODE],CONTROL[ENGLISH])</f>
        <v>SGP 77783/1960</v>
      </c>
      <c r="J43" s="2" t="b">
        <v>1</v>
      </c>
      <c r="AC43" s="2"/>
      <c r="AD43" s="2" t="b">
        <f>LEN(_xlfn.CONCAT(TRACK_TYPES[[#This Row],[TRACK_TYPE_STANDARD_GAUGE_RAILTYPE_OHLE]:[TRACK_TYPE_MTRO]]))&gt;0</f>
        <v>1</v>
      </c>
      <c r="AE43" s="38" t="b" cm="1">
        <f t="array" ref="AE43">IFERROR(_xlfn.BYROW(TRACK_TYPES[[#This Row],[TRACK_TYPE_STANDARD_GAUGE_RAILTYPE_OHLE]:[TRACK_TYPE_STANDARD_GAUGE_RAILTYPE_NONE]],_xlfn.LAMBDA(_xlpm.r,OR(_xlpm.r))),FALSE)</f>
        <v>1</v>
      </c>
      <c r="AF43" s="38" t="b" cm="1">
        <f t="array" ref="AF43">IFERROR(_xlfn.BYROW(TRACK_TYPES[[#This Row],[TRACK_TYPE_NARROW_GAUGE_RAILTYPE_OHLE]:[TRACK_TYPE_NARROW_GAUGE_RAILTYPE_NONE]],_xlfn.LAMBDA(_xlpm.r,OR(_xlpm.r))),FALSE)</f>
        <v>0</v>
      </c>
      <c r="AG43" s="38" t="b" cm="1">
        <f t="array" ref="AG43">IFERROR(_xlfn.BYROW(TRACK_TYPES[[#This Row],[TRACK_TYPE_BROAD_GAUGE_RAILTYPE_OHLE]:[TRACK_TYPE_BROAD_GAUGE_RAILTYPE_NONE]],_xlfn.LAMBDA(_xlpm.r,OR(_xlpm.r))),FALSE)</f>
        <v>0</v>
      </c>
      <c r="AH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"/>
      <c r="AQ43"/>
      <c r="AR43"/>
    </row>
    <row r="44" spans="1:44" x14ac:dyDescent="0.35">
      <c r="A44" s="2" t="s">
        <v>2689</v>
      </c>
      <c r="B44" s="40" t="str">
        <f>_xlfn.XLOOKUP(PROPERTIES[[#This Row],[VEHIDCODE]],CONTROL[VEHIDCODE],CONTROL[ENGLISH])</f>
        <v>Ferrostaal-Esslingen AA.71</v>
      </c>
      <c r="J44" s="2" t="b">
        <v>1</v>
      </c>
      <c r="AC44" s="2"/>
      <c r="AD44" s="2" t="b">
        <f>LEN(_xlfn.CONCAT(TRACK_TYPES[[#This Row],[TRACK_TYPE_STANDARD_GAUGE_RAILTYPE_OHLE]:[TRACK_TYPE_MTRO]]))&gt;0</f>
        <v>1</v>
      </c>
      <c r="AE44" s="38" t="b" cm="1">
        <f t="array" ref="AE44">IFERROR(_xlfn.BYROW(TRACK_TYPES[[#This Row],[TRACK_TYPE_STANDARD_GAUGE_RAILTYPE_OHLE]:[TRACK_TYPE_STANDARD_GAUGE_RAILTYPE_NONE]],_xlfn.LAMBDA(_xlpm.r,OR(_xlpm.r))),FALSE)</f>
        <v>1</v>
      </c>
      <c r="AF44" s="38" t="b" cm="1">
        <f t="array" ref="AF44">IFERROR(_xlfn.BYROW(TRACK_TYPES[[#This Row],[TRACK_TYPE_NARROW_GAUGE_RAILTYPE_OHLE]:[TRACK_TYPE_NARROW_GAUGE_RAILTYPE_NONE]],_xlfn.LAMBDA(_xlpm.r,OR(_xlpm.r))),FALSE)</f>
        <v>0</v>
      </c>
      <c r="AG44" s="38" t="b" cm="1">
        <f t="array" ref="AG44">IFERROR(_xlfn.BYROW(TRACK_TYPES[[#This Row],[TRACK_TYPE_BROAD_GAUGE_RAILTYPE_OHLE]:[TRACK_TYPE_BROAD_GAUGE_RAILTYPE_NONE]],_xlfn.LAMBDA(_xlpm.r,OR(_xlpm.r))),FALSE)</f>
        <v>0</v>
      </c>
      <c r="AH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"/>
      <c r="AQ44"/>
      <c r="AR44"/>
    </row>
    <row r="45" spans="1:44" x14ac:dyDescent="0.35">
      <c r="A45" s="2" t="s">
        <v>2690</v>
      </c>
      <c r="B45" s="40" t="str">
        <f>_xlfn.XLOOKUP(PROPERTIES[[#This Row],[VEHIDCODE]],CONTROL[VEHIDCODE],CONTROL[ENGLISH])</f>
        <v>Alsthom Z-431</v>
      </c>
      <c r="J45" s="2" t="b">
        <v>1</v>
      </c>
      <c r="AC45" s="2"/>
      <c r="AD45" s="2" t="b">
        <f>LEN(_xlfn.CONCAT(TRACK_TYPES[[#This Row],[TRACK_TYPE_STANDARD_GAUGE_RAILTYPE_OHLE]:[TRACK_TYPE_MTRO]]))&gt;0</f>
        <v>1</v>
      </c>
      <c r="AE45" s="38" t="b" cm="1">
        <f t="array" ref="AE45">IFERROR(_xlfn.BYROW(TRACK_TYPES[[#This Row],[TRACK_TYPE_STANDARD_GAUGE_RAILTYPE_OHLE]:[TRACK_TYPE_STANDARD_GAUGE_RAILTYPE_NONE]],_xlfn.LAMBDA(_xlpm.r,OR(_xlpm.r))),FALSE)</f>
        <v>1</v>
      </c>
      <c r="AF45" s="38" t="b" cm="1">
        <f t="array" ref="AF45">IFERROR(_xlfn.BYROW(TRACK_TYPES[[#This Row],[TRACK_TYPE_NARROW_GAUGE_RAILTYPE_OHLE]:[TRACK_TYPE_NARROW_GAUGE_RAILTYPE_NONE]],_xlfn.LAMBDA(_xlpm.r,OR(_xlpm.r))),FALSE)</f>
        <v>0</v>
      </c>
      <c r="AG45" s="38" t="b" cm="1">
        <f t="array" ref="AG45">IFERROR(_xlfn.BYROW(TRACK_TYPES[[#This Row],[TRACK_TYPE_BROAD_GAUGE_RAILTYPE_OHLE]:[TRACK_TYPE_BROAD_GAUGE_RAILTYPE_NONE]],_xlfn.LAMBDA(_xlpm.r,OR(_xlpm.r))),FALSE)</f>
        <v>0</v>
      </c>
      <c r="AH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"/>
      <c r="AQ45"/>
      <c r="AR45"/>
    </row>
    <row r="46" spans="1:44" x14ac:dyDescent="0.35">
      <c r="A46" s="2" t="s">
        <v>2691</v>
      </c>
      <c r="B46" s="40" t="str">
        <f>_xlfn.XLOOKUP(PROPERTIES[[#This Row],[VEHIDCODE]],CONTROL[VEHIDCODE],CONTROL[ENGLISH])</f>
        <v>Budd SPV-2000</v>
      </c>
      <c r="J46" s="2" t="b">
        <v>1</v>
      </c>
      <c r="AC46" s="2"/>
      <c r="AD46" s="2" t="b">
        <f>LEN(_xlfn.CONCAT(TRACK_TYPES[[#This Row],[TRACK_TYPE_STANDARD_GAUGE_RAILTYPE_OHLE]:[TRACK_TYPE_MTRO]]))&gt;0</f>
        <v>1</v>
      </c>
      <c r="AE46" s="38" t="b" cm="1">
        <f t="array" ref="AE46">IFERROR(_xlfn.BYROW(TRACK_TYPES[[#This Row],[TRACK_TYPE_STANDARD_GAUGE_RAILTYPE_OHLE]:[TRACK_TYPE_STANDARD_GAUGE_RAILTYPE_NONE]],_xlfn.LAMBDA(_xlpm.r,OR(_xlpm.r))),FALSE)</f>
        <v>1</v>
      </c>
      <c r="AF46" s="38" t="b" cm="1">
        <f t="array" ref="AF46">IFERROR(_xlfn.BYROW(TRACK_TYPES[[#This Row],[TRACK_TYPE_NARROW_GAUGE_RAILTYPE_OHLE]:[TRACK_TYPE_NARROW_GAUGE_RAILTYPE_NONE]],_xlfn.LAMBDA(_xlpm.r,OR(_xlpm.r))),FALSE)</f>
        <v>0</v>
      </c>
      <c r="AG46" s="38" t="b" cm="1">
        <f t="array" ref="AG46">IFERROR(_xlfn.BYROW(TRACK_TYPES[[#This Row],[TRACK_TYPE_BROAD_GAUGE_RAILTYPE_OHLE]:[TRACK_TYPE_BROAD_GAUGE_RAILTYPE_NONE]],_xlfn.LAMBDA(_xlpm.r,OR(_xlpm.r))),FALSE)</f>
        <v>0</v>
      </c>
      <c r="AH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"/>
      <c r="AQ46"/>
      <c r="AR46"/>
    </row>
    <row r="47" spans="1:44" x14ac:dyDescent="0.35">
      <c r="A47" s="2" t="s">
        <v>2692</v>
      </c>
      <c r="B47" s="40" t="str">
        <f>_xlfn.XLOOKUP(PROPERTIES[[#This Row],[VEHIDCODE]],CONTROL[VEHIDCODE],CONTROL[ENGLISH])</f>
        <v>CKD Vagonka Dm12</v>
      </c>
      <c r="Z47" s="2" t="b">
        <v>1</v>
      </c>
      <c r="AC47" s="2"/>
      <c r="AD47" s="2" t="b">
        <f>LEN(_xlfn.CONCAT(TRACK_TYPES[[#This Row],[TRACK_TYPE_STANDARD_GAUGE_RAILTYPE_OHLE]:[TRACK_TYPE_MTRO]]))&gt;0</f>
        <v>1</v>
      </c>
      <c r="AE47" s="38" t="b" cm="1">
        <f t="array" ref="AE47">IFERROR(_xlfn.BYROW(TRACK_TYPES[[#This Row],[TRACK_TYPE_STANDARD_GAUGE_RAILTYPE_OHLE]:[TRACK_TYPE_STANDARD_GAUGE_RAILTYPE_NONE]],_xlfn.LAMBDA(_xlpm.r,OR(_xlpm.r))),FALSE)</f>
        <v>0</v>
      </c>
      <c r="AF47" s="38" t="b" cm="1">
        <f t="array" ref="AF47">IFERROR(_xlfn.BYROW(TRACK_TYPES[[#This Row],[TRACK_TYPE_NARROW_GAUGE_RAILTYPE_OHLE]:[TRACK_TYPE_NARROW_GAUGE_RAILTYPE_NONE]],_xlfn.LAMBDA(_xlpm.r,OR(_xlpm.r))),FALSE)</f>
        <v>0</v>
      </c>
      <c r="AG47" s="38" t="b" cm="1">
        <f t="array" ref="AG47">IFERROR(_xlfn.BYROW(TRACK_TYPES[[#This Row],[TRACK_TYPE_BROAD_GAUGE_RAILTYPE_OHLE]:[TRACK_TYPE_BROAD_GAUGE_RAILTYPE_NONE]],_xlfn.LAMBDA(_xlpm.r,OR(_xlpm.r))),FALSE)</f>
        <v>1</v>
      </c>
      <c r="AH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7"/>
      <c r="AQ47"/>
      <c r="AR47"/>
    </row>
    <row r="48" spans="1:44" x14ac:dyDescent="0.35">
      <c r="A48" s="2" t="s">
        <v>3454</v>
      </c>
      <c r="B48" s="40" t="str">
        <f>_xlfn.XLOOKUP(PROPERTIES[[#This Row],[VEHIDCODE]],CONTROL[VEHIDCODE],CONTROL[ENGLISH])</f>
        <v>Stadler Regio-Shuttle RS1</v>
      </c>
      <c r="J48" s="2" t="b">
        <v>1</v>
      </c>
      <c r="AC48" s="2"/>
      <c r="AD48" s="2" t="b">
        <f>LEN(_xlfn.CONCAT(TRACK_TYPES[[#This Row],[TRACK_TYPE_STANDARD_GAUGE_RAILTYPE_OHLE]:[TRACK_TYPE_MTRO]]))&gt;0</f>
        <v>1</v>
      </c>
      <c r="AE48" s="38" t="b" cm="1">
        <f t="array" ref="AE48">IFERROR(_xlfn.BYROW(TRACK_TYPES[[#This Row],[TRACK_TYPE_STANDARD_GAUGE_RAILTYPE_OHLE]:[TRACK_TYPE_STANDARD_GAUGE_RAILTYPE_NONE]],_xlfn.LAMBDA(_xlpm.r,OR(_xlpm.r))),FALSE)</f>
        <v>1</v>
      </c>
      <c r="AF48" s="38" t="b" cm="1">
        <f t="array" ref="AF48">IFERROR(_xlfn.BYROW(TRACK_TYPES[[#This Row],[TRACK_TYPE_NARROW_GAUGE_RAILTYPE_OHLE]:[TRACK_TYPE_NARROW_GAUGE_RAILTYPE_NONE]],_xlfn.LAMBDA(_xlpm.r,OR(_xlpm.r))),FALSE)</f>
        <v>0</v>
      </c>
      <c r="AG48" s="38" t="b" cm="1">
        <f t="array" ref="AG48">IFERROR(_xlfn.BYROW(TRACK_TYPES[[#This Row],[TRACK_TYPE_BROAD_GAUGE_RAILTYPE_OHLE]:[TRACK_TYPE_BROAD_GAUGE_RAILTYPE_NONE]],_xlfn.LAMBDA(_xlpm.r,OR(_xlpm.r))),FALSE)</f>
        <v>0</v>
      </c>
      <c r="AH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"/>
      <c r="AQ48"/>
      <c r="AR48"/>
    </row>
    <row r="49" spans="1:44" x14ac:dyDescent="0.35">
      <c r="A49" s="2" t="s">
        <v>2693</v>
      </c>
      <c r="B49" s="40" t="str">
        <f>_xlfn.XLOOKUP(PROPERTIES[[#This Row],[VEHIDCODE]],CONTROL[VEHIDCODE],CONTROL[ENGLISH])</f>
        <v>Fiat Ferroviaria ALn 668.1400</v>
      </c>
      <c r="J49" s="2" t="b">
        <v>1</v>
      </c>
      <c r="AC49" s="2"/>
      <c r="AD49" s="2" t="b">
        <f>LEN(_xlfn.CONCAT(TRACK_TYPES[[#This Row],[TRACK_TYPE_STANDARD_GAUGE_RAILTYPE_OHLE]:[TRACK_TYPE_MTRO]]))&gt;0</f>
        <v>1</v>
      </c>
      <c r="AE49" s="38" t="b" cm="1">
        <f t="array" ref="AE49">IFERROR(_xlfn.BYROW(TRACK_TYPES[[#This Row],[TRACK_TYPE_STANDARD_GAUGE_RAILTYPE_OHLE]:[TRACK_TYPE_STANDARD_GAUGE_RAILTYPE_NONE]],_xlfn.LAMBDA(_xlpm.r,OR(_xlpm.r))),FALSE)</f>
        <v>1</v>
      </c>
      <c r="AF49" s="38" t="b" cm="1">
        <f t="array" ref="AF49">IFERROR(_xlfn.BYROW(TRACK_TYPES[[#This Row],[TRACK_TYPE_NARROW_GAUGE_RAILTYPE_OHLE]:[TRACK_TYPE_NARROW_GAUGE_RAILTYPE_NONE]],_xlfn.LAMBDA(_xlpm.r,OR(_xlpm.r))),FALSE)</f>
        <v>0</v>
      </c>
      <c r="AG49" s="38" t="b" cm="1">
        <f t="array" ref="AG49">IFERROR(_xlfn.BYROW(TRACK_TYPES[[#This Row],[TRACK_TYPE_BROAD_GAUGE_RAILTYPE_OHLE]:[TRACK_TYPE_BROAD_GAUGE_RAILTYPE_NONE]],_xlfn.LAMBDA(_xlpm.r,OR(_xlpm.r))),FALSE)</f>
        <v>0</v>
      </c>
      <c r="AH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"/>
      <c r="AQ49"/>
      <c r="AR49"/>
    </row>
    <row r="50" spans="1:44" x14ac:dyDescent="0.35">
      <c r="A50" s="2" t="s">
        <v>2694</v>
      </c>
      <c r="B50" s="40" t="str">
        <f>_xlfn.XLOOKUP(PROPERTIES[[#This Row],[VEHIDCODE]],CONTROL[VEHIDCODE],CONTROL[ENGLISH])</f>
        <v>Ringhoffer 40.001</v>
      </c>
      <c r="G50" t="b">
        <v>1</v>
      </c>
      <c r="AC50" s="2"/>
      <c r="AD50" s="2" t="b">
        <f>LEN(_xlfn.CONCAT(TRACK_TYPES[[#This Row],[TRACK_TYPE_STANDARD_GAUGE_RAILTYPE_OHLE]:[TRACK_TYPE_MTRO]]))&gt;0</f>
        <v>1</v>
      </c>
      <c r="AE50" s="38" t="b" cm="1">
        <f t="array" ref="AE50">IFERROR(_xlfn.BYROW(TRACK_TYPES[[#This Row],[TRACK_TYPE_STANDARD_GAUGE_RAILTYPE_OHLE]:[TRACK_TYPE_STANDARD_GAUGE_RAILTYPE_NONE]],_xlfn.LAMBDA(_xlpm.r,OR(_xlpm.r))),FALSE)</f>
        <v>1</v>
      </c>
      <c r="AF50" s="38" t="b" cm="1">
        <f t="array" ref="AF50">IFERROR(_xlfn.BYROW(TRACK_TYPES[[#This Row],[TRACK_TYPE_NARROW_GAUGE_RAILTYPE_OHLE]:[TRACK_TYPE_NARROW_GAUGE_RAILTYPE_NONE]],_xlfn.LAMBDA(_xlpm.r,OR(_xlpm.r))),FALSE)</f>
        <v>0</v>
      </c>
      <c r="AG50" s="38" t="b" cm="1">
        <f t="array" ref="AG50">IFERROR(_xlfn.BYROW(TRACK_TYPES[[#This Row],[TRACK_TYPE_BROAD_GAUGE_RAILTYPE_OHLE]:[TRACK_TYPE_BROAD_GAUGE_RAILTYPE_NONE]],_xlfn.LAMBDA(_xlpm.r,OR(_xlpm.r))),FALSE)</f>
        <v>0</v>
      </c>
      <c r="AH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"/>
      <c r="AQ50"/>
      <c r="AR50"/>
    </row>
    <row r="51" spans="1:44" x14ac:dyDescent="0.35">
      <c r="A51" s="2" t="s">
        <v>2695</v>
      </c>
      <c r="B51" s="40" t="str">
        <f>_xlfn.XLOOKUP(PROPERTIES[[#This Row],[VEHIDCODE]],CONTROL[VEHIDCODE],CONTROL[ENGLISH])</f>
        <v>Decauville Z 7100</v>
      </c>
      <c r="G51" t="b">
        <v>1</v>
      </c>
      <c r="AC51" s="2"/>
      <c r="AD51" s="2" t="b">
        <f>LEN(_xlfn.CONCAT(TRACK_TYPES[[#This Row],[TRACK_TYPE_STANDARD_GAUGE_RAILTYPE_OHLE]:[TRACK_TYPE_MTRO]]))&gt;0</f>
        <v>1</v>
      </c>
      <c r="AE51" s="38" t="b" cm="1">
        <f t="array" ref="AE51">IFERROR(_xlfn.BYROW(TRACK_TYPES[[#This Row],[TRACK_TYPE_STANDARD_GAUGE_RAILTYPE_OHLE]:[TRACK_TYPE_STANDARD_GAUGE_RAILTYPE_NONE]],_xlfn.LAMBDA(_xlpm.r,OR(_xlpm.r))),FALSE)</f>
        <v>1</v>
      </c>
      <c r="AF51" s="38" t="b" cm="1">
        <f t="array" ref="AF51">IFERROR(_xlfn.BYROW(TRACK_TYPES[[#This Row],[TRACK_TYPE_NARROW_GAUGE_RAILTYPE_OHLE]:[TRACK_TYPE_NARROW_GAUGE_RAILTYPE_NONE]],_xlfn.LAMBDA(_xlpm.r,OR(_xlpm.r))),FALSE)</f>
        <v>0</v>
      </c>
      <c r="AG51" s="38" t="b" cm="1">
        <f t="array" ref="AG51">IFERROR(_xlfn.BYROW(TRACK_TYPES[[#This Row],[TRACK_TYPE_BROAD_GAUGE_RAILTYPE_OHLE]:[TRACK_TYPE_BROAD_GAUGE_RAILTYPE_NONE]],_xlfn.LAMBDA(_xlpm.r,OR(_xlpm.r))),FALSE)</f>
        <v>0</v>
      </c>
      <c r="AH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"/>
      <c r="AQ51"/>
      <c r="AR51"/>
    </row>
    <row r="52" spans="1:44" x14ac:dyDescent="0.35">
      <c r="A52" s="2" t="s">
        <v>2696</v>
      </c>
      <c r="B52" s="40" t="str">
        <f>_xlfn.XLOOKUP(PROPERTIES[[#This Row],[VEHIDCODE]],CONTROL[VEHIDCODE],CONTROL[ENGLISH])</f>
        <v>HAWA/AEG Kleinbahn Nr. 1-3</v>
      </c>
      <c r="G52" t="b">
        <v>1</v>
      </c>
      <c r="AC52" s="2"/>
      <c r="AD52" s="2" t="b">
        <f>LEN(_xlfn.CONCAT(TRACK_TYPES[[#This Row],[TRACK_TYPE_STANDARD_GAUGE_RAILTYPE_OHLE]:[TRACK_TYPE_MTRO]]))&gt;0</f>
        <v>1</v>
      </c>
      <c r="AE52" s="38" t="b" cm="1">
        <f t="array" ref="AE52">IFERROR(_xlfn.BYROW(TRACK_TYPES[[#This Row],[TRACK_TYPE_STANDARD_GAUGE_RAILTYPE_OHLE]:[TRACK_TYPE_STANDARD_GAUGE_RAILTYPE_NONE]],_xlfn.LAMBDA(_xlpm.r,OR(_xlpm.r))),FALSE)</f>
        <v>1</v>
      </c>
      <c r="AF52" s="38" t="b" cm="1">
        <f t="array" ref="AF52">IFERROR(_xlfn.BYROW(TRACK_TYPES[[#This Row],[TRACK_TYPE_NARROW_GAUGE_RAILTYPE_OHLE]:[TRACK_TYPE_NARROW_GAUGE_RAILTYPE_NONE]],_xlfn.LAMBDA(_xlpm.r,OR(_xlpm.r))),FALSE)</f>
        <v>0</v>
      </c>
      <c r="AG52" s="38" t="b" cm="1">
        <f t="array" ref="AG52">IFERROR(_xlfn.BYROW(TRACK_TYPES[[#This Row],[TRACK_TYPE_BROAD_GAUGE_RAILTYPE_OHLE]:[TRACK_TYPE_BROAD_GAUGE_RAILTYPE_NONE]],_xlfn.LAMBDA(_xlpm.r,OR(_xlpm.r))),FALSE)</f>
        <v>0</v>
      </c>
      <c r="AH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"/>
      <c r="AQ52"/>
      <c r="AR52"/>
    </row>
    <row r="53" spans="1:44" x14ac:dyDescent="0.35">
      <c r="A53" s="2" t="s">
        <v>3471</v>
      </c>
      <c r="B53" s="40" t="str">
        <f>_xlfn.XLOOKUP(PROPERTIES[[#This Row],[VEHIDCODE]],CONTROL[VEHIDCODE],CONTROL[ENGLISH])</f>
        <v>RAW Schoneweide 479.201</v>
      </c>
      <c r="G53" t="b">
        <v>1</v>
      </c>
      <c r="AC53" s="2"/>
      <c r="AD53" s="2" t="b">
        <f>LEN(_xlfn.CONCAT(TRACK_TYPES[[#This Row],[TRACK_TYPE_STANDARD_GAUGE_RAILTYPE_OHLE]:[TRACK_TYPE_MTRO]]))&gt;0</f>
        <v>1</v>
      </c>
      <c r="AE53" s="38" t="b" cm="1">
        <f t="array" ref="AE53">IFERROR(_xlfn.BYROW(TRACK_TYPES[[#This Row],[TRACK_TYPE_STANDARD_GAUGE_RAILTYPE_OHLE]:[TRACK_TYPE_STANDARD_GAUGE_RAILTYPE_NONE]],_xlfn.LAMBDA(_xlpm.r,OR(_xlpm.r))),FALSE)</f>
        <v>1</v>
      </c>
      <c r="AF53" s="38" t="b" cm="1">
        <f t="array" ref="AF53">IFERROR(_xlfn.BYROW(TRACK_TYPES[[#This Row],[TRACK_TYPE_NARROW_GAUGE_RAILTYPE_OHLE]:[TRACK_TYPE_NARROW_GAUGE_RAILTYPE_NONE]],_xlfn.LAMBDA(_xlpm.r,OR(_xlpm.r))),FALSE)</f>
        <v>0</v>
      </c>
      <c r="AG53" s="38" t="b" cm="1">
        <f t="array" ref="AG53">IFERROR(_xlfn.BYROW(TRACK_TYPES[[#This Row],[TRACK_TYPE_BROAD_GAUGE_RAILTYPE_OHLE]:[TRACK_TYPE_BROAD_GAUGE_RAILTYPE_NONE]],_xlfn.LAMBDA(_xlpm.r,OR(_xlpm.r))),FALSE)</f>
        <v>0</v>
      </c>
      <c r="AH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"/>
      <c r="AQ53"/>
      <c r="AR53"/>
    </row>
    <row r="54" spans="1:44" x14ac:dyDescent="0.35">
      <c r="A54" s="2" t="s">
        <v>2697</v>
      </c>
      <c r="B54" s="40" t="str">
        <f>_xlfn.XLOOKUP(PROPERTIES[[#This Row],[VEHIDCODE]],CONTROL[VEHIDCODE],CONTROL[ENGLISH])</f>
        <v>Studenka 425.95</v>
      </c>
      <c r="O54" t="b">
        <v>1</v>
      </c>
      <c r="AC54" s="2"/>
      <c r="AD54" s="2" t="b">
        <f>LEN(_xlfn.CONCAT(TRACK_TYPES[[#This Row],[TRACK_TYPE_STANDARD_GAUGE_RAILTYPE_OHLE]:[TRACK_TYPE_MTRO]]))&gt;0</f>
        <v>1</v>
      </c>
      <c r="AE54" s="38" t="b" cm="1">
        <f t="array" ref="AE54">IFERROR(_xlfn.BYROW(TRACK_TYPES[[#This Row],[TRACK_TYPE_STANDARD_GAUGE_RAILTYPE_OHLE]:[TRACK_TYPE_STANDARD_GAUGE_RAILTYPE_NONE]],_xlfn.LAMBDA(_xlpm.r,OR(_xlpm.r))),FALSE)</f>
        <v>0</v>
      </c>
      <c r="AF54" s="38" t="b" cm="1">
        <f t="array" ref="AF54">IFERROR(_xlfn.BYROW(TRACK_TYPES[[#This Row],[TRACK_TYPE_NARROW_GAUGE_RAILTYPE_OHLE]:[TRACK_TYPE_NARROW_GAUGE_RAILTYPE_NONE]],_xlfn.LAMBDA(_xlpm.r,OR(_xlpm.r))),FALSE)</f>
        <v>1</v>
      </c>
      <c r="AG54" s="38" t="b" cm="1">
        <f t="array" ref="AG54">IFERROR(_xlfn.BYROW(TRACK_TYPES[[#This Row],[TRACK_TYPE_BROAD_GAUGE_RAILTYPE_OHLE]:[TRACK_TYPE_BROAD_GAUGE_RAILTYPE_NONE]],_xlfn.LAMBDA(_xlpm.r,OR(_xlpm.r))),FALSE)</f>
        <v>0</v>
      </c>
      <c r="AH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4"/>
      <c r="AQ54"/>
      <c r="AR54"/>
    </row>
    <row r="55" spans="1:44" x14ac:dyDescent="0.35">
      <c r="A55" s="2" t="s">
        <v>2698</v>
      </c>
      <c r="B55" s="40" t="str">
        <f>_xlfn.XLOOKUP(PROPERTIES[[#This Row],[VEHIDCODE]],CONTROL[VEHIDCODE],CONTROL[ENGLISH])</f>
        <v>Pozzuoli - OCREN OM ALe 840</v>
      </c>
      <c r="F55" t="b">
        <v>1</v>
      </c>
      <c r="AC55" s="2"/>
      <c r="AD55" s="2" t="b">
        <f>LEN(_xlfn.CONCAT(TRACK_TYPES[[#This Row],[TRACK_TYPE_STANDARD_GAUGE_RAILTYPE_OHLE]:[TRACK_TYPE_MTRO]]))&gt;0</f>
        <v>1</v>
      </c>
      <c r="AE55" s="38" t="b" cm="1">
        <f t="array" ref="AE55">IFERROR(_xlfn.BYROW(TRACK_TYPES[[#This Row],[TRACK_TYPE_STANDARD_GAUGE_RAILTYPE_OHLE]:[TRACK_TYPE_STANDARD_GAUGE_RAILTYPE_NONE]],_xlfn.LAMBDA(_xlpm.r,OR(_xlpm.r))),FALSE)</f>
        <v>1</v>
      </c>
      <c r="AF55" s="38" t="b" cm="1">
        <f t="array" ref="AF55">IFERROR(_xlfn.BYROW(TRACK_TYPES[[#This Row],[TRACK_TYPE_NARROW_GAUGE_RAILTYPE_OHLE]:[TRACK_TYPE_NARROW_GAUGE_RAILTYPE_NONE]],_xlfn.LAMBDA(_xlpm.r,OR(_xlpm.r))),FALSE)</f>
        <v>0</v>
      </c>
      <c r="AG55" s="38" t="b" cm="1">
        <f t="array" ref="AG55">IFERROR(_xlfn.BYROW(TRACK_TYPES[[#This Row],[TRACK_TYPE_BROAD_GAUGE_RAILTYPE_OHLE]:[TRACK_TYPE_BROAD_GAUGE_RAILTYPE_NONE]],_xlfn.LAMBDA(_xlpm.r,OR(_xlpm.r))),FALSE)</f>
        <v>0</v>
      </c>
      <c r="AH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"/>
      <c r="AQ55"/>
      <c r="AR55"/>
    </row>
    <row r="56" spans="1:44" x14ac:dyDescent="0.35">
      <c r="A56" s="2" t="s">
        <v>2699</v>
      </c>
      <c r="B56" s="40" t="str">
        <f>_xlfn.XLOOKUP(PROPERTIES[[#This Row],[VEHIDCODE]],CONTROL[VEHIDCODE],CONTROL[ENGLISH])</f>
        <v>Stanga ALe 80</v>
      </c>
      <c r="F56" t="b">
        <v>1</v>
      </c>
      <c r="AC56" s="2"/>
      <c r="AD56" s="2" t="b">
        <f>LEN(_xlfn.CONCAT(TRACK_TYPES[[#This Row],[TRACK_TYPE_STANDARD_GAUGE_RAILTYPE_OHLE]:[TRACK_TYPE_MTRO]]))&gt;0</f>
        <v>1</v>
      </c>
      <c r="AE56" s="38" t="b" cm="1">
        <f t="array" ref="AE56">IFERROR(_xlfn.BYROW(TRACK_TYPES[[#This Row],[TRACK_TYPE_STANDARD_GAUGE_RAILTYPE_OHLE]:[TRACK_TYPE_STANDARD_GAUGE_RAILTYPE_NONE]],_xlfn.LAMBDA(_xlpm.r,OR(_xlpm.r))),FALSE)</f>
        <v>1</v>
      </c>
      <c r="AF56" s="38" t="b" cm="1">
        <f t="array" ref="AF56">IFERROR(_xlfn.BYROW(TRACK_TYPES[[#This Row],[TRACK_TYPE_NARROW_GAUGE_RAILTYPE_OHLE]:[TRACK_TYPE_NARROW_GAUGE_RAILTYPE_NONE]],_xlfn.LAMBDA(_xlpm.r,OR(_xlpm.r))),FALSE)</f>
        <v>0</v>
      </c>
      <c r="AG56" s="38" t="b" cm="1">
        <f t="array" ref="AG56">IFERROR(_xlfn.BYROW(TRACK_TYPES[[#This Row],[TRACK_TYPE_BROAD_GAUGE_RAILTYPE_OHLE]:[TRACK_TYPE_BROAD_GAUGE_RAILTYPE_NONE]],_xlfn.LAMBDA(_xlpm.r,OR(_xlpm.r))),FALSE)</f>
        <v>0</v>
      </c>
      <c r="AH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"/>
      <c r="AQ56"/>
      <c r="AR56"/>
    </row>
    <row r="57" spans="1:44" x14ac:dyDescent="0.35">
      <c r="A57" s="2" t="s">
        <v>2700</v>
      </c>
      <c r="B57" s="40" t="str">
        <f>_xlfn.XLOOKUP(PROPERTIES[[#This Row],[VEHIDCODE]],CONTROL[VEHIDCODE],CONTROL[ENGLISH])</f>
        <v>FS E.623</v>
      </c>
      <c r="F57" t="b">
        <v>1</v>
      </c>
      <c r="AC57" s="2"/>
      <c r="AD57" s="2" t="b">
        <f>LEN(_xlfn.CONCAT(TRACK_TYPES[[#This Row],[TRACK_TYPE_STANDARD_GAUGE_RAILTYPE_OHLE]:[TRACK_TYPE_MTRO]]))&gt;0</f>
        <v>1</v>
      </c>
      <c r="AE57" s="38" t="b" cm="1">
        <f t="array" ref="AE57">IFERROR(_xlfn.BYROW(TRACK_TYPES[[#This Row],[TRACK_TYPE_STANDARD_GAUGE_RAILTYPE_OHLE]:[TRACK_TYPE_STANDARD_GAUGE_RAILTYPE_NONE]],_xlfn.LAMBDA(_xlpm.r,OR(_xlpm.r))),FALSE)</f>
        <v>1</v>
      </c>
      <c r="AF57" s="38" t="b" cm="1">
        <f t="array" ref="AF57">IFERROR(_xlfn.BYROW(TRACK_TYPES[[#This Row],[TRACK_TYPE_NARROW_GAUGE_RAILTYPE_OHLE]:[TRACK_TYPE_NARROW_GAUGE_RAILTYPE_NONE]],_xlfn.LAMBDA(_xlpm.r,OR(_xlpm.r))),FALSE)</f>
        <v>0</v>
      </c>
      <c r="AG57" s="38" t="b" cm="1">
        <f t="array" ref="AG57">IFERROR(_xlfn.BYROW(TRACK_TYPES[[#This Row],[TRACK_TYPE_BROAD_GAUGE_RAILTYPE_OHLE]:[TRACK_TYPE_BROAD_GAUGE_RAILTYPE_NONE]],_xlfn.LAMBDA(_xlpm.r,OR(_xlpm.r))),FALSE)</f>
        <v>0</v>
      </c>
      <c r="AH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7"/>
      <c r="AQ57"/>
      <c r="AR57"/>
    </row>
    <row r="58" spans="1:44" x14ac:dyDescent="0.35">
      <c r="A58" s="2" t="s">
        <v>2701</v>
      </c>
      <c r="B58" s="40" t="str">
        <f>_xlfn.XLOOKUP(PROPERTIES[[#This Row],[VEHIDCODE]],CONTROL[VEHIDCODE],CONTROL[ENGLISH])</f>
        <v>ONCF ZAB1000</v>
      </c>
      <c r="F58" t="b">
        <v>1</v>
      </c>
      <c r="AC58" s="2"/>
      <c r="AD58" s="2" t="b">
        <f>LEN(_xlfn.CONCAT(TRACK_TYPES[[#This Row],[TRACK_TYPE_STANDARD_GAUGE_RAILTYPE_OHLE]:[TRACK_TYPE_MTRO]]))&gt;0</f>
        <v>1</v>
      </c>
      <c r="AE58" s="38" t="b" cm="1">
        <f t="array" ref="AE58">IFERROR(_xlfn.BYROW(TRACK_TYPES[[#This Row],[TRACK_TYPE_STANDARD_GAUGE_RAILTYPE_OHLE]:[TRACK_TYPE_STANDARD_GAUGE_RAILTYPE_NONE]],_xlfn.LAMBDA(_xlpm.r,OR(_xlpm.r))),FALSE)</f>
        <v>1</v>
      </c>
      <c r="AF58" s="38" t="b" cm="1">
        <f t="array" ref="AF58">IFERROR(_xlfn.BYROW(TRACK_TYPES[[#This Row],[TRACK_TYPE_NARROW_GAUGE_RAILTYPE_OHLE]:[TRACK_TYPE_NARROW_GAUGE_RAILTYPE_NONE]],_xlfn.LAMBDA(_xlpm.r,OR(_xlpm.r))),FALSE)</f>
        <v>0</v>
      </c>
      <c r="AG58" s="38" t="b" cm="1">
        <f t="array" ref="AG58">IFERROR(_xlfn.BYROW(TRACK_TYPES[[#This Row],[TRACK_TYPE_BROAD_GAUGE_RAILTYPE_OHLE]:[TRACK_TYPE_BROAD_GAUGE_RAILTYPE_NONE]],_xlfn.LAMBDA(_xlpm.r,OR(_xlpm.r))),FALSE)</f>
        <v>0</v>
      </c>
      <c r="AH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8"/>
      <c r="AQ58"/>
      <c r="AR58"/>
    </row>
    <row r="59" spans="1:44" x14ac:dyDescent="0.35">
      <c r="A59" s="2" t="s">
        <v>2702</v>
      </c>
      <c r="B59" s="40" t="str">
        <f>_xlfn.XLOOKUP(PROPERTIES[[#This Row],[VEHIDCODE]],CONTROL[VEHIDCODE],CONTROL[ENGLISH])</f>
        <v>Pesa 308B</v>
      </c>
      <c r="F59" t="b">
        <v>1</v>
      </c>
      <c r="AC59" s="2"/>
      <c r="AD59" s="2" t="b">
        <f>LEN(_xlfn.CONCAT(TRACK_TYPES[[#This Row],[TRACK_TYPE_STANDARD_GAUGE_RAILTYPE_OHLE]:[TRACK_TYPE_MTRO]]))&gt;0</f>
        <v>1</v>
      </c>
      <c r="AE59" s="38" t="b" cm="1">
        <f t="array" ref="AE59">IFERROR(_xlfn.BYROW(TRACK_TYPES[[#This Row],[TRACK_TYPE_STANDARD_GAUGE_RAILTYPE_OHLE]:[TRACK_TYPE_STANDARD_GAUGE_RAILTYPE_NONE]],_xlfn.LAMBDA(_xlpm.r,OR(_xlpm.r))),FALSE)</f>
        <v>1</v>
      </c>
      <c r="AF59" s="38" t="b" cm="1">
        <f t="array" ref="AF59">IFERROR(_xlfn.BYROW(TRACK_TYPES[[#This Row],[TRACK_TYPE_NARROW_GAUGE_RAILTYPE_OHLE]:[TRACK_TYPE_NARROW_GAUGE_RAILTYPE_NONE]],_xlfn.LAMBDA(_xlpm.r,OR(_xlpm.r))),FALSE)</f>
        <v>0</v>
      </c>
      <c r="AG59" s="38" t="b" cm="1">
        <f t="array" ref="AG59">IFERROR(_xlfn.BYROW(TRACK_TYPES[[#This Row],[TRACK_TYPE_BROAD_GAUGE_RAILTYPE_OHLE]:[TRACK_TYPE_BROAD_GAUGE_RAILTYPE_NONE]],_xlfn.LAMBDA(_xlpm.r,OR(_xlpm.r))),FALSE)</f>
        <v>0</v>
      </c>
      <c r="AH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9"/>
      <c r="AQ59"/>
      <c r="AR59"/>
    </row>
    <row r="60" spans="1:44" x14ac:dyDescent="0.35">
      <c r="A60" s="2" t="s">
        <v>2703</v>
      </c>
      <c r="B60" s="40" t="str">
        <f>_xlfn.XLOOKUP(PROPERTIES[[#This Row],[VEHIDCODE]],CONTROL[VEHIDCODE],CONTROL[ENGLISH])</f>
        <v>Franz Knotz 4855</v>
      </c>
      <c r="E60" t="b">
        <v>1</v>
      </c>
      <c r="AC60" s="2"/>
      <c r="AD60" s="2" t="b">
        <f>LEN(_xlfn.CONCAT(TRACK_TYPES[[#This Row],[TRACK_TYPE_STANDARD_GAUGE_RAILTYPE_OHLE]:[TRACK_TYPE_MTRO]]))&gt;0</f>
        <v>1</v>
      </c>
      <c r="AE60" s="38" t="b" cm="1">
        <f t="array" ref="AE60">IFERROR(_xlfn.BYROW(TRACK_TYPES[[#This Row],[TRACK_TYPE_STANDARD_GAUGE_RAILTYPE_OHLE]:[TRACK_TYPE_STANDARD_GAUGE_RAILTYPE_NONE]],_xlfn.LAMBDA(_xlpm.r,OR(_xlpm.r))),FALSE)</f>
        <v>1</v>
      </c>
      <c r="AF60" s="38" t="b" cm="1">
        <f t="array" ref="AF60">IFERROR(_xlfn.BYROW(TRACK_TYPES[[#This Row],[TRACK_TYPE_NARROW_GAUGE_RAILTYPE_OHLE]:[TRACK_TYPE_NARROW_GAUGE_RAILTYPE_NONE]],_xlfn.LAMBDA(_xlpm.r,OR(_xlpm.r))),FALSE)</f>
        <v>0</v>
      </c>
      <c r="AG60" s="38" t="b" cm="1">
        <f t="array" ref="AG60">IFERROR(_xlfn.BYROW(TRACK_TYPES[[#This Row],[TRACK_TYPE_BROAD_GAUGE_RAILTYPE_OHLE]:[TRACK_TYPE_BROAD_GAUGE_RAILTYPE_NONE]],_xlfn.LAMBDA(_xlpm.r,OR(_xlpm.r))),FALSE)</f>
        <v>0</v>
      </c>
      <c r="AH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0"/>
      <c r="AQ60"/>
      <c r="AR60"/>
    </row>
    <row r="61" spans="1:44" x14ac:dyDescent="0.35">
      <c r="A61" s="2" t="s">
        <v>2704</v>
      </c>
      <c r="B61" s="40" t="str">
        <f>_xlfn.XLOOKUP(PROPERTIES[[#This Row],[VEHIDCODE]],CONTROL[VEHIDCODE],CONTROL[ENGLISH])</f>
        <v>Lindner/Talbot ET 10.109</v>
      </c>
      <c r="E61" t="b">
        <v>1</v>
      </c>
      <c r="AC61" s="2"/>
      <c r="AD61" s="2" t="b">
        <f>LEN(_xlfn.CONCAT(TRACK_TYPES[[#This Row],[TRACK_TYPE_STANDARD_GAUGE_RAILTYPE_OHLE]:[TRACK_TYPE_MTRO]]))&gt;0</f>
        <v>1</v>
      </c>
      <c r="AE61" s="38" t="b" cm="1">
        <f t="array" ref="AE61">IFERROR(_xlfn.BYROW(TRACK_TYPES[[#This Row],[TRACK_TYPE_STANDARD_GAUGE_RAILTYPE_OHLE]:[TRACK_TYPE_STANDARD_GAUGE_RAILTYPE_NONE]],_xlfn.LAMBDA(_xlpm.r,OR(_xlpm.r))),FALSE)</f>
        <v>1</v>
      </c>
      <c r="AF61" s="38" t="b" cm="1">
        <f t="array" ref="AF61">IFERROR(_xlfn.BYROW(TRACK_TYPES[[#This Row],[TRACK_TYPE_NARROW_GAUGE_RAILTYPE_OHLE]:[TRACK_TYPE_NARROW_GAUGE_RAILTYPE_NONE]],_xlfn.LAMBDA(_xlpm.r,OR(_xlpm.r))),FALSE)</f>
        <v>0</v>
      </c>
      <c r="AG61" s="38" t="b" cm="1">
        <f t="array" ref="AG61">IFERROR(_xlfn.BYROW(TRACK_TYPES[[#This Row],[TRACK_TYPE_BROAD_GAUGE_RAILTYPE_OHLE]:[TRACK_TYPE_BROAD_GAUGE_RAILTYPE_NONE]],_xlfn.LAMBDA(_xlpm.r,OR(_xlpm.r))),FALSE)</f>
        <v>0</v>
      </c>
      <c r="AH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1"/>
      <c r="AQ61"/>
      <c r="AR61"/>
    </row>
    <row r="62" spans="1:44" x14ac:dyDescent="0.35">
      <c r="A62" s="2" t="s">
        <v>2705</v>
      </c>
      <c r="B62" s="40" t="str">
        <f>_xlfn.XLOOKUP(PROPERTIES[[#This Row],[VEHIDCODE]],CONTROL[VEHIDCODE],CONTROL[ENGLISH])</f>
        <v>Waggonfabrik Fuchs ET 85</v>
      </c>
      <c r="E62" t="b">
        <v>1</v>
      </c>
      <c r="AC62" s="2"/>
      <c r="AD62" s="2" t="b">
        <f>LEN(_xlfn.CONCAT(TRACK_TYPES[[#This Row],[TRACK_TYPE_STANDARD_GAUGE_RAILTYPE_OHLE]:[TRACK_TYPE_MTRO]]))&gt;0</f>
        <v>1</v>
      </c>
      <c r="AE62" s="38" t="b" cm="1">
        <f t="array" ref="AE62">IFERROR(_xlfn.BYROW(TRACK_TYPES[[#This Row],[TRACK_TYPE_STANDARD_GAUGE_RAILTYPE_OHLE]:[TRACK_TYPE_STANDARD_GAUGE_RAILTYPE_NONE]],_xlfn.LAMBDA(_xlpm.r,OR(_xlpm.r))),FALSE)</f>
        <v>1</v>
      </c>
      <c r="AF62" s="38" t="b" cm="1">
        <f t="array" ref="AF62">IFERROR(_xlfn.BYROW(TRACK_TYPES[[#This Row],[TRACK_TYPE_NARROW_GAUGE_RAILTYPE_OHLE]:[TRACK_TYPE_NARROW_GAUGE_RAILTYPE_NONE]],_xlfn.LAMBDA(_xlpm.r,OR(_xlpm.r))),FALSE)</f>
        <v>0</v>
      </c>
      <c r="AG62" s="38" t="b" cm="1">
        <f t="array" ref="AG62">IFERROR(_xlfn.BYROW(TRACK_TYPES[[#This Row],[TRACK_TYPE_BROAD_GAUGE_RAILTYPE_OHLE]:[TRACK_TYPE_BROAD_GAUGE_RAILTYPE_NONE]],_xlfn.LAMBDA(_xlpm.r,OR(_xlpm.r))),FALSE)</f>
        <v>0</v>
      </c>
      <c r="AH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2"/>
      <c r="AQ62"/>
      <c r="AR62"/>
    </row>
    <row r="63" spans="1:44" x14ac:dyDescent="0.35">
      <c r="A63" s="2" t="s">
        <v>2706</v>
      </c>
      <c r="B63" s="40" t="str">
        <f>_xlfn.XLOOKUP(PROPERTIES[[#This Row],[VEHIDCODE]],CONTROL[VEHIDCODE],CONTROL[ENGLISH])</f>
        <v>ASJ Y6</v>
      </c>
      <c r="E63" t="b">
        <v>1</v>
      </c>
      <c r="AC63" s="2"/>
      <c r="AD63" s="2" t="b">
        <f>LEN(_xlfn.CONCAT(TRACK_TYPES[[#This Row],[TRACK_TYPE_STANDARD_GAUGE_RAILTYPE_OHLE]:[TRACK_TYPE_MTRO]]))&gt;0</f>
        <v>1</v>
      </c>
      <c r="AE63" s="38" t="b" cm="1">
        <f t="array" ref="AE63">IFERROR(_xlfn.BYROW(TRACK_TYPES[[#This Row],[TRACK_TYPE_STANDARD_GAUGE_RAILTYPE_OHLE]:[TRACK_TYPE_STANDARD_GAUGE_RAILTYPE_NONE]],_xlfn.LAMBDA(_xlpm.r,OR(_xlpm.r))),FALSE)</f>
        <v>1</v>
      </c>
      <c r="AF63" s="38" t="b" cm="1">
        <f t="array" ref="AF63">IFERROR(_xlfn.BYROW(TRACK_TYPES[[#This Row],[TRACK_TYPE_NARROW_GAUGE_RAILTYPE_OHLE]:[TRACK_TYPE_NARROW_GAUGE_RAILTYPE_NONE]],_xlfn.LAMBDA(_xlpm.r,OR(_xlpm.r))),FALSE)</f>
        <v>0</v>
      </c>
      <c r="AG63" s="38" t="b" cm="1">
        <f t="array" ref="AG63">IFERROR(_xlfn.BYROW(TRACK_TYPES[[#This Row],[TRACK_TYPE_BROAD_GAUGE_RAILTYPE_OHLE]:[TRACK_TYPE_BROAD_GAUGE_RAILTYPE_NONE]],_xlfn.LAMBDA(_xlpm.r,OR(_xlpm.r))),FALSE)</f>
        <v>0</v>
      </c>
      <c r="AH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3"/>
      <c r="AQ63"/>
      <c r="AR63"/>
    </row>
    <row r="64" spans="1:44" x14ac:dyDescent="0.35">
      <c r="A64" s="2" t="s">
        <v>2707</v>
      </c>
      <c r="B64" s="40" t="str">
        <f>_xlfn.XLOOKUP(PROPERTIES[[#This Row],[VEHIDCODE]],CONTROL[VEHIDCODE],CONTROL[ENGLISH])</f>
        <v>Budd Silverliner II</v>
      </c>
      <c r="D64" t="b">
        <v>1</v>
      </c>
      <c r="E64" t="b">
        <v>1</v>
      </c>
      <c r="AC64" s="2"/>
      <c r="AD64" s="2" t="b">
        <f>LEN(_xlfn.CONCAT(TRACK_TYPES[[#This Row],[TRACK_TYPE_STANDARD_GAUGE_RAILTYPE_OHLE]:[TRACK_TYPE_MTRO]]))&gt;0</f>
        <v>1</v>
      </c>
      <c r="AE64" s="38" t="b" cm="1">
        <f t="array" ref="AE64">IFERROR(_xlfn.BYROW(TRACK_TYPES[[#This Row],[TRACK_TYPE_STANDARD_GAUGE_RAILTYPE_OHLE]:[TRACK_TYPE_STANDARD_GAUGE_RAILTYPE_NONE]],_xlfn.LAMBDA(_xlpm.r,OR(_xlpm.r))),FALSE)</f>
        <v>1</v>
      </c>
      <c r="AF64" s="38" t="b" cm="1">
        <f t="array" ref="AF64">IFERROR(_xlfn.BYROW(TRACK_TYPES[[#This Row],[TRACK_TYPE_NARROW_GAUGE_RAILTYPE_OHLE]:[TRACK_TYPE_NARROW_GAUGE_RAILTYPE_NONE]],_xlfn.LAMBDA(_xlpm.r,OR(_xlpm.r))),FALSE)</f>
        <v>0</v>
      </c>
      <c r="AG64" s="38" t="b" cm="1">
        <f t="array" ref="AG64">IFERROR(_xlfn.BYROW(TRACK_TYPES[[#This Row],[TRACK_TYPE_BROAD_GAUGE_RAILTYPE_OHLE]:[TRACK_TYPE_BROAD_GAUGE_RAILTYPE_NONE]],_xlfn.LAMBDA(_xlpm.r,OR(_xlpm.r))),FALSE)</f>
        <v>0</v>
      </c>
      <c r="AH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4"/>
      <c r="AQ64"/>
      <c r="AR64"/>
    </row>
    <row r="65" spans="1:44" x14ac:dyDescent="0.35">
      <c r="A65" s="2" t="s">
        <v>2708</v>
      </c>
      <c r="B65" s="40" t="str">
        <f>_xlfn.XLOOKUP(PROPERTIES[[#This Row],[VEHIDCODE]],CONTROL[VEHIDCODE],CONTROL[ENGLISH])</f>
        <v>Hyundai Rotem Silverliner V</v>
      </c>
      <c r="D65" t="b">
        <v>1</v>
      </c>
      <c r="E65" t="b">
        <v>1</v>
      </c>
      <c r="AC65" s="2"/>
      <c r="AD65" s="2" t="b">
        <f>LEN(_xlfn.CONCAT(TRACK_TYPES[[#This Row],[TRACK_TYPE_STANDARD_GAUGE_RAILTYPE_OHLE]:[TRACK_TYPE_MTRO]]))&gt;0</f>
        <v>1</v>
      </c>
      <c r="AE65" s="38" t="b" cm="1">
        <f t="array" ref="AE65">IFERROR(_xlfn.BYROW(TRACK_TYPES[[#This Row],[TRACK_TYPE_STANDARD_GAUGE_RAILTYPE_OHLE]:[TRACK_TYPE_STANDARD_GAUGE_RAILTYPE_NONE]],_xlfn.LAMBDA(_xlpm.r,OR(_xlpm.r))),FALSE)</f>
        <v>1</v>
      </c>
      <c r="AF65" s="38" t="b" cm="1">
        <f t="array" ref="AF65">IFERROR(_xlfn.BYROW(TRACK_TYPES[[#This Row],[TRACK_TYPE_NARROW_GAUGE_RAILTYPE_OHLE]:[TRACK_TYPE_NARROW_GAUGE_RAILTYPE_NONE]],_xlfn.LAMBDA(_xlpm.r,OR(_xlpm.r))),FALSE)</f>
        <v>0</v>
      </c>
      <c r="AG65" s="38" t="b" cm="1">
        <f t="array" ref="AG65">IFERROR(_xlfn.BYROW(TRACK_TYPES[[#This Row],[TRACK_TYPE_BROAD_GAUGE_RAILTYPE_OHLE]:[TRACK_TYPE_BROAD_GAUGE_RAILTYPE_NONE]],_xlfn.LAMBDA(_xlpm.r,OR(_xlpm.r))),FALSE)</f>
        <v>0</v>
      </c>
      <c r="AH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"/>
      <c r="AQ65"/>
      <c r="AR65"/>
    </row>
    <row r="66" spans="1:44" x14ac:dyDescent="0.35">
      <c r="A66" s="2" t="s">
        <v>2709</v>
      </c>
      <c r="B66" s="40" t="str">
        <f>_xlfn.XLOOKUP(PROPERTIES[[#This Row],[VEHIDCODE]],CONTROL[VEHIDCODE],CONTROL[ENGLISH])</f>
        <v>John Cockerill &amp; Cie. Le Belge</v>
      </c>
      <c r="J66" s="2" t="b">
        <v>1</v>
      </c>
      <c r="AC66" s="2"/>
      <c r="AD66" s="2" t="b">
        <f>LEN(_xlfn.CONCAT(TRACK_TYPES[[#This Row],[TRACK_TYPE_STANDARD_GAUGE_RAILTYPE_OHLE]:[TRACK_TYPE_MTRO]]))&gt;0</f>
        <v>1</v>
      </c>
      <c r="AE66" s="38" t="b" cm="1">
        <f t="array" ref="AE66">IFERROR(_xlfn.BYROW(TRACK_TYPES[[#This Row],[TRACK_TYPE_STANDARD_GAUGE_RAILTYPE_OHLE]:[TRACK_TYPE_STANDARD_GAUGE_RAILTYPE_NONE]],_xlfn.LAMBDA(_xlpm.r,OR(_xlpm.r))),FALSE)</f>
        <v>1</v>
      </c>
      <c r="AF66" s="38" t="b" cm="1">
        <f t="array" ref="AF66">IFERROR(_xlfn.BYROW(TRACK_TYPES[[#This Row],[TRACK_TYPE_NARROW_GAUGE_RAILTYPE_OHLE]:[TRACK_TYPE_NARROW_GAUGE_RAILTYPE_NONE]],_xlfn.LAMBDA(_xlpm.r,OR(_xlpm.r))),FALSE)</f>
        <v>0</v>
      </c>
      <c r="AG66" s="38" t="b" cm="1">
        <f t="array" ref="AG66">IFERROR(_xlfn.BYROW(TRACK_TYPES[[#This Row],[TRACK_TYPE_BROAD_GAUGE_RAILTYPE_OHLE]:[TRACK_TYPE_BROAD_GAUGE_RAILTYPE_NONE]],_xlfn.LAMBDA(_xlpm.r,OR(_xlpm.r))),FALSE)</f>
        <v>0</v>
      </c>
      <c r="AH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"/>
      <c r="AQ66"/>
      <c r="AR66"/>
    </row>
    <row r="67" spans="1:44" x14ac:dyDescent="0.35">
      <c r="A67" s="2" t="s">
        <v>2710</v>
      </c>
      <c r="B67" s="40" t="str">
        <f>_xlfn.XLOOKUP(PROPERTIES[[#This Row],[VEHIDCODE]],CONTROL[VEHIDCODE],CONTROL[ENGLISH])</f>
        <v>Breese, Kneeland &amp; Co. 4-4-0 'No 1'</v>
      </c>
      <c r="J67" s="2" t="b">
        <v>1</v>
      </c>
      <c r="AC67" s="2"/>
      <c r="AD67" s="2" t="b">
        <f>LEN(_xlfn.CONCAT(TRACK_TYPES[[#This Row],[TRACK_TYPE_STANDARD_GAUGE_RAILTYPE_OHLE]:[TRACK_TYPE_MTRO]]))&gt;0</f>
        <v>1</v>
      </c>
      <c r="AE67" s="38" t="b" cm="1">
        <f t="array" ref="AE67">IFERROR(_xlfn.BYROW(TRACK_TYPES[[#This Row],[TRACK_TYPE_STANDARD_GAUGE_RAILTYPE_OHLE]:[TRACK_TYPE_STANDARD_GAUGE_RAILTYPE_NONE]],_xlfn.LAMBDA(_xlpm.r,OR(_xlpm.r))),FALSE)</f>
        <v>1</v>
      </c>
      <c r="AF67" s="38" t="b" cm="1">
        <f t="array" ref="AF67">IFERROR(_xlfn.BYROW(TRACK_TYPES[[#This Row],[TRACK_TYPE_NARROW_GAUGE_RAILTYPE_OHLE]:[TRACK_TYPE_NARROW_GAUGE_RAILTYPE_NONE]],_xlfn.LAMBDA(_xlpm.r,OR(_xlpm.r))),FALSE)</f>
        <v>0</v>
      </c>
      <c r="AG67" s="38" t="b" cm="1">
        <f t="array" ref="AG67">IFERROR(_xlfn.BYROW(TRACK_TYPES[[#This Row],[TRACK_TYPE_BROAD_GAUGE_RAILTYPE_OHLE]:[TRACK_TYPE_BROAD_GAUGE_RAILTYPE_NONE]],_xlfn.LAMBDA(_xlpm.r,OR(_xlpm.r))),FALSE)</f>
        <v>0</v>
      </c>
      <c r="AH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"/>
      <c r="AQ67"/>
      <c r="AR67"/>
    </row>
    <row r="68" spans="1:44" x14ac:dyDescent="0.35">
      <c r="A68" s="2" t="s">
        <v>2711</v>
      </c>
      <c r="B68" s="40" t="str">
        <f>_xlfn.XLOOKUP(PROPERTIES[[#This Row],[VEHIDCODE]],CONTROL[VEHIDCODE],CONTROL[ENGLISH])</f>
        <v>Esslingen Ec 2/5</v>
      </c>
      <c r="J68" s="2" t="b">
        <v>1</v>
      </c>
      <c r="AC68" s="2"/>
      <c r="AD68" s="2" t="b">
        <f>LEN(_xlfn.CONCAT(TRACK_TYPES[[#This Row],[TRACK_TYPE_STANDARD_GAUGE_RAILTYPE_OHLE]:[TRACK_TYPE_MTRO]]))&gt;0</f>
        <v>1</v>
      </c>
      <c r="AE68" s="38" t="b" cm="1">
        <f t="array" ref="AE68">IFERROR(_xlfn.BYROW(TRACK_TYPES[[#This Row],[TRACK_TYPE_STANDARD_GAUGE_RAILTYPE_OHLE]:[TRACK_TYPE_STANDARD_GAUGE_RAILTYPE_NONE]],_xlfn.LAMBDA(_xlpm.r,OR(_xlpm.r))),FALSE)</f>
        <v>1</v>
      </c>
      <c r="AF68" s="38" t="b" cm="1">
        <f t="array" ref="AF68">IFERROR(_xlfn.BYROW(TRACK_TYPES[[#This Row],[TRACK_TYPE_NARROW_GAUGE_RAILTYPE_OHLE]:[TRACK_TYPE_NARROW_GAUGE_RAILTYPE_NONE]],_xlfn.LAMBDA(_xlpm.r,OR(_xlpm.r))),FALSE)</f>
        <v>0</v>
      </c>
      <c r="AG68" s="38" t="b" cm="1">
        <f t="array" ref="AG68">IFERROR(_xlfn.BYROW(TRACK_TYPES[[#This Row],[TRACK_TYPE_BROAD_GAUGE_RAILTYPE_OHLE]:[TRACK_TYPE_BROAD_GAUGE_RAILTYPE_NONE]],_xlfn.LAMBDA(_xlpm.r,OR(_xlpm.r))),FALSE)</f>
        <v>0</v>
      </c>
      <c r="AH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"/>
      <c r="AQ68"/>
      <c r="AR68"/>
    </row>
    <row r="69" spans="1:44" x14ac:dyDescent="0.35">
      <c r="A69" s="2" t="s">
        <v>2712</v>
      </c>
      <c r="B69" s="40" t="str">
        <f>_xlfn.XLOOKUP(PROPERTIES[[#This Row],[VEHIDCODE]],CONTROL[VEHIDCODE],CONTROL[ENGLISH])</f>
        <v>Baldwin Class D 4-6-0 'Ten-wheeler'</v>
      </c>
      <c r="J69" s="2" t="b">
        <v>1</v>
      </c>
      <c r="AC69" s="2"/>
      <c r="AD69" s="2" t="b">
        <f>LEN(_xlfn.CONCAT(TRACK_TYPES[[#This Row],[TRACK_TYPE_STANDARD_GAUGE_RAILTYPE_OHLE]:[TRACK_TYPE_MTRO]]))&gt;0</f>
        <v>1</v>
      </c>
      <c r="AE69" s="38" t="b" cm="1">
        <f t="array" ref="AE69">IFERROR(_xlfn.BYROW(TRACK_TYPES[[#This Row],[TRACK_TYPE_STANDARD_GAUGE_RAILTYPE_OHLE]:[TRACK_TYPE_STANDARD_GAUGE_RAILTYPE_NONE]],_xlfn.LAMBDA(_xlpm.r,OR(_xlpm.r))),FALSE)</f>
        <v>1</v>
      </c>
      <c r="AF69" s="38" t="b" cm="1">
        <f t="array" ref="AF69">IFERROR(_xlfn.BYROW(TRACK_TYPES[[#This Row],[TRACK_TYPE_NARROW_GAUGE_RAILTYPE_OHLE]:[TRACK_TYPE_NARROW_GAUGE_RAILTYPE_NONE]],_xlfn.LAMBDA(_xlpm.r,OR(_xlpm.r))),FALSE)</f>
        <v>0</v>
      </c>
      <c r="AG69" s="38" t="b" cm="1">
        <f t="array" ref="AG69">IFERROR(_xlfn.BYROW(TRACK_TYPES[[#This Row],[TRACK_TYPE_BROAD_GAUGE_RAILTYPE_OHLE]:[TRACK_TYPE_BROAD_GAUGE_RAILTYPE_NONE]],_xlfn.LAMBDA(_xlpm.r,OR(_xlpm.r))),FALSE)</f>
        <v>0</v>
      </c>
      <c r="AH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"/>
      <c r="AQ69"/>
      <c r="AR69"/>
    </row>
    <row r="70" spans="1:44" x14ac:dyDescent="0.35">
      <c r="A70" s="2" t="s">
        <v>2713</v>
      </c>
      <c r="B70" s="40" t="str">
        <f>_xlfn.XLOOKUP(PROPERTIES[[#This Row],[VEHIDCODE]],CONTROL[VEHIDCODE],CONTROL[ENGLISH])</f>
        <v>Baldwin 2-8-0 'Consolidation'</v>
      </c>
      <c r="J70" s="2" t="b">
        <v>1</v>
      </c>
      <c r="AC70" s="2"/>
      <c r="AD70" s="2" t="b">
        <f>LEN(_xlfn.CONCAT(TRACK_TYPES[[#This Row],[TRACK_TYPE_STANDARD_GAUGE_RAILTYPE_OHLE]:[TRACK_TYPE_MTRO]]))&gt;0</f>
        <v>1</v>
      </c>
      <c r="AE70" s="38" t="b" cm="1">
        <f t="array" ref="AE70">IFERROR(_xlfn.BYROW(TRACK_TYPES[[#This Row],[TRACK_TYPE_STANDARD_GAUGE_RAILTYPE_OHLE]:[TRACK_TYPE_STANDARD_GAUGE_RAILTYPE_NONE]],_xlfn.LAMBDA(_xlpm.r,OR(_xlpm.r))),FALSE)</f>
        <v>1</v>
      </c>
      <c r="AF70" s="38" t="b" cm="1">
        <f t="array" ref="AF70">IFERROR(_xlfn.BYROW(TRACK_TYPES[[#This Row],[TRACK_TYPE_NARROW_GAUGE_RAILTYPE_OHLE]:[TRACK_TYPE_NARROW_GAUGE_RAILTYPE_NONE]],_xlfn.LAMBDA(_xlpm.r,OR(_xlpm.r))),FALSE)</f>
        <v>0</v>
      </c>
      <c r="AG70" s="38" t="b" cm="1">
        <f t="array" ref="AG70">IFERROR(_xlfn.BYROW(TRACK_TYPES[[#This Row],[TRACK_TYPE_BROAD_GAUGE_RAILTYPE_OHLE]:[TRACK_TYPE_BROAD_GAUGE_RAILTYPE_NONE]],_xlfn.LAMBDA(_xlpm.r,OR(_xlpm.r))),FALSE)</f>
        <v>0</v>
      </c>
      <c r="AH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"/>
      <c r="AQ70"/>
      <c r="AR70"/>
    </row>
    <row r="71" spans="1:44" x14ac:dyDescent="0.35">
      <c r="A71" s="2" t="s">
        <v>2714</v>
      </c>
      <c r="B71" s="40" t="str">
        <f>_xlfn.XLOOKUP(PROPERTIES[[#This Row],[VEHIDCODE]],CONTROL[VEHIDCODE],CONTROL[ENGLISH])</f>
        <v>MAV 377</v>
      </c>
      <c r="J71" s="2" t="b">
        <v>1</v>
      </c>
      <c r="AC71" s="2"/>
      <c r="AD71" s="2" t="b">
        <f>LEN(_xlfn.CONCAT(TRACK_TYPES[[#This Row],[TRACK_TYPE_STANDARD_GAUGE_RAILTYPE_OHLE]:[TRACK_TYPE_MTRO]]))&gt;0</f>
        <v>1</v>
      </c>
      <c r="AE71" s="38" t="b" cm="1">
        <f t="array" ref="AE71">IFERROR(_xlfn.BYROW(TRACK_TYPES[[#This Row],[TRACK_TYPE_STANDARD_GAUGE_RAILTYPE_OHLE]:[TRACK_TYPE_STANDARD_GAUGE_RAILTYPE_NONE]],_xlfn.LAMBDA(_xlpm.r,OR(_xlpm.r))),FALSE)</f>
        <v>1</v>
      </c>
      <c r="AF71" s="38" t="b" cm="1">
        <f t="array" ref="AF71">IFERROR(_xlfn.BYROW(TRACK_TYPES[[#This Row],[TRACK_TYPE_NARROW_GAUGE_RAILTYPE_OHLE]:[TRACK_TYPE_NARROW_GAUGE_RAILTYPE_NONE]],_xlfn.LAMBDA(_xlpm.r,OR(_xlpm.r))),FALSE)</f>
        <v>0</v>
      </c>
      <c r="AG71" s="38" t="b" cm="1">
        <f t="array" ref="AG71">IFERROR(_xlfn.BYROW(TRACK_TYPES[[#This Row],[TRACK_TYPE_BROAD_GAUGE_RAILTYPE_OHLE]:[TRACK_TYPE_BROAD_GAUGE_RAILTYPE_NONE]],_xlfn.LAMBDA(_xlpm.r,OR(_xlpm.r))),FALSE)</f>
        <v>0</v>
      </c>
      <c r="AH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"/>
      <c r="AQ71"/>
      <c r="AR71"/>
    </row>
    <row r="72" spans="1:44" x14ac:dyDescent="0.35">
      <c r="A72" s="2" t="s">
        <v>2715</v>
      </c>
      <c r="B72" s="40" t="str">
        <f>_xlfn.XLOOKUP(PROPERTIES[[#This Row],[VEHIDCODE]],CONTROL[VEHIDCODE],CONTROL[ENGLISH])</f>
        <v>Krauss KkStB 99</v>
      </c>
      <c r="J72" s="2" t="b">
        <v>1</v>
      </c>
      <c r="AC72" s="2"/>
      <c r="AD72" s="2" t="b">
        <f>LEN(_xlfn.CONCAT(TRACK_TYPES[[#This Row],[TRACK_TYPE_STANDARD_GAUGE_RAILTYPE_OHLE]:[TRACK_TYPE_MTRO]]))&gt;0</f>
        <v>1</v>
      </c>
      <c r="AE72" s="38" t="b" cm="1">
        <f t="array" ref="AE72">IFERROR(_xlfn.BYROW(TRACK_TYPES[[#This Row],[TRACK_TYPE_STANDARD_GAUGE_RAILTYPE_OHLE]:[TRACK_TYPE_STANDARD_GAUGE_RAILTYPE_NONE]],_xlfn.LAMBDA(_xlpm.r,OR(_xlpm.r))),FALSE)</f>
        <v>1</v>
      </c>
      <c r="AF72" s="38" t="b" cm="1">
        <f t="array" ref="AF72">IFERROR(_xlfn.BYROW(TRACK_TYPES[[#This Row],[TRACK_TYPE_NARROW_GAUGE_RAILTYPE_OHLE]:[TRACK_TYPE_NARROW_GAUGE_RAILTYPE_NONE]],_xlfn.LAMBDA(_xlpm.r,OR(_xlpm.r))),FALSE)</f>
        <v>0</v>
      </c>
      <c r="AG72" s="38" t="b" cm="1">
        <f t="array" ref="AG72">IFERROR(_xlfn.BYROW(TRACK_TYPES[[#This Row],[TRACK_TYPE_BROAD_GAUGE_RAILTYPE_OHLE]:[TRACK_TYPE_BROAD_GAUGE_RAILTYPE_NONE]],_xlfn.LAMBDA(_xlpm.r,OR(_xlpm.r))),FALSE)</f>
        <v>0</v>
      </c>
      <c r="AH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"/>
      <c r="AQ72"/>
      <c r="AR72"/>
    </row>
    <row r="73" spans="1:44" x14ac:dyDescent="0.35">
      <c r="A73" s="2" t="s">
        <v>2716</v>
      </c>
      <c r="B73" s="40" t="str">
        <f>_xlfn.XLOOKUP(PROPERTIES[[#This Row],[VEHIDCODE]],CONTROL[VEHIDCODE],CONTROL[ENGLISH])</f>
        <v>McIntosh [Caledonian Railway] 439</v>
      </c>
      <c r="J73" s="2" t="b">
        <v>1</v>
      </c>
      <c r="AC73" s="2"/>
      <c r="AD73" s="2" t="b">
        <f>LEN(_xlfn.CONCAT(TRACK_TYPES[[#This Row],[TRACK_TYPE_STANDARD_GAUGE_RAILTYPE_OHLE]:[TRACK_TYPE_MTRO]]))&gt;0</f>
        <v>1</v>
      </c>
      <c r="AE73" s="38" t="b" cm="1">
        <f t="array" ref="AE73">IFERROR(_xlfn.BYROW(TRACK_TYPES[[#This Row],[TRACK_TYPE_STANDARD_GAUGE_RAILTYPE_OHLE]:[TRACK_TYPE_STANDARD_GAUGE_RAILTYPE_NONE]],_xlfn.LAMBDA(_xlpm.r,OR(_xlpm.r))),FALSE)</f>
        <v>1</v>
      </c>
      <c r="AF73" s="38" t="b" cm="1">
        <f t="array" ref="AF73">IFERROR(_xlfn.BYROW(TRACK_TYPES[[#This Row],[TRACK_TYPE_NARROW_GAUGE_RAILTYPE_OHLE]:[TRACK_TYPE_NARROW_GAUGE_RAILTYPE_NONE]],_xlfn.LAMBDA(_xlpm.r,OR(_xlpm.r))),FALSE)</f>
        <v>0</v>
      </c>
      <c r="AG73" s="38" t="b" cm="1">
        <f t="array" ref="AG73">IFERROR(_xlfn.BYROW(TRACK_TYPES[[#This Row],[TRACK_TYPE_BROAD_GAUGE_RAILTYPE_OHLE]:[TRACK_TYPE_BROAD_GAUGE_RAILTYPE_NONE]],_xlfn.LAMBDA(_xlpm.r,OR(_xlpm.r))),FALSE)</f>
        <v>0</v>
      </c>
      <c r="AH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"/>
      <c r="AQ73"/>
      <c r="AR73"/>
    </row>
    <row r="74" spans="1:44" x14ac:dyDescent="0.35">
      <c r="A74" s="2" t="s">
        <v>2717</v>
      </c>
      <c r="B74" s="40" t="str">
        <f>_xlfn.XLOOKUP(PROPERTIES[[#This Row],[VEHIDCODE]],CONTROL[VEHIDCODE],CONTROL[ENGLISH])</f>
        <v>SLM Winterthur A 3/5</v>
      </c>
      <c r="J74" s="2" t="b">
        <v>1</v>
      </c>
      <c r="AC74" s="2"/>
      <c r="AD74" s="2" t="b">
        <f>LEN(_xlfn.CONCAT(TRACK_TYPES[[#This Row],[TRACK_TYPE_STANDARD_GAUGE_RAILTYPE_OHLE]:[TRACK_TYPE_MTRO]]))&gt;0</f>
        <v>1</v>
      </c>
      <c r="AE74" s="38" t="b" cm="1">
        <f t="array" ref="AE74">IFERROR(_xlfn.BYROW(TRACK_TYPES[[#This Row],[TRACK_TYPE_STANDARD_GAUGE_RAILTYPE_OHLE]:[TRACK_TYPE_STANDARD_GAUGE_RAILTYPE_NONE]],_xlfn.LAMBDA(_xlpm.r,OR(_xlpm.r))),FALSE)</f>
        <v>1</v>
      </c>
      <c r="AF74" s="38" t="b" cm="1">
        <f t="array" ref="AF74">IFERROR(_xlfn.BYROW(TRACK_TYPES[[#This Row],[TRACK_TYPE_NARROW_GAUGE_RAILTYPE_OHLE]:[TRACK_TYPE_NARROW_GAUGE_RAILTYPE_NONE]],_xlfn.LAMBDA(_xlpm.r,OR(_xlpm.r))),FALSE)</f>
        <v>0</v>
      </c>
      <c r="AG74" s="38" t="b" cm="1">
        <f t="array" ref="AG74">IFERROR(_xlfn.BYROW(TRACK_TYPES[[#This Row],[TRACK_TYPE_BROAD_GAUGE_RAILTYPE_OHLE]:[TRACK_TYPE_BROAD_GAUGE_RAILTYPE_NONE]],_xlfn.LAMBDA(_xlpm.r,OR(_xlpm.r))),FALSE)</f>
        <v>0</v>
      </c>
      <c r="AH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"/>
      <c r="AQ74"/>
      <c r="AR74"/>
    </row>
    <row r="75" spans="1:44" x14ac:dyDescent="0.35">
      <c r="A75" s="2" t="s">
        <v>2718</v>
      </c>
      <c r="B75" s="40" t="str">
        <f>_xlfn.XLOOKUP(PROPERTIES[[#This Row],[VEHIDCODE]],CONTROL[VEHIDCODE],CONTROL[ENGLISH])</f>
        <v>SLM Winterthur E 3/3</v>
      </c>
      <c r="J75" s="2" t="b">
        <v>1</v>
      </c>
      <c r="AC75" s="2"/>
      <c r="AD75" s="2" t="b">
        <f>LEN(_xlfn.CONCAT(TRACK_TYPES[[#This Row],[TRACK_TYPE_STANDARD_GAUGE_RAILTYPE_OHLE]:[TRACK_TYPE_MTRO]]))&gt;0</f>
        <v>1</v>
      </c>
      <c r="AE75" s="38" t="b" cm="1">
        <f t="array" ref="AE75">IFERROR(_xlfn.BYROW(TRACK_TYPES[[#This Row],[TRACK_TYPE_STANDARD_GAUGE_RAILTYPE_OHLE]:[TRACK_TYPE_STANDARD_GAUGE_RAILTYPE_NONE]],_xlfn.LAMBDA(_xlpm.r,OR(_xlpm.r))),FALSE)</f>
        <v>1</v>
      </c>
      <c r="AF75" s="38" t="b" cm="1">
        <f t="array" ref="AF75">IFERROR(_xlfn.BYROW(TRACK_TYPES[[#This Row],[TRACK_TYPE_NARROW_GAUGE_RAILTYPE_OHLE]:[TRACK_TYPE_NARROW_GAUGE_RAILTYPE_NONE]],_xlfn.LAMBDA(_xlpm.r,OR(_xlpm.r))),FALSE)</f>
        <v>0</v>
      </c>
      <c r="AG75" s="38" t="b" cm="1">
        <f t="array" ref="AG75">IFERROR(_xlfn.BYROW(TRACK_TYPES[[#This Row],[TRACK_TYPE_BROAD_GAUGE_RAILTYPE_OHLE]:[TRACK_TYPE_BROAD_GAUGE_RAILTYPE_NONE]],_xlfn.LAMBDA(_xlpm.r,OR(_xlpm.r))),FALSE)</f>
        <v>0</v>
      </c>
      <c r="AH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"/>
      <c r="AQ75"/>
      <c r="AR75"/>
    </row>
    <row r="76" spans="1:44" x14ac:dyDescent="0.35">
      <c r="A76" s="2" t="s">
        <v>2719</v>
      </c>
      <c r="B76" s="40" t="str">
        <f>_xlfn.XLOOKUP(PROPERTIES[[#This Row],[VEHIDCODE]],CONTROL[VEHIDCODE],CONTROL[ENGLISH])</f>
        <v>Krauss 299</v>
      </c>
      <c r="J76" s="2" t="b">
        <v>1</v>
      </c>
      <c r="AC76" s="2"/>
      <c r="AD76" s="2" t="b">
        <f>LEN(_xlfn.CONCAT(TRACK_TYPES[[#This Row],[TRACK_TYPE_STANDARD_GAUGE_RAILTYPE_OHLE]:[TRACK_TYPE_MTRO]]))&gt;0</f>
        <v>1</v>
      </c>
      <c r="AE76" s="38" t="b" cm="1">
        <f t="array" ref="AE76">IFERROR(_xlfn.BYROW(TRACK_TYPES[[#This Row],[TRACK_TYPE_STANDARD_GAUGE_RAILTYPE_OHLE]:[TRACK_TYPE_STANDARD_GAUGE_RAILTYPE_NONE]],_xlfn.LAMBDA(_xlpm.r,OR(_xlpm.r))),FALSE)</f>
        <v>1</v>
      </c>
      <c r="AF76" s="38" t="b" cm="1">
        <f t="array" ref="AF76">IFERROR(_xlfn.BYROW(TRACK_TYPES[[#This Row],[TRACK_TYPE_NARROW_GAUGE_RAILTYPE_OHLE]:[TRACK_TYPE_NARROW_GAUGE_RAILTYPE_NONE]],_xlfn.LAMBDA(_xlpm.r,OR(_xlpm.r))),FALSE)</f>
        <v>0</v>
      </c>
      <c r="AG76" s="38" t="b" cm="1">
        <f t="array" ref="AG76">IFERROR(_xlfn.BYROW(TRACK_TYPES[[#This Row],[TRACK_TYPE_BROAD_GAUGE_RAILTYPE_OHLE]:[TRACK_TYPE_BROAD_GAUGE_RAILTYPE_NONE]],_xlfn.LAMBDA(_xlpm.r,OR(_xlpm.r))),FALSE)</f>
        <v>0</v>
      </c>
      <c r="AH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"/>
      <c r="AQ76"/>
      <c r="AR76"/>
    </row>
    <row r="77" spans="1:44" x14ac:dyDescent="0.35">
      <c r="A77" s="2" t="s">
        <v>2720</v>
      </c>
      <c r="B77" s="40" t="str">
        <f>_xlfn.XLOOKUP(PROPERTIES[[#This Row],[VEHIDCODE]],CONTROL[VEHIDCODE],CONTROL[ENGLISH])</f>
        <v>NZR X</v>
      </c>
      <c r="R77" s="2" t="b">
        <v>1</v>
      </c>
      <c r="AC77" s="2"/>
      <c r="AD77" s="2" t="b">
        <f>LEN(_xlfn.CONCAT(TRACK_TYPES[[#This Row],[TRACK_TYPE_STANDARD_GAUGE_RAILTYPE_OHLE]:[TRACK_TYPE_MTRO]]))&gt;0</f>
        <v>1</v>
      </c>
      <c r="AE77" s="38" t="b" cm="1">
        <f t="array" ref="AE77">IFERROR(_xlfn.BYROW(TRACK_TYPES[[#This Row],[TRACK_TYPE_STANDARD_GAUGE_RAILTYPE_OHLE]:[TRACK_TYPE_STANDARD_GAUGE_RAILTYPE_NONE]],_xlfn.LAMBDA(_xlpm.r,OR(_xlpm.r))),FALSE)</f>
        <v>0</v>
      </c>
      <c r="AF77" s="38" t="b" cm="1">
        <f t="array" ref="AF77">IFERROR(_xlfn.BYROW(TRACK_TYPES[[#This Row],[TRACK_TYPE_NARROW_GAUGE_RAILTYPE_OHLE]:[TRACK_TYPE_NARROW_GAUGE_RAILTYPE_NONE]],_xlfn.LAMBDA(_xlpm.r,OR(_xlpm.r))),FALSE)</f>
        <v>1</v>
      </c>
      <c r="AG77" s="38" t="b" cm="1">
        <f t="array" ref="AG77">IFERROR(_xlfn.BYROW(TRACK_TYPES[[#This Row],[TRACK_TYPE_BROAD_GAUGE_RAILTYPE_OHLE]:[TRACK_TYPE_BROAD_GAUGE_RAILTYPE_NONE]],_xlfn.LAMBDA(_xlpm.r,OR(_xlpm.r))),FALSE)</f>
        <v>0</v>
      </c>
      <c r="AH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77"/>
      <c r="AQ77"/>
      <c r="AR77"/>
    </row>
    <row r="78" spans="1:44" x14ac:dyDescent="0.35">
      <c r="A78" s="2" t="s">
        <v>3450</v>
      </c>
      <c r="B78" s="40" t="str">
        <f>_xlfn.XLOOKUP(PROPERTIES[[#This Row],[VEHIDCODE]],CONTROL[VEHIDCODE],CONTROL[ENGLISH])</f>
        <v>MAVAG 375</v>
      </c>
      <c r="J78" s="2" t="b">
        <v>1</v>
      </c>
      <c r="AC78" s="2"/>
      <c r="AD78" s="2" t="b">
        <f>LEN(_xlfn.CONCAT(TRACK_TYPES[[#This Row],[TRACK_TYPE_STANDARD_GAUGE_RAILTYPE_OHLE]:[TRACK_TYPE_MTRO]]))&gt;0</f>
        <v>1</v>
      </c>
      <c r="AE78" s="38" t="b" cm="1">
        <f t="array" ref="AE78">IFERROR(_xlfn.BYROW(TRACK_TYPES[[#This Row],[TRACK_TYPE_STANDARD_GAUGE_RAILTYPE_OHLE]:[TRACK_TYPE_STANDARD_GAUGE_RAILTYPE_NONE]],_xlfn.LAMBDA(_xlpm.r,OR(_xlpm.r))),FALSE)</f>
        <v>1</v>
      </c>
      <c r="AF78" s="38" t="b" cm="1">
        <f t="array" ref="AF78">IFERROR(_xlfn.BYROW(TRACK_TYPES[[#This Row],[TRACK_TYPE_NARROW_GAUGE_RAILTYPE_OHLE]:[TRACK_TYPE_NARROW_GAUGE_RAILTYPE_NONE]],_xlfn.LAMBDA(_xlpm.r,OR(_xlpm.r))),FALSE)</f>
        <v>0</v>
      </c>
      <c r="AG78" s="38" t="b" cm="1">
        <f t="array" ref="AG78">IFERROR(_xlfn.BYROW(TRACK_TYPES[[#This Row],[TRACK_TYPE_BROAD_GAUGE_RAILTYPE_OHLE]:[TRACK_TYPE_BROAD_GAUGE_RAILTYPE_NONE]],_xlfn.LAMBDA(_xlpm.r,OR(_xlpm.r))),FALSE)</f>
        <v>0</v>
      </c>
      <c r="AH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"/>
      <c r="AQ78"/>
      <c r="AR78"/>
    </row>
    <row r="79" spans="1:44" x14ac:dyDescent="0.35">
      <c r="A79" s="2" t="s">
        <v>2721</v>
      </c>
      <c r="B79" s="40" t="str">
        <f>_xlfn.XLOOKUP(PROPERTIES[[#This Row],[VEHIDCODE]],CONTROL[VEHIDCODE],CONTROL[ENGLISH])</f>
        <v>FS 880</v>
      </c>
      <c r="J79" s="2" t="b">
        <v>1</v>
      </c>
      <c r="AC79" s="2"/>
      <c r="AD79" s="2" t="b">
        <f>LEN(_xlfn.CONCAT(TRACK_TYPES[[#This Row],[TRACK_TYPE_STANDARD_GAUGE_RAILTYPE_OHLE]:[TRACK_TYPE_MTRO]]))&gt;0</f>
        <v>1</v>
      </c>
      <c r="AE79" s="38" t="b" cm="1">
        <f t="array" ref="AE79">IFERROR(_xlfn.BYROW(TRACK_TYPES[[#This Row],[TRACK_TYPE_STANDARD_GAUGE_RAILTYPE_OHLE]:[TRACK_TYPE_STANDARD_GAUGE_RAILTYPE_NONE]],_xlfn.LAMBDA(_xlpm.r,OR(_xlpm.r))),FALSE)</f>
        <v>1</v>
      </c>
      <c r="AF79" s="38" t="b" cm="1">
        <f t="array" ref="AF79">IFERROR(_xlfn.BYROW(TRACK_TYPES[[#This Row],[TRACK_TYPE_NARROW_GAUGE_RAILTYPE_OHLE]:[TRACK_TYPE_NARROW_GAUGE_RAILTYPE_NONE]],_xlfn.LAMBDA(_xlpm.r,OR(_xlpm.r))),FALSE)</f>
        <v>0</v>
      </c>
      <c r="AG79" s="38" t="b" cm="1">
        <f t="array" ref="AG79">IFERROR(_xlfn.BYROW(TRACK_TYPES[[#This Row],[TRACK_TYPE_BROAD_GAUGE_RAILTYPE_OHLE]:[TRACK_TYPE_BROAD_GAUGE_RAILTYPE_NONE]],_xlfn.LAMBDA(_xlpm.r,OR(_xlpm.r))),FALSE)</f>
        <v>0</v>
      </c>
      <c r="AH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9"/>
      <c r="AQ79"/>
      <c r="AR79"/>
    </row>
    <row r="80" spans="1:44" x14ac:dyDescent="0.35">
      <c r="A80" s="2" t="s">
        <v>2722</v>
      </c>
      <c r="B80" s="40" t="str">
        <f>_xlfn.XLOOKUP(PROPERTIES[[#This Row],[VEHIDCODE]],CONTROL[VEHIDCODE],CONTROL[ENGLISH])</f>
        <v>FCNEA 11B 2-8-0</v>
      </c>
      <c r="J80" s="2" t="b">
        <v>1</v>
      </c>
      <c r="AC80" s="2"/>
      <c r="AD80" s="2" t="b">
        <f>LEN(_xlfn.CONCAT(TRACK_TYPES[[#This Row],[TRACK_TYPE_STANDARD_GAUGE_RAILTYPE_OHLE]:[TRACK_TYPE_MTRO]]))&gt;0</f>
        <v>1</v>
      </c>
      <c r="AE80" s="38" t="b" cm="1">
        <f t="array" ref="AE80">IFERROR(_xlfn.BYROW(TRACK_TYPES[[#This Row],[TRACK_TYPE_STANDARD_GAUGE_RAILTYPE_OHLE]:[TRACK_TYPE_STANDARD_GAUGE_RAILTYPE_NONE]],_xlfn.LAMBDA(_xlpm.r,OR(_xlpm.r))),FALSE)</f>
        <v>1</v>
      </c>
      <c r="AF80" s="38" t="b" cm="1">
        <f t="array" ref="AF80">IFERROR(_xlfn.BYROW(TRACK_TYPES[[#This Row],[TRACK_TYPE_NARROW_GAUGE_RAILTYPE_OHLE]:[TRACK_TYPE_NARROW_GAUGE_RAILTYPE_NONE]],_xlfn.LAMBDA(_xlpm.r,OR(_xlpm.r))),FALSE)</f>
        <v>0</v>
      </c>
      <c r="AG80" s="38" t="b" cm="1">
        <f t="array" ref="AG80">IFERROR(_xlfn.BYROW(TRACK_TYPES[[#This Row],[TRACK_TYPE_BROAD_GAUGE_RAILTYPE_OHLE]:[TRACK_TYPE_BROAD_GAUGE_RAILTYPE_NONE]],_xlfn.LAMBDA(_xlpm.r,OR(_xlpm.r))),FALSE)</f>
        <v>0</v>
      </c>
      <c r="AH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0"/>
      <c r="AQ80"/>
      <c r="AR80"/>
    </row>
    <row r="81" spans="1:44" x14ac:dyDescent="0.35">
      <c r="A81" s="2" t="s">
        <v>2723</v>
      </c>
      <c r="B81" s="40" t="str">
        <f>_xlfn.XLOOKUP(PROPERTIES[[#This Row],[VEHIDCODE]],CONTROL[VEHIDCODE],CONTROL[ENGLISH])</f>
        <v>Schneider et Cie 140C</v>
      </c>
      <c r="J81" s="2" t="b">
        <v>1</v>
      </c>
      <c r="AC81" s="2"/>
      <c r="AD81" s="2" t="b">
        <f>LEN(_xlfn.CONCAT(TRACK_TYPES[[#This Row],[TRACK_TYPE_STANDARD_GAUGE_RAILTYPE_OHLE]:[TRACK_TYPE_MTRO]]))&gt;0</f>
        <v>1</v>
      </c>
      <c r="AE81" s="38" t="b" cm="1">
        <f t="array" ref="AE81">IFERROR(_xlfn.BYROW(TRACK_TYPES[[#This Row],[TRACK_TYPE_STANDARD_GAUGE_RAILTYPE_OHLE]:[TRACK_TYPE_STANDARD_GAUGE_RAILTYPE_NONE]],_xlfn.LAMBDA(_xlpm.r,OR(_xlpm.r))),FALSE)</f>
        <v>1</v>
      </c>
      <c r="AF81" s="38" t="b" cm="1">
        <f t="array" ref="AF81">IFERROR(_xlfn.BYROW(TRACK_TYPES[[#This Row],[TRACK_TYPE_NARROW_GAUGE_RAILTYPE_OHLE]:[TRACK_TYPE_NARROW_GAUGE_RAILTYPE_NONE]],_xlfn.LAMBDA(_xlpm.r,OR(_xlpm.r))),FALSE)</f>
        <v>0</v>
      </c>
      <c r="AG81" s="38" t="b" cm="1">
        <f t="array" ref="AG81">IFERROR(_xlfn.BYROW(TRACK_TYPES[[#This Row],[TRACK_TYPE_BROAD_GAUGE_RAILTYPE_OHLE]:[TRACK_TYPE_BROAD_GAUGE_RAILTYPE_NONE]],_xlfn.LAMBDA(_xlpm.r,OR(_xlpm.r))),FALSE)</f>
        <v>0</v>
      </c>
      <c r="AH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1"/>
      <c r="AQ81"/>
      <c r="AR81"/>
    </row>
    <row r="82" spans="1:44" x14ac:dyDescent="0.35">
      <c r="A82" s="2" t="s">
        <v>3472</v>
      </c>
      <c r="B82" s="40" t="str">
        <f>_xlfn.XLOOKUP(PROPERTIES[[#This Row],[VEHIDCODE]],CONTROL[VEHIDCODE],CONTROL[ENGLISH])</f>
        <v>Union Giesserei 2-8-2T</v>
      </c>
      <c r="J82" s="2" t="b">
        <v>1</v>
      </c>
      <c r="AC82" s="2"/>
      <c r="AD82" s="2" t="b">
        <f>LEN(_xlfn.CONCAT(TRACK_TYPES[[#This Row],[TRACK_TYPE_STANDARD_GAUGE_RAILTYPE_OHLE]:[TRACK_TYPE_MTRO]]))&gt;0</f>
        <v>1</v>
      </c>
      <c r="AE82" s="38" t="b" cm="1">
        <f t="array" ref="AE82">IFERROR(_xlfn.BYROW(TRACK_TYPES[[#This Row],[TRACK_TYPE_STANDARD_GAUGE_RAILTYPE_OHLE]:[TRACK_TYPE_STANDARD_GAUGE_RAILTYPE_NONE]],_xlfn.LAMBDA(_xlpm.r,OR(_xlpm.r))),FALSE)</f>
        <v>1</v>
      </c>
      <c r="AF82" s="38" t="b" cm="1">
        <f t="array" ref="AF82">IFERROR(_xlfn.BYROW(TRACK_TYPES[[#This Row],[TRACK_TYPE_NARROW_GAUGE_RAILTYPE_OHLE]:[TRACK_TYPE_NARROW_GAUGE_RAILTYPE_NONE]],_xlfn.LAMBDA(_xlpm.r,OR(_xlpm.r))),FALSE)</f>
        <v>0</v>
      </c>
      <c r="AG82" s="38" t="b" cm="1">
        <f t="array" ref="AG82">IFERROR(_xlfn.BYROW(TRACK_TYPES[[#This Row],[TRACK_TYPE_BROAD_GAUGE_RAILTYPE_OHLE]:[TRACK_TYPE_BROAD_GAUGE_RAILTYPE_NONE]],_xlfn.LAMBDA(_xlpm.r,OR(_xlpm.r))),FALSE)</f>
        <v>0</v>
      </c>
      <c r="AH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2"/>
      <c r="AQ82"/>
      <c r="AR82"/>
    </row>
    <row r="83" spans="1:44" x14ac:dyDescent="0.35">
      <c r="A83" s="2" t="s">
        <v>2724</v>
      </c>
      <c r="B83" s="40" t="str">
        <f>_xlfn.XLOOKUP(PROPERTIES[[#This Row],[VEHIDCODE]],CONTROL[VEHIDCODE],CONTROL[ENGLISH])</f>
        <v>GWR 4900 'Hall'</v>
      </c>
      <c r="J83" s="2" t="b">
        <v>1</v>
      </c>
      <c r="AC83" s="2"/>
      <c r="AD83" s="2" t="b">
        <f>LEN(_xlfn.CONCAT(TRACK_TYPES[[#This Row],[TRACK_TYPE_STANDARD_GAUGE_RAILTYPE_OHLE]:[TRACK_TYPE_MTRO]]))&gt;0</f>
        <v>1</v>
      </c>
      <c r="AE83" s="38" t="b" cm="1">
        <f t="array" ref="AE83">IFERROR(_xlfn.BYROW(TRACK_TYPES[[#This Row],[TRACK_TYPE_STANDARD_GAUGE_RAILTYPE_OHLE]:[TRACK_TYPE_STANDARD_GAUGE_RAILTYPE_NONE]],_xlfn.LAMBDA(_xlpm.r,OR(_xlpm.r))),FALSE)</f>
        <v>1</v>
      </c>
      <c r="AF83" s="38" t="b" cm="1">
        <f t="array" ref="AF83">IFERROR(_xlfn.BYROW(TRACK_TYPES[[#This Row],[TRACK_TYPE_NARROW_GAUGE_RAILTYPE_OHLE]:[TRACK_TYPE_NARROW_GAUGE_RAILTYPE_NONE]],_xlfn.LAMBDA(_xlpm.r,OR(_xlpm.r))),FALSE)</f>
        <v>0</v>
      </c>
      <c r="AG83" s="38" t="b" cm="1">
        <f t="array" ref="AG83">IFERROR(_xlfn.BYROW(TRACK_TYPES[[#This Row],[TRACK_TYPE_BROAD_GAUGE_RAILTYPE_OHLE]:[TRACK_TYPE_BROAD_GAUGE_RAILTYPE_NONE]],_xlfn.LAMBDA(_xlpm.r,OR(_xlpm.r))),FALSE)</f>
        <v>0</v>
      </c>
      <c r="AH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3"/>
      <c r="AQ83"/>
      <c r="AR83"/>
    </row>
    <row r="84" spans="1:44" x14ac:dyDescent="0.35">
      <c r="A84" s="2" t="s">
        <v>2725</v>
      </c>
      <c r="B84" s="40" t="str">
        <f>_xlfn.XLOOKUP(PROPERTIES[[#This Row],[VEHIDCODE]],CONTROL[VEHIDCODE],CONTROL[ENGLISH])</f>
        <v>GWR 5700 'Pannier'</v>
      </c>
      <c r="J84" s="2" t="b">
        <v>1</v>
      </c>
      <c r="AC84" s="2"/>
      <c r="AD84" s="2" t="b">
        <f>LEN(_xlfn.CONCAT(TRACK_TYPES[[#This Row],[TRACK_TYPE_STANDARD_GAUGE_RAILTYPE_OHLE]:[TRACK_TYPE_MTRO]]))&gt;0</f>
        <v>1</v>
      </c>
      <c r="AE84" s="38" t="b" cm="1">
        <f t="array" ref="AE84">IFERROR(_xlfn.BYROW(TRACK_TYPES[[#This Row],[TRACK_TYPE_STANDARD_GAUGE_RAILTYPE_OHLE]:[TRACK_TYPE_STANDARD_GAUGE_RAILTYPE_NONE]],_xlfn.LAMBDA(_xlpm.r,OR(_xlpm.r))),FALSE)</f>
        <v>1</v>
      </c>
      <c r="AF84" s="38" t="b" cm="1">
        <f t="array" ref="AF84">IFERROR(_xlfn.BYROW(TRACK_TYPES[[#This Row],[TRACK_TYPE_NARROW_GAUGE_RAILTYPE_OHLE]:[TRACK_TYPE_NARROW_GAUGE_RAILTYPE_NONE]],_xlfn.LAMBDA(_xlpm.r,OR(_xlpm.r))),FALSE)</f>
        <v>0</v>
      </c>
      <c r="AG84" s="38" t="b" cm="1">
        <f t="array" ref="AG84">IFERROR(_xlfn.BYROW(TRACK_TYPES[[#This Row],[TRACK_TYPE_BROAD_GAUGE_RAILTYPE_OHLE]:[TRACK_TYPE_BROAD_GAUGE_RAILTYPE_NONE]],_xlfn.LAMBDA(_xlpm.r,OR(_xlpm.r))),FALSE)</f>
        <v>0</v>
      </c>
      <c r="AH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4"/>
      <c r="AQ84"/>
      <c r="AR84"/>
    </row>
    <row r="85" spans="1:44" x14ac:dyDescent="0.35">
      <c r="A85" s="2" t="s">
        <v>2726</v>
      </c>
      <c r="B85" s="40" t="str">
        <f>_xlfn.XLOOKUP(PROPERTIES[[#This Row],[VEHIDCODE]],CONTROL[VEHIDCODE],CONTROL[ENGLISH])</f>
        <v>Henschel &amp; Sohn series 6300</v>
      </c>
      <c r="J85" s="2" t="b">
        <v>1</v>
      </c>
      <c r="AC85" s="2"/>
      <c r="AD85" s="2" t="b">
        <f>LEN(_xlfn.CONCAT(TRACK_TYPES[[#This Row],[TRACK_TYPE_STANDARD_GAUGE_RAILTYPE_OHLE]:[TRACK_TYPE_MTRO]]))&gt;0</f>
        <v>1</v>
      </c>
      <c r="AE85" s="38" t="b" cm="1">
        <f t="array" ref="AE85">IFERROR(_xlfn.BYROW(TRACK_TYPES[[#This Row],[TRACK_TYPE_STANDARD_GAUGE_RAILTYPE_OHLE]:[TRACK_TYPE_STANDARD_GAUGE_RAILTYPE_NONE]],_xlfn.LAMBDA(_xlpm.r,OR(_xlpm.r))),FALSE)</f>
        <v>1</v>
      </c>
      <c r="AF85" s="38" t="b" cm="1">
        <f t="array" ref="AF85">IFERROR(_xlfn.BYROW(TRACK_TYPES[[#This Row],[TRACK_TYPE_NARROW_GAUGE_RAILTYPE_OHLE]:[TRACK_TYPE_NARROW_GAUGE_RAILTYPE_NONE]],_xlfn.LAMBDA(_xlpm.r,OR(_xlpm.r))),FALSE)</f>
        <v>0</v>
      </c>
      <c r="AG85" s="38" t="b" cm="1">
        <f t="array" ref="AG85">IFERROR(_xlfn.BYROW(TRACK_TYPES[[#This Row],[TRACK_TYPE_BROAD_GAUGE_RAILTYPE_OHLE]:[TRACK_TYPE_BROAD_GAUGE_RAILTYPE_NONE]],_xlfn.LAMBDA(_xlpm.r,OR(_xlpm.r))),FALSE)</f>
        <v>0</v>
      </c>
      <c r="AH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5"/>
      <c r="AQ85"/>
      <c r="AR85"/>
    </row>
    <row r="86" spans="1:44" x14ac:dyDescent="0.35">
      <c r="A86" s="2" t="s">
        <v>2727</v>
      </c>
      <c r="B86" s="40" t="str">
        <f>_xlfn.XLOOKUP(PROPERTIES[[#This Row],[VEHIDCODE]],CONTROL[VEHIDCODE],CONTROL[ENGLISH])</f>
        <v>Baldwin 5000 'Madame Queen'</v>
      </c>
      <c r="J86" s="2" t="b">
        <v>1</v>
      </c>
      <c r="AC86" s="2"/>
      <c r="AD86" s="2" t="b">
        <f>LEN(_xlfn.CONCAT(TRACK_TYPES[[#This Row],[TRACK_TYPE_STANDARD_GAUGE_RAILTYPE_OHLE]:[TRACK_TYPE_MTRO]]))&gt;0</f>
        <v>1</v>
      </c>
      <c r="AE86" s="38" t="b" cm="1">
        <f t="array" ref="AE86">IFERROR(_xlfn.BYROW(TRACK_TYPES[[#This Row],[TRACK_TYPE_STANDARD_GAUGE_RAILTYPE_OHLE]:[TRACK_TYPE_STANDARD_GAUGE_RAILTYPE_NONE]],_xlfn.LAMBDA(_xlpm.r,OR(_xlpm.r))),FALSE)</f>
        <v>1</v>
      </c>
      <c r="AF86" s="38" t="b" cm="1">
        <f t="array" ref="AF86">IFERROR(_xlfn.BYROW(TRACK_TYPES[[#This Row],[TRACK_TYPE_NARROW_GAUGE_RAILTYPE_OHLE]:[TRACK_TYPE_NARROW_GAUGE_RAILTYPE_NONE]],_xlfn.LAMBDA(_xlpm.r,OR(_xlpm.r))),FALSE)</f>
        <v>0</v>
      </c>
      <c r="AG86" s="38" t="b" cm="1">
        <f t="array" ref="AG86">IFERROR(_xlfn.BYROW(TRACK_TYPES[[#This Row],[TRACK_TYPE_BROAD_GAUGE_RAILTYPE_OHLE]:[TRACK_TYPE_BROAD_GAUGE_RAILTYPE_NONE]],_xlfn.LAMBDA(_xlpm.r,OR(_xlpm.r))),FALSE)</f>
        <v>0</v>
      </c>
      <c r="AH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6"/>
      <c r="AQ86"/>
      <c r="AR86"/>
    </row>
    <row r="87" spans="1:44" x14ac:dyDescent="0.35">
      <c r="A87" s="2" t="s">
        <v>2728</v>
      </c>
      <c r="B87" s="40" t="str">
        <f>_xlfn.XLOOKUP(PROPERTIES[[#This Row],[VEHIDCODE]],CONTROL[VEHIDCODE],CONTROL[ENGLISH])</f>
        <v>Schwartzkopff S 10 'Prussian'</v>
      </c>
      <c r="J87" s="2" t="b">
        <v>1</v>
      </c>
      <c r="AC87" s="2"/>
      <c r="AD87" s="2" t="b">
        <f>LEN(_xlfn.CONCAT(TRACK_TYPES[[#This Row],[TRACK_TYPE_STANDARD_GAUGE_RAILTYPE_OHLE]:[TRACK_TYPE_MTRO]]))&gt;0</f>
        <v>1</v>
      </c>
      <c r="AE87" s="38" t="b" cm="1">
        <f t="array" ref="AE87">IFERROR(_xlfn.BYROW(TRACK_TYPES[[#This Row],[TRACK_TYPE_STANDARD_GAUGE_RAILTYPE_OHLE]:[TRACK_TYPE_STANDARD_GAUGE_RAILTYPE_NONE]],_xlfn.LAMBDA(_xlpm.r,OR(_xlpm.r))),FALSE)</f>
        <v>1</v>
      </c>
      <c r="AF87" s="38" t="b" cm="1">
        <f t="array" ref="AF87">IFERROR(_xlfn.BYROW(TRACK_TYPES[[#This Row],[TRACK_TYPE_NARROW_GAUGE_RAILTYPE_OHLE]:[TRACK_TYPE_NARROW_GAUGE_RAILTYPE_NONE]],_xlfn.LAMBDA(_xlpm.r,OR(_xlpm.r))),FALSE)</f>
        <v>0</v>
      </c>
      <c r="AG87" s="38" t="b" cm="1">
        <f t="array" ref="AG87">IFERROR(_xlfn.BYROW(TRACK_TYPES[[#This Row],[TRACK_TYPE_BROAD_GAUGE_RAILTYPE_OHLE]:[TRACK_TYPE_BROAD_GAUGE_RAILTYPE_NONE]],_xlfn.LAMBDA(_xlpm.r,OR(_xlpm.r))),FALSE)</f>
        <v>0</v>
      </c>
      <c r="AH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7"/>
      <c r="AQ87"/>
      <c r="AR87"/>
    </row>
    <row r="88" spans="1:44" x14ac:dyDescent="0.35">
      <c r="A88" s="2" t="s">
        <v>2729</v>
      </c>
      <c r="B88" s="40" t="str">
        <f>_xlfn.XLOOKUP(PROPERTIES[[#This Row],[VEHIDCODE]],CONTROL[VEHIDCODE],CONTROL[ENGLISH])</f>
        <v>LMS 5MT 'Black Five'</v>
      </c>
      <c r="J88" s="2" t="b">
        <v>1</v>
      </c>
      <c r="AC88" s="2"/>
      <c r="AD88" s="2" t="b">
        <f>LEN(_xlfn.CONCAT(TRACK_TYPES[[#This Row],[TRACK_TYPE_STANDARD_GAUGE_RAILTYPE_OHLE]:[TRACK_TYPE_MTRO]]))&gt;0</f>
        <v>1</v>
      </c>
      <c r="AE88" s="38" t="b" cm="1">
        <f t="array" ref="AE88">IFERROR(_xlfn.BYROW(TRACK_TYPES[[#This Row],[TRACK_TYPE_STANDARD_GAUGE_RAILTYPE_OHLE]:[TRACK_TYPE_STANDARD_GAUGE_RAILTYPE_NONE]],_xlfn.LAMBDA(_xlpm.r,OR(_xlpm.r))),FALSE)</f>
        <v>1</v>
      </c>
      <c r="AF88" s="38" t="b" cm="1">
        <f t="array" ref="AF88">IFERROR(_xlfn.BYROW(TRACK_TYPES[[#This Row],[TRACK_TYPE_NARROW_GAUGE_RAILTYPE_OHLE]:[TRACK_TYPE_NARROW_GAUGE_RAILTYPE_NONE]],_xlfn.LAMBDA(_xlpm.r,OR(_xlpm.r))),FALSE)</f>
        <v>0</v>
      </c>
      <c r="AG88" s="38" t="b" cm="1">
        <f t="array" ref="AG88">IFERROR(_xlfn.BYROW(TRACK_TYPES[[#This Row],[TRACK_TYPE_BROAD_GAUGE_RAILTYPE_OHLE]:[TRACK_TYPE_BROAD_GAUGE_RAILTYPE_NONE]],_xlfn.LAMBDA(_xlpm.r,OR(_xlpm.r))),FALSE)</f>
        <v>0</v>
      </c>
      <c r="AH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8"/>
      <c r="AQ88"/>
      <c r="AR88"/>
    </row>
    <row r="89" spans="1:44" x14ac:dyDescent="0.35">
      <c r="A89" s="2" t="s">
        <v>2730</v>
      </c>
      <c r="B89" s="40" t="str">
        <f>_xlfn.XLOOKUP(PROPERTIES[[#This Row],[VEHIDCODE]],CONTROL[VEHIDCODE],CONTROL[ENGLISH])</f>
        <v>Kolomna 9P</v>
      </c>
      <c r="Z89" s="2" t="b">
        <v>1</v>
      </c>
      <c r="AC89" s="2"/>
      <c r="AD89" s="2" t="b">
        <f>LEN(_xlfn.CONCAT(TRACK_TYPES[[#This Row],[TRACK_TYPE_STANDARD_GAUGE_RAILTYPE_OHLE]:[TRACK_TYPE_MTRO]]))&gt;0</f>
        <v>1</v>
      </c>
      <c r="AE89" s="38" t="b" cm="1">
        <f t="array" ref="AE89">IFERROR(_xlfn.BYROW(TRACK_TYPES[[#This Row],[TRACK_TYPE_STANDARD_GAUGE_RAILTYPE_OHLE]:[TRACK_TYPE_STANDARD_GAUGE_RAILTYPE_NONE]],_xlfn.LAMBDA(_xlpm.r,OR(_xlpm.r))),FALSE)</f>
        <v>0</v>
      </c>
      <c r="AF89" s="38" t="b" cm="1">
        <f t="array" ref="AF89">IFERROR(_xlfn.BYROW(TRACK_TYPES[[#This Row],[TRACK_TYPE_NARROW_GAUGE_RAILTYPE_OHLE]:[TRACK_TYPE_NARROW_GAUGE_RAILTYPE_NONE]],_xlfn.LAMBDA(_xlpm.r,OR(_xlpm.r))),FALSE)</f>
        <v>0</v>
      </c>
      <c r="AG89" s="38" t="b" cm="1">
        <f t="array" ref="AG89">IFERROR(_xlfn.BYROW(TRACK_TYPES[[#This Row],[TRACK_TYPE_BROAD_GAUGE_RAILTYPE_OHLE]:[TRACK_TYPE_BROAD_GAUGE_RAILTYPE_NONE]],_xlfn.LAMBDA(_xlpm.r,OR(_xlpm.r))),FALSE)</f>
        <v>1</v>
      </c>
      <c r="AH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89"/>
      <c r="AQ89"/>
      <c r="AR89"/>
    </row>
    <row r="90" spans="1:44" x14ac:dyDescent="0.35">
      <c r="A90" s="2" t="s">
        <v>2731</v>
      </c>
      <c r="B90" s="40" t="str">
        <f>_xlfn.XLOOKUP(PROPERTIES[[#This Row],[VEHIDCODE]],CONTROL[VEHIDCODE],CONTROL[ENGLISH])</f>
        <v>LNER A4 'Gresley'</v>
      </c>
      <c r="J90" s="2" t="b">
        <v>1</v>
      </c>
      <c r="AC90" s="2"/>
      <c r="AD90" s="2" t="b">
        <f>LEN(_xlfn.CONCAT(TRACK_TYPES[[#This Row],[TRACK_TYPE_STANDARD_GAUGE_RAILTYPE_OHLE]:[TRACK_TYPE_MTRO]]))&gt;0</f>
        <v>1</v>
      </c>
      <c r="AE90" s="38" t="b" cm="1">
        <f t="array" ref="AE90">IFERROR(_xlfn.BYROW(TRACK_TYPES[[#This Row],[TRACK_TYPE_STANDARD_GAUGE_RAILTYPE_OHLE]:[TRACK_TYPE_STANDARD_GAUGE_RAILTYPE_NONE]],_xlfn.LAMBDA(_xlpm.r,OR(_xlpm.r))),FALSE)</f>
        <v>1</v>
      </c>
      <c r="AF90" s="38" t="b" cm="1">
        <f t="array" ref="AF90">IFERROR(_xlfn.BYROW(TRACK_TYPES[[#This Row],[TRACK_TYPE_NARROW_GAUGE_RAILTYPE_OHLE]:[TRACK_TYPE_NARROW_GAUGE_RAILTYPE_NONE]],_xlfn.LAMBDA(_xlpm.r,OR(_xlpm.r))),FALSE)</f>
        <v>0</v>
      </c>
      <c r="AG90" s="38" t="b" cm="1">
        <f t="array" ref="AG90">IFERROR(_xlfn.BYROW(TRACK_TYPES[[#This Row],[TRACK_TYPE_BROAD_GAUGE_RAILTYPE_OHLE]:[TRACK_TYPE_BROAD_GAUGE_RAILTYPE_NONE]],_xlfn.LAMBDA(_xlpm.r,OR(_xlpm.r))),FALSE)</f>
        <v>0</v>
      </c>
      <c r="AH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0"/>
      <c r="AQ90"/>
      <c r="AR90"/>
    </row>
    <row r="91" spans="1:44" x14ac:dyDescent="0.35">
      <c r="A91" s="2" t="s">
        <v>2732</v>
      </c>
      <c r="B91" s="40" t="str">
        <f>_xlfn.XLOOKUP(PROPERTIES[[#This Row],[VEHIDCODE]],CONTROL[VEHIDCODE],CONTROL[ENGLISH])</f>
        <v>MLW 'Royal Hudson'</v>
      </c>
      <c r="J91" s="2" t="b">
        <v>1</v>
      </c>
      <c r="AC91" s="2"/>
      <c r="AD91" s="2" t="b">
        <f>LEN(_xlfn.CONCAT(TRACK_TYPES[[#This Row],[TRACK_TYPE_STANDARD_GAUGE_RAILTYPE_OHLE]:[TRACK_TYPE_MTRO]]))&gt;0</f>
        <v>1</v>
      </c>
      <c r="AE91" s="38" t="b" cm="1">
        <f t="array" ref="AE91">IFERROR(_xlfn.BYROW(TRACK_TYPES[[#This Row],[TRACK_TYPE_STANDARD_GAUGE_RAILTYPE_OHLE]:[TRACK_TYPE_STANDARD_GAUGE_RAILTYPE_NONE]],_xlfn.LAMBDA(_xlpm.r,OR(_xlpm.r))),FALSE)</f>
        <v>1</v>
      </c>
      <c r="AF91" s="38" t="b" cm="1">
        <f t="array" ref="AF91">IFERROR(_xlfn.BYROW(TRACK_TYPES[[#This Row],[TRACK_TYPE_NARROW_GAUGE_RAILTYPE_OHLE]:[TRACK_TYPE_NARROW_GAUGE_RAILTYPE_NONE]],_xlfn.LAMBDA(_xlpm.r,OR(_xlpm.r))),FALSE)</f>
        <v>0</v>
      </c>
      <c r="AG91" s="38" t="b" cm="1">
        <f t="array" ref="AG91">IFERROR(_xlfn.BYROW(TRACK_TYPES[[#This Row],[TRACK_TYPE_BROAD_GAUGE_RAILTYPE_OHLE]:[TRACK_TYPE_BROAD_GAUGE_RAILTYPE_NONE]],_xlfn.LAMBDA(_xlpm.r,OR(_xlpm.r))),FALSE)</f>
        <v>0</v>
      </c>
      <c r="AH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1"/>
      <c r="AQ91"/>
      <c r="AR91"/>
    </row>
    <row r="92" spans="1:44" x14ac:dyDescent="0.35">
      <c r="A92" s="2" t="s">
        <v>2733</v>
      </c>
      <c r="B92" s="40" t="str">
        <f>_xlfn.XLOOKUP(PROPERTIES[[#This Row],[VEHIDCODE]],CONTROL[VEHIDCODE],CONTROL[ENGLISH])</f>
        <v>NOHAB 4-6-2 'F'</v>
      </c>
      <c r="J92" s="2" t="b">
        <v>1</v>
      </c>
      <c r="AC92" s="2"/>
      <c r="AD92" s="2" t="b">
        <f>LEN(_xlfn.CONCAT(TRACK_TYPES[[#This Row],[TRACK_TYPE_STANDARD_GAUGE_RAILTYPE_OHLE]:[TRACK_TYPE_MTRO]]))&gt;0</f>
        <v>1</v>
      </c>
      <c r="AE92" s="38" t="b" cm="1">
        <f t="array" ref="AE92">IFERROR(_xlfn.BYROW(TRACK_TYPES[[#This Row],[TRACK_TYPE_STANDARD_GAUGE_RAILTYPE_OHLE]:[TRACK_TYPE_STANDARD_GAUGE_RAILTYPE_NONE]],_xlfn.LAMBDA(_xlpm.r,OR(_xlpm.r))),FALSE)</f>
        <v>1</v>
      </c>
      <c r="AF92" s="38" t="b" cm="1">
        <f t="array" ref="AF92">IFERROR(_xlfn.BYROW(TRACK_TYPES[[#This Row],[TRACK_TYPE_NARROW_GAUGE_RAILTYPE_OHLE]:[TRACK_TYPE_NARROW_GAUGE_RAILTYPE_NONE]],_xlfn.LAMBDA(_xlpm.r,OR(_xlpm.r))),FALSE)</f>
        <v>0</v>
      </c>
      <c r="AG92" s="38" t="b" cm="1">
        <f t="array" ref="AG92">IFERROR(_xlfn.BYROW(TRACK_TYPES[[#This Row],[TRACK_TYPE_BROAD_GAUGE_RAILTYPE_OHLE]:[TRACK_TYPE_BROAD_GAUGE_RAILTYPE_NONE]],_xlfn.LAMBDA(_xlpm.r,OR(_xlpm.r))),FALSE)</f>
        <v>0</v>
      </c>
      <c r="AH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2"/>
      <c r="AQ92"/>
      <c r="AR92"/>
    </row>
    <row r="93" spans="1:44" x14ac:dyDescent="0.35">
      <c r="A93" s="2" t="s">
        <v>2734</v>
      </c>
      <c r="B93" s="40" t="str">
        <f>_xlfn.XLOOKUP(PROPERTIES[[#This Row],[VEHIDCODE]],CONTROL[VEHIDCODE],CONTROL[ENGLISH])</f>
        <v>GGL/HAS 52</v>
      </c>
      <c r="J93" s="2" t="b">
        <v>1</v>
      </c>
      <c r="Z93" s="2" t="b">
        <v>1</v>
      </c>
      <c r="AC93" s="2"/>
      <c r="AD93" s="2" t="b">
        <f>LEN(_xlfn.CONCAT(TRACK_TYPES[[#This Row],[TRACK_TYPE_STANDARD_GAUGE_RAILTYPE_OHLE]:[TRACK_TYPE_MTRO]]))&gt;0</f>
        <v>1</v>
      </c>
      <c r="AE93" s="38" t="b" cm="1">
        <f t="array" ref="AE93">IFERROR(_xlfn.BYROW(TRACK_TYPES[[#This Row],[TRACK_TYPE_STANDARD_GAUGE_RAILTYPE_OHLE]:[TRACK_TYPE_STANDARD_GAUGE_RAILTYPE_NONE]],_xlfn.LAMBDA(_xlpm.r,OR(_xlpm.r))),FALSE)</f>
        <v>1</v>
      </c>
      <c r="AF93" s="38" t="b" cm="1">
        <f t="array" ref="AF93">IFERROR(_xlfn.BYROW(TRACK_TYPES[[#This Row],[TRACK_TYPE_NARROW_GAUGE_RAILTYPE_OHLE]:[TRACK_TYPE_NARROW_GAUGE_RAILTYPE_NONE]],_xlfn.LAMBDA(_xlpm.r,OR(_xlpm.r))),FALSE)</f>
        <v>0</v>
      </c>
      <c r="AG93" s="38" t="b" cm="1">
        <f t="array" ref="AG93">IFERROR(_xlfn.BYROW(TRACK_TYPES[[#This Row],[TRACK_TYPE_BROAD_GAUGE_RAILTYPE_OHLE]:[TRACK_TYPE_BROAD_GAUGE_RAILTYPE_NONE]],_xlfn.LAMBDA(_xlpm.r,OR(_xlpm.r))),FALSE)</f>
        <v>1</v>
      </c>
      <c r="AH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3"/>
      <c r="AQ93"/>
      <c r="AR93"/>
    </row>
    <row r="94" spans="1:44" x14ac:dyDescent="0.35">
      <c r="A94" s="2" t="s">
        <v>2735</v>
      </c>
      <c r="B94" s="40" t="str">
        <f>_xlfn.XLOOKUP(PROPERTIES[[#This Row],[VEHIDCODE]],CONTROL[VEHIDCODE],CONTROL[ENGLISH])</f>
        <v>Doncaster/Darlington 'Peppercorn'</v>
      </c>
      <c r="J94" s="2" t="b">
        <v>1</v>
      </c>
      <c r="AC94" s="2"/>
      <c r="AD94" s="2" t="b">
        <f>LEN(_xlfn.CONCAT(TRACK_TYPES[[#This Row],[TRACK_TYPE_STANDARD_GAUGE_RAILTYPE_OHLE]:[TRACK_TYPE_MTRO]]))&gt;0</f>
        <v>1</v>
      </c>
      <c r="AE94" s="38" t="b" cm="1">
        <f t="array" ref="AE94">IFERROR(_xlfn.BYROW(TRACK_TYPES[[#This Row],[TRACK_TYPE_STANDARD_GAUGE_RAILTYPE_OHLE]:[TRACK_TYPE_STANDARD_GAUGE_RAILTYPE_NONE]],_xlfn.LAMBDA(_xlpm.r,OR(_xlpm.r))),FALSE)</f>
        <v>1</v>
      </c>
      <c r="AF94" s="38" t="b" cm="1">
        <f t="array" ref="AF94">IFERROR(_xlfn.BYROW(TRACK_TYPES[[#This Row],[TRACK_TYPE_NARROW_GAUGE_RAILTYPE_OHLE]:[TRACK_TYPE_NARROW_GAUGE_RAILTYPE_NONE]],_xlfn.LAMBDA(_xlpm.r,OR(_xlpm.r))),FALSE)</f>
        <v>0</v>
      </c>
      <c r="AG94" s="38" t="b" cm="1">
        <f t="array" ref="AG94">IFERROR(_xlfn.BYROW(TRACK_TYPES[[#This Row],[TRACK_TYPE_BROAD_GAUGE_RAILTYPE_OHLE]:[TRACK_TYPE_BROAD_GAUGE_RAILTYPE_NONE]],_xlfn.LAMBDA(_xlpm.r,OR(_xlpm.r))),FALSE)</f>
        <v>0</v>
      </c>
      <c r="AH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4"/>
      <c r="AQ94"/>
      <c r="AR94"/>
    </row>
    <row r="95" spans="1:44" x14ac:dyDescent="0.35">
      <c r="A95" s="2" t="s">
        <v>2736</v>
      </c>
      <c r="B95" s="40" t="str">
        <f>_xlfn.XLOOKUP(PROPERTIES[[#This Row],[VEHIDCODE]],CONTROL[VEHIDCODE],CONTROL[ENGLISH])</f>
        <v>Henschel &amp; Sohn 'Condenser'</v>
      </c>
      <c r="R95" s="2" t="b">
        <v>1</v>
      </c>
      <c r="AC95" s="2"/>
      <c r="AD95" s="2" t="b">
        <f>LEN(_xlfn.CONCAT(TRACK_TYPES[[#This Row],[TRACK_TYPE_STANDARD_GAUGE_RAILTYPE_OHLE]:[TRACK_TYPE_MTRO]]))&gt;0</f>
        <v>1</v>
      </c>
      <c r="AE95" s="38" t="b" cm="1">
        <f t="array" ref="AE95">IFERROR(_xlfn.BYROW(TRACK_TYPES[[#This Row],[TRACK_TYPE_STANDARD_GAUGE_RAILTYPE_OHLE]:[TRACK_TYPE_STANDARD_GAUGE_RAILTYPE_NONE]],_xlfn.LAMBDA(_xlpm.r,OR(_xlpm.r))),FALSE)</f>
        <v>0</v>
      </c>
      <c r="AF95" s="38" t="b" cm="1">
        <f t="array" ref="AF95">IFERROR(_xlfn.BYROW(TRACK_TYPES[[#This Row],[TRACK_TYPE_NARROW_GAUGE_RAILTYPE_OHLE]:[TRACK_TYPE_NARROW_GAUGE_RAILTYPE_NONE]],_xlfn.LAMBDA(_xlpm.r,OR(_xlpm.r))),FALSE)</f>
        <v>1</v>
      </c>
      <c r="AG95" s="38" t="b" cm="1">
        <f t="array" ref="AG95">IFERROR(_xlfn.BYROW(TRACK_TYPES[[#This Row],[TRACK_TYPE_BROAD_GAUGE_RAILTYPE_OHLE]:[TRACK_TYPE_BROAD_GAUGE_RAILTYPE_NONE]],_xlfn.LAMBDA(_xlpm.r,OR(_xlpm.r))),FALSE)</f>
        <v>0</v>
      </c>
      <c r="AH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95"/>
      <c r="AQ95"/>
      <c r="AR95"/>
    </row>
    <row r="96" spans="1:44" x14ac:dyDescent="0.35">
      <c r="A96" s="2" t="s">
        <v>2737</v>
      </c>
      <c r="B96" s="40" t="str">
        <f>_xlfn.XLOOKUP(PROPERTIES[[#This Row],[VEHIDCODE]],CONTROL[VEHIDCODE],CONTROL[ENGLISH])</f>
        <v>Kolomna P36</v>
      </c>
      <c r="Z96" s="2" t="b">
        <v>1</v>
      </c>
      <c r="AC96" s="2"/>
      <c r="AD96" s="2" t="b">
        <f>LEN(_xlfn.CONCAT(TRACK_TYPES[[#This Row],[TRACK_TYPE_STANDARD_GAUGE_RAILTYPE_OHLE]:[TRACK_TYPE_MTRO]]))&gt;0</f>
        <v>1</v>
      </c>
      <c r="AE96" s="38" t="b" cm="1">
        <f t="array" ref="AE96">IFERROR(_xlfn.BYROW(TRACK_TYPES[[#This Row],[TRACK_TYPE_STANDARD_GAUGE_RAILTYPE_OHLE]:[TRACK_TYPE_STANDARD_GAUGE_RAILTYPE_NONE]],_xlfn.LAMBDA(_xlpm.r,OR(_xlpm.r))),FALSE)</f>
        <v>0</v>
      </c>
      <c r="AF96" s="38" t="b" cm="1">
        <f t="array" ref="AF96">IFERROR(_xlfn.BYROW(TRACK_TYPES[[#This Row],[TRACK_TYPE_NARROW_GAUGE_RAILTYPE_OHLE]:[TRACK_TYPE_NARROW_GAUGE_RAILTYPE_NONE]],_xlfn.LAMBDA(_xlpm.r,OR(_xlpm.r))),FALSE)</f>
        <v>0</v>
      </c>
      <c r="AG96" s="38" t="b" cm="1">
        <f t="array" ref="AG96">IFERROR(_xlfn.BYROW(TRACK_TYPES[[#This Row],[TRACK_TYPE_BROAD_GAUGE_RAILTYPE_OHLE]:[TRACK_TYPE_BROAD_GAUGE_RAILTYPE_NONE]],_xlfn.LAMBDA(_xlpm.r,OR(_xlpm.r))),FALSE)</f>
        <v>1</v>
      </c>
      <c r="AH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96"/>
      <c r="AQ96"/>
      <c r="AR96"/>
    </row>
    <row r="97" spans="1:44" x14ac:dyDescent="0.35">
      <c r="A97" s="2" t="s">
        <v>2738</v>
      </c>
      <c r="B97" s="40" t="str">
        <f>_xlfn.XLOOKUP(PROPERTIES[[#This Row],[VEHIDCODE]],CONTROL[VEHIDCODE],CONTROL[ENGLISH])</f>
        <v>ANF/DEL 150B</v>
      </c>
      <c r="J97" s="2" t="b">
        <v>1</v>
      </c>
      <c r="AC97" s="2"/>
      <c r="AD97" s="2" t="b">
        <f>LEN(_xlfn.CONCAT(TRACK_TYPES[[#This Row],[TRACK_TYPE_STANDARD_GAUGE_RAILTYPE_OHLE]:[TRACK_TYPE_MTRO]]))&gt;0</f>
        <v>1</v>
      </c>
      <c r="AE97" s="38" t="b" cm="1">
        <f t="array" ref="AE97">IFERROR(_xlfn.BYROW(TRACK_TYPES[[#This Row],[TRACK_TYPE_STANDARD_GAUGE_RAILTYPE_OHLE]:[TRACK_TYPE_STANDARD_GAUGE_RAILTYPE_NONE]],_xlfn.LAMBDA(_xlpm.r,OR(_xlpm.r))),FALSE)</f>
        <v>1</v>
      </c>
      <c r="AF97" s="38" t="b" cm="1">
        <f t="array" ref="AF97">IFERROR(_xlfn.BYROW(TRACK_TYPES[[#This Row],[TRACK_TYPE_NARROW_GAUGE_RAILTYPE_OHLE]:[TRACK_TYPE_NARROW_GAUGE_RAILTYPE_NONE]],_xlfn.LAMBDA(_xlpm.r,OR(_xlpm.r))),FALSE)</f>
        <v>0</v>
      </c>
      <c r="AG97" s="38" t="b" cm="1">
        <f t="array" ref="AG97">IFERROR(_xlfn.BYROW(TRACK_TYPES[[#This Row],[TRACK_TYPE_BROAD_GAUGE_RAILTYPE_OHLE]:[TRACK_TYPE_BROAD_GAUGE_RAILTYPE_NONE]],_xlfn.LAMBDA(_xlpm.r,OR(_xlpm.r))),FALSE)</f>
        <v>0</v>
      </c>
      <c r="AH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7"/>
      <c r="AQ97"/>
      <c r="AR97"/>
    </row>
    <row r="98" spans="1:44" x14ac:dyDescent="0.35">
      <c r="A98" s="2" t="s">
        <v>2739</v>
      </c>
      <c r="B98" s="40" t="str">
        <f>_xlfn.XLOOKUP(PROPERTIES[[#This Row],[VEHIDCODE]],CONTROL[VEHIDCODE],CONTROL[ENGLISH])</f>
        <v>Henschel 895</v>
      </c>
      <c r="J98" s="2" t="b">
        <v>1</v>
      </c>
      <c r="AC98" s="2"/>
      <c r="AD98" s="2" t="b">
        <f>LEN(_xlfn.CONCAT(TRACK_TYPES[[#This Row],[TRACK_TYPE_STANDARD_GAUGE_RAILTYPE_OHLE]:[TRACK_TYPE_MTRO]]))&gt;0</f>
        <v>1</v>
      </c>
      <c r="AE98" s="38" t="b" cm="1">
        <f t="array" ref="AE98">IFERROR(_xlfn.BYROW(TRACK_TYPES[[#This Row],[TRACK_TYPE_STANDARD_GAUGE_RAILTYPE_OHLE]:[TRACK_TYPE_STANDARD_GAUGE_RAILTYPE_NONE]],_xlfn.LAMBDA(_xlpm.r,OR(_xlpm.r))),FALSE)</f>
        <v>1</v>
      </c>
      <c r="AF98" s="38" t="b" cm="1">
        <f t="array" ref="AF98">IFERROR(_xlfn.BYROW(TRACK_TYPES[[#This Row],[TRACK_TYPE_NARROW_GAUGE_RAILTYPE_OHLE]:[TRACK_TYPE_NARROW_GAUGE_RAILTYPE_NONE]],_xlfn.LAMBDA(_xlpm.r,OR(_xlpm.r))),FALSE)</f>
        <v>0</v>
      </c>
      <c r="AG98" s="38" t="b" cm="1">
        <f t="array" ref="AG98">IFERROR(_xlfn.BYROW(TRACK_TYPES[[#This Row],[TRACK_TYPE_BROAD_GAUGE_RAILTYPE_OHLE]:[TRACK_TYPE_BROAD_GAUGE_RAILTYPE_NONE]],_xlfn.LAMBDA(_xlpm.r,OR(_xlpm.r))),FALSE)</f>
        <v>0</v>
      </c>
      <c r="AH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8"/>
      <c r="AQ98"/>
      <c r="AR98"/>
    </row>
    <row r="99" spans="1:44" x14ac:dyDescent="0.35">
      <c r="A99" s="2" t="s">
        <v>2740</v>
      </c>
      <c r="B99" s="40" t="str">
        <f>_xlfn.XLOOKUP(PROPERTIES[[#This Row],[VEHIDCODE]],CONTROL[VEHIDCODE],CONTROL[ENGLISH])</f>
        <v>H. Cegielski OKz32</v>
      </c>
      <c r="J99" s="2" t="b">
        <v>1</v>
      </c>
      <c r="AC99" s="2"/>
      <c r="AD99" s="2" t="b">
        <f>LEN(_xlfn.CONCAT(TRACK_TYPES[[#This Row],[TRACK_TYPE_STANDARD_GAUGE_RAILTYPE_OHLE]:[TRACK_TYPE_MTRO]]))&gt;0</f>
        <v>1</v>
      </c>
      <c r="AE99" s="38" t="b" cm="1">
        <f t="array" ref="AE99">IFERROR(_xlfn.BYROW(TRACK_TYPES[[#This Row],[TRACK_TYPE_STANDARD_GAUGE_RAILTYPE_OHLE]:[TRACK_TYPE_STANDARD_GAUGE_RAILTYPE_NONE]],_xlfn.LAMBDA(_xlpm.r,OR(_xlpm.r))),FALSE)</f>
        <v>1</v>
      </c>
      <c r="AF99" s="38" t="b" cm="1">
        <f t="array" ref="AF99">IFERROR(_xlfn.BYROW(TRACK_TYPES[[#This Row],[TRACK_TYPE_NARROW_GAUGE_RAILTYPE_OHLE]:[TRACK_TYPE_NARROW_GAUGE_RAILTYPE_NONE]],_xlfn.LAMBDA(_xlpm.r,OR(_xlpm.r))),FALSE)</f>
        <v>0</v>
      </c>
      <c r="AG99" s="38" t="b" cm="1">
        <f t="array" ref="AG99">IFERROR(_xlfn.BYROW(TRACK_TYPES[[#This Row],[TRACK_TYPE_BROAD_GAUGE_RAILTYPE_OHLE]:[TRACK_TYPE_BROAD_GAUGE_RAILTYPE_NONE]],_xlfn.LAMBDA(_xlpm.r,OR(_xlpm.r))),FALSE)</f>
        <v>0</v>
      </c>
      <c r="AH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9"/>
      <c r="AQ99"/>
      <c r="AR99"/>
    </row>
    <row r="100" spans="1:44" x14ac:dyDescent="0.35">
      <c r="A100" s="2" t="s">
        <v>2741</v>
      </c>
      <c r="B100" s="40" t="str">
        <f>_xlfn.XLOOKUP(PROPERTIES[[#This Row],[VEHIDCODE]],CONTROL[VEHIDCODE],CONTROL[ENGLISH])</f>
        <v>SLM C 5/6 'Elephant'</v>
      </c>
      <c r="J100" s="2" t="b">
        <v>1</v>
      </c>
      <c r="AC100" s="2"/>
      <c r="AD100" s="2" t="b">
        <f>LEN(_xlfn.CONCAT(TRACK_TYPES[[#This Row],[TRACK_TYPE_STANDARD_GAUGE_RAILTYPE_OHLE]:[TRACK_TYPE_MTRO]]))&gt;0</f>
        <v>1</v>
      </c>
      <c r="AE100" s="38" t="b" cm="1">
        <f t="array" ref="AE100">IFERROR(_xlfn.BYROW(TRACK_TYPES[[#This Row],[TRACK_TYPE_STANDARD_GAUGE_RAILTYPE_OHLE]:[TRACK_TYPE_STANDARD_GAUGE_RAILTYPE_NONE]],_xlfn.LAMBDA(_xlpm.r,OR(_xlpm.r))),FALSE)</f>
        <v>1</v>
      </c>
      <c r="AF100" s="38" t="b" cm="1">
        <f t="array" ref="AF100">IFERROR(_xlfn.BYROW(TRACK_TYPES[[#This Row],[TRACK_TYPE_NARROW_GAUGE_RAILTYPE_OHLE]:[TRACK_TYPE_NARROW_GAUGE_RAILTYPE_NONE]],_xlfn.LAMBDA(_xlpm.r,OR(_xlpm.r))),FALSE)</f>
        <v>0</v>
      </c>
      <c r="AG100" s="38" t="b" cm="1">
        <f t="array" ref="AG100">IFERROR(_xlfn.BYROW(TRACK_TYPES[[#This Row],[TRACK_TYPE_BROAD_GAUGE_RAILTYPE_OHLE]:[TRACK_TYPE_BROAD_GAUGE_RAILTYPE_NONE]],_xlfn.LAMBDA(_xlpm.r,OR(_xlpm.r))),FALSE)</f>
        <v>0</v>
      </c>
      <c r="AH1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0"/>
      <c r="AQ100"/>
      <c r="AR100"/>
    </row>
    <row r="101" spans="1:44" x14ac:dyDescent="0.35">
      <c r="A101" s="2" t="s">
        <v>2742</v>
      </c>
      <c r="B101" s="40" t="str">
        <f>_xlfn.XLOOKUP(PROPERTIES[[#This Row],[VEHIDCODE]],CONTROL[VEHIDCODE],CONTROL[ENGLISH])</f>
        <v>ALCO series 4000 4-8-8-4 'Big Boy'</v>
      </c>
      <c r="J101" s="2" t="b">
        <v>1</v>
      </c>
      <c r="AC101" s="2"/>
      <c r="AD101" s="2" t="b">
        <f>LEN(_xlfn.CONCAT(TRACK_TYPES[[#This Row],[TRACK_TYPE_STANDARD_GAUGE_RAILTYPE_OHLE]:[TRACK_TYPE_MTRO]]))&gt;0</f>
        <v>1</v>
      </c>
      <c r="AE101" s="38" t="b" cm="1">
        <f t="array" ref="AE101">IFERROR(_xlfn.BYROW(TRACK_TYPES[[#This Row],[TRACK_TYPE_STANDARD_GAUGE_RAILTYPE_OHLE]:[TRACK_TYPE_STANDARD_GAUGE_RAILTYPE_NONE]],_xlfn.LAMBDA(_xlpm.r,OR(_xlpm.r))),FALSE)</f>
        <v>1</v>
      </c>
      <c r="AF101" s="38" t="b" cm="1">
        <f t="array" ref="AF101">IFERROR(_xlfn.BYROW(TRACK_TYPES[[#This Row],[TRACK_TYPE_NARROW_GAUGE_RAILTYPE_OHLE]:[TRACK_TYPE_NARROW_GAUGE_RAILTYPE_NONE]],_xlfn.LAMBDA(_xlpm.r,OR(_xlpm.r))),FALSE)</f>
        <v>0</v>
      </c>
      <c r="AG101" s="38" t="b" cm="1">
        <f t="array" ref="AG101">IFERROR(_xlfn.BYROW(TRACK_TYPES[[#This Row],[TRACK_TYPE_BROAD_GAUGE_RAILTYPE_OHLE]:[TRACK_TYPE_BROAD_GAUGE_RAILTYPE_NONE]],_xlfn.LAMBDA(_xlpm.r,OR(_xlpm.r))),FALSE)</f>
        <v>0</v>
      </c>
      <c r="AH1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1"/>
      <c r="AQ101"/>
      <c r="AR101"/>
    </row>
    <row r="102" spans="1:44" x14ac:dyDescent="0.35">
      <c r="A102" s="2" t="s">
        <v>2743</v>
      </c>
      <c r="B102" s="40" t="str">
        <f>_xlfn.XLOOKUP(PROPERTIES[[#This Row],[VEHIDCODE]],CONTROL[VEHIDCODE],CONTROL[ENGLISH])</f>
        <v>Sharp, Stewart &amp; Co. 4-4-0 3557-3565</v>
      </c>
      <c r="J102" s="2" t="b">
        <v>1</v>
      </c>
      <c r="AC102" s="2"/>
      <c r="AD102" s="2" t="b">
        <f>LEN(_xlfn.CONCAT(TRACK_TYPES[[#This Row],[TRACK_TYPE_STANDARD_GAUGE_RAILTYPE_OHLE]:[TRACK_TYPE_MTRO]]))&gt;0</f>
        <v>1</v>
      </c>
      <c r="AE102" s="38" t="b" cm="1">
        <f t="array" ref="AE102">IFERROR(_xlfn.BYROW(TRACK_TYPES[[#This Row],[TRACK_TYPE_STANDARD_GAUGE_RAILTYPE_OHLE]:[TRACK_TYPE_STANDARD_GAUGE_RAILTYPE_NONE]],_xlfn.LAMBDA(_xlpm.r,OR(_xlpm.r))),FALSE)</f>
        <v>1</v>
      </c>
      <c r="AF102" s="38" t="b" cm="1">
        <f t="array" ref="AF102">IFERROR(_xlfn.BYROW(TRACK_TYPES[[#This Row],[TRACK_TYPE_NARROW_GAUGE_RAILTYPE_OHLE]:[TRACK_TYPE_NARROW_GAUGE_RAILTYPE_NONE]],_xlfn.LAMBDA(_xlpm.r,OR(_xlpm.r))),FALSE)</f>
        <v>0</v>
      </c>
      <c r="AG102" s="38" t="b" cm="1">
        <f t="array" ref="AG102">IFERROR(_xlfn.BYROW(TRACK_TYPES[[#This Row],[TRACK_TYPE_BROAD_GAUGE_RAILTYPE_OHLE]:[TRACK_TYPE_BROAD_GAUGE_RAILTYPE_NONE]],_xlfn.LAMBDA(_xlpm.r,OR(_xlpm.r))),FALSE)</f>
        <v>0</v>
      </c>
      <c r="AH1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2"/>
      <c r="AQ102"/>
      <c r="AR102"/>
    </row>
    <row r="103" spans="1:44" x14ac:dyDescent="0.35">
      <c r="A103" s="2" t="s">
        <v>2744</v>
      </c>
      <c r="B103" s="40" t="str">
        <f>_xlfn.XLOOKUP(PROPERTIES[[#This Row],[VEHIDCODE]],CONTROL[VEHIDCODE],CONTROL[ENGLISH])</f>
        <v>GWR Iron Duke</v>
      </c>
      <c r="Z103" s="2" t="b">
        <v>1</v>
      </c>
      <c r="AC103" s="2"/>
      <c r="AD103" s="2" t="b">
        <f>LEN(_xlfn.CONCAT(TRACK_TYPES[[#This Row],[TRACK_TYPE_STANDARD_GAUGE_RAILTYPE_OHLE]:[TRACK_TYPE_MTRO]]))&gt;0</f>
        <v>1</v>
      </c>
      <c r="AE103" s="38" t="b" cm="1">
        <f t="array" ref="AE103">IFERROR(_xlfn.BYROW(TRACK_TYPES[[#This Row],[TRACK_TYPE_STANDARD_GAUGE_RAILTYPE_OHLE]:[TRACK_TYPE_STANDARD_GAUGE_RAILTYPE_NONE]],_xlfn.LAMBDA(_xlpm.r,OR(_xlpm.r))),FALSE)</f>
        <v>0</v>
      </c>
      <c r="AF103" s="38" t="b" cm="1">
        <f t="array" ref="AF103">IFERROR(_xlfn.BYROW(TRACK_TYPES[[#This Row],[TRACK_TYPE_NARROW_GAUGE_RAILTYPE_OHLE]:[TRACK_TYPE_NARROW_GAUGE_RAILTYPE_NONE]],_xlfn.LAMBDA(_xlpm.r,OR(_xlpm.r))),FALSE)</f>
        <v>0</v>
      </c>
      <c r="AG103" s="38" t="b" cm="1">
        <f t="array" ref="AG103">IFERROR(_xlfn.BYROW(TRACK_TYPES[[#This Row],[TRACK_TYPE_BROAD_GAUGE_RAILTYPE_OHLE]:[TRACK_TYPE_BROAD_GAUGE_RAILTYPE_NONE]],_xlfn.LAMBDA(_xlpm.r,OR(_xlpm.r))),FALSE)</f>
        <v>1</v>
      </c>
      <c r="AH1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03"/>
      <c r="AQ103"/>
      <c r="AR103"/>
    </row>
    <row r="104" spans="1:44" x14ac:dyDescent="0.35">
      <c r="A104" s="2" t="s">
        <v>2745</v>
      </c>
      <c r="B104" s="40" t="str">
        <f>_xlfn.XLOOKUP(PROPERTIES[[#This Row],[VEHIDCODE]],CONTROL[VEHIDCODE],CONTROL[ENGLISH])</f>
        <v>Stephenson 0-4-2 'Locomotive No.1'</v>
      </c>
      <c r="J104" s="2" t="b">
        <v>1</v>
      </c>
      <c r="AC104" s="2"/>
      <c r="AD104" s="2" t="b">
        <f>LEN(_xlfn.CONCAT(TRACK_TYPES[[#This Row],[TRACK_TYPE_STANDARD_GAUGE_RAILTYPE_OHLE]:[TRACK_TYPE_MTRO]]))&gt;0</f>
        <v>1</v>
      </c>
      <c r="AE104" s="38" t="b" cm="1">
        <f t="array" ref="AE104">IFERROR(_xlfn.BYROW(TRACK_TYPES[[#This Row],[TRACK_TYPE_STANDARD_GAUGE_RAILTYPE_OHLE]:[TRACK_TYPE_STANDARD_GAUGE_RAILTYPE_NONE]],_xlfn.LAMBDA(_xlpm.r,OR(_xlpm.r))),FALSE)</f>
        <v>1</v>
      </c>
      <c r="AF104" s="38" t="b" cm="1">
        <f t="array" ref="AF104">IFERROR(_xlfn.BYROW(TRACK_TYPES[[#This Row],[TRACK_TYPE_NARROW_GAUGE_RAILTYPE_OHLE]:[TRACK_TYPE_NARROW_GAUGE_RAILTYPE_NONE]],_xlfn.LAMBDA(_xlpm.r,OR(_xlpm.r))),FALSE)</f>
        <v>0</v>
      </c>
      <c r="AG104" s="38" t="b" cm="1">
        <f t="array" ref="AG104">IFERROR(_xlfn.BYROW(TRACK_TYPES[[#This Row],[TRACK_TYPE_BROAD_GAUGE_RAILTYPE_OHLE]:[TRACK_TYPE_BROAD_GAUGE_RAILTYPE_NONE]],_xlfn.LAMBDA(_xlpm.r,OR(_xlpm.r))),FALSE)</f>
        <v>0</v>
      </c>
      <c r="AH1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4"/>
      <c r="AQ104"/>
      <c r="AR104"/>
    </row>
    <row r="105" spans="1:44" x14ac:dyDescent="0.35">
      <c r="A105" s="2" t="s">
        <v>2746</v>
      </c>
      <c r="B105" s="40" t="str">
        <f>_xlfn.XLOOKUP(PROPERTIES[[#This Row],[VEHIDCODE]],CONTROL[VEHIDCODE],CONTROL[ENGLISH])</f>
        <v>Cooke 4-2-2 'T. D. Judah'</v>
      </c>
      <c r="J105" s="2" t="b">
        <v>1</v>
      </c>
      <c r="AC105" s="2"/>
      <c r="AD105" s="2" t="b">
        <f>LEN(_xlfn.CONCAT(TRACK_TYPES[[#This Row],[TRACK_TYPE_STANDARD_GAUGE_RAILTYPE_OHLE]:[TRACK_TYPE_MTRO]]))&gt;0</f>
        <v>1</v>
      </c>
      <c r="AE105" s="38" t="b" cm="1">
        <f t="array" ref="AE105">IFERROR(_xlfn.BYROW(TRACK_TYPES[[#This Row],[TRACK_TYPE_STANDARD_GAUGE_RAILTYPE_OHLE]:[TRACK_TYPE_STANDARD_GAUGE_RAILTYPE_NONE]],_xlfn.LAMBDA(_xlpm.r,OR(_xlpm.r))),FALSE)</f>
        <v>1</v>
      </c>
      <c r="AF105" s="38" t="b" cm="1">
        <f t="array" ref="AF105">IFERROR(_xlfn.BYROW(TRACK_TYPES[[#This Row],[TRACK_TYPE_NARROW_GAUGE_RAILTYPE_OHLE]:[TRACK_TYPE_NARROW_GAUGE_RAILTYPE_NONE]],_xlfn.LAMBDA(_xlpm.r,OR(_xlpm.r))),FALSE)</f>
        <v>0</v>
      </c>
      <c r="AG105" s="38" t="b" cm="1">
        <f t="array" ref="AG105">IFERROR(_xlfn.BYROW(TRACK_TYPES[[#This Row],[TRACK_TYPE_BROAD_GAUGE_RAILTYPE_OHLE]:[TRACK_TYPE_BROAD_GAUGE_RAILTYPE_NONE]],_xlfn.LAMBDA(_xlpm.r,OR(_xlpm.r))),FALSE)</f>
        <v>0</v>
      </c>
      <c r="AH1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5"/>
      <c r="AQ105"/>
      <c r="AR105"/>
    </row>
    <row r="106" spans="1:44" x14ac:dyDescent="0.35">
      <c r="A106" s="2" t="s">
        <v>2747</v>
      </c>
      <c r="B106" s="40" t="str">
        <f>_xlfn.XLOOKUP(PROPERTIES[[#This Row],[VEHIDCODE]],CONTROL[VEHIDCODE],CONTROL[ENGLISH])</f>
        <v>Beyer, P &amp; Co. 2-4-0 SS 9-16, 21-78</v>
      </c>
      <c r="J106" s="2" t="b">
        <v>1</v>
      </c>
      <c r="AC106" s="2"/>
      <c r="AD106" s="2" t="b">
        <f>LEN(_xlfn.CONCAT(TRACK_TYPES[[#This Row],[TRACK_TYPE_STANDARD_GAUGE_RAILTYPE_OHLE]:[TRACK_TYPE_MTRO]]))&gt;0</f>
        <v>1</v>
      </c>
      <c r="AE106" s="38" t="b" cm="1">
        <f t="array" ref="AE106">IFERROR(_xlfn.BYROW(TRACK_TYPES[[#This Row],[TRACK_TYPE_STANDARD_GAUGE_RAILTYPE_OHLE]:[TRACK_TYPE_STANDARD_GAUGE_RAILTYPE_NONE]],_xlfn.LAMBDA(_xlpm.r,OR(_xlpm.r))),FALSE)</f>
        <v>1</v>
      </c>
      <c r="AF106" s="38" t="b" cm="1">
        <f t="array" ref="AF106">IFERROR(_xlfn.BYROW(TRACK_TYPES[[#This Row],[TRACK_TYPE_NARROW_GAUGE_RAILTYPE_OHLE]:[TRACK_TYPE_NARROW_GAUGE_RAILTYPE_NONE]],_xlfn.LAMBDA(_xlpm.r,OR(_xlpm.r))),FALSE)</f>
        <v>0</v>
      </c>
      <c r="AG106" s="38" t="b" cm="1">
        <f t="array" ref="AG106">IFERROR(_xlfn.BYROW(TRACK_TYPES[[#This Row],[TRACK_TYPE_BROAD_GAUGE_RAILTYPE_OHLE]:[TRACK_TYPE_BROAD_GAUGE_RAILTYPE_NONE]],_xlfn.LAMBDA(_xlpm.r,OR(_xlpm.r))),FALSE)</f>
        <v>0</v>
      </c>
      <c r="AH1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6"/>
      <c r="AQ106"/>
      <c r="AR106"/>
    </row>
    <row r="107" spans="1:44" x14ac:dyDescent="0.35">
      <c r="A107" s="2" t="s">
        <v>2748</v>
      </c>
      <c r="B107" s="40" t="str">
        <f>_xlfn.XLOOKUP(PROPERTIES[[#This Row],[VEHIDCODE]],CONTROL[VEHIDCODE],CONTROL[ENGLISH])</f>
        <v>Beyer, P &amp; Co. 2-6-0T 1702-1706</v>
      </c>
      <c r="R107" s="2" t="b">
        <v>1</v>
      </c>
      <c r="AC107" s="2"/>
      <c r="AD107" s="2" t="b">
        <f>LEN(_xlfn.CONCAT(TRACK_TYPES[[#This Row],[TRACK_TYPE_STANDARD_GAUGE_RAILTYPE_OHLE]:[TRACK_TYPE_MTRO]]))&gt;0</f>
        <v>1</v>
      </c>
      <c r="AE107" s="38" t="b" cm="1">
        <f t="array" ref="AE107">IFERROR(_xlfn.BYROW(TRACK_TYPES[[#This Row],[TRACK_TYPE_STANDARD_GAUGE_RAILTYPE_OHLE]:[TRACK_TYPE_STANDARD_GAUGE_RAILTYPE_NONE]],_xlfn.LAMBDA(_xlpm.r,OR(_xlpm.r))),FALSE)</f>
        <v>0</v>
      </c>
      <c r="AF107" s="38" t="b" cm="1">
        <f t="array" ref="AF107">IFERROR(_xlfn.BYROW(TRACK_TYPES[[#This Row],[TRACK_TYPE_NARROW_GAUGE_RAILTYPE_OHLE]:[TRACK_TYPE_NARROW_GAUGE_RAILTYPE_NONE]],_xlfn.LAMBDA(_xlpm.r,OR(_xlpm.r))),FALSE)</f>
        <v>1</v>
      </c>
      <c r="AG107" s="38" t="b" cm="1">
        <f t="array" ref="AG107">IFERROR(_xlfn.BYROW(TRACK_TYPES[[#This Row],[TRACK_TYPE_BROAD_GAUGE_RAILTYPE_OHLE]:[TRACK_TYPE_BROAD_GAUGE_RAILTYPE_NONE]],_xlfn.LAMBDA(_xlpm.r,OR(_xlpm.r))),FALSE)</f>
        <v>0</v>
      </c>
      <c r="AH1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07"/>
      <c r="AQ107"/>
      <c r="AR107"/>
    </row>
    <row r="108" spans="1:44" x14ac:dyDescent="0.35">
      <c r="A108" s="2" t="s">
        <v>2749</v>
      </c>
      <c r="B108" s="40" t="str">
        <f>_xlfn.XLOOKUP(PROPERTIES[[#This Row],[VEHIDCODE]],CONTROL[VEHIDCODE],CONTROL[ENGLISH])</f>
        <v>Beyer, P &amp; Co. 2-6-0 2073-2092</v>
      </c>
      <c r="J108" s="2" t="b">
        <v>1</v>
      </c>
      <c r="AC108" s="2"/>
      <c r="AD108" s="2" t="b">
        <f>LEN(_xlfn.CONCAT(TRACK_TYPES[[#This Row],[TRACK_TYPE_STANDARD_GAUGE_RAILTYPE_OHLE]:[TRACK_TYPE_MTRO]]))&gt;0</f>
        <v>1</v>
      </c>
      <c r="AE108" s="38" t="b" cm="1">
        <f t="array" ref="AE108">IFERROR(_xlfn.BYROW(TRACK_TYPES[[#This Row],[TRACK_TYPE_STANDARD_GAUGE_RAILTYPE_OHLE]:[TRACK_TYPE_STANDARD_GAUGE_RAILTYPE_NONE]],_xlfn.LAMBDA(_xlpm.r,OR(_xlpm.r))),FALSE)</f>
        <v>1</v>
      </c>
      <c r="AF108" s="38" t="b" cm="1">
        <f t="array" ref="AF108">IFERROR(_xlfn.BYROW(TRACK_TYPES[[#This Row],[TRACK_TYPE_NARROW_GAUGE_RAILTYPE_OHLE]:[TRACK_TYPE_NARROW_GAUGE_RAILTYPE_NONE]],_xlfn.LAMBDA(_xlpm.r,OR(_xlpm.r))),FALSE)</f>
        <v>0</v>
      </c>
      <c r="AG108" s="38" t="b" cm="1">
        <f t="array" ref="AG108">IFERROR(_xlfn.BYROW(TRACK_TYPES[[#This Row],[TRACK_TYPE_BROAD_GAUGE_RAILTYPE_OHLE]:[TRACK_TYPE_BROAD_GAUGE_RAILTYPE_NONE]],_xlfn.LAMBDA(_xlpm.r,OR(_xlpm.r))),FALSE)</f>
        <v>0</v>
      </c>
      <c r="AH1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8"/>
      <c r="AQ108"/>
      <c r="AR108"/>
    </row>
    <row r="109" spans="1:44" x14ac:dyDescent="0.35">
      <c r="A109" s="2" t="s">
        <v>2750</v>
      </c>
      <c r="B109" s="40" t="str">
        <f>_xlfn.XLOOKUP(PROPERTIES[[#This Row],[VEHIDCODE]],CONTROL[VEHIDCODE],CONTROL[ENGLISH])</f>
        <v>Canadian Pacific 374</v>
      </c>
      <c r="J109" s="2" t="b">
        <v>1</v>
      </c>
      <c r="AC109" s="2"/>
      <c r="AD109" s="2" t="b">
        <f>LEN(_xlfn.CONCAT(TRACK_TYPES[[#This Row],[TRACK_TYPE_STANDARD_GAUGE_RAILTYPE_OHLE]:[TRACK_TYPE_MTRO]]))&gt;0</f>
        <v>1</v>
      </c>
      <c r="AE109" s="38" t="b" cm="1">
        <f t="array" ref="AE109">IFERROR(_xlfn.BYROW(TRACK_TYPES[[#This Row],[TRACK_TYPE_STANDARD_GAUGE_RAILTYPE_OHLE]:[TRACK_TYPE_STANDARD_GAUGE_RAILTYPE_NONE]],_xlfn.LAMBDA(_xlpm.r,OR(_xlpm.r))),FALSE)</f>
        <v>1</v>
      </c>
      <c r="AF109" s="38" t="b" cm="1">
        <f t="array" ref="AF109">IFERROR(_xlfn.BYROW(TRACK_TYPES[[#This Row],[TRACK_TYPE_NARROW_GAUGE_RAILTYPE_OHLE]:[TRACK_TYPE_NARROW_GAUGE_RAILTYPE_NONE]],_xlfn.LAMBDA(_xlpm.r,OR(_xlpm.r))),FALSE)</f>
        <v>0</v>
      </c>
      <c r="AG109" s="38" t="b" cm="1">
        <f t="array" ref="AG109">IFERROR(_xlfn.BYROW(TRACK_TYPES[[#This Row],[TRACK_TYPE_BROAD_GAUGE_RAILTYPE_OHLE]:[TRACK_TYPE_BROAD_GAUGE_RAILTYPE_NONE]],_xlfn.LAMBDA(_xlpm.r,OR(_xlpm.r))),FALSE)</f>
        <v>0</v>
      </c>
      <c r="AH1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9"/>
      <c r="AQ109"/>
      <c r="AR109"/>
    </row>
    <row r="110" spans="1:44" x14ac:dyDescent="0.35">
      <c r="A110" s="2" t="s">
        <v>2751</v>
      </c>
      <c r="B110" s="40" t="str">
        <f>_xlfn.XLOOKUP(PROPERTIES[[#This Row],[VEHIDCODE]],CONTROL[VEHIDCODE],CONTROL[ENGLISH])</f>
        <v>Nasmyth, Wilson &amp; Co. '35-tonner' 4-6-0T</v>
      </c>
      <c r="R110" s="2" t="b">
        <v>1</v>
      </c>
      <c r="AC110" s="2"/>
      <c r="AD110" s="2" t="b">
        <f>LEN(_xlfn.CONCAT(TRACK_TYPES[[#This Row],[TRACK_TYPE_STANDARD_GAUGE_RAILTYPE_OHLE]:[TRACK_TYPE_MTRO]]))&gt;0</f>
        <v>1</v>
      </c>
      <c r="AE110" s="38" t="b" cm="1">
        <f t="array" ref="AE110">IFERROR(_xlfn.BYROW(TRACK_TYPES[[#This Row],[TRACK_TYPE_STANDARD_GAUGE_RAILTYPE_OHLE]:[TRACK_TYPE_STANDARD_GAUGE_RAILTYPE_NONE]],_xlfn.LAMBDA(_xlpm.r,OR(_xlpm.r))),FALSE)</f>
        <v>0</v>
      </c>
      <c r="AF110" s="38" t="b" cm="1">
        <f t="array" ref="AF110">IFERROR(_xlfn.BYROW(TRACK_TYPES[[#This Row],[TRACK_TYPE_NARROW_GAUGE_RAILTYPE_OHLE]:[TRACK_TYPE_NARROW_GAUGE_RAILTYPE_NONE]],_xlfn.LAMBDA(_xlpm.r,OR(_xlpm.r))),FALSE)</f>
        <v>1</v>
      </c>
      <c r="AG110" s="38" t="b" cm="1">
        <f t="array" ref="AG110">IFERROR(_xlfn.BYROW(TRACK_TYPES[[#This Row],[TRACK_TYPE_BROAD_GAUGE_RAILTYPE_OHLE]:[TRACK_TYPE_BROAD_GAUGE_RAILTYPE_NONE]],_xlfn.LAMBDA(_xlpm.r,OR(_xlpm.r))),FALSE)</f>
        <v>0</v>
      </c>
      <c r="AH1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10"/>
      <c r="AQ110"/>
      <c r="AR110"/>
    </row>
    <row r="111" spans="1:44" x14ac:dyDescent="0.35">
      <c r="A111" s="2" t="s">
        <v>2752</v>
      </c>
      <c r="B111" s="40" t="str">
        <f>_xlfn.XLOOKUP(PROPERTIES[[#This Row],[VEHIDCODE]],CONTROL[VEHIDCODE],CONTROL[ENGLISH])</f>
        <v>Schneider RENFE 040</v>
      </c>
      <c r="Z111" s="2" t="b">
        <v>1</v>
      </c>
      <c r="AC111" s="2"/>
      <c r="AD111" s="2" t="b">
        <f>LEN(_xlfn.CONCAT(TRACK_TYPES[[#This Row],[TRACK_TYPE_STANDARD_GAUGE_RAILTYPE_OHLE]:[TRACK_TYPE_MTRO]]))&gt;0</f>
        <v>1</v>
      </c>
      <c r="AE111" s="38" t="b" cm="1">
        <f t="array" ref="AE111">IFERROR(_xlfn.BYROW(TRACK_TYPES[[#This Row],[TRACK_TYPE_STANDARD_GAUGE_RAILTYPE_OHLE]:[TRACK_TYPE_STANDARD_GAUGE_RAILTYPE_NONE]],_xlfn.LAMBDA(_xlpm.r,OR(_xlpm.r))),FALSE)</f>
        <v>0</v>
      </c>
      <c r="AF111" s="38" t="b" cm="1">
        <f t="array" ref="AF111">IFERROR(_xlfn.BYROW(TRACK_TYPES[[#This Row],[TRACK_TYPE_NARROW_GAUGE_RAILTYPE_OHLE]:[TRACK_TYPE_NARROW_GAUGE_RAILTYPE_NONE]],_xlfn.LAMBDA(_xlpm.r,OR(_xlpm.r))),FALSE)</f>
        <v>0</v>
      </c>
      <c r="AG111" s="38" t="b" cm="1">
        <f t="array" ref="AG111">IFERROR(_xlfn.BYROW(TRACK_TYPES[[#This Row],[TRACK_TYPE_BROAD_GAUGE_RAILTYPE_OHLE]:[TRACK_TYPE_BROAD_GAUGE_RAILTYPE_NONE]],_xlfn.LAMBDA(_xlpm.r,OR(_xlpm.r))),FALSE)</f>
        <v>1</v>
      </c>
      <c r="AH1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11"/>
      <c r="AQ111"/>
      <c r="AR111"/>
    </row>
    <row r="112" spans="1:44" x14ac:dyDescent="0.35">
      <c r="A112" s="2" t="s">
        <v>2753</v>
      </c>
      <c r="B112" s="40" t="str">
        <f>_xlfn.XLOOKUP(PROPERTIES[[#This Row],[VEHIDCODE]],CONTROL[VEHIDCODE],CONTROL[ENGLISH])</f>
        <v>Sächsische Maschinenfabrik IV K</v>
      </c>
      <c r="R112" s="2" t="b">
        <v>1</v>
      </c>
      <c r="AC112" s="2"/>
      <c r="AD112" s="2" t="b">
        <f>LEN(_xlfn.CONCAT(TRACK_TYPES[[#This Row],[TRACK_TYPE_STANDARD_GAUGE_RAILTYPE_OHLE]:[TRACK_TYPE_MTRO]]))&gt;0</f>
        <v>1</v>
      </c>
      <c r="AE112" s="38" t="b" cm="1">
        <f t="array" ref="AE112">IFERROR(_xlfn.BYROW(TRACK_TYPES[[#This Row],[TRACK_TYPE_STANDARD_GAUGE_RAILTYPE_OHLE]:[TRACK_TYPE_STANDARD_GAUGE_RAILTYPE_NONE]],_xlfn.LAMBDA(_xlpm.r,OR(_xlpm.r))),FALSE)</f>
        <v>0</v>
      </c>
      <c r="AF112" s="38" t="b" cm="1">
        <f t="array" ref="AF112">IFERROR(_xlfn.BYROW(TRACK_TYPES[[#This Row],[TRACK_TYPE_NARROW_GAUGE_RAILTYPE_OHLE]:[TRACK_TYPE_NARROW_GAUGE_RAILTYPE_NONE]],_xlfn.LAMBDA(_xlpm.r,OR(_xlpm.r))),FALSE)</f>
        <v>1</v>
      </c>
      <c r="AG112" s="38" t="b" cm="1">
        <f t="array" ref="AG112">IFERROR(_xlfn.BYROW(TRACK_TYPES[[#This Row],[TRACK_TYPE_BROAD_GAUGE_RAILTYPE_OHLE]:[TRACK_TYPE_BROAD_GAUGE_RAILTYPE_NONE]],_xlfn.LAMBDA(_xlpm.r,OR(_xlpm.r))),FALSE)</f>
        <v>0</v>
      </c>
      <c r="AH1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12"/>
      <c r="AQ112"/>
      <c r="AR112"/>
    </row>
    <row r="113" spans="1:44" x14ac:dyDescent="0.35">
      <c r="A113" s="2" t="s">
        <v>2754</v>
      </c>
      <c r="B113" s="40" t="str">
        <f>_xlfn.XLOOKUP(PROPERTIES[[#This Row],[VEHIDCODE]],CONTROL[VEHIDCODE],CONTROL[ENGLISH])</f>
        <v>Hanomag S 3</v>
      </c>
      <c r="J113" s="2" t="b">
        <v>1</v>
      </c>
      <c r="AC113" s="2"/>
      <c r="AD113" s="2" t="b">
        <f>LEN(_xlfn.CONCAT(TRACK_TYPES[[#This Row],[TRACK_TYPE_STANDARD_GAUGE_RAILTYPE_OHLE]:[TRACK_TYPE_MTRO]]))&gt;0</f>
        <v>1</v>
      </c>
      <c r="AE113" s="38" t="b" cm="1">
        <f t="array" ref="AE113">IFERROR(_xlfn.BYROW(TRACK_TYPES[[#This Row],[TRACK_TYPE_STANDARD_GAUGE_RAILTYPE_OHLE]:[TRACK_TYPE_STANDARD_GAUGE_RAILTYPE_NONE]],_xlfn.LAMBDA(_xlpm.r,OR(_xlpm.r))),FALSE)</f>
        <v>1</v>
      </c>
      <c r="AF113" s="38" t="b" cm="1">
        <f t="array" ref="AF113">IFERROR(_xlfn.BYROW(TRACK_TYPES[[#This Row],[TRACK_TYPE_NARROW_GAUGE_RAILTYPE_OHLE]:[TRACK_TYPE_NARROW_GAUGE_RAILTYPE_NONE]],_xlfn.LAMBDA(_xlpm.r,OR(_xlpm.r))),FALSE)</f>
        <v>0</v>
      </c>
      <c r="AG113" s="38" t="b" cm="1">
        <f t="array" ref="AG113">IFERROR(_xlfn.BYROW(TRACK_TYPES[[#This Row],[TRACK_TYPE_BROAD_GAUGE_RAILTYPE_OHLE]:[TRACK_TYPE_BROAD_GAUGE_RAILTYPE_NONE]],_xlfn.LAMBDA(_xlpm.r,OR(_xlpm.r))),FALSE)</f>
        <v>0</v>
      </c>
      <c r="AH1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3"/>
      <c r="AQ113"/>
      <c r="AR113"/>
    </row>
    <row r="114" spans="1:44" x14ac:dyDescent="0.35">
      <c r="A114" s="2" t="s">
        <v>2755</v>
      </c>
      <c r="B114" s="40" t="str">
        <f>_xlfn.XLOOKUP(PROPERTIES[[#This Row],[VEHIDCODE]],CONTROL[VEHIDCODE],CONTROL[ENGLISH])</f>
        <v>Thune XXIa</v>
      </c>
      <c r="J114" s="2" t="b">
        <v>1</v>
      </c>
      <c r="AC114" s="2"/>
      <c r="AD114" s="2" t="b">
        <f>LEN(_xlfn.CONCAT(TRACK_TYPES[[#This Row],[TRACK_TYPE_STANDARD_GAUGE_RAILTYPE_OHLE]:[TRACK_TYPE_MTRO]]))&gt;0</f>
        <v>1</v>
      </c>
      <c r="AE114" s="38" t="b" cm="1">
        <f t="array" ref="AE114">IFERROR(_xlfn.BYROW(TRACK_TYPES[[#This Row],[TRACK_TYPE_STANDARD_GAUGE_RAILTYPE_OHLE]:[TRACK_TYPE_STANDARD_GAUGE_RAILTYPE_NONE]],_xlfn.LAMBDA(_xlpm.r,OR(_xlpm.r))),FALSE)</f>
        <v>1</v>
      </c>
      <c r="AF114" s="38" t="b" cm="1">
        <f t="array" ref="AF114">IFERROR(_xlfn.BYROW(TRACK_TYPES[[#This Row],[TRACK_TYPE_NARROW_GAUGE_RAILTYPE_OHLE]:[TRACK_TYPE_NARROW_GAUGE_RAILTYPE_NONE]],_xlfn.LAMBDA(_xlpm.r,OR(_xlpm.r))),FALSE)</f>
        <v>0</v>
      </c>
      <c r="AG114" s="38" t="b" cm="1">
        <f t="array" ref="AG114">IFERROR(_xlfn.BYROW(TRACK_TYPES[[#This Row],[TRACK_TYPE_BROAD_GAUGE_RAILTYPE_OHLE]:[TRACK_TYPE_BROAD_GAUGE_RAILTYPE_NONE]],_xlfn.LAMBDA(_xlpm.r,OR(_xlpm.r))),FALSE)</f>
        <v>0</v>
      </c>
      <c r="AH1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4"/>
      <c r="AQ114"/>
      <c r="AR114"/>
    </row>
    <row r="115" spans="1:44" x14ac:dyDescent="0.35">
      <c r="A115" s="2" t="s">
        <v>2756</v>
      </c>
      <c r="B115" s="40" t="str">
        <f>_xlfn.XLOOKUP(PROPERTIES[[#This Row],[VEHIDCODE]],CONTROL[VEHIDCODE],CONTROL[ENGLISH])</f>
        <v>PRR D16</v>
      </c>
      <c r="J115" s="2" t="b">
        <v>1</v>
      </c>
      <c r="AC115" s="2"/>
      <c r="AD115" s="2" t="b">
        <f>LEN(_xlfn.CONCAT(TRACK_TYPES[[#This Row],[TRACK_TYPE_STANDARD_GAUGE_RAILTYPE_OHLE]:[TRACK_TYPE_MTRO]]))&gt;0</f>
        <v>1</v>
      </c>
      <c r="AE115" s="38" t="b" cm="1">
        <f t="array" ref="AE115">IFERROR(_xlfn.BYROW(TRACK_TYPES[[#This Row],[TRACK_TYPE_STANDARD_GAUGE_RAILTYPE_OHLE]:[TRACK_TYPE_STANDARD_GAUGE_RAILTYPE_NONE]],_xlfn.LAMBDA(_xlpm.r,OR(_xlpm.r))),FALSE)</f>
        <v>1</v>
      </c>
      <c r="AF115" s="38" t="b" cm="1">
        <f t="array" ref="AF115">IFERROR(_xlfn.BYROW(TRACK_TYPES[[#This Row],[TRACK_TYPE_NARROW_GAUGE_RAILTYPE_OHLE]:[TRACK_TYPE_NARROW_GAUGE_RAILTYPE_NONE]],_xlfn.LAMBDA(_xlpm.r,OR(_xlpm.r))),FALSE)</f>
        <v>0</v>
      </c>
      <c r="AG115" s="38" t="b" cm="1">
        <f t="array" ref="AG115">IFERROR(_xlfn.BYROW(TRACK_TYPES[[#This Row],[TRACK_TYPE_BROAD_GAUGE_RAILTYPE_OHLE]:[TRACK_TYPE_BROAD_GAUGE_RAILTYPE_NONE]],_xlfn.LAMBDA(_xlpm.r,OR(_xlpm.r))),FALSE)</f>
        <v>0</v>
      </c>
      <c r="AH1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5"/>
      <c r="AQ115"/>
      <c r="AR115"/>
    </row>
    <row r="116" spans="1:44" x14ac:dyDescent="0.35">
      <c r="A116" s="2" t="s">
        <v>2757</v>
      </c>
      <c r="B116" s="40" t="str">
        <f>_xlfn.XLOOKUP(PROPERTIES[[#This Row],[VEHIDCODE]],CONTROL[VEHIDCODE],CONTROL[ENGLISH])</f>
        <v>Machinefabriek Breda 661-667</v>
      </c>
      <c r="J116" s="2" t="b">
        <v>1</v>
      </c>
      <c r="AC116" s="2"/>
      <c r="AD116" s="2" t="b">
        <f>LEN(_xlfn.CONCAT(TRACK_TYPES[[#This Row],[TRACK_TYPE_STANDARD_GAUGE_RAILTYPE_OHLE]:[TRACK_TYPE_MTRO]]))&gt;0</f>
        <v>1</v>
      </c>
      <c r="AE116" s="38" t="b" cm="1">
        <f t="array" ref="AE116">IFERROR(_xlfn.BYROW(TRACK_TYPES[[#This Row],[TRACK_TYPE_STANDARD_GAUGE_RAILTYPE_OHLE]:[TRACK_TYPE_STANDARD_GAUGE_RAILTYPE_NONE]],_xlfn.LAMBDA(_xlpm.r,OR(_xlpm.r))),FALSE)</f>
        <v>1</v>
      </c>
      <c r="AF116" s="38" t="b" cm="1">
        <f t="array" ref="AF116">IFERROR(_xlfn.BYROW(TRACK_TYPES[[#This Row],[TRACK_TYPE_NARROW_GAUGE_RAILTYPE_OHLE]:[TRACK_TYPE_NARROW_GAUGE_RAILTYPE_NONE]],_xlfn.LAMBDA(_xlpm.r,OR(_xlpm.r))),FALSE)</f>
        <v>0</v>
      </c>
      <c r="AG116" s="38" t="b" cm="1">
        <f t="array" ref="AG116">IFERROR(_xlfn.BYROW(TRACK_TYPES[[#This Row],[TRACK_TYPE_BROAD_GAUGE_RAILTYPE_OHLE]:[TRACK_TYPE_BROAD_GAUGE_RAILTYPE_NONE]],_xlfn.LAMBDA(_xlpm.r,OR(_xlpm.r))),FALSE)</f>
        <v>0</v>
      </c>
      <c r="AH1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6"/>
      <c r="AQ116"/>
      <c r="AR116"/>
    </row>
    <row r="117" spans="1:44" x14ac:dyDescent="0.35">
      <c r="A117" s="2" t="s">
        <v>2758</v>
      </c>
      <c r="B117" s="40" t="str">
        <f>_xlfn.XLOOKUP(PROPERTIES[[#This Row],[VEHIDCODE]],CONTROL[VEHIDCODE],CONTROL[ENGLISH])</f>
        <v>ALCO 46581 2-6-6-2 'Mallet'</v>
      </c>
      <c r="R117" s="2" t="b">
        <v>1</v>
      </c>
      <c r="AC117" s="2"/>
      <c r="AD117" s="2" t="b">
        <f>LEN(_xlfn.CONCAT(TRACK_TYPES[[#This Row],[TRACK_TYPE_STANDARD_GAUGE_RAILTYPE_OHLE]:[TRACK_TYPE_MTRO]]))&gt;0</f>
        <v>1</v>
      </c>
      <c r="AE117" s="38" t="b" cm="1">
        <f t="array" ref="AE117">IFERROR(_xlfn.BYROW(TRACK_TYPES[[#This Row],[TRACK_TYPE_STANDARD_GAUGE_RAILTYPE_OHLE]:[TRACK_TYPE_STANDARD_GAUGE_RAILTYPE_NONE]],_xlfn.LAMBDA(_xlpm.r,OR(_xlpm.r))),FALSE)</f>
        <v>0</v>
      </c>
      <c r="AF117" s="38" t="b" cm="1">
        <f t="array" ref="AF117">IFERROR(_xlfn.BYROW(TRACK_TYPES[[#This Row],[TRACK_TYPE_NARROW_GAUGE_RAILTYPE_OHLE]:[TRACK_TYPE_NARROW_GAUGE_RAILTYPE_NONE]],_xlfn.LAMBDA(_xlpm.r,OR(_xlpm.r))),FALSE)</f>
        <v>1</v>
      </c>
      <c r="AG117" s="38" t="b" cm="1">
        <f t="array" ref="AG117">IFERROR(_xlfn.BYROW(TRACK_TYPES[[#This Row],[TRACK_TYPE_BROAD_GAUGE_RAILTYPE_OHLE]:[TRACK_TYPE_BROAD_GAUGE_RAILTYPE_NONE]],_xlfn.LAMBDA(_xlpm.r,OR(_xlpm.r))),FALSE)</f>
        <v>0</v>
      </c>
      <c r="AH1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17"/>
      <c r="AQ117"/>
      <c r="AR117"/>
    </row>
    <row r="118" spans="1:44" x14ac:dyDescent="0.35">
      <c r="A118" s="2" t="s">
        <v>2759</v>
      </c>
      <c r="B118" s="40" t="str">
        <f>_xlfn.XLOOKUP(PROPERTIES[[#This Row],[VEHIDCODE]],CONTROL[VEHIDCODE],CONTROL[ENGLISH])</f>
        <v>Orenstein &amp; Koppel 2-8-0 '8-Tender'</v>
      </c>
      <c r="R118" s="2" t="b">
        <v>1</v>
      </c>
      <c r="AC118" s="2"/>
      <c r="AD118" s="2" t="b">
        <f>LEN(_xlfn.CONCAT(TRACK_TYPES[[#This Row],[TRACK_TYPE_STANDARD_GAUGE_RAILTYPE_OHLE]:[TRACK_TYPE_MTRO]]))&gt;0</f>
        <v>1</v>
      </c>
      <c r="AE118" s="38" t="b" cm="1">
        <f t="array" ref="AE118">IFERROR(_xlfn.BYROW(TRACK_TYPES[[#This Row],[TRACK_TYPE_STANDARD_GAUGE_RAILTYPE_OHLE]:[TRACK_TYPE_STANDARD_GAUGE_RAILTYPE_NONE]],_xlfn.LAMBDA(_xlpm.r,OR(_xlpm.r))),FALSE)</f>
        <v>0</v>
      </c>
      <c r="AF118" s="38" t="b" cm="1">
        <f t="array" ref="AF118">IFERROR(_xlfn.BYROW(TRACK_TYPES[[#This Row],[TRACK_TYPE_NARROW_GAUGE_RAILTYPE_OHLE]:[TRACK_TYPE_NARROW_GAUGE_RAILTYPE_NONE]],_xlfn.LAMBDA(_xlpm.r,OR(_xlpm.r))),FALSE)</f>
        <v>1</v>
      </c>
      <c r="AG118" s="38" t="b" cm="1">
        <f t="array" ref="AG118">IFERROR(_xlfn.BYROW(TRACK_TYPES[[#This Row],[TRACK_TYPE_BROAD_GAUGE_RAILTYPE_OHLE]:[TRACK_TYPE_BROAD_GAUGE_RAILTYPE_NONE]],_xlfn.LAMBDA(_xlpm.r,OR(_xlpm.r))),FALSE)</f>
        <v>0</v>
      </c>
      <c r="AH1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18"/>
      <c r="AQ118"/>
      <c r="AR118"/>
    </row>
    <row r="119" spans="1:44" x14ac:dyDescent="0.35">
      <c r="A119" s="2" t="s">
        <v>2760</v>
      </c>
      <c r="B119" s="40" t="str">
        <f>_xlfn.XLOOKUP(PROPERTIES[[#This Row],[VEHIDCODE]],CONTROL[VEHIDCODE],CONTROL[ENGLISH])</f>
        <v>Stratford Works L77 'LNER N7'</v>
      </c>
      <c r="J119" s="2" t="b">
        <v>1</v>
      </c>
      <c r="AC119" s="2"/>
      <c r="AD119" s="2" t="b">
        <f>LEN(_xlfn.CONCAT(TRACK_TYPES[[#This Row],[TRACK_TYPE_STANDARD_GAUGE_RAILTYPE_OHLE]:[TRACK_TYPE_MTRO]]))&gt;0</f>
        <v>1</v>
      </c>
      <c r="AE119" s="38" t="b" cm="1">
        <f t="array" ref="AE119">IFERROR(_xlfn.BYROW(TRACK_TYPES[[#This Row],[TRACK_TYPE_STANDARD_GAUGE_RAILTYPE_OHLE]:[TRACK_TYPE_STANDARD_GAUGE_RAILTYPE_NONE]],_xlfn.LAMBDA(_xlpm.r,OR(_xlpm.r))),FALSE)</f>
        <v>1</v>
      </c>
      <c r="AF119" s="38" t="b" cm="1">
        <f t="array" ref="AF119">IFERROR(_xlfn.BYROW(TRACK_TYPES[[#This Row],[TRACK_TYPE_NARROW_GAUGE_RAILTYPE_OHLE]:[TRACK_TYPE_NARROW_GAUGE_RAILTYPE_NONE]],_xlfn.LAMBDA(_xlpm.r,OR(_xlpm.r))),FALSE)</f>
        <v>0</v>
      </c>
      <c r="AG119" s="38" t="b" cm="1">
        <f t="array" ref="AG119">IFERROR(_xlfn.BYROW(TRACK_TYPES[[#This Row],[TRACK_TYPE_BROAD_GAUGE_RAILTYPE_OHLE]:[TRACK_TYPE_BROAD_GAUGE_RAILTYPE_NONE]],_xlfn.LAMBDA(_xlpm.r,OR(_xlpm.r))),FALSE)</f>
        <v>0</v>
      </c>
      <c r="AH1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9"/>
      <c r="AQ119"/>
      <c r="AR119"/>
    </row>
    <row r="120" spans="1:44" x14ac:dyDescent="0.35">
      <c r="A120" s="2" t="s">
        <v>2761</v>
      </c>
      <c r="B120" s="40" t="str">
        <f>_xlfn.XLOOKUP(PROPERTIES[[#This Row],[VEHIDCODE]],CONTROL[VEHIDCODE],CONTROL[ENGLISH])</f>
        <v>Sächsische Maschinenfabrik XX HV</v>
      </c>
      <c r="J120" s="2" t="b">
        <v>1</v>
      </c>
      <c r="AC120" s="2"/>
      <c r="AD120" s="2" t="b">
        <f>LEN(_xlfn.CONCAT(TRACK_TYPES[[#This Row],[TRACK_TYPE_STANDARD_GAUGE_RAILTYPE_OHLE]:[TRACK_TYPE_MTRO]]))&gt;0</f>
        <v>1</v>
      </c>
      <c r="AE120" s="38" t="b" cm="1">
        <f t="array" ref="AE120">IFERROR(_xlfn.BYROW(TRACK_TYPES[[#This Row],[TRACK_TYPE_STANDARD_GAUGE_RAILTYPE_OHLE]:[TRACK_TYPE_STANDARD_GAUGE_RAILTYPE_NONE]],_xlfn.LAMBDA(_xlpm.r,OR(_xlpm.r))),FALSE)</f>
        <v>1</v>
      </c>
      <c r="AF120" s="38" t="b" cm="1">
        <f t="array" ref="AF120">IFERROR(_xlfn.BYROW(TRACK_TYPES[[#This Row],[TRACK_TYPE_NARROW_GAUGE_RAILTYPE_OHLE]:[TRACK_TYPE_NARROW_GAUGE_RAILTYPE_NONE]],_xlfn.LAMBDA(_xlpm.r,OR(_xlpm.r))),FALSE)</f>
        <v>0</v>
      </c>
      <c r="AG120" s="38" t="b" cm="1">
        <f t="array" ref="AG120">IFERROR(_xlfn.BYROW(TRACK_TYPES[[#This Row],[TRACK_TYPE_BROAD_GAUGE_RAILTYPE_OHLE]:[TRACK_TYPE_BROAD_GAUGE_RAILTYPE_NONE]],_xlfn.LAMBDA(_xlpm.r,OR(_xlpm.r))),FALSE)</f>
        <v>0</v>
      </c>
      <c r="AH1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0"/>
      <c r="AQ120"/>
      <c r="AR120"/>
    </row>
    <row r="121" spans="1:44" x14ac:dyDescent="0.35">
      <c r="A121" s="2" t="s">
        <v>2762</v>
      </c>
      <c r="B121" s="40" t="str">
        <f>_xlfn.XLOOKUP(PROPERTIES[[#This Row],[VEHIDCODE]],CONTROL[VEHIDCODE],CONTROL[ENGLISH])</f>
        <v>Beyer, P &amp; Co. 2-4-0 SS 9-16</v>
      </c>
      <c r="J121" s="2" t="b">
        <v>1</v>
      </c>
      <c r="AC121" s="2"/>
      <c r="AD121" s="2" t="b">
        <f>LEN(_xlfn.CONCAT(TRACK_TYPES[[#This Row],[TRACK_TYPE_STANDARD_GAUGE_RAILTYPE_OHLE]:[TRACK_TYPE_MTRO]]))&gt;0</f>
        <v>1</v>
      </c>
      <c r="AE121" s="38" t="b" cm="1">
        <f t="array" ref="AE121">IFERROR(_xlfn.BYROW(TRACK_TYPES[[#This Row],[TRACK_TYPE_STANDARD_GAUGE_RAILTYPE_OHLE]:[TRACK_TYPE_STANDARD_GAUGE_RAILTYPE_NONE]],_xlfn.LAMBDA(_xlpm.r,OR(_xlpm.r))),FALSE)</f>
        <v>1</v>
      </c>
      <c r="AF121" s="38" t="b" cm="1">
        <f t="array" ref="AF121">IFERROR(_xlfn.BYROW(TRACK_TYPES[[#This Row],[TRACK_TYPE_NARROW_GAUGE_RAILTYPE_OHLE]:[TRACK_TYPE_NARROW_GAUGE_RAILTYPE_NONE]],_xlfn.LAMBDA(_xlpm.r,OR(_xlpm.r))),FALSE)</f>
        <v>0</v>
      </c>
      <c r="AG121" s="38" t="b" cm="1">
        <f t="array" ref="AG121">IFERROR(_xlfn.BYROW(TRACK_TYPES[[#This Row],[TRACK_TYPE_BROAD_GAUGE_RAILTYPE_OHLE]:[TRACK_TYPE_BROAD_GAUGE_RAILTYPE_NONE]],_xlfn.LAMBDA(_xlpm.r,OR(_xlpm.r))),FALSE)</f>
        <v>0</v>
      </c>
      <c r="AH1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1"/>
      <c r="AQ121"/>
      <c r="AR121"/>
    </row>
    <row r="122" spans="1:44" x14ac:dyDescent="0.35">
      <c r="A122" s="2" t="s">
        <v>2763</v>
      </c>
      <c r="B122" s="40" t="str">
        <f>_xlfn.XLOOKUP(PROPERTIES[[#This Row],[VEHIDCODE]],CONTROL[VEHIDCODE],CONTROL[ENGLISH])</f>
        <v>Beyer, P &amp; Co. 2-6-0 6112-6113</v>
      </c>
      <c r="Z122" s="2" t="b">
        <v>1</v>
      </c>
      <c r="AC122" s="2"/>
      <c r="AD122" s="2" t="b">
        <f>LEN(_xlfn.CONCAT(TRACK_TYPES[[#This Row],[TRACK_TYPE_STANDARD_GAUGE_RAILTYPE_OHLE]:[TRACK_TYPE_MTRO]]))&gt;0</f>
        <v>1</v>
      </c>
      <c r="AE122" s="38" t="b" cm="1">
        <f t="array" ref="AE122">IFERROR(_xlfn.BYROW(TRACK_TYPES[[#This Row],[TRACK_TYPE_STANDARD_GAUGE_RAILTYPE_OHLE]:[TRACK_TYPE_STANDARD_GAUGE_RAILTYPE_NONE]],_xlfn.LAMBDA(_xlpm.r,OR(_xlpm.r))),FALSE)</f>
        <v>0</v>
      </c>
      <c r="AF122" s="38" t="b" cm="1">
        <f t="array" ref="AF122">IFERROR(_xlfn.BYROW(TRACK_TYPES[[#This Row],[TRACK_TYPE_NARROW_GAUGE_RAILTYPE_OHLE]:[TRACK_TYPE_NARROW_GAUGE_RAILTYPE_NONE]],_xlfn.LAMBDA(_xlpm.r,OR(_xlpm.r))),FALSE)</f>
        <v>0</v>
      </c>
      <c r="AG122" s="38" t="b" cm="1">
        <f t="array" ref="AG122">IFERROR(_xlfn.BYROW(TRACK_TYPES[[#This Row],[TRACK_TYPE_BROAD_GAUGE_RAILTYPE_OHLE]:[TRACK_TYPE_BROAD_GAUGE_RAILTYPE_NONE]],_xlfn.LAMBDA(_xlpm.r,OR(_xlpm.r))),FALSE)</f>
        <v>1</v>
      </c>
      <c r="AH1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22"/>
      <c r="AQ122"/>
      <c r="AR122"/>
    </row>
    <row r="123" spans="1:44" x14ac:dyDescent="0.35">
      <c r="A123" s="2" t="s">
        <v>2764</v>
      </c>
      <c r="B123" s="40" t="str">
        <f>_xlfn.XLOOKUP(PROPERTIES[[#This Row],[VEHIDCODE]],CONTROL[VEHIDCODE],CONTROL[ENGLISH])</f>
        <v>Baldwin 10-32-E 55246</v>
      </c>
      <c r="J123" s="2" t="b">
        <v>1</v>
      </c>
      <c r="AC123" s="2"/>
      <c r="AD123" s="2" t="b">
        <f>LEN(_xlfn.CONCAT(TRACK_TYPES[[#This Row],[TRACK_TYPE_STANDARD_GAUGE_RAILTYPE_OHLE]:[TRACK_TYPE_MTRO]]))&gt;0</f>
        <v>1</v>
      </c>
      <c r="AE123" s="38" t="b" cm="1">
        <f t="array" ref="AE123">IFERROR(_xlfn.BYROW(TRACK_TYPES[[#This Row],[TRACK_TYPE_STANDARD_GAUGE_RAILTYPE_OHLE]:[TRACK_TYPE_STANDARD_GAUGE_RAILTYPE_NONE]],_xlfn.LAMBDA(_xlpm.r,OR(_xlpm.r))),FALSE)</f>
        <v>1</v>
      </c>
      <c r="AF123" s="38" t="b" cm="1">
        <f t="array" ref="AF123">IFERROR(_xlfn.BYROW(TRACK_TYPES[[#This Row],[TRACK_TYPE_NARROW_GAUGE_RAILTYPE_OHLE]:[TRACK_TYPE_NARROW_GAUGE_RAILTYPE_NONE]],_xlfn.LAMBDA(_xlpm.r,OR(_xlpm.r))),FALSE)</f>
        <v>0</v>
      </c>
      <c r="AG123" s="38" t="b" cm="1">
        <f t="array" ref="AG123">IFERROR(_xlfn.BYROW(TRACK_TYPES[[#This Row],[TRACK_TYPE_BROAD_GAUGE_RAILTYPE_OHLE]:[TRACK_TYPE_BROAD_GAUGE_RAILTYPE_NONE]],_xlfn.LAMBDA(_xlpm.r,OR(_xlpm.r))),FALSE)</f>
        <v>0</v>
      </c>
      <c r="AH1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3"/>
      <c r="AQ123"/>
      <c r="AR123"/>
    </row>
    <row r="124" spans="1:44" x14ac:dyDescent="0.35">
      <c r="A124" s="2" t="s">
        <v>3455</v>
      </c>
      <c r="B124" s="40" t="str">
        <f>_xlfn.XLOOKUP(PROPERTIES[[#This Row],[VEHIDCODE]],CONTROL[VEHIDCODE],CONTROL[ENGLISH])</f>
        <v xml:space="preserve">Canadian National U-1-a </v>
      </c>
      <c r="J124" s="2" t="b">
        <v>1</v>
      </c>
      <c r="AC124" s="2"/>
      <c r="AD124" s="2" t="b">
        <f>LEN(_xlfn.CONCAT(TRACK_TYPES[[#This Row],[TRACK_TYPE_STANDARD_GAUGE_RAILTYPE_OHLE]:[TRACK_TYPE_MTRO]]))&gt;0</f>
        <v>1</v>
      </c>
      <c r="AE124" s="38" t="b" cm="1">
        <f t="array" ref="AE124">IFERROR(_xlfn.BYROW(TRACK_TYPES[[#This Row],[TRACK_TYPE_STANDARD_GAUGE_RAILTYPE_OHLE]:[TRACK_TYPE_STANDARD_GAUGE_RAILTYPE_NONE]],_xlfn.LAMBDA(_xlpm.r,OR(_xlpm.r))),FALSE)</f>
        <v>1</v>
      </c>
      <c r="AF124" s="38" t="b" cm="1">
        <f t="array" ref="AF124">IFERROR(_xlfn.BYROW(TRACK_TYPES[[#This Row],[TRACK_TYPE_NARROW_GAUGE_RAILTYPE_OHLE]:[TRACK_TYPE_NARROW_GAUGE_RAILTYPE_NONE]],_xlfn.LAMBDA(_xlpm.r,OR(_xlpm.r))),FALSE)</f>
        <v>0</v>
      </c>
      <c r="AG124" s="38" t="b" cm="1">
        <f t="array" ref="AG124">IFERROR(_xlfn.BYROW(TRACK_TYPES[[#This Row],[TRACK_TYPE_BROAD_GAUGE_RAILTYPE_OHLE]:[TRACK_TYPE_BROAD_GAUGE_RAILTYPE_NONE]],_xlfn.LAMBDA(_xlpm.r,OR(_xlpm.r))),FALSE)</f>
        <v>0</v>
      </c>
      <c r="AH1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4"/>
      <c r="AQ124"/>
      <c r="AR124"/>
    </row>
    <row r="125" spans="1:44" x14ac:dyDescent="0.35">
      <c r="A125" s="2" t="s">
        <v>2765</v>
      </c>
      <c r="B125" s="40" t="str">
        <f>_xlfn.XLOOKUP(PROPERTIES[[#This Row],[VEHIDCODE]],CONTROL[VEHIDCODE],CONTROL[ENGLISH])</f>
        <v>Vulcan Foundry 4-6-2 Class XB</v>
      </c>
      <c r="Z125" s="2" t="b">
        <v>1</v>
      </c>
      <c r="AC125" s="2"/>
      <c r="AD125" s="2" t="b">
        <f>LEN(_xlfn.CONCAT(TRACK_TYPES[[#This Row],[TRACK_TYPE_STANDARD_GAUGE_RAILTYPE_OHLE]:[TRACK_TYPE_MTRO]]))&gt;0</f>
        <v>1</v>
      </c>
      <c r="AE125" s="38" t="b" cm="1">
        <f t="array" ref="AE125">IFERROR(_xlfn.BYROW(TRACK_TYPES[[#This Row],[TRACK_TYPE_STANDARD_GAUGE_RAILTYPE_OHLE]:[TRACK_TYPE_STANDARD_GAUGE_RAILTYPE_NONE]],_xlfn.LAMBDA(_xlpm.r,OR(_xlpm.r))),FALSE)</f>
        <v>0</v>
      </c>
      <c r="AF125" s="38" t="b" cm="1">
        <f t="array" ref="AF125">IFERROR(_xlfn.BYROW(TRACK_TYPES[[#This Row],[TRACK_TYPE_NARROW_GAUGE_RAILTYPE_OHLE]:[TRACK_TYPE_NARROW_GAUGE_RAILTYPE_NONE]],_xlfn.LAMBDA(_xlpm.r,OR(_xlpm.r))),FALSE)</f>
        <v>0</v>
      </c>
      <c r="AG125" s="38" t="b" cm="1">
        <f t="array" ref="AG125">IFERROR(_xlfn.BYROW(TRACK_TYPES[[#This Row],[TRACK_TYPE_BROAD_GAUGE_RAILTYPE_OHLE]:[TRACK_TYPE_BROAD_GAUGE_RAILTYPE_NONE]],_xlfn.LAMBDA(_xlpm.r,OR(_xlpm.r))),FALSE)</f>
        <v>1</v>
      </c>
      <c r="AH1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25"/>
      <c r="AQ125"/>
      <c r="AR125"/>
    </row>
    <row r="126" spans="1:44" x14ac:dyDescent="0.35">
      <c r="A126" s="2" t="s">
        <v>2766</v>
      </c>
      <c r="B126" s="40" t="str">
        <f>_xlfn.XLOOKUP(PROPERTIES[[#This Row],[VEHIDCODE]],CONTROL[VEHIDCODE],CONTROL[ENGLISH])</f>
        <v>Robert Stephenson 4-6-2 6982-6985</v>
      </c>
      <c r="J126" s="2" t="b">
        <v>1</v>
      </c>
      <c r="AC126" s="2"/>
      <c r="AD126" s="2" t="b">
        <f>LEN(_xlfn.CONCAT(TRACK_TYPES[[#This Row],[TRACK_TYPE_STANDARD_GAUGE_RAILTYPE_OHLE]:[TRACK_TYPE_MTRO]]))&gt;0</f>
        <v>1</v>
      </c>
      <c r="AE126" s="38" t="b" cm="1">
        <f t="array" ref="AE126">IFERROR(_xlfn.BYROW(TRACK_TYPES[[#This Row],[TRACK_TYPE_STANDARD_GAUGE_RAILTYPE_OHLE]:[TRACK_TYPE_STANDARD_GAUGE_RAILTYPE_NONE]],_xlfn.LAMBDA(_xlpm.r,OR(_xlpm.r))),FALSE)</f>
        <v>1</v>
      </c>
      <c r="AF126" s="38" t="b" cm="1">
        <f t="array" ref="AF126">IFERROR(_xlfn.BYROW(TRACK_TYPES[[#This Row],[TRACK_TYPE_NARROW_GAUGE_RAILTYPE_OHLE]:[TRACK_TYPE_NARROW_GAUGE_RAILTYPE_NONE]],_xlfn.LAMBDA(_xlpm.r,OR(_xlpm.r))),FALSE)</f>
        <v>0</v>
      </c>
      <c r="AG126" s="38" t="b" cm="1">
        <f t="array" ref="AG126">IFERROR(_xlfn.BYROW(TRACK_TYPES[[#This Row],[TRACK_TYPE_BROAD_GAUGE_RAILTYPE_OHLE]:[TRACK_TYPE_BROAD_GAUGE_RAILTYPE_NONE]],_xlfn.LAMBDA(_xlpm.r,OR(_xlpm.r))),FALSE)</f>
        <v>0</v>
      </c>
      <c r="AH1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6"/>
      <c r="AQ126"/>
      <c r="AR126"/>
    </row>
    <row r="127" spans="1:44" x14ac:dyDescent="0.35">
      <c r="A127" s="2" t="s">
        <v>2767</v>
      </c>
      <c r="B127" s="40" t="str">
        <f>_xlfn.XLOOKUP(PROPERTIES[[#This Row],[VEHIDCODE]],CONTROL[VEHIDCODE],CONTROL[ENGLISH])</f>
        <v>LMS Fowler 3F WD 0-6-0T</v>
      </c>
      <c r="J127" s="2" t="b">
        <v>1</v>
      </c>
      <c r="AC127" s="2"/>
      <c r="AD127" s="2" t="b">
        <f>LEN(_xlfn.CONCAT(TRACK_TYPES[[#This Row],[TRACK_TYPE_STANDARD_GAUGE_RAILTYPE_OHLE]:[TRACK_TYPE_MTRO]]))&gt;0</f>
        <v>1</v>
      </c>
      <c r="AE127" s="38" t="b" cm="1">
        <f t="array" ref="AE127">IFERROR(_xlfn.BYROW(TRACK_TYPES[[#This Row],[TRACK_TYPE_STANDARD_GAUGE_RAILTYPE_OHLE]:[TRACK_TYPE_STANDARD_GAUGE_RAILTYPE_NONE]],_xlfn.LAMBDA(_xlpm.r,OR(_xlpm.r))),FALSE)</f>
        <v>1</v>
      </c>
      <c r="AF127" s="38" t="b" cm="1">
        <f t="array" ref="AF127">IFERROR(_xlfn.BYROW(TRACK_TYPES[[#This Row],[TRACK_TYPE_NARROW_GAUGE_RAILTYPE_OHLE]:[TRACK_TYPE_NARROW_GAUGE_RAILTYPE_NONE]],_xlfn.LAMBDA(_xlpm.r,OR(_xlpm.r))),FALSE)</f>
        <v>0</v>
      </c>
      <c r="AG127" s="38" t="b" cm="1">
        <f t="array" ref="AG127">IFERROR(_xlfn.BYROW(TRACK_TYPES[[#This Row],[TRACK_TYPE_BROAD_GAUGE_RAILTYPE_OHLE]:[TRACK_TYPE_BROAD_GAUGE_RAILTYPE_NONE]],_xlfn.LAMBDA(_xlpm.r,OR(_xlpm.r))),FALSE)</f>
        <v>0</v>
      </c>
      <c r="AH1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7"/>
      <c r="AQ127"/>
      <c r="AR127"/>
    </row>
    <row r="128" spans="1:44" x14ac:dyDescent="0.35">
      <c r="A128" s="2" t="s">
        <v>2768</v>
      </c>
      <c r="B128" s="40" t="str">
        <f>_xlfn.XLOOKUP(PROPERTIES[[#This Row],[VEHIDCODE]],CONTROL[VEHIDCODE],CONTROL[ENGLISH])</f>
        <v>Swindon Works 381</v>
      </c>
      <c r="J128" s="2" t="b">
        <v>1</v>
      </c>
      <c r="AC128" s="2"/>
      <c r="AD128" s="2" t="b">
        <f>LEN(_xlfn.CONCAT(TRACK_TYPES[[#This Row],[TRACK_TYPE_STANDARD_GAUGE_RAILTYPE_OHLE]:[TRACK_TYPE_MTRO]]))&gt;0</f>
        <v>1</v>
      </c>
      <c r="AE128" s="38" t="b" cm="1">
        <f t="array" ref="AE128">IFERROR(_xlfn.BYROW(TRACK_TYPES[[#This Row],[TRACK_TYPE_STANDARD_GAUGE_RAILTYPE_OHLE]:[TRACK_TYPE_STANDARD_GAUGE_RAILTYPE_NONE]],_xlfn.LAMBDA(_xlpm.r,OR(_xlpm.r))),FALSE)</f>
        <v>1</v>
      </c>
      <c r="AF128" s="38" t="b" cm="1">
        <f t="array" ref="AF128">IFERROR(_xlfn.BYROW(TRACK_TYPES[[#This Row],[TRACK_TYPE_NARROW_GAUGE_RAILTYPE_OHLE]:[TRACK_TYPE_NARROW_GAUGE_RAILTYPE_NONE]],_xlfn.LAMBDA(_xlpm.r,OR(_xlpm.r))),FALSE)</f>
        <v>0</v>
      </c>
      <c r="AG128" s="38" t="b" cm="1">
        <f t="array" ref="AG128">IFERROR(_xlfn.BYROW(TRACK_TYPES[[#This Row],[TRACK_TYPE_BROAD_GAUGE_RAILTYPE_OHLE]:[TRACK_TYPE_BROAD_GAUGE_RAILTYPE_NONE]],_xlfn.LAMBDA(_xlpm.r,OR(_xlpm.r))),FALSE)</f>
        <v>0</v>
      </c>
      <c r="AH1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8"/>
      <c r="AQ128"/>
      <c r="AR128"/>
    </row>
    <row r="129" spans="1:44" x14ac:dyDescent="0.35">
      <c r="A129" s="2" t="s">
        <v>2769</v>
      </c>
      <c r="B129" s="40" t="str">
        <f>_xlfn.XLOOKUP(PROPERTIES[[#This Row],[VEHIDCODE]],CONTROL[VEHIDCODE],CONTROL[ENGLISH])</f>
        <v>North British LC R 4-6-4 Hudson</v>
      </c>
      <c r="Z129" s="2" t="b">
        <v>1</v>
      </c>
      <c r="AC129" s="2"/>
      <c r="AD129" s="2" t="b">
        <f>LEN(_xlfn.CONCAT(TRACK_TYPES[[#This Row],[TRACK_TYPE_STANDARD_GAUGE_RAILTYPE_OHLE]:[TRACK_TYPE_MTRO]]))&gt;0</f>
        <v>1</v>
      </c>
      <c r="AE129" s="38" t="b" cm="1">
        <f t="array" ref="AE129">IFERROR(_xlfn.BYROW(TRACK_TYPES[[#This Row],[TRACK_TYPE_STANDARD_GAUGE_RAILTYPE_OHLE]:[TRACK_TYPE_STANDARD_GAUGE_RAILTYPE_NONE]],_xlfn.LAMBDA(_xlpm.r,OR(_xlpm.r))),FALSE)</f>
        <v>0</v>
      </c>
      <c r="AF129" s="38" t="b" cm="1">
        <f t="array" ref="AF129">IFERROR(_xlfn.BYROW(TRACK_TYPES[[#This Row],[TRACK_TYPE_NARROW_GAUGE_RAILTYPE_OHLE]:[TRACK_TYPE_NARROW_GAUGE_RAILTYPE_NONE]],_xlfn.LAMBDA(_xlpm.r,OR(_xlpm.r))),FALSE)</f>
        <v>0</v>
      </c>
      <c r="AG129" s="38" t="b" cm="1">
        <f t="array" ref="AG129">IFERROR(_xlfn.BYROW(TRACK_TYPES[[#This Row],[TRACK_TYPE_BROAD_GAUGE_RAILTYPE_OHLE]:[TRACK_TYPE_BROAD_GAUGE_RAILTYPE_NONE]],_xlfn.LAMBDA(_xlpm.r,OR(_xlpm.r))),FALSE)</f>
        <v>1</v>
      </c>
      <c r="AH1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29"/>
      <c r="AQ129"/>
      <c r="AR129"/>
    </row>
    <row r="130" spans="1:44" x14ac:dyDescent="0.35">
      <c r="A130" s="2" t="s">
        <v>2770</v>
      </c>
      <c r="B130" s="40" t="str">
        <f>_xlfn.XLOOKUP(PROPERTIES[[#This Row],[VEHIDCODE]],CONTROL[VEHIDCODE],CONTROL[ENGLISH])</f>
        <v>VEB 2-10-2T 99.77-79</v>
      </c>
      <c r="R130" s="2" t="b">
        <v>1</v>
      </c>
      <c r="AC130" s="2"/>
      <c r="AD130" s="2" t="b">
        <f>LEN(_xlfn.CONCAT(TRACK_TYPES[[#This Row],[TRACK_TYPE_STANDARD_GAUGE_RAILTYPE_OHLE]:[TRACK_TYPE_MTRO]]))&gt;0</f>
        <v>1</v>
      </c>
      <c r="AE130" s="38" t="b" cm="1">
        <f t="array" ref="AE130">IFERROR(_xlfn.BYROW(TRACK_TYPES[[#This Row],[TRACK_TYPE_STANDARD_GAUGE_RAILTYPE_OHLE]:[TRACK_TYPE_STANDARD_GAUGE_RAILTYPE_NONE]],_xlfn.LAMBDA(_xlpm.r,OR(_xlpm.r))),FALSE)</f>
        <v>0</v>
      </c>
      <c r="AF130" s="38" t="b" cm="1">
        <f t="array" ref="AF130">IFERROR(_xlfn.BYROW(TRACK_TYPES[[#This Row],[TRACK_TYPE_NARROW_GAUGE_RAILTYPE_OHLE]:[TRACK_TYPE_NARROW_GAUGE_RAILTYPE_NONE]],_xlfn.LAMBDA(_xlpm.r,OR(_xlpm.r))),FALSE)</f>
        <v>1</v>
      </c>
      <c r="AG130" s="38" t="b" cm="1">
        <f t="array" ref="AG130">IFERROR(_xlfn.BYROW(TRACK_TYPES[[#This Row],[TRACK_TYPE_BROAD_GAUGE_RAILTYPE_OHLE]:[TRACK_TYPE_BROAD_GAUGE_RAILTYPE_NONE]],_xlfn.LAMBDA(_xlpm.r,OR(_xlpm.r))),FALSE)</f>
        <v>0</v>
      </c>
      <c r="AH1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30"/>
      <c r="AQ130"/>
      <c r="AR130"/>
    </row>
    <row r="131" spans="1:44" x14ac:dyDescent="0.35">
      <c r="A131" s="2" t="s">
        <v>2771</v>
      </c>
      <c r="B131" s="40" t="str">
        <f>_xlfn.XLOOKUP(PROPERTIES[[#This Row],[VEHIDCODE]],CONTROL[VEHIDCODE],CONTROL[ENGLISH])</f>
        <v xml:space="preserve">RAW Meiningen 4-6-2 89 </v>
      </c>
      <c r="J131" s="2" t="b">
        <v>1</v>
      </c>
      <c r="AC131" s="2"/>
      <c r="AD131" s="2" t="b">
        <f>LEN(_xlfn.CONCAT(TRACK_TYPES[[#This Row],[TRACK_TYPE_STANDARD_GAUGE_RAILTYPE_OHLE]:[TRACK_TYPE_MTRO]]))&gt;0</f>
        <v>1</v>
      </c>
      <c r="AE131" s="38" t="b" cm="1">
        <f t="array" ref="AE131">IFERROR(_xlfn.BYROW(TRACK_TYPES[[#This Row],[TRACK_TYPE_STANDARD_GAUGE_RAILTYPE_OHLE]:[TRACK_TYPE_STANDARD_GAUGE_RAILTYPE_NONE]],_xlfn.LAMBDA(_xlpm.r,OR(_xlpm.r))),FALSE)</f>
        <v>1</v>
      </c>
      <c r="AF131" s="38" t="b" cm="1">
        <f t="array" ref="AF131">IFERROR(_xlfn.BYROW(TRACK_TYPES[[#This Row],[TRACK_TYPE_NARROW_GAUGE_RAILTYPE_OHLE]:[TRACK_TYPE_NARROW_GAUGE_RAILTYPE_NONE]],_xlfn.LAMBDA(_xlpm.r,OR(_xlpm.r))),FALSE)</f>
        <v>0</v>
      </c>
      <c r="AG131" s="38" t="b" cm="1">
        <f t="array" ref="AG131">IFERROR(_xlfn.BYROW(TRACK_TYPES[[#This Row],[TRACK_TYPE_BROAD_GAUGE_RAILTYPE_OHLE]:[TRACK_TYPE_BROAD_GAUGE_RAILTYPE_NONE]],_xlfn.LAMBDA(_xlpm.r,OR(_xlpm.r))),FALSE)</f>
        <v>0</v>
      </c>
      <c r="AH1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31"/>
      <c r="AQ131"/>
      <c r="AR131"/>
    </row>
    <row r="132" spans="1:44" x14ac:dyDescent="0.35">
      <c r="A132" s="2" t="s">
        <v>2772</v>
      </c>
      <c r="B132" s="40" t="str">
        <f>_xlfn.XLOOKUP(PROPERTIES[[#This Row],[VEHIDCODE]],CONTROL[VEHIDCODE],CONTROL[ENGLISH])</f>
        <v>NZR 4-6-4T 'WAB'</v>
      </c>
      <c r="R132" s="2" t="b">
        <v>1</v>
      </c>
      <c r="AC132" s="2"/>
      <c r="AD132" s="2" t="b">
        <f>LEN(_xlfn.CONCAT(TRACK_TYPES[[#This Row],[TRACK_TYPE_STANDARD_GAUGE_RAILTYPE_OHLE]:[TRACK_TYPE_MTRO]]))&gt;0</f>
        <v>1</v>
      </c>
      <c r="AE132" s="38" t="b" cm="1">
        <f t="array" ref="AE132">IFERROR(_xlfn.BYROW(TRACK_TYPES[[#This Row],[TRACK_TYPE_STANDARD_GAUGE_RAILTYPE_OHLE]:[TRACK_TYPE_STANDARD_GAUGE_RAILTYPE_NONE]],_xlfn.LAMBDA(_xlpm.r,OR(_xlpm.r))),FALSE)</f>
        <v>0</v>
      </c>
      <c r="AF132" s="38" t="b" cm="1">
        <f t="array" ref="AF132">IFERROR(_xlfn.BYROW(TRACK_TYPES[[#This Row],[TRACK_TYPE_NARROW_GAUGE_RAILTYPE_OHLE]:[TRACK_TYPE_NARROW_GAUGE_RAILTYPE_NONE]],_xlfn.LAMBDA(_xlpm.r,OR(_xlpm.r))),FALSE)</f>
        <v>1</v>
      </c>
      <c r="AG132" s="38" t="b" cm="1">
        <f t="array" ref="AG132">IFERROR(_xlfn.BYROW(TRACK_TYPES[[#This Row],[TRACK_TYPE_BROAD_GAUGE_RAILTYPE_OHLE]:[TRACK_TYPE_BROAD_GAUGE_RAILTYPE_NONE]],_xlfn.LAMBDA(_xlpm.r,OR(_xlpm.r))),FALSE)</f>
        <v>0</v>
      </c>
      <c r="AH1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32"/>
      <c r="AQ132"/>
      <c r="AR132"/>
    </row>
    <row r="133" spans="1:44" x14ac:dyDescent="0.35">
      <c r="A133" s="2" t="s">
        <v>2773</v>
      </c>
      <c r="B133" s="40" t="str">
        <f>_xlfn.XLOOKUP(PROPERTIES[[#This Row],[VEHIDCODE]],CONTROL[VEHIDCODE],CONTROL[ENGLISH])</f>
        <v>Clyde 4-8-2 'D57'</v>
      </c>
      <c r="J133" s="2" t="b">
        <v>1</v>
      </c>
      <c r="AC133" s="2"/>
      <c r="AD133" s="2" t="b">
        <f>LEN(_xlfn.CONCAT(TRACK_TYPES[[#This Row],[TRACK_TYPE_STANDARD_GAUGE_RAILTYPE_OHLE]:[TRACK_TYPE_MTRO]]))&gt;0</f>
        <v>1</v>
      </c>
      <c r="AE133" s="38" t="b" cm="1">
        <f t="array" ref="AE133">IFERROR(_xlfn.BYROW(TRACK_TYPES[[#This Row],[TRACK_TYPE_STANDARD_GAUGE_RAILTYPE_OHLE]:[TRACK_TYPE_STANDARD_GAUGE_RAILTYPE_NONE]],_xlfn.LAMBDA(_xlpm.r,OR(_xlpm.r))),FALSE)</f>
        <v>1</v>
      </c>
      <c r="AF133" s="38" t="b" cm="1">
        <f t="array" ref="AF133">IFERROR(_xlfn.BYROW(TRACK_TYPES[[#This Row],[TRACK_TYPE_NARROW_GAUGE_RAILTYPE_OHLE]:[TRACK_TYPE_NARROW_GAUGE_RAILTYPE_NONE]],_xlfn.LAMBDA(_xlpm.r,OR(_xlpm.r))),FALSE)</f>
        <v>0</v>
      </c>
      <c r="AG133" s="38" t="b" cm="1">
        <f t="array" ref="AG133">IFERROR(_xlfn.BYROW(TRACK_TYPES[[#This Row],[TRACK_TYPE_BROAD_GAUGE_RAILTYPE_OHLE]:[TRACK_TYPE_BROAD_GAUGE_RAILTYPE_NONE]],_xlfn.LAMBDA(_xlpm.r,OR(_xlpm.r))),FALSE)</f>
        <v>0</v>
      </c>
      <c r="AH1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33"/>
      <c r="AQ133"/>
      <c r="AR133"/>
    </row>
    <row r="134" spans="1:44" x14ac:dyDescent="0.35">
      <c r="A134" s="2" t="s">
        <v>2774</v>
      </c>
      <c r="B134" s="40" t="str">
        <f>_xlfn.XLOOKUP(PROPERTIES[[#This Row],[VEHIDCODE]],CONTROL[VEHIDCODE],CONTROL[ENGLISH])</f>
        <v>Islington Railway Workshops 81-92 520</v>
      </c>
      <c r="Z134" s="2" t="b">
        <v>1</v>
      </c>
      <c r="AC134" s="2"/>
      <c r="AD134" s="2" t="b">
        <f>LEN(_xlfn.CONCAT(TRACK_TYPES[[#This Row],[TRACK_TYPE_STANDARD_GAUGE_RAILTYPE_OHLE]:[TRACK_TYPE_MTRO]]))&gt;0</f>
        <v>1</v>
      </c>
      <c r="AE134" s="38" t="b" cm="1">
        <f t="array" ref="AE134">IFERROR(_xlfn.BYROW(TRACK_TYPES[[#This Row],[TRACK_TYPE_STANDARD_GAUGE_RAILTYPE_OHLE]:[TRACK_TYPE_STANDARD_GAUGE_RAILTYPE_NONE]],_xlfn.LAMBDA(_xlpm.r,OR(_xlpm.r))),FALSE)</f>
        <v>0</v>
      </c>
      <c r="AF134" s="38" t="b" cm="1">
        <f t="array" ref="AF134">IFERROR(_xlfn.BYROW(TRACK_TYPES[[#This Row],[TRACK_TYPE_NARROW_GAUGE_RAILTYPE_OHLE]:[TRACK_TYPE_NARROW_GAUGE_RAILTYPE_NONE]],_xlfn.LAMBDA(_xlpm.r,OR(_xlpm.r))),FALSE)</f>
        <v>0</v>
      </c>
      <c r="AG134" s="38" t="b" cm="1">
        <f t="array" ref="AG134">IFERROR(_xlfn.BYROW(TRACK_TYPES[[#This Row],[TRACK_TYPE_BROAD_GAUGE_RAILTYPE_OHLE]:[TRACK_TYPE_BROAD_GAUGE_RAILTYPE_NONE]],_xlfn.LAMBDA(_xlpm.r,OR(_xlpm.r))),FALSE)</f>
        <v>1</v>
      </c>
      <c r="AH1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34"/>
      <c r="AQ134"/>
      <c r="AR134"/>
    </row>
    <row r="135" spans="1:44" x14ac:dyDescent="0.35">
      <c r="A135" s="2" t="s">
        <v>2775</v>
      </c>
      <c r="B135" s="40" t="str">
        <f>_xlfn.XLOOKUP(PROPERTIES[[#This Row],[VEHIDCODE]],CONTROL[VEHIDCODE],CONTROL[ENGLISH])</f>
        <v>Beyer, P &amp; Co. 4-8-4+4-8-4 7473-7497</v>
      </c>
      <c r="J135" s="2" t="b">
        <v>1</v>
      </c>
      <c r="AC135" s="2"/>
      <c r="AD135" s="2" t="b">
        <f>LEN(_xlfn.CONCAT(TRACK_TYPES[[#This Row],[TRACK_TYPE_STANDARD_GAUGE_RAILTYPE_OHLE]:[TRACK_TYPE_MTRO]]))&gt;0</f>
        <v>1</v>
      </c>
      <c r="AE135" s="38" t="b" cm="1">
        <f t="array" ref="AE135">IFERROR(_xlfn.BYROW(TRACK_TYPES[[#This Row],[TRACK_TYPE_STANDARD_GAUGE_RAILTYPE_OHLE]:[TRACK_TYPE_STANDARD_GAUGE_RAILTYPE_NONE]],_xlfn.LAMBDA(_xlpm.r,OR(_xlpm.r))),FALSE)</f>
        <v>1</v>
      </c>
      <c r="AF135" s="38" t="b" cm="1">
        <f t="array" ref="AF135">IFERROR(_xlfn.BYROW(TRACK_TYPES[[#This Row],[TRACK_TYPE_NARROW_GAUGE_RAILTYPE_OHLE]:[TRACK_TYPE_NARROW_GAUGE_RAILTYPE_NONE]],_xlfn.LAMBDA(_xlpm.r,OR(_xlpm.r))),FALSE)</f>
        <v>0</v>
      </c>
      <c r="AG135" s="38" t="b" cm="1">
        <f t="array" ref="AG135">IFERROR(_xlfn.BYROW(TRACK_TYPES[[#This Row],[TRACK_TYPE_BROAD_GAUGE_RAILTYPE_OHLE]:[TRACK_TYPE_BROAD_GAUGE_RAILTYPE_NONE]],_xlfn.LAMBDA(_xlpm.r,OR(_xlpm.r))),FALSE)</f>
        <v>0</v>
      </c>
      <c r="AH1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35"/>
      <c r="AQ135"/>
      <c r="AR135"/>
    </row>
    <row r="136" spans="1:44" x14ac:dyDescent="0.35">
      <c r="A136" s="2" t="s">
        <v>2776</v>
      </c>
      <c r="B136" s="40" t="str">
        <f>_xlfn.XLOOKUP(PROPERTIES[[#This Row],[VEHIDCODE]],CONTROL[VEHIDCODE],CONTROL[ENGLISH])</f>
        <v>AFE N1 2-6-0</v>
      </c>
      <c r="J136" s="2" t="b">
        <v>1</v>
      </c>
      <c r="AC136" s="2"/>
      <c r="AD136" s="2" t="b">
        <f>LEN(_xlfn.CONCAT(TRACK_TYPES[[#This Row],[TRACK_TYPE_STANDARD_GAUGE_RAILTYPE_OHLE]:[TRACK_TYPE_MTRO]]))&gt;0</f>
        <v>1</v>
      </c>
      <c r="AE136" s="38" t="b" cm="1">
        <f t="array" ref="AE136">IFERROR(_xlfn.BYROW(TRACK_TYPES[[#This Row],[TRACK_TYPE_STANDARD_GAUGE_RAILTYPE_OHLE]:[TRACK_TYPE_STANDARD_GAUGE_RAILTYPE_NONE]],_xlfn.LAMBDA(_xlpm.r,OR(_xlpm.r))),FALSE)</f>
        <v>1</v>
      </c>
      <c r="AF136" s="38" t="b" cm="1">
        <f t="array" ref="AF136">IFERROR(_xlfn.BYROW(TRACK_TYPES[[#This Row],[TRACK_TYPE_NARROW_GAUGE_RAILTYPE_OHLE]:[TRACK_TYPE_NARROW_GAUGE_RAILTYPE_NONE]],_xlfn.LAMBDA(_xlpm.r,OR(_xlpm.r))),FALSE)</f>
        <v>0</v>
      </c>
      <c r="AG136" s="38" t="b" cm="1">
        <f t="array" ref="AG136">IFERROR(_xlfn.BYROW(TRACK_TYPES[[#This Row],[TRACK_TYPE_BROAD_GAUGE_RAILTYPE_OHLE]:[TRACK_TYPE_BROAD_GAUGE_RAILTYPE_NONE]],_xlfn.LAMBDA(_xlpm.r,OR(_xlpm.r))),FALSE)</f>
        <v>0</v>
      </c>
      <c r="AH1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36"/>
      <c r="AQ136"/>
      <c r="AR136"/>
    </row>
    <row r="137" spans="1:44" x14ac:dyDescent="0.35">
      <c r="A137" s="2" t="s">
        <v>2777</v>
      </c>
      <c r="B137" s="40" t="str">
        <f>_xlfn.XLOOKUP(PROPERTIES[[#This Row],[VEHIDCODE]],CONTROL[VEHIDCODE],CONTROL[ENGLISH])</f>
        <v>Sir Armstrong Whithworth &amp; Co. PS11</v>
      </c>
      <c r="Z137" s="2" t="b">
        <v>1</v>
      </c>
      <c r="AC137" s="2"/>
      <c r="AD137" s="2" t="b">
        <f>LEN(_xlfn.CONCAT(TRACK_TYPES[[#This Row],[TRACK_TYPE_STANDARD_GAUGE_RAILTYPE_OHLE]:[TRACK_TYPE_MTRO]]))&gt;0</f>
        <v>1</v>
      </c>
      <c r="AE137" s="38" t="b" cm="1">
        <f t="array" ref="AE137">IFERROR(_xlfn.BYROW(TRACK_TYPES[[#This Row],[TRACK_TYPE_STANDARD_GAUGE_RAILTYPE_OHLE]:[TRACK_TYPE_STANDARD_GAUGE_RAILTYPE_NONE]],_xlfn.LAMBDA(_xlpm.r,OR(_xlpm.r))),FALSE)</f>
        <v>0</v>
      </c>
      <c r="AF137" s="38" t="b" cm="1">
        <f t="array" ref="AF137">IFERROR(_xlfn.BYROW(TRACK_TYPES[[#This Row],[TRACK_TYPE_NARROW_GAUGE_RAILTYPE_OHLE]:[TRACK_TYPE_NARROW_GAUGE_RAILTYPE_NONE]],_xlfn.LAMBDA(_xlpm.r,OR(_xlpm.r))),FALSE)</f>
        <v>0</v>
      </c>
      <c r="AG137" s="38" t="b" cm="1">
        <f t="array" ref="AG137">IFERROR(_xlfn.BYROW(TRACK_TYPES[[#This Row],[TRACK_TYPE_BROAD_GAUGE_RAILTYPE_OHLE]:[TRACK_TYPE_BROAD_GAUGE_RAILTYPE_NONE]],_xlfn.LAMBDA(_xlpm.r,OR(_xlpm.r))),FALSE)</f>
        <v>1</v>
      </c>
      <c r="AH1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37"/>
      <c r="AQ137"/>
      <c r="AR137"/>
    </row>
    <row r="138" spans="1:44" x14ac:dyDescent="0.35">
      <c r="A138" s="2" t="s">
        <v>2778</v>
      </c>
      <c r="B138" s="40" t="str">
        <f>_xlfn.XLOOKUP(PROPERTIES[[#This Row],[VEHIDCODE]],CONTROL[VEHIDCODE],CONTROL[ENGLISH])</f>
        <v>Alexander Chaplin &amp; Co. 1584 0-4-0VB</v>
      </c>
      <c r="Z138" s="2" t="b">
        <v>1</v>
      </c>
      <c r="AC138" s="2"/>
      <c r="AD138" s="2" t="b">
        <f>LEN(_xlfn.CONCAT(TRACK_TYPES[[#This Row],[TRACK_TYPE_STANDARD_GAUGE_RAILTYPE_OHLE]:[TRACK_TYPE_MTRO]]))&gt;0</f>
        <v>1</v>
      </c>
      <c r="AE138" s="38" t="b" cm="1">
        <f t="array" ref="AE138">IFERROR(_xlfn.BYROW(TRACK_TYPES[[#This Row],[TRACK_TYPE_STANDARD_GAUGE_RAILTYPE_OHLE]:[TRACK_TYPE_STANDARD_GAUGE_RAILTYPE_NONE]],_xlfn.LAMBDA(_xlpm.r,OR(_xlpm.r))),FALSE)</f>
        <v>0</v>
      </c>
      <c r="AF138" s="38" t="b" cm="1">
        <f t="array" ref="AF138">IFERROR(_xlfn.BYROW(TRACK_TYPES[[#This Row],[TRACK_TYPE_NARROW_GAUGE_RAILTYPE_OHLE]:[TRACK_TYPE_NARROW_GAUGE_RAILTYPE_NONE]],_xlfn.LAMBDA(_xlpm.r,OR(_xlpm.r))),FALSE)</f>
        <v>0</v>
      </c>
      <c r="AG138" s="38" t="b" cm="1">
        <f t="array" ref="AG138">IFERROR(_xlfn.BYROW(TRACK_TYPES[[#This Row],[TRACK_TYPE_BROAD_GAUGE_RAILTYPE_OHLE]:[TRACK_TYPE_BROAD_GAUGE_RAILTYPE_NONE]],_xlfn.LAMBDA(_xlpm.r,OR(_xlpm.r))),FALSE)</f>
        <v>1</v>
      </c>
      <c r="AH1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38"/>
      <c r="AQ138"/>
      <c r="AR138"/>
    </row>
    <row r="139" spans="1:44" x14ac:dyDescent="0.35">
      <c r="A139" s="2" t="s">
        <v>2779</v>
      </c>
      <c r="B139" s="40" t="str">
        <f>_xlfn.XLOOKUP(PROPERTIES[[#This Row],[VEHIDCODE]],CONTROL[VEHIDCODE],CONTROL[ENGLISH])</f>
        <v>Falcon Engine and Car Works F2</v>
      </c>
      <c r="R139" s="2" t="b">
        <v>1</v>
      </c>
      <c r="AC139" s="2"/>
      <c r="AD139" s="2" t="b">
        <f>LEN(_xlfn.CONCAT(TRACK_TYPES[[#This Row],[TRACK_TYPE_STANDARD_GAUGE_RAILTYPE_OHLE]:[TRACK_TYPE_MTRO]]))&gt;0</f>
        <v>1</v>
      </c>
      <c r="AE139" s="38" t="b" cm="1">
        <f t="array" ref="AE139">IFERROR(_xlfn.BYROW(TRACK_TYPES[[#This Row],[TRACK_TYPE_STANDARD_GAUGE_RAILTYPE_OHLE]:[TRACK_TYPE_STANDARD_GAUGE_RAILTYPE_NONE]],_xlfn.LAMBDA(_xlpm.r,OR(_xlpm.r))),FALSE)</f>
        <v>0</v>
      </c>
      <c r="AF139" s="38" t="b" cm="1">
        <f t="array" ref="AF139">IFERROR(_xlfn.BYROW(TRACK_TYPES[[#This Row],[TRACK_TYPE_NARROW_GAUGE_RAILTYPE_OHLE]:[TRACK_TYPE_NARROW_GAUGE_RAILTYPE_NONE]],_xlfn.LAMBDA(_xlpm.r,OR(_xlpm.r))),FALSE)</f>
        <v>1</v>
      </c>
      <c r="AG139" s="38" t="b" cm="1">
        <f t="array" ref="AG139">IFERROR(_xlfn.BYROW(TRACK_TYPES[[#This Row],[TRACK_TYPE_BROAD_GAUGE_RAILTYPE_OHLE]:[TRACK_TYPE_BROAD_GAUGE_RAILTYPE_NONE]],_xlfn.LAMBDA(_xlpm.r,OR(_xlpm.r))),FALSE)</f>
        <v>0</v>
      </c>
      <c r="AH1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39"/>
      <c r="AQ139"/>
      <c r="AR139"/>
    </row>
    <row r="140" spans="1:44" x14ac:dyDescent="0.35">
      <c r="A140" s="2" t="s">
        <v>2780</v>
      </c>
      <c r="B140" s="40" t="str">
        <f>_xlfn.XLOOKUP(PROPERTIES[[#This Row],[VEHIDCODE]],CONTROL[VEHIDCODE],CONTROL[ENGLISH])</f>
        <v>Ansaldo R.440 'Mallet'</v>
      </c>
      <c r="R140" s="2" t="b">
        <v>1</v>
      </c>
      <c r="AC140" s="2"/>
      <c r="AD140" s="2" t="b">
        <f>LEN(_xlfn.CONCAT(TRACK_TYPES[[#This Row],[TRACK_TYPE_STANDARD_GAUGE_RAILTYPE_OHLE]:[TRACK_TYPE_MTRO]]))&gt;0</f>
        <v>1</v>
      </c>
      <c r="AE140" s="38" t="b" cm="1">
        <f t="array" ref="AE140">IFERROR(_xlfn.BYROW(TRACK_TYPES[[#This Row],[TRACK_TYPE_STANDARD_GAUGE_RAILTYPE_OHLE]:[TRACK_TYPE_STANDARD_GAUGE_RAILTYPE_NONE]],_xlfn.LAMBDA(_xlpm.r,OR(_xlpm.r))),FALSE)</f>
        <v>0</v>
      </c>
      <c r="AF140" s="38" t="b" cm="1">
        <f t="array" ref="AF140">IFERROR(_xlfn.BYROW(TRACK_TYPES[[#This Row],[TRACK_TYPE_NARROW_GAUGE_RAILTYPE_OHLE]:[TRACK_TYPE_NARROW_GAUGE_RAILTYPE_NONE]],_xlfn.LAMBDA(_xlpm.r,OR(_xlpm.r))),FALSE)</f>
        <v>1</v>
      </c>
      <c r="AG140" s="38" t="b" cm="1">
        <f t="array" ref="AG140">IFERROR(_xlfn.BYROW(TRACK_TYPES[[#This Row],[TRACK_TYPE_BROAD_GAUGE_RAILTYPE_OHLE]:[TRACK_TYPE_BROAD_GAUGE_RAILTYPE_NONE]],_xlfn.LAMBDA(_xlpm.r,OR(_xlpm.r))),FALSE)</f>
        <v>0</v>
      </c>
      <c r="AH1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0"/>
      <c r="AQ140"/>
      <c r="AR140"/>
    </row>
    <row r="141" spans="1:44" x14ac:dyDescent="0.35">
      <c r="A141" s="2" t="s">
        <v>2781</v>
      </c>
      <c r="B141" s="40" t="str">
        <f>_xlfn.XLOOKUP(PROPERTIES[[#This Row],[VEHIDCODE]],CONTROL[VEHIDCODE],CONTROL[ENGLISH])</f>
        <v>Beyer, P &amp; Co. 4-8-0 6128-6133</v>
      </c>
      <c r="R141" s="2" t="b">
        <v>1</v>
      </c>
      <c r="AC141" s="2"/>
      <c r="AD141" s="2" t="b">
        <f>LEN(_xlfn.CONCAT(TRACK_TYPES[[#This Row],[TRACK_TYPE_STANDARD_GAUGE_RAILTYPE_OHLE]:[TRACK_TYPE_MTRO]]))&gt;0</f>
        <v>1</v>
      </c>
      <c r="AE141" s="38" t="b" cm="1">
        <f t="array" ref="AE141">IFERROR(_xlfn.BYROW(TRACK_TYPES[[#This Row],[TRACK_TYPE_STANDARD_GAUGE_RAILTYPE_OHLE]:[TRACK_TYPE_STANDARD_GAUGE_RAILTYPE_NONE]],_xlfn.LAMBDA(_xlpm.r,OR(_xlpm.r))),FALSE)</f>
        <v>0</v>
      </c>
      <c r="AF141" s="38" t="b" cm="1">
        <f t="array" ref="AF141">IFERROR(_xlfn.BYROW(TRACK_TYPES[[#This Row],[TRACK_TYPE_NARROW_GAUGE_RAILTYPE_OHLE]:[TRACK_TYPE_NARROW_GAUGE_RAILTYPE_NONE]],_xlfn.LAMBDA(_xlpm.r,OR(_xlpm.r))),FALSE)</f>
        <v>1</v>
      </c>
      <c r="AG141" s="38" t="b" cm="1">
        <f t="array" ref="AG141">IFERROR(_xlfn.BYROW(TRACK_TYPES[[#This Row],[TRACK_TYPE_BROAD_GAUGE_RAILTYPE_OHLE]:[TRACK_TYPE_BROAD_GAUGE_RAILTYPE_NONE]],_xlfn.LAMBDA(_xlpm.r,OR(_xlpm.r))),FALSE)</f>
        <v>0</v>
      </c>
      <c r="AH1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1"/>
      <c r="AQ141"/>
      <c r="AR141"/>
    </row>
    <row r="142" spans="1:44" x14ac:dyDescent="0.35">
      <c r="A142" s="2" t="s">
        <v>2782</v>
      </c>
      <c r="B142" s="40" t="str">
        <f>_xlfn.XLOOKUP(PROPERTIES[[#This Row],[VEHIDCODE]],CONTROL[VEHIDCODE],CONTROL[ENGLISH])</f>
        <v>Vulcan Foundry 4-8-2 4318-4320</v>
      </c>
      <c r="R142" s="2" t="b">
        <v>1</v>
      </c>
      <c r="AC142" s="2"/>
      <c r="AD142" s="2" t="b">
        <f>LEN(_xlfn.CONCAT(TRACK_TYPES[[#This Row],[TRACK_TYPE_STANDARD_GAUGE_RAILTYPE_OHLE]:[TRACK_TYPE_MTRO]]))&gt;0</f>
        <v>1</v>
      </c>
      <c r="AE142" s="38" t="b" cm="1">
        <f t="array" ref="AE142">IFERROR(_xlfn.BYROW(TRACK_TYPES[[#This Row],[TRACK_TYPE_STANDARD_GAUGE_RAILTYPE_OHLE]:[TRACK_TYPE_STANDARD_GAUGE_RAILTYPE_NONE]],_xlfn.LAMBDA(_xlpm.r,OR(_xlpm.r))),FALSE)</f>
        <v>0</v>
      </c>
      <c r="AF142" s="38" t="b" cm="1">
        <f t="array" ref="AF142">IFERROR(_xlfn.BYROW(TRACK_TYPES[[#This Row],[TRACK_TYPE_NARROW_GAUGE_RAILTYPE_OHLE]:[TRACK_TYPE_NARROW_GAUGE_RAILTYPE_NONE]],_xlfn.LAMBDA(_xlpm.r,OR(_xlpm.r))),FALSE)</f>
        <v>1</v>
      </c>
      <c r="AG142" s="38" t="b" cm="1">
        <f t="array" ref="AG142">IFERROR(_xlfn.BYROW(TRACK_TYPES[[#This Row],[TRACK_TYPE_BROAD_GAUGE_RAILTYPE_OHLE]:[TRACK_TYPE_BROAD_GAUGE_RAILTYPE_NONE]],_xlfn.LAMBDA(_xlpm.r,OR(_xlpm.r))),FALSE)</f>
        <v>0</v>
      </c>
      <c r="AH1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2"/>
      <c r="AQ142"/>
      <c r="AR142"/>
    </row>
    <row r="143" spans="1:44" x14ac:dyDescent="0.35">
      <c r="A143" s="2" t="s">
        <v>2783</v>
      </c>
      <c r="B143" s="40" t="str">
        <f>_xlfn.XLOOKUP(PROPERTIES[[#This Row],[VEHIDCODE]],CONTROL[VEHIDCODE],CONTROL[ENGLISH])</f>
        <v>Beyer, P &amp; Co. 4-6-4+4-6-4 '15th'</v>
      </c>
      <c r="R143" s="2" t="b">
        <v>1</v>
      </c>
      <c r="AC143" s="2"/>
      <c r="AD143" s="2" t="b">
        <f>LEN(_xlfn.CONCAT(TRACK_TYPES[[#This Row],[TRACK_TYPE_STANDARD_GAUGE_RAILTYPE_OHLE]:[TRACK_TYPE_MTRO]]))&gt;0</f>
        <v>1</v>
      </c>
      <c r="AE143" s="38" t="b" cm="1">
        <f t="array" ref="AE143">IFERROR(_xlfn.BYROW(TRACK_TYPES[[#This Row],[TRACK_TYPE_STANDARD_GAUGE_RAILTYPE_OHLE]:[TRACK_TYPE_STANDARD_GAUGE_RAILTYPE_NONE]],_xlfn.LAMBDA(_xlpm.r,OR(_xlpm.r))),FALSE)</f>
        <v>0</v>
      </c>
      <c r="AF143" s="38" t="b" cm="1">
        <f t="array" ref="AF143">IFERROR(_xlfn.BYROW(TRACK_TYPES[[#This Row],[TRACK_TYPE_NARROW_GAUGE_RAILTYPE_OHLE]:[TRACK_TYPE_NARROW_GAUGE_RAILTYPE_NONE]],_xlfn.LAMBDA(_xlpm.r,OR(_xlpm.r))),FALSE)</f>
        <v>1</v>
      </c>
      <c r="AG143" s="38" t="b" cm="1">
        <f t="array" ref="AG143">IFERROR(_xlfn.BYROW(TRACK_TYPES[[#This Row],[TRACK_TYPE_BROAD_GAUGE_RAILTYPE_OHLE]:[TRACK_TYPE_BROAD_GAUGE_RAILTYPE_NONE]],_xlfn.LAMBDA(_xlpm.r,OR(_xlpm.r))),FALSE)</f>
        <v>0</v>
      </c>
      <c r="AH1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3"/>
      <c r="AQ143"/>
      <c r="AR143"/>
    </row>
    <row r="144" spans="1:44" x14ac:dyDescent="0.35">
      <c r="A144" s="2" t="s">
        <v>2784</v>
      </c>
      <c r="B144" s="40" t="str">
        <f>_xlfn.XLOOKUP(PROPERTIES[[#This Row],[VEHIDCODE]],CONTROL[VEHIDCODE],CONTROL[ENGLISH])</f>
        <v>Beyer, P &amp; Co. 4-8-2+2-8-4 7550-7552</v>
      </c>
      <c r="R144" s="2" t="b">
        <v>1</v>
      </c>
      <c r="AC144" s="2"/>
      <c r="AD144" s="2" t="b">
        <f>LEN(_xlfn.CONCAT(TRACK_TYPES[[#This Row],[TRACK_TYPE_STANDARD_GAUGE_RAILTYPE_OHLE]:[TRACK_TYPE_MTRO]]))&gt;0</f>
        <v>1</v>
      </c>
      <c r="AE144" s="38" t="b" cm="1">
        <f t="array" ref="AE144">IFERROR(_xlfn.BYROW(TRACK_TYPES[[#This Row],[TRACK_TYPE_STANDARD_GAUGE_RAILTYPE_OHLE]:[TRACK_TYPE_STANDARD_GAUGE_RAILTYPE_NONE]],_xlfn.LAMBDA(_xlpm.r,OR(_xlpm.r))),FALSE)</f>
        <v>0</v>
      </c>
      <c r="AF144" s="38" t="b" cm="1">
        <f t="array" ref="AF144">IFERROR(_xlfn.BYROW(TRACK_TYPES[[#This Row],[TRACK_TYPE_NARROW_GAUGE_RAILTYPE_OHLE]:[TRACK_TYPE_NARROW_GAUGE_RAILTYPE_NONE]],_xlfn.LAMBDA(_xlpm.r,OR(_xlpm.r))),FALSE)</f>
        <v>1</v>
      </c>
      <c r="AG144" s="38" t="b" cm="1">
        <f t="array" ref="AG144">IFERROR(_xlfn.BYROW(TRACK_TYPES[[#This Row],[TRACK_TYPE_BROAD_GAUGE_RAILTYPE_OHLE]:[TRACK_TYPE_BROAD_GAUGE_RAILTYPE_NONE]],_xlfn.LAMBDA(_xlpm.r,OR(_xlpm.r))),FALSE)</f>
        <v>0</v>
      </c>
      <c r="AH1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4"/>
      <c r="AQ144"/>
      <c r="AR144"/>
    </row>
    <row r="145" spans="1:44" x14ac:dyDescent="0.35">
      <c r="A145" s="2" t="s">
        <v>2785</v>
      </c>
      <c r="B145" s="40" t="str">
        <f>_xlfn.XLOOKUP(PROPERTIES[[#This Row],[VEHIDCODE]],CONTROL[VEHIDCODE],CONTROL[ENGLISH])</f>
        <v>Vulcan Foundry 2-8-4 6228</v>
      </c>
      <c r="R145" s="2" t="b">
        <v>1</v>
      </c>
      <c r="AC145" s="2"/>
      <c r="AD145" s="2" t="b">
        <f>LEN(_xlfn.CONCAT(TRACK_TYPES[[#This Row],[TRACK_TYPE_STANDARD_GAUGE_RAILTYPE_OHLE]:[TRACK_TYPE_MTRO]]))&gt;0</f>
        <v>1</v>
      </c>
      <c r="AE145" s="38" t="b" cm="1">
        <f t="array" ref="AE145">IFERROR(_xlfn.BYROW(TRACK_TYPES[[#This Row],[TRACK_TYPE_STANDARD_GAUGE_RAILTYPE_OHLE]:[TRACK_TYPE_STANDARD_GAUGE_RAILTYPE_NONE]],_xlfn.LAMBDA(_xlpm.r,OR(_xlpm.r))),FALSE)</f>
        <v>0</v>
      </c>
      <c r="AF145" s="38" t="b" cm="1">
        <f t="array" ref="AF145">IFERROR(_xlfn.BYROW(TRACK_TYPES[[#This Row],[TRACK_TYPE_NARROW_GAUGE_RAILTYPE_OHLE]:[TRACK_TYPE_NARROW_GAUGE_RAILTYPE_NONE]],_xlfn.LAMBDA(_xlpm.r,OR(_xlpm.r))),FALSE)</f>
        <v>1</v>
      </c>
      <c r="AG145" s="38" t="b" cm="1">
        <f t="array" ref="AG145">IFERROR(_xlfn.BYROW(TRACK_TYPES[[#This Row],[TRACK_TYPE_BROAD_GAUGE_RAILTYPE_OHLE]:[TRACK_TYPE_BROAD_GAUGE_RAILTYPE_NONE]],_xlfn.LAMBDA(_xlpm.r,OR(_xlpm.r))),FALSE)</f>
        <v>0</v>
      </c>
      <c r="AH1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5"/>
      <c r="AQ145"/>
      <c r="AR145"/>
    </row>
    <row r="146" spans="1:44" x14ac:dyDescent="0.35">
      <c r="A146" s="2" t="s">
        <v>2786</v>
      </c>
      <c r="B146" s="40" t="str">
        <f>_xlfn.XLOOKUP(PROPERTIES[[#This Row],[VEHIDCODE]],CONTROL[VEHIDCODE],CONTROL[ENGLISH])</f>
        <v>Kitson 2-2-2WT 481 'Fairy Queen'</v>
      </c>
      <c r="Z146" s="2" t="b">
        <v>1</v>
      </c>
      <c r="AC146" s="2"/>
      <c r="AD146" s="2" t="b">
        <f>LEN(_xlfn.CONCAT(TRACK_TYPES[[#This Row],[TRACK_TYPE_STANDARD_GAUGE_RAILTYPE_OHLE]:[TRACK_TYPE_MTRO]]))&gt;0</f>
        <v>1</v>
      </c>
      <c r="AE146" s="38" t="b" cm="1">
        <f t="array" ref="AE146">IFERROR(_xlfn.BYROW(TRACK_TYPES[[#This Row],[TRACK_TYPE_STANDARD_GAUGE_RAILTYPE_OHLE]:[TRACK_TYPE_STANDARD_GAUGE_RAILTYPE_NONE]],_xlfn.LAMBDA(_xlpm.r,OR(_xlpm.r))),FALSE)</f>
        <v>0</v>
      </c>
      <c r="AF146" s="38" t="b" cm="1">
        <f t="array" ref="AF146">IFERROR(_xlfn.BYROW(TRACK_TYPES[[#This Row],[TRACK_TYPE_NARROW_GAUGE_RAILTYPE_OHLE]:[TRACK_TYPE_NARROW_GAUGE_RAILTYPE_NONE]],_xlfn.LAMBDA(_xlpm.r,OR(_xlpm.r))),FALSE)</f>
        <v>0</v>
      </c>
      <c r="AG146" s="38" t="b" cm="1">
        <f t="array" ref="AG146">IFERROR(_xlfn.BYROW(TRACK_TYPES[[#This Row],[TRACK_TYPE_BROAD_GAUGE_RAILTYPE_OHLE]:[TRACK_TYPE_BROAD_GAUGE_RAILTYPE_NONE]],_xlfn.LAMBDA(_xlpm.r,OR(_xlpm.r))),FALSE)</f>
        <v>1</v>
      </c>
      <c r="AH1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46"/>
      <c r="AQ146"/>
      <c r="AR146"/>
    </row>
    <row r="147" spans="1:44" x14ac:dyDescent="0.35">
      <c r="A147" s="2" t="s">
        <v>2787</v>
      </c>
      <c r="B147" s="40" t="str">
        <f>_xlfn.XLOOKUP(PROPERTIES[[#This Row],[VEHIDCODE]],CONTROL[VEHIDCODE],CONTROL[ENGLISH])</f>
        <v>Sharp, Stewart &amp; Co. 0-4-0ST DHR B</v>
      </c>
      <c r="R147" s="2" t="b">
        <v>1</v>
      </c>
      <c r="AC147" s="2"/>
      <c r="AD147" s="2" t="b">
        <f>LEN(_xlfn.CONCAT(TRACK_TYPES[[#This Row],[TRACK_TYPE_STANDARD_GAUGE_RAILTYPE_OHLE]:[TRACK_TYPE_MTRO]]))&gt;0</f>
        <v>1</v>
      </c>
      <c r="AE147" s="38" t="b" cm="1">
        <f t="array" ref="AE147">IFERROR(_xlfn.BYROW(TRACK_TYPES[[#This Row],[TRACK_TYPE_STANDARD_GAUGE_RAILTYPE_OHLE]:[TRACK_TYPE_STANDARD_GAUGE_RAILTYPE_NONE]],_xlfn.LAMBDA(_xlpm.r,OR(_xlpm.r))),FALSE)</f>
        <v>0</v>
      </c>
      <c r="AF147" s="38" t="b" cm="1">
        <f t="array" ref="AF147">IFERROR(_xlfn.BYROW(TRACK_TYPES[[#This Row],[TRACK_TYPE_NARROW_GAUGE_RAILTYPE_OHLE]:[TRACK_TYPE_NARROW_GAUGE_RAILTYPE_NONE]],_xlfn.LAMBDA(_xlpm.r,OR(_xlpm.r))),FALSE)</f>
        <v>1</v>
      </c>
      <c r="AG147" s="38" t="b" cm="1">
        <f t="array" ref="AG147">IFERROR(_xlfn.BYROW(TRACK_TYPES[[#This Row],[TRACK_TYPE_BROAD_GAUGE_RAILTYPE_OHLE]:[TRACK_TYPE_BROAD_GAUGE_RAILTYPE_NONE]],_xlfn.LAMBDA(_xlpm.r,OR(_xlpm.r))),FALSE)</f>
        <v>0</v>
      </c>
      <c r="AH1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7"/>
      <c r="AQ147"/>
      <c r="AR147"/>
    </row>
    <row r="148" spans="1:44" x14ac:dyDescent="0.35">
      <c r="A148" s="2" t="s">
        <v>2788</v>
      </c>
      <c r="B148" s="40" t="str">
        <f>_xlfn.XLOOKUP(PROPERTIES[[#This Row],[VEHIDCODE]],CONTROL[VEHIDCODE],CONTROL[ENGLISH])</f>
        <v>Baldwin 2-8-0 Sentetsu Sorii</v>
      </c>
      <c r="J148" s="2" t="b">
        <v>1</v>
      </c>
      <c r="AC148" s="2"/>
      <c r="AD148" s="2" t="b">
        <f>LEN(_xlfn.CONCAT(TRACK_TYPES[[#This Row],[TRACK_TYPE_STANDARD_GAUGE_RAILTYPE_OHLE]:[TRACK_TYPE_MTRO]]))&gt;0</f>
        <v>1</v>
      </c>
      <c r="AE148" s="38" t="b" cm="1">
        <f t="array" ref="AE148">IFERROR(_xlfn.BYROW(TRACK_TYPES[[#This Row],[TRACK_TYPE_STANDARD_GAUGE_RAILTYPE_OHLE]:[TRACK_TYPE_STANDARD_GAUGE_RAILTYPE_NONE]],_xlfn.LAMBDA(_xlpm.r,OR(_xlpm.r))),FALSE)</f>
        <v>1</v>
      </c>
      <c r="AF148" s="38" t="b" cm="1">
        <f t="array" ref="AF148">IFERROR(_xlfn.BYROW(TRACK_TYPES[[#This Row],[TRACK_TYPE_NARROW_GAUGE_RAILTYPE_OHLE]:[TRACK_TYPE_NARROW_GAUGE_RAILTYPE_NONE]],_xlfn.LAMBDA(_xlpm.r,OR(_xlpm.r))),FALSE)</f>
        <v>0</v>
      </c>
      <c r="AG148" s="38" t="b" cm="1">
        <f t="array" ref="AG148">IFERROR(_xlfn.BYROW(TRACK_TYPES[[#This Row],[TRACK_TYPE_BROAD_GAUGE_RAILTYPE_OHLE]:[TRACK_TYPE_BROAD_GAUGE_RAILTYPE_NONE]],_xlfn.LAMBDA(_xlpm.r,OR(_xlpm.r))),FALSE)</f>
        <v>0</v>
      </c>
      <c r="AH1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48"/>
      <c r="AQ148"/>
      <c r="AR148"/>
    </row>
    <row r="149" spans="1:44" x14ac:dyDescent="0.35">
      <c r="A149" s="2" t="s">
        <v>2789</v>
      </c>
      <c r="B149" s="40" t="str">
        <f>_xlfn.XLOOKUP(PROPERTIES[[#This Row],[VEHIDCODE]],CONTROL[VEHIDCODE],CONTROL[ENGLISH])</f>
        <v>Putilov 4-6-0 U</v>
      </c>
      <c r="Z149" s="2" t="b">
        <v>1</v>
      </c>
      <c r="AC149" s="2"/>
      <c r="AD149" s="2" t="b">
        <f>LEN(_xlfn.CONCAT(TRACK_TYPES[[#This Row],[TRACK_TYPE_STANDARD_GAUGE_RAILTYPE_OHLE]:[TRACK_TYPE_MTRO]]))&gt;0</f>
        <v>1</v>
      </c>
      <c r="AE149" s="38" t="b" cm="1">
        <f t="array" ref="AE149">IFERROR(_xlfn.BYROW(TRACK_TYPES[[#This Row],[TRACK_TYPE_STANDARD_GAUGE_RAILTYPE_OHLE]:[TRACK_TYPE_STANDARD_GAUGE_RAILTYPE_NONE]],_xlfn.LAMBDA(_xlpm.r,OR(_xlpm.r))),FALSE)</f>
        <v>0</v>
      </c>
      <c r="AF149" s="38" t="b" cm="1">
        <f t="array" ref="AF149">IFERROR(_xlfn.BYROW(TRACK_TYPES[[#This Row],[TRACK_TYPE_NARROW_GAUGE_RAILTYPE_OHLE]:[TRACK_TYPE_NARROW_GAUGE_RAILTYPE_NONE]],_xlfn.LAMBDA(_xlpm.r,OR(_xlpm.r))),FALSE)</f>
        <v>0</v>
      </c>
      <c r="AG149" s="38" t="b" cm="1">
        <f t="array" ref="AG149">IFERROR(_xlfn.BYROW(TRACK_TYPES[[#This Row],[TRACK_TYPE_BROAD_GAUGE_RAILTYPE_OHLE]:[TRACK_TYPE_BROAD_GAUGE_RAILTYPE_NONE]],_xlfn.LAMBDA(_xlpm.r,OR(_xlpm.r))),FALSE)</f>
        <v>1</v>
      </c>
      <c r="AH1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49"/>
      <c r="AQ149"/>
      <c r="AR149"/>
    </row>
    <row r="150" spans="1:44" x14ac:dyDescent="0.35">
      <c r="A150" s="2" t="s">
        <v>2790</v>
      </c>
      <c r="B150" s="40" t="str">
        <f>_xlfn.XLOOKUP(PROPERTIES[[#This Row],[VEHIDCODE]],CONTROL[VEHIDCODE],CONTROL[ENGLISH])</f>
        <v>Baldwin 12-44 F 2-10-0 'Ye'</v>
      </c>
      <c r="J150" s="2" t="b">
        <v>1</v>
      </c>
      <c r="Z150" s="2" t="b">
        <v>1</v>
      </c>
      <c r="AC150" s="2"/>
      <c r="AD150" s="2" t="b">
        <f>LEN(_xlfn.CONCAT(TRACK_TYPES[[#This Row],[TRACK_TYPE_STANDARD_GAUGE_RAILTYPE_OHLE]:[TRACK_TYPE_MTRO]]))&gt;0</f>
        <v>1</v>
      </c>
      <c r="AE150" s="38" t="b" cm="1">
        <f t="array" ref="AE150">IFERROR(_xlfn.BYROW(TRACK_TYPES[[#This Row],[TRACK_TYPE_STANDARD_GAUGE_RAILTYPE_OHLE]:[TRACK_TYPE_STANDARD_GAUGE_RAILTYPE_NONE]],_xlfn.LAMBDA(_xlpm.r,OR(_xlpm.r))),FALSE)</f>
        <v>1</v>
      </c>
      <c r="AF150" s="38" t="b" cm="1">
        <f t="array" ref="AF150">IFERROR(_xlfn.BYROW(TRACK_TYPES[[#This Row],[TRACK_TYPE_NARROW_GAUGE_RAILTYPE_OHLE]:[TRACK_TYPE_NARROW_GAUGE_RAILTYPE_NONE]],_xlfn.LAMBDA(_xlpm.r,OR(_xlpm.r))),FALSE)</f>
        <v>0</v>
      </c>
      <c r="AG150" s="38" t="b" cm="1">
        <f t="array" ref="AG150">IFERROR(_xlfn.BYROW(TRACK_TYPES[[#This Row],[TRACK_TYPE_BROAD_GAUGE_RAILTYPE_OHLE]:[TRACK_TYPE_BROAD_GAUGE_RAILTYPE_NONE]],_xlfn.LAMBDA(_xlpm.r,OR(_xlpm.r))),FALSE)</f>
        <v>1</v>
      </c>
      <c r="AH1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0"/>
      <c r="AQ150"/>
      <c r="AR150"/>
    </row>
    <row r="151" spans="1:44" x14ac:dyDescent="0.35">
      <c r="A151" s="2" t="s">
        <v>2791</v>
      </c>
      <c r="B151" s="40" t="str">
        <f>_xlfn.XLOOKUP(PROPERTIES[[#This Row],[VEHIDCODE]],CONTROL[VEHIDCODE],CONTROL[ENGLISH])</f>
        <v>Baldwin 4-6-0 50201</v>
      </c>
      <c r="J151" s="2" t="b">
        <v>1</v>
      </c>
      <c r="AC151" s="2"/>
      <c r="AD151" s="2" t="b">
        <f>LEN(_xlfn.CONCAT(TRACK_TYPES[[#This Row],[TRACK_TYPE_STANDARD_GAUGE_RAILTYPE_OHLE]:[TRACK_TYPE_MTRO]]))&gt;0</f>
        <v>1</v>
      </c>
      <c r="AE151" s="38" t="b" cm="1">
        <f t="array" ref="AE151">IFERROR(_xlfn.BYROW(TRACK_TYPES[[#This Row],[TRACK_TYPE_STANDARD_GAUGE_RAILTYPE_OHLE]:[TRACK_TYPE_STANDARD_GAUGE_RAILTYPE_NONE]],_xlfn.LAMBDA(_xlpm.r,OR(_xlpm.r))),FALSE)</f>
        <v>1</v>
      </c>
      <c r="AF151" s="38" t="b" cm="1">
        <f t="array" ref="AF151">IFERROR(_xlfn.BYROW(TRACK_TYPES[[#This Row],[TRACK_TYPE_NARROW_GAUGE_RAILTYPE_OHLE]:[TRACK_TYPE_NARROW_GAUGE_RAILTYPE_NONE]],_xlfn.LAMBDA(_xlpm.r,OR(_xlpm.r))),FALSE)</f>
        <v>0</v>
      </c>
      <c r="AG151" s="38" t="b" cm="1">
        <f t="array" ref="AG151">IFERROR(_xlfn.BYROW(TRACK_TYPES[[#This Row],[TRACK_TYPE_BROAD_GAUGE_RAILTYPE_OHLE]:[TRACK_TYPE_BROAD_GAUGE_RAILTYPE_NONE]],_xlfn.LAMBDA(_xlpm.r,OR(_xlpm.r))),FALSE)</f>
        <v>0</v>
      </c>
      <c r="AH1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1"/>
      <c r="AQ151"/>
      <c r="AR151"/>
    </row>
    <row r="152" spans="1:44" x14ac:dyDescent="0.35">
      <c r="A152" s="2" t="s">
        <v>2792</v>
      </c>
      <c r="B152" s="40" t="str">
        <f>_xlfn.XLOOKUP(PROPERTIES[[#This Row],[VEHIDCODE]],CONTROL[VEHIDCODE],CONTROL[ENGLISH])</f>
        <v>FS 480</v>
      </c>
      <c r="J152" s="2" t="b">
        <v>1</v>
      </c>
      <c r="AC152" s="2"/>
      <c r="AD152" s="2" t="b">
        <f>LEN(_xlfn.CONCAT(TRACK_TYPES[[#This Row],[TRACK_TYPE_STANDARD_GAUGE_RAILTYPE_OHLE]:[TRACK_TYPE_MTRO]]))&gt;0</f>
        <v>1</v>
      </c>
      <c r="AE152" s="38" t="b" cm="1">
        <f t="array" ref="AE152">IFERROR(_xlfn.BYROW(TRACK_TYPES[[#This Row],[TRACK_TYPE_STANDARD_GAUGE_RAILTYPE_OHLE]:[TRACK_TYPE_STANDARD_GAUGE_RAILTYPE_NONE]],_xlfn.LAMBDA(_xlpm.r,OR(_xlpm.r))),FALSE)</f>
        <v>1</v>
      </c>
      <c r="AF152" s="38" t="b" cm="1">
        <f t="array" ref="AF152">IFERROR(_xlfn.BYROW(TRACK_TYPES[[#This Row],[TRACK_TYPE_NARROW_GAUGE_RAILTYPE_OHLE]:[TRACK_TYPE_NARROW_GAUGE_RAILTYPE_NONE]],_xlfn.LAMBDA(_xlpm.r,OR(_xlpm.r))),FALSE)</f>
        <v>0</v>
      </c>
      <c r="AG152" s="38" t="b" cm="1">
        <f t="array" ref="AG152">IFERROR(_xlfn.BYROW(TRACK_TYPES[[#This Row],[TRACK_TYPE_BROAD_GAUGE_RAILTYPE_OHLE]:[TRACK_TYPE_BROAD_GAUGE_RAILTYPE_NONE]],_xlfn.LAMBDA(_xlpm.r,OR(_xlpm.r))),FALSE)</f>
        <v>0</v>
      </c>
      <c r="AH1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2"/>
      <c r="AQ152"/>
      <c r="AR152"/>
    </row>
    <row r="153" spans="1:44" x14ac:dyDescent="0.35">
      <c r="A153" s="2" t="s">
        <v>2793</v>
      </c>
      <c r="B153" s="40" t="str">
        <f>_xlfn.XLOOKUP(PROPERTIES[[#This Row],[VEHIDCODE]],CONTROL[VEHIDCODE],CONTROL[ENGLISH])</f>
        <v>FS 691</v>
      </c>
      <c r="J153" s="2" t="b">
        <v>1</v>
      </c>
      <c r="AC153" s="2"/>
      <c r="AD153" s="2" t="b">
        <f>LEN(_xlfn.CONCAT(TRACK_TYPES[[#This Row],[TRACK_TYPE_STANDARD_GAUGE_RAILTYPE_OHLE]:[TRACK_TYPE_MTRO]]))&gt;0</f>
        <v>1</v>
      </c>
      <c r="AE153" s="38" t="b" cm="1">
        <f t="array" ref="AE153">IFERROR(_xlfn.BYROW(TRACK_TYPES[[#This Row],[TRACK_TYPE_STANDARD_GAUGE_RAILTYPE_OHLE]:[TRACK_TYPE_STANDARD_GAUGE_RAILTYPE_NONE]],_xlfn.LAMBDA(_xlpm.r,OR(_xlpm.r))),FALSE)</f>
        <v>1</v>
      </c>
      <c r="AF153" s="38" t="b" cm="1">
        <f t="array" ref="AF153">IFERROR(_xlfn.BYROW(TRACK_TYPES[[#This Row],[TRACK_TYPE_NARROW_GAUGE_RAILTYPE_OHLE]:[TRACK_TYPE_NARROW_GAUGE_RAILTYPE_NONE]],_xlfn.LAMBDA(_xlpm.r,OR(_xlpm.r))),FALSE)</f>
        <v>0</v>
      </c>
      <c r="AG153" s="38" t="b" cm="1">
        <f t="array" ref="AG153">IFERROR(_xlfn.BYROW(TRACK_TYPES[[#This Row],[TRACK_TYPE_BROAD_GAUGE_RAILTYPE_OHLE]:[TRACK_TYPE_BROAD_GAUGE_RAILTYPE_NONE]],_xlfn.LAMBDA(_xlpm.r,OR(_xlpm.r))),FALSE)</f>
        <v>0</v>
      </c>
      <c r="AH1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3"/>
      <c r="AQ153"/>
      <c r="AR153"/>
    </row>
    <row r="154" spans="1:44" x14ac:dyDescent="0.35">
      <c r="A154" s="2" t="s">
        <v>2794</v>
      </c>
      <c r="B154" s="40" t="str">
        <f>_xlfn.XLOOKUP(PROPERTIES[[#This Row],[VEHIDCODE]],CONTROL[VEHIDCODE],CONTROL[ENGLISH])</f>
        <v>North British Lb 2-10-0</v>
      </c>
      <c r="J154" s="2" t="b">
        <v>1</v>
      </c>
      <c r="AC154" s="2"/>
      <c r="AD154" s="2" t="b">
        <f>LEN(_xlfn.CONCAT(TRACK_TYPES[[#This Row],[TRACK_TYPE_STANDARD_GAUGE_RAILTYPE_OHLE]:[TRACK_TYPE_MTRO]]))&gt;0</f>
        <v>1</v>
      </c>
      <c r="AE154" s="38" t="b" cm="1">
        <f t="array" ref="AE154">IFERROR(_xlfn.BYROW(TRACK_TYPES[[#This Row],[TRACK_TYPE_STANDARD_GAUGE_RAILTYPE_OHLE]:[TRACK_TYPE_STANDARD_GAUGE_RAILTYPE_NONE]],_xlfn.LAMBDA(_xlpm.r,OR(_xlpm.r))),FALSE)</f>
        <v>1</v>
      </c>
      <c r="AF154" s="38" t="b" cm="1">
        <f t="array" ref="AF154">IFERROR(_xlfn.BYROW(TRACK_TYPES[[#This Row],[TRACK_TYPE_NARROW_GAUGE_RAILTYPE_OHLE]:[TRACK_TYPE_NARROW_GAUGE_RAILTYPE_NONE]],_xlfn.LAMBDA(_xlpm.r,OR(_xlpm.r))),FALSE)</f>
        <v>0</v>
      </c>
      <c r="AG154" s="38" t="b" cm="1">
        <f t="array" ref="AG154">IFERROR(_xlfn.BYROW(TRACK_TYPES[[#This Row],[TRACK_TYPE_BROAD_GAUGE_RAILTYPE_OHLE]:[TRACK_TYPE_BROAD_GAUGE_RAILTYPE_NONE]],_xlfn.LAMBDA(_xlpm.r,OR(_xlpm.r))),FALSE)</f>
        <v>0</v>
      </c>
      <c r="AH1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4"/>
      <c r="AQ154"/>
      <c r="AR154"/>
    </row>
    <row r="155" spans="1:44" x14ac:dyDescent="0.35">
      <c r="A155" s="2" t="s">
        <v>2795</v>
      </c>
      <c r="B155" s="40" t="str">
        <f>_xlfn.XLOOKUP(PROPERTIES[[#This Row],[VEHIDCODE]],CONTROL[VEHIDCODE],CONTROL[ENGLISH])</f>
        <v>ALCO/Baldwin 2-8-0 'USATC S160'</v>
      </c>
      <c r="J155" s="2" t="b">
        <v>1</v>
      </c>
      <c r="AC155" s="2"/>
      <c r="AD155" s="2" t="b">
        <f>LEN(_xlfn.CONCAT(TRACK_TYPES[[#This Row],[TRACK_TYPE_STANDARD_GAUGE_RAILTYPE_OHLE]:[TRACK_TYPE_MTRO]]))&gt;0</f>
        <v>1</v>
      </c>
      <c r="AE155" s="38" t="b" cm="1">
        <f t="array" ref="AE155">IFERROR(_xlfn.BYROW(TRACK_TYPES[[#This Row],[TRACK_TYPE_STANDARD_GAUGE_RAILTYPE_OHLE]:[TRACK_TYPE_STANDARD_GAUGE_RAILTYPE_NONE]],_xlfn.LAMBDA(_xlpm.r,OR(_xlpm.r))),FALSE)</f>
        <v>1</v>
      </c>
      <c r="AF155" s="38" t="b" cm="1">
        <f t="array" ref="AF155">IFERROR(_xlfn.BYROW(TRACK_TYPES[[#This Row],[TRACK_TYPE_NARROW_GAUGE_RAILTYPE_OHLE]:[TRACK_TYPE_NARROW_GAUGE_RAILTYPE_NONE]],_xlfn.LAMBDA(_xlpm.r,OR(_xlpm.r))),FALSE)</f>
        <v>0</v>
      </c>
      <c r="AG155" s="38" t="b" cm="1">
        <f t="array" ref="AG155">IFERROR(_xlfn.BYROW(TRACK_TYPES[[#This Row],[TRACK_TYPE_BROAD_GAUGE_RAILTYPE_OHLE]:[TRACK_TYPE_BROAD_GAUGE_RAILTYPE_NONE]],_xlfn.LAMBDA(_xlpm.r,OR(_xlpm.r))),FALSE)</f>
        <v>0</v>
      </c>
      <c r="AH1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5"/>
      <c r="AQ155"/>
      <c r="AR155"/>
    </row>
    <row r="156" spans="1:44" x14ac:dyDescent="0.35">
      <c r="A156" s="2" t="s">
        <v>3474</v>
      </c>
      <c r="B156" s="40" t="str">
        <f>_xlfn.XLOOKUP(PROPERTIES[[#This Row],[VEHIDCODE]],CONTROL[VEHIDCODE],CONTROL[ENGLISH])</f>
        <v>RENFE 4-8-4 242F 'Confederacion'</v>
      </c>
      <c r="Z156" s="2" t="b">
        <v>1</v>
      </c>
      <c r="AC156" s="2"/>
      <c r="AD156" s="2" t="b">
        <f>LEN(_xlfn.CONCAT(TRACK_TYPES[[#This Row],[TRACK_TYPE_STANDARD_GAUGE_RAILTYPE_OHLE]:[TRACK_TYPE_MTRO]]))&gt;0</f>
        <v>1</v>
      </c>
      <c r="AE156" s="38" t="b" cm="1">
        <f t="array" ref="AE156">IFERROR(_xlfn.BYROW(TRACK_TYPES[[#This Row],[TRACK_TYPE_STANDARD_GAUGE_RAILTYPE_OHLE]:[TRACK_TYPE_STANDARD_GAUGE_RAILTYPE_NONE]],_xlfn.LAMBDA(_xlpm.r,OR(_xlpm.r))),FALSE)</f>
        <v>0</v>
      </c>
      <c r="AF156" s="38" t="b" cm="1">
        <f t="array" ref="AF156">IFERROR(_xlfn.BYROW(TRACK_TYPES[[#This Row],[TRACK_TYPE_NARROW_GAUGE_RAILTYPE_OHLE]:[TRACK_TYPE_NARROW_GAUGE_RAILTYPE_NONE]],_xlfn.LAMBDA(_xlpm.r,OR(_xlpm.r))),FALSE)</f>
        <v>0</v>
      </c>
      <c r="AG156" s="38" t="b" cm="1">
        <f t="array" ref="AG156">IFERROR(_xlfn.BYROW(TRACK_TYPES[[#This Row],[TRACK_TYPE_BROAD_GAUGE_RAILTYPE_OHLE]:[TRACK_TYPE_BROAD_GAUGE_RAILTYPE_NONE]],_xlfn.LAMBDA(_xlpm.r,OR(_xlpm.r))),FALSE)</f>
        <v>1</v>
      </c>
      <c r="AH1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56"/>
      <c r="AQ156"/>
      <c r="AR156"/>
    </row>
    <row r="157" spans="1:44" x14ac:dyDescent="0.35">
      <c r="A157" s="2" t="s">
        <v>2796</v>
      </c>
      <c r="B157" s="40" t="str">
        <f>_xlfn.XLOOKUP(PROPERTIES[[#This Row],[VEHIDCODE]],CONTROL[VEHIDCODE],CONTROL[ENGLISH])</f>
        <v>Skoda 6Lo</v>
      </c>
      <c r="J157" s="2" t="b">
        <v>1</v>
      </c>
      <c r="AC157" s="2"/>
      <c r="AD157" s="2" t="b">
        <f>LEN(_xlfn.CONCAT(TRACK_TYPES[[#This Row],[TRACK_TYPE_STANDARD_GAUGE_RAILTYPE_OHLE]:[TRACK_TYPE_MTRO]]))&gt;0</f>
        <v>1</v>
      </c>
      <c r="AE157" s="38" t="b" cm="1">
        <f t="array" ref="AE157">IFERROR(_xlfn.BYROW(TRACK_TYPES[[#This Row],[TRACK_TYPE_STANDARD_GAUGE_RAILTYPE_OHLE]:[TRACK_TYPE_STANDARD_GAUGE_RAILTYPE_NONE]],_xlfn.LAMBDA(_xlpm.r,OR(_xlpm.r))),FALSE)</f>
        <v>1</v>
      </c>
      <c r="AF157" s="38" t="b" cm="1">
        <f t="array" ref="AF157">IFERROR(_xlfn.BYROW(TRACK_TYPES[[#This Row],[TRACK_TYPE_NARROW_GAUGE_RAILTYPE_OHLE]:[TRACK_TYPE_NARROW_GAUGE_RAILTYPE_NONE]],_xlfn.LAMBDA(_xlpm.r,OR(_xlpm.r))),FALSE)</f>
        <v>0</v>
      </c>
      <c r="AG157" s="38" t="b" cm="1">
        <f t="array" ref="AG157">IFERROR(_xlfn.BYROW(TRACK_TYPES[[#This Row],[TRACK_TYPE_BROAD_GAUGE_RAILTYPE_OHLE]:[TRACK_TYPE_BROAD_GAUGE_RAILTYPE_NONE]],_xlfn.LAMBDA(_xlpm.r,OR(_xlpm.r))),FALSE)</f>
        <v>0</v>
      </c>
      <c r="AH1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7"/>
      <c r="AQ157"/>
      <c r="AR157"/>
    </row>
    <row r="158" spans="1:44" x14ac:dyDescent="0.35">
      <c r="A158" s="2" t="s">
        <v>2797</v>
      </c>
      <c r="B158" s="40" t="str">
        <f>_xlfn.XLOOKUP(PROPERTIES[[#This Row],[VEHIDCODE]],CONTROL[VEHIDCODE],CONTROL[ENGLISH])</f>
        <v>Hanomag/Fablok 4-6-0 Ok22</v>
      </c>
      <c r="J158" s="2" t="b">
        <v>1</v>
      </c>
      <c r="AC158" s="2"/>
      <c r="AD158" s="2" t="b">
        <f>LEN(_xlfn.CONCAT(TRACK_TYPES[[#This Row],[TRACK_TYPE_STANDARD_GAUGE_RAILTYPE_OHLE]:[TRACK_TYPE_MTRO]]))&gt;0</f>
        <v>1</v>
      </c>
      <c r="AE158" s="38" t="b" cm="1">
        <f t="array" ref="AE158">IFERROR(_xlfn.BYROW(TRACK_TYPES[[#This Row],[TRACK_TYPE_STANDARD_GAUGE_RAILTYPE_OHLE]:[TRACK_TYPE_STANDARD_GAUGE_RAILTYPE_NONE]],_xlfn.LAMBDA(_xlpm.r,OR(_xlpm.r))),FALSE)</f>
        <v>1</v>
      </c>
      <c r="AF158" s="38" t="b" cm="1">
        <f t="array" ref="AF158">IFERROR(_xlfn.BYROW(TRACK_TYPES[[#This Row],[TRACK_TYPE_NARROW_GAUGE_RAILTYPE_OHLE]:[TRACK_TYPE_NARROW_GAUGE_RAILTYPE_NONE]],_xlfn.LAMBDA(_xlpm.r,OR(_xlpm.r))),FALSE)</f>
        <v>0</v>
      </c>
      <c r="AG158" s="38" t="b" cm="1">
        <f t="array" ref="AG158">IFERROR(_xlfn.BYROW(TRACK_TYPES[[#This Row],[TRACK_TYPE_BROAD_GAUGE_RAILTYPE_OHLE]:[TRACK_TYPE_BROAD_GAUGE_RAILTYPE_NONE]],_xlfn.LAMBDA(_xlpm.r,OR(_xlpm.r))),FALSE)</f>
        <v>0</v>
      </c>
      <c r="AH1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8"/>
      <c r="AQ158"/>
      <c r="AR158"/>
    </row>
    <row r="159" spans="1:44" x14ac:dyDescent="0.35">
      <c r="A159" s="2" t="s">
        <v>2798</v>
      </c>
      <c r="B159" s="40" t="str">
        <f>_xlfn.XLOOKUP(PROPERTIES[[#This Row],[VEHIDCODE]],CONTROL[VEHIDCODE],CONTROL[ENGLISH])</f>
        <v>MAVAG 4-8-0 424</v>
      </c>
      <c r="J159" s="2" t="b">
        <v>1</v>
      </c>
      <c r="AC159" s="2"/>
      <c r="AD159" s="2" t="b">
        <f>LEN(_xlfn.CONCAT(TRACK_TYPES[[#This Row],[TRACK_TYPE_STANDARD_GAUGE_RAILTYPE_OHLE]:[TRACK_TYPE_MTRO]]))&gt;0</f>
        <v>1</v>
      </c>
      <c r="AE159" s="38" t="b" cm="1">
        <f t="array" ref="AE159">IFERROR(_xlfn.BYROW(TRACK_TYPES[[#This Row],[TRACK_TYPE_STANDARD_GAUGE_RAILTYPE_OHLE]:[TRACK_TYPE_STANDARD_GAUGE_RAILTYPE_NONE]],_xlfn.LAMBDA(_xlpm.r,OR(_xlpm.r))),FALSE)</f>
        <v>1</v>
      </c>
      <c r="AF159" s="38" t="b" cm="1">
        <f t="array" ref="AF159">IFERROR(_xlfn.BYROW(TRACK_TYPES[[#This Row],[TRACK_TYPE_NARROW_GAUGE_RAILTYPE_OHLE]:[TRACK_TYPE_NARROW_GAUGE_RAILTYPE_NONE]],_xlfn.LAMBDA(_xlpm.r,OR(_xlpm.r))),FALSE)</f>
        <v>0</v>
      </c>
      <c r="AG159" s="38" t="b" cm="1">
        <f t="array" ref="AG159">IFERROR(_xlfn.BYROW(TRACK_TYPES[[#This Row],[TRACK_TYPE_BROAD_GAUGE_RAILTYPE_OHLE]:[TRACK_TYPE_BROAD_GAUGE_RAILTYPE_NONE]],_xlfn.LAMBDA(_xlpm.r,OR(_xlpm.r))),FALSE)</f>
        <v>0</v>
      </c>
      <c r="AH1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9"/>
      <c r="AQ159"/>
      <c r="AR159"/>
    </row>
    <row r="160" spans="1:44" x14ac:dyDescent="0.35">
      <c r="A160" s="2" t="s">
        <v>2799</v>
      </c>
      <c r="B160" s="40" t="str">
        <f>_xlfn.XLOOKUP(PROPERTIES[[#This Row],[VEHIDCODE]],CONTROL[VEHIDCODE],CONTROL[ENGLISH])</f>
        <v>MAVAG 4-4-4T 242</v>
      </c>
      <c r="J160" s="2" t="b">
        <v>1</v>
      </c>
      <c r="AC160" s="2"/>
      <c r="AD160" s="2" t="b">
        <f>LEN(_xlfn.CONCAT(TRACK_TYPES[[#This Row],[TRACK_TYPE_STANDARD_GAUGE_RAILTYPE_OHLE]:[TRACK_TYPE_MTRO]]))&gt;0</f>
        <v>1</v>
      </c>
      <c r="AE160" s="38" t="b" cm="1">
        <f t="array" ref="AE160">IFERROR(_xlfn.BYROW(TRACK_TYPES[[#This Row],[TRACK_TYPE_STANDARD_GAUGE_RAILTYPE_OHLE]:[TRACK_TYPE_STANDARD_GAUGE_RAILTYPE_NONE]],_xlfn.LAMBDA(_xlpm.r,OR(_xlpm.r))),FALSE)</f>
        <v>1</v>
      </c>
      <c r="AF160" s="38" t="b" cm="1">
        <f t="array" ref="AF160">IFERROR(_xlfn.BYROW(TRACK_TYPES[[#This Row],[TRACK_TYPE_NARROW_GAUGE_RAILTYPE_OHLE]:[TRACK_TYPE_NARROW_GAUGE_RAILTYPE_NONE]],_xlfn.LAMBDA(_xlpm.r,OR(_xlpm.r))),FALSE)</f>
        <v>0</v>
      </c>
      <c r="AG160" s="38" t="b" cm="1">
        <f t="array" ref="AG160">IFERROR(_xlfn.BYROW(TRACK_TYPES[[#This Row],[TRACK_TYPE_BROAD_GAUGE_RAILTYPE_OHLE]:[TRACK_TYPE_BROAD_GAUGE_RAILTYPE_NONE]],_xlfn.LAMBDA(_xlpm.r,OR(_xlpm.r))),FALSE)</f>
        <v>0</v>
      </c>
      <c r="AH1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0"/>
      <c r="AQ160"/>
      <c r="AR160"/>
    </row>
    <row r="161" spans="1:44" x14ac:dyDescent="0.35">
      <c r="A161" s="2" t="s">
        <v>2800</v>
      </c>
      <c r="B161" s="40" t="str">
        <f>_xlfn.XLOOKUP(PROPERTIES[[#This Row],[VEHIDCODE]],CONTROL[VEHIDCODE],CONTROL[ENGLISH])</f>
        <v>Vulcan Foundry 2-8-0 'Liberation'</v>
      </c>
      <c r="J161" s="2" t="b">
        <v>1</v>
      </c>
      <c r="AC161" s="2"/>
      <c r="AD161" s="2" t="b">
        <f>LEN(_xlfn.CONCAT(TRACK_TYPES[[#This Row],[TRACK_TYPE_STANDARD_GAUGE_RAILTYPE_OHLE]:[TRACK_TYPE_MTRO]]))&gt;0</f>
        <v>1</v>
      </c>
      <c r="AE161" s="38" t="b" cm="1">
        <f t="array" ref="AE161">IFERROR(_xlfn.BYROW(TRACK_TYPES[[#This Row],[TRACK_TYPE_STANDARD_GAUGE_RAILTYPE_OHLE]:[TRACK_TYPE_STANDARD_GAUGE_RAILTYPE_NONE]],_xlfn.LAMBDA(_xlpm.r,OR(_xlpm.r))),FALSE)</f>
        <v>1</v>
      </c>
      <c r="AF161" s="38" t="b" cm="1">
        <f t="array" ref="AF161">IFERROR(_xlfn.BYROW(TRACK_TYPES[[#This Row],[TRACK_TYPE_NARROW_GAUGE_RAILTYPE_OHLE]:[TRACK_TYPE_NARROW_GAUGE_RAILTYPE_NONE]],_xlfn.LAMBDA(_xlpm.r,OR(_xlpm.r))),FALSE)</f>
        <v>0</v>
      </c>
      <c r="AG161" s="38" t="b" cm="1">
        <f t="array" ref="AG161">IFERROR(_xlfn.BYROW(TRACK_TYPES[[#This Row],[TRACK_TYPE_BROAD_GAUGE_RAILTYPE_OHLE]:[TRACK_TYPE_BROAD_GAUGE_RAILTYPE_NONE]],_xlfn.LAMBDA(_xlpm.r,OR(_xlpm.r))),FALSE)</f>
        <v>0</v>
      </c>
      <c r="AH1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1"/>
      <c r="AQ161"/>
      <c r="AR161"/>
    </row>
    <row r="162" spans="1:44" x14ac:dyDescent="0.35">
      <c r="A162" s="2" t="s">
        <v>2801</v>
      </c>
      <c r="B162" s="40" t="str">
        <f>_xlfn.XLOOKUP(PROPERTIES[[#This Row],[VEHIDCODE]],CONTROL[VEHIDCODE],CONTROL[ENGLISH])</f>
        <v>Fablok 2-6-2 OI49</v>
      </c>
      <c r="J162" s="2" t="b">
        <v>1</v>
      </c>
      <c r="AC162" s="2"/>
      <c r="AD162" s="2" t="b">
        <f>LEN(_xlfn.CONCAT(TRACK_TYPES[[#This Row],[TRACK_TYPE_STANDARD_GAUGE_RAILTYPE_OHLE]:[TRACK_TYPE_MTRO]]))&gt;0</f>
        <v>1</v>
      </c>
      <c r="AE162" s="38" t="b" cm="1">
        <f t="array" ref="AE162">IFERROR(_xlfn.BYROW(TRACK_TYPES[[#This Row],[TRACK_TYPE_STANDARD_GAUGE_RAILTYPE_OHLE]:[TRACK_TYPE_STANDARD_GAUGE_RAILTYPE_NONE]],_xlfn.LAMBDA(_xlpm.r,OR(_xlpm.r))),FALSE)</f>
        <v>1</v>
      </c>
      <c r="AF162" s="38" t="b" cm="1">
        <f t="array" ref="AF162">IFERROR(_xlfn.BYROW(TRACK_TYPES[[#This Row],[TRACK_TYPE_NARROW_GAUGE_RAILTYPE_OHLE]:[TRACK_TYPE_NARROW_GAUGE_RAILTYPE_NONE]],_xlfn.LAMBDA(_xlpm.r,OR(_xlpm.r))),FALSE)</f>
        <v>0</v>
      </c>
      <c r="AG162" s="38" t="b" cm="1">
        <f t="array" ref="AG162">IFERROR(_xlfn.BYROW(TRACK_TYPES[[#This Row],[TRACK_TYPE_BROAD_GAUGE_RAILTYPE_OHLE]:[TRACK_TYPE_BROAD_GAUGE_RAILTYPE_NONE]],_xlfn.LAMBDA(_xlpm.r,OR(_xlpm.r))),FALSE)</f>
        <v>0</v>
      </c>
      <c r="AH1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2"/>
      <c r="AQ162"/>
      <c r="AR162"/>
    </row>
    <row r="163" spans="1:44" x14ac:dyDescent="0.35">
      <c r="A163" s="2" t="s">
        <v>2802</v>
      </c>
      <c r="B163" s="40" t="str">
        <f>_xlfn.XLOOKUP(PROPERTIES[[#This Row],[VEHIDCODE]],CONTROL[VEHIDCODE],CONTROL[ENGLISH])</f>
        <v>Floridsdorf 2-6-2 KkStB 310</v>
      </c>
      <c r="J163" s="2" t="b">
        <v>1</v>
      </c>
      <c r="AC163" s="2"/>
      <c r="AD163" s="2" t="b">
        <f>LEN(_xlfn.CONCAT(TRACK_TYPES[[#This Row],[TRACK_TYPE_STANDARD_GAUGE_RAILTYPE_OHLE]:[TRACK_TYPE_MTRO]]))&gt;0</f>
        <v>1</v>
      </c>
      <c r="AE163" s="38" t="b" cm="1">
        <f t="array" ref="AE163">IFERROR(_xlfn.BYROW(TRACK_TYPES[[#This Row],[TRACK_TYPE_STANDARD_GAUGE_RAILTYPE_OHLE]:[TRACK_TYPE_STANDARD_GAUGE_RAILTYPE_NONE]],_xlfn.LAMBDA(_xlpm.r,OR(_xlpm.r))),FALSE)</f>
        <v>1</v>
      </c>
      <c r="AF163" s="38" t="b" cm="1">
        <f t="array" ref="AF163">IFERROR(_xlfn.BYROW(TRACK_TYPES[[#This Row],[TRACK_TYPE_NARROW_GAUGE_RAILTYPE_OHLE]:[TRACK_TYPE_NARROW_GAUGE_RAILTYPE_NONE]],_xlfn.LAMBDA(_xlpm.r,OR(_xlpm.r))),FALSE)</f>
        <v>0</v>
      </c>
      <c r="AG163" s="38" t="b" cm="1">
        <f t="array" ref="AG163">IFERROR(_xlfn.BYROW(TRACK_TYPES[[#This Row],[TRACK_TYPE_BROAD_GAUGE_RAILTYPE_OHLE]:[TRACK_TYPE_BROAD_GAUGE_RAILTYPE_NONE]],_xlfn.LAMBDA(_xlpm.r,OR(_xlpm.r))),FALSE)</f>
        <v>0</v>
      </c>
      <c r="AH1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3"/>
      <c r="AQ163"/>
      <c r="AR163"/>
    </row>
    <row r="164" spans="1:44" x14ac:dyDescent="0.35">
      <c r="A164" s="2" t="s">
        <v>2803</v>
      </c>
      <c r="B164" s="40" t="str">
        <f>_xlfn.XLOOKUP(PROPERTIES[[#This Row],[VEHIDCODE]],CONTROL[VEHIDCODE],CONTROL[ENGLISH])</f>
        <v>Lima  4-8-4 7798-7817 'Daylight'</v>
      </c>
      <c r="J164" s="2" t="b">
        <v>1</v>
      </c>
      <c r="AC164" s="2"/>
      <c r="AD164" s="2" t="b">
        <f>LEN(_xlfn.CONCAT(TRACK_TYPES[[#This Row],[TRACK_TYPE_STANDARD_GAUGE_RAILTYPE_OHLE]:[TRACK_TYPE_MTRO]]))&gt;0</f>
        <v>1</v>
      </c>
      <c r="AE164" s="38" t="b" cm="1">
        <f t="array" ref="AE164">IFERROR(_xlfn.BYROW(TRACK_TYPES[[#This Row],[TRACK_TYPE_STANDARD_GAUGE_RAILTYPE_OHLE]:[TRACK_TYPE_STANDARD_GAUGE_RAILTYPE_NONE]],_xlfn.LAMBDA(_xlpm.r,OR(_xlpm.r))),FALSE)</f>
        <v>1</v>
      </c>
      <c r="AF164" s="38" t="b" cm="1">
        <f t="array" ref="AF164">IFERROR(_xlfn.BYROW(TRACK_TYPES[[#This Row],[TRACK_TYPE_NARROW_GAUGE_RAILTYPE_OHLE]:[TRACK_TYPE_NARROW_GAUGE_RAILTYPE_NONE]],_xlfn.LAMBDA(_xlpm.r,OR(_xlpm.r))),FALSE)</f>
        <v>0</v>
      </c>
      <c r="AG164" s="38" t="b" cm="1">
        <f t="array" ref="AG164">IFERROR(_xlfn.BYROW(TRACK_TYPES[[#This Row],[TRACK_TYPE_BROAD_GAUGE_RAILTYPE_OHLE]:[TRACK_TYPE_BROAD_GAUGE_RAILTYPE_NONE]],_xlfn.LAMBDA(_xlpm.r,OR(_xlpm.r))),FALSE)</f>
        <v>0</v>
      </c>
      <c r="AH1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4"/>
      <c r="AQ164"/>
      <c r="AR164"/>
    </row>
    <row r="165" spans="1:44" x14ac:dyDescent="0.35">
      <c r="A165" s="2" t="s">
        <v>2804</v>
      </c>
      <c r="B165" s="40" t="str">
        <f>_xlfn.XLOOKUP(PROPERTIES[[#This Row],[VEHIDCODE]],CONTROL[VEHIDCODE],CONTROL[ENGLISH])</f>
        <v>GS&amp;WR 0-6-0 '101'</v>
      </c>
      <c r="Z165" s="2" t="b">
        <v>1</v>
      </c>
      <c r="AC165" s="2"/>
      <c r="AD165" s="2" t="b">
        <f>LEN(_xlfn.CONCAT(TRACK_TYPES[[#This Row],[TRACK_TYPE_STANDARD_GAUGE_RAILTYPE_OHLE]:[TRACK_TYPE_MTRO]]))&gt;0</f>
        <v>1</v>
      </c>
      <c r="AE165" s="38" t="b" cm="1">
        <f t="array" ref="AE165">IFERROR(_xlfn.BYROW(TRACK_TYPES[[#This Row],[TRACK_TYPE_STANDARD_GAUGE_RAILTYPE_OHLE]:[TRACK_TYPE_STANDARD_GAUGE_RAILTYPE_NONE]],_xlfn.LAMBDA(_xlpm.r,OR(_xlpm.r))),FALSE)</f>
        <v>0</v>
      </c>
      <c r="AF165" s="38" t="b" cm="1">
        <f t="array" ref="AF165">IFERROR(_xlfn.BYROW(TRACK_TYPES[[#This Row],[TRACK_TYPE_NARROW_GAUGE_RAILTYPE_OHLE]:[TRACK_TYPE_NARROW_GAUGE_RAILTYPE_NONE]],_xlfn.LAMBDA(_xlpm.r,OR(_xlpm.r))),FALSE)</f>
        <v>0</v>
      </c>
      <c r="AG165" s="38" t="b" cm="1">
        <f t="array" ref="AG165">IFERROR(_xlfn.BYROW(TRACK_TYPES[[#This Row],[TRACK_TYPE_BROAD_GAUGE_RAILTYPE_OHLE]:[TRACK_TYPE_BROAD_GAUGE_RAILTYPE_NONE]],_xlfn.LAMBDA(_xlpm.r,OR(_xlpm.r))),FALSE)</f>
        <v>1</v>
      </c>
      <c r="AH1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65"/>
      <c r="AQ165"/>
      <c r="AR165"/>
    </row>
    <row r="166" spans="1:44" x14ac:dyDescent="0.35">
      <c r="A166" s="2" t="s">
        <v>2805</v>
      </c>
      <c r="B166" s="40" t="str">
        <f>_xlfn.XLOOKUP(PROPERTIES[[#This Row],[VEHIDCODE]],CONTROL[VEHIDCODE],CONTROL[ENGLISH])</f>
        <v>ALCO 2-8-2 5100-5194 'Light Mikado'</v>
      </c>
      <c r="J166" s="2" t="b">
        <v>1</v>
      </c>
      <c r="AC166" s="2"/>
      <c r="AD166" s="2" t="b">
        <f>LEN(_xlfn.CONCAT(TRACK_TYPES[[#This Row],[TRACK_TYPE_STANDARD_GAUGE_RAILTYPE_OHLE]:[TRACK_TYPE_MTRO]]))&gt;0</f>
        <v>1</v>
      </c>
      <c r="AE166" s="38" t="b" cm="1">
        <f t="array" ref="AE166">IFERROR(_xlfn.BYROW(TRACK_TYPES[[#This Row],[TRACK_TYPE_STANDARD_GAUGE_RAILTYPE_OHLE]:[TRACK_TYPE_STANDARD_GAUGE_RAILTYPE_NONE]],_xlfn.LAMBDA(_xlpm.r,OR(_xlpm.r))),FALSE)</f>
        <v>1</v>
      </c>
      <c r="AF166" s="38" t="b" cm="1">
        <f t="array" ref="AF166">IFERROR(_xlfn.BYROW(TRACK_TYPES[[#This Row],[TRACK_TYPE_NARROW_GAUGE_RAILTYPE_OHLE]:[TRACK_TYPE_NARROW_GAUGE_RAILTYPE_NONE]],_xlfn.LAMBDA(_xlpm.r,OR(_xlpm.r))),FALSE)</f>
        <v>0</v>
      </c>
      <c r="AG166" s="38" t="b" cm="1">
        <f t="array" ref="AG166">IFERROR(_xlfn.BYROW(TRACK_TYPES[[#This Row],[TRACK_TYPE_BROAD_GAUGE_RAILTYPE_OHLE]:[TRACK_TYPE_BROAD_GAUGE_RAILTYPE_NONE]],_xlfn.LAMBDA(_xlpm.r,OR(_xlpm.r))),FALSE)</f>
        <v>0</v>
      </c>
      <c r="AH1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6"/>
      <c r="AQ166"/>
      <c r="AR166"/>
    </row>
    <row r="167" spans="1:44" x14ac:dyDescent="0.35">
      <c r="A167" s="2" t="s">
        <v>2806</v>
      </c>
      <c r="B167" s="40" t="str">
        <f>_xlfn.XLOOKUP(PROPERTIES[[#This Row],[VEHIDCODE]],CONTROL[VEHIDCODE],CONTROL[ENGLISH])</f>
        <v>FCGR [BAGS] No. 315 2-4-0T</v>
      </c>
      <c r="Z167" s="2" t="b">
        <v>1</v>
      </c>
      <c r="AC167" s="2"/>
      <c r="AD167" s="2" t="b">
        <f>LEN(_xlfn.CONCAT(TRACK_TYPES[[#This Row],[TRACK_TYPE_STANDARD_GAUGE_RAILTYPE_OHLE]:[TRACK_TYPE_MTRO]]))&gt;0</f>
        <v>1</v>
      </c>
      <c r="AE167" s="38" t="b" cm="1">
        <f t="array" ref="AE167">IFERROR(_xlfn.BYROW(TRACK_TYPES[[#This Row],[TRACK_TYPE_STANDARD_GAUGE_RAILTYPE_OHLE]:[TRACK_TYPE_STANDARD_GAUGE_RAILTYPE_NONE]],_xlfn.LAMBDA(_xlpm.r,OR(_xlpm.r))),FALSE)</f>
        <v>0</v>
      </c>
      <c r="AF167" s="38" t="b" cm="1">
        <f t="array" ref="AF167">IFERROR(_xlfn.BYROW(TRACK_TYPES[[#This Row],[TRACK_TYPE_NARROW_GAUGE_RAILTYPE_OHLE]:[TRACK_TYPE_NARROW_GAUGE_RAILTYPE_NONE]],_xlfn.LAMBDA(_xlpm.r,OR(_xlpm.r))),FALSE)</f>
        <v>0</v>
      </c>
      <c r="AG167" s="38" t="b" cm="1">
        <f t="array" ref="AG167">IFERROR(_xlfn.BYROW(TRACK_TYPES[[#This Row],[TRACK_TYPE_BROAD_GAUGE_RAILTYPE_OHLE]:[TRACK_TYPE_BROAD_GAUGE_RAILTYPE_NONE]],_xlfn.LAMBDA(_xlpm.r,OR(_xlpm.r))),FALSE)</f>
        <v>1</v>
      </c>
      <c r="AH1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67"/>
      <c r="AQ167"/>
      <c r="AR167"/>
    </row>
    <row r="168" spans="1:44" x14ac:dyDescent="0.35">
      <c r="A168" s="2" t="s">
        <v>2807</v>
      </c>
      <c r="B168" s="40" t="str">
        <f>_xlfn.XLOOKUP(PROPERTIES[[#This Row],[VEHIDCODE]],CONTROL[VEHIDCODE],CONTROL[ENGLISH])</f>
        <v>Eveleigh 4-6-0 'C35'</v>
      </c>
      <c r="J168" s="2" t="b">
        <v>1</v>
      </c>
      <c r="AC168" s="2"/>
      <c r="AD168" s="2" t="b">
        <f>LEN(_xlfn.CONCAT(TRACK_TYPES[[#This Row],[TRACK_TYPE_STANDARD_GAUGE_RAILTYPE_OHLE]:[TRACK_TYPE_MTRO]]))&gt;0</f>
        <v>1</v>
      </c>
      <c r="AE168" s="38" t="b" cm="1">
        <f t="array" ref="AE168">IFERROR(_xlfn.BYROW(TRACK_TYPES[[#This Row],[TRACK_TYPE_STANDARD_GAUGE_RAILTYPE_OHLE]:[TRACK_TYPE_STANDARD_GAUGE_RAILTYPE_NONE]],_xlfn.LAMBDA(_xlpm.r,OR(_xlpm.r))),FALSE)</f>
        <v>1</v>
      </c>
      <c r="AF168" s="38" t="b" cm="1">
        <f t="array" ref="AF168">IFERROR(_xlfn.BYROW(TRACK_TYPES[[#This Row],[TRACK_TYPE_NARROW_GAUGE_RAILTYPE_OHLE]:[TRACK_TYPE_NARROW_GAUGE_RAILTYPE_NONE]],_xlfn.LAMBDA(_xlpm.r,OR(_xlpm.r))),FALSE)</f>
        <v>0</v>
      </c>
      <c r="AG168" s="38" t="b" cm="1">
        <f t="array" ref="AG168">IFERROR(_xlfn.BYROW(TRACK_TYPES[[#This Row],[TRACK_TYPE_BROAD_GAUGE_RAILTYPE_OHLE]:[TRACK_TYPE_BROAD_GAUGE_RAILTYPE_NONE]],_xlfn.LAMBDA(_xlpm.r,OR(_xlpm.r))),FALSE)</f>
        <v>0</v>
      </c>
      <c r="AH1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8"/>
      <c r="AQ168"/>
      <c r="AR168"/>
    </row>
    <row r="169" spans="1:44" x14ac:dyDescent="0.35">
      <c r="A169" s="2" t="s">
        <v>2808</v>
      </c>
      <c r="B169" s="40" t="str">
        <f>_xlfn.XLOOKUP(PROPERTIES[[#This Row],[VEHIDCODE]],CONTROL[VEHIDCODE],CONTROL[ENGLISH])</f>
        <v>ALCO 2-8-0 74707-74785 'Type 29'</v>
      </c>
      <c r="J169" s="2" t="b">
        <v>1</v>
      </c>
      <c r="AC169" s="2"/>
      <c r="AD169" s="2" t="b">
        <f>LEN(_xlfn.CONCAT(TRACK_TYPES[[#This Row],[TRACK_TYPE_STANDARD_GAUGE_RAILTYPE_OHLE]:[TRACK_TYPE_MTRO]]))&gt;0</f>
        <v>1</v>
      </c>
      <c r="AE169" s="38" t="b" cm="1">
        <f t="array" ref="AE169">IFERROR(_xlfn.BYROW(TRACK_TYPES[[#This Row],[TRACK_TYPE_STANDARD_GAUGE_RAILTYPE_OHLE]:[TRACK_TYPE_STANDARD_GAUGE_RAILTYPE_NONE]],_xlfn.LAMBDA(_xlpm.r,OR(_xlpm.r))),FALSE)</f>
        <v>1</v>
      </c>
      <c r="AF169" s="38" t="b" cm="1">
        <f t="array" ref="AF169">IFERROR(_xlfn.BYROW(TRACK_TYPES[[#This Row],[TRACK_TYPE_NARROW_GAUGE_RAILTYPE_OHLE]:[TRACK_TYPE_NARROW_GAUGE_RAILTYPE_NONE]],_xlfn.LAMBDA(_xlpm.r,OR(_xlpm.r))),FALSE)</f>
        <v>0</v>
      </c>
      <c r="AG169" s="38" t="b" cm="1">
        <f t="array" ref="AG169">IFERROR(_xlfn.BYROW(TRACK_TYPES[[#This Row],[TRACK_TYPE_BROAD_GAUGE_RAILTYPE_OHLE]:[TRACK_TYPE_BROAD_GAUGE_RAILTYPE_NONE]],_xlfn.LAMBDA(_xlpm.r,OR(_xlpm.r))),FALSE)</f>
        <v>0</v>
      </c>
      <c r="AH1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9"/>
      <c r="AQ169"/>
      <c r="AR169"/>
    </row>
    <row r="170" spans="1:44" x14ac:dyDescent="0.35">
      <c r="A170" s="2" t="s">
        <v>2809</v>
      </c>
      <c r="B170" s="40" t="str">
        <f>_xlfn.XLOOKUP(PROPERTIES[[#This Row],[VEHIDCODE]],CONTROL[VEHIDCODE],CONTROL[ENGLISH])</f>
        <v>FCAB 4-8-2 Vulcan 'Mountain'</v>
      </c>
      <c r="R170" s="2" t="b">
        <v>1</v>
      </c>
      <c r="AC170" s="2"/>
      <c r="AD170" s="2" t="b">
        <f>LEN(_xlfn.CONCAT(TRACK_TYPES[[#This Row],[TRACK_TYPE_STANDARD_GAUGE_RAILTYPE_OHLE]:[TRACK_TYPE_MTRO]]))&gt;0</f>
        <v>1</v>
      </c>
      <c r="AE170" s="38" t="b" cm="1">
        <f t="array" ref="AE170">IFERROR(_xlfn.BYROW(TRACK_TYPES[[#This Row],[TRACK_TYPE_STANDARD_GAUGE_RAILTYPE_OHLE]:[TRACK_TYPE_STANDARD_GAUGE_RAILTYPE_NONE]],_xlfn.LAMBDA(_xlpm.r,OR(_xlpm.r))),FALSE)</f>
        <v>0</v>
      </c>
      <c r="AF170" s="38" t="b" cm="1">
        <f t="array" ref="AF170">IFERROR(_xlfn.BYROW(TRACK_TYPES[[#This Row],[TRACK_TYPE_NARROW_GAUGE_RAILTYPE_OHLE]:[TRACK_TYPE_NARROW_GAUGE_RAILTYPE_NONE]],_xlfn.LAMBDA(_xlpm.r,OR(_xlpm.r))),FALSE)</f>
        <v>1</v>
      </c>
      <c r="AG170" s="38" t="b" cm="1">
        <f t="array" ref="AG170">IFERROR(_xlfn.BYROW(TRACK_TYPES[[#This Row],[TRACK_TYPE_BROAD_GAUGE_RAILTYPE_OHLE]:[TRACK_TYPE_BROAD_GAUGE_RAILTYPE_NONE]],_xlfn.LAMBDA(_xlpm.r,OR(_xlpm.r))),FALSE)</f>
        <v>0</v>
      </c>
      <c r="AH1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70"/>
      <c r="AQ170"/>
      <c r="AR170"/>
    </row>
    <row r="171" spans="1:44" x14ac:dyDescent="0.35">
      <c r="A171" s="2" t="s">
        <v>2810</v>
      </c>
      <c r="B171" s="40" t="str">
        <f>_xlfn.XLOOKUP(PROPERTIES[[#This Row],[VEHIDCODE]],CONTROL[VEHIDCODE],CONTROL[ENGLISH])</f>
        <v>Datong QJ 2-10-2 101-3602</v>
      </c>
      <c r="J171" s="2" t="b">
        <v>1</v>
      </c>
      <c r="AC171" s="2"/>
      <c r="AD171" s="2" t="b">
        <f>LEN(_xlfn.CONCAT(TRACK_TYPES[[#This Row],[TRACK_TYPE_STANDARD_GAUGE_RAILTYPE_OHLE]:[TRACK_TYPE_MTRO]]))&gt;0</f>
        <v>1</v>
      </c>
      <c r="AE171" s="38" t="b" cm="1">
        <f t="array" ref="AE171">IFERROR(_xlfn.BYROW(TRACK_TYPES[[#This Row],[TRACK_TYPE_STANDARD_GAUGE_RAILTYPE_OHLE]:[TRACK_TYPE_STANDARD_GAUGE_RAILTYPE_NONE]],_xlfn.LAMBDA(_xlpm.r,OR(_xlpm.r))),FALSE)</f>
        <v>1</v>
      </c>
      <c r="AF171" s="38" t="b" cm="1">
        <f t="array" ref="AF171">IFERROR(_xlfn.BYROW(TRACK_TYPES[[#This Row],[TRACK_TYPE_NARROW_GAUGE_RAILTYPE_OHLE]:[TRACK_TYPE_NARROW_GAUGE_RAILTYPE_NONE]],_xlfn.LAMBDA(_xlpm.r,OR(_xlpm.r))),FALSE)</f>
        <v>0</v>
      </c>
      <c r="AG171" s="38" t="b" cm="1">
        <f t="array" ref="AG171">IFERROR(_xlfn.BYROW(TRACK_TYPES[[#This Row],[TRACK_TYPE_BROAD_GAUGE_RAILTYPE_OHLE]:[TRACK_TYPE_BROAD_GAUGE_RAILTYPE_NONE]],_xlfn.LAMBDA(_xlpm.r,OR(_xlpm.r))),FALSE)</f>
        <v>0</v>
      </c>
      <c r="AH1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1"/>
      <c r="AQ171"/>
      <c r="AR171"/>
    </row>
    <row r="172" spans="1:44" x14ac:dyDescent="0.35">
      <c r="A172" s="2" t="s">
        <v>2811</v>
      </c>
      <c r="B172" s="40" t="str">
        <f>_xlfn.XLOOKUP(PROPERTIES[[#This Row],[VEHIDCODE]],CONTROL[VEHIDCODE],CONTROL[ENGLISH])</f>
        <v>DB Kof II/DB 322</v>
      </c>
      <c r="J172" s="2" t="b">
        <v>1</v>
      </c>
      <c r="R172" s="2" t="b">
        <v>1</v>
      </c>
      <c r="AC172" s="2"/>
      <c r="AD172" s="2" t="b">
        <f>LEN(_xlfn.CONCAT(TRACK_TYPES[[#This Row],[TRACK_TYPE_STANDARD_GAUGE_RAILTYPE_OHLE]:[TRACK_TYPE_MTRO]]))&gt;0</f>
        <v>1</v>
      </c>
      <c r="AE172" s="38" t="b" cm="1">
        <f t="array" ref="AE172">IFERROR(_xlfn.BYROW(TRACK_TYPES[[#This Row],[TRACK_TYPE_STANDARD_GAUGE_RAILTYPE_OHLE]:[TRACK_TYPE_STANDARD_GAUGE_RAILTYPE_NONE]],_xlfn.LAMBDA(_xlpm.r,OR(_xlpm.r))),FALSE)</f>
        <v>1</v>
      </c>
      <c r="AF172" s="38" t="b" cm="1">
        <f t="array" ref="AF172">IFERROR(_xlfn.BYROW(TRACK_TYPES[[#This Row],[TRACK_TYPE_NARROW_GAUGE_RAILTYPE_OHLE]:[TRACK_TYPE_NARROW_GAUGE_RAILTYPE_NONE]],_xlfn.LAMBDA(_xlpm.r,OR(_xlpm.r))),FALSE)</f>
        <v>1</v>
      </c>
      <c r="AG172" s="38" t="b" cm="1">
        <f t="array" ref="AG172">IFERROR(_xlfn.BYROW(TRACK_TYPES[[#This Row],[TRACK_TYPE_BROAD_GAUGE_RAILTYPE_OHLE]:[TRACK_TYPE_BROAD_GAUGE_RAILTYPE_NONE]],_xlfn.LAMBDA(_xlpm.r,OR(_xlpm.r))),FALSE)</f>
        <v>0</v>
      </c>
      <c r="AH1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2"/>
      <c r="AQ172"/>
      <c r="AR172"/>
    </row>
    <row r="173" spans="1:44" x14ac:dyDescent="0.35">
      <c r="A173" s="2" t="s">
        <v>2812</v>
      </c>
      <c r="B173" s="40" t="str">
        <f>_xlfn.XLOOKUP(PROPERTIES[[#This Row],[VEHIDCODE]],CONTROL[VEHIDCODE],CONTROL[ENGLISH])</f>
        <v>CNJ ALCo-GE-IR Boxcab 100T</v>
      </c>
      <c r="J173" s="2" t="b">
        <v>1</v>
      </c>
      <c r="AC173" s="2"/>
      <c r="AD173" s="2" t="b">
        <f>LEN(_xlfn.CONCAT(TRACK_TYPES[[#This Row],[TRACK_TYPE_STANDARD_GAUGE_RAILTYPE_OHLE]:[TRACK_TYPE_MTRO]]))&gt;0</f>
        <v>1</v>
      </c>
      <c r="AE173" s="38" t="b" cm="1">
        <f t="array" ref="AE173">IFERROR(_xlfn.BYROW(TRACK_TYPES[[#This Row],[TRACK_TYPE_STANDARD_GAUGE_RAILTYPE_OHLE]:[TRACK_TYPE_STANDARD_GAUGE_RAILTYPE_NONE]],_xlfn.LAMBDA(_xlpm.r,OR(_xlpm.r))),FALSE)</f>
        <v>1</v>
      </c>
      <c r="AF173" s="38" t="b" cm="1">
        <f t="array" ref="AF173">IFERROR(_xlfn.BYROW(TRACK_TYPES[[#This Row],[TRACK_TYPE_NARROW_GAUGE_RAILTYPE_OHLE]:[TRACK_TYPE_NARROW_GAUGE_RAILTYPE_NONE]],_xlfn.LAMBDA(_xlpm.r,OR(_xlpm.r))),FALSE)</f>
        <v>0</v>
      </c>
      <c r="AG173" s="38" t="b" cm="1">
        <f t="array" ref="AG173">IFERROR(_xlfn.BYROW(TRACK_TYPES[[#This Row],[TRACK_TYPE_BROAD_GAUGE_RAILTYPE_OHLE]:[TRACK_TYPE_BROAD_GAUGE_RAILTYPE_NONE]],_xlfn.LAMBDA(_xlpm.r,OR(_xlpm.r))),FALSE)</f>
        <v>0</v>
      </c>
      <c r="AH1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3"/>
      <c r="AQ173"/>
      <c r="AR173"/>
    </row>
    <row r="174" spans="1:44" x14ac:dyDescent="0.35">
      <c r="A174" s="2" t="s">
        <v>2813</v>
      </c>
      <c r="B174" s="40" t="str">
        <f>_xlfn.XLOOKUP(PROPERTIES[[#This Row],[VEHIDCODE]],CONTROL[VEHIDCODE],CONTROL[ENGLISH])</f>
        <v>Werkspoor 200 'Sik'</v>
      </c>
      <c r="J174" s="2" t="b">
        <v>1</v>
      </c>
      <c r="AC174" s="2"/>
      <c r="AD174" s="2" t="b">
        <f>LEN(_xlfn.CONCAT(TRACK_TYPES[[#This Row],[TRACK_TYPE_STANDARD_GAUGE_RAILTYPE_OHLE]:[TRACK_TYPE_MTRO]]))&gt;0</f>
        <v>1</v>
      </c>
      <c r="AE174" s="38" t="b" cm="1">
        <f t="array" ref="AE174">IFERROR(_xlfn.BYROW(TRACK_TYPES[[#This Row],[TRACK_TYPE_STANDARD_GAUGE_RAILTYPE_OHLE]:[TRACK_TYPE_STANDARD_GAUGE_RAILTYPE_NONE]],_xlfn.LAMBDA(_xlpm.r,OR(_xlpm.r))),FALSE)</f>
        <v>1</v>
      </c>
      <c r="AF174" s="38" t="b" cm="1">
        <f t="array" ref="AF174">IFERROR(_xlfn.BYROW(TRACK_TYPES[[#This Row],[TRACK_TYPE_NARROW_GAUGE_RAILTYPE_OHLE]:[TRACK_TYPE_NARROW_GAUGE_RAILTYPE_NONE]],_xlfn.LAMBDA(_xlpm.r,OR(_xlpm.r))),FALSE)</f>
        <v>0</v>
      </c>
      <c r="AG174" s="38" t="b" cm="1">
        <f t="array" ref="AG174">IFERROR(_xlfn.BYROW(TRACK_TYPES[[#This Row],[TRACK_TYPE_BROAD_GAUGE_RAILTYPE_OHLE]:[TRACK_TYPE_BROAD_GAUGE_RAILTYPE_NONE]],_xlfn.LAMBDA(_xlpm.r,OR(_xlpm.r))),FALSE)</f>
        <v>0</v>
      </c>
      <c r="AH1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4"/>
      <c r="AQ174"/>
      <c r="AR174"/>
    </row>
    <row r="175" spans="1:44" x14ac:dyDescent="0.35">
      <c r="A175" s="2" t="s">
        <v>2814</v>
      </c>
      <c r="B175" s="40" t="str">
        <f>_xlfn.XLOOKUP(PROPERTIES[[#This Row],[VEHIDCODE]],CONTROL[VEHIDCODE],CONTROL[ENGLISH])</f>
        <v>BMAG 'WR 200 B 14'</v>
      </c>
      <c r="J175" s="2" t="b">
        <v>1</v>
      </c>
      <c r="AC175" s="2"/>
      <c r="AD175" s="2" t="b">
        <f>LEN(_xlfn.CONCAT(TRACK_TYPES[[#This Row],[TRACK_TYPE_STANDARD_GAUGE_RAILTYPE_OHLE]:[TRACK_TYPE_MTRO]]))&gt;0</f>
        <v>1</v>
      </c>
      <c r="AE175" s="38" t="b" cm="1">
        <f t="array" ref="AE175">IFERROR(_xlfn.BYROW(TRACK_TYPES[[#This Row],[TRACK_TYPE_STANDARD_GAUGE_RAILTYPE_OHLE]:[TRACK_TYPE_STANDARD_GAUGE_RAILTYPE_NONE]],_xlfn.LAMBDA(_xlpm.r,OR(_xlpm.r))),FALSE)</f>
        <v>1</v>
      </c>
      <c r="AF175" s="38" t="b" cm="1">
        <f t="array" ref="AF175">IFERROR(_xlfn.BYROW(TRACK_TYPES[[#This Row],[TRACK_TYPE_NARROW_GAUGE_RAILTYPE_OHLE]:[TRACK_TYPE_NARROW_GAUGE_RAILTYPE_NONE]],_xlfn.LAMBDA(_xlpm.r,OR(_xlpm.r))),FALSE)</f>
        <v>0</v>
      </c>
      <c r="AG175" s="38" t="b" cm="1">
        <f t="array" ref="AG175">IFERROR(_xlfn.BYROW(TRACK_TYPES[[#This Row],[TRACK_TYPE_BROAD_GAUGE_RAILTYPE_OHLE]:[TRACK_TYPE_BROAD_GAUGE_RAILTYPE_NONE]],_xlfn.LAMBDA(_xlpm.r,OR(_xlpm.r))),FALSE)</f>
        <v>0</v>
      </c>
      <c r="AH1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5"/>
      <c r="AQ175"/>
      <c r="AR175"/>
    </row>
    <row r="176" spans="1:44" x14ac:dyDescent="0.35">
      <c r="A176" s="2" t="s">
        <v>2815</v>
      </c>
      <c r="B176" s="40" t="str">
        <f>_xlfn.XLOOKUP(PROPERTIES[[#This Row],[VEHIDCODE]],CONTROL[VEHIDCODE],CONTROL[ENGLISH])</f>
        <v>BBC/SLM Am 4/6</v>
      </c>
      <c r="J176" s="2" t="b">
        <v>1</v>
      </c>
      <c r="AC176" s="2"/>
      <c r="AD176" s="2" t="b">
        <f>LEN(_xlfn.CONCAT(TRACK_TYPES[[#This Row],[TRACK_TYPE_STANDARD_GAUGE_RAILTYPE_OHLE]:[TRACK_TYPE_MTRO]]))&gt;0</f>
        <v>1</v>
      </c>
      <c r="AE176" s="38" t="b" cm="1">
        <f t="array" ref="AE176">IFERROR(_xlfn.BYROW(TRACK_TYPES[[#This Row],[TRACK_TYPE_STANDARD_GAUGE_RAILTYPE_OHLE]:[TRACK_TYPE_STANDARD_GAUGE_RAILTYPE_NONE]],_xlfn.LAMBDA(_xlpm.r,OR(_xlpm.r))),FALSE)</f>
        <v>1</v>
      </c>
      <c r="AF176" s="38" t="b" cm="1">
        <f t="array" ref="AF176">IFERROR(_xlfn.BYROW(TRACK_TYPES[[#This Row],[TRACK_TYPE_NARROW_GAUGE_RAILTYPE_OHLE]:[TRACK_TYPE_NARROW_GAUGE_RAILTYPE_NONE]],_xlfn.LAMBDA(_xlpm.r,OR(_xlpm.r))),FALSE)</f>
        <v>0</v>
      </c>
      <c r="AG176" s="38" t="b" cm="1">
        <f t="array" ref="AG176">IFERROR(_xlfn.BYROW(TRACK_TYPES[[#This Row],[TRACK_TYPE_BROAD_GAUGE_RAILTYPE_OHLE]:[TRACK_TYPE_BROAD_GAUGE_RAILTYPE_NONE]],_xlfn.LAMBDA(_xlpm.r,OR(_xlpm.r))),FALSE)</f>
        <v>0</v>
      </c>
      <c r="AH1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6"/>
      <c r="AQ176"/>
      <c r="AR176"/>
    </row>
    <row r="177" spans="1:44" x14ac:dyDescent="0.35">
      <c r="A177" s="2" t="s">
        <v>2816</v>
      </c>
      <c r="B177" s="40" t="str">
        <f>_xlfn.XLOOKUP(PROPERTIES[[#This Row],[VEHIDCODE]],CONTROL[VEHIDCODE],CONTROL[ENGLISH])</f>
        <v>GE 44-ton switcher</v>
      </c>
      <c r="J177" s="2" t="b">
        <v>1</v>
      </c>
      <c r="R177" s="2" t="b">
        <v>1</v>
      </c>
      <c r="Z177" s="2" t="b">
        <v>1</v>
      </c>
      <c r="AC177" s="2"/>
      <c r="AD177" s="2" t="b">
        <f>LEN(_xlfn.CONCAT(TRACK_TYPES[[#This Row],[TRACK_TYPE_STANDARD_GAUGE_RAILTYPE_OHLE]:[TRACK_TYPE_MTRO]]))&gt;0</f>
        <v>1</v>
      </c>
      <c r="AE177" s="38" t="b" cm="1">
        <f t="array" ref="AE177">IFERROR(_xlfn.BYROW(TRACK_TYPES[[#This Row],[TRACK_TYPE_STANDARD_GAUGE_RAILTYPE_OHLE]:[TRACK_TYPE_STANDARD_GAUGE_RAILTYPE_NONE]],_xlfn.LAMBDA(_xlpm.r,OR(_xlpm.r))),FALSE)</f>
        <v>1</v>
      </c>
      <c r="AF177" s="38" t="b" cm="1">
        <f t="array" ref="AF177">IFERROR(_xlfn.BYROW(TRACK_TYPES[[#This Row],[TRACK_TYPE_NARROW_GAUGE_RAILTYPE_OHLE]:[TRACK_TYPE_NARROW_GAUGE_RAILTYPE_NONE]],_xlfn.LAMBDA(_xlpm.r,OR(_xlpm.r))),FALSE)</f>
        <v>1</v>
      </c>
      <c r="AG177" s="38" t="b" cm="1">
        <f t="array" ref="AG177">IFERROR(_xlfn.BYROW(TRACK_TYPES[[#This Row],[TRACK_TYPE_BROAD_GAUGE_RAILTYPE_OHLE]:[TRACK_TYPE_BROAD_GAUGE_RAILTYPE_NONE]],_xlfn.LAMBDA(_xlpm.r,OR(_xlpm.r))),FALSE)</f>
        <v>1</v>
      </c>
      <c r="AH1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7"/>
      <c r="AQ177"/>
      <c r="AR177"/>
    </row>
    <row r="178" spans="1:44" x14ac:dyDescent="0.35">
      <c r="A178" s="2" t="s">
        <v>2817</v>
      </c>
      <c r="B178" s="40" t="str">
        <f>_xlfn.XLOOKUP(PROPERTIES[[#This Row],[VEHIDCODE]],CONTROL[VEHIDCODE],CONTROL[ENGLISH])</f>
        <v>ALCO S-2</v>
      </c>
      <c r="J178" s="2" t="b">
        <v>1</v>
      </c>
      <c r="AC178" s="2"/>
      <c r="AD178" s="2" t="b">
        <f>LEN(_xlfn.CONCAT(TRACK_TYPES[[#This Row],[TRACK_TYPE_STANDARD_GAUGE_RAILTYPE_OHLE]:[TRACK_TYPE_MTRO]]))&gt;0</f>
        <v>1</v>
      </c>
      <c r="AE178" s="38" t="b" cm="1">
        <f t="array" ref="AE178">IFERROR(_xlfn.BYROW(TRACK_TYPES[[#This Row],[TRACK_TYPE_STANDARD_GAUGE_RAILTYPE_OHLE]:[TRACK_TYPE_STANDARD_GAUGE_RAILTYPE_NONE]],_xlfn.LAMBDA(_xlpm.r,OR(_xlpm.r))),FALSE)</f>
        <v>1</v>
      </c>
      <c r="AF178" s="38" t="b" cm="1">
        <f t="array" ref="AF178">IFERROR(_xlfn.BYROW(TRACK_TYPES[[#This Row],[TRACK_TYPE_NARROW_GAUGE_RAILTYPE_OHLE]:[TRACK_TYPE_NARROW_GAUGE_RAILTYPE_NONE]],_xlfn.LAMBDA(_xlpm.r,OR(_xlpm.r))),FALSE)</f>
        <v>0</v>
      </c>
      <c r="AG178" s="38" t="b" cm="1">
        <f t="array" ref="AG178">IFERROR(_xlfn.BYROW(TRACK_TYPES[[#This Row],[TRACK_TYPE_BROAD_GAUGE_RAILTYPE_OHLE]:[TRACK_TYPE_BROAD_GAUGE_RAILTYPE_NONE]],_xlfn.LAMBDA(_xlpm.r,OR(_xlpm.r))),FALSE)</f>
        <v>0</v>
      </c>
      <c r="AH1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8"/>
      <c r="AQ178"/>
      <c r="AR178"/>
    </row>
    <row r="179" spans="1:44" x14ac:dyDescent="0.35">
      <c r="A179" s="2" t="s">
        <v>2818</v>
      </c>
      <c r="B179" s="40" t="str">
        <f>_xlfn.XLOOKUP(PROPERTIES[[#This Row],[VEHIDCODE]],CONTROL[VEHIDCODE],CONTROL[ENGLISH])</f>
        <v>EMD F3</v>
      </c>
      <c r="J179" s="2" t="b">
        <v>1</v>
      </c>
      <c r="AC179" s="2"/>
      <c r="AD179" s="2" t="b">
        <f>LEN(_xlfn.CONCAT(TRACK_TYPES[[#This Row],[TRACK_TYPE_STANDARD_GAUGE_RAILTYPE_OHLE]:[TRACK_TYPE_MTRO]]))&gt;0</f>
        <v>1</v>
      </c>
      <c r="AE179" s="38" t="b" cm="1">
        <f t="array" ref="AE179">IFERROR(_xlfn.BYROW(TRACK_TYPES[[#This Row],[TRACK_TYPE_STANDARD_GAUGE_RAILTYPE_OHLE]:[TRACK_TYPE_STANDARD_GAUGE_RAILTYPE_NONE]],_xlfn.LAMBDA(_xlpm.r,OR(_xlpm.r))),FALSE)</f>
        <v>1</v>
      </c>
      <c r="AF179" s="38" t="b" cm="1">
        <f t="array" ref="AF179">IFERROR(_xlfn.BYROW(TRACK_TYPES[[#This Row],[TRACK_TYPE_NARROW_GAUGE_RAILTYPE_OHLE]:[TRACK_TYPE_NARROW_GAUGE_RAILTYPE_NONE]],_xlfn.LAMBDA(_xlpm.r,OR(_xlpm.r))),FALSE)</f>
        <v>0</v>
      </c>
      <c r="AG179" s="38" t="b" cm="1">
        <f t="array" ref="AG179">IFERROR(_xlfn.BYROW(TRACK_TYPES[[#This Row],[TRACK_TYPE_BROAD_GAUGE_RAILTYPE_OHLE]:[TRACK_TYPE_BROAD_GAUGE_RAILTYPE_NONE]],_xlfn.LAMBDA(_xlpm.r,OR(_xlpm.r))),FALSE)</f>
        <v>0</v>
      </c>
      <c r="AH1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9"/>
      <c r="AQ179"/>
      <c r="AR179"/>
    </row>
    <row r="180" spans="1:44" x14ac:dyDescent="0.35">
      <c r="A180" s="2" t="s">
        <v>2819</v>
      </c>
      <c r="B180" s="40" t="str">
        <f>_xlfn.XLOOKUP(PROPERTIES[[#This Row],[VEHIDCODE]],CONTROL[VEHIDCODE],CONTROL[ENGLISH])</f>
        <v>EMD E8</v>
      </c>
      <c r="J180" s="2" t="b">
        <v>1</v>
      </c>
      <c r="AC180" s="2"/>
      <c r="AD180" s="2" t="b">
        <f>LEN(_xlfn.CONCAT(TRACK_TYPES[[#This Row],[TRACK_TYPE_STANDARD_GAUGE_RAILTYPE_OHLE]:[TRACK_TYPE_MTRO]]))&gt;0</f>
        <v>1</v>
      </c>
      <c r="AE180" s="38" t="b" cm="1">
        <f t="array" ref="AE180">IFERROR(_xlfn.BYROW(TRACK_TYPES[[#This Row],[TRACK_TYPE_STANDARD_GAUGE_RAILTYPE_OHLE]:[TRACK_TYPE_STANDARD_GAUGE_RAILTYPE_NONE]],_xlfn.LAMBDA(_xlpm.r,OR(_xlpm.r))),FALSE)</f>
        <v>1</v>
      </c>
      <c r="AF180" s="38" t="b" cm="1">
        <f t="array" ref="AF180">IFERROR(_xlfn.BYROW(TRACK_TYPES[[#This Row],[TRACK_TYPE_NARROW_GAUGE_RAILTYPE_OHLE]:[TRACK_TYPE_NARROW_GAUGE_RAILTYPE_NONE]],_xlfn.LAMBDA(_xlpm.r,OR(_xlpm.r))),FALSE)</f>
        <v>0</v>
      </c>
      <c r="AG180" s="38" t="b" cm="1">
        <f t="array" ref="AG180">IFERROR(_xlfn.BYROW(TRACK_TYPES[[#This Row],[TRACK_TYPE_BROAD_GAUGE_RAILTYPE_OHLE]:[TRACK_TYPE_BROAD_GAUGE_RAILTYPE_NONE]],_xlfn.LAMBDA(_xlpm.r,OR(_xlpm.r))),FALSE)</f>
        <v>0</v>
      </c>
      <c r="AH1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0"/>
      <c r="AQ180"/>
      <c r="AR180"/>
    </row>
    <row r="181" spans="1:44" x14ac:dyDescent="0.35">
      <c r="A181" s="2" t="s">
        <v>2820</v>
      </c>
      <c r="B181" s="40" t="str">
        <f>_xlfn.XLOOKUP(PROPERTIES[[#This Row],[VEHIDCODE]],CONTROL[VEHIDCODE],CONTROL[ENGLISH])</f>
        <v>ALCO RS-3</v>
      </c>
      <c r="J181" s="2" t="b">
        <v>1</v>
      </c>
      <c r="Z181" s="2" t="b">
        <v>1</v>
      </c>
      <c r="AC181" s="2"/>
      <c r="AD181" s="2" t="b">
        <f>LEN(_xlfn.CONCAT(TRACK_TYPES[[#This Row],[TRACK_TYPE_STANDARD_GAUGE_RAILTYPE_OHLE]:[TRACK_TYPE_MTRO]]))&gt;0</f>
        <v>1</v>
      </c>
      <c r="AE181" s="38" t="b" cm="1">
        <f t="array" ref="AE181">IFERROR(_xlfn.BYROW(TRACK_TYPES[[#This Row],[TRACK_TYPE_STANDARD_GAUGE_RAILTYPE_OHLE]:[TRACK_TYPE_STANDARD_GAUGE_RAILTYPE_NONE]],_xlfn.LAMBDA(_xlpm.r,OR(_xlpm.r))),FALSE)</f>
        <v>1</v>
      </c>
      <c r="AF181" s="38" t="b" cm="1">
        <f t="array" ref="AF181">IFERROR(_xlfn.BYROW(TRACK_TYPES[[#This Row],[TRACK_TYPE_NARROW_GAUGE_RAILTYPE_OHLE]:[TRACK_TYPE_NARROW_GAUGE_RAILTYPE_NONE]],_xlfn.LAMBDA(_xlpm.r,OR(_xlpm.r))),FALSE)</f>
        <v>0</v>
      </c>
      <c r="AG181" s="38" t="b" cm="1">
        <f t="array" ref="AG181">IFERROR(_xlfn.BYROW(TRACK_TYPES[[#This Row],[TRACK_TYPE_BROAD_GAUGE_RAILTYPE_OHLE]:[TRACK_TYPE_BROAD_GAUGE_RAILTYPE_NONE]],_xlfn.LAMBDA(_xlpm.r,OR(_xlpm.r))),FALSE)</f>
        <v>1</v>
      </c>
      <c r="AH1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1"/>
      <c r="AQ181"/>
      <c r="AR181"/>
    </row>
    <row r="182" spans="1:44" x14ac:dyDescent="0.35">
      <c r="A182" s="2" t="s">
        <v>2821</v>
      </c>
      <c r="B182" s="40" t="str">
        <f>_xlfn.XLOOKUP(PROPERTIES[[#This Row],[VEHIDCODE]],CONTROL[VEHIDCODE],CONTROL[ENGLISH])</f>
        <v>English Electric 'Bakkie'</v>
      </c>
      <c r="J182" s="2" t="b">
        <v>1</v>
      </c>
      <c r="AC182" s="2"/>
      <c r="AD182" s="2" t="b">
        <f>LEN(_xlfn.CONCAT(TRACK_TYPES[[#This Row],[TRACK_TYPE_STANDARD_GAUGE_RAILTYPE_OHLE]:[TRACK_TYPE_MTRO]]))&gt;0</f>
        <v>1</v>
      </c>
      <c r="AE182" s="38" t="b" cm="1">
        <f t="array" ref="AE182">IFERROR(_xlfn.BYROW(TRACK_TYPES[[#This Row],[TRACK_TYPE_STANDARD_GAUGE_RAILTYPE_OHLE]:[TRACK_TYPE_STANDARD_GAUGE_RAILTYPE_NONE]],_xlfn.LAMBDA(_xlpm.r,OR(_xlpm.r))),FALSE)</f>
        <v>1</v>
      </c>
      <c r="AF182" s="38" t="b" cm="1">
        <f t="array" ref="AF182">IFERROR(_xlfn.BYROW(TRACK_TYPES[[#This Row],[TRACK_TYPE_NARROW_GAUGE_RAILTYPE_OHLE]:[TRACK_TYPE_NARROW_GAUGE_RAILTYPE_NONE]],_xlfn.LAMBDA(_xlpm.r,OR(_xlpm.r))),FALSE)</f>
        <v>0</v>
      </c>
      <c r="AG182" s="38" t="b" cm="1">
        <f t="array" ref="AG182">IFERROR(_xlfn.BYROW(TRACK_TYPES[[#This Row],[TRACK_TYPE_BROAD_GAUGE_RAILTYPE_OHLE]:[TRACK_TYPE_BROAD_GAUGE_RAILTYPE_NONE]],_xlfn.LAMBDA(_xlpm.r,OR(_xlpm.r))),FALSE)</f>
        <v>0</v>
      </c>
      <c r="AH1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2"/>
      <c r="AQ182"/>
      <c r="AR182"/>
    </row>
    <row r="183" spans="1:44" x14ac:dyDescent="0.35">
      <c r="A183" s="2" t="s">
        <v>2822</v>
      </c>
      <c r="B183" s="40" t="str">
        <f>_xlfn.XLOOKUP(PROPERTIES[[#This Row],[VEHIDCODE]],CONTROL[VEHIDCODE],CONTROL[ENGLISH])</f>
        <v>Baldwin RF-16 'Sharknose'</v>
      </c>
      <c r="J183" s="2" t="b">
        <v>1</v>
      </c>
      <c r="AC183" s="2"/>
      <c r="AD183" s="2" t="b">
        <f>LEN(_xlfn.CONCAT(TRACK_TYPES[[#This Row],[TRACK_TYPE_STANDARD_GAUGE_RAILTYPE_OHLE]:[TRACK_TYPE_MTRO]]))&gt;0</f>
        <v>1</v>
      </c>
      <c r="AE183" s="38" t="b" cm="1">
        <f t="array" ref="AE183">IFERROR(_xlfn.BYROW(TRACK_TYPES[[#This Row],[TRACK_TYPE_STANDARD_GAUGE_RAILTYPE_OHLE]:[TRACK_TYPE_STANDARD_GAUGE_RAILTYPE_NONE]],_xlfn.LAMBDA(_xlpm.r,OR(_xlpm.r))),FALSE)</f>
        <v>1</v>
      </c>
      <c r="AF183" s="38" t="b" cm="1">
        <f t="array" ref="AF183">IFERROR(_xlfn.BYROW(TRACK_TYPES[[#This Row],[TRACK_TYPE_NARROW_GAUGE_RAILTYPE_OHLE]:[TRACK_TYPE_NARROW_GAUGE_RAILTYPE_NONE]],_xlfn.LAMBDA(_xlpm.r,OR(_xlpm.r))),FALSE)</f>
        <v>0</v>
      </c>
      <c r="AG183" s="38" t="b" cm="1">
        <f t="array" ref="AG183">IFERROR(_xlfn.BYROW(TRACK_TYPES[[#This Row],[TRACK_TYPE_BROAD_GAUGE_RAILTYPE_OHLE]:[TRACK_TYPE_BROAD_GAUGE_RAILTYPE_NONE]],_xlfn.LAMBDA(_xlpm.r,OR(_xlpm.r))),FALSE)</f>
        <v>0</v>
      </c>
      <c r="AH1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3"/>
      <c r="AQ183"/>
      <c r="AR183"/>
    </row>
    <row r="184" spans="1:44" x14ac:dyDescent="0.35">
      <c r="A184" s="2" t="s">
        <v>2823</v>
      </c>
      <c r="B184" s="40" t="str">
        <f>_xlfn.XLOOKUP(PROPERTIES[[#This Row],[VEHIDCODE]],CONTROL[VEHIDCODE],CONTROL[ENGLISH])</f>
        <v>AFE 1500</v>
      </c>
      <c r="J184" s="2" t="b">
        <v>1</v>
      </c>
      <c r="AC184" s="2"/>
      <c r="AD184" s="2" t="b">
        <f>LEN(_xlfn.CONCAT(TRACK_TYPES[[#This Row],[TRACK_TYPE_STANDARD_GAUGE_RAILTYPE_OHLE]:[TRACK_TYPE_MTRO]]))&gt;0</f>
        <v>1</v>
      </c>
      <c r="AE184" s="38" t="b" cm="1">
        <f t="array" ref="AE184">IFERROR(_xlfn.BYROW(TRACK_TYPES[[#This Row],[TRACK_TYPE_STANDARD_GAUGE_RAILTYPE_OHLE]:[TRACK_TYPE_STANDARD_GAUGE_RAILTYPE_NONE]],_xlfn.LAMBDA(_xlpm.r,OR(_xlpm.r))),FALSE)</f>
        <v>1</v>
      </c>
      <c r="AF184" s="38" t="b" cm="1">
        <f t="array" ref="AF184">IFERROR(_xlfn.BYROW(TRACK_TYPES[[#This Row],[TRACK_TYPE_NARROW_GAUGE_RAILTYPE_OHLE]:[TRACK_TYPE_NARROW_GAUGE_RAILTYPE_NONE]],_xlfn.LAMBDA(_xlpm.r,OR(_xlpm.r))),FALSE)</f>
        <v>0</v>
      </c>
      <c r="AG184" s="38" t="b" cm="1">
        <f t="array" ref="AG184">IFERROR(_xlfn.BYROW(TRACK_TYPES[[#This Row],[TRACK_TYPE_BROAD_GAUGE_RAILTYPE_OHLE]:[TRACK_TYPE_BROAD_GAUGE_RAILTYPE_NONE]],_xlfn.LAMBDA(_xlpm.r,OR(_xlpm.r))),FALSE)</f>
        <v>0</v>
      </c>
      <c r="AH1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4"/>
      <c r="AQ184"/>
      <c r="AR184"/>
    </row>
    <row r="185" spans="1:44" x14ac:dyDescent="0.35">
      <c r="A185" s="2" t="s">
        <v>2824</v>
      </c>
      <c r="B185" s="40" t="str">
        <f>_xlfn.XLOOKUP(PROPERTIES[[#This Row],[VEHIDCODE]],CONTROL[VEHIDCODE],CONTROL[ENGLISH])</f>
        <v>FM H-24-66 'Trainmaster'</v>
      </c>
      <c r="J185" s="2" t="b">
        <v>1</v>
      </c>
      <c r="AC185" s="2"/>
      <c r="AD185" s="2" t="b">
        <f>LEN(_xlfn.CONCAT(TRACK_TYPES[[#This Row],[TRACK_TYPE_STANDARD_GAUGE_RAILTYPE_OHLE]:[TRACK_TYPE_MTRO]]))&gt;0</f>
        <v>1</v>
      </c>
      <c r="AE185" s="38" t="b" cm="1">
        <f t="array" ref="AE185">IFERROR(_xlfn.BYROW(TRACK_TYPES[[#This Row],[TRACK_TYPE_STANDARD_GAUGE_RAILTYPE_OHLE]:[TRACK_TYPE_STANDARD_GAUGE_RAILTYPE_NONE]],_xlfn.LAMBDA(_xlpm.r,OR(_xlpm.r))),FALSE)</f>
        <v>1</v>
      </c>
      <c r="AF185" s="38" t="b" cm="1">
        <f t="array" ref="AF185">IFERROR(_xlfn.BYROW(TRACK_TYPES[[#This Row],[TRACK_TYPE_NARROW_GAUGE_RAILTYPE_OHLE]:[TRACK_TYPE_NARROW_GAUGE_RAILTYPE_NONE]],_xlfn.LAMBDA(_xlpm.r,OR(_xlpm.r))),FALSE)</f>
        <v>0</v>
      </c>
      <c r="AG185" s="38" t="b" cm="1">
        <f t="array" ref="AG185">IFERROR(_xlfn.BYROW(TRACK_TYPES[[#This Row],[TRACK_TYPE_BROAD_GAUGE_RAILTYPE_OHLE]:[TRACK_TYPE_BROAD_GAUGE_RAILTYPE_NONE]],_xlfn.LAMBDA(_xlpm.r,OR(_xlpm.r))),FALSE)</f>
        <v>0</v>
      </c>
      <c r="AH1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5"/>
      <c r="AQ185"/>
      <c r="AR185"/>
    </row>
    <row r="186" spans="1:44" x14ac:dyDescent="0.35">
      <c r="A186" s="2" t="s">
        <v>2825</v>
      </c>
      <c r="B186" s="40" t="str">
        <f>_xlfn.XLOOKUP(PROPERTIES[[#This Row],[VEHIDCODE]],CONTROL[VEHIDCODE],CONTROL[ENGLISH])</f>
        <v>BR Class 08 0-6-0DE</v>
      </c>
      <c r="J186" s="2" t="b">
        <v>1</v>
      </c>
      <c r="AC186" s="2"/>
      <c r="AD186" s="2" t="b">
        <f>LEN(_xlfn.CONCAT(TRACK_TYPES[[#This Row],[TRACK_TYPE_STANDARD_GAUGE_RAILTYPE_OHLE]:[TRACK_TYPE_MTRO]]))&gt;0</f>
        <v>1</v>
      </c>
      <c r="AE186" s="38" t="b" cm="1">
        <f t="array" ref="AE186">IFERROR(_xlfn.BYROW(TRACK_TYPES[[#This Row],[TRACK_TYPE_STANDARD_GAUGE_RAILTYPE_OHLE]:[TRACK_TYPE_STANDARD_GAUGE_RAILTYPE_NONE]],_xlfn.LAMBDA(_xlpm.r,OR(_xlpm.r))),FALSE)</f>
        <v>1</v>
      </c>
      <c r="AF186" s="38" t="b" cm="1">
        <f t="array" ref="AF186">IFERROR(_xlfn.BYROW(TRACK_TYPES[[#This Row],[TRACK_TYPE_NARROW_GAUGE_RAILTYPE_OHLE]:[TRACK_TYPE_NARROW_GAUGE_RAILTYPE_NONE]],_xlfn.LAMBDA(_xlpm.r,OR(_xlpm.r))),FALSE)</f>
        <v>0</v>
      </c>
      <c r="AG186" s="38" t="b" cm="1">
        <f t="array" ref="AG186">IFERROR(_xlfn.BYROW(TRACK_TYPES[[#This Row],[TRACK_TYPE_BROAD_GAUGE_RAILTYPE_OHLE]:[TRACK_TYPE_BROAD_GAUGE_RAILTYPE_NONE]],_xlfn.LAMBDA(_xlpm.r,OR(_xlpm.r))),FALSE)</f>
        <v>0</v>
      </c>
      <c r="AH1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6"/>
      <c r="AQ186"/>
      <c r="AR186"/>
    </row>
    <row r="187" spans="1:44" x14ac:dyDescent="0.35">
      <c r="A187" s="2" t="s">
        <v>2826</v>
      </c>
      <c r="B187" s="40" t="str">
        <f>_xlfn.XLOOKUP(PROPERTIES[[#This Row],[VEHIDCODE]],CONTROL[VEHIDCODE],CONTROL[ENGLISH])</f>
        <v>Jenbacher Werke 2060</v>
      </c>
      <c r="J187" s="2" t="b">
        <v>1</v>
      </c>
      <c r="Z187" s="2" t="b">
        <v>1</v>
      </c>
      <c r="AC187" s="2"/>
      <c r="AD187" s="2" t="b">
        <f>LEN(_xlfn.CONCAT(TRACK_TYPES[[#This Row],[TRACK_TYPE_STANDARD_GAUGE_RAILTYPE_OHLE]:[TRACK_TYPE_MTRO]]))&gt;0</f>
        <v>1</v>
      </c>
      <c r="AE187" s="38" t="b" cm="1">
        <f t="array" ref="AE187">IFERROR(_xlfn.BYROW(TRACK_TYPES[[#This Row],[TRACK_TYPE_STANDARD_GAUGE_RAILTYPE_OHLE]:[TRACK_TYPE_STANDARD_GAUGE_RAILTYPE_NONE]],_xlfn.LAMBDA(_xlpm.r,OR(_xlpm.r))),FALSE)</f>
        <v>1</v>
      </c>
      <c r="AF187" s="38" t="b" cm="1">
        <f t="array" ref="AF187">IFERROR(_xlfn.BYROW(TRACK_TYPES[[#This Row],[TRACK_TYPE_NARROW_GAUGE_RAILTYPE_OHLE]:[TRACK_TYPE_NARROW_GAUGE_RAILTYPE_NONE]],_xlfn.LAMBDA(_xlpm.r,OR(_xlpm.r))),FALSE)</f>
        <v>0</v>
      </c>
      <c r="AG187" s="38" t="b" cm="1">
        <f t="array" ref="AG187">IFERROR(_xlfn.BYROW(TRACK_TYPES[[#This Row],[TRACK_TYPE_BROAD_GAUGE_RAILTYPE_OHLE]:[TRACK_TYPE_BROAD_GAUGE_RAILTYPE_NONE]],_xlfn.LAMBDA(_xlpm.r,OR(_xlpm.r))),FALSE)</f>
        <v>1</v>
      </c>
      <c r="AH1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7"/>
      <c r="AQ187"/>
      <c r="AR187"/>
    </row>
    <row r="188" spans="1:44" x14ac:dyDescent="0.35">
      <c r="A188" s="2" t="s">
        <v>2827</v>
      </c>
      <c r="B188" s="40" t="str">
        <f>_xlfn.XLOOKUP(PROPERTIES[[#This Row],[VEHIDCODE]],CONTROL[VEHIDCODE],CONTROL[ENGLISH])</f>
        <v>EMD SW1200</v>
      </c>
      <c r="J188" s="2" t="b">
        <v>1</v>
      </c>
      <c r="R188" s="2" t="b">
        <v>1</v>
      </c>
      <c r="Z188" s="2" t="b">
        <v>1</v>
      </c>
      <c r="AC188" s="2"/>
      <c r="AD188" s="2" t="b">
        <f>LEN(_xlfn.CONCAT(TRACK_TYPES[[#This Row],[TRACK_TYPE_STANDARD_GAUGE_RAILTYPE_OHLE]:[TRACK_TYPE_MTRO]]))&gt;0</f>
        <v>1</v>
      </c>
      <c r="AE188" s="38" t="b" cm="1">
        <f t="array" ref="AE188">IFERROR(_xlfn.BYROW(TRACK_TYPES[[#This Row],[TRACK_TYPE_STANDARD_GAUGE_RAILTYPE_OHLE]:[TRACK_TYPE_STANDARD_GAUGE_RAILTYPE_NONE]],_xlfn.LAMBDA(_xlpm.r,OR(_xlpm.r))),FALSE)</f>
        <v>1</v>
      </c>
      <c r="AF188" s="38" t="b" cm="1">
        <f t="array" ref="AF188">IFERROR(_xlfn.BYROW(TRACK_TYPES[[#This Row],[TRACK_TYPE_NARROW_GAUGE_RAILTYPE_OHLE]:[TRACK_TYPE_NARROW_GAUGE_RAILTYPE_NONE]],_xlfn.LAMBDA(_xlpm.r,OR(_xlpm.r))),FALSE)</f>
        <v>1</v>
      </c>
      <c r="AG188" s="38" t="b" cm="1">
        <f t="array" ref="AG188">IFERROR(_xlfn.BYROW(TRACK_TYPES[[#This Row],[TRACK_TYPE_BROAD_GAUGE_RAILTYPE_OHLE]:[TRACK_TYPE_BROAD_GAUGE_RAILTYPE_NONE]],_xlfn.LAMBDA(_xlpm.r,OR(_xlpm.r))),FALSE)</f>
        <v>1</v>
      </c>
      <c r="AH1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8"/>
      <c r="AQ188"/>
      <c r="AR188"/>
    </row>
    <row r="189" spans="1:44" x14ac:dyDescent="0.35">
      <c r="A189" s="2" t="s">
        <v>2828</v>
      </c>
      <c r="B189" s="40" t="str">
        <f>_xlfn.XLOOKUP(PROPERTIES[[#This Row],[VEHIDCODE]],CONTROL[VEHIDCODE],CONTROL[ENGLISH])</f>
        <v>EMD FP9</v>
      </c>
      <c r="J189" s="2" t="b">
        <v>1</v>
      </c>
      <c r="AC189" s="2"/>
      <c r="AD189" s="2" t="b">
        <f>LEN(_xlfn.CONCAT(TRACK_TYPES[[#This Row],[TRACK_TYPE_STANDARD_GAUGE_RAILTYPE_OHLE]:[TRACK_TYPE_MTRO]]))&gt;0</f>
        <v>1</v>
      </c>
      <c r="AE189" s="38" t="b" cm="1">
        <f t="array" ref="AE189">IFERROR(_xlfn.BYROW(TRACK_TYPES[[#This Row],[TRACK_TYPE_STANDARD_GAUGE_RAILTYPE_OHLE]:[TRACK_TYPE_STANDARD_GAUGE_RAILTYPE_NONE]],_xlfn.LAMBDA(_xlpm.r,OR(_xlpm.r))),FALSE)</f>
        <v>1</v>
      </c>
      <c r="AF189" s="38" t="b" cm="1">
        <f t="array" ref="AF189">IFERROR(_xlfn.BYROW(TRACK_TYPES[[#This Row],[TRACK_TYPE_NARROW_GAUGE_RAILTYPE_OHLE]:[TRACK_TYPE_NARROW_GAUGE_RAILTYPE_NONE]],_xlfn.LAMBDA(_xlpm.r,OR(_xlpm.r))),FALSE)</f>
        <v>0</v>
      </c>
      <c r="AG189" s="38" t="b" cm="1">
        <f t="array" ref="AG189">IFERROR(_xlfn.BYROW(TRACK_TYPES[[#This Row],[TRACK_TYPE_BROAD_GAUGE_RAILTYPE_OHLE]:[TRACK_TYPE_BROAD_GAUGE_RAILTYPE_NONE]],_xlfn.LAMBDA(_xlpm.r,OR(_xlpm.r))),FALSE)</f>
        <v>0</v>
      </c>
      <c r="AH1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9"/>
      <c r="AQ189"/>
      <c r="AR189"/>
    </row>
    <row r="190" spans="1:44" x14ac:dyDescent="0.35">
      <c r="A190" s="2" t="s">
        <v>2829</v>
      </c>
      <c r="B190" s="40" t="str">
        <f>_xlfn.XLOOKUP(PROPERTIES[[#This Row],[VEHIDCODE]],CONTROL[VEHIDCODE],CONTROL[ENGLISH])</f>
        <v>Ganz-MAVAG DVM2 'M44'</v>
      </c>
      <c r="J190" s="2" t="b">
        <v>1</v>
      </c>
      <c r="Z190" s="2" t="b">
        <v>1</v>
      </c>
      <c r="AC190" s="2"/>
      <c r="AD190" s="2" t="b">
        <f>LEN(_xlfn.CONCAT(TRACK_TYPES[[#This Row],[TRACK_TYPE_STANDARD_GAUGE_RAILTYPE_OHLE]:[TRACK_TYPE_MTRO]]))&gt;0</f>
        <v>1</v>
      </c>
      <c r="AE190" s="38" t="b" cm="1">
        <f t="array" ref="AE190">IFERROR(_xlfn.BYROW(TRACK_TYPES[[#This Row],[TRACK_TYPE_STANDARD_GAUGE_RAILTYPE_OHLE]:[TRACK_TYPE_STANDARD_GAUGE_RAILTYPE_NONE]],_xlfn.LAMBDA(_xlpm.r,OR(_xlpm.r))),FALSE)</f>
        <v>1</v>
      </c>
      <c r="AF190" s="38" t="b" cm="1">
        <f t="array" ref="AF190">IFERROR(_xlfn.BYROW(TRACK_TYPES[[#This Row],[TRACK_TYPE_NARROW_GAUGE_RAILTYPE_OHLE]:[TRACK_TYPE_NARROW_GAUGE_RAILTYPE_NONE]],_xlfn.LAMBDA(_xlpm.r,OR(_xlpm.r))),FALSE)</f>
        <v>0</v>
      </c>
      <c r="AG190" s="38" t="b" cm="1">
        <f t="array" ref="AG190">IFERROR(_xlfn.BYROW(TRACK_TYPES[[#This Row],[TRACK_TYPE_BROAD_GAUGE_RAILTYPE_OHLE]:[TRACK_TYPE_BROAD_GAUGE_RAILTYPE_NONE]],_xlfn.LAMBDA(_xlpm.r,OR(_xlpm.r))),FALSE)</f>
        <v>1</v>
      </c>
      <c r="AH1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0"/>
      <c r="AQ190"/>
      <c r="AR190"/>
    </row>
    <row r="191" spans="1:44" x14ac:dyDescent="0.35">
      <c r="A191" s="2" t="s">
        <v>3439</v>
      </c>
      <c r="B191" s="40" t="str">
        <f>_xlfn.XLOOKUP(PROPERTIES[[#This Row],[VEHIDCODE]],CONTROL[VEHIDCODE],CONTROL[ENGLISH])</f>
        <v>Raba M 030 'M28 Nyünyüke'</v>
      </c>
      <c r="J191" s="2" t="b">
        <v>1</v>
      </c>
      <c r="AC191" s="2"/>
      <c r="AD191" s="2" t="b">
        <f>LEN(_xlfn.CONCAT(TRACK_TYPES[[#This Row],[TRACK_TYPE_STANDARD_GAUGE_RAILTYPE_OHLE]:[TRACK_TYPE_MTRO]]))&gt;0</f>
        <v>1</v>
      </c>
      <c r="AE191" s="38" t="b" cm="1">
        <f t="array" ref="AE191">IFERROR(_xlfn.BYROW(TRACK_TYPES[[#This Row],[TRACK_TYPE_STANDARD_GAUGE_RAILTYPE_OHLE]:[TRACK_TYPE_STANDARD_GAUGE_RAILTYPE_NONE]],_xlfn.LAMBDA(_xlpm.r,OR(_xlpm.r))),FALSE)</f>
        <v>1</v>
      </c>
      <c r="AF191" s="38" t="b" cm="1">
        <f t="array" ref="AF191">IFERROR(_xlfn.BYROW(TRACK_TYPES[[#This Row],[TRACK_TYPE_NARROW_GAUGE_RAILTYPE_OHLE]:[TRACK_TYPE_NARROW_GAUGE_RAILTYPE_NONE]],_xlfn.LAMBDA(_xlpm.r,OR(_xlpm.r))),FALSE)</f>
        <v>0</v>
      </c>
      <c r="AG191" s="38" t="b" cm="1">
        <f t="array" ref="AG191">IFERROR(_xlfn.BYROW(TRACK_TYPES[[#This Row],[TRACK_TYPE_BROAD_GAUGE_RAILTYPE_OHLE]:[TRACK_TYPE_BROAD_GAUGE_RAILTYPE_NONE]],_xlfn.LAMBDA(_xlpm.r,OR(_xlpm.r))),FALSE)</f>
        <v>0</v>
      </c>
      <c r="AH1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1"/>
      <c r="AQ191"/>
      <c r="AR191"/>
    </row>
    <row r="192" spans="1:44" x14ac:dyDescent="0.35">
      <c r="A192" s="2" t="s">
        <v>3440</v>
      </c>
      <c r="B192" s="40" t="str">
        <f>_xlfn.XLOOKUP(PROPERTIES[[#This Row],[VEHIDCODE]],CONTROL[VEHIDCODE],CONTROL[ENGLISH])</f>
        <v>Cockerill-Sambre HLD serie 83</v>
      </c>
      <c r="J192" s="2" t="b">
        <v>1</v>
      </c>
      <c r="AC192" s="2"/>
      <c r="AD192" s="2" t="b">
        <f>LEN(_xlfn.CONCAT(TRACK_TYPES[[#This Row],[TRACK_TYPE_STANDARD_GAUGE_RAILTYPE_OHLE]:[TRACK_TYPE_MTRO]]))&gt;0</f>
        <v>1</v>
      </c>
      <c r="AE192" s="38" t="b" cm="1">
        <f t="array" ref="AE192">IFERROR(_xlfn.BYROW(TRACK_TYPES[[#This Row],[TRACK_TYPE_STANDARD_GAUGE_RAILTYPE_OHLE]:[TRACK_TYPE_STANDARD_GAUGE_RAILTYPE_NONE]],_xlfn.LAMBDA(_xlpm.r,OR(_xlpm.r))),FALSE)</f>
        <v>1</v>
      </c>
      <c r="AF192" s="38" t="b" cm="1">
        <f t="array" ref="AF192">IFERROR(_xlfn.BYROW(TRACK_TYPES[[#This Row],[TRACK_TYPE_NARROW_GAUGE_RAILTYPE_OHLE]:[TRACK_TYPE_NARROW_GAUGE_RAILTYPE_NONE]],_xlfn.LAMBDA(_xlpm.r,OR(_xlpm.r))),FALSE)</f>
        <v>0</v>
      </c>
      <c r="AG192" s="38" t="b" cm="1">
        <f t="array" ref="AG192">IFERROR(_xlfn.BYROW(TRACK_TYPES[[#This Row],[TRACK_TYPE_BROAD_GAUGE_RAILTYPE_OHLE]:[TRACK_TYPE_BROAD_GAUGE_RAILTYPE_NONE]],_xlfn.LAMBDA(_xlpm.r,OR(_xlpm.r))),FALSE)</f>
        <v>0</v>
      </c>
      <c r="AH1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2"/>
      <c r="AQ192"/>
      <c r="AR192"/>
    </row>
    <row r="193" spans="1:44" x14ac:dyDescent="0.35">
      <c r="A193" s="2" t="s">
        <v>2830</v>
      </c>
      <c r="B193" s="40" t="str">
        <f>_xlfn.XLOOKUP(PROPERTIES[[#This Row],[VEHIDCODE]],CONTROL[VEHIDCODE],CONTROL[ENGLISH])</f>
        <v>Krauss-Maffei V200</v>
      </c>
      <c r="J193" s="2" t="b">
        <v>1</v>
      </c>
      <c r="AC193" s="2"/>
      <c r="AD193" s="2" t="b">
        <f>LEN(_xlfn.CONCAT(TRACK_TYPES[[#This Row],[TRACK_TYPE_STANDARD_GAUGE_RAILTYPE_OHLE]:[TRACK_TYPE_MTRO]]))&gt;0</f>
        <v>1</v>
      </c>
      <c r="AE193" s="38" t="b" cm="1">
        <f t="array" ref="AE193">IFERROR(_xlfn.BYROW(TRACK_TYPES[[#This Row],[TRACK_TYPE_STANDARD_GAUGE_RAILTYPE_OHLE]:[TRACK_TYPE_STANDARD_GAUGE_RAILTYPE_NONE]],_xlfn.LAMBDA(_xlpm.r,OR(_xlpm.r))),FALSE)</f>
        <v>1</v>
      </c>
      <c r="AF193" s="38" t="b" cm="1">
        <f t="array" ref="AF193">IFERROR(_xlfn.BYROW(TRACK_TYPES[[#This Row],[TRACK_TYPE_NARROW_GAUGE_RAILTYPE_OHLE]:[TRACK_TYPE_NARROW_GAUGE_RAILTYPE_NONE]],_xlfn.LAMBDA(_xlpm.r,OR(_xlpm.r))),FALSE)</f>
        <v>0</v>
      </c>
      <c r="AG193" s="38" t="b" cm="1">
        <f t="array" ref="AG193">IFERROR(_xlfn.BYROW(TRACK_TYPES[[#This Row],[TRACK_TYPE_BROAD_GAUGE_RAILTYPE_OHLE]:[TRACK_TYPE_BROAD_GAUGE_RAILTYPE_NONE]],_xlfn.LAMBDA(_xlpm.r,OR(_xlpm.r))),FALSE)</f>
        <v>0</v>
      </c>
      <c r="AH1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3"/>
      <c r="AQ193"/>
      <c r="AR193"/>
    </row>
    <row r="194" spans="1:44" x14ac:dyDescent="0.35">
      <c r="A194" s="2" t="s">
        <v>2831</v>
      </c>
      <c r="B194" s="40" t="str">
        <f>_xlfn.XLOOKUP(PROPERTIES[[#This Row],[VEHIDCODE]],CONTROL[VEHIDCODE],CONTROL[ENGLISH])</f>
        <v>EMD FL9</v>
      </c>
      <c r="J194" s="2" t="b">
        <v>1</v>
      </c>
      <c r="AC194" s="2"/>
      <c r="AD194" s="2" t="b">
        <f>LEN(_xlfn.CONCAT(TRACK_TYPES[[#This Row],[TRACK_TYPE_STANDARD_GAUGE_RAILTYPE_OHLE]:[TRACK_TYPE_MTRO]]))&gt;0</f>
        <v>1</v>
      </c>
      <c r="AE194" s="38" t="b" cm="1">
        <f t="array" ref="AE194">IFERROR(_xlfn.BYROW(TRACK_TYPES[[#This Row],[TRACK_TYPE_STANDARD_GAUGE_RAILTYPE_OHLE]:[TRACK_TYPE_STANDARD_GAUGE_RAILTYPE_NONE]],_xlfn.LAMBDA(_xlpm.r,OR(_xlpm.r))),FALSE)</f>
        <v>1</v>
      </c>
      <c r="AF194" s="38" t="b" cm="1">
        <f t="array" ref="AF194">IFERROR(_xlfn.BYROW(TRACK_TYPES[[#This Row],[TRACK_TYPE_NARROW_GAUGE_RAILTYPE_OHLE]:[TRACK_TYPE_NARROW_GAUGE_RAILTYPE_NONE]],_xlfn.LAMBDA(_xlpm.r,OR(_xlpm.r))),FALSE)</f>
        <v>0</v>
      </c>
      <c r="AG194" s="38" t="b" cm="1">
        <f t="array" ref="AG194">IFERROR(_xlfn.BYROW(TRACK_TYPES[[#This Row],[TRACK_TYPE_BROAD_GAUGE_RAILTYPE_OHLE]:[TRACK_TYPE_BROAD_GAUGE_RAILTYPE_NONE]],_xlfn.LAMBDA(_xlpm.r,OR(_xlpm.r))),FALSE)</f>
        <v>0</v>
      </c>
      <c r="AH1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4"/>
      <c r="AQ194"/>
      <c r="AR194"/>
    </row>
    <row r="195" spans="1:44" x14ac:dyDescent="0.35">
      <c r="A195" s="2" t="s">
        <v>2832</v>
      </c>
      <c r="B195" s="40" t="str">
        <f>_xlfn.XLOOKUP(PROPERTIES[[#This Row],[VEHIDCODE]],CONTROL[VEHIDCODE],CONTROL[ENGLISH])</f>
        <v>CKD T 435.0</v>
      </c>
      <c r="J195" s="2" t="b">
        <v>1</v>
      </c>
      <c r="Z195" s="2" t="b">
        <v>1</v>
      </c>
      <c r="AC195" s="2"/>
      <c r="AD195" s="2" t="b">
        <f>LEN(_xlfn.CONCAT(TRACK_TYPES[[#This Row],[TRACK_TYPE_STANDARD_GAUGE_RAILTYPE_OHLE]:[TRACK_TYPE_MTRO]]))&gt;0</f>
        <v>1</v>
      </c>
      <c r="AE195" s="38" t="b" cm="1">
        <f t="array" ref="AE195">IFERROR(_xlfn.BYROW(TRACK_TYPES[[#This Row],[TRACK_TYPE_STANDARD_GAUGE_RAILTYPE_OHLE]:[TRACK_TYPE_STANDARD_GAUGE_RAILTYPE_NONE]],_xlfn.LAMBDA(_xlpm.r,OR(_xlpm.r))),FALSE)</f>
        <v>1</v>
      </c>
      <c r="AF195" s="38" t="b" cm="1">
        <f t="array" ref="AF195">IFERROR(_xlfn.BYROW(TRACK_TYPES[[#This Row],[TRACK_TYPE_NARROW_GAUGE_RAILTYPE_OHLE]:[TRACK_TYPE_NARROW_GAUGE_RAILTYPE_NONE]],_xlfn.LAMBDA(_xlpm.r,OR(_xlpm.r))),FALSE)</f>
        <v>0</v>
      </c>
      <c r="AG195" s="38" t="b" cm="1">
        <f t="array" ref="AG195">IFERROR(_xlfn.BYROW(TRACK_TYPES[[#This Row],[TRACK_TYPE_BROAD_GAUGE_RAILTYPE_OHLE]:[TRACK_TYPE_BROAD_GAUGE_RAILTYPE_NONE]],_xlfn.LAMBDA(_xlpm.r,OR(_xlpm.r))),FALSE)</f>
        <v>1</v>
      </c>
      <c r="AH1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5"/>
      <c r="AQ195"/>
      <c r="AR195"/>
    </row>
    <row r="196" spans="1:44" x14ac:dyDescent="0.35">
      <c r="A196" s="2" t="s">
        <v>2833</v>
      </c>
      <c r="B196" s="40" t="str">
        <f>_xlfn.XLOOKUP(PROPERTIES[[#This Row],[VEHIDCODE]],CONTROL[VEHIDCODE],CONTROL[ENGLISH])</f>
        <v>Valmet/Lokomo Dr12</v>
      </c>
      <c r="Z196" s="2" t="b">
        <v>1</v>
      </c>
      <c r="AC196" s="2"/>
      <c r="AD196" s="2" t="b">
        <f>LEN(_xlfn.CONCAT(TRACK_TYPES[[#This Row],[TRACK_TYPE_STANDARD_GAUGE_RAILTYPE_OHLE]:[TRACK_TYPE_MTRO]]))&gt;0</f>
        <v>1</v>
      </c>
      <c r="AE196" s="38" t="b" cm="1">
        <f t="array" ref="AE196">IFERROR(_xlfn.BYROW(TRACK_TYPES[[#This Row],[TRACK_TYPE_STANDARD_GAUGE_RAILTYPE_OHLE]:[TRACK_TYPE_STANDARD_GAUGE_RAILTYPE_NONE]],_xlfn.LAMBDA(_xlpm.r,OR(_xlpm.r))),FALSE)</f>
        <v>0</v>
      </c>
      <c r="AF196" s="38" t="b" cm="1">
        <f t="array" ref="AF196">IFERROR(_xlfn.BYROW(TRACK_TYPES[[#This Row],[TRACK_TYPE_NARROW_GAUGE_RAILTYPE_OHLE]:[TRACK_TYPE_NARROW_GAUGE_RAILTYPE_NONE]],_xlfn.LAMBDA(_xlpm.r,OR(_xlpm.r))),FALSE)</f>
        <v>0</v>
      </c>
      <c r="AG196" s="38" t="b" cm="1">
        <f t="array" ref="AG196">IFERROR(_xlfn.BYROW(TRACK_TYPES[[#This Row],[TRACK_TYPE_BROAD_GAUGE_RAILTYPE_OHLE]:[TRACK_TYPE_BROAD_GAUGE_RAILTYPE_NONE]],_xlfn.LAMBDA(_xlpm.r,OR(_xlpm.r))),FALSE)</f>
        <v>1</v>
      </c>
      <c r="AH1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96"/>
      <c r="AQ196"/>
      <c r="AR196"/>
    </row>
    <row r="197" spans="1:44" x14ac:dyDescent="0.35">
      <c r="A197" s="2" t="s">
        <v>2834</v>
      </c>
      <c r="B197" s="40" t="str">
        <f>_xlfn.XLOOKUP(PROPERTIES[[#This Row],[VEHIDCODE]],CONTROL[VEHIDCODE],CONTROL[ENGLISH])</f>
        <v>Electroputre 060-DA</v>
      </c>
      <c r="J197" s="2" t="b">
        <v>1</v>
      </c>
      <c r="Z197" s="2" t="b">
        <v>1</v>
      </c>
      <c r="AC197" s="2"/>
      <c r="AD197" s="2" t="b">
        <f>LEN(_xlfn.CONCAT(TRACK_TYPES[[#This Row],[TRACK_TYPE_STANDARD_GAUGE_RAILTYPE_OHLE]:[TRACK_TYPE_MTRO]]))&gt;0</f>
        <v>1</v>
      </c>
      <c r="AE197" s="38" t="b" cm="1">
        <f t="array" ref="AE197">IFERROR(_xlfn.BYROW(TRACK_TYPES[[#This Row],[TRACK_TYPE_STANDARD_GAUGE_RAILTYPE_OHLE]:[TRACK_TYPE_STANDARD_GAUGE_RAILTYPE_NONE]],_xlfn.LAMBDA(_xlpm.r,OR(_xlpm.r))),FALSE)</f>
        <v>1</v>
      </c>
      <c r="AF197" s="38" t="b" cm="1">
        <f t="array" ref="AF197">IFERROR(_xlfn.BYROW(TRACK_TYPES[[#This Row],[TRACK_TYPE_NARROW_GAUGE_RAILTYPE_OHLE]:[TRACK_TYPE_NARROW_GAUGE_RAILTYPE_NONE]],_xlfn.LAMBDA(_xlpm.r,OR(_xlpm.r))),FALSE)</f>
        <v>0</v>
      </c>
      <c r="AG197" s="38" t="b" cm="1">
        <f t="array" ref="AG197">IFERROR(_xlfn.BYROW(TRACK_TYPES[[#This Row],[TRACK_TYPE_BROAD_GAUGE_RAILTYPE_OHLE]:[TRACK_TYPE_BROAD_GAUGE_RAILTYPE_NONE]],_xlfn.LAMBDA(_xlpm.r,OR(_xlpm.r))),FALSE)</f>
        <v>1</v>
      </c>
      <c r="AH1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7"/>
      <c r="AQ197"/>
      <c r="AR197"/>
    </row>
    <row r="198" spans="1:44" x14ac:dyDescent="0.35">
      <c r="A198" s="2" t="s">
        <v>2835</v>
      </c>
      <c r="B198" s="40" t="str">
        <f>_xlfn.XLOOKUP(PROPERTIES[[#This Row],[VEHIDCODE]],CONTROL[VEHIDCODE],CONTROL[ENGLISH])</f>
        <v>EMD GL8</v>
      </c>
      <c r="J198" s="2" t="b">
        <v>1</v>
      </c>
      <c r="R198" s="2" t="b">
        <v>1</v>
      </c>
      <c r="Z198" s="2" t="b">
        <v>1</v>
      </c>
      <c r="AC198" s="2"/>
      <c r="AD198" s="2" t="b">
        <f>LEN(_xlfn.CONCAT(TRACK_TYPES[[#This Row],[TRACK_TYPE_STANDARD_GAUGE_RAILTYPE_OHLE]:[TRACK_TYPE_MTRO]]))&gt;0</f>
        <v>1</v>
      </c>
      <c r="AE198" s="38" t="b" cm="1">
        <f t="array" ref="AE198">IFERROR(_xlfn.BYROW(TRACK_TYPES[[#This Row],[TRACK_TYPE_STANDARD_GAUGE_RAILTYPE_OHLE]:[TRACK_TYPE_STANDARD_GAUGE_RAILTYPE_NONE]],_xlfn.LAMBDA(_xlpm.r,OR(_xlpm.r))),FALSE)</f>
        <v>1</v>
      </c>
      <c r="AF198" s="38" t="b" cm="1">
        <f t="array" ref="AF198">IFERROR(_xlfn.BYROW(TRACK_TYPES[[#This Row],[TRACK_TYPE_NARROW_GAUGE_RAILTYPE_OHLE]:[TRACK_TYPE_NARROW_GAUGE_RAILTYPE_NONE]],_xlfn.LAMBDA(_xlpm.r,OR(_xlpm.r))),FALSE)</f>
        <v>1</v>
      </c>
      <c r="AG198" s="38" t="b" cm="1">
        <f t="array" ref="AG198">IFERROR(_xlfn.BYROW(TRACK_TYPES[[#This Row],[TRACK_TYPE_BROAD_GAUGE_RAILTYPE_OHLE]:[TRACK_TYPE_BROAD_GAUGE_RAILTYPE_NONE]],_xlfn.LAMBDA(_xlpm.r,OR(_xlpm.r))),FALSE)</f>
        <v>1</v>
      </c>
      <c r="AH1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8"/>
      <c r="AQ198"/>
      <c r="AR198"/>
    </row>
    <row r="199" spans="1:44" x14ac:dyDescent="0.35">
      <c r="A199" s="2" t="s">
        <v>2836</v>
      </c>
      <c r="B199" s="40" t="str">
        <f>_xlfn.XLOOKUP(PROPERTIES[[#This Row],[VEHIDCODE]],CONTROL[VEHIDCODE],CONTROL[ENGLISH])</f>
        <v>Krauss-Maffei ML 4000</v>
      </c>
      <c r="J199" s="2" t="b">
        <v>1</v>
      </c>
      <c r="R199" s="2" t="b">
        <v>1</v>
      </c>
      <c r="AC199" s="2"/>
      <c r="AD199" s="2" t="b">
        <f>LEN(_xlfn.CONCAT(TRACK_TYPES[[#This Row],[TRACK_TYPE_STANDARD_GAUGE_RAILTYPE_OHLE]:[TRACK_TYPE_MTRO]]))&gt;0</f>
        <v>1</v>
      </c>
      <c r="AE199" s="38" t="b" cm="1">
        <f t="array" ref="AE199">IFERROR(_xlfn.BYROW(TRACK_TYPES[[#This Row],[TRACK_TYPE_STANDARD_GAUGE_RAILTYPE_OHLE]:[TRACK_TYPE_STANDARD_GAUGE_RAILTYPE_NONE]],_xlfn.LAMBDA(_xlpm.r,OR(_xlpm.r))),FALSE)</f>
        <v>1</v>
      </c>
      <c r="AF199" s="38" t="b" cm="1">
        <f t="array" ref="AF199">IFERROR(_xlfn.BYROW(TRACK_TYPES[[#This Row],[TRACK_TYPE_NARROW_GAUGE_RAILTYPE_OHLE]:[TRACK_TYPE_NARROW_GAUGE_RAILTYPE_NONE]],_xlfn.LAMBDA(_xlpm.r,OR(_xlpm.r))),FALSE)</f>
        <v>1</v>
      </c>
      <c r="AG199" s="38" t="b" cm="1">
        <f t="array" ref="AG199">IFERROR(_xlfn.BYROW(TRACK_TYPES[[#This Row],[TRACK_TYPE_BROAD_GAUGE_RAILTYPE_OHLE]:[TRACK_TYPE_BROAD_GAUGE_RAILTYPE_NONE]],_xlfn.LAMBDA(_xlpm.r,OR(_xlpm.r))),FALSE)</f>
        <v>0</v>
      </c>
      <c r="AH1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9"/>
      <c r="AQ199"/>
      <c r="AR199"/>
    </row>
    <row r="200" spans="1:44" x14ac:dyDescent="0.35">
      <c r="A200" s="2" t="s">
        <v>2837</v>
      </c>
      <c r="B200" s="40" t="str">
        <f>_xlfn.XLOOKUP(PROPERTIES[[#This Row],[VEHIDCODE]],CONTROL[VEHIDCODE],CONTROL[ENGLISH])</f>
        <v>Kolomna TEP60</v>
      </c>
      <c r="Z200" s="2" t="b">
        <v>1</v>
      </c>
      <c r="AC200" s="2"/>
      <c r="AD200" s="2" t="b">
        <f>LEN(_xlfn.CONCAT(TRACK_TYPES[[#This Row],[TRACK_TYPE_STANDARD_GAUGE_RAILTYPE_OHLE]:[TRACK_TYPE_MTRO]]))&gt;0</f>
        <v>1</v>
      </c>
      <c r="AE200" s="38" t="b" cm="1">
        <f t="array" ref="AE200">IFERROR(_xlfn.BYROW(TRACK_TYPES[[#This Row],[TRACK_TYPE_STANDARD_GAUGE_RAILTYPE_OHLE]:[TRACK_TYPE_STANDARD_GAUGE_RAILTYPE_NONE]],_xlfn.LAMBDA(_xlpm.r,OR(_xlpm.r))),FALSE)</f>
        <v>0</v>
      </c>
      <c r="AF200" s="38" t="b" cm="1">
        <f t="array" ref="AF200">IFERROR(_xlfn.BYROW(TRACK_TYPES[[#This Row],[TRACK_TYPE_NARROW_GAUGE_RAILTYPE_OHLE]:[TRACK_TYPE_NARROW_GAUGE_RAILTYPE_NONE]],_xlfn.LAMBDA(_xlpm.r,OR(_xlpm.r))),FALSE)</f>
        <v>0</v>
      </c>
      <c r="AG200" s="38" t="b" cm="1">
        <f t="array" ref="AG200">IFERROR(_xlfn.BYROW(TRACK_TYPES[[#This Row],[TRACK_TYPE_BROAD_GAUGE_RAILTYPE_OHLE]:[TRACK_TYPE_BROAD_GAUGE_RAILTYPE_NONE]],_xlfn.LAMBDA(_xlpm.r,OR(_xlpm.r))),FALSE)</f>
        <v>1</v>
      </c>
      <c r="AH2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00"/>
      <c r="AQ200"/>
      <c r="AR200"/>
    </row>
    <row r="201" spans="1:44" x14ac:dyDescent="0.35">
      <c r="A201" s="2" t="s">
        <v>2838</v>
      </c>
      <c r="B201" s="40" t="str">
        <f>_xlfn.XLOOKUP(PROPERTIES[[#This Row],[VEHIDCODE]],CONTROL[VEHIDCODE],CONTROL[ENGLISH])</f>
        <v>BN/ACEC 62</v>
      </c>
      <c r="J201" s="2" t="b">
        <v>1</v>
      </c>
      <c r="AC201" s="2"/>
      <c r="AD201" s="2" t="b">
        <f>LEN(_xlfn.CONCAT(TRACK_TYPES[[#This Row],[TRACK_TYPE_STANDARD_GAUGE_RAILTYPE_OHLE]:[TRACK_TYPE_MTRO]]))&gt;0</f>
        <v>1</v>
      </c>
      <c r="AE201" s="38" t="b" cm="1">
        <f t="array" ref="AE201">IFERROR(_xlfn.BYROW(TRACK_TYPES[[#This Row],[TRACK_TYPE_STANDARD_GAUGE_RAILTYPE_OHLE]:[TRACK_TYPE_STANDARD_GAUGE_RAILTYPE_NONE]],_xlfn.LAMBDA(_xlpm.r,OR(_xlpm.r))),FALSE)</f>
        <v>1</v>
      </c>
      <c r="AF201" s="38" t="b" cm="1">
        <f t="array" ref="AF201">IFERROR(_xlfn.BYROW(TRACK_TYPES[[#This Row],[TRACK_TYPE_NARROW_GAUGE_RAILTYPE_OHLE]:[TRACK_TYPE_NARROW_GAUGE_RAILTYPE_NONE]],_xlfn.LAMBDA(_xlpm.r,OR(_xlpm.r))),FALSE)</f>
        <v>0</v>
      </c>
      <c r="AG201" s="38" t="b" cm="1">
        <f t="array" ref="AG201">IFERROR(_xlfn.BYROW(TRACK_TYPES[[#This Row],[TRACK_TYPE_BROAD_GAUGE_RAILTYPE_OHLE]:[TRACK_TYPE_BROAD_GAUGE_RAILTYPE_NONE]],_xlfn.LAMBDA(_xlpm.r,OR(_xlpm.r))),FALSE)</f>
        <v>0</v>
      </c>
      <c r="AH2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1"/>
      <c r="AQ201"/>
      <c r="AR201"/>
    </row>
    <row r="202" spans="1:44" x14ac:dyDescent="0.35">
      <c r="A202" s="2" t="s">
        <v>2839</v>
      </c>
      <c r="B202" s="40" t="str">
        <f>_xlfn.XLOOKUP(PROPERTIES[[#This Row],[VEHIDCODE]],CONTROL[VEHIDCODE],CONTROL[ENGLISH])</f>
        <v>MaK 100</v>
      </c>
      <c r="J202" s="2" t="b">
        <v>1</v>
      </c>
      <c r="AC202" s="2"/>
      <c r="AD202" s="2" t="b">
        <f>LEN(_xlfn.CONCAT(TRACK_TYPES[[#This Row],[TRACK_TYPE_STANDARD_GAUGE_RAILTYPE_OHLE]:[TRACK_TYPE_MTRO]]))&gt;0</f>
        <v>1</v>
      </c>
      <c r="AE202" s="38" t="b" cm="1">
        <f t="array" ref="AE202">IFERROR(_xlfn.BYROW(TRACK_TYPES[[#This Row],[TRACK_TYPE_STANDARD_GAUGE_RAILTYPE_OHLE]:[TRACK_TYPE_STANDARD_GAUGE_RAILTYPE_NONE]],_xlfn.LAMBDA(_xlpm.r,OR(_xlpm.r))),FALSE)</f>
        <v>1</v>
      </c>
      <c r="AF202" s="38" t="b" cm="1">
        <f t="array" ref="AF202">IFERROR(_xlfn.BYROW(TRACK_TYPES[[#This Row],[TRACK_TYPE_NARROW_GAUGE_RAILTYPE_OHLE]:[TRACK_TYPE_NARROW_GAUGE_RAILTYPE_NONE]],_xlfn.LAMBDA(_xlpm.r,OR(_xlpm.r))),FALSE)</f>
        <v>0</v>
      </c>
      <c r="AG202" s="38" t="b" cm="1">
        <f t="array" ref="AG202">IFERROR(_xlfn.BYROW(TRACK_TYPES[[#This Row],[TRACK_TYPE_BROAD_GAUGE_RAILTYPE_OHLE]:[TRACK_TYPE_BROAD_GAUGE_RAILTYPE_NONE]],_xlfn.LAMBDA(_xlpm.r,OR(_xlpm.r))),FALSE)</f>
        <v>0</v>
      </c>
      <c r="AH2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2"/>
      <c r="AQ202"/>
      <c r="AR202"/>
    </row>
    <row r="203" spans="1:44" x14ac:dyDescent="0.35">
      <c r="A203" s="2" t="s">
        <v>2840</v>
      </c>
      <c r="B203" s="40" t="str">
        <f>_xlfn.XLOOKUP(PROPERTIES[[#This Row],[VEHIDCODE]],CONTROL[VEHIDCODE],CONTROL[ENGLISH])</f>
        <v>ALCO DL560C 'WDM-2'</v>
      </c>
      <c r="Z203" s="2" t="b">
        <v>1</v>
      </c>
      <c r="AC203" s="2"/>
      <c r="AD203" s="2" t="b">
        <f>LEN(_xlfn.CONCAT(TRACK_TYPES[[#This Row],[TRACK_TYPE_STANDARD_GAUGE_RAILTYPE_OHLE]:[TRACK_TYPE_MTRO]]))&gt;0</f>
        <v>1</v>
      </c>
      <c r="AE203" s="38" t="b" cm="1">
        <f t="array" ref="AE203">IFERROR(_xlfn.BYROW(TRACK_TYPES[[#This Row],[TRACK_TYPE_STANDARD_GAUGE_RAILTYPE_OHLE]:[TRACK_TYPE_STANDARD_GAUGE_RAILTYPE_NONE]],_xlfn.LAMBDA(_xlpm.r,OR(_xlpm.r))),FALSE)</f>
        <v>0</v>
      </c>
      <c r="AF203" s="38" t="b" cm="1">
        <f t="array" ref="AF203">IFERROR(_xlfn.BYROW(TRACK_TYPES[[#This Row],[TRACK_TYPE_NARROW_GAUGE_RAILTYPE_OHLE]:[TRACK_TYPE_NARROW_GAUGE_RAILTYPE_NONE]],_xlfn.LAMBDA(_xlpm.r,OR(_xlpm.r))),FALSE)</f>
        <v>0</v>
      </c>
      <c r="AG203" s="38" t="b" cm="1">
        <f t="array" ref="AG203">IFERROR(_xlfn.BYROW(TRACK_TYPES[[#This Row],[TRACK_TYPE_BROAD_GAUGE_RAILTYPE_OHLE]:[TRACK_TYPE_BROAD_GAUGE_RAILTYPE_NONE]],_xlfn.LAMBDA(_xlpm.r,OR(_xlpm.r))),FALSE)</f>
        <v>1</v>
      </c>
      <c r="AH2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03"/>
      <c r="AQ203"/>
      <c r="AR203"/>
    </row>
    <row r="204" spans="1:44" x14ac:dyDescent="0.35">
      <c r="A204" s="2" t="s">
        <v>2841</v>
      </c>
      <c r="B204" s="40" t="str">
        <f>_xlfn.XLOOKUP(PROPERTIES[[#This Row],[VEHIDCODE]],CONTROL[VEHIDCODE],CONTROL[ENGLISH])</f>
        <v>BR 14 0-6-0DH</v>
      </c>
      <c r="J204" s="2" t="b">
        <v>1</v>
      </c>
      <c r="AC204" s="2"/>
      <c r="AD204" s="2" t="b">
        <f>LEN(_xlfn.CONCAT(TRACK_TYPES[[#This Row],[TRACK_TYPE_STANDARD_GAUGE_RAILTYPE_OHLE]:[TRACK_TYPE_MTRO]]))&gt;0</f>
        <v>1</v>
      </c>
      <c r="AE204" s="38" t="b" cm="1">
        <f t="array" ref="AE204">IFERROR(_xlfn.BYROW(TRACK_TYPES[[#This Row],[TRACK_TYPE_STANDARD_GAUGE_RAILTYPE_OHLE]:[TRACK_TYPE_STANDARD_GAUGE_RAILTYPE_NONE]],_xlfn.LAMBDA(_xlpm.r,OR(_xlpm.r))),FALSE)</f>
        <v>1</v>
      </c>
      <c r="AF204" s="38" t="b" cm="1">
        <f t="array" ref="AF204">IFERROR(_xlfn.BYROW(TRACK_TYPES[[#This Row],[TRACK_TYPE_NARROW_GAUGE_RAILTYPE_OHLE]:[TRACK_TYPE_NARROW_GAUGE_RAILTYPE_NONE]],_xlfn.LAMBDA(_xlpm.r,OR(_xlpm.r))),FALSE)</f>
        <v>0</v>
      </c>
      <c r="AG204" s="38" t="b" cm="1">
        <f t="array" ref="AG204">IFERROR(_xlfn.BYROW(TRACK_TYPES[[#This Row],[TRACK_TYPE_BROAD_GAUGE_RAILTYPE_OHLE]:[TRACK_TYPE_BROAD_GAUGE_RAILTYPE_NONE]],_xlfn.LAMBDA(_xlpm.r,OR(_xlpm.r))),FALSE)</f>
        <v>0</v>
      </c>
      <c r="AH2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4"/>
      <c r="AQ204"/>
      <c r="AR204"/>
    </row>
    <row r="205" spans="1:44" x14ac:dyDescent="0.35">
      <c r="A205" s="2" t="s">
        <v>2842</v>
      </c>
      <c r="B205" s="40" t="str">
        <f>_xlfn.XLOOKUP(PROPERTIES[[#This Row],[VEHIDCODE]],CONTROL[VEHIDCODE],CONTROL[ENGLISH])</f>
        <v>CKD T-669</v>
      </c>
      <c r="J205" s="2" t="b">
        <v>1</v>
      </c>
      <c r="Z205" s="2" t="b">
        <v>1</v>
      </c>
      <c r="AC205" s="2"/>
      <c r="AD205" s="2" t="b">
        <f>LEN(_xlfn.CONCAT(TRACK_TYPES[[#This Row],[TRACK_TYPE_STANDARD_GAUGE_RAILTYPE_OHLE]:[TRACK_TYPE_MTRO]]))&gt;0</f>
        <v>1</v>
      </c>
      <c r="AE205" s="38" t="b" cm="1">
        <f t="array" ref="AE205">IFERROR(_xlfn.BYROW(TRACK_TYPES[[#This Row],[TRACK_TYPE_STANDARD_GAUGE_RAILTYPE_OHLE]:[TRACK_TYPE_STANDARD_GAUGE_RAILTYPE_NONE]],_xlfn.LAMBDA(_xlpm.r,OR(_xlpm.r))),FALSE)</f>
        <v>1</v>
      </c>
      <c r="AF205" s="38" t="b" cm="1">
        <f t="array" ref="AF205">IFERROR(_xlfn.BYROW(TRACK_TYPES[[#This Row],[TRACK_TYPE_NARROW_GAUGE_RAILTYPE_OHLE]:[TRACK_TYPE_NARROW_GAUGE_RAILTYPE_NONE]],_xlfn.LAMBDA(_xlpm.r,OR(_xlpm.r))),FALSE)</f>
        <v>0</v>
      </c>
      <c r="AG205" s="38" t="b" cm="1">
        <f t="array" ref="AG205">IFERROR(_xlfn.BYROW(TRACK_TYPES[[#This Row],[TRACK_TYPE_BROAD_GAUGE_RAILTYPE_OHLE]:[TRACK_TYPE_BROAD_GAUGE_RAILTYPE_NONE]],_xlfn.LAMBDA(_xlpm.r,OR(_xlpm.r))),FALSE)</f>
        <v>1</v>
      </c>
      <c r="AH2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5"/>
      <c r="AQ205"/>
      <c r="AR205"/>
    </row>
    <row r="206" spans="1:44" x14ac:dyDescent="0.35">
      <c r="A206" s="2" t="s">
        <v>2843</v>
      </c>
      <c r="B206" s="40" t="str">
        <f>_xlfn.XLOOKUP(PROPERTIES[[#This Row],[VEHIDCODE]],CONTROL[VEHIDCODE],CONTROL[ENGLISH])</f>
        <v>UGOFE GM-EMD J16CW/AC</v>
      </c>
      <c r="Z206" s="2" t="b">
        <v>1</v>
      </c>
      <c r="AC206" s="2"/>
      <c r="AD206" s="2" t="b">
        <f>LEN(_xlfn.CONCAT(TRACK_TYPES[[#This Row],[TRACK_TYPE_STANDARD_GAUGE_RAILTYPE_OHLE]:[TRACK_TYPE_MTRO]]))&gt;0</f>
        <v>1</v>
      </c>
      <c r="AE206" s="38" t="b" cm="1">
        <f t="array" ref="AE206">IFERROR(_xlfn.BYROW(TRACK_TYPES[[#This Row],[TRACK_TYPE_STANDARD_GAUGE_RAILTYPE_OHLE]:[TRACK_TYPE_STANDARD_GAUGE_RAILTYPE_NONE]],_xlfn.LAMBDA(_xlpm.r,OR(_xlpm.r))),FALSE)</f>
        <v>0</v>
      </c>
      <c r="AF206" s="38" t="b" cm="1">
        <f t="array" ref="AF206">IFERROR(_xlfn.BYROW(TRACK_TYPES[[#This Row],[TRACK_TYPE_NARROW_GAUGE_RAILTYPE_OHLE]:[TRACK_TYPE_NARROW_GAUGE_RAILTYPE_NONE]],_xlfn.LAMBDA(_xlpm.r,OR(_xlpm.r))),FALSE)</f>
        <v>0</v>
      </c>
      <c r="AG206" s="38" t="b" cm="1">
        <f t="array" ref="AG206">IFERROR(_xlfn.BYROW(TRACK_TYPES[[#This Row],[TRACK_TYPE_BROAD_GAUGE_RAILTYPE_OHLE]:[TRACK_TYPE_BROAD_GAUGE_RAILTYPE_NONE]],_xlfn.LAMBDA(_xlpm.r,OR(_xlpm.r))),FALSE)</f>
        <v>1</v>
      </c>
      <c r="AH2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06"/>
      <c r="AQ206"/>
      <c r="AR206"/>
    </row>
    <row r="207" spans="1:44" x14ac:dyDescent="0.35">
      <c r="A207" s="2" t="s">
        <v>2844</v>
      </c>
      <c r="B207" s="40" t="str">
        <f>_xlfn.XLOOKUP(PROPERTIES[[#This Row],[VEHIDCODE]],CONTROL[VEHIDCODE],CONTROL[ENGLISH])</f>
        <v>LTZ M62</v>
      </c>
      <c r="J207" s="2" t="b">
        <v>1</v>
      </c>
      <c r="Z207" s="2" t="b">
        <v>1</v>
      </c>
      <c r="AC207" s="2"/>
      <c r="AD207" s="2" t="b">
        <f>LEN(_xlfn.CONCAT(TRACK_TYPES[[#This Row],[TRACK_TYPE_STANDARD_GAUGE_RAILTYPE_OHLE]:[TRACK_TYPE_MTRO]]))&gt;0</f>
        <v>1</v>
      </c>
      <c r="AE207" s="38" t="b" cm="1">
        <f t="array" ref="AE207">IFERROR(_xlfn.BYROW(TRACK_TYPES[[#This Row],[TRACK_TYPE_STANDARD_GAUGE_RAILTYPE_OHLE]:[TRACK_TYPE_STANDARD_GAUGE_RAILTYPE_NONE]],_xlfn.LAMBDA(_xlpm.r,OR(_xlpm.r))),FALSE)</f>
        <v>1</v>
      </c>
      <c r="AF207" s="38" t="b" cm="1">
        <f t="array" ref="AF207">IFERROR(_xlfn.BYROW(TRACK_TYPES[[#This Row],[TRACK_TYPE_NARROW_GAUGE_RAILTYPE_OHLE]:[TRACK_TYPE_NARROW_GAUGE_RAILTYPE_NONE]],_xlfn.LAMBDA(_xlpm.r,OR(_xlpm.r))),FALSE)</f>
        <v>0</v>
      </c>
      <c r="AG207" s="38" t="b" cm="1">
        <f t="array" ref="AG207">IFERROR(_xlfn.BYROW(TRACK_TYPES[[#This Row],[TRACK_TYPE_BROAD_GAUGE_RAILTYPE_OHLE]:[TRACK_TYPE_BROAD_GAUGE_RAILTYPE_NONE]],_xlfn.LAMBDA(_xlpm.r,OR(_xlpm.r))),FALSE)</f>
        <v>1</v>
      </c>
      <c r="AH2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7"/>
      <c r="AQ207"/>
      <c r="AR207"/>
    </row>
    <row r="208" spans="1:44" x14ac:dyDescent="0.35">
      <c r="A208" s="2" t="s">
        <v>2845</v>
      </c>
      <c r="B208" s="40" t="str">
        <f>_xlfn.XLOOKUP(PROPERTIES[[#This Row],[VEHIDCODE]],CONTROL[VEHIDCODE],CONTROL[ENGLISH])</f>
        <v>EMD/Clyde J26C</v>
      </c>
      <c r="J208" s="2" t="b">
        <v>1</v>
      </c>
      <c r="AC208" s="2"/>
      <c r="AD208" s="2" t="b">
        <f>LEN(_xlfn.CONCAT(TRACK_TYPES[[#This Row],[TRACK_TYPE_STANDARD_GAUGE_RAILTYPE_OHLE]:[TRACK_TYPE_MTRO]]))&gt;0</f>
        <v>1</v>
      </c>
      <c r="AE208" s="38" t="b" cm="1">
        <f t="array" ref="AE208">IFERROR(_xlfn.BYROW(TRACK_TYPES[[#This Row],[TRACK_TYPE_STANDARD_GAUGE_RAILTYPE_OHLE]:[TRACK_TYPE_STANDARD_GAUGE_RAILTYPE_NONE]],_xlfn.LAMBDA(_xlpm.r,OR(_xlpm.r))),FALSE)</f>
        <v>1</v>
      </c>
      <c r="AF208" s="38" t="b" cm="1">
        <f t="array" ref="AF208">IFERROR(_xlfn.BYROW(TRACK_TYPES[[#This Row],[TRACK_TYPE_NARROW_GAUGE_RAILTYPE_OHLE]:[TRACK_TYPE_NARROW_GAUGE_RAILTYPE_NONE]],_xlfn.LAMBDA(_xlpm.r,OR(_xlpm.r))),FALSE)</f>
        <v>0</v>
      </c>
      <c r="AG208" s="38" t="b" cm="1">
        <f t="array" ref="AG208">IFERROR(_xlfn.BYROW(TRACK_TYPES[[#This Row],[TRACK_TYPE_BROAD_GAUGE_RAILTYPE_OHLE]:[TRACK_TYPE_BROAD_GAUGE_RAILTYPE_NONE]],_xlfn.LAMBDA(_xlpm.r,OR(_xlpm.r))),FALSE)</f>
        <v>0</v>
      </c>
      <c r="AH2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8"/>
      <c r="AQ208"/>
      <c r="AR208"/>
    </row>
    <row r="209" spans="1:44" x14ac:dyDescent="0.35">
      <c r="A209" s="2" t="s">
        <v>2846</v>
      </c>
      <c r="B209" s="40" t="str">
        <f>_xlfn.XLOOKUP(PROPERTIES[[#This Row],[VEHIDCODE]],CONTROL[VEHIDCODE],CONTROL[ENGLISH])</f>
        <v>GE G22</v>
      </c>
      <c r="J209" s="2" t="b">
        <v>1</v>
      </c>
      <c r="AC209" s="2"/>
      <c r="AD209" s="2" t="b">
        <f>LEN(_xlfn.CONCAT(TRACK_TYPES[[#This Row],[TRACK_TYPE_STANDARD_GAUGE_RAILTYPE_OHLE]:[TRACK_TYPE_MTRO]]))&gt;0</f>
        <v>1</v>
      </c>
      <c r="AE209" s="38" t="b" cm="1">
        <f t="array" ref="AE209">IFERROR(_xlfn.BYROW(TRACK_TYPES[[#This Row],[TRACK_TYPE_STANDARD_GAUGE_RAILTYPE_OHLE]:[TRACK_TYPE_STANDARD_GAUGE_RAILTYPE_NONE]],_xlfn.LAMBDA(_xlpm.r,OR(_xlpm.r))),FALSE)</f>
        <v>1</v>
      </c>
      <c r="AF209" s="38" t="b" cm="1">
        <f t="array" ref="AF209">IFERROR(_xlfn.BYROW(TRACK_TYPES[[#This Row],[TRACK_TYPE_NARROW_GAUGE_RAILTYPE_OHLE]:[TRACK_TYPE_NARROW_GAUGE_RAILTYPE_NONE]],_xlfn.LAMBDA(_xlpm.r,OR(_xlpm.r))),FALSE)</f>
        <v>0</v>
      </c>
      <c r="AG209" s="38" t="b" cm="1">
        <f t="array" ref="AG209">IFERROR(_xlfn.BYROW(TRACK_TYPES[[#This Row],[TRACK_TYPE_BROAD_GAUGE_RAILTYPE_OHLE]:[TRACK_TYPE_BROAD_GAUGE_RAILTYPE_NONE]],_xlfn.LAMBDA(_xlpm.r,OR(_xlpm.r))),FALSE)</f>
        <v>0</v>
      </c>
      <c r="AH2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9"/>
      <c r="AQ209"/>
      <c r="AR209"/>
    </row>
    <row r="210" spans="1:44" x14ac:dyDescent="0.35">
      <c r="A210" s="2" t="s">
        <v>2847</v>
      </c>
      <c r="B210" s="40" t="str">
        <f>_xlfn.XLOOKUP(PROPERTIES[[#This Row],[VEHIDCODE]],CONTROL[VEHIDCODE],CONTROL[ENGLISH])</f>
        <v>EMD DDA40X</v>
      </c>
      <c r="J210" s="2" t="b">
        <v>1</v>
      </c>
      <c r="AC210" s="2"/>
      <c r="AD210" s="2" t="b">
        <f>LEN(_xlfn.CONCAT(TRACK_TYPES[[#This Row],[TRACK_TYPE_STANDARD_GAUGE_RAILTYPE_OHLE]:[TRACK_TYPE_MTRO]]))&gt;0</f>
        <v>1</v>
      </c>
      <c r="AE210" s="38" t="b" cm="1">
        <f t="array" ref="AE210">IFERROR(_xlfn.BYROW(TRACK_TYPES[[#This Row],[TRACK_TYPE_STANDARD_GAUGE_RAILTYPE_OHLE]:[TRACK_TYPE_STANDARD_GAUGE_RAILTYPE_NONE]],_xlfn.LAMBDA(_xlpm.r,OR(_xlpm.r))),FALSE)</f>
        <v>1</v>
      </c>
      <c r="AF210" s="38" t="b" cm="1">
        <f t="array" ref="AF210">IFERROR(_xlfn.BYROW(TRACK_TYPES[[#This Row],[TRACK_TYPE_NARROW_GAUGE_RAILTYPE_OHLE]:[TRACK_TYPE_NARROW_GAUGE_RAILTYPE_NONE]],_xlfn.LAMBDA(_xlpm.r,OR(_xlpm.r))),FALSE)</f>
        <v>0</v>
      </c>
      <c r="AG210" s="38" t="b" cm="1">
        <f t="array" ref="AG210">IFERROR(_xlfn.BYROW(TRACK_TYPES[[#This Row],[TRACK_TYPE_BROAD_GAUGE_RAILTYPE_OHLE]:[TRACK_TYPE_BROAD_GAUGE_RAILTYPE_NONE]],_xlfn.LAMBDA(_xlpm.r,OR(_xlpm.r))),FALSE)</f>
        <v>0</v>
      </c>
      <c r="AH2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0"/>
      <c r="AQ210"/>
      <c r="AR210"/>
    </row>
    <row r="211" spans="1:44" x14ac:dyDescent="0.35">
      <c r="A211" s="2" t="s">
        <v>2848</v>
      </c>
      <c r="B211" s="40" t="str">
        <f>_xlfn.XLOOKUP(PROPERTIES[[#This Row],[VEHIDCODE]],CONTROL[VEHIDCODE],CONTROL[ENGLISH])</f>
        <v>EMD/Clyde GL26C</v>
      </c>
      <c r="R211" s="2" t="b">
        <v>1</v>
      </c>
      <c r="AC211" s="2"/>
      <c r="AD211" s="2" t="b">
        <f>LEN(_xlfn.CONCAT(TRACK_TYPES[[#This Row],[TRACK_TYPE_STANDARD_GAUGE_RAILTYPE_OHLE]:[TRACK_TYPE_MTRO]]))&gt;0</f>
        <v>1</v>
      </c>
      <c r="AE211" s="38" t="b" cm="1">
        <f t="array" ref="AE211">IFERROR(_xlfn.BYROW(TRACK_TYPES[[#This Row],[TRACK_TYPE_STANDARD_GAUGE_RAILTYPE_OHLE]:[TRACK_TYPE_STANDARD_GAUGE_RAILTYPE_NONE]],_xlfn.LAMBDA(_xlpm.r,OR(_xlpm.r))),FALSE)</f>
        <v>0</v>
      </c>
      <c r="AF211" s="38" t="b" cm="1">
        <f t="array" ref="AF211">IFERROR(_xlfn.BYROW(TRACK_TYPES[[#This Row],[TRACK_TYPE_NARROW_GAUGE_RAILTYPE_OHLE]:[TRACK_TYPE_NARROW_GAUGE_RAILTYPE_NONE]],_xlfn.LAMBDA(_xlpm.r,OR(_xlpm.r))),FALSE)</f>
        <v>1</v>
      </c>
      <c r="AG211" s="38" t="b" cm="1">
        <f t="array" ref="AG211">IFERROR(_xlfn.BYROW(TRACK_TYPES[[#This Row],[TRACK_TYPE_BROAD_GAUGE_RAILTYPE_OHLE]:[TRACK_TYPE_BROAD_GAUGE_RAILTYPE_NONE]],_xlfn.LAMBDA(_xlpm.r,OR(_xlpm.r))),FALSE)</f>
        <v>0</v>
      </c>
      <c r="AH2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11"/>
      <c r="AQ211"/>
      <c r="AR211"/>
    </row>
    <row r="212" spans="1:44" x14ac:dyDescent="0.35">
      <c r="A212" s="2" t="s">
        <v>2849</v>
      </c>
      <c r="B212" s="40" t="str">
        <f>_xlfn.XLOOKUP(PROPERTIES[[#This Row],[VEHIDCODE]],CONTROL[VEHIDCODE],CONTROL[ENGLISH])</f>
        <v>EMD G26</v>
      </c>
      <c r="J212" s="2" t="b">
        <v>1</v>
      </c>
      <c r="R212" s="2" t="b">
        <v>1</v>
      </c>
      <c r="AC212" s="2"/>
      <c r="AD212" s="2" t="b">
        <f>LEN(_xlfn.CONCAT(TRACK_TYPES[[#This Row],[TRACK_TYPE_STANDARD_GAUGE_RAILTYPE_OHLE]:[TRACK_TYPE_MTRO]]))&gt;0</f>
        <v>1</v>
      </c>
      <c r="AE212" s="38" t="b" cm="1">
        <f t="array" ref="AE212">IFERROR(_xlfn.BYROW(TRACK_TYPES[[#This Row],[TRACK_TYPE_STANDARD_GAUGE_RAILTYPE_OHLE]:[TRACK_TYPE_STANDARD_GAUGE_RAILTYPE_NONE]],_xlfn.LAMBDA(_xlpm.r,OR(_xlpm.r))),FALSE)</f>
        <v>1</v>
      </c>
      <c r="AF212" s="38" t="b" cm="1">
        <f t="array" ref="AF212">IFERROR(_xlfn.BYROW(TRACK_TYPES[[#This Row],[TRACK_TYPE_NARROW_GAUGE_RAILTYPE_OHLE]:[TRACK_TYPE_NARROW_GAUGE_RAILTYPE_NONE]],_xlfn.LAMBDA(_xlpm.r,OR(_xlpm.r))),FALSE)</f>
        <v>1</v>
      </c>
      <c r="AG212" s="38" t="b" cm="1">
        <f t="array" ref="AG212">IFERROR(_xlfn.BYROW(TRACK_TYPES[[#This Row],[TRACK_TYPE_BROAD_GAUGE_RAILTYPE_OHLE]:[TRACK_TYPE_BROAD_GAUGE_RAILTYPE_NONE]],_xlfn.LAMBDA(_xlpm.r,OR(_xlpm.r))),FALSE)</f>
        <v>0</v>
      </c>
      <c r="AH2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2"/>
      <c r="AQ212"/>
      <c r="AR212"/>
    </row>
    <row r="213" spans="1:44" x14ac:dyDescent="0.35">
      <c r="A213" s="2" t="s">
        <v>2850</v>
      </c>
      <c r="B213" s="40" t="str">
        <f>_xlfn.XLOOKUP(PROPERTIES[[#This Row],[VEHIDCODE]],CONTROL[VEHIDCODE],CONTROL[ENGLISH])</f>
        <v>Henschel TGOJ V4</v>
      </c>
      <c r="J213" s="2" t="b">
        <v>1</v>
      </c>
      <c r="AC213" s="2"/>
      <c r="AD213" s="2" t="b">
        <f>LEN(_xlfn.CONCAT(TRACK_TYPES[[#This Row],[TRACK_TYPE_STANDARD_GAUGE_RAILTYPE_OHLE]:[TRACK_TYPE_MTRO]]))&gt;0</f>
        <v>1</v>
      </c>
      <c r="AE213" s="38" t="b" cm="1">
        <f t="array" ref="AE213">IFERROR(_xlfn.BYROW(TRACK_TYPES[[#This Row],[TRACK_TYPE_STANDARD_GAUGE_RAILTYPE_OHLE]:[TRACK_TYPE_STANDARD_GAUGE_RAILTYPE_NONE]],_xlfn.LAMBDA(_xlpm.r,OR(_xlpm.r))),FALSE)</f>
        <v>1</v>
      </c>
      <c r="AF213" s="38" t="b" cm="1">
        <f t="array" ref="AF213">IFERROR(_xlfn.BYROW(TRACK_TYPES[[#This Row],[TRACK_TYPE_NARROW_GAUGE_RAILTYPE_OHLE]:[TRACK_TYPE_NARROW_GAUGE_RAILTYPE_NONE]],_xlfn.LAMBDA(_xlpm.r,OR(_xlpm.r))),FALSE)</f>
        <v>0</v>
      </c>
      <c r="AG213" s="38" t="b" cm="1">
        <f t="array" ref="AG213">IFERROR(_xlfn.BYROW(TRACK_TYPES[[#This Row],[TRACK_TYPE_BROAD_GAUGE_RAILTYPE_OHLE]:[TRACK_TYPE_BROAD_GAUGE_RAILTYPE_NONE]],_xlfn.LAMBDA(_xlpm.r,OR(_xlpm.r))),FALSE)</f>
        <v>0</v>
      </c>
      <c r="AH2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3"/>
      <c r="AQ213"/>
      <c r="AR213"/>
    </row>
    <row r="214" spans="1:44" x14ac:dyDescent="0.35">
      <c r="A214" s="2" t="s">
        <v>2851</v>
      </c>
      <c r="B214" s="40" t="str">
        <f>_xlfn.XLOOKUP(PROPERTIES[[#This Row],[VEHIDCODE]],CONTROL[VEHIDCODE],CONTROL[ENGLISH])</f>
        <v>MLW M420W</v>
      </c>
      <c r="J214" s="2" t="b">
        <v>1</v>
      </c>
      <c r="AC214" s="2"/>
      <c r="AD214" s="2" t="b">
        <f>LEN(_xlfn.CONCAT(TRACK_TYPES[[#This Row],[TRACK_TYPE_STANDARD_GAUGE_RAILTYPE_OHLE]:[TRACK_TYPE_MTRO]]))&gt;0</f>
        <v>1</v>
      </c>
      <c r="AE214" s="38" t="b" cm="1">
        <f t="array" ref="AE214">IFERROR(_xlfn.BYROW(TRACK_TYPES[[#This Row],[TRACK_TYPE_STANDARD_GAUGE_RAILTYPE_OHLE]:[TRACK_TYPE_STANDARD_GAUGE_RAILTYPE_NONE]],_xlfn.LAMBDA(_xlpm.r,OR(_xlpm.r))),FALSE)</f>
        <v>1</v>
      </c>
      <c r="AF214" s="38" t="b" cm="1">
        <f t="array" ref="AF214">IFERROR(_xlfn.BYROW(TRACK_TYPES[[#This Row],[TRACK_TYPE_NARROW_GAUGE_RAILTYPE_OHLE]:[TRACK_TYPE_NARROW_GAUGE_RAILTYPE_NONE]],_xlfn.LAMBDA(_xlpm.r,OR(_xlpm.r))),FALSE)</f>
        <v>0</v>
      </c>
      <c r="AG214" s="38" t="b" cm="1">
        <f t="array" ref="AG214">IFERROR(_xlfn.BYROW(TRACK_TYPES[[#This Row],[TRACK_TYPE_BROAD_GAUGE_RAILTYPE_OHLE]:[TRACK_TYPE_BROAD_GAUGE_RAILTYPE_NONE]],_xlfn.LAMBDA(_xlpm.r,OR(_xlpm.r))),FALSE)</f>
        <v>0</v>
      </c>
      <c r="AH2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4"/>
      <c r="AQ214"/>
      <c r="AR214"/>
    </row>
    <row r="215" spans="1:44" x14ac:dyDescent="0.35">
      <c r="A215" s="2" t="s">
        <v>2852</v>
      </c>
      <c r="B215" s="40" t="str">
        <f>_xlfn.XLOOKUP(PROPERTIES[[#This Row],[VEHIDCODE]],CONTROL[VEHIDCODE],CONTROL[ENGLISH])</f>
        <v>EMD SDP-40F</v>
      </c>
      <c r="J215" s="2" t="b">
        <v>1</v>
      </c>
      <c r="AC215" s="2"/>
      <c r="AD215" s="2" t="b">
        <f>LEN(_xlfn.CONCAT(TRACK_TYPES[[#This Row],[TRACK_TYPE_STANDARD_GAUGE_RAILTYPE_OHLE]:[TRACK_TYPE_MTRO]]))&gt;0</f>
        <v>1</v>
      </c>
      <c r="AE215" s="38" t="b" cm="1">
        <f t="array" ref="AE215">IFERROR(_xlfn.BYROW(TRACK_TYPES[[#This Row],[TRACK_TYPE_STANDARD_GAUGE_RAILTYPE_OHLE]:[TRACK_TYPE_STANDARD_GAUGE_RAILTYPE_NONE]],_xlfn.LAMBDA(_xlpm.r,OR(_xlpm.r))),FALSE)</f>
        <v>1</v>
      </c>
      <c r="AF215" s="38" t="b" cm="1">
        <f t="array" ref="AF215">IFERROR(_xlfn.BYROW(TRACK_TYPES[[#This Row],[TRACK_TYPE_NARROW_GAUGE_RAILTYPE_OHLE]:[TRACK_TYPE_NARROW_GAUGE_RAILTYPE_NONE]],_xlfn.LAMBDA(_xlpm.r,OR(_xlpm.r))),FALSE)</f>
        <v>0</v>
      </c>
      <c r="AG215" s="38" t="b" cm="1">
        <f t="array" ref="AG215">IFERROR(_xlfn.BYROW(TRACK_TYPES[[#This Row],[TRACK_TYPE_BROAD_GAUGE_RAILTYPE_OHLE]:[TRACK_TYPE_BROAD_GAUGE_RAILTYPE_NONE]],_xlfn.LAMBDA(_xlpm.r,OR(_xlpm.r))),FALSE)</f>
        <v>0</v>
      </c>
      <c r="AH2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5"/>
      <c r="AQ215"/>
      <c r="AR215"/>
    </row>
    <row r="216" spans="1:44" x14ac:dyDescent="0.35">
      <c r="A216" s="2" t="s">
        <v>2853</v>
      </c>
      <c r="B216" s="40" t="str">
        <f>_xlfn.XLOOKUP(PROPERTIES[[#This Row],[VEHIDCODE]],CONTROL[VEHIDCODE],CONTROL[ENGLISH])</f>
        <v>Sifang DFH3</v>
      </c>
      <c r="J216" s="2" t="b">
        <v>1</v>
      </c>
      <c r="AC216" s="2"/>
      <c r="AD216" s="2" t="b">
        <f>LEN(_xlfn.CONCAT(TRACK_TYPES[[#This Row],[TRACK_TYPE_STANDARD_GAUGE_RAILTYPE_OHLE]:[TRACK_TYPE_MTRO]]))&gt;0</f>
        <v>1</v>
      </c>
      <c r="AE216" s="38" t="b" cm="1">
        <f t="array" ref="AE216">IFERROR(_xlfn.BYROW(TRACK_TYPES[[#This Row],[TRACK_TYPE_STANDARD_GAUGE_RAILTYPE_OHLE]:[TRACK_TYPE_STANDARD_GAUGE_RAILTYPE_NONE]],_xlfn.LAMBDA(_xlpm.r,OR(_xlpm.r))),FALSE)</f>
        <v>1</v>
      </c>
      <c r="AF216" s="38" t="b" cm="1">
        <f t="array" ref="AF216">IFERROR(_xlfn.BYROW(TRACK_TYPES[[#This Row],[TRACK_TYPE_NARROW_GAUGE_RAILTYPE_OHLE]:[TRACK_TYPE_NARROW_GAUGE_RAILTYPE_NONE]],_xlfn.LAMBDA(_xlpm.r,OR(_xlpm.r))),FALSE)</f>
        <v>0</v>
      </c>
      <c r="AG216" s="38" t="b" cm="1">
        <f t="array" ref="AG216">IFERROR(_xlfn.BYROW(TRACK_TYPES[[#This Row],[TRACK_TYPE_BROAD_GAUGE_RAILTYPE_OHLE]:[TRACK_TYPE_BROAD_GAUGE_RAILTYPE_NONE]],_xlfn.LAMBDA(_xlpm.r,OR(_xlpm.r))),FALSE)</f>
        <v>0</v>
      </c>
      <c r="AH2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6"/>
      <c r="AQ216"/>
      <c r="AR216"/>
    </row>
    <row r="217" spans="1:44" x14ac:dyDescent="0.35">
      <c r="A217" s="2" t="s">
        <v>2854</v>
      </c>
      <c r="B217" s="40" t="str">
        <f>_xlfn.XLOOKUP(PROPERTIES[[#This Row],[VEHIDCODE]],CONTROL[VEHIDCODE],CONTROL[ENGLISH])</f>
        <v>EMD F40PH</v>
      </c>
      <c r="J217" s="2" t="b">
        <v>1</v>
      </c>
      <c r="AC217" s="2"/>
      <c r="AD217" s="2" t="b">
        <f>LEN(_xlfn.CONCAT(TRACK_TYPES[[#This Row],[TRACK_TYPE_STANDARD_GAUGE_RAILTYPE_OHLE]:[TRACK_TYPE_MTRO]]))&gt;0</f>
        <v>1</v>
      </c>
      <c r="AE217" s="38" t="b" cm="1">
        <f t="array" ref="AE217">IFERROR(_xlfn.BYROW(TRACK_TYPES[[#This Row],[TRACK_TYPE_STANDARD_GAUGE_RAILTYPE_OHLE]:[TRACK_TYPE_STANDARD_GAUGE_RAILTYPE_NONE]],_xlfn.LAMBDA(_xlpm.r,OR(_xlpm.r))),FALSE)</f>
        <v>1</v>
      </c>
      <c r="AF217" s="38" t="b" cm="1">
        <f t="array" ref="AF217">IFERROR(_xlfn.BYROW(TRACK_TYPES[[#This Row],[TRACK_TYPE_NARROW_GAUGE_RAILTYPE_OHLE]:[TRACK_TYPE_NARROW_GAUGE_RAILTYPE_NONE]],_xlfn.LAMBDA(_xlpm.r,OR(_xlpm.r))),FALSE)</f>
        <v>0</v>
      </c>
      <c r="AG217" s="38" t="b" cm="1">
        <f t="array" ref="AG217">IFERROR(_xlfn.BYROW(TRACK_TYPES[[#This Row],[TRACK_TYPE_BROAD_GAUGE_RAILTYPE_OHLE]:[TRACK_TYPE_BROAD_GAUGE_RAILTYPE_NONE]],_xlfn.LAMBDA(_xlpm.r,OR(_xlpm.r))),FALSE)</f>
        <v>0</v>
      </c>
      <c r="AH2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7"/>
      <c r="AQ217"/>
      <c r="AR217"/>
    </row>
    <row r="218" spans="1:44" x14ac:dyDescent="0.35">
      <c r="A218" s="2" t="s">
        <v>2855</v>
      </c>
      <c r="B218" s="40" t="str">
        <f>_xlfn.XLOOKUP(PROPERTIES[[#This Row],[VEHIDCODE]],CONTROL[VEHIDCODE],CONTROL[ENGLISH])</f>
        <v>Sorefame/Alsthom 1900</v>
      </c>
      <c r="Z218" s="2" t="b">
        <v>1</v>
      </c>
      <c r="AC218" s="2"/>
      <c r="AD218" s="2" t="b">
        <f>LEN(_xlfn.CONCAT(TRACK_TYPES[[#This Row],[TRACK_TYPE_STANDARD_GAUGE_RAILTYPE_OHLE]:[TRACK_TYPE_MTRO]]))&gt;0</f>
        <v>1</v>
      </c>
      <c r="AE218" s="38" t="b" cm="1">
        <f t="array" ref="AE218">IFERROR(_xlfn.BYROW(TRACK_TYPES[[#This Row],[TRACK_TYPE_STANDARD_GAUGE_RAILTYPE_OHLE]:[TRACK_TYPE_STANDARD_GAUGE_RAILTYPE_NONE]],_xlfn.LAMBDA(_xlpm.r,OR(_xlpm.r))),FALSE)</f>
        <v>0</v>
      </c>
      <c r="AF218" s="38" t="b" cm="1">
        <f t="array" ref="AF218">IFERROR(_xlfn.BYROW(TRACK_TYPES[[#This Row],[TRACK_TYPE_NARROW_GAUGE_RAILTYPE_OHLE]:[TRACK_TYPE_NARROW_GAUGE_RAILTYPE_NONE]],_xlfn.LAMBDA(_xlpm.r,OR(_xlpm.r))),FALSE)</f>
        <v>0</v>
      </c>
      <c r="AG218" s="38" t="b" cm="1">
        <f t="array" ref="AG218">IFERROR(_xlfn.BYROW(TRACK_TYPES[[#This Row],[TRACK_TYPE_BROAD_GAUGE_RAILTYPE_OHLE]:[TRACK_TYPE_BROAD_GAUGE_RAILTYPE_NONE]],_xlfn.LAMBDA(_xlpm.r,OR(_xlpm.r))),FALSE)</f>
        <v>1</v>
      </c>
      <c r="AH2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18"/>
      <c r="AQ218"/>
      <c r="AR218"/>
    </row>
    <row r="219" spans="1:44" x14ac:dyDescent="0.35">
      <c r="A219" s="2" t="s">
        <v>2856</v>
      </c>
      <c r="B219" s="40" t="str">
        <f>_xlfn.XLOOKUP(PROPERTIES[[#This Row],[VEHIDCODE]],CONTROL[VEHIDCODE],CONTROL[ENGLISH])</f>
        <v>Valmet Oy Dr16</v>
      </c>
      <c r="Z219" s="2" t="b">
        <v>1</v>
      </c>
      <c r="AC219" s="2"/>
      <c r="AD219" s="2" t="b">
        <f>LEN(_xlfn.CONCAT(TRACK_TYPES[[#This Row],[TRACK_TYPE_STANDARD_GAUGE_RAILTYPE_OHLE]:[TRACK_TYPE_MTRO]]))&gt;0</f>
        <v>1</v>
      </c>
      <c r="AE219" s="38" t="b" cm="1">
        <f t="array" ref="AE219">IFERROR(_xlfn.BYROW(TRACK_TYPES[[#This Row],[TRACK_TYPE_STANDARD_GAUGE_RAILTYPE_OHLE]:[TRACK_TYPE_STANDARD_GAUGE_RAILTYPE_NONE]],_xlfn.LAMBDA(_xlpm.r,OR(_xlpm.r))),FALSE)</f>
        <v>0</v>
      </c>
      <c r="AF219" s="38" t="b" cm="1">
        <f t="array" ref="AF219">IFERROR(_xlfn.BYROW(TRACK_TYPES[[#This Row],[TRACK_TYPE_NARROW_GAUGE_RAILTYPE_OHLE]:[TRACK_TYPE_NARROW_GAUGE_RAILTYPE_NONE]],_xlfn.LAMBDA(_xlpm.r,OR(_xlpm.r))),FALSE)</f>
        <v>0</v>
      </c>
      <c r="AG219" s="38" t="b" cm="1">
        <f t="array" ref="AG219">IFERROR(_xlfn.BYROW(TRACK_TYPES[[#This Row],[TRACK_TYPE_BROAD_GAUGE_RAILTYPE_OHLE]:[TRACK_TYPE_BROAD_GAUGE_RAILTYPE_NONE]],_xlfn.LAMBDA(_xlpm.r,OR(_xlpm.r))),FALSE)</f>
        <v>1</v>
      </c>
      <c r="AH2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19"/>
      <c r="AQ219"/>
      <c r="AR219"/>
    </row>
    <row r="220" spans="1:44" x14ac:dyDescent="0.35">
      <c r="A220" s="2" t="s">
        <v>2857</v>
      </c>
      <c r="B220" s="40" t="str">
        <f>_xlfn.XLOOKUP(PROPERTIES[[#This Row],[VEHIDCODE]],CONTROL[VEHIDCODE],CONTROL[ENGLISH])</f>
        <v>Kolomna TEP80</v>
      </c>
      <c r="Z220" s="2" t="b">
        <v>1</v>
      </c>
      <c r="AC220" s="2"/>
      <c r="AD220" s="2" t="b">
        <f>LEN(_xlfn.CONCAT(TRACK_TYPES[[#This Row],[TRACK_TYPE_STANDARD_GAUGE_RAILTYPE_OHLE]:[TRACK_TYPE_MTRO]]))&gt;0</f>
        <v>1</v>
      </c>
      <c r="AE220" s="38" t="b" cm="1">
        <f t="array" ref="AE220">IFERROR(_xlfn.BYROW(TRACK_TYPES[[#This Row],[TRACK_TYPE_STANDARD_GAUGE_RAILTYPE_OHLE]:[TRACK_TYPE_STANDARD_GAUGE_RAILTYPE_NONE]],_xlfn.LAMBDA(_xlpm.r,OR(_xlpm.r))),FALSE)</f>
        <v>0</v>
      </c>
      <c r="AF220" s="38" t="b" cm="1">
        <f t="array" ref="AF220">IFERROR(_xlfn.BYROW(TRACK_TYPES[[#This Row],[TRACK_TYPE_NARROW_GAUGE_RAILTYPE_OHLE]:[TRACK_TYPE_NARROW_GAUGE_RAILTYPE_NONE]],_xlfn.LAMBDA(_xlpm.r,OR(_xlpm.r))),FALSE)</f>
        <v>0</v>
      </c>
      <c r="AG220" s="38" t="b" cm="1">
        <f t="array" ref="AG220">IFERROR(_xlfn.BYROW(TRACK_TYPES[[#This Row],[TRACK_TYPE_BROAD_GAUGE_RAILTYPE_OHLE]:[TRACK_TYPE_BROAD_GAUGE_RAILTYPE_NONE]],_xlfn.LAMBDA(_xlpm.r,OR(_xlpm.r))),FALSE)</f>
        <v>1</v>
      </c>
      <c r="AH2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20"/>
      <c r="AQ220"/>
      <c r="AR220"/>
    </row>
    <row r="221" spans="1:44" x14ac:dyDescent="0.35">
      <c r="A221" s="2" t="s">
        <v>2858</v>
      </c>
      <c r="B221" s="40" t="str">
        <f>_xlfn.XLOOKUP(PROPERTIES[[#This Row],[VEHIDCODE]],CONTROL[VEHIDCODE],CONTROL[ENGLISH])</f>
        <v>EMD/Clyde JT46C</v>
      </c>
      <c r="J221" s="2" t="b">
        <v>1</v>
      </c>
      <c r="AC221" s="2"/>
      <c r="AD221" s="2" t="b">
        <f>LEN(_xlfn.CONCAT(TRACK_TYPES[[#This Row],[TRACK_TYPE_STANDARD_GAUGE_RAILTYPE_OHLE]:[TRACK_TYPE_MTRO]]))&gt;0</f>
        <v>1</v>
      </c>
      <c r="AE221" s="38" t="b" cm="1">
        <f t="array" ref="AE221">IFERROR(_xlfn.BYROW(TRACK_TYPES[[#This Row],[TRACK_TYPE_STANDARD_GAUGE_RAILTYPE_OHLE]:[TRACK_TYPE_STANDARD_GAUGE_RAILTYPE_NONE]],_xlfn.LAMBDA(_xlpm.r,OR(_xlpm.r))),FALSE)</f>
        <v>1</v>
      </c>
      <c r="AF221" s="38" t="b" cm="1">
        <f t="array" ref="AF221">IFERROR(_xlfn.BYROW(TRACK_TYPES[[#This Row],[TRACK_TYPE_NARROW_GAUGE_RAILTYPE_OHLE]:[TRACK_TYPE_NARROW_GAUGE_RAILTYPE_NONE]],_xlfn.LAMBDA(_xlpm.r,OR(_xlpm.r))),FALSE)</f>
        <v>0</v>
      </c>
      <c r="AG221" s="38" t="b" cm="1">
        <f t="array" ref="AG221">IFERROR(_xlfn.BYROW(TRACK_TYPES[[#This Row],[TRACK_TYPE_BROAD_GAUGE_RAILTYPE_OHLE]:[TRACK_TYPE_BROAD_GAUGE_RAILTYPE_NONE]],_xlfn.LAMBDA(_xlpm.r,OR(_xlpm.r))),FALSE)</f>
        <v>0</v>
      </c>
      <c r="AH2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1"/>
      <c r="AQ221"/>
      <c r="AR221"/>
    </row>
    <row r="222" spans="1:44" x14ac:dyDescent="0.35">
      <c r="A222" s="2" t="s">
        <v>2859</v>
      </c>
      <c r="B222" s="40" t="str">
        <f>_xlfn.XLOOKUP(PROPERTIES[[#This Row],[VEHIDCODE]],CONTROL[VEHIDCODE],CONTROL[ENGLISH])</f>
        <v>GE P42DC 'Genesis'</v>
      </c>
      <c r="J222" s="2" t="b">
        <v>1</v>
      </c>
      <c r="AC222" s="2"/>
      <c r="AD222" s="2" t="b">
        <f>LEN(_xlfn.CONCAT(TRACK_TYPES[[#This Row],[TRACK_TYPE_STANDARD_GAUGE_RAILTYPE_OHLE]:[TRACK_TYPE_MTRO]]))&gt;0</f>
        <v>1</v>
      </c>
      <c r="AE222" s="38" t="b" cm="1">
        <f t="array" ref="AE222">IFERROR(_xlfn.BYROW(TRACK_TYPES[[#This Row],[TRACK_TYPE_STANDARD_GAUGE_RAILTYPE_OHLE]:[TRACK_TYPE_STANDARD_GAUGE_RAILTYPE_NONE]],_xlfn.LAMBDA(_xlpm.r,OR(_xlpm.r))),FALSE)</f>
        <v>1</v>
      </c>
      <c r="AF222" s="38" t="b" cm="1">
        <f t="array" ref="AF222">IFERROR(_xlfn.BYROW(TRACK_TYPES[[#This Row],[TRACK_TYPE_NARROW_GAUGE_RAILTYPE_OHLE]:[TRACK_TYPE_NARROW_GAUGE_RAILTYPE_NONE]],_xlfn.LAMBDA(_xlpm.r,OR(_xlpm.r))),FALSE)</f>
        <v>0</v>
      </c>
      <c r="AG222" s="38" t="b" cm="1">
        <f t="array" ref="AG222">IFERROR(_xlfn.BYROW(TRACK_TYPES[[#This Row],[TRACK_TYPE_BROAD_GAUGE_RAILTYPE_OHLE]:[TRACK_TYPE_BROAD_GAUGE_RAILTYPE_NONE]],_xlfn.LAMBDA(_xlpm.r,OR(_xlpm.r))),FALSE)</f>
        <v>0</v>
      </c>
      <c r="AH2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2"/>
      <c r="AQ222"/>
      <c r="AR222"/>
    </row>
    <row r="223" spans="1:44" x14ac:dyDescent="0.35">
      <c r="A223" s="2" t="s">
        <v>2860</v>
      </c>
      <c r="B223" s="40" t="str">
        <f>_xlfn.XLOOKUP(PROPERTIES[[#This Row],[VEHIDCODE]],CONTROL[VEHIDCODE],CONTROL[ENGLISH])</f>
        <v>Tulomsas TCDD DH7000</v>
      </c>
      <c r="J223" s="2" t="b">
        <v>1</v>
      </c>
      <c r="AC223" s="2"/>
      <c r="AD223" s="2" t="b">
        <f>LEN(_xlfn.CONCAT(TRACK_TYPES[[#This Row],[TRACK_TYPE_STANDARD_GAUGE_RAILTYPE_OHLE]:[TRACK_TYPE_MTRO]]))&gt;0</f>
        <v>1</v>
      </c>
      <c r="AE223" s="38" t="b" cm="1">
        <f t="array" ref="AE223">IFERROR(_xlfn.BYROW(TRACK_TYPES[[#This Row],[TRACK_TYPE_STANDARD_GAUGE_RAILTYPE_OHLE]:[TRACK_TYPE_STANDARD_GAUGE_RAILTYPE_NONE]],_xlfn.LAMBDA(_xlpm.r,OR(_xlpm.r))),FALSE)</f>
        <v>1</v>
      </c>
      <c r="AF223" s="38" t="b" cm="1">
        <f t="array" ref="AF223">IFERROR(_xlfn.BYROW(TRACK_TYPES[[#This Row],[TRACK_TYPE_NARROW_GAUGE_RAILTYPE_OHLE]:[TRACK_TYPE_NARROW_GAUGE_RAILTYPE_NONE]],_xlfn.LAMBDA(_xlpm.r,OR(_xlpm.r))),FALSE)</f>
        <v>0</v>
      </c>
      <c r="AG223" s="38" t="b" cm="1">
        <f t="array" ref="AG223">IFERROR(_xlfn.BYROW(TRACK_TYPES[[#This Row],[TRACK_TYPE_BROAD_GAUGE_RAILTYPE_OHLE]:[TRACK_TYPE_BROAD_GAUGE_RAILTYPE_NONE]],_xlfn.LAMBDA(_xlpm.r,OR(_xlpm.r))),FALSE)</f>
        <v>0</v>
      </c>
      <c r="AH2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3"/>
      <c r="AQ223"/>
      <c r="AR223"/>
    </row>
    <row r="224" spans="1:44" x14ac:dyDescent="0.35">
      <c r="A224" s="2" t="s">
        <v>2861</v>
      </c>
      <c r="B224" s="40" t="str">
        <f>_xlfn.XLOOKUP(PROPERTIES[[#This Row],[VEHIDCODE]],CONTROL[VEHIDCODE],CONTROL[ENGLISH])</f>
        <v>GE U20C</v>
      </c>
      <c r="J224" s="2" t="b">
        <v>1</v>
      </c>
      <c r="R224" s="2" t="b">
        <v>1</v>
      </c>
      <c r="Z224" s="2" t="b">
        <v>1</v>
      </c>
      <c r="AC224" s="2"/>
      <c r="AD224" s="2" t="b">
        <f>LEN(_xlfn.CONCAT(TRACK_TYPES[[#This Row],[TRACK_TYPE_STANDARD_GAUGE_RAILTYPE_OHLE]:[TRACK_TYPE_MTRO]]))&gt;0</f>
        <v>1</v>
      </c>
      <c r="AE224" s="38" t="b" cm="1">
        <f t="array" ref="AE224">IFERROR(_xlfn.BYROW(TRACK_TYPES[[#This Row],[TRACK_TYPE_STANDARD_GAUGE_RAILTYPE_OHLE]:[TRACK_TYPE_STANDARD_GAUGE_RAILTYPE_NONE]],_xlfn.LAMBDA(_xlpm.r,OR(_xlpm.r))),FALSE)</f>
        <v>1</v>
      </c>
      <c r="AF224" s="38" t="b" cm="1">
        <f t="array" ref="AF224">IFERROR(_xlfn.BYROW(TRACK_TYPES[[#This Row],[TRACK_TYPE_NARROW_GAUGE_RAILTYPE_OHLE]:[TRACK_TYPE_NARROW_GAUGE_RAILTYPE_NONE]],_xlfn.LAMBDA(_xlpm.r,OR(_xlpm.r))),FALSE)</f>
        <v>1</v>
      </c>
      <c r="AG224" s="38" t="b" cm="1">
        <f t="array" ref="AG224">IFERROR(_xlfn.BYROW(TRACK_TYPES[[#This Row],[TRACK_TYPE_BROAD_GAUGE_RAILTYPE_OHLE]:[TRACK_TYPE_BROAD_GAUGE_RAILTYPE_NONE]],_xlfn.LAMBDA(_xlpm.r,OR(_xlpm.r))),FALSE)</f>
        <v>1</v>
      </c>
      <c r="AH2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4"/>
      <c r="AQ224"/>
      <c r="AR224"/>
    </row>
    <row r="225" spans="1:44" x14ac:dyDescent="0.35">
      <c r="A225" s="2" t="s">
        <v>3442</v>
      </c>
      <c r="B225" s="40" t="str">
        <f>_xlfn.XLOOKUP(PROPERTIES[[#This Row],[VEHIDCODE]],CONTROL[VEHIDCODE],CONTROL[ENGLISH])</f>
        <v>Vossloh Siemens serie 77/78</v>
      </c>
      <c r="J225" s="2" t="b">
        <v>1</v>
      </c>
      <c r="AC225" s="2"/>
      <c r="AD225" s="2" t="b">
        <f>LEN(_xlfn.CONCAT(TRACK_TYPES[[#This Row],[TRACK_TYPE_STANDARD_GAUGE_RAILTYPE_OHLE]:[TRACK_TYPE_MTRO]]))&gt;0</f>
        <v>1</v>
      </c>
      <c r="AE225" s="38" t="b" cm="1">
        <f t="array" ref="AE225">IFERROR(_xlfn.BYROW(TRACK_TYPES[[#This Row],[TRACK_TYPE_STANDARD_GAUGE_RAILTYPE_OHLE]:[TRACK_TYPE_STANDARD_GAUGE_RAILTYPE_NONE]],_xlfn.LAMBDA(_xlpm.r,OR(_xlpm.r))),FALSE)</f>
        <v>1</v>
      </c>
      <c r="AF225" s="38" t="b" cm="1">
        <f t="array" ref="AF225">IFERROR(_xlfn.BYROW(TRACK_TYPES[[#This Row],[TRACK_TYPE_NARROW_GAUGE_RAILTYPE_OHLE]:[TRACK_TYPE_NARROW_GAUGE_RAILTYPE_NONE]],_xlfn.LAMBDA(_xlpm.r,OR(_xlpm.r))),FALSE)</f>
        <v>0</v>
      </c>
      <c r="AG225" s="38" t="b" cm="1">
        <f t="array" ref="AG225">IFERROR(_xlfn.BYROW(TRACK_TYPES[[#This Row],[TRACK_TYPE_BROAD_GAUGE_RAILTYPE_OHLE]:[TRACK_TYPE_BROAD_GAUGE_RAILTYPE_NONE]],_xlfn.LAMBDA(_xlpm.r,OR(_xlpm.r))),FALSE)</f>
        <v>0</v>
      </c>
      <c r="AH2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5"/>
      <c r="AQ225"/>
      <c r="AR225"/>
    </row>
    <row r="226" spans="1:44" x14ac:dyDescent="0.35">
      <c r="A226" s="2" t="s">
        <v>2862</v>
      </c>
      <c r="B226" s="40" t="str">
        <f>_xlfn.XLOOKUP(PROPERTIES[[#This Row],[VEHIDCODE]],CONTROL[VEHIDCODE],CONTROL[ENGLISH])</f>
        <v>EMD JT42CWRM</v>
      </c>
      <c r="J226" s="2" t="b">
        <v>1</v>
      </c>
      <c r="AC226" s="2"/>
      <c r="AD226" s="2" t="b">
        <f>LEN(_xlfn.CONCAT(TRACK_TYPES[[#This Row],[TRACK_TYPE_STANDARD_GAUGE_RAILTYPE_OHLE]:[TRACK_TYPE_MTRO]]))&gt;0</f>
        <v>1</v>
      </c>
      <c r="AE226" s="38" t="b" cm="1">
        <f t="array" ref="AE226">IFERROR(_xlfn.BYROW(TRACK_TYPES[[#This Row],[TRACK_TYPE_STANDARD_GAUGE_RAILTYPE_OHLE]:[TRACK_TYPE_STANDARD_GAUGE_RAILTYPE_NONE]],_xlfn.LAMBDA(_xlpm.r,OR(_xlpm.r))),FALSE)</f>
        <v>1</v>
      </c>
      <c r="AF226" s="38" t="b" cm="1">
        <f t="array" ref="AF226">IFERROR(_xlfn.BYROW(TRACK_TYPES[[#This Row],[TRACK_TYPE_NARROW_GAUGE_RAILTYPE_OHLE]:[TRACK_TYPE_NARROW_GAUGE_RAILTYPE_NONE]],_xlfn.LAMBDA(_xlpm.r,OR(_xlpm.r))),FALSE)</f>
        <v>0</v>
      </c>
      <c r="AG226" s="38" t="b" cm="1">
        <f t="array" ref="AG226">IFERROR(_xlfn.BYROW(TRACK_TYPES[[#This Row],[TRACK_TYPE_BROAD_GAUGE_RAILTYPE_OHLE]:[TRACK_TYPE_BROAD_GAUGE_RAILTYPE_NONE]],_xlfn.LAMBDA(_xlpm.r,OR(_xlpm.r))),FALSE)</f>
        <v>0</v>
      </c>
      <c r="AH2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6"/>
      <c r="AQ226"/>
      <c r="AR226"/>
    </row>
    <row r="227" spans="1:44" x14ac:dyDescent="0.35">
      <c r="A227" s="2" t="s">
        <v>2863</v>
      </c>
      <c r="B227" s="40" t="str">
        <f>_xlfn.XLOOKUP(PROPERTIES[[#This Row],[VEHIDCODE]],CONTROL[VEHIDCODE],CONTROL[ENGLISH])</f>
        <v>EMD JT42HW-HS</v>
      </c>
      <c r="J227" s="2" t="b">
        <v>1</v>
      </c>
      <c r="AC227" s="2"/>
      <c r="AD227" s="2" t="b">
        <f>LEN(_xlfn.CONCAT(TRACK_TYPES[[#This Row],[TRACK_TYPE_STANDARD_GAUGE_RAILTYPE_OHLE]:[TRACK_TYPE_MTRO]]))&gt;0</f>
        <v>1</v>
      </c>
      <c r="AE227" s="38" t="b" cm="1">
        <f t="array" ref="AE227">IFERROR(_xlfn.BYROW(TRACK_TYPES[[#This Row],[TRACK_TYPE_STANDARD_GAUGE_RAILTYPE_OHLE]:[TRACK_TYPE_STANDARD_GAUGE_RAILTYPE_NONE]],_xlfn.LAMBDA(_xlpm.r,OR(_xlpm.r))),FALSE)</f>
        <v>1</v>
      </c>
      <c r="AF227" s="38" t="b" cm="1">
        <f t="array" ref="AF227">IFERROR(_xlfn.BYROW(TRACK_TYPES[[#This Row],[TRACK_TYPE_NARROW_GAUGE_RAILTYPE_OHLE]:[TRACK_TYPE_NARROW_GAUGE_RAILTYPE_NONE]],_xlfn.LAMBDA(_xlpm.r,OR(_xlpm.r))),FALSE)</f>
        <v>0</v>
      </c>
      <c r="AG227" s="38" t="b" cm="1">
        <f t="array" ref="AG227">IFERROR(_xlfn.BYROW(TRACK_TYPES[[#This Row],[TRACK_TYPE_BROAD_GAUGE_RAILTYPE_OHLE]:[TRACK_TYPE_BROAD_GAUGE_RAILTYPE_NONE]],_xlfn.LAMBDA(_xlpm.r,OR(_xlpm.r))),FALSE)</f>
        <v>0</v>
      </c>
      <c r="AH2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7"/>
      <c r="AQ227"/>
      <c r="AR227"/>
    </row>
    <row r="228" spans="1:44" x14ac:dyDescent="0.35">
      <c r="A228" s="2" t="s">
        <v>2864</v>
      </c>
      <c r="B228" s="40" t="str">
        <f>_xlfn.XLOOKUP(PROPERTIES[[#This Row],[VEHIDCODE]],CONTROL[VEHIDCODE],CONTROL[ENGLISH])</f>
        <v>Alstom DE43CA 'Prima'</v>
      </c>
      <c r="J228" s="2" t="b">
        <v>1</v>
      </c>
      <c r="AC228" s="2"/>
      <c r="AD228" s="2" t="b">
        <f>LEN(_xlfn.CONCAT(TRACK_TYPES[[#This Row],[TRACK_TYPE_STANDARD_GAUGE_RAILTYPE_OHLE]:[TRACK_TYPE_MTRO]]))&gt;0</f>
        <v>1</v>
      </c>
      <c r="AE228" s="38" t="b" cm="1">
        <f t="array" ref="AE228">IFERROR(_xlfn.BYROW(TRACK_TYPES[[#This Row],[TRACK_TYPE_STANDARD_GAUGE_RAILTYPE_OHLE]:[TRACK_TYPE_STANDARD_GAUGE_RAILTYPE_NONE]],_xlfn.LAMBDA(_xlpm.r,OR(_xlpm.r))),FALSE)</f>
        <v>1</v>
      </c>
      <c r="AF228" s="38" t="b" cm="1">
        <f t="array" ref="AF228">IFERROR(_xlfn.BYROW(TRACK_TYPES[[#This Row],[TRACK_TYPE_NARROW_GAUGE_RAILTYPE_OHLE]:[TRACK_TYPE_NARROW_GAUGE_RAILTYPE_NONE]],_xlfn.LAMBDA(_xlpm.r,OR(_xlpm.r))),FALSE)</f>
        <v>0</v>
      </c>
      <c r="AG228" s="38" t="b" cm="1">
        <f t="array" ref="AG228">IFERROR(_xlfn.BYROW(TRACK_TYPES[[#This Row],[TRACK_TYPE_BROAD_GAUGE_RAILTYPE_OHLE]:[TRACK_TYPE_BROAD_GAUGE_RAILTYPE_NONE]],_xlfn.LAMBDA(_xlpm.r,OR(_xlpm.r))),FALSE)</f>
        <v>0</v>
      </c>
      <c r="AH2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8"/>
      <c r="AQ228"/>
      <c r="AR228"/>
    </row>
    <row r="229" spans="1:44" x14ac:dyDescent="0.35">
      <c r="A229" s="2" t="s">
        <v>2865</v>
      </c>
      <c r="B229" s="40" t="str">
        <f>_xlfn.XLOOKUP(PROPERTIES[[#This Row],[VEHIDCODE]],CONTROL[VEHIDCODE],CONTROL[ENGLISH])</f>
        <v>LTZ TEP150</v>
      </c>
      <c r="Z229" s="2" t="b">
        <v>1</v>
      </c>
      <c r="AC229" s="2"/>
      <c r="AD229" s="2" t="b">
        <f>LEN(_xlfn.CONCAT(TRACK_TYPES[[#This Row],[TRACK_TYPE_STANDARD_GAUGE_RAILTYPE_OHLE]:[TRACK_TYPE_MTRO]]))&gt;0</f>
        <v>1</v>
      </c>
      <c r="AE229" s="38" t="b" cm="1">
        <f t="array" ref="AE229">IFERROR(_xlfn.BYROW(TRACK_TYPES[[#This Row],[TRACK_TYPE_STANDARD_GAUGE_RAILTYPE_OHLE]:[TRACK_TYPE_STANDARD_GAUGE_RAILTYPE_NONE]],_xlfn.LAMBDA(_xlpm.r,OR(_xlpm.r))),FALSE)</f>
        <v>0</v>
      </c>
      <c r="AF229" s="38" t="b" cm="1">
        <f t="array" ref="AF229">IFERROR(_xlfn.BYROW(TRACK_TYPES[[#This Row],[TRACK_TYPE_NARROW_GAUGE_RAILTYPE_OHLE]:[TRACK_TYPE_NARROW_GAUGE_RAILTYPE_NONE]],_xlfn.LAMBDA(_xlpm.r,OR(_xlpm.r))),FALSE)</f>
        <v>0</v>
      </c>
      <c r="AG229" s="38" t="b" cm="1">
        <f t="array" ref="AG229">IFERROR(_xlfn.BYROW(TRACK_TYPES[[#This Row],[TRACK_TYPE_BROAD_GAUGE_RAILTYPE_OHLE]:[TRACK_TYPE_BROAD_GAUGE_RAILTYPE_NONE]],_xlfn.LAMBDA(_xlpm.r,OR(_xlpm.r))),FALSE)</f>
        <v>1</v>
      </c>
      <c r="AH2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29"/>
      <c r="AQ229"/>
      <c r="AR229"/>
    </row>
    <row r="230" spans="1:44" x14ac:dyDescent="0.35">
      <c r="A230" s="2" t="s">
        <v>2866</v>
      </c>
      <c r="B230" s="40" t="str">
        <f>_xlfn.XLOOKUP(PROPERTIES[[#This Row],[VEHIDCODE]],CONTROL[VEHIDCODE],CONTROL[ENGLISH])</f>
        <v>GE/CRRC Qishuyan ES59ACi</v>
      </c>
      <c r="J230" s="2" t="b">
        <v>1</v>
      </c>
      <c r="AC230" s="2"/>
      <c r="AD230" s="2" t="b">
        <f>LEN(_xlfn.CONCAT(TRACK_TYPES[[#This Row],[TRACK_TYPE_STANDARD_GAUGE_RAILTYPE_OHLE]:[TRACK_TYPE_MTRO]]))&gt;0</f>
        <v>1</v>
      </c>
      <c r="AE230" s="38" t="b" cm="1">
        <f t="array" ref="AE230">IFERROR(_xlfn.BYROW(TRACK_TYPES[[#This Row],[TRACK_TYPE_STANDARD_GAUGE_RAILTYPE_OHLE]:[TRACK_TYPE_STANDARD_GAUGE_RAILTYPE_NONE]],_xlfn.LAMBDA(_xlpm.r,OR(_xlpm.r))),FALSE)</f>
        <v>1</v>
      </c>
      <c r="AF230" s="38" t="b" cm="1">
        <f t="array" ref="AF230">IFERROR(_xlfn.BYROW(TRACK_TYPES[[#This Row],[TRACK_TYPE_NARROW_GAUGE_RAILTYPE_OHLE]:[TRACK_TYPE_NARROW_GAUGE_RAILTYPE_NONE]],_xlfn.LAMBDA(_xlpm.r,OR(_xlpm.r))),FALSE)</f>
        <v>0</v>
      </c>
      <c r="AG230" s="38" t="b" cm="1">
        <f t="array" ref="AG230">IFERROR(_xlfn.BYROW(TRACK_TYPES[[#This Row],[TRACK_TYPE_BROAD_GAUGE_RAILTYPE_OHLE]:[TRACK_TYPE_BROAD_GAUGE_RAILTYPE_NONE]],_xlfn.LAMBDA(_xlpm.r,OR(_xlpm.r))),FALSE)</f>
        <v>0</v>
      </c>
      <c r="AH2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0"/>
      <c r="AQ230"/>
      <c r="AR230"/>
    </row>
    <row r="231" spans="1:44" x14ac:dyDescent="0.35">
      <c r="A231" s="2" t="s">
        <v>2867</v>
      </c>
      <c r="B231" s="40" t="str">
        <f>_xlfn.XLOOKUP(PROPERTIES[[#This Row],[VEHIDCODE]],CONTROL[VEHIDCODE],CONTROL[ENGLISH])</f>
        <v>Voith Gravita 10 BB</v>
      </c>
      <c r="J231" s="2" t="b">
        <v>1</v>
      </c>
      <c r="AC231" s="2"/>
      <c r="AD231" s="2" t="b">
        <f>LEN(_xlfn.CONCAT(TRACK_TYPES[[#This Row],[TRACK_TYPE_STANDARD_GAUGE_RAILTYPE_OHLE]:[TRACK_TYPE_MTRO]]))&gt;0</f>
        <v>1</v>
      </c>
      <c r="AE231" s="38" t="b" cm="1">
        <f t="array" ref="AE231">IFERROR(_xlfn.BYROW(TRACK_TYPES[[#This Row],[TRACK_TYPE_STANDARD_GAUGE_RAILTYPE_OHLE]:[TRACK_TYPE_STANDARD_GAUGE_RAILTYPE_NONE]],_xlfn.LAMBDA(_xlpm.r,OR(_xlpm.r))),FALSE)</f>
        <v>1</v>
      </c>
      <c r="AF231" s="38" t="b" cm="1">
        <f t="array" ref="AF231">IFERROR(_xlfn.BYROW(TRACK_TYPES[[#This Row],[TRACK_TYPE_NARROW_GAUGE_RAILTYPE_OHLE]:[TRACK_TYPE_NARROW_GAUGE_RAILTYPE_NONE]],_xlfn.LAMBDA(_xlpm.r,OR(_xlpm.r))),FALSE)</f>
        <v>0</v>
      </c>
      <c r="AG231" s="38" t="b" cm="1">
        <f t="array" ref="AG231">IFERROR(_xlfn.BYROW(TRACK_TYPES[[#This Row],[TRACK_TYPE_BROAD_GAUGE_RAILTYPE_OHLE]:[TRACK_TYPE_BROAD_GAUGE_RAILTYPE_NONE]],_xlfn.LAMBDA(_xlpm.r,OR(_xlpm.r))),FALSE)</f>
        <v>0</v>
      </c>
      <c r="AH2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1"/>
      <c r="AQ231"/>
      <c r="AR231"/>
    </row>
    <row r="232" spans="1:44" x14ac:dyDescent="0.35">
      <c r="A232" s="2" t="s">
        <v>2868</v>
      </c>
      <c r="B232" s="40" t="str">
        <f>_xlfn.XLOOKUP(PROPERTIES[[#This Row],[VEHIDCODE]],CONTROL[VEHIDCODE],CONTROL[ENGLISH])</f>
        <v>Voronezh/VNIIZHT GT1</v>
      </c>
      <c r="Z232" s="2" t="b">
        <v>1</v>
      </c>
      <c r="AC232" s="2"/>
      <c r="AD232" s="2" t="b">
        <f>LEN(_xlfn.CONCAT(TRACK_TYPES[[#This Row],[TRACK_TYPE_STANDARD_GAUGE_RAILTYPE_OHLE]:[TRACK_TYPE_MTRO]]))&gt;0</f>
        <v>1</v>
      </c>
      <c r="AE232" s="38" t="b" cm="1">
        <f t="array" ref="AE232">IFERROR(_xlfn.BYROW(TRACK_TYPES[[#This Row],[TRACK_TYPE_STANDARD_GAUGE_RAILTYPE_OHLE]:[TRACK_TYPE_STANDARD_GAUGE_RAILTYPE_NONE]],_xlfn.LAMBDA(_xlpm.r,OR(_xlpm.r))),FALSE)</f>
        <v>0</v>
      </c>
      <c r="AF232" s="38" t="b" cm="1">
        <f t="array" ref="AF232">IFERROR(_xlfn.BYROW(TRACK_TYPES[[#This Row],[TRACK_TYPE_NARROW_GAUGE_RAILTYPE_OHLE]:[TRACK_TYPE_NARROW_GAUGE_RAILTYPE_NONE]],_xlfn.LAMBDA(_xlpm.r,OR(_xlpm.r))),FALSE)</f>
        <v>0</v>
      </c>
      <c r="AG232" s="38" t="b" cm="1">
        <f t="array" ref="AG232">IFERROR(_xlfn.BYROW(TRACK_TYPES[[#This Row],[TRACK_TYPE_BROAD_GAUGE_RAILTYPE_OHLE]:[TRACK_TYPE_BROAD_GAUGE_RAILTYPE_NONE]],_xlfn.LAMBDA(_xlpm.r,OR(_xlpm.r))),FALSE)</f>
        <v>1</v>
      </c>
      <c r="AH2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32"/>
      <c r="AQ232"/>
      <c r="AR232"/>
    </row>
    <row r="233" spans="1:44" x14ac:dyDescent="0.35">
      <c r="A233" s="2" t="s">
        <v>2869</v>
      </c>
      <c r="B233" s="40" t="str">
        <f>_xlfn.XLOOKUP(PROPERTIES[[#This Row],[VEHIDCODE]],CONTROL[VEHIDCODE],CONTROL[ENGLISH])</f>
        <v>Siemens ER20 'Eurorunner'</v>
      </c>
      <c r="J233" s="2" t="b">
        <v>1</v>
      </c>
      <c r="AC233" s="2"/>
      <c r="AD233" s="2" t="b">
        <f>LEN(_xlfn.CONCAT(TRACK_TYPES[[#This Row],[TRACK_TYPE_STANDARD_GAUGE_RAILTYPE_OHLE]:[TRACK_TYPE_MTRO]]))&gt;0</f>
        <v>1</v>
      </c>
      <c r="AE233" s="38" t="b" cm="1">
        <f t="array" ref="AE233">IFERROR(_xlfn.BYROW(TRACK_TYPES[[#This Row],[TRACK_TYPE_STANDARD_GAUGE_RAILTYPE_OHLE]:[TRACK_TYPE_STANDARD_GAUGE_RAILTYPE_NONE]],_xlfn.LAMBDA(_xlpm.r,OR(_xlpm.r))),FALSE)</f>
        <v>1</v>
      </c>
      <c r="AF233" s="38" t="b" cm="1">
        <f t="array" ref="AF233">IFERROR(_xlfn.BYROW(TRACK_TYPES[[#This Row],[TRACK_TYPE_NARROW_GAUGE_RAILTYPE_OHLE]:[TRACK_TYPE_NARROW_GAUGE_RAILTYPE_NONE]],_xlfn.LAMBDA(_xlpm.r,OR(_xlpm.r))),FALSE)</f>
        <v>0</v>
      </c>
      <c r="AG233" s="38" t="b" cm="1">
        <f t="array" ref="AG233">IFERROR(_xlfn.BYROW(TRACK_TYPES[[#This Row],[TRACK_TYPE_BROAD_GAUGE_RAILTYPE_OHLE]:[TRACK_TYPE_BROAD_GAUGE_RAILTYPE_NONE]],_xlfn.LAMBDA(_xlpm.r,OR(_xlpm.r))),FALSE)</f>
        <v>0</v>
      </c>
      <c r="AH2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3"/>
      <c r="AQ233"/>
      <c r="AR233"/>
    </row>
    <row r="234" spans="1:44" x14ac:dyDescent="0.35">
      <c r="A234" s="2" t="s">
        <v>2870</v>
      </c>
      <c r="B234" s="40" t="str">
        <f>_xlfn.XLOOKUP(PROPERTIES[[#This Row],[VEHIDCODE]],CONTROL[VEHIDCODE],CONTROL[ENGLISH])</f>
        <v>Voith Maxima 40 CC</v>
      </c>
      <c r="J234" s="2" t="b">
        <v>1</v>
      </c>
      <c r="AC234" s="2"/>
      <c r="AD234" s="2" t="b">
        <f>LEN(_xlfn.CONCAT(TRACK_TYPES[[#This Row],[TRACK_TYPE_STANDARD_GAUGE_RAILTYPE_OHLE]:[TRACK_TYPE_MTRO]]))&gt;0</f>
        <v>1</v>
      </c>
      <c r="AE234" s="38" t="b" cm="1">
        <f t="array" ref="AE234">IFERROR(_xlfn.BYROW(TRACK_TYPES[[#This Row],[TRACK_TYPE_STANDARD_GAUGE_RAILTYPE_OHLE]:[TRACK_TYPE_STANDARD_GAUGE_RAILTYPE_NONE]],_xlfn.LAMBDA(_xlpm.r,OR(_xlpm.r))),FALSE)</f>
        <v>1</v>
      </c>
      <c r="AF234" s="38" t="b" cm="1">
        <f t="array" ref="AF234">IFERROR(_xlfn.BYROW(TRACK_TYPES[[#This Row],[TRACK_TYPE_NARROW_GAUGE_RAILTYPE_OHLE]:[TRACK_TYPE_NARROW_GAUGE_RAILTYPE_NONE]],_xlfn.LAMBDA(_xlpm.r,OR(_xlpm.r))),FALSE)</f>
        <v>0</v>
      </c>
      <c r="AG234" s="38" t="b" cm="1">
        <f t="array" ref="AG234">IFERROR(_xlfn.BYROW(TRACK_TYPES[[#This Row],[TRACK_TYPE_BROAD_GAUGE_RAILTYPE_OHLE]:[TRACK_TYPE_BROAD_GAUGE_RAILTYPE_NONE]],_xlfn.LAMBDA(_xlpm.r,OR(_xlpm.r))),FALSE)</f>
        <v>0</v>
      </c>
      <c r="AH2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4"/>
      <c r="AQ234"/>
      <c r="AR234"/>
    </row>
    <row r="235" spans="1:44" x14ac:dyDescent="0.35">
      <c r="A235" s="2" t="s">
        <v>2871</v>
      </c>
      <c r="B235" s="40" t="str">
        <f>_xlfn.XLOOKUP(PROPERTIES[[#This Row],[VEHIDCODE]],CONTROL[VEHIDCODE],CONTROL[ENGLISH])</f>
        <v>Hohenzollern Emch3</v>
      </c>
      <c r="Z235" s="2" t="b">
        <v>1</v>
      </c>
      <c r="AC235" s="2"/>
      <c r="AD235" s="2" t="b">
        <f>LEN(_xlfn.CONCAT(TRACK_TYPES[[#This Row],[TRACK_TYPE_STANDARD_GAUGE_RAILTYPE_OHLE]:[TRACK_TYPE_MTRO]]))&gt;0</f>
        <v>1</v>
      </c>
      <c r="AE235" s="38" t="b" cm="1">
        <f t="array" ref="AE235">IFERROR(_xlfn.BYROW(TRACK_TYPES[[#This Row],[TRACK_TYPE_STANDARD_GAUGE_RAILTYPE_OHLE]:[TRACK_TYPE_STANDARD_GAUGE_RAILTYPE_NONE]],_xlfn.LAMBDA(_xlpm.r,OR(_xlpm.r))),FALSE)</f>
        <v>0</v>
      </c>
      <c r="AF235" s="38" t="b" cm="1">
        <f t="array" ref="AF235">IFERROR(_xlfn.BYROW(TRACK_TYPES[[#This Row],[TRACK_TYPE_NARROW_GAUGE_RAILTYPE_OHLE]:[TRACK_TYPE_NARROW_GAUGE_RAILTYPE_NONE]],_xlfn.LAMBDA(_xlpm.r,OR(_xlpm.r))),FALSE)</f>
        <v>0</v>
      </c>
      <c r="AG235" s="38" t="b" cm="1">
        <f t="array" ref="AG235">IFERROR(_xlfn.BYROW(TRACK_TYPES[[#This Row],[TRACK_TYPE_BROAD_GAUGE_RAILTYPE_OHLE]:[TRACK_TYPE_BROAD_GAUGE_RAILTYPE_NONE]],_xlfn.LAMBDA(_xlpm.r,OR(_xlpm.r))),FALSE)</f>
        <v>1</v>
      </c>
      <c r="AH2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35"/>
      <c r="AQ235"/>
      <c r="AR235"/>
    </row>
    <row r="236" spans="1:44" x14ac:dyDescent="0.35">
      <c r="A236" s="2" t="s">
        <v>2872</v>
      </c>
      <c r="B236" s="40" t="str">
        <f>_xlfn.XLOOKUP(PROPERTIES[[#This Row],[VEHIDCODE]],CONTROL[VEHIDCODE],CONTROL[ENGLISH])</f>
        <v>Canadian Locomotive Company V-1</v>
      </c>
      <c r="J236" s="2" t="b">
        <v>1</v>
      </c>
      <c r="AC236" s="2"/>
      <c r="AD236" s="2" t="b">
        <f>LEN(_xlfn.CONCAT(TRACK_TYPES[[#This Row],[TRACK_TYPE_STANDARD_GAUGE_RAILTYPE_OHLE]:[TRACK_TYPE_MTRO]]))&gt;0</f>
        <v>1</v>
      </c>
      <c r="AE236" s="38" t="b" cm="1">
        <f t="array" ref="AE236">IFERROR(_xlfn.BYROW(TRACK_TYPES[[#This Row],[TRACK_TYPE_STANDARD_GAUGE_RAILTYPE_OHLE]:[TRACK_TYPE_STANDARD_GAUGE_RAILTYPE_NONE]],_xlfn.LAMBDA(_xlpm.r,OR(_xlpm.r))),FALSE)</f>
        <v>1</v>
      </c>
      <c r="AF236" s="38" t="b" cm="1">
        <f t="array" ref="AF236">IFERROR(_xlfn.BYROW(TRACK_TYPES[[#This Row],[TRACK_TYPE_NARROW_GAUGE_RAILTYPE_OHLE]:[TRACK_TYPE_NARROW_GAUGE_RAILTYPE_NONE]],_xlfn.LAMBDA(_xlpm.r,OR(_xlpm.r))),FALSE)</f>
        <v>0</v>
      </c>
      <c r="AG236" s="38" t="b" cm="1">
        <f t="array" ref="AG236">IFERROR(_xlfn.BYROW(TRACK_TYPES[[#This Row],[TRACK_TYPE_BROAD_GAUGE_RAILTYPE_OHLE]:[TRACK_TYPE_BROAD_GAUGE_RAILTYPE_NONE]],_xlfn.LAMBDA(_xlpm.r,OR(_xlpm.r))),FALSE)</f>
        <v>0</v>
      </c>
      <c r="AH2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6"/>
      <c r="AQ236"/>
      <c r="AR236"/>
    </row>
    <row r="237" spans="1:44" x14ac:dyDescent="0.35">
      <c r="A237" s="2" t="s">
        <v>2873</v>
      </c>
      <c r="B237" s="40" t="str">
        <f>_xlfn.XLOOKUP(PROPERTIES[[#This Row],[VEHIDCODE]],CONTROL[VEHIDCODE],CONTROL[ENGLISH])</f>
        <v>LMS 7051 Diesel Shunter</v>
      </c>
      <c r="J237" s="2" t="b">
        <v>1</v>
      </c>
      <c r="AC237" s="2"/>
      <c r="AD237" s="2" t="b">
        <f>LEN(_xlfn.CONCAT(TRACK_TYPES[[#This Row],[TRACK_TYPE_STANDARD_GAUGE_RAILTYPE_OHLE]:[TRACK_TYPE_MTRO]]))&gt;0</f>
        <v>1</v>
      </c>
      <c r="AE237" s="38" t="b" cm="1">
        <f t="array" ref="AE237">IFERROR(_xlfn.BYROW(TRACK_TYPES[[#This Row],[TRACK_TYPE_STANDARD_GAUGE_RAILTYPE_OHLE]:[TRACK_TYPE_STANDARD_GAUGE_RAILTYPE_NONE]],_xlfn.LAMBDA(_xlpm.r,OR(_xlpm.r))),FALSE)</f>
        <v>1</v>
      </c>
      <c r="AF237" s="38" t="b" cm="1">
        <f t="array" ref="AF237">IFERROR(_xlfn.BYROW(TRACK_TYPES[[#This Row],[TRACK_TYPE_NARROW_GAUGE_RAILTYPE_OHLE]:[TRACK_TYPE_NARROW_GAUGE_RAILTYPE_NONE]],_xlfn.LAMBDA(_xlpm.r,OR(_xlpm.r))),FALSE)</f>
        <v>0</v>
      </c>
      <c r="AG237" s="38" t="b" cm="1">
        <f t="array" ref="AG237">IFERROR(_xlfn.BYROW(TRACK_TYPES[[#This Row],[TRACK_TYPE_BROAD_GAUGE_RAILTYPE_OHLE]:[TRACK_TYPE_BROAD_GAUGE_RAILTYPE_NONE]],_xlfn.LAMBDA(_xlpm.r,OR(_xlpm.r))),FALSE)</f>
        <v>0</v>
      </c>
      <c r="AH2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7"/>
      <c r="AQ237"/>
      <c r="AR237"/>
    </row>
    <row r="238" spans="1:44" x14ac:dyDescent="0.35">
      <c r="A238" s="2" t="s">
        <v>2874</v>
      </c>
      <c r="B238" s="40" t="str">
        <f>_xlfn.XLOOKUP(PROPERTIES[[#This Row],[VEHIDCODE]],CONTROL[VEHIDCODE],CONTROL[ENGLISH])</f>
        <v>EMC TA</v>
      </c>
      <c r="J238" s="2" t="b">
        <v>1</v>
      </c>
      <c r="AC238" s="2"/>
      <c r="AD238" s="2" t="b">
        <f>LEN(_xlfn.CONCAT(TRACK_TYPES[[#This Row],[TRACK_TYPE_STANDARD_GAUGE_RAILTYPE_OHLE]:[TRACK_TYPE_MTRO]]))&gt;0</f>
        <v>1</v>
      </c>
      <c r="AE238" s="38" t="b" cm="1">
        <f t="array" ref="AE238">IFERROR(_xlfn.BYROW(TRACK_TYPES[[#This Row],[TRACK_TYPE_STANDARD_GAUGE_RAILTYPE_OHLE]:[TRACK_TYPE_STANDARD_GAUGE_RAILTYPE_NONE]],_xlfn.LAMBDA(_xlpm.r,OR(_xlpm.r))),FALSE)</f>
        <v>1</v>
      </c>
      <c r="AF238" s="38" t="b" cm="1">
        <f t="array" ref="AF238">IFERROR(_xlfn.BYROW(TRACK_TYPES[[#This Row],[TRACK_TYPE_NARROW_GAUGE_RAILTYPE_OHLE]:[TRACK_TYPE_NARROW_GAUGE_RAILTYPE_NONE]],_xlfn.LAMBDA(_xlpm.r,OR(_xlpm.r))),FALSE)</f>
        <v>0</v>
      </c>
      <c r="AG238" s="38" t="b" cm="1">
        <f t="array" ref="AG238">IFERROR(_xlfn.BYROW(TRACK_TYPES[[#This Row],[TRACK_TYPE_BROAD_GAUGE_RAILTYPE_OHLE]:[TRACK_TYPE_BROAD_GAUGE_RAILTYPE_NONE]],_xlfn.LAMBDA(_xlpm.r,OR(_xlpm.r))),FALSE)</f>
        <v>0</v>
      </c>
      <c r="AH2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8"/>
      <c r="AQ238"/>
      <c r="AR238"/>
    </row>
    <row r="239" spans="1:44" x14ac:dyDescent="0.35">
      <c r="A239" s="2" t="s">
        <v>2875</v>
      </c>
      <c r="B239" s="40" t="str">
        <f>_xlfn.XLOOKUP(PROPERTIES[[#This Row],[VEHIDCODE]],CONTROL[VEHIDCODE],CONTROL[ENGLISH])</f>
        <v>Baldwin VO-660</v>
      </c>
      <c r="J239" s="2" t="b">
        <v>1</v>
      </c>
      <c r="AC239" s="2"/>
      <c r="AD239" s="2" t="b">
        <f>LEN(_xlfn.CONCAT(TRACK_TYPES[[#This Row],[TRACK_TYPE_STANDARD_GAUGE_RAILTYPE_OHLE]:[TRACK_TYPE_MTRO]]))&gt;0</f>
        <v>1</v>
      </c>
      <c r="AE239" s="38" t="b" cm="1">
        <f t="array" ref="AE239">IFERROR(_xlfn.BYROW(TRACK_TYPES[[#This Row],[TRACK_TYPE_STANDARD_GAUGE_RAILTYPE_OHLE]:[TRACK_TYPE_STANDARD_GAUGE_RAILTYPE_NONE]],_xlfn.LAMBDA(_xlpm.r,OR(_xlpm.r))),FALSE)</f>
        <v>1</v>
      </c>
      <c r="AF239" s="38" t="b" cm="1">
        <f t="array" ref="AF239">IFERROR(_xlfn.BYROW(TRACK_TYPES[[#This Row],[TRACK_TYPE_NARROW_GAUGE_RAILTYPE_OHLE]:[TRACK_TYPE_NARROW_GAUGE_RAILTYPE_NONE]],_xlfn.LAMBDA(_xlpm.r,OR(_xlpm.r))),FALSE)</f>
        <v>0</v>
      </c>
      <c r="AG239" s="38" t="b" cm="1">
        <f t="array" ref="AG239">IFERROR(_xlfn.BYROW(TRACK_TYPES[[#This Row],[TRACK_TYPE_BROAD_GAUGE_RAILTYPE_OHLE]:[TRACK_TYPE_BROAD_GAUGE_RAILTYPE_NONE]],_xlfn.LAMBDA(_xlpm.r,OR(_xlpm.r))),FALSE)</f>
        <v>0</v>
      </c>
      <c r="AH2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9"/>
      <c r="AQ239"/>
      <c r="AR239"/>
    </row>
    <row r="240" spans="1:44" x14ac:dyDescent="0.35">
      <c r="A240" s="2" t="s">
        <v>2876</v>
      </c>
      <c r="B240" s="40" t="str">
        <f>_xlfn.XLOOKUP(PROPERTIES[[#This Row],[VEHIDCODE]],CONTROL[VEHIDCODE],CONTROL[ENGLISH])</f>
        <v>LMS No. 7080 'D3/7'</v>
      </c>
      <c r="J240" s="2" t="b">
        <v>1</v>
      </c>
      <c r="AC240" s="2"/>
      <c r="AD240" s="2" t="b">
        <f>LEN(_xlfn.CONCAT(TRACK_TYPES[[#This Row],[TRACK_TYPE_STANDARD_GAUGE_RAILTYPE_OHLE]:[TRACK_TYPE_MTRO]]))&gt;0</f>
        <v>1</v>
      </c>
      <c r="AE240" s="38" t="b" cm="1">
        <f t="array" ref="AE240">IFERROR(_xlfn.BYROW(TRACK_TYPES[[#This Row],[TRACK_TYPE_STANDARD_GAUGE_RAILTYPE_OHLE]:[TRACK_TYPE_STANDARD_GAUGE_RAILTYPE_NONE]],_xlfn.LAMBDA(_xlpm.r,OR(_xlpm.r))),FALSE)</f>
        <v>1</v>
      </c>
      <c r="AF240" s="38" t="b" cm="1">
        <f t="array" ref="AF240">IFERROR(_xlfn.BYROW(TRACK_TYPES[[#This Row],[TRACK_TYPE_NARROW_GAUGE_RAILTYPE_OHLE]:[TRACK_TYPE_NARROW_GAUGE_RAILTYPE_NONE]],_xlfn.LAMBDA(_xlpm.r,OR(_xlpm.r))),FALSE)</f>
        <v>0</v>
      </c>
      <c r="AG240" s="38" t="b" cm="1">
        <f t="array" ref="AG240">IFERROR(_xlfn.BYROW(TRACK_TYPES[[#This Row],[TRACK_TYPE_BROAD_GAUGE_RAILTYPE_OHLE]:[TRACK_TYPE_BROAD_GAUGE_RAILTYPE_NONE]],_xlfn.LAMBDA(_xlpm.r,OR(_xlpm.r))),FALSE)</f>
        <v>0</v>
      </c>
      <c r="AH2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0"/>
      <c r="AQ240"/>
      <c r="AR240"/>
    </row>
    <row r="241" spans="1:44" x14ac:dyDescent="0.35">
      <c r="A241" s="2" t="s">
        <v>2877</v>
      </c>
      <c r="B241" s="40" t="str">
        <f>_xlfn.XLOOKUP(PROPERTIES[[#This Row],[VEHIDCODE]],CONTROL[VEHIDCODE],CONTROL[ENGLISH])</f>
        <v>Queensland Railways DL</v>
      </c>
      <c r="R241" s="2" t="b">
        <v>1</v>
      </c>
      <c r="AC241" s="2"/>
      <c r="AD241" s="2" t="b">
        <f>LEN(_xlfn.CONCAT(TRACK_TYPES[[#This Row],[TRACK_TYPE_STANDARD_GAUGE_RAILTYPE_OHLE]:[TRACK_TYPE_MTRO]]))&gt;0</f>
        <v>1</v>
      </c>
      <c r="AE241" s="38" t="b" cm="1">
        <f t="array" ref="AE241">IFERROR(_xlfn.BYROW(TRACK_TYPES[[#This Row],[TRACK_TYPE_STANDARD_GAUGE_RAILTYPE_OHLE]:[TRACK_TYPE_STANDARD_GAUGE_RAILTYPE_NONE]],_xlfn.LAMBDA(_xlpm.r,OR(_xlpm.r))),FALSE)</f>
        <v>0</v>
      </c>
      <c r="AF241" s="38" t="b" cm="1">
        <f t="array" ref="AF241">IFERROR(_xlfn.BYROW(TRACK_TYPES[[#This Row],[TRACK_TYPE_NARROW_GAUGE_RAILTYPE_OHLE]:[TRACK_TYPE_NARROW_GAUGE_RAILTYPE_NONE]],_xlfn.LAMBDA(_xlpm.r,OR(_xlpm.r))),FALSE)</f>
        <v>1</v>
      </c>
      <c r="AG241" s="38" t="b" cm="1">
        <f t="array" ref="AG241">IFERROR(_xlfn.BYROW(TRACK_TYPES[[#This Row],[TRACK_TYPE_BROAD_GAUGE_RAILTYPE_OHLE]:[TRACK_TYPE_BROAD_GAUGE_RAILTYPE_NONE]],_xlfn.LAMBDA(_xlpm.r,OR(_xlpm.r))),FALSE)</f>
        <v>0</v>
      </c>
      <c r="AH2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41"/>
      <c r="AQ241"/>
      <c r="AR241"/>
    </row>
    <row r="242" spans="1:44" x14ac:dyDescent="0.35">
      <c r="A242" s="2" t="s">
        <v>2878</v>
      </c>
      <c r="B242" s="40" t="str">
        <f>_xlfn.XLOOKUP(PROPERTIES[[#This Row],[VEHIDCODE]],CONTROL[VEHIDCODE],CONTROL[ENGLISH])</f>
        <v>FM H-10-44</v>
      </c>
      <c r="J242" s="2" t="b">
        <v>1</v>
      </c>
      <c r="AC242" s="2"/>
      <c r="AD242" s="2" t="b">
        <f>LEN(_xlfn.CONCAT(TRACK_TYPES[[#This Row],[TRACK_TYPE_STANDARD_GAUGE_RAILTYPE_OHLE]:[TRACK_TYPE_MTRO]]))&gt;0</f>
        <v>1</v>
      </c>
      <c r="AE242" s="38" t="b" cm="1">
        <f t="array" ref="AE242">IFERROR(_xlfn.BYROW(TRACK_TYPES[[#This Row],[TRACK_TYPE_STANDARD_GAUGE_RAILTYPE_OHLE]:[TRACK_TYPE_STANDARD_GAUGE_RAILTYPE_NONE]],_xlfn.LAMBDA(_xlpm.r,OR(_xlpm.r))),FALSE)</f>
        <v>1</v>
      </c>
      <c r="AF242" s="38" t="b" cm="1">
        <f t="array" ref="AF242">IFERROR(_xlfn.BYROW(TRACK_TYPES[[#This Row],[TRACK_TYPE_NARROW_GAUGE_RAILTYPE_OHLE]:[TRACK_TYPE_NARROW_GAUGE_RAILTYPE_NONE]],_xlfn.LAMBDA(_xlpm.r,OR(_xlpm.r))),FALSE)</f>
        <v>0</v>
      </c>
      <c r="AG242" s="38" t="b" cm="1">
        <f t="array" ref="AG242">IFERROR(_xlfn.BYROW(TRACK_TYPES[[#This Row],[TRACK_TYPE_BROAD_GAUGE_RAILTYPE_OHLE]:[TRACK_TYPE_BROAD_GAUGE_RAILTYPE_NONE]],_xlfn.LAMBDA(_xlpm.r,OR(_xlpm.r))),FALSE)</f>
        <v>0</v>
      </c>
      <c r="AH2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2"/>
      <c r="AQ242"/>
      <c r="AR242"/>
    </row>
    <row r="243" spans="1:44" x14ac:dyDescent="0.35">
      <c r="A243" s="2" t="s">
        <v>2879</v>
      </c>
      <c r="B243" s="40" t="str">
        <f>_xlfn.XLOOKUP(PROPERTIES[[#This Row],[VEHIDCODE]],CONTROL[VEHIDCODE],CONTROL[ENGLISH])</f>
        <v>Baldwin DRS6-4-1000</v>
      </c>
      <c r="J243" s="2" t="b">
        <v>1</v>
      </c>
      <c r="AC243" s="2"/>
      <c r="AD243" s="2" t="b">
        <f>LEN(_xlfn.CONCAT(TRACK_TYPES[[#This Row],[TRACK_TYPE_STANDARD_GAUGE_RAILTYPE_OHLE]:[TRACK_TYPE_MTRO]]))&gt;0</f>
        <v>1</v>
      </c>
      <c r="AE243" s="38" t="b" cm="1">
        <f t="array" ref="AE243">IFERROR(_xlfn.BYROW(TRACK_TYPES[[#This Row],[TRACK_TYPE_STANDARD_GAUGE_RAILTYPE_OHLE]:[TRACK_TYPE_STANDARD_GAUGE_RAILTYPE_NONE]],_xlfn.LAMBDA(_xlpm.r,OR(_xlpm.r))),FALSE)</f>
        <v>1</v>
      </c>
      <c r="AF243" s="38" t="b" cm="1">
        <f t="array" ref="AF243">IFERROR(_xlfn.BYROW(TRACK_TYPES[[#This Row],[TRACK_TYPE_NARROW_GAUGE_RAILTYPE_OHLE]:[TRACK_TYPE_NARROW_GAUGE_RAILTYPE_NONE]],_xlfn.LAMBDA(_xlpm.r,OR(_xlpm.r))),FALSE)</f>
        <v>0</v>
      </c>
      <c r="AG243" s="38" t="b" cm="1">
        <f t="array" ref="AG243">IFERROR(_xlfn.BYROW(TRACK_TYPES[[#This Row],[TRACK_TYPE_BROAD_GAUGE_RAILTYPE_OHLE]:[TRACK_TYPE_BROAD_GAUGE_RAILTYPE_NONE]],_xlfn.LAMBDA(_xlpm.r,OR(_xlpm.r))),FALSE)</f>
        <v>0</v>
      </c>
      <c r="AH2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3"/>
      <c r="AQ243"/>
      <c r="AR243"/>
    </row>
    <row r="244" spans="1:44" x14ac:dyDescent="0.35">
      <c r="A244" s="2" t="s">
        <v>2880</v>
      </c>
      <c r="B244" s="40" t="str">
        <f>_xlfn.XLOOKUP(PROPERTIES[[#This Row],[VEHIDCODE]],CONTROL[VEHIDCODE],CONTROL[ENGLISH])</f>
        <v>CIE 113</v>
      </c>
      <c r="Z244" s="2" t="b">
        <v>1</v>
      </c>
      <c r="AC244" s="2"/>
      <c r="AD244" s="2" t="b">
        <f>LEN(_xlfn.CONCAT(TRACK_TYPES[[#This Row],[TRACK_TYPE_STANDARD_GAUGE_RAILTYPE_OHLE]:[TRACK_TYPE_MTRO]]))&gt;0</f>
        <v>1</v>
      </c>
      <c r="AE244" s="38" t="b" cm="1">
        <f t="array" ref="AE244">IFERROR(_xlfn.BYROW(TRACK_TYPES[[#This Row],[TRACK_TYPE_STANDARD_GAUGE_RAILTYPE_OHLE]:[TRACK_TYPE_STANDARD_GAUGE_RAILTYPE_NONE]],_xlfn.LAMBDA(_xlpm.r,OR(_xlpm.r))),FALSE)</f>
        <v>0</v>
      </c>
      <c r="AF244" s="38" t="b" cm="1">
        <f t="array" ref="AF244">IFERROR(_xlfn.BYROW(TRACK_TYPES[[#This Row],[TRACK_TYPE_NARROW_GAUGE_RAILTYPE_OHLE]:[TRACK_TYPE_NARROW_GAUGE_RAILTYPE_NONE]],_xlfn.LAMBDA(_xlpm.r,OR(_xlpm.r))),FALSE)</f>
        <v>0</v>
      </c>
      <c r="AG244" s="38" t="b" cm="1">
        <f t="array" ref="AG244">IFERROR(_xlfn.BYROW(TRACK_TYPES[[#This Row],[TRACK_TYPE_BROAD_GAUGE_RAILTYPE_OHLE]:[TRACK_TYPE_BROAD_GAUGE_RAILTYPE_NONE]],_xlfn.LAMBDA(_xlpm.r,OR(_xlpm.r))),FALSE)</f>
        <v>1</v>
      </c>
      <c r="AH2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44"/>
      <c r="AQ244"/>
      <c r="AR244"/>
    </row>
    <row r="245" spans="1:44" x14ac:dyDescent="0.35">
      <c r="A245" s="2" t="s">
        <v>2881</v>
      </c>
      <c r="B245" s="40" t="str">
        <f>_xlfn.XLOOKUP(PROPERTIES[[#This Row],[VEHIDCODE]],CONTROL[VEHIDCODE],CONTROL[ENGLISH])</f>
        <v>Baldwin AS-616</v>
      </c>
      <c r="J245" s="2" t="b">
        <v>1</v>
      </c>
      <c r="R245" s="2" t="b">
        <v>1</v>
      </c>
      <c r="Z245" s="2" t="b">
        <v>1</v>
      </c>
      <c r="AC245" s="2"/>
      <c r="AD245" s="2" t="b">
        <f>LEN(_xlfn.CONCAT(TRACK_TYPES[[#This Row],[TRACK_TYPE_STANDARD_GAUGE_RAILTYPE_OHLE]:[TRACK_TYPE_MTRO]]))&gt;0</f>
        <v>1</v>
      </c>
      <c r="AE245" s="38" t="b" cm="1">
        <f t="array" ref="AE245">IFERROR(_xlfn.BYROW(TRACK_TYPES[[#This Row],[TRACK_TYPE_STANDARD_GAUGE_RAILTYPE_OHLE]:[TRACK_TYPE_STANDARD_GAUGE_RAILTYPE_NONE]],_xlfn.LAMBDA(_xlpm.r,OR(_xlpm.r))),FALSE)</f>
        <v>1</v>
      </c>
      <c r="AF245" s="38" t="b" cm="1">
        <f t="array" ref="AF245">IFERROR(_xlfn.BYROW(TRACK_TYPES[[#This Row],[TRACK_TYPE_NARROW_GAUGE_RAILTYPE_OHLE]:[TRACK_TYPE_NARROW_GAUGE_RAILTYPE_NONE]],_xlfn.LAMBDA(_xlpm.r,OR(_xlpm.r))),FALSE)</f>
        <v>1</v>
      </c>
      <c r="AG245" s="38" t="b" cm="1">
        <f t="array" ref="AG245">IFERROR(_xlfn.BYROW(TRACK_TYPES[[#This Row],[TRACK_TYPE_BROAD_GAUGE_RAILTYPE_OHLE]:[TRACK_TYPE_BROAD_GAUGE_RAILTYPE_NONE]],_xlfn.LAMBDA(_xlpm.r,OR(_xlpm.r))),FALSE)</f>
        <v>1</v>
      </c>
      <c r="AH2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5"/>
      <c r="AQ245"/>
      <c r="AR245"/>
    </row>
    <row r="246" spans="1:44" x14ac:dyDescent="0.35">
      <c r="A246" s="2" t="s">
        <v>2882</v>
      </c>
      <c r="B246" s="40" t="str">
        <f>_xlfn.XLOOKUP(PROPERTIES[[#This Row],[VEHIDCODE]],CONTROL[VEHIDCODE],CONTROL[ENGLISH])</f>
        <v>FM H-16-44</v>
      </c>
      <c r="J246" s="2" t="b">
        <v>1</v>
      </c>
      <c r="AC246" s="2"/>
      <c r="AD246" s="2" t="b">
        <f>LEN(_xlfn.CONCAT(TRACK_TYPES[[#This Row],[TRACK_TYPE_STANDARD_GAUGE_RAILTYPE_OHLE]:[TRACK_TYPE_MTRO]]))&gt;0</f>
        <v>1</v>
      </c>
      <c r="AE246" s="38" t="b" cm="1">
        <f t="array" ref="AE246">IFERROR(_xlfn.BYROW(TRACK_TYPES[[#This Row],[TRACK_TYPE_STANDARD_GAUGE_RAILTYPE_OHLE]:[TRACK_TYPE_STANDARD_GAUGE_RAILTYPE_NONE]],_xlfn.LAMBDA(_xlpm.r,OR(_xlpm.r))),FALSE)</f>
        <v>1</v>
      </c>
      <c r="AF246" s="38" t="b" cm="1">
        <f t="array" ref="AF246">IFERROR(_xlfn.BYROW(TRACK_TYPES[[#This Row],[TRACK_TYPE_NARROW_GAUGE_RAILTYPE_OHLE]:[TRACK_TYPE_NARROW_GAUGE_RAILTYPE_NONE]],_xlfn.LAMBDA(_xlpm.r,OR(_xlpm.r))),FALSE)</f>
        <v>0</v>
      </c>
      <c r="AG246" s="38" t="b" cm="1">
        <f t="array" ref="AG246">IFERROR(_xlfn.BYROW(TRACK_TYPES[[#This Row],[TRACK_TYPE_BROAD_GAUGE_RAILTYPE_OHLE]:[TRACK_TYPE_BROAD_GAUGE_RAILTYPE_NONE]],_xlfn.LAMBDA(_xlpm.r,OR(_xlpm.r))),FALSE)</f>
        <v>0</v>
      </c>
      <c r="AH2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6"/>
      <c r="AQ246"/>
      <c r="AR246"/>
    </row>
    <row r="247" spans="1:44" x14ac:dyDescent="0.35">
      <c r="A247" s="2" t="s">
        <v>2883</v>
      </c>
      <c r="B247" s="40" t="str">
        <f>_xlfn.XLOOKUP(PROPERTIES[[#This Row],[VEHIDCODE]],CONTROL[VEHIDCODE],CONTROL[ENGLISH])</f>
        <v>Islington Railway Workshops SAR 900</v>
      </c>
      <c r="Z247" s="2" t="b">
        <v>1</v>
      </c>
      <c r="AC247" s="2"/>
      <c r="AD247" s="2" t="b">
        <f>LEN(_xlfn.CONCAT(TRACK_TYPES[[#This Row],[TRACK_TYPE_STANDARD_GAUGE_RAILTYPE_OHLE]:[TRACK_TYPE_MTRO]]))&gt;0</f>
        <v>1</v>
      </c>
      <c r="AE247" s="38" t="b" cm="1">
        <f t="array" ref="AE247">IFERROR(_xlfn.BYROW(TRACK_TYPES[[#This Row],[TRACK_TYPE_STANDARD_GAUGE_RAILTYPE_OHLE]:[TRACK_TYPE_STANDARD_GAUGE_RAILTYPE_NONE]],_xlfn.LAMBDA(_xlpm.r,OR(_xlpm.r))),FALSE)</f>
        <v>0</v>
      </c>
      <c r="AF247" s="38" t="b" cm="1">
        <f t="array" ref="AF247">IFERROR(_xlfn.BYROW(TRACK_TYPES[[#This Row],[TRACK_TYPE_NARROW_GAUGE_RAILTYPE_OHLE]:[TRACK_TYPE_NARROW_GAUGE_RAILTYPE_NONE]],_xlfn.LAMBDA(_xlpm.r,OR(_xlpm.r))),FALSE)</f>
        <v>0</v>
      </c>
      <c r="AG247" s="38" t="b" cm="1">
        <f t="array" ref="AG247">IFERROR(_xlfn.BYROW(TRACK_TYPES[[#This Row],[TRACK_TYPE_BROAD_GAUGE_RAILTYPE_OHLE]:[TRACK_TYPE_BROAD_GAUGE_RAILTYPE_NONE]],_xlfn.LAMBDA(_xlpm.r,OR(_xlpm.r))),FALSE)</f>
        <v>1</v>
      </c>
      <c r="AH2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47"/>
      <c r="AQ247"/>
      <c r="AR247"/>
    </row>
    <row r="248" spans="1:44" x14ac:dyDescent="0.35">
      <c r="A248" s="2" t="s">
        <v>2884</v>
      </c>
      <c r="B248" s="40" t="str">
        <f>_xlfn.XLOOKUP(PROPERTIES[[#This Row],[VEHIDCODE]],CONTROL[VEHIDCODE],CONTROL[ENGLISH])</f>
        <v>EMD G12</v>
      </c>
      <c r="J248" s="2" t="b">
        <v>1</v>
      </c>
      <c r="R248" s="2" t="b">
        <v>1</v>
      </c>
      <c r="Z248" s="2" t="b">
        <v>1</v>
      </c>
      <c r="AC248" s="2"/>
      <c r="AD248" s="2" t="b">
        <f>LEN(_xlfn.CONCAT(TRACK_TYPES[[#This Row],[TRACK_TYPE_STANDARD_GAUGE_RAILTYPE_OHLE]:[TRACK_TYPE_MTRO]]))&gt;0</f>
        <v>1</v>
      </c>
      <c r="AE248" s="38" t="b" cm="1">
        <f t="array" ref="AE248">IFERROR(_xlfn.BYROW(TRACK_TYPES[[#This Row],[TRACK_TYPE_STANDARD_GAUGE_RAILTYPE_OHLE]:[TRACK_TYPE_STANDARD_GAUGE_RAILTYPE_NONE]],_xlfn.LAMBDA(_xlpm.r,OR(_xlpm.r))),FALSE)</f>
        <v>1</v>
      </c>
      <c r="AF248" s="38" t="b" cm="1">
        <f t="array" ref="AF248">IFERROR(_xlfn.BYROW(TRACK_TYPES[[#This Row],[TRACK_TYPE_NARROW_GAUGE_RAILTYPE_OHLE]:[TRACK_TYPE_NARROW_GAUGE_RAILTYPE_NONE]],_xlfn.LAMBDA(_xlpm.r,OR(_xlpm.r))),FALSE)</f>
        <v>1</v>
      </c>
      <c r="AG248" s="38" t="b" cm="1">
        <f t="array" ref="AG248">IFERROR(_xlfn.BYROW(TRACK_TYPES[[#This Row],[TRACK_TYPE_BROAD_GAUGE_RAILTYPE_OHLE]:[TRACK_TYPE_BROAD_GAUGE_RAILTYPE_NONE]],_xlfn.LAMBDA(_xlpm.r,OR(_xlpm.r))),FALSE)</f>
        <v>1</v>
      </c>
      <c r="AH2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8"/>
      <c r="AQ248"/>
      <c r="AR248"/>
    </row>
    <row r="249" spans="1:44" x14ac:dyDescent="0.35">
      <c r="A249" s="2" t="s">
        <v>2885</v>
      </c>
      <c r="B249" s="40" t="str">
        <f>_xlfn.XLOOKUP(PROPERTIES[[#This Row],[VEHIDCODE]],CONTROL[VEHIDCODE],CONTROL[ENGLISH])</f>
        <v>Metropolitan-Vickers/CIE 001</v>
      </c>
      <c r="Z249" s="2" t="b">
        <v>1</v>
      </c>
      <c r="AC249" s="2"/>
      <c r="AD249" s="2" t="b">
        <f>LEN(_xlfn.CONCAT(TRACK_TYPES[[#This Row],[TRACK_TYPE_STANDARD_GAUGE_RAILTYPE_OHLE]:[TRACK_TYPE_MTRO]]))&gt;0</f>
        <v>1</v>
      </c>
      <c r="AE249" s="38" t="b" cm="1">
        <f t="array" ref="AE249">IFERROR(_xlfn.BYROW(TRACK_TYPES[[#This Row],[TRACK_TYPE_STANDARD_GAUGE_RAILTYPE_OHLE]:[TRACK_TYPE_STANDARD_GAUGE_RAILTYPE_NONE]],_xlfn.LAMBDA(_xlpm.r,OR(_xlpm.r))),FALSE)</f>
        <v>0</v>
      </c>
      <c r="AF249" s="38" t="b" cm="1">
        <f t="array" ref="AF249">IFERROR(_xlfn.BYROW(TRACK_TYPES[[#This Row],[TRACK_TYPE_NARROW_GAUGE_RAILTYPE_OHLE]:[TRACK_TYPE_NARROW_GAUGE_RAILTYPE_NONE]],_xlfn.LAMBDA(_xlpm.r,OR(_xlpm.r))),FALSE)</f>
        <v>0</v>
      </c>
      <c r="AG249" s="38" t="b" cm="1">
        <f t="array" ref="AG249">IFERROR(_xlfn.BYROW(TRACK_TYPES[[#This Row],[TRACK_TYPE_BROAD_GAUGE_RAILTYPE_OHLE]:[TRACK_TYPE_BROAD_GAUGE_RAILTYPE_NONE]],_xlfn.LAMBDA(_xlpm.r,OR(_xlpm.r))),FALSE)</f>
        <v>1</v>
      </c>
      <c r="AH2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49"/>
      <c r="AQ249"/>
      <c r="AR249"/>
    </row>
    <row r="250" spans="1:44" x14ac:dyDescent="0.35">
      <c r="A250" s="2" t="s">
        <v>2886</v>
      </c>
      <c r="B250" s="40" t="str">
        <f>_xlfn.XLOOKUP(PROPERTIES[[#This Row],[VEHIDCODE]],CONTROL[VEHIDCODE],CONTROL[ENGLISH])</f>
        <v>Fiat Grandi Motori D.341</v>
      </c>
      <c r="J250" s="2" t="b">
        <v>1</v>
      </c>
      <c r="AC250" s="2"/>
      <c r="AD250" s="2" t="b">
        <f>LEN(_xlfn.CONCAT(TRACK_TYPES[[#This Row],[TRACK_TYPE_STANDARD_GAUGE_RAILTYPE_OHLE]:[TRACK_TYPE_MTRO]]))&gt;0</f>
        <v>1</v>
      </c>
      <c r="AE250" s="38" t="b" cm="1">
        <f t="array" ref="AE250">IFERROR(_xlfn.BYROW(TRACK_TYPES[[#This Row],[TRACK_TYPE_STANDARD_GAUGE_RAILTYPE_OHLE]:[TRACK_TYPE_STANDARD_GAUGE_RAILTYPE_NONE]],_xlfn.LAMBDA(_xlpm.r,OR(_xlpm.r))),FALSE)</f>
        <v>1</v>
      </c>
      <c r="AF250" s="38" t="b" cm="1">
        <f t="array" ref="AF250">IFERROR(_xlfn.BYROW(TRACK_TYPES[[#This Row],[TRACK_TYPE_NARROW_GAUGE_RAILTYPE_OHLE]:[TRACK_TYPE_NARROW_GAUGE_RAILTYPE_NONE]],_xlfn.LAMBDA(_xlpm.r,OR(_xlpm.r))),FALSE)</f>
        <v>0</v>
      </c>
      <c r="AG250" s="38" t="b" cm="1">
        <f t="array" ref="AG250">IFERROR(_xlfn.BYROW(TRACK_TYPES[[#This Row],[TRACK_TYPE_BROAD_GAUGE_RAILTYPE_OHLE]:[TRACK_TYPE_BROAD_GAUGE_RAILTYPE_NONE]],_xlfn.LAMBDA(_xlpm.r,OR(_xlpm.r))),FALSE)</f>
        <v>0</v>
      </c>
      <c r="AH2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0"/>
      <c r="AQ250"/>
      <c r="AR250"/>
    </row>
    <row r="251" spans="1:44" x14ac:dyDescent="0.35">
      <c r="A251" s="2" t="s">
        <v>2887</v>
      </c>
      <c r="B251" s="40" t="str">
        <f>_xlfn.XLOOKUP(PROPERTIES[[#This Row],[VEHIDCODE]],CONTROL[VEHIDCODE],CONTROL[ENGLISH])</f>
        <v>ALCO/AE Goodwin DL-500B</v>
      </c>
      <c r="J251" s="2" t="b">
        <v>1</v>
      </c>
      <c r="AC251" s="2"/>
      <c r="AD251" s="2" t="b">
        <f>LEN(_xlfn.CONCAT(TRACK_TYPES[[#This Row],[TRACK_TYPE_STANDARD_GAUGE_RAILTYPE_OHLE]:[TRACK_TYPE_MTRO]]))&gt;0</f>
        <v>1</v>
      </c>
      <c r="AE251" s="38" t="b" cm="1">
        <f t="array" ref="AE251">IFERROR(_xlfn.BYROW(TRACK_TYPES[[#This Row],[TRACK_TYPE_STANDARD_GAUGE_RAILTYPE_OHLE]:[TRACK_TYPE_STANDARD_GAUGE_RAILTYPE_NONE]],_xlfn.LAMBDA(_xlpm.r,OR(_xlpm.r))),FALSE)</f>
        <v>1</v>
      </c>
      <c r="AF251" s="38" t="b" cm="1">
        <f t="array" ref="AF251">IFERROR(_xlfn.BYROW(TRACK_TYPES[[#This Row],[TRACK_TYPE_NARROW_GAUGE_RAILTYPE_OHLE]:[TRACK_TYPE_NARROW_GAUGE_RAILTYPE_NONE]],_xlfn.LAMBDA(_xlpm.r,OR(_xlpm.r))),FALSE)</f>
        <v>0</v>
      </c>
      <c r="AG251" s="38" t="b" cm="1">
        <f t="array" ref="AG251">IFERROR(_xlfn.BYROW(TRACK_TYPES[[#This Row],[TRACK_TYPE_BROAD_GAUGE_RAILTYPE_OHLE]:[TRACK_TYPE_BROAD_GAUGE_RAILTYPE_NONE]],_xlfn.LAMBDA(_xlpm.r,OR(_xlpm.r))),FALSE)</f>
        <v>0</v>
      </c>
      <c r="AH2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1"/>
      <c r="AQ251"/>
      <c r="AR251"/>
    </row>
    <row r="252" spans="1:44" x14ac:dyDescent="0.35">
      <c r="A252" s="2" t="s">
        <v>2888</v>
      </c>
      <c r="B252" s="40" t="str">
        <f>_xlfn.XLOOKUP(PROPERTIES[[#This Row],[VEHIDCODE]],CONTROL[VEHIDCODE],CONTROL[ENGLISH])</f>
        <v>Henschel DH-1420</v>
      </c>
      <c r="R252" s="2" t="b">
        <v>1</v>
      </c>
      <c r="AC252" s="2"/>
      <c r="AD252" s="2" t="b">
        <f>LEN(_xlfn.CONCAT(TRACK_TYPES[[#This Row],[TRACK_TYPE_STANDARD_GAUGE_RAILTYPE_OHLE]:[TRACK_TYPE_MTRO]]))&gt;0</f>
        <v>1</v>
      </c>
      <c r="AE252" s="38" t="b" cm="1">
        <f t="array" ref="AE252">IFERROR(_xlfn.BYROW(TRACK_TYPES[[#This Row],[TRACK_TYPE_STANDARD_GAUGE_RAILTYPE_OHLE]:[TRACK_TYPE_STANDARD_GAUGE_RAILTYPE_NONE]],_xlfn.LAMBDA(_xlpm.r,OR(_xlpm.r))),FALSE)</f>
        <v>0</v>
      </c>
      <c r="AF252" s="38" t="b" cm="1">
        <f t="array" ref="AF252">IFERROR(_xlfn.BYROW(TRACK_TYPES[[#This Row],[TRACK_TYPE_NARROW_GAUGE_RAILTYPE_OHLE]:[TRACK_TYPE_NARROW_GAUGE_RAILTYPE_NONE]],_xlfn.LAMBDA(_xlpm.r,OR(_xlpm.r))),FALSE)</f>
        <v>1</v>
      </c>
      <c r="AG252" s="38" t="b" cm="1">
        <f t="array" ref="AG252">IFERROR(_xlfn.BYROW(TRACK_TYPES[[#This Row],[TRACK_TYPE_BROAD_GAUGE_RAILTYPE_OHLE]:[TRACK_TYPE_BROAD_GAUGE_RAILTYPE_NONE]],_xlfn.LAMBDA(_xlpm.r,OR(_xlpm.r))),FALSE)</f>
        <v>0</v>
      </c>
      <c r="AH2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52"/>
      <c r="AQ252"/>
      <c r="AR252"/>
    </row>
    <row r="253" spans="1:44" x14ac:dyDescent="0.35">
      <c r="A253" s="2" t="s">
        <v>2889</v>
      </c>
      <c r="B253" s="40" t="str">
        <f>_xlfn.XLOOKUP(PROPERTIES[[#This Row],[VEHIDCODE]],CONTROL[VEHIDCODE],CONTROL[ENGLISH])</f>
        <v>EMD SD18</v>
      </c>
      <c r="J253" s="2" t="b">
        <v>1</v>
      </c>
      <c r="Z253" s="2" t="b">
        <v>1</v>
      </c>
      <c r="AC253" s="2"/>
      <c r="AD253" s="2" t="b">
        <f>LEN(_xlfn.CONCAT(TRACK_TYPES[[#This Row],[TRACK_TYPE_STANDARD_GAUGE_RAILTYPE_OHLE]:[TRACK_TYPE_MTRO]]))&gt;0</f>
        <v>1</v>
      </c>
      <c r="AE253" s="38" t="b" cm="1">
        <f t="array" ref="AE253">IFERROR(_xlfn.BYROW(TRACK_TYPES[[#This Row],[TRACK_TYPE_STANDARD_GAUGE_RAILTYPE_OHLE]:[TRACK_TYPE_STANDARD_GAUGE_RAILTYPE_NONE]],_xlfn.LAMBDA(_xlpm.r,OR(_xlpm.r))),FALSE)</f>
        <v>1</v>
      </c>
      <c r="AF253" s="38" t="b" cm="1">
        <f t="array" ref="AF253">IFERROR(_xlfn.BYROW(TRACK_TYPES[[#This Row],[TRACK_TYPE_NARROW_GAUGE_RAILTYPE_OHLE]:[TRACK_TYPE_NARROW_GAUGE_RAILTYPE_NONE]],_xlfn.LAMBDA(_xlpm.r,OR(_xlpm.r))),FALSE)</f>
        <v>0</v>
      </c>
      <c r="AG253" s="38" t="b" cm="1">
        <f t="array" ref="AG253">IFERROR(_xlfn.BYROW(TRACK_TYPES[[#This Row],[TRACK_TYPE_BROAD_GAUGE_RAILTYPE_OHLE]:[TRACK_TYPE_BROAD_GAUGE_RAILTYPE_NONE]],_xlfn.LAMBDA(_xlpm.r,OR(_xlpm.r))),FALSE)</f>
        <v>1</v>
      </c>
      <c r="AH2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3"/>
      <c r="AQ253"/>
      <c r="AR253"/>
    </row>
    <row r="254" spans="1:44" x14ac:dyDescent="0.35">
      <c r="A254" s="2" t="s">
        <v>2890</v>
      </c>
      <c r="B254" s="40" t="str">
        <f>_xlfn.XLOOKUP(PROPERTIES[[#This Row],[VEHIDCODE]],CONTROL[VEHIDCODE],CONTROL[ENGLISH])</f>
        <v>Fiat Grandi Motori D.345</v>
      </c>
      <c r="J254" s="2" t="b">
        <v>1</v>
      </c>
      <c r="AC254" s="2"/>
      <c r="AD254" s="2" t="b">
        <f>LEN(_xlfn.CONCAT(TRACK_TYPES[[#This Row],[TRACK_TYPE_STANDARD_GAUGE_RAILTYPE_OHLE]:[TRACK_TYPE_MTRO]]))&gt;0</f>
        <v>1</v>
      </c>
      <c r="AE254" s="38" t="b" cm="1">
        <f t="array" ref="AE254">IFERROR(_xlfn.BYROW(TRACK_TYPES[[#This Row],[TRACK_TYPE_STANDARD_GAUGE_RAILTYPE_OHLE]:[TRACK_TYPE_STANDARD_GAUGE_RAILTYPE_NONE]],_xlfn.LAMBDA(_xlpm.r,OR(_xlpm.r))),FALSE)</f>
        <v>1</v>
      </c>
      <c r="AF254" s="38" t="b" cm="1">
        <f t="array" ref="AF254">IFERROR(_xlfn.BYROW(TRACK_TYPES[[#This Row],[TRACK_TYPE_NARROW_GAUGE_RAILTYPE_OHLE]:[TRACK_TYPE_NARROW_GAUGE_RAILTYPE_NONE]],_xlfn.LAMBDA(_xlpm.r,OR(_xlpm.r))),FALSE)</f>
        <v>0</v>
      </c>
      <c r="AG254" s="38" t="b" cm="1">
        <f t="array" ref="AG254">IFERROR(_xlfn.BYROW(TRACK_TYPES[[#This Row],[TRACK_TYPE_BROAD_GAUGE_RAILTYPE_OHLE]:[TRACK_TYPE_BROAD_GAUGE_RAILTYPE_NONE]],_xlfn.LAMBDA(_xlpm.r,OR(_xlpm.r))),FALSE)</f>
        <v>0</v>
      </c>
      <c r="AH2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4"/>
      <c r="AQ254"/>
      <c r="AR254"/>
    </row>
    <row r="255" spans="1:44" x14ac:dyDescent="0.35">
      <c r="A255" s="2" t="s">
        <v>2891</v>
      </c>
      <c r="B255" s="40" t="str">
        <f>_xlfn.XLOOKUP(PROPERTIES[[#This Row],[VEHIDCODE]],CONTROL[VEHIDCODE],CONTROL[ENGLISH])</f>
        <v>Henschel Di4</v>
      </c>
      <c r="J255" s="2" t="b">
        <v>1</v>
      </c>
      <c r="AC255" s="2"/>
      <c r="AD255" s="2" t="b">
        <f>LEN(_xlfn.CONCAT(TRACK_TYPES[[#This Row],[TRACK_TYPE_STANDARD_GAUGE_RAILTYPE_OHLE]:[TRACK_TYPE_MTRO]]))&gt;0</f>
        <v>1</v>
      </c>
      <c r="AE255" s="38" t="b" cm="1">
        <f t="array" ref="AE255">IFERROR(_xlfn.BYROW(TRACK_TYPES[[#This Row],[TRACK_TYPE_STANDARD_GAUGE_RAILTYPE_OHLE]:[TRACK_TYPE_STANDARD_GAUGE_RAILTYPE_NONE]],_xlfn.LAMBDA(_xlpm.r,OR(_xlpm.r))),FALSE)</f>
        <v>1</v>
      </c>
      <c r="AF255" s="38" t="b" cm="1">
        <f t="array" ref="AF255">IFERROR(_xlfn.BYROW(TRACK_TYPES[[#This Row],[TRACK_TYPE_NARROW_GAUGE_RAILTYPE_OHLE]:[TRACK_TYPE_NARROW_GAUGE_RAILTYPE_NONE]],_xlfn.LAMBDA(_xlpm.r,OR(_xlpm.r))),FALSE)</f>
        <v>0</v>
      </c>
      <c r="AG255" s="38" t="b" cm="1">
        <f t="array" ref="AG255">IFERROR(_xlfn.BYROW(TRACK_TYPES[[#This Row],[TRACK_TYPE_BROAD_GAUGE_RAILTYPE_OHLE]:[TRACK_TYPE_BROAD_GAUGE_RAILTYPE_NONE]],_xlfn.LAMBDA(_xlpm.r,OR(_xlpm.r))),FALSE)</f>
        <v>0</v>
      </c>
      <c r="AH2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5"/>
      <c r="AQ255"/>
      <c r="AR255"/>
    </row>
    <row r="256" spans="1:44" x14ac:dyDescent="0.35">
      <c r="A256" s="2" t="s">
        <v>2892</v>
      </c>
      <c r="B256" s="40" t="str">
        <f>_xlfn.XLOOKUP(PROPERTIES[[#This Row],[VEHIDCODE]],CONTROL[VEHIDCODE],CONTROL[ENGLISH])</f>
        <v>Qishuyan DF8</v>
      </c>
      <c r="J256" s="2" t="b">
        <v>1</v>
      </c>
      <c r="AC256" s="2"/>
      <c r="AD256" s="2" t="b">
        <f>LEN(_xlfn.CONCAT(TRACK_TYPES[[#This Row],[TRACK_TYPE_STANDARD_GAUGE_RAILTYPE_OHLE]:[TRACK_TYPE_MTRO]]))&gt;0</f>
        <v>1</v>
      </c>
      <c r="AE256" s="38" t="b" cm="1">
        <f t="array" ref="AE256">IFERROR(_xlfn.BYROW(TRACK_TYPES[[#This Row],[TRACK_TYPE_STANDARD_GAUGE_RAILTYPE_OHLE]:[TRACK_TYPE_STANDARD_GAUGE_RAILTYPE_NONE]],_xlfn.LAMBDA(_xlpm.r,OR(_xlpm.r))),FALSE)</f>
        <v>1</v>
      </c>
      <c r="AF256" s="38" t="b" cm="1">
        <f t="array" ref="AF256">IFERROR(_xlfn.BYROW(TRACK_TYPES[[#This Row],[TRACK_TYPE_NARROW_GAUGE_RAILTYPE_OHLE]:[TRACK_TYPE_NARROW_GAUGE_RAILTYPE_NONE]],_xlfn.LAMBDA(_xlpm.r,OR(_xlpm.r))),FALSE)</f>
        <v>0</v>
      </c>
      <c r="AG256" s="38" t="b" cm="1">
        <f t="array" ref="AG256">IFERROR(_xlfn.BYROW(TRACK_TYPES[[#This Row],[TRACK_TYPE_BROAD_GAUGE_RAILTYPE_OHLE]:[TRACK_TYPE_BROAD_GAUGE_RAILTYPE_NONE]],_xlfn.LAMBDA(_xlpm.r,OR(_xlpm.r))),FALSE)</f>
        <v>0</v>
      </c>
      <c r="AH2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6"/>
      <c r="AQ256"/>
      <c r="AR256"/>
    </row>
    <row r="257" spans="1:44" x14ac:dyDescent="0.35">
      <c r="A257" s="2" t="s">
        <v>3451</v>
      </c>
      <c r="B257" s="40" t="str">
        <f>_xlfn.XLOOKUP(PROPERTIES[[#This Row],[VEHIDCODE]],CONTROL[VEHIDCODE],CONTROL[ENGLISH])</f>
        <v>EMD/Clyde JT26C-2SS</v>
      </c>
      <c r="J257" s="2" t="b">
        <v>1</v>
      </c>
      <c r="AC257" s="2"/>
      <c r="AD257" s="2" t="b">
        <f>LEN(_xlfn.CONCAT(TRACK_TYPES[[#This Row],[TRACK_TYPE_STANDARD_GAUGE_RAILTYPE_OHLE]:[TRACK_TYPE_MTRO]]))&gt;0</f>
        <v>1</v>
      </c>
      <c r="AE257" s="38" t="b" cm="1">
        <f t="array" ref="AE257">IFERROR(_xlfn.BYROW(TRACK_TYPES[[#This Row],[TRACK_TYPE_STANDARD_GAUGE_RAILTYPE_OHLE]:[TRACK_TYPE_STANDARD_GAUGE_RAILTYPE_NONE]],_xlfn.LAMBDA(_xlpm.r,OR(_xlpm.r))),FALSE)</f>
        <v>1</v>
      </c>
      <c r="AF257" s="38" t="b" cm="1">
        <f t="array" ref="AF257">IFERROR(_xlfn.BYROW(TRACK_TYPES[[#This Row],[TRACK_TYPE_NARROW_GAUGE_RAILTYPE_OHLE]:[TRACK_TYPE_NARROW_GAUGE_RAILTYPE_NONE]],_xlfn.LAMBDA(_xlpm.r,OR(_xlpm.r))),FALSE)</f>
        <v>0</v>
      </c>
      <c r="AG257" s="38" t="b" cm="1">
        <f t="array" ref="AG257">IFERROR(_xlfn.BYROW(TRACK_TYPES[[#This Row],[TRACK_TYPE_BROAD_GAUGE_RAILTYPE_OHLE]:[TRACK_TYPE_BROAD_GAUGE_RAILTYPE_NONE]],_xlfn.LAMBDA(_xlpm.r,OR(_xlpm.r))),FALSE)</f>
        <v>0</v>
      </c>
      <c r="AH2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7"/>
      <c r="AQ257"/>
      <c r="AR257"/>
    </row>
    <row r="258" spans="1:44" x14ac:dyDescent="0.35">
      <c r="A258" s="2" t="s">
        <v>2893</v>
      </c>
      <c r="B258" s="40" t="str">
        <f>_xlfn.XLOOKUP(PROPERTIES[[#This Row],[VEHIDCODE]],CONTROL[VEHIDCODE],CONTROL[ENGLISH])</f>
        <v>Brush Class 60</v>
      </c>
      <c r="J258" s="2" t="b">
        <v>1</v>
      </c>
      <c r="AC258" s="2"/>
      <c r="AD258" s="2" t="b">
        <f>LEN(_xlfn.CONCAT(TRACK_TYPES[[#This Row],[TRACK_TYPE_STANDARD_GAUGE_RAILTYPE_OHLE]:[TRACK_TYPE_MTRO]]))&gt;0</f>
        <v>1</v>
      </c>
      <c r="AE258" s="38" t="b" cm="1">
        <f t="array" ref="AE258">IFERROR(_xlfn.BYROW(TRACK_TYPES[[#This Row],[TRACK_TYPE_STANDARD_GAUGE_RAILTYPE_OHLE]:[TRACK_TYPE_STANDARD_GAUGE_RAILTYPE_NONE]],_xlfn.LAMBDA(_xlpm.r,OR(_xlpm.r))),FALSE)</f>
        <v>1</v>
      </c>
      <c r="AF258" s="38" t="b" cm="1">
        <f t="array" ref="AF258">IFERROR(_xlfn.BYROW(TRACK_TYPES[[#This Row],[TRACK_TYPE_NARROW_GAUGE_RAILTYPE_OHLE]:[TRACK_TYPE_NARROW_GAUGE_RAILTYPE_NONE]],_xlfn.LAMBDA(_xlpm.r,OR(_xlpm.r))),FALSE)</f>
        <v>0</v>
      </c>
      <c r="AG258" s="38" t="b" cm="1">
        <f t="array" ref="AG258">IFERROR(_xlfn.BYROW(TRACK_TYPES[[#This Row],[TRACK_TYPE_BROAD_GAUGE_RAILTYPE_OHLE]:[TRACK_TYPE_BROAD_GAUGE_RAILTYPE_NONE]],_xlfn.LAMBDA(_xlpm.r,OR(_xlpm.r))),FALSE)</f>
        <v>0</v>
      </c>
      <c r="AH2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8"/>
      <c r="AQ258"/>
      <c r="AR258"/>
    </row>
    <row r="259" spans="1:44" x14ac:dyDescent="0.35">
      <c r="A259" s="2" t="s">
        <v>2894</v>
      </c>
      <c r="B259" s="40" t="str">
        <f>_xlfn.XLOOKUP(PROPERTIES[[#This Row],[VEHIDCODE]],CONTROL[VEHIDCODE],CONTROL[ENGLISH])</f>
        <v>GE/Goninan CM25-8</v>
      </c>
      <c r="R259" s="2" t="b">
        <v>1</v>
      </c>
      <c r="AC259" s="2"/>
      <c r="AD259" s="2" t="b">
        <f>LEN(_xlfn.CONCAT(TRACK_TYPES[[#This Row],[TRACK_TYPE_STANDARD_GAUGE_RAILTYPE_OHLE]:[TRACK_TYPE_MTRO]]))&gt;0</f>
        <v>1</v>
      </c>
      <c r="AE259" s="38" t="b" cm="1">
        <f t="array" ref="AE259">IFERROR(_xlfn.BYROW(TRACK_TYPES[[#This Row],[TRACK_TYPE_STANDARD_GAUGE_RAILTYPE_OHLE]:[TRACK_TYPE_STANDARD_GAUGE_RAILTYPE_NONE]],_xlfn.LAMBDA(_xlpm.r,OR(_xlpm.r))),FALSE)</f>
        <v>0</v>
      </c>
      <c r="AF259" s="38" t="b" cm="1">
        <f t="array" ref="AF259">IFERROR(_xlfn.BYROW(TRACK_TYPES[[#This Row],[TRACK_TYPE_NARROW_GAUGE_RAILTYPE_OHLE]:[TRACK_TYPE_NARROW_GAUGE_RAILTYPE_NONE]],_xlfn.LAMBDA(_xlpm.r,OR(_xlpm.r))),FALSE)</f>
        <v>1</v>
      </c>
      <c r="AG259" s="38" t="b" cm="1">
        <f t="array" ref="AG259">IFERROR(_xlfn.BYROW(TRACK_TYPES[[#This Row],[TRACK_TYPE_BROAD_GAUGE_RAILTYPE_OHLE]:[TRACK_TYPE_BROAD_GAUGE_RAILTYPE_NONE]],_xlfn.LAMBDA(_xlpm.r,OR(_xlpm.r))),FALSE)</f>
        <v>0</v>
      </c>
      <c r="AH2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59"/>
      <c r="AQ259"/>
      <c r="AR259"/>
    </row>
    <row r="260" spans="1:44" x14ac:dyDescent="0.35">
      <c r="A260" s="2" t="s">
        <v>2895</v>
      </c>
      <c r="B260" s="40" t="str">
        <f>_xlfn.XLOOKUP(PROPERTIES[[#This Row],[VEHIDCODE]],CONTROL[VEHIDCODE],CONTROL[ENGLISH])</f>
        <v>EMD SD70ACS</v>
      </c>
      <c r="Z260" s="2" t="b">
        <v>1</v>
      </c>
      <c r="AC260" s="2"/>
      <c r="AD260" s="2" t="b">
        <f>LEN(_xlfn.CONCAT(TRACK_TYPES[[#This Row],[TRACK_TYPE_STANDARD_GAUGE_RAILTYPE_OHLE]:[TRACK_TYPE_MTRO]]))&gt;0</f>
        <v>1</v>
      </c>
      <c r="AE260" s="38" t="b" cm="1">
        <f t="array" ref="AE260">IFERROR(_xlfn.BYROW(TRACK_TYPES[[#This Row],[TRACK_TYPE_STANDARD_GAUGE_RAILTYPE_OHLE]:[TRACK_TYPE_STANDARD_GAUGE_RAILTYPE_NONE]],_xlfn.LAMBDA(_xlpm.r,OR(_xlpm.r))),FALSE)</f>
        <v>0</v>
      </c>
      <c r="AF260" s="38" t="b" cm="1">
        <f t="array" ref="AF260">IFERROR(_xlfn.BYROW(TRACK_TYPES[[#This Row],[TRACK_TYPE_NARROW_GAUGE_RAILTYPE_OHLE]:[TRACK_TYPE_NARROW_GAUGE_RAILTYPE_NONE]],_xlfn.LAMBDA(_xlpm.r,OR(_xlpm.r))),FALSE)</f>
        <v>0</v>
      </c>
      <c r="AG260" s="38" t="b" cm="1">
        <f t="array" ref="AG260">IFERROR(_xlfn.BYROW(TRACK_TYPES[[#This Row],[TRACK_TYPE_BROAD_GAUGE_RAILTYPE_OHLE]:[TRACK_TYPE_BROAD_GAUGE_RAILTYPE_NONE]],_xlfn.LAMBDA(_xlpm.r,OR(_xlpm.r))),FALSE)</f>
        <v>1</v>
      </c>
      <c r="AH2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60"/>
      <c r="AQ260"/>
      <c r="AR260"/>
    </row>
    <row r="261" spans="1:44" x14ac:dyDescent="0.35">
      <c r="A261" s="2" t="s">
        <v>2896</v>
      </c>
      <c r="B261" s="40" t="str">
        <f>_xlfn.XLOOKUP(PROPERTIES[[#This Row],[VEHIDCODE]],CONTROL[VEHIDCODE],CONTROL[ENGLISH])</f>
        <v>GMD JT42HCW</v>
      </c>
      <c r="Z261" s="2" t="b">
        <v>1</v>
      </c>
      <c r="AC261" s="2"/>
      <c r="AD261" s="2" t="b">
        <f>LEN(_xlfn.CONCAT(TRACK_TYPES[[#This Row],[TRACK_TYPE_STANDARD_GAUGE_RAILTYPE_OHLE]:[TRACK_TYPE_MTRO]]))&gt;0</f>
        <v>1</v>
      </c>
      <c r="AE261" s="38" t="b" cm="1">
        <f t="array" ref="AE261">IFERROR(_xlfn.BYROW(TRACK_TYPES[[#This Row],[TRACK_TYPE_STANDARD_GAUGE_RAILTYPE_OHLE]:[TRACK_TYPE_STANDARD_GAUGE_RAILTYPE_NONE]],_xlfn.LAMBDA(_xlpm.r,OR(_xlpm.r))),FALSE)</f>
        <v>0</v>
      </c>
      <c r="AF261" s="38" t="b" cm="1">
        <f t="array" ref="AF261">IFERROR(_xlfn.BYROW(TRACK_TYPES[[#This Row],[TRACK_TYPE_NARROW_GAUGE_RAILTYPE_OHLE]:[TRACK_TYPE_NARROW_GAUGE_RAILTYPE_NONE]],_xlfn.LAMBDA(_xlpm.r,OR(_xlpm.r))),FALSE)</f>
        <v>0</v>
      </c>
      <c r="AG261" s="38" t="b" cm="1">
        <f t="array" ref="AG261">IFERROR(_xlfn.BYROW(TRACK_TYPES[[#This Row],[TRACK_TYPE_BROAD_GAUGE_RAILTYPE_OHLE]:[TRACK_TYPE_BROAD_GAUGE_RAILTYPE_NONE]],_xlfn.LAMBDA(_xlpm.r,OR(_xlpm.r))),FALSE)</f>
        <v>1</v>
      </c>
      <c r="AH2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61"/>
      <c r="AQ261"/>
      <c r="AR261"/>
    </row>
    <row r="262" spans="1:44" x14ac:dyDescent="0.35">
      <c r="A262" s="2" t="s">
        <v>2897</v>
      </c>
      <c r="B262" s="40" t="str">
        <f>_xlfn.XLOOKUP(PROPERTIES[[#This Row],[VEHIDCODE]],CONTROL[VEHIDCODE],CONTROL[ENGLISH])</f>
        <v>EMD F59PH</v>
      </c>
      <c r="J262" s="2" t="b">
        <v>1</v>
      </c>
      <c r="AC262" s="2"/>
      <c r="AD262" s="2" t="b">
        <f>LEN(_xlfn.CONCAT(TRACK_TYPES[[#This Row],[TRACK_TYPE_STANDARD_GAUGE_RAILTYPE_OHLE]:[TRACK_TYPE_MTRO]]))&gt;0</f>
        <v>1</v>
      </c>
      <c r="AE262" s="38" t="b" cm="1">
        <f t="array" ref="AE262">IFERROR(_xlfn.BYROW(TRACK_TYPES[[#This Row],[TRACK_TYPE_STANDARD_GAUGE_RAILTYPE_OHLE]:[TRACK_TYPE_STANDARD_GAUGE_RAILTYPE_NONE]],_xlfn.LAMBDA(_xlpm.r,OR(_xlpm.r))),FALSE)</f>
        <v>1</v>
      </c>
      <c r="AF262" s="38" t="b" cm="1">
        <f t="array" ref="AF262">IFERROR(_xlfn.BYROW(TRACK_TYPES[[#This Row],[TRACK_TYPE_NARROW_GAUGE_RAILTYPE_OHLE]:[TRACK_TYPE_NARROW_GAUGE_RAILTYPE_NONE]],_xlfn.LAMBDA(_xlpm.r,OR(_xlpm.r))),FALSE)</f>
        <v>0</v>
      </c>
      <c r="AG262" s="38" t="b" cm="1">
        <f t="array" ref="AG262">IFERROR(_xlfn.BYROW(TRACK_TYPES[[#This Row],[TRACK_TYPE_BROAD_GAUGE_RAILTYPE_OHLE]:[TRACK_TYPE_BROAD_GAUGE_RAILTYPE_NONE]],_xlfn.LAMBDA(_xlpm.r,OR(_xlpm.r))),FALSE)</f>
        <v>0</v>
      </c>
      <c r="AH2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62"/>
      <c r="AQ262"/>
      <c r="AR262"/>
    </row>
    <row r="263" spans="1:44" x14ac:dyDescent="0.35">
      <c r="A263" s="2" t="s">
        <v>2898</v>
      </c>
      <c r="B263" s="40" t="str">
        <f>_xlfn.XLOOKUP(PROPERTIES[[#This Row],[VEHIDCODE]],CONTROL[VEHIDCODE],CONTROL[ENGLISH])</f>
        <v>MaK/Vossloh G1206</v>
      </c>
      <c r="J263" s="2" t="b">
        <v>1</v>
      </c>
      <c r="AC263" s="2"/>
      <c r="AD263" s="2" t="b">
        <f>LEN(_xlfn.CONCAT(TRACK_TYPES[[#This Row],[TRACK_TYPE_STANDARD_GAUGE_RAILTYPE_OHLE]:[TRACK_TYPE_MTRO]]))&gt;0</f>
        <v>1</v>
      </c>
      <c r="AE263" s="38" t="b" cm="1">
        <f t="array" ref="AE263">IFERROR(_xlfn.BYROW(TRACK_TYPES[[#This Row],[TRACK_TYPE_STANDARD_GAUGE_RAILTYPE_OHLE]:[TRACK_TYPE_STANDARD_GAUGE_RAILTYPE_NONE]],_xlfn.LAMBDA(_xlpm.r,OR(_xlpm.r))),FALSE)</f>
        <v>1</v>
      </c>
      <c r="AF263" s="38" t="b" cm="1">
        <f t="array" ref="AF263">IFERROR(_xlfn.BYROW(TRACK_TYPES[[#This Row],[TRACK_TYPE_NARROW_GAUGE_RAILTYPE_OHLE]:[TRACK_TYPE_NARROW_GAUGE_RAILTYPE_NONE]],_xlfn.LAMBDA(_xlpm.r,OR(_xlpm.r))),FALSE)</f>
        <v>0</v>
      </c>
      <c r="AG263" s="38" t="b" cm="1">
        <f t="array" ref="AG263">IFERROR(_xlfn.BYROW(TRACK_TYPES[[#This Row],[TRACK_TYPE_BROAD_GAUGE_RAILTYPE_OHLE]:[TRACK_TYPE_BROAD_GAUGE_RAILTYPE_NONE]],_xlfn.LAMBDA(_xlpm.r,OR(_xlpm.r))),FALSE)</f>
        <v>0</v>
      </c>
      <c r="AH2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63"/>
      <c r="AQ263"/>
      <c r="AR263"/>
    </row>
    <row r="264" spans="1:44" x14ac:dyDescent="0.35">
      <c r="A264" s="2" t="s">
        <v>2899</v>
      </c>
      <c r="B264" s="40" t="str">
        <f>_xlfn.XLOOKUP(PROPERTIES[[#This Row],[VEHIDCODE]],CONTROL[VEHIDCODE],CONTROL[ENGLISH])</f>
        <v>Vossloh G 2000 BB</v>
      </c>
      <c r="J264" s="2" t="b">
        <v>1</v>
      </c>
      <c r="AC264" s="2"/>
      <c r="AD264" s="2" t="b">
        <f>LEN(_xlfn.CONCAT(TRACK_TYPES[[#This Row],[TRACK_TYPE_STANDARD_GAUGE_RAILTYPE_OHLE]:[TRACK_TYPE_MTRO]]))&gt;0</f>
        <v>1</v>
      </c>
      <c r="AE264" s="38" t="b" cm="1">
        <f t="array" ref="AE264">IFERROR(_xlfn.BYROW(TRACK_TYPES[[#This Row],[TRACK_TYPE_STANDARD_GAUGE_RAILTYPE_OHLE]:[TRACK_TYPE_STANDARD_GAUGE_RAILTYPE_NONE]],_xlfn.LAMBDA(_xlpm.r,OR(_xlpm.r))),FALSE)</f>
        <v>1</v>
      </c>
      <c r="AF264" s="38" t="b" cm="1">
        <f t="array" ref="AF264">IFERROR(_xlfn.BYROW(TRACK_TYPES[[#This Row],[TRACK_TYPE_NARROW_GAUGE_RAILTYPE_OHLE]:[TRACK_TYPE_NARROW_GAUGE_RAILTYPE_NONE]],_xlfn.LAMBDA(_xlpm.r,OR(_xlpm.r))),FALSE)</f>
        <v>0</v>
      </c>
      <c r="AG264" s="38" t="b" cm="1">
        <f t="array" ref="AG264">IFERROR(_xlfn.BYROW(TRACK_TYPES[[#This Row],[TRACK_TYPE_BROAD_GAUGE_RAILTYPE_OHLE]:[TRACK_TYPE_BROAD_GAUGE_RAILTYPE_NONE]],_xlfn.LAMBDA(_xlpm.r,OR(_xlpm.r))),FALSE)</f>
        <v>0</v>
      </c>
      <c r="AH2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64"/>
      <c r="AQ264"/>
      <c r="AR264"/>
    </row>
    <row r="265" spans="1:44" x14ac:dyDescent="0.35">
      <c r="A265" s="2" t="s">
        <v>2900</v>
      </c>
      <c r="B265" s="40" t="str">
        <f>_xlfn.XLOOKUP(PROPERTIES[[#This Row],[VEHIDCODE]],CONTROL[VEHIDCODE],CONTROL[ENGLISH])</f>
        <v>MPI MP40PH-3C</v>
      </c>
      <c r="J265" s="2" t="b">
        <v>1</v>
      </c>
      <c r="AC265" s="2"/>
      <c r="AD265" s="2" t="b">
        <f>LEN(_xlfn.CONCAT(TRACK_TYPES[[#This Row],[TRACK_TYPE_STANDARD_GAUGE_RAILTYPE_OHLE]:[TRACK_TYPE_MTRO]]))&gt;0</f>
        <v>1</v>
      </c>
      <c r="AE265" s="38" t="b" cm="1">
        <f t="array" ref="AE265">IFERROR(_xlfn.BYROW(TRACK_TYPES[[#This Row],[TRACK_TYPE_STANDARD_GAUGE_RAILTYPE_OHLE]:[TRACK_TYPE_STANDARD_GAUGE_RAILTYPE_NONE]],_xlfn.LAMBDA(_xlpm.r,OR(_xlpm.r))),FALSE)</f>
        <v>1</v>
      </c>
      <c r="AF265" s="38" t="b" cm="1">
        <f t="array" ref="AF265">IFERROR(_xlfn.BYROW(TRACK_TYPES[[#This Row],[TRACK_TYPE_NARROW_GAUGE_RAILTYPE_OHLE]:[TRACK_TYPE_NARROW_GAUGE_RAILTYPE_NONE]],_xlfn.LAMBDA(_xlpm.r,OR(_xlpm.r))),FALSE)</f>
        <v>0</v>
      </c>
      <c r="AG265" s="38" t="b" cm="1">
        <f t="array" ref="AG265">IFERROR(_xlfn.BYROW(TRACK_TYPES[[#This Row],[TRACK_TYPE_BROAD_GAUGE_RAILTYPE_OHLE]:[TRACK_TYPE_BROAD_GAUGE_RAILTYPE_NONE]],_xlfn.LAMBDA(_xlpm.r,OR(_xlpm.r))),FALSE)</f>
        <v>0</v>
      </c>
      <c r="AH2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65"/>
      <c r="AQ265"/>
      <c r="AR265"/>
    </row>
    <row r="266" spans="1:44" x14ac:dyDescent="0.35">
      <c r="A266" s="2" t="s">
        <v>3470</v>
      </c>
      <c r="B266" s="40" t="str">
        <f>_xlfn.XLOOKUP(PROPERTIES[[#This Row],[VEHIDCODE]],CONTROL[VEHIDCODE],CONTROL[ENGLISH])</f>
        <v>Vossloh Espana/EMD 334</v>
      </c>
      <c r="Z266" s="2" t="b">
        <v>1</v>
      </c>
      <c r="AC266" s="2"/>
      <c r="AD266" s="2" t="b">
        <f>LEN(_xlfn.CONCAT(TRACK_TYPES[[#This Row],[TRACK_TYPE_STANDARD_GAUGE_RAILTYPE_OHLE]:[TRACK_TYPE_MTRO]]))&gt;0</f>
        <v>1</v>
      </c>
      <c r="AE266" s="38" t="b" cm="1">
        <f t="array" ref="AE266">IFERROR(_xlfn.BYROW(TRACK_TYPES[[#This Row],[TRACK_TYPE_STANDARD_GAUGE_RAILTYPE_OHLE]:[TRACK_TYPE_STANDARD_GAUGE_RAILTYPE_NONE]],_xlfn.LAMBDA(_xlpm.r,OR(_xlpm.r))),FALSE)</f>
        <v>0</v>
      </c>
      <c r="AF266" s="38" t="b" cm="1">
        <f t="array" ref="AF266">IFERROR(_xlfn.BYROW(TRACK_TYPES[[#This Row],[TRACK_TYPE_NARROW_GAUGE_RAILTYPE_OHLE]:[TRACK_TYPE_NARROW_GAUGE_RAILTYPE_NONE]],_xlfn.LAMBDA(_xlpm.r,OR(_xlpm.r))),FALSE)</f>
        <v>0</v>
      </c>
      <c r="AG266" s="38" t="b" cm="1">
        <f t="array" ref="AG266">IFERROR(_xlfn.BYROW(TRACK_TYPES[[#This Row],[TRACK_TYPE_BROAD_GAUGE_RAILTYPE_OHLE]:[TRACK_TYPE_BROAD_GAUGE_RAILTYPE_NONE]],_xlfn.LAMBDA(_xlpm.r,OR(_xlpm.r))),FALSE)</f>
        <v>1</v>
      </c>
      <c r="AH2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66"/>
      <c r="AQ266"/>
      <c r="AR266"/>
    </row>
    <row r="267" spans="1:44" x14ac:dyDescent="0.35">
      <c r="A267" s="2" t="s">
        <v>2901</v>
      </c>
      <c r="B267" s="40" t="str">
        <f>_xlfn.XLOOKUP(PROPERTIES[[#This Row],[VEHIDCODE]],CONTROL[VEHIDCODE],CONTROL[ENGLISH])</f>
        <v>INKA CC300</v>
      </c>
      <c r="R267" s="2" t="b">
        <v>1</v>
      </c>
      <c r="AC267" s="2"/>
      <c r="AD267" s="2" t="b">
        <f>LEN(_xlfn.CONCAT(TRACK_TYPES[[#This Row],[TRACK_TYPE_STANDARD_GAUGE_RAILTYPE_OHLE]:[TRACK_TYPE_MTRO]]))&gt;0</f>
        <v>1</v>
      </c>
      <c r="AE267" s="38" t="b" cm="1">
        <f t="array" ref="AE267">IFERROR(_xlfn.BYROW(TRACK_TYPES[[#This Row],[TRACK_TYPE_STANDARD_GAUGE_RAILTYPE_OHLE]:[TRACK_TYPE_STANDARD_GAUGE_RAILTYPE_NONE]],_xlfn.LAMBDA(_xlpm.r,OR(_xlpm.r))),FALSE)</f>
        <v>0</v>
      </c>
      <c r="AF267" s="38" t="b" cm="1">
        <f t="array" ref="AF267">IFERROR(_xlfn.BYROW(TRACK_TYPES[[#This Row],[TRACK_TYPE_NARROW_GAUGE_RAILTYPE_OHLE]:[TRACK_TYPE_NARROW_GAUGE_RAILTYPE_NONE]],_xlfn.LAMBDA(_xlpm.r,OR(_xlpm.r))),FALSE)</f>
        <v>1</v>
      </c>
      <c r="AG267" s="38" t="b" cm="1">
        <f t="array" ref="AG267">IFERROR(_xlfn.BYROW(TRACK_TYPES[[#This Row],[TRACK_TYPE_BROAD_GAUGE_RAILTYPE_OHLE]:[TRACK_TYPE_BROAD_GAUGE_RAILTYPE_NONE]],_xlfn.LAMBDA(_xlpm.r,OR(_xlpm.r))),FALSE)</f>
        <v>0</v>
      </c>
      <c r="AH2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67"/>
      <c r="AQ267"/>
      <c r="AR267"/>
    </row>
    <row r="268" spans="1:44" x14ac:dyDescent="0.35">
      <c r="A268" s="2" t="s">
        <v>2902</v>
      </c>
      <c r="B268" s="40" t="str">
        <f>_xlfn.XLOOKUP(PROPERTIES[[#This Row],[VEHIDCODE]],CONTROL[VEHIDCODE],CONTROL[ENGLISH])</f>
        <v>Great Southern Railway DH501</v>
      </c>
      <c r="Z268" s="2" t="b">
        <v>1</v>
      </c>
      <c r="AC268" s="2"/>
      <c r="AD268" s="2" t="b">
        <f>LEN(_xlfn.CONCAT(TRACK_TYPES[[#This Row],[TRACK_TYPE_STANDARD_GAUGE_RAILTYPE_OHLE]:[TRACK_TYPE_MTRO]]))&gt;0</f>
        <v>1</v>
      </c>
      <c r="AE268" s="38" t="b" cm="1">
        <f t="array" ref="AE268">IFERROR(_xlfn.BYROW(TRACK_TYPES[[#This Row],[TRACK_TYPE_STANDARD_GAUGE_RAILTYPE_OHLE]:[TRACK_TYPE_STANDARD_GAUGE_RAILTYPE_NONE]],_xlfn.LAMBDA(_xlpm.r,OR(_xlpm.r))),FALSE)</f>
        <v>0</v>
      </c>
      <c r="AF268" s="38" t="b" cm="1">
        <f t="array" ref="AF268">IFERROR(_xlfn.BYROW(TRACK_TYPES[[#This Row],[TRACK_TYPE_NARROW_GAUGE_RAILTYPE_OHLE]:[TRACK_TYPE_NARROW_GAUGE_RAILTYPE_NONE]],_xlfn.LAMBDA(_xlpm.r,OR(_xlpm.r))),FALSE)</f>
        <v>0</v>
      </c>
      <c r="AG268" s="38" t="b" cm="1">
        <f t="array" ref="AG268">IFERROR(_xlfn.BYROW(TRACK_TYPES[[#This Row],[TRACK_TYPE_BROAD_GAUGE_RAILTYPE_OHLE]:[TRACK_TYPE_BROAD_GAUGE_RAILTYPE_NONE]],_xlfn.LAMBDA(_xlpm.r,OR(_xlpm.r))),FALSE)</f>
        <v>1</v>
      </c>
      <c r="AH2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68"/>
      <c r="AQ268"/>
      <c r="AR268"/>
    </row>
    <row r="269" spans="1:44" x14ac:dyDescent="0.35">
      <c r="A269" s="2" t="s">
        <v>2903</v>
      </c>
      <c r="B269" s="40" t="str">
        <f>_xlfn.XLOOKUP(PROPERTIES[[#This Row],[VEHIDCODE]],CONTROL[VEHIDCODE],CONTROL[ENGLISH])</f>
        <v>EE VFFLB</v>
      </c>
      <c r="R269" s="2" t="b">
        <v>1</v>
      </c>
      <c r="AC269" s="2"/>
      <c r="AD269" s="2" t="b">
        <f>LEN(_xlfn.CONCAT(TRACK_TYPES[[#This Row],[TRACK_TYPE_STANDARD_GAUGE_RAILTYPE_OHLE]:[TRACK_TYPE_MTRO]]))&gt;0</f>
        <v>1</v>
      </c>
      <c r="AE269" s="38" t="b" cm="1">
        <f t="array" ref="AE269">IFERROR(_xlfn.BYROW(TRACK_TYPES[[#This Row],[TRACK_TYPE_STANDARD_GAUGE_RAILTYPE_OHLE]:[TRACK_TYPE_STANDARD_GAUGE_RAILTYPE_NONE]],_xlfn.LAMBDA(_xlpm.r,OR(_xlpm.r))),FALSE)</f>
        <v>0</v>
      </c>
      <c r="AF269" s="38" t="b" cm="1">
        <f t="array" ref="AF269">IFERROR(_xlfn.BYROW(TRACK_TYPES[[#This Row],[TRACK_TYPE_NARROW_GAUGE_RAILTYPE_OHLE]:[TRACK_TYPE_NARROW_GAUGE_RAILTYPE_NONE]],_xlfn.LAMBDA(_xlpm.r,OR(_xlpm.r))),FALSE)</f>
        <v>1</v>
      </c>
      <c r="AG269" s="38" t="b" cm="1">
        <f t="array" ref="AG269">IFERROR(_xlfn.BYROW(TRACK_TYPES[[#This Row],[TRACK_TYPE_BROAD_GAUGE_RAILTYPE_OHLE]:[TRACK_TYPE_BROAD_GAUGE_RAILTYPE_NONE]],_xlfn.LAMBDA(_xlpm.r,OR(_xlpm.r))),FALSE)</f>
        <v>0</v>
      </c>
      <c r="AH2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69"/>
      <c r="AQ269"/>
      <c r="AR269"/>
    </row>
    <row r="270" spans="1:44" x14ac:dyDescent="0.35">
      <c r="A270" s="2" t="s">
        <v>2904</v>
      </c>
      <c r="B270" s="40" t="str">
        <f>_xlfn.XLOOKUP(PROPERTIES[[#This Row],[VEHIDCODE]],CONTROL[VEHIDCODE],CONTROL[ENGLISH])</f>
        <v>GE U5B</v>
      </c>
      <c r="J270" s="2" t="b">
        <v>1</v>
      </c>
      <c r="R270" s="2" t="b">
        <v>1</v>
      </c>
      <c r="Z270" s="2" t="b">
        <v>1</v>
      </c>
      <c r="AC270" s="2"/>
      <c r="AD270" s="2" t="b">
        <f>LEN(_xlfn.CONCAT(TRACK_TYPES[[#This Row],[TRACK_TYPE_STANDARD_GAUGE_RAILTYPE_OHLE]:[TRACK_TYPE_MTRO]]))&gt;0</f>
        <v>1</v>
      </c>
      <c r="AE270" s="38" t="b" cm="1">
        <f t="array" ref="AE270">IFERROR(_xlfn.BYROW(TRACK_TYPES[[#This Row],[TRACK_TYPE_STANDARD_GAUGE_RAILTYPE_OHLE]:[TRACK_TYPE_STANDARD_GAUGE_RAILTYPE_NONE]],_xlfn.LAMBDA(_xlpm.r,OR(_xlpm.r))),FALSE)</f>
        <v>1</v>
      </c>
      <c r="AF270" s="38" t="b" cm="1">
        <f t="array" ref="AF270">IFERROR(_xlfn.BYROW(TRACK_TYPES[[#This Row],[TRACK_TYPE_NARROW_GAUGE_RAILTYPE_OHLE]:[TRACK_TYPE_NARROW_GAUGE_RAILTYPE_NONE]],_xlfn.LAMBDA(_xlpm.r,OR(_xlpm.r))),FALSE)</f>
        <v>1</v>
      </c>
      <c r="AG270" s="38" t="b" cm="1">
        <f t="array" ref="AG270">IFERROR(_xlfn.BYROW(TRACK_TYPES[[#This Row],[TRACK_TYPE_BROAD_GAUGE_RAILTYPE_OHLE]:[TRACK_TYPE_BROAD_GAUGE_RAILTYPE_NONE]],_xlfn.LAMBDA(_xlpm.r,OR(_xlpm.r))),FALSE)</f>
        <v>1</v>
      </c>
      <c r="AH2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0"/>
      <c r="AQ270"/>
      <c r="AR270"/>
    </row>
    <row r="271" spans="1:44" x14ac:dyDescent="0.35">
      <c r="A271" s="2" t="s">
        <v>2905</v>
      </c>
      <c r="B271" s="40" t="str">
        <f>_xlfn.XLOOKUP(PROPERTIES[[#This Row],[VEHIDCODE]],CONTROL[VEHIDCODE],CONTROL[ENGLISH])</f>
        <v>ALCO RSD-39</v>
      </c>
      <c r="J271" s="2" t="b">
        <v>1</v>
      </c>
      <c r="R271" s="2" t="b">
        <v>1</v>
      </c>
      <c r="Z271" s="2" t="b">
        <v>1</v>
      </c>
      <c r="AC271" s="2"/>
      <c r="AD271" s="2" t="b">
        <f>LEN(_xlfn.CONCAT(TRACK_TYPES[[#This Row],[TRACK_TYPE_STANDARD_GAUGE_RAILTYPE_OHLE]:[TRACK_TYPE_MTRO]]))&gt;0</f>
        <v>1</v>
      </c>
      <c r="AE271" s="38" t="b" cm="1">
        <f t="array" ref="AE271">IFERROR(_xlfn.BYROW(TRACK_TYPES[[#This Row],[TRACK_TYPE_STANDARD_GAUGE_RAILTYPE_OHLE]:[TRACK_TYPE_STANDARD_GAUGE_RAILTYPE_NONE]],_xlfn.LAMBDA(_xlpm.r,OR(_xlpm.r))),FALSE)</f>
        <v>1</v>
      </c>
      <c r="AF271" s="38" t="b" cm="1">
        <f t="array" ref="AF271">IFERROR(_xlfn.BYROW(TRACK_TYPES[[#This Row],[TRACK_TYPE_NARROW_GAUGE_RAILTYPE_OHLE]:[TRACK_TYPE_NARROW_GAUGE_RAILTYPE_NONE]],_xlfn.LAMBDA(_xlpm.r,OR(_xlpm.r))),FALSE)</f>
        <v>1</v>
      </c>
      <c r="AG271" s="38" t="b" cm="1">
        <f t="array" ref="AG271">IFERROR(_xlfn.BYROW(TRACK_TYPES[[#This Row],[TRACK_TYPE_BROAD_GAUGE_RAILTYPE_OHLE]:[TRACK_TYPE_BROAD_GAUGE_RAILTYPE_NONE]],_xlfn.LAMBDA(_xlpm.r,OR(_xlpm.r))),FALSE)</f>
        <v>1</v>
      </c>
      <c r="AH2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1"/>
      <c r="AQ271"/>
      <c r="AR271"/>
    </row>
    <row r="272" spans="1:44" x14ac:dyDescent="0.35">
      <c r="A272" s="2" t="s">
        <v>2906</v>
      </c>
      <c r="B272" s="40" t="str">
        <f>_xlfn.XLOOKUP(PROPERTIES[[#This Row],[VEHIDCODE]],CONTROL[VEHIDCODE],CONTROL[ENGLISH])</f>
        <v>EMD DDM45</v>
      </c>
      <c r="R272" s="2" t="b">
        <v>1</v>
      </c>
      <c r="AC272" s="2"/>
      <c r="AD272" s="2" t="b">
        <f>LEN(_xlfn.CONCAT(TRACK_TYPES[[#This Row],[TRACK_TYPE_STANDARD_GAUGE_RAILTYPE_OHLE]:[TRACK_TYPE_MTRO]]))&gt;0</f>
        <v>1</v>
      </c>
      <c r="AE272" s="38" t="b" cm="1">
        <f t="array" ref="AE272">IFERROR(_xlfn.BYROW(TRACK_TYPES[[#This Row],[TRACK_TYPE_STANDARD_GAUGE_RAILTYPE_OHLE]:[TRACK_TYPE_STANDARD_GAUGE_RAILTYPE_NONE]],_xlfn.LAMBDA(_xlpm.r,OR(_xlpm.r))),FALSE)</f>
        <v>0</v>
      </c>
      <c r="AF272" s="38" t="b" cm="1">
        <f t="array" ref="AF272">IFERROR(_xlfn.BYROW(TRACK_TYPES[[#This Row],[TRACK_TYPE_NARROW_GAUGE_RAILTYPE_OHLE]:[TRACK_TYPE_NARROW_GAUGE_RAILTYPE_NONE]],_xlfn.LAMBDA(_xlpm.r,OR(_xlpm.r))),FALSE)</f>
        <v>1</v>
      </c>
      <c r="AG272" s="38" t="b" cm="1">
        <f t="array" ref="AG272">IFERROR(_xlfn.BYROW(TRACK_TYPES[[#This Row],[TRACK_TYPE_BROAD_GAUGE_RAILTYPE_OHLE]:[TRACK_TYPE_BROAD_GAUGE_RAILTYPE_NONE]],_xlfn.LAMBDA(_xlpm.r,OR(_xlpm.r))),FALSE)</f>
        <v>0</v>
      </c>
      <c r="AH2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72"/>
      <c r="AQ272"/>
      <c r="AR272"/>
    </row>
    <row r="273" spans="1:44" x14ac:dyDescent="0.35">
      <c r="A273" s="2" t="s">
        <v>2907</v>
      </c>
      <c r="B273" s="40" t="str">
        <f>_xlfn.XLOOKUP(PROPERTIES[[#This Row],[VEHIDCODE]],CONTROL[VEHIDCODE],CONTROL[ENGLISH])</f>
        <v>GE C39-8</v>
      </c>
      <c r="J273" s="2" t="b">
        <v>1</v>
      </c>
      <c r="AC273" s="2"/>
      <c r="AD273" s="2" t="b">
        <f>LEN(_xlfn.CONCAT(TRACK_TYPES[[#This Row],[TRACK_TYPE_STANDARD_GAUGE_RAILTYPE_OHLE]:[TRACK_TYPE_MTRO]]))&gt;0</f>
        <v>1</v>
      </c>
      <c r="AE273" s="38" t="b" cm="1">
        <f t="array" ref="AE273">IFERROR(_xlfn.BYROW(TRACK_TYPES[[#This Row],[TRACK_TYPE_STANDARD_GAUGE_RAILTYPE_OHLE]:[TRACK_TYPE_STANDARD_GAUGE_RAILTYPE_NONE]],_xlfn.LAMBDA(_xlpm.r,OR(_xlpm.r))),FALSE)</f>
        <v>1</v>
      </c>
      <c r="AF273" s="38" t="b" cm="1">
        <f t="array" ref="AF273">IFERROR(_xlfn.BYROW(TRACK_TYPES[[#This Row],[TRACK_TYPE_NARROW_GAUGE_RAILTYPE_OHLE]:[TRACK_TYPE_NARROW_GAUGE_RAILTYPE_NONE]],_xlfn.LAMBDA(_xlpm.r,OR(_xlpm.r))),FALSE)</f>
        <v>0</v>
      </c>
      <c r="AG273" s="38" t="b" cm="1">
        <f t="array" ref="AG273">IFERROR(_xlfn.BYROW(TRACK_TYPES[[#This Row],[TRACK_TYPE_BROAD_GAUGE_RAILTYPE_OHLE]:[TRACK_TYPE_BROAD_GAUGE_RAILTYPE_NONE]],_xlfn.LAMBDA(_xlpm.r,OR(_xlpm.r))),FALSE)</f>
        <v>0</v>
      </c>
      <c r="AH2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3"/>
      <c r="AQ273"/>
      <c r="AR273"/>
    </row>
    <row r="274" spans="1:44" x14ac:dyDescent="0.35">
      <c r="A274" s="2" t="s">
        <v>2908</v>
      </c>
      <c r="B274" s="40" t="str">
        <f>_xlfn.XLOOKUP(PROPERTIES[[#This Row],[VEHIDCODE]],CONTROL[VEHIDCODE],CONTROL[ENGLISH])</f>
        <v>Macosa-Meinfesa 319.3 J26 CW/HEP</v>
      </c>
      <c r="Z274" s="2" t="b">
        <v>1</v>
      </c>
      <c r="AC274" s="2"/>
      <c r="AD274" s="2" t="b">
        <f>LEN(_xlfn.CONCAT(TRACK_TYPES[[#This Row],[TRACK_TYPE_STANDARD_GAUGE_RAILTYPE_OHLE]:[TRACK_TYPE_MTRO]]))&gt;0</f>
        <v>1</v>
      </c>
      <c r="AE274" s="38" t="b" cm="1">
        <f t="array" ref="AE274">IFERROR(_xlfn.BYROW(TRACK_TYPES[[#This Row],[TRACK_TYPE_STANDARD_GAUGE_RAILTYPE_OHLE]:[TRACK_TYPE_STANDARD_GAUGE_RAILTYPE_NONE]],_xlfn.LAMBDA(_xlpm.r,OR(_xlpm.r))),FALSE)</f>
        <v>0</v>
      </c>
      <c r="AF274" s="38" t="b" cm="1">
        <f t="array" ref="AF274">IFERROR(_xlfn.BYROW(TRACK_TYPES[[#This Row],[TRACK_TYPE_NARROW_GAUGE_RAILTYPE_OHLE]:[TRACK_TYPE_NARROW_GAUGE_RAILTYPE_NONE]],_xlfn.LAMBDA(_xlpm.r,OR(_xlpm.r))),FALSE)</f>
        <v>0</v>
      </c>
      <c r="AG274" s="38" t="b" cm="1">
        <f t="array" ref="AG274">IFERROR(_xlfn.BYROW(TRACK_TYPES[[#This Row],[TRACK_TYPE_BROAD_GAUGE_RAILTYPE_OHLE]:[TRACK_TYPE_BROAD_GAUGE_RAILTYPE_NONE]],_xlfn.LAMBDA(_xlpm.r,OR(_xlpm.r))),FALSE)</f>
        <v>1</v>
      </c>
      <c r="AH2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74"/>
      <c r="AQ274"/>
      <c r="AR274"/>
    </row>
    <row r="275" spans="1:44" x14ac:dyDescent="0.35">
      <c r="A275" s="2" t="s">
        <v>2909</v>
      </c>
      <c r="B275" s="40" t="str">
        <f>_xlfn.XLOOKUP(PROPERTIES[[#This Row],[VEHIDCODE]],CONTROL[VEHIDCODE],CONTROL[ENGLISH])</f>
        <v>CNR CKD8G</v>
      </c>
      <c r="Z275" s="2" t="b">
        <v>1</v>
      </c>
      <c r="AC275" s="2"/>
      <c r="AD275" s="2" t="b">
        <f>LEN(_xlfn.CONCAT(TRACK_TYPES[[#This Row],[TRACK_TYPE_STANDARD_GAUGE_RAILTYPE_OHLE]:[TRACK_TYPE_MTRO]]))&gt;0</f>
        <v>1</v>
      </c>
      <c r="AE275" s="38" t="b" cm="1">
        <f t="array" ref="AE275">IFERROR(_xlfn.BYROW(TRACK_TYPES[[#This Row],[TRACK_TYPE_STANDARD_GAUGE_RAILTYPE_OHLE]:[TRACK_TYPE_STANDARD_GAUGE_RAILTYPE_NONE]],_xlfn.LAMBDA(_xlpm.r,OR(_xlpm.r))),FALSE)</f>
        <v>0</v>
      </c>
      <c r="AF275" s="38" t="b" cm="1">
        <f t="array" ref="AF275">IFERROR(_xlfn.BYROW(TRACK_TYPES[[#This Row],[TRACK_TYPE_NARROW_GAUGE_RAILTYPE_OHLE]:[TRACK_TYPE_NARROW_GAUGE_RAILTYPE_NONE]],_xlfn.LAMBDA(_xlpm.r,OR(_xlpm.r))),FALSE)</f>
        <v>0</v>
      </c>
      <c r="AG275" s="38" t="b" cm="1">
        <f t="array" ref="AG275">IFERROR(_xlfn.BYROW(TRACK_TYPES[[#This Row],[TRACK_TYPE_BROAD_GAUGE_RAILTYPE_OHLE]:[TRACK_TYPE_BROAD_GAUGE_RAILTYPE_NONE]],_xlfn.LAMBDA(_xlpm.r,OR(_xlpm.r))),FALSE)</f>
        <v>1</v>
      </c>
      <c r="AH2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75"/>
      <c r="AQ275"/>
      <c r="AR275"/>
    </row>
    <row r="276" spans="1:44" x14ac:dyDescent="0.35">
      <c r="A276" s="2" t="s">
        <v>2910</v>
      </c>
      <c r="B276" s="40" t="str">
        <f>_xlfn.XLOOKUP(PROPERTIES[[#This Row],[VEHIDCODE]],CONTROL[VEHIDCODE],CONTROL[ENGLISH])</f>
        <v>AEG SAR DS</v>
      </c>
      <c r="R276" s="2" t="b">
        <v>1</v>
      </c>
      <c r="AC276" s="2"/>
      <c r="AD276" s="2" t="b">
        <f>LEN(_xlfn.CONCAT(TRACK_TYPES[[#This Row],[TRACK_TYPE_STANDARD_GAUGE_RAILTYPE_OHLE]:[TRACK_TYPE_MTRO]]))&gt;0</f>
        <v>1</v>
      </c>
      <c r="AE276" s="38" t="b" cm="1">
        <f t="array" ref="AE276">IFERROR(_xlfn.BYROW(TRACK_TYPES[[#This Row],[TRACK_TYPE_STANDARD_GAUGE_RAILTYPE_OHLE]:[TRACK_TYPE_STANDARD_GAUGE_RAILTYPE_NONE]],_xlfn.LAMBDA(_xlpm.r,OR(_xlpm.r))),FALSE)</f>
        <v>0</v>
      </c>
      <c r="AF276" s="38" t="b" cm="1">
        <f t="array" ref="AF276">IFERROR(_xlfn.BYROW(TRACK_TYPES[[#This Row],[TRACK_TYPE_NARROW_GAUGE_RAILTYPE_OHLE]:[TRACK_TYPE_NARROW_GAUGE_RAILTYPE_NONE]],_xlfn.LAMBDA(_xlpm.r,OR(_xlpm.r))),FALSE)</f>
        <v>1</v>
      </c>
      <c r="AG276" s="38" t="b" cm="1">
        <f t="array" ref="AG276">IFERROR(_xlfn.BYROW(TRACK_TYPES[[#This Row],[TRACK_TYPE_BROAD_GAUGE_RAILTYPE_OHLE]:[TRACK_TYPE_BROAD_GAUGE_RAILTYPE_NONE]],_xlfn.LAMBDA(_xlpm.r,OR(_xlpm.r))),FALSE)</f>
        <v>0</v>
      </c>
      <c r="AH2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76"/>
      <c r="AQ276"/>
      <c r="AR276"/>
    </row>
    <row r="277" spans="1:44" x14ac:dyDescent="0.35">
      <c r="A277" s="2" t="s">
        <v>2911</v>
      </c>
      <c r="B277" s="40" t="str">
        <f>_xlfn.XLOOKUP(PROPERTIES[[#This Row],[VEHIDCODE]],CONTROL[VEHIDCODE],CONTROL[ENGLISH])</f>
        <v>GM GT26</v>
      </c>
      <c r="J277" s="2" t="b">
        <v>1</v>
      </c>
      <c r="R277" s="2" t="b">
        <v>1</v>
      </c>
      <c r="Z277" s="2" t="b">
        <v>1</v>
      </c>
      <c r="AC277" s="2"/>
      <c r="AD277" s="2" t="b">
        <f>LEN(_xlfn.CONCAT(TRACK_TYPES[[#This Row],[TRACK_TYPE_STANDARD_GAUGE_RAILTYPE_OHLE]:[TRACK_TYPE_MTRO]]))&gt;0</f>
        <v>1</v>
      </c>
      <c r="AE277" s="38" t="b" cm="1">
        <f t="array" ref="AE277">IFERROR(_xlfn.BYROW(TRACK_TYPES[[#This Row],[TRACK_TYPE_STANDARD_GAUGE_RAILTYPE_OHLE]:[TRACK_TYPE_STANDARD_GAUGE_RAILTYPE_NONE]],_xlfn.LAMBDA(_xlpm.r,OR(_xlpm.r))),FALSE)</f>
        <v>1</v>
      </c>
      <c r="AF277" s="38" t="b" cm="1">
        <f t="array" ref="AF277">IFERROR(_xlfn.BYROW(TRACK_TYPES[[#This Row],[TRACK_TYPE_NARROW_GAUGE_RAILTYPE_OHLE]:[TRACK_TYPE_NARROW_GAUGE_RAILTYPE_NONE]],_xlfn.LAMBDA(_xlpm.r,OR(_xlpm.r))),FALSE)</f>
        <v>1</v>
      </c>
      <c r="AG277" s="38" t="b" cm="1">
        <f t="array" ref="AG277">IFERROR(_xlfn.BYROW(TRACK_TYPES[[#This Row],[TRACK_TYPE_BROAD_GAUGE_RAILTYPE_OHLE]:[TRACK_TYPE_BROAD_GAUGE_RAILTYPE_NONE]],_xlfn.LAMBDA(_xlpm.r,OR(_xlpm.r))),FALSE)</f>
        <v>1</v>
      </c>
      <c r="AH2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7"/>
      <c r="AQ277"/>
      <c r="AR277"/>
    </row>
    <row r="278" spans="1:44" x14ac:dyDescent="0.35">
      <c r="A278" s="2" t="s">
        <v>2912</v>
      </c>
      <c r="B278" s="40" t="str">
        <f>_xlfn.XLOOKUP(PROPERTIES[[#This Row],[VEHIDCODE]],CONTROL[VEHIDCODE],CONTROL[ENGLISH])</f>
        <v>EMD GL8 [040DF]</v>
      </c>
      <c r="J278" s="2" t="b">
        <v>1</v>
      </c>
      <c r="AC278" s="2"/>
      <c r="AD278" s="2" t="b">
        <f>LEN(_xlfn.CONCAT(TRACK_TYPES[[#This Row],[TRACK_TYPE_STANDARD_GAUGE_RAILTYPE_OHLE]:[TRACK_TYPE_MTRO]]))&gt;0</f>
        <v>1</v>
      </c>
      <c r="AE278" s="38" t="b" cm="1">
        <f t="array" ref="AE278">IFERROR(_xlfn.BYROW(TRACK_TYPES[[#This Row],[TRACK_TYPE_STANDARD_GAUGE_RAILTYPE_OHLE]:[TRACK_TYPE_STANDARD_GAUGE_RAILTYPE_NONE]],_xlfn.LAMBDA(_xlpm.r,OR(_xlpm.r))),FALSE)</f>
        <v>1</v>
      </c>
      <c r="AF278" s="38" t="b" cm="1">
        <f t="array" ref="AF278">IFERROR(_xlfn.BYROW(TRACK_TYPES[[#This Row],[TRACK_TYPE_NARROW_GAUGE_RAILTYPE_OHLE]:[TRACK_TYPE_NARROW_GAUGE_RAILTYPE_NONE]],_xlfn.LAMBDA(_xlpm.r,OR(_xlpm.r))),FALSE)</f>
        <v>0</v>
      </c>
      <c r="AG278" s="38" t="b" cm="1">
        <f t="array" ref="AG278">IFERROR(_xlfn.BYROW(TRACK_TYPES[[#This Row],[TRACK_TYPE_BROAD_GAUGE_RAILTYPE_OHLE]:[TRACK_TYPE_BROAD_GAUGE_RAILTYPE_NONE]],_xlfn.LAMBDA(_xlpm.r,OR(_xlpm.r))),FALSE)</f>
        <v>0</v>
      </c>
      <c r="AH2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8"/>
      <c r="AQ278"/>
      <c r="AR278"/>
    </row>
    <row r="279" spans="1:44" x14ac:dyDescent="0.35">
      <c r="A279" s="2" t="s">
        <v>2913</v>
      </c>
      <c r="B279" s="40" t="str">
        <f>_xlfn.XLOOKUP(PROPERTIES[[#This Row],[VEHIDCODE]],CONTROL[VEHIDCODE],CONTROL[ENGLISH])</f>
        <v>LTZ TE114E</v>
      </c>
      <c r="J279" s="2" t="b">
        <v>1</v>
      </c>
      <c r="Z279" s="2" t="b">
        <v>1</v>
      </c>
      <c r="AC279" s="2"/>
      <c r="AD279" s="2" t="b">
        <f>LEN(_xlfn.CONCAT(TRACK_TYPES[[#This Row],[TRACK_TYPE_STANDARD_GAUGE_RAILTYPE_OHLE]:[TRACK_TYPE_MTRO]]))&gt;0</f>
        <v>1</v>
      </c>
      <c r="AE279" s="38" t="b" cm="1">
        <f t="array" ref="AE279">IFERROR(_xlfn.BYROW(TRACK_TYPES[[#This Row],[TRACK_TYPE_STANDARD_GAUGE_RAILTYPE_OHLE]:[TRACK_TYPE_STANDARD_GAUGE_RAILTYPE_NONE]],_xlfn.LAMBDA(_xlpm.r,OR(_xlpm.r))),FALSE)</f>
        <v>1</v>
      </c>
      <c r="AF279" s="38" t="b" cm="1">
        <f t="array" ref="AF279">IFERROR(_xlfn.BYROW(TRACK_TYPES[[#This Row],[TRACK_TYPE_NARROW_GAUGE_RAILTYPE_OHLE]:[TRACK_TYPE_NARROW_GAUGE_RAILTYPE_NONE]],_xlfn.LAMBDA(_xlpm.r,OR(_xlpm.r))),FALSE)</f>
        <v>0</v>
      </c>
      <c r="AG279" s="38" t="b" cm="1">
        <f t="array" ref="AG279">IFERROR(_xlfn.BYROW(TRACK_TYPES[[#This Row],[TRACK_TYPE_BROAD_GAUGE_RAILTYPE_OHLE]:[TRACK_TYPE_BROAD_GAUGE_RAILTYPE_NONE]],_xlfn.LAMBDA(_xlpm.r,OR(_xlpm.r))),FALSE)</f>
        <v>1</v>
      </c>
      <c r="AH2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9"/>
      <c r="AQ279"/>
      <c r="AR279"/>
    </row>
    <row r="280" spans="1:44" x14ac:dyDescent="0.35">
      <c r="A280" s="2" t="s">
        <v>2914</v>
      </c>
      <c r="B280" s="40" t="str">
        <f>_xlfn.XLOOKUP(PROPERTIES[[#This Row],[VEHIDCODE]],CONTROL[VEHIDCODE],CONTROL[ENGLISH])</f>
        <v>GM G18</v>
      </c>
      <c r="J280" s="2" t="b">
        <v>1</v>
      </c>
      <c r="R280" s="2" t="b">
        <v>1</v>
      </c>
      <c r="AC280" s="2"/>
      <c r="AD280" s="2" t="b">
        <f>LEN(_xlfn.CONCAT(TRACK_TYPES[[#This Row],[TRACK_TYPE_STANDARD_GAUGE_RAILTYPE_OHLE]:[TRACK_TYPE_MTRO]]))&gt;0</f>
        <v>1</v>
      </c>
      <c r="AE280" s="38" t="b" cm="1">
        <f t="array" ref="AE280">IFERROR(_xlfn.BYROW(TRACK_TYPES[[#This Row],[TRACK_TYPE_STANDARD_GAUGE_RAILTYPE_OHLE]:[TRACK_TYPE_STANDARD_GAUGE_RAILTYPE_NONE]],_xlfn.LAMBDA(_xlpm.r,OR(_xlpm.r))),FALSE)</f>
        <v>1</v>
      </c>
      <c r="AF280" s="38" t="b" cm="1">
        <f t="array" ref="AF280">IFERROR(_xlfn.BYROW(TRACK_TYPES[[#This Row],[TRACK_TYPE_NARROW_GAUGE_RAILTYPE_OHLE]:[TRACK_TYPE_NARROW_GAUGE_RAILTYPE_NONE]],_xlfn.LAMBDA(_xlpm.r,OR(_xlpm.r))),FALSE)</f>
        <v>1</v>
      </c>
      <c r="AG280" s="38" t="b" cm="1">
        <f t="array" ref="AG280">IFERROR(_xlfn.BYROW(TRACK_TYPES[[#This Row],[TRACK_TYPE_BROAD_GAUGE_RAILTYPE_OHLE]:[TRACK_TYPE_BROAD_GAUGE_RAILTYPE_NONE]],_xlfn.LAMBDA(_xlpm.r,OR(_xlpm.r))),FALSE)</f>
        <v>0</v>
      </c>
      <c r="AH2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0"/>
      <c r="AQ280"/>
      <c r="AR280"/>
    </row>
    <row r="281" spans="1:44" x14ac:dyDescent="0.35">
      <c r="A281" s="2" t="s">
        <v>2915</v>
      </c>
      <c r="B281" s="40" t="str">
        <f>_xlfn.XLOOKUP(PROPERTIES[[#This Row],[VEHIDCODE]],CONTROL[VEHIDCODE],CONTROL[ENGLISH])</f>
        <v>Alsthom CC 72000</v>
      </c>
      <c r="J281" s="2" t="b">
        <v>1</v>
      </c>
      <c r="AC281" s="2"/>
      <c r="AD281" s="2" t="b">
        <f>LEN(_xlfn.CONCAT(TRACK_TYPES[[#This Row],[TRACK_TYPE_STANDARD_GAUGE_RAILTYPE_OHLE]:[TRACK_TYPE_MTRO]]))&gt;0</f>
        <v>1</v>
      </c>
      <c r="AE281" s="38" t="b" cm="1">
        <f t="array" ref="AE281">IFERROR(_xlfn.BYROW(TRACK_TYPES[[#This Row],[TRACK_TYPE_STANDARD_GAUGE_RAILTYPE_OHLE]:[TRACK_TYPE_STANDARD_GAUGE_RAILTYPE_NONE]],_xlfn.LAMBDA(_xlpm.r,OR(_xlpm.r))),FALSE)</f>
        <v>1</v>
      </c>
      <c r="AF281" s="38" t="b" cm="1">
        <f t="array" ref="AF281">IFERROR(_xlfn.BYROW(TRACK_TYPES[[#This Row],[TRACK_TYPE_NARROW_GAUGE_RAILTYPE_OHLE]:[TRACK_TYPE_NARROW_GAUGE_RAILTYPE_NONE]],_xlfn.LAMBDA(_xlpm.r,OR(_xlpm.r))),FALSE)</f>
        <v>0</v>
      </c>
      <c r="AG281" s="38" t="b" cm="1">
        <f t="array" ref="AG281">IFERROR(_xlfn.BYROW(TRACK_TYPES[[#This Row],[TRACK_TYPE_BROAD_GAUGE_RAILTYPE_OHLE]:[TRACK_TYPE_BROAD_GAUGE_RAILTYPE_NONE]],_xlfn.LAMBDA(_xlpm.r,OR(_xlpm.r))),FALSE)</f>
        <v>0</v>
      </c>
      <c r="AH2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1"/>
      <c r="AQ281"/>
      <c r="AR281"/>
    </row>
    <row r="282" spans="1:44" x14ac:dyDescent="0.35">
      <c r="A282" s="2" t="s">
        <v>2916</v>
      </c>
      <c r="B282" s="40" t="str">
        <f>_xlfn.XLOOKUP(PROPERTIES[[#This Row],[VEHIDCODE]],CONTROL[VEHIDCODE],CONTROL[ENGLISH])</f>
        <v>LTZ TEP10L</v>
      </c>
      <c r="Z282" s="2" t="b">
        <v>1</v>
      </c>
      <c r="AC282" s="2"/>
      <c r="AD282" s="2" t="b">
        <f>LEN(_xlfn.CONCAT(TRACK_TYPES[[#This Row],[TRACK_TYPE_STANDARD_GAUGE_RAILTYPE_OHLE]:[TRACK_TYPE_MTRO]]))&gt;0</f>
        <v>1</v>
      </c>
      <c r="AE282" s="38" t="b" cm="1">
        <f t="array" ref="AE282">IFERROR(_xlfn.BYROW(TRACK_TYPES[[#This Row],[TRACK_TYPE_STANDARD_GAUGE_RAILTYPE_OHLE]:[TRACK_TYPE_STANDARD_GAUGE_RAILTYPE_NONE]],_xlfn.LAMBDA(_xlpm.r,OR(_xlpm.r))),FALSE)</f>
        <v>0</v>
      </c>
      <c r="AF282" s="38" t="b" cm="1">
        <f t="array" ref="AF282">IFERROR(_xlfn.BYROW(TRACK_TYPES[[#This Row],[TRACK_TYPE_NARROW_GAUGE_RAILTYPE_OHLE]:[TRACK_TYPE_NARROW_GAUGE_RAILTYPE_NONE]],_xlfn.LAMBDA(_xlpm.r,OR(_xlpm.r))),FALSE)</f>
        <v>0</v>
      </c>
      <c r="AG282" s="38" t="b" cm="1">
        <f t="array" ref="AG282">IFERROR(_xlfn.BYROW(TRACK_TYPES[[#This Row],[TRACK_TYPE_BROAD_GAUGE_RAILTYPE_OHLE]:[TRACK_TYPE_BROAD_GAUGE_RAILTYPE_NONE]],_xlfn.LAMBDA(_xlpm.r,OR(_xlpm.r))),FALSE)</f>
        <v>1</v>
      </c>
      <c r="AH2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82"/>
      <c r="AQ282"/>
      <c r="AR282"/>
    </row>
    <row r="283" spans="1:44" x14ac:dyDescent="0.35">
      <c r="A283" s="2" t="s">
        <v>2917</v>
      </c>
      <c r="B283" s="40" t="str">
        <f>_xlfn.XLOOKUP(PROPERTIES[[#This Row],[VEHIDCODE]],CONTROL[VEHIDCODE],CONTROL[ENGLISH])</f>
        <v>LTZ 2TE10M</v>
      </c>
      <c r="Z283" s="2" t="b">
        <v>1</v>
      </c>
      <c r="AC283" s="2"/>
      <c r="AD283" s="2" t="b">
        <f>LEN(_xlfn.CONCAT(TRACK_TYPES[[#This Row],[TRACK_TYPE_STANDARD_GAUGE_RAILTYPE_OHLE]:[TRACK_TYPE_MTRO]]))&gt;0</f>
        <v>1</v>
      </c>
      <c r="AE283" s="38" t="b" cm="1">
        <f t="array" ref="AE283">IFERROR(_xlfn.BYROW(TRACK_TYPES[[#This Row],[TRACK_TYPE_STANDARD_GAUGE_RAILTYPE_OHLE]:[TRACK_TYPE_STANDARD_GAUGE_RAILTYPE_NONE]],_xlfn.LAMBDA(_xlpm.r,OR(_xlpm.r))),FALSE)</f>
        <v>0</v>
      </c>
      <c r="AF283" s="38" t="b" cm="1">
        <f t="array" ref="AF283">IFERROR(_xlfn.BYROW(TRACK_TYPES[[#This Row],[TRACK_TYPE_NARROW_GAUGE_RAILTYPE_OHLE]:[TRACK_TYPE_NARROW_GAUGE_RAILTYPE_NONE]],_xlfn.LAMBDA(_xlpm.r,OR(_xlpm.r))),FALSE)</f>
        <v>0</v>
      </c>
      <c r="AG283" s="38" t="b" cm="1">
        <f t="array" ref="AG283">IFERROR(_xlfn.BYROW(TRACK_TYPES[[#This Row],[TRACK_TYPE_BROAD_GAUGE_RAILTYPE_OHLE]:[TRACK_TYPE_BROAD_GAUGE_RAILTYPE_NONE]],_xlfn.LAMBDA(_xlpm.r,OR(_xlpm.r))),FALSE)</f>
        <v>1</v>
      </c>
      <c r="AH2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83"/>
      <c r="AQ283"/>
      <c r="AR283"/>
    </row>
    <row r="284" spans="1:44" x14ac:dyDescent="0.35">
      <c r="A284" s="2" t="s">
        <v>2918</v>
      </c>
      <c r="B284" s="40" t="str">
        <f>_xlfn.XLOOKUP(PROPERTIES[[#This Row],[VEHIDCODE]],CONTROL[VEHIDCODE],CONTROL[ENGLISH])</f>
        <v>FAUR LDE1300</v>
      </c>
      <c r="J284" s="2" t="b">
        <v>1</v>
      </c>
      <c r="AC284" s="2"/>
      <c r="AD284" s="2" t="b">
        <f>LEN(_xlfn.CONCAT(TRACK_TYPES[[#This Row],[TRACK_TYPE_STANDARD_GAUGE_RAILTYPE_OHLE]:[TRACK_TYPE_MTRO]]))&gt;0</f>
        <v>1</v>
      </c>
      <c r="AE284" s="38" t="b" cm="1">
        <f t="array" ref="AE284">IFERROR(_xlfn.BYROW(TRACK_TYPES[[#This Row],[TRACK_TYPE_STANDARD_GAUGE_RAILTYPE_OHLE]:[TRACK_TYPE_STANDARD_GAUGE_RAILTYPE_NONE]],_xlfn.LAMBDA(_xlpm.r,OR(_xlpm.r))),FALSE)</f>
        <v>1</v>
      </c>
      <c r="AF284" s="38" t="b" cm="1">
        <f t="array" ref="AF284">IFERROR(_xlfn.BYROW(TRACK_TYPES[[#This Row],[TRACK_TYPE_NARROW_GAUGE_RAILTYPE_OHLE]:[TRACK_TYPE_NARROW_GAUGE_RAILTYPE_NONE]],_xlfn.LAMBDA(_xlpm.r,OR(_xlpm.r))),FALSE)</f>
        <v>0</v>
      </c>
      <c r="AG284" s="38" t="b" cm="1">
        <f t="array" ref="AG284">IFERROR(_xlfn.BYROW(TRACK_TYPES[[#This Row],[TRACK_TYPE_BROAD_GAUGE_RAILTYPE_OHLE]:[TRACK_TYPE_BROAD_GAUGE_RAILTYPE_NONE]],_xlfn.LAMBDA(_xlpm.r,OR(_xlpm.r))),FALSE)</f>
        <v>0</v>
      </c>
      <c r="AH2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4"/>
      <c r="AQ284"/>
      <c r="AR284"/>
    </row>
    <row r="285" spans="1:44" x14ac:dyDescent="0.35">
      <c r="A285" s="2" t="s">
        <v>2919</v>
      </c>
      <c r="B285" s="40" t="str">
        <f>_xlfn.XLOOKUP(PROPERTIES[[#This Row],[VEHIDCODE]],CONTROL[VEHIDCODE],CONTROL[ENGLISH])</f>
        <v>LTZ 2TE126</v>
      </c>
      <c r="Z285" s="2" t="b">
        <v>1</v>
      </c>
      <c r="AC285" s="2"/>
      <c r="AD285" s="2" t="b">
        <f>LEN(_xlfn.CONCAT(TRACK_TYPES[[#This Row],[TRACK_TYPE_STANDARD_GAUGE_RAILTYPE_OHLE]:[TRACK_TYPE_MTRO]]))&gt;0</f>
        <v>1</v>
      </c>
      <c r="AE285" s="38" t="b" cm="1">
        <f t="array" ref="AE285">IFERROR(_xlfn.BYROW(TRACK_TYPES[[#This Row],[TRACK_TYPE_STANDARD_GAUGE_RAILTYPE_OHLE]:[TRACK_TYPE_STANDARD_GAUGE_RAILTYPE_NONE]],_xlfn.LAMBDA(_xlpm.r,OR(_xlpm.r))),FALSE)</f>
        <v>0</v>
      </c>
      <c r="AF285" s="38" t="b" cm="1">
        <f t="array" ref="AF285">IFERROR(_xlfn.BYROW(TRACK_TYPES[[#This Row],[TRACK_TYPE_NARROW_GAUGE_RAILTYPE_OHLE]:[TRACK_TYPE_NARROW_GAUGE_RAILTYPE_NONE]],_xlfn.LAMBDA(_xlpm.r,OR(_xlpm.r))),FALSE)</f>
        <v>0</v>
      </c>
      <c r="AG285" s="38" t="b" cm="1">
        <f t="array" ref="AG285">IFERROR(_xlfn.BYROW(TRACK_TYPES[[#This Row],[TRACK_TYPE_BROAD_GAUGE_RAILTYPE_OHLE]:[TRACK_TYPE_BROAD_GAUGE_RAILTYPE_NONE]],_xlfn.LAMBDA(_xlpm.r,OR(_xlpm.r))),FALSE)</f>
        <v>1</v>
      </c>
      <c r="AH2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85"/>
      <c r="AQ285"/>
      <c r="AR285"/>
    </row>
    <row r="286" spans="1:44" x14ac:dyDescent="0.35">
      <c r="A286" s="2" t="s">
        <v>2920</v>
      </c>
      <c r="B286" s="40" t="str">
        <f>_xlfn.XLOOKUP(PROPERTIES[[#This Row],[VEHIDCODE]],CONTROL[VEHIDCODE],CONTROL[ENGLISH])</f>
        <v>LTZ 2TE10Ut</v>
      </c>
      <c r="Z286" s="2" t="b">
        <v>1</v>
      </c>
      <c r="AC286" s="2"/>
      <c r="AD286" s="2" t="b">
        <f>LEN(_xlfn.CONCAT(TRACK_TYPES[[#This Row],[TRACK_TYPE_STANDARD_GAUGE_RAILTYPE_OHLE]:[TRACK_TYPE_MTRO]]))&gt;0</f>
        <v>1</v>
      </c>
      <c r="AE286" s="38" t="b" cm="1">
        <f t="array" ref="AE286">IFERROR(_xlfn.BYROW(TRACK_TYPES[[#This Row],[TRACK_TYPE_STANDARD_GAUGE_RAILTYPE_OHLE]:[TRACK_TYPE_STANDARD_GAUGE_RAILTYPE_NONE]],_xlfn.LAMBDA(_xlpm.r,OR(_xlpm.r))),FALSE)</f>
        <v>0</v>
      </c>
      <c r="AF286" s="38" t="b" cm="1">
        <f t="array" ref="AF286">IFERROR(_xlfn.BYROW(TRACK_TYPES[[#This Row],[TRACK_TYPE_NARROW_GAUGE_RAILTYPE_OHLE]:[TRACK_TYPE_NARROW_GAUGE_RAILTYPE_NONE]],_xlfn.LAMBDA(_xlpm.r,OR(_xlpm.r))),FALSE)</f>
        <v>0</v>
      </c>
      <c r="AG286" s="38" t="b" cm="1">
        <f t="array" ref="AG286">IFERROR(_xlfn.BYROW(TRACK_TYPES[[#This Row],[TRACK_TYPE_BROAD_GAUGE_RAILTYPE_OHLE]:[TRACK_TYPE_BROAD_GAUGE_RAILTYPE_NONE]],_xlfn.LAMBDA(_xlpm.r,OR(_xlpm.r))),FALSE)</f>
        <v>1</v>
      </c>
      <c r="AH2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86"/>
      <c r="AQ286"/>
      <c r="AR286"/>
    </row>
    <row r="287" spans="1:44" x14ac:dyDescent="0.35">
      <c r="A287" s="2" t="s">
        <v>2921</v>
      </c>
      <c r="B287" s="40" t="str">
        <f>_xlfn.XLOOKUP(PROPERTIES[[#This Row],[VEHIDCODE]],CONTROL[VEHIDCODE],CONTROL[ENGLISH])</f>
        <v>CMKS 709 0-4-0DE</v>
      </c>
      <c r="J287" s="2" t="b">
        <v>1</v>
      </c>
      <c r="AC287" s="2"/>
      <c r="AD287" s="2" t="b">
        <f>LEN(_xlfn.CONCAT(TRACK_TYPES[[#This Row],[TRACK_TYPE_STANDARD_GAUGE_RAILTYPE_OHLE]:[TRACK_TYPE_MTRO]]))&gt;0</f>
        <v>1</v>
      </c>
      <c r="AE287" s="38" t="b" cm="1">
        <f t="array" ref="AE287">IFERROR(_xlfn.BYROW(TRACK_TYPES[[#This Row],[TRACK_TYPE_STANDARD_GAUGE_RAILTYPE_OHLE]:[TRACK_TYPE_STANDARD_GAUGE_RAILTYPE_NONE]],_xlfn.LAMBDA(_xlpm.r,OR(_xlpm.r))),FALSE)</f>
        <v>1</v>
      </c>
      <c r="AF287" s="38" t="b" cm="1">
        <f t="array" ref="AF287">IFERROR(_xlfn.BYROW(TRACK_TYPES[[#This Row],[TRACK_TYPE_NARROW_GAUGE_RAILTYPE_OHLE]:[TRACK_TYPE_NARROW_GAUGE_RAILTYPE_NONE]],_xlfn.LAMBDA(_xlpm.r,OR(_xlpm.r))),FALSE)</f>
        <v>0</v>
      </c>
      <c r="AG287" s="38" t="b" cm="1">
        <f t="array" ref="AG287">IFERROR(_xlfn.BYROW(TRACK_TYPES[[#This Row],[TRACK_TYPE_BROAD_GAUGE_RAILTYPE_OHLE]:[TRACK_TYPE_BROAD_GAUGE_RAILTYPE_NONE]],_xlfn.LAMBDA(_xlpm.r,OR(_xlpm.r))),FALSE)</f>
        <v>0</v>
      </c>
      <c r="AH2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7"/>
      <c r="AQ287"/>
      <c r="AR287"/>
    </row>
    <row r="288" spans="1:44" x14ac:dyDescent="0.35">
      <c r="A288" s="2" t="s">
        <v>2922</v>
      </c>
      <c r="B288" s="40" t="str">
        <f>_xlfn.XLOOKUP(PROPERTIES[[#This Row],[VEHIDCODE]],CONTROL[VEHIDCODE],CONTROL[ENGLISH])</f>
        <v>Antonio Badoni Lecco 'Sogliole' 207</v>
      </c>
      <c r="J288" s="2" t="b">
        <v>1</v>
      </c>
      <c r="AC288" s="2"/>
      <c r="AD288" s="2" t="b">
        <f>LEN(_xlfn.CONCAT(TRACK_TYPES[[#This Row],[TRACK_TYPE_STANDARD_GAUGE_RAILTYPE_OHLE]:[TRACK_TYPE_MTRO]]))&gt;0</f>
        <v>1</v>
      </c>
      <c r="AE288" s="38" t="b" cm="1">
        <f t="array" ref="AE288">IFERROR(_xlfn.BYROW(TRACK_TYPES[[#This Row],[TRACK_TYPE_STANDARD_GAUGE_RAILTYPE_OHLE]:[TRACK_TYPE_STANDARD_GAUGE_RAILTYPE_NONE]],_xlfn.LAMBDA(_xlpm.r,OR(_xlpm.r))),FALSE)</f>
        <v>1</v>
      </c>
      <c r="AF288" s="38" t="b" cm="1">
        <f t="array" ref="AF288">IFERROR(_xlfn.BYROW(TRACK_TYPES[[#This Row],[TRACK_TYPE_NARROW_GAUGE_RAILTYPE_OHLE]:[TRACK_TYPE_NARROW_GAUGE_RAILTYPE_NONE]],_xlfn.LAMBDA(_xlpm.r,OR(_xlpm.r))),FALSE)</f>
        <v>0</v>
      </c>
      <c r="AG288" s="38" t="b" cm="1">
        <f t="array" ref="AG288">IFERROR(_xlfn.BYROW(TRACK_TYPES[[#This Row],[TRACK_TYPE_BROAD_GAUGE_RAILTYPE_OHLE]:[TRACK_TYPE_BROAD_GAUGE_RAILTYPE_NONE]],_xlfn.LAMBDA(_xlpm.r,OR(_xlpm.r))),FALSE)</f>
        <v>0</v>
      </c>
      <c r="AH2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8"/>
      <c r="AQ288"/>
      <c r="AR288"/>
    </row>
    <row r="289" spans="1:44" x14ac:dyDescent="0.35">
      <c r="A289" s="2" t="s">
        <v>2923</v>
      </c>
      <c r="B289" s="40" t="str">
        <f>_xlfn.XLOOKUP(PROPERTIES[[#This Row],[VEHIDCODE]],CONTROL[VEHIDCODE],CONTROL[ENGLISH])</f>
        <v>Baldwin 0-6-6-0 1000</v>
      </c>
      <c r="Z289" s="2" t="b">
        <v>1</v>
      </c>
      <c r="AC289" s="2"/>
      <c r="AD289" s="2" t="b">
        <f>LEN(_xlfn.CONCAT(TRACK_TYPES[[#This Row],[TRACK_TYPE_STANDARD_GAUGE_RAILTYPE_OHLE]:[TRACK_TYPE_MTRO]]))&gt;0</f>
        <v>1</v>
      </c>
      <c r="AE289" s="38" t="b" cm="1">
        <f t="array" ref="AE289">IFERROR(_xlfn.BYROW(TRACK_TYPES[[#This Row],[TRACK_TYPE_STANDARD_GAUGE_RAILTYPE_OHLE]:[TRACK_TYPE_STANDARD_GAUGE_RAILTYPE_NONE]],_xlfn.LAMBDA(_xlpm.r,OR(_xlpm.r))),FALSE)</f>
        <v>0</v>
      </c>
      <c r="AF289" s="38" t="b" cm="1">
        <f t="array" ref="AF289">IFERROR(_xlfn.BYROW(TRACK_TYPES[[#This Row],[TRACK_TYPE_NARROW_GAUGE_RAILTYPE_OHLE]:[TRACK_TYPE_NARROW_GAUGE_RAILTYPE_NONE]],_xlfn.LAMBDA(_xlpm.r,OR(_xlpm.r))),FALSE)</f>
        <v>0</v>
      </c>
      <c r="AG289" s="38" t="b" cm="1">
        <f t="array" ref="AG289">IFERROR(_xlfn.BYROW(TRACK_TYPES[[#This Row],[TRACK_TYPE_BROAD_GAUGE_RAILTYPE_OHLE]:[TRACK_TYPE_BROAD_GAUGE_RAILTYPE_NONE]],_xlfn.LAMBDA(_xlpm.r,OR(_xlpm.r))),FALSE)</f>
        <v>1</v>
      </c>
      <c r="AH2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89"/>
      <c r="AQ289"/>
      <c r="AR289"/>
    </row>
    <row r="290" spans="1:44" x14ac:dyDescent="0.35">
      <c r="A290" s="2" t="s">
        <v>2924</v>
      </c>
      <c r="B290" s="40" t="str">
        <f>_xlfn.XLOOKUP(PROPERTIES[[#This Row],[VEHIDCODE]],CONTROL[VEHIDCODE],CONTROL[ENGLISH])</f>
        <v>ALCO RSC-2</v>
      </c>
      <c r="J290" s="2" t="b">
        <v>1</v>
      </c>
      <c r="Z290" s="2" t="b">
        <v>1</v>
      </c>
      <c r="AC290" s="2"/>
      <c r="AD290" s="2" t="b">
        <f>LEN(_xlfn.CONCAT(TRACK_TYPES[[#This Row],[TRACK_TYPE_STANDARD_GAUGE_RAILTYPE_OHLE]:[TRACK_TYPE_MTRO]]))&gt;0</f>
        <v>1</v>
      </c>
      <c r="AE290" s="38" t="b" cm="1">
        <f t="array" ref="AE290">IFERROR(_xlfn.BYROW(TRACK_TYPES[[#This Row],[TRACK_TYPE_STANDARD_GAUGE_RAILTYPE_OHLE]:[TRACK_TYPE_STANDARD_GAUGE_RAILTYPE_NONE]],_xlfn.LAMBDA(_xlpm.r,OR(_xlpm.r))),FALSE)</f>
        <v>1</v>
      </c>
      <c r="AF290" s="38" t="b" cm="1">
        <f t="array" ref="AF290">IFERROR(_xlfn.BYROW(TRACK_TYPES[[#This Row],[TRACK_TYPE_NARROW_GAUGE_RAILTYPE_OHLE]:[TRACK_TYPE_NARROW_GAUGE_RAILTYPE_NONE]],_xlfn.LAMBDA(_xlpm.r,OR(_xlpm.r))),FALSE)</f>
        <v>0</v>
      </c>
      <c r="AG290" s="38" t="b" cm="1">
        <f t="array" ref="AG290">IFERROR(_xlfn.BYROW(TRACK_TYPES[[#This Row],[TRACK_TYPE_BROAD_GAUGE_RAILTYPE_OHLE]:[TRACK_TYPE_BROAD_GAUGE_RAILTYPE_NONE]],_xlfn.LAMBDA(_xlpm.r,OR(_xlpm.r))),FALSE)</f>
        <v>1</v>
      </c>
      <c r="AH2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0"/>
      <c r="AQ290"/>
      <c r="AR290"/>
    </row>
    <row r="291" spans="1:44" x14ac:dyDescent="0.35">
      <c r="A291" s="2" t="s">
        <v>2925</v>
      </c>
      <c r="B291" s="40" t="str">
        <f>_xlfn.XLOOKUP(PROPERTIES[[#This Row],[VEHIDCODE]],CONTROL[VEHIDCODE],CONTROL[ENGLISH])</f>
        <v>Brissonneau and Lotz BB 67400</v>
      </c>
      <c r="J291" s="2" t="b">
        <v>1</v>
      </c>
      <c r="AC291" s="2"/>
      <c r="AD291" s="2" t="b">
        <f>LEN(_xlfn.CONCAT(TRACK_TYPES[[#This Row],[TRACK_TYPE_STANDARD_GAUGE_RAILTYPE_OHLE]:[TRACK_TYPE_MTRO]]))&gt;0</f>
        <v>1</v>
      </c>
      <c r="AE291" s="38" t="b" cm="1">
        <f t="array" ref="AE291">IFERROR(_xlfn.BYROW(TRACK_TYPES[[#This Row],[TRACK_TYPE_STANDARD_GAUGE_RAILTYPE_OHLE]:[TRACK_TYPE_STANDARD_GAUGE_RAILTYPE_NONE]],_xlfn.LAMBDA(_xlpm.r,OR(_xlpm.r))),FALSE)</f>
        <v>1</v>
      </c>
      <c r="AF291" s="38" t="b" cm="1">
        <f t="array" ref="AF291">IFERROR(_xlfn.BYROW(TRACK_TYPES[[#This Row],[TRACK_TYPE_NARROW_GAUGE_RAILTYPE_OHLE]:[TRACK_TYPE_NARROW_GAUGE_RAILTYPE_NONE]],_xlfn.LAMBDA(_xlpm.r,OR(_xlpm.r))),FALSE)</f>
        <v>0</v>
      </c>
      <c r="AG291" s="38" t="b" cm="1">
        <f t="array" ref="AG291">IFERROR(_xlfn.BYROW(TRACK_TYPES[[#This Row],[TRACK_TYPE_BROAD_GAUGE_RAILTYPE_OHLE]:[TRACK_TYPE_BROAD_GAUGE_RAILTYPE_NONE]],_xlfn.LAMBDA(_xlpm.r,OR(_xlpm.r))),FALSE)</f>
        <v>0</v>
      </c>
      <c r="AH2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1"/>
      <c r="AQ291"/>
      <c r="AR291"/>
    </row>
    <row r="292" spans="1:44" x14ac:dyDescent="0.35">
      <c r="A292" s="2" t="s">
        <v>2926</v>
      </c>
      <c r="B292" s="40" t="str">
        <f>_xlfn.XLOOKUP(PROPERTIES[[#This Row],[VEHIDCODE]],CONTROL[VEHIDCODE],CONTROL[ENGLISH])</f>
        <v>MaK DE 6400</v>
      </c>
      <c r="J292" s="2" t="b">
        <v>1</v>
      </c>
      <c r="AC292" s="2"/>
      <c r="AD292" s="2" t="b">
        <f>LEN(_xlfn.CONCAT(TRACK_TYPES[[#This Row],[TRACK_TYPE_STANDARD_GAUGE_RAILTYPE_OHLE]:[TRACK_TYPE_MTRO]]))&gt;0</f>
        <v>1</v>
      </c>
      <c r="AE292" s="38" t="b" cm="1">
        <f t="array" ref="AE292">IFERROR(_xlfn.BYROW(TRACK_TYPES[[#This Row],[TRACK_TYPE_STANDARD_GAUGE_RAILTYPE_OHLE]:[TRACK_TYPE_STANDARD_GAUGE_RAILTYPE_NONE]],_xlfn.LAMBDA(_xlpm.r,OR(_xlpm.r))),FALSE)</f>
        <v>1</v>
      </c>
      <c r="AF292" s="38" t="b" cm="1">
        <f t="array" ref="AF292">IFERROR(_xlfn.BYROW(TRACK_TYPES[[#This Row],[TRACK_TYPE_NARROW_GAUGE_RAILTYPE_OHLE]:[TRACK_TYPE_NARROW_GAUGE_RAILTYPE_NONE]],_xlfn.LAMBDA(_xlpm.r,OR(_xlpm.r))),FALSE)</f>
        <v>0</v>
      </c>
      <c r="AG292" s="38" t="b" cm="1">
        <f t="array" ref="AG292">IFERROR(_xlfn.BYROW(TRACK_TYPES[[#This Row],[TRACK_TYPE_BROAD_GAUGE_RAILTYPE_OHLE]:[TRACK_TYPE_BROAD_GAUGE_RAILTYPE_NONE]],_xlfn.LAMBDA(_xlpm.r,OR(_xlpm.r))),FALSE)</f>
        <v>0</v>
      </c>
      <c r="AH2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2"/>
      <c r="AQ292"/>
      <c r="AR292"/>
    </row>
    <row r="293" spans="1:44" x14ac:dyDescent="0.35">
      <c r="A293" s="2" t="s">
        <v>2927</v>
      </c>
      <c r="B293" s="40" t="str">
        <f>_xlfn.XLOOKUP(PROPERTIES[[#This Row],[VEHIDCODE]],CONTROL[VEHIDCODE],CONTROL[ENGLISH])</f>
        <v>GE ES40ACi</v>
      </c>
      <c r="J293" s="2" t="b">
        <v>1</v>
      </c>
      <c r="AC293" s="2"/>
      <c r="AD293" s="2" t="b">
        <f>LEN(_xlfn.CONCAT(TRACK_TYPES[[#This Row],[TRACK_TYPE_STANDARD_GAUGE_RAILTYPE_OHLE]:[TRACK_TYPE_MTRO]]))&gt;0</f>
        <v>1</v>
      </c>
      <c r="AE293" s="38" t="b" cm="1">
        <f t="array" ref="AE293">IFERROR(_xlfn.BYROW(TRACK_TYPES[[#This Row],[TRACK_TYPE_STANDARD_GAUGE_RAILTYPE_OHLE]:[TRACK_TYPE_STANDARD_GAUGE_RAILTYPE_NONE]],_xlfn.LAMBDA(_xlpm.r,OR(_xlpm.r))),FALSE)</f>
        <v>1</v>
      </c>
      <c r="AF293" s="38" t="b" cm="1">
        <f t="array" ref="AF293">IFERROR(_xlfn.BYROW(TRACK_TYPES[[#This Row],[TRACK_TYPE_NARROW_GAUGE_RAILTYPE_OHLE]:[TRACK_TYPE_NARROW_GAUGE_RAILTYPE_NONE]],_xlfn.LAMBDA(_xlpm.r,OR(_xlpm.r))),FALSE)</f>
        <v>0</v>
      </c>
      <c r="AG293" s="38" t="b" cm="1">
        <f t="array" ref="AG293">IFERROR(_xlfn.BYROW(TRACK_TYPES[[#This Row],[TRACK_TYPE_BROAD_GAUGE_RAILTYPE_OHLE]:[TRACK_TYPE_BROAD_GAUGE_RAILTYPE_NONE]],_xlfn.LAMBDA(_xlpm.r,OR(_xlpm.r))),FALSE)</f>
        <v>0</v>
      </c>
      <c r="AH2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3"/>
      <c r="AQ293"/>
      <c r="AR293"/>
    </row>
    <row r="294" spans="1:44" x14ac:dyDescent="0.35">
      <c r="A294" s="2" t="s">
        <v>2928</v>
      </c>
      <c r="B294" s="40" t="str">
        <f>_xlfn.XLOOKUP(PROPERTIES[[#This Row],[VEHIDCODE]],CONTROL[VEHIDCODE],CONTROL[ENGLISH])</f>
        <v>Vossloh Afro 4000</v>
      </c>
      <c r="R294" s="2" t="b">
        <v>1</v>
      </c>
      <c r="AC294" s="2"/>
      <c r="AD294" s="2" t="b">
        <f>LEN(_xlfn.CONCAT(TRACK_TYPES[[#This Row],[TRACK_TYPE_STANDARD_GAUGE_RAILTYPE_OHLE]:[TRACK_TYPE_MTRO]]))&gt;0</f>
        <v>1</v>
      </c>
      <c r="AE294" s="38" t="b" cm="1">
        <f t="array" ref="AE294">IFERROR(_xlfn.BYROW(TRACK_TYPES[[#This Row],[TRACK_TYPE_STANDARD_GAUGE_RAILTYPE_OHLE]:[TRACK_TYPE_STANDARD_GAUGE_RAILTYPE_NONE]],_xlfn.LAMBDA(_xlpm.r,OR(_xlpm.r))),FALSE)</f>
        <v>0</v>
      </c>
      <c r="AF294" s="38" t="b" cm="1">
        <f t="array" ref="AF294">IFERROR(_xlfn.BYROW(TRACK_TYPES[[#This Row],[TRACK_TYPE_NARROW_GAUGE_RAILTYPE_OHLE]:[TRACK_TYPE_NARROW_GAUGE_RAILTYPE_NONE]],_xlfn.LAMBDA(_xlpm.r,OR(_xlpm.r))),FALSE)</f>
        <v>1</v>
      </c>
      <c r="AG294" s="38" t="b" cm="1">
        <f t="array" ref="AG294">IFERROR(_xlfn.BYROW(TRACK_TYPES[[#This Row],[TRACK_TYPE_BROAD_GAUGE_RAILTYPE_OHLE]:[TRACK_TYPE_BROAD_GAUGE_RAILTYPE_NONE]],_xlfn.LAMBDA(_xlpm.r,OR(_xlpm.r))),FALSE)</f>
        <v>0</v>
      </c>
      <c r="AH2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94"/>
      <c r="AQ294"/>
      <c r="AR294"/>
    </row>
    <row r="295" spans="1:44" x14ac:dyDescent="0.35">
      <c r="A295" s="2" t="s">
        <v>2929</v>
      </c>
      <c r="B295" s="40" t="str">
        <f>_xlfn.XLOOKUP(PROPERTIES[[#This Row],[VEHIDCODE]],CONTROL[VEHIDCODE],CONTROL[ENGLISH])</f>
        <v>GE U10B</v>
      </c>
      <c r="Z295" s="2" t="b">
        <v>1</v>
      </c>
      <c r="AC295" s="2"/>
      <c r="AD295" s="2" t="b">
        <f>LEN(_xlfn.CONCAT(TRACK_TYPES[[#This Row],[TRACK_TYPE_STANDARD_GAUGE_RAILTYPE_OHLE]:[TRACK_TYPE_MTRO]]))&gt;0</f>
        <v>1</v>
      </c>
      <c r="AE295" s="38" t="b" cm="1">
        <f t="array" ref="AE295">IFERROR(_xlfn.BYROW(TRACK_TYPES[[#This Row],[TRACK_TYPE_STANDARD_GAUGE_RAILTYPE_OHLE]:[TRACK_TYPE_STANDARD_GAUGE_RAILTYPE_NONE]],_xlfn.LAMBDA(_xlpm.r,OR(_xlpm.r))),FALSE)</f>
        <v>0</v>
      </c>
      <c r="AF295" s="38" t="b" cm="1">
        <f t="array" ref="AF295">IFERROR(_xlfn.BYROW(TRACK_TYPES[[#This Row],[TRACK_TYPE_NARROW_GAUGE_RAILTYPE_OHLE]:[TRACK_TYPE_NARROW_GAUGE_RAILTYPE_NONE]],_xlfn.LAMBDA(_xlpm.r,OR(_xlpm.r))),FALSE)</f>
        <v>0</v>
      </c>
      <c r="AG295" s="38" t="b" cm="1">
        <f t="array" ref="AG295">IFERROR(_xlfn.BYROW(TRACK_TYPES[[#This Row],[TRACK_TYPE_BROAD_GAUGE_RAILTYPE_OHLE]:[TRACK_TYPE_BROAD_GAUGE_RAILTYPE_NONE]],_xlfn.LAMBDA(_xlpm.r,OR(_xlpm.r))),FALSE)</f>
        <v>1</v>
      </c>
      <c r="AH2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95"/>
      <c r="AQ295"/>
      <c r="AR295"/>
    </row>
    <row r="296" spans="1:44" x14ac:dyDescent="0.35">
      <c r="A296" s="2" t="s">
        <v>2930</v>
      </c>
      <c r="B296" s="40" t="str">
        <f>_xlfn.XLOOKUP(PROPERTIES[[#This Row],[VEHIDCODE]],CONTROL[VEHIDCODE],CONTROL[ENGLISH])</f>
        <v>EMD/Pacific GT26C-3</v>
      </c>
      <c r="J296" s="2" t="b">
        <v>1</v>
      </c>
      <c r="AC296" s="2"/>
      <c r="AD296" s="2" t="b">
        <f>LEN(_xlfn.CONCAT(TRACK_TYPES[[#This Row],[TRACK_TYPE_STANDARD_GAUGE_RAILTYPE_OHLE]:[TRACK_TYPE_MTRO]]))&gt;0</f>
        <v>1</v>
      </c>
      <c r="AE296" s="38" t="b" cm="1">
        <f t="array" ref="AE296">IFERROR(_xlfn.BYROW(TRACK_TYPES[[#This Row],[TRACK_TYPE_STANDARD_GAUGE_RAILTYPE_OHLE]:[TRACK_TYPE_STANDARD_GAUGE_RAILTYPE_NONE]],_xlfn.LAMBDA(_xlpm.r,OR(_xlpm.r))),FALSE)</f>
        <v>1</v>
      </c>
      <c r="AF296" s="38" t="b" cm="1">
        <f t="array" ref="AF296">IFERROR(_xlfn.BYROW(TRACK_TYPES[[#This Row],[TRACK_TYPE_NARROW_GAUGE_RAILTYPE_OHLE]:[TRACK_TYPE_NARROW_GAUGE_RAILTYPE_NONE]],_xlfn.LAMBDA(_xlpm.r,OR(_xlpm.r))),FALSE)</f>
        <v>0</v>
      </c>
      <c r="AG296" s="38" t="b" cm="1">
        <f t="array" ref="AG296">IFERROR(_xlfn.BYROW(TRACK_TYPES[[#This Row],[TRACK_TYPE_BROAD_GAUGE_RAILTYPE_OHLE]:[TRACK_TYPE_BROAD_GAUGE_RAILTYPE_NONE]],_xlfn.LAMBDA(_xlpm.r,OR(_xlpm.r))),FALSE)</f>
        <v>0</v>
      </c>
      <c r="AH2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6"/>
      <c r="AQ296"/>
      <c r="AR296"/>
    </row>
    <row r="297" spans="1:44" x14ac:dyDescent="0.35">
      <c r="A297" s="2" t="s">
        <v>2931</v>
      </c>
      <c r="B297" s="40" t="str">
        <f>_xlfn.XLOOKUP(PROPERTIES[[#This Row],[VEHIDCODE]],CONTROL[VEHIDCODE],CONTROL[ENGLISH])</f>
        <v>CargoNet 312</v>
      </c>
      <c r="J297" s="2" t="b">
        <v>1</v>
      </c>
      <c r="AC297" s="2"/>
      <c r="AD297" s="2" t="b">
        <f>LEN(_xlfn.CONCAT(TRACK_TYPES[[#This Row],[TRACK_TYPE_STANDARD_GAUGE_RAILTYPE_OHLE]:[TRACK_TYPE_MTRO]]))&gt;0</f>
        <v>1</v>
      </c>
      <c r="AE297" s="38" t="b" cm="1">
        <f t="array" ref="AE297">IFERROR(_xlfn.BYROW(TRACK_TYPES[[#This Row],[TRACK_TYPE_STANDARD_GAUGE_RAILTYPE_OHLE]:[TRACK_TYPE_STANDARD_GAUGE_RAILTYPE_NONE]],_xlfn.LAMBDA(_xlpm.r,OR(_xlpm.r))),FALSE)</f>
        <v>1</v>
      </c>
      <c r="AF297" s="38" t="b" cm="1">
        <f t="array" ref="AF297">IFERROR(_xlfn.BYROW(TRACK_TYPES[[#This Row],[TRACK_TYPE_NARROW_GAUGE_RAILTYPE_OHLE]:[TRACK_TYPE_NARROW_GAUGE_RAILTYPE_NONE]],_xlfn.LAMBDA(_xlpm.r,OR(_xlpm.r))),FALSE)</f>
        <v>0</v>
      </c>
      <c r="AG297" s="38" t="b" cm="1">
        <f t="array" ref="AG297">IFERROR(_xlfn.BYROW(TRACK_TYPES[[#This Row],[TRACK_TYPE_BROAD_GAUGE_RAILTYPE_OHLE]:[TRACK_TYPE_BROAD_GAUGE_RAILTYPE_NONE]],_xlfn.LAMBDA(_xlpm.r,OR(_xlpm.r))),FALSE)</f>
        <v>0</v>
      </c>
      <c r="AH2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7"/>
      <c r="AQ297"/>
      <c r="AR297"/>
    </row>
    <row r="298" spans="1:44" x14ac:dyDescent="0.35">
      <c r="A298" s="2" t="s">
        <v>2932</v>
      </c>
      <c r="B298" s="40" t="str">
        <f>_xlfn.XLOOKUP(PROPERTIES[[#This Row],[VEHIDCODE]],CONTROL[VEHIDCODE],CONTROL[ENGLISH])</f>
        <v>GE/Pacific C44ESACi</v>
      </c>
      <c r="J298" s="2" t="b">
        <v>1</v>
      </c>
      <c r="AC298" s="2"/>
      <c r="AD298" s="2" t="b">
        <f>LEN(_xlfn.CONCAT(TRACK_TYPES[[#This Row],[TRACK_TYPE_STANDARD_GAUGE_RAILTYPE_OHLE]:[TRACK_TYPE_MTRO]]))&gt;0</f>
        <v>1</v>
      </c>
      <c r="AE298" s="38" t="b" cm="1">
        <f t="array" ref="AE298">IFERROR(_xlfn.BYROW(TRACK_TYPES[[#This Row],[TRACK_TYPE_STANDARD_GAUGE_RAILTYPE_OHLE]:[TRACK_TYPE_STANDARD_GAUGE_RAILTYPE_NONE]],_xlfn.LAMBDA(_xlpm.r,OR(_xlpm.r))),FALSE)</f>
        <v>1</v>
      </c>
      <c r="AF298" s="38" t="b" cm="1">
        <f t="array" ref="AF298">IFERROR(_xlfn.BYROW(TRACK_TYPES[[#This Row],[TRACK_TYPE_NARROW_GAUGE_RAILTYPE_OHLE]:[TRACK_TYPE_NARROW_GAUGE_RAILTYPE_NONE]],_xlfn.LAMBDA(_xlpm.r,OR(_xlpm.r))),FALSE)</f>
        <v>0</v>
      </c>
      <c r="AG298" s="38" t="b" cm="1">
        <f t="array" ref="AG298">IFERROR(_xlfn.BYROW(TRACK_TYPES[[#This Row],[TRACK_TYPE_BROAD_GAUGE_RAILTYPE_OHLE]:[TRACK_TYPE_BROAD_GAUGE_RAILTYPE_NONE]],_xlfn.LAMBDA(_xlpm.r,OR(_xlpm.r))),FALSE)</f>
        <v>0</v>
      </c>
      <c r="AH2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8"/>
      <c r="AQ298"/>
      <c r="AR298"/>
    </row>
    <row r="299" spans="1:44" x14ac:dyDescent="0.35">
      <c r="A299" s="2" t="s">
        <v>2933</v>
      </c>
      <c r="B299" s="40" t="str">
        <f>_xlfn.XLOOKUP(PROPERTIES[[#This Row],[VEHIDCODE]],CONTROL[VEHIDCODE],CONTROL[ENGLISH])</f>
        <v>Stadler UKLight</v>
      </c>
      <c r="J299" s="2" t="b">
        <v>1</v>
      </c>
      <c r="AC299" s="2"/>
      <c r="AD299" s="2" t="b">
        <f>LEN(_xlfn.CONCAT(TRACK_TYPES[[#This Row],[TRACK_TYPE_STANDARD_GAUGE_RAILTYPE_OHLE]:[TRACK_TYPE_MTRO]]))&gt;0</f>
        <v>1</v>
      </c>
      <c r="AE299" s="38" t="b" cm="1">
        <f t="array" ref="AE299">IFERROR(_xlfn.BYROW(TRACK_TYPES[[#This Row],[TRACK_TYPE_STANDARD_GAUGE_RAILTYPE_OHLE]:[TRACK_TYPE_STANDARD_GAUGE_RAILTYPE_NONE]],_xlfn.LAMBDA(_xlpm.r,OR(_xlpm.r))),FALSE)</f>
        <v>1</v>
      </c>
      <c r="AF299" s="38" t="b" cm="1">
        <f t="array" ref="AF299">IFERROR(_xlfn.BYROW(TRACK_TYPES[[#This Row],[TRACK_TYPE_NARROW_GAUGE_RAILTYPE_OHLE]:[TRACK_TYPE_NARROW_GAUGE_RAILTYPE_NONE]],_xlfn.LAMBDA(_xlpm.r,OR(_xlpm.r))),FALSE)</f>
        <v>0</v>
      </c>
      <c r="AG299" s="38" t="b" cm="1">
        <f t="array" ref="AG299">IFERROR(_xlfn.BYROW(TRACK_TYPES[[#This Row],[TRACK_TYPE_BROAD_GAUGE_RAILTYPE_OHLE]:[TRACK_TYPE_BROAD_GAUGE_RAILTYPE_NONE]],_xlfn.LAMBDA(_xlpm.r,OR(_xlpm.r))),FALSE)</f>
        <v>0</v>
      </c>
      <c r="AH2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9"/>
      <c r="AQ299"/>
      <c r="AR299"/>
    </row>
    <row r="300" spans="1:44" x14ac:dyDescent="0.35">
      <c r="A300" s="2" t="s">
        <v>2934</v>
      </c>
      <c r="B300" s="40" t="str">
        <f>_xlfn.XLOOKUP(PROPERTIES[[#This Row],[VEHIDCODE]],CONTROL[VEHIDCODE],CONTROL[ENGLISH])</f>
        <v>Siemens Charger ALC-42</v>
      </c>
      <c r="J300" s="2" t="b">
        <v>1</v>
      </c>
      <c r="AC300" s="2"/>
      <c r="AD300" s="2" t="b">
        <f>LEN(_xlfn.CONCAT(TRACK_TYPES[[#This Row],[TRACK_TYPE_STANDARD_GAUGE_RAILTYPE_OHLE]:[TRACK_TYPE_MTRO]]))&gt;0</f>
        <v>1</v>
      </c>
      <c r="AE300" s="38" t="b" cm="1">
        <f t="array" ref="AE300">IFERROR(_xlfn.BYROW(TRACK_TYPES[[#This Row],[TRACK_TYPE_STANDARD_GAUGE_RAILTYPE_OHLE]:[TRACK_TYPE_STANDARD_GAUGE_RAILTYPE_NONE]],_xlfn.LAMBDA(_xlpm.r,OR(_xlpm.r))),FALSE)</f>
        <v>1</v>
      </c>
      <c r="AF300" s="38" t="b" cm="1">
        <f t="array" ref="AF300">IFERROR(_xlfn.BYROW(TRACK_TYPES[[#This Row],[TRACK_TYPE_NARROW_GAUGE_RAILTYPE_OHLE]:[TRACK_TYPE_NARROW_GAUGE_RAILTYPE_NONE]],_xlfn.LAMBDA(_xlpm.r,OR(_xlpm.r))),FALSE)</f>
        <v>0</v>
      </c>
      <c r="AG300" s="38" t="b" cm="1">
        <f t="array" ref="AG300">IFERROR(_xlfn.BYROW(TRACK_TYPES[[#This Row],[TRACK_TYPE_BROAD_GAUGE_RAILTYPE_OHLE]:[TRACK_TYPE_BROAD_GAUGE_RAILTYPE_NONE]],_xlfn.LAMBDA(_xlpm.r,OR(_xlpm.r))),FALSE)</f>
        <v>0</v>
      </c>
      <c r="AH3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0"/>
      <c r="AQ300"/>
      <c r="AR300"/>
    </row>
    <row r="301" spans="1:44" x14ac:dyDescent="0.35">
      <c r="A301" s="2" t="s">
        <v>2935</v>
      </c>
      <c r="B301" s="40" t="str">
        <f>_xlfn.XLOOKUP(PROPERTIES[[#This Row],[VEHIDCODE]],CONTROL[VEHIDCODE],CONTROL[ENGLISH])</f>
        <v>Buenos Aires 'Le Brugeoise'</v>
      </c>
      <c r="H301" t="b">
        <v>1</v>
      </c>
      <c r="AC301" s="2"/>
      <c r="AD301" s="2" t="b">
        <f>LEN(_xlfn.CONCAT(TRACK_TYPES[[#This Row],[TRACK_TYPE_STANDARD_GAUGE_RAILTYPE_OHLE]:[TRACK_TYPE_MTRO]]))&gt;0</f>
        <v>1</v>
      </c>
      <c r="AE301" s="38" t="b" cm="1">
        <f t="array" ref="AE301">IFERROR(_xlfn.BYROW(TRACK_TYPES[[#This Row],[TRACK_TYPE_STANDARD_GAUGE_RAILTYPE_OHLE]:[TRACK_TYPE_STANDARD_GAUGE_RAILTYPE_NONE]],_xlfn.LAMBDA(_xlpm.r,OR(_xlpm.r))),FALSE)</f>
        <v>1</v>
      </c>
      <c r="AF301" s="38" t="b" cm="1">
        <f t="array" ref="AF301">IFERROR(_xlfn.BYROW(TRACK_TYPES[[#This Row],[TRACK_TYPE_NARROW_GAUGE_RAILTYPE_OHLE]:[TRACK_TYPE_NARROW_GAUGE_RAILTYPE_NONE]],_xlfn.LAMBDA(_xlpm.r,OR(_xlpm.r))),FALSE)</f>
        <v>0</v>
      </c>
      <c r="AG301" s="38" t="b" cm="1">
        <f t="array" ref="AG301">IFERROR(_xlfn.BYROW(TRACK_TYPES[[#This Row],[TRACK_TYPE_BROAD_GAUGE_RAILTYPE_OHLE]:[TRACK_TYPE_BROAD_GAUGE_RAILTYPE_NONE]],_xlfn.LAMBDA(_xlpm.r,OR(_xlpm.r))),FALSE)</f>
        <v>0</v>
      </c>
      <c r="AH3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1"/>
      <c r="AQ301"/>
      <c r="AR301"/>
    </row>
    <row r="302" spans="1:44" x14ac:dyDescent="0.35">
      <c r="A302" s="2" t="s">
        <v>2936</v>
      </c>
      <c r="B302" s="40" t="str">
        <f>_xlfn.XLOOKUP(PROPERTIES[[#This Row],[VEHIDCODE]],CONTROL[VEHIDCODE],CONTROL[ENGLISH])</f>
        <v>ACF New York R1</v>
      </c>
      <c r="H302" t="b">
        <v>1</v>
      </c>
      <c r="AC302" s="2"/>
      <c r="AD302" s="2" t="b">
        <f>LEN(_xlfn.CONCAT(TRACK_TYPES[[#This Row],[TRACK_TYPE_STANDARD_GAUGE_RAILTYPE_OHLE]:[TRACK_TYPE_MTRO]]))&gt;0</f>
        <v>1</v>
      </c>
      <c r="AE302" s="38" t="b" cm="1">
        <f t="array" ref="AE302">IFERROR(_xlfn.BYROW(TRACK_TYPES[[#This Row],[TRACK_TYPE_STANDARD_GAUGE_RAILTYPE_OHLE]:[TRACK_TYPE_STANDARD_GAUGE_RAILTYPE_NONE]],_xlfn.LAMBDA(_xlpm.r,OR(_xlpm.r))),FALSE)</f>
        <v>1</v>
      </c>
      <c r="AF302" s="38" t="b" cm="1">
        <f t="array" ref="AF302">IFERROR(_xlfn.BYROW(TRACK_TYPES[[#This Row],[TRACK_TYPE_NARROW_GAUGE_RAILTYPE_OHLE]:[TRACK_TYPE_NARROW_GAUGE_RAILTYPE_NONE]],_xlfn.LAMBDA(_xlpm.r,OR(_xlpm.r))),FALSE)</f>
        <v>0</v>
      </c>
      <c r="AG302" s="38" t="b" cm="1">
        <f t="array" ref="AG302">IFERROR(_xlfn.BYROW(TRACK_TYPES[[#This Row],[TRACK_TYPE_BROAD_GAUGE_RAILTYPE_OHLE]:[TRACK_TYPE_BROAD_GAUGE_RAILTYPE_NONE]],_xlfn.LAMBDA(_xlpm.r,OR(_xlpm.r))),FALSE)</f>
        <v>0</v>
      </c>
      <c r="AH3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2"/>
      <c r="AQ302"/>
      <c r="AR302"/>
    </row>
    <row r="303" spans="1:44" x14ac:dyDescent="0.35">
      <c r="A303" s="2" t="s">
        <v>2937</v>
      </c>
      <c r="B303" s="40" t="str">
        <f>_xlfn.XLOOKUP(PROPERTIES[[#This Row],[VEHIDCODE]],CONTROL[VEHIDCODE],CONTROL[ENGLISH])</f>
        <v>LHB ET 171</v>
      </c>
      <c r="H303" t="b">
        <v>1</v>
      </c>
      <c r="AC303" s="2"/>
      <c r="AD303" s="2" t="b">
        <f>LEN(_xlfn.CONCAT(TRACK_TYPES[[#This Row],[TRACK_TYPE_STANDARD_GAUGE_RAILTYPE_OHLE]:[TRACK_TYPE_MTRO]]))&gt;0</f>
        <v>1</v>
      </c>
      <c r="AE303" s="38" t="b" cm="1">
        <f t="array" ref="AE303">IFERROR(_xlfn.BYROW(TRACK_TYPES[[#This Row],[TRACK_TYPE_STANDARD_GAUGE_RAILTYPE_OHLE]:[TRACK_TYPE_STANDARD_GAUGE_RAILTYPE_NONE]],_xlfn.LAMBDA(_xlpm.r,OR(_xlpm.r))),FALSE)</f>
        <v>1</v>
      </c>
      <c r="AF303" s="38" t="b" cm="1">
        <f t="array" ref="AF303">IFERROR(_xlfn.BYROW(TRACK_TYPES[[#This Row],[TRACK_TYPE_NARROW_GAUGE_RAILTYPE_OHLE]:[TRACK_TYPE_NARROW_GAUGE_RAILTYPE_NONE]],_xlfn.LAMBDA(_xlpm.r,OR(_xlpm.r))),FALSE)</f>
        <v>0</v>
      </c>
      <c r="AG303" s="38" t="b" cm="1">
        <f t="array" ref="AG303">IFERROR(_xlfn.BYROW(TRACK_TYPES[[#This Row],[TRACK_TYPE_BROAD_GAUGE_RAILTYPE_OHLE]:[TRACK_TYPE_BROAD_GAUGE_RAILTYPE_NONE]],_xlfn.LAMBDA(_xlpm.r,OR(_xlpm.r))),FALSE)</f>
        <v>0</v>
      </c>
      <c r="AH3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3"/>
      <c r="AQ303"/>
      <c r="AR303"/>
    </row>
    <row r="304" spans="1:44" x14ac:dyDescent="0.35">
      <c r="A304" s="2" t="s">
        <v>2938</v>
      </c>
      <c r="B304" s="40" t="str">
        <f>_xlfn.XLOOKUP(PROPERTIES[[#This Row],[VEHIDCODE]],CONTROL[VEHIDCODE],CONTROL[ENGLISH])</f>
        <v>GEC-Alsthom Paris MP55</v>
      </c>
      <c r="H304" t="b">
        <v>1</v>
      </c>
      <c r="AC304" s="2"/>
      <c r="AD304" s="2" t="b">
        <f>LEN(_xlfn.CONCAT(TRACK_TYPES[[#This Row],[TRACK_TYPE_STANDARD_GAUGE_RAILTYPE_OHLE]:[TRACK_TYPE_MTRO]]))&gt;0</f>
        <v>1</v>
      </c>
      <c r="AE304" s="38" t="b" cm="1">
        <f t="array" ref="AE304">IFERROR(_xlfn.BYROW(TRACK_TYPES[[#This Row],[TRACK_TYPE_STANDARD_GAUGE_RAILTYPE_OHLE]:[TRACK_TYPE_STANDARD_GAUGE_RAILTYPE_NONE]],_xlfn.LAMBDA(_xlpm.r,OR(_xlpm.r))),FALSE)</f>
        <v>1</v>
      </c>
      <c r="AF304" s="38" t="b" cm="1">
        <f t="array" ref="AF304">IFERROR(_xlfn.BYROW(TRACK_TYPES[[#This Row],[TRACK_TYPE_NARROW_GAUGE_RAILTYPE_OHLE]:[TRACK_TYPE_NARROW_GAUGE_RAILTYPE_NONE]],_xlfn.LAMBDA(_xlpm.r,OR(_xlpm.r))),FALSE)</f>
        <v>0</v>
      </c>
      <c r="AG304" s="38" t="b" cm="1">
        <f t="array" ref="AG304">IFERROR(_xlfn.BYROW(TRACK_TYPES[[#This Row],[TRACK_TYPE_BROAD_GAUGE_RAILTYPE_OHLE]:[TRACK_TYPE_BROAD_GAUGE_RAILTYPE_NONE]],_xlfn.LAMBDA(_xlpm.r,OR(_xlpm.r))),FALSE)</f>
        <v>0</v>
      </c>
      <c r="AH3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4"/>
      <c r="AQ304"/>
      <c r="AR304"/>
    </row>
    <row r="305" spans="1:44" x14ac:dyDescent="0.35">
      <c r="A305" s="2" t="s">
        <v>2939</v>
      </c>
      <c r="B305" s="40" t="str">
        <f>_xlfn.XLOOKUP(PROPERTIES[[#This Row],[VEHIDCODE]],CONTROL[VEHIDCODE],CONTROL[ENGLISH])</f>
        <v>LHB Lisbon ML7</v>
      </c>
      <c r="H305" t="b">
        <v>1</v>
      </c>
      <c r="AC305" s="2"/>
      <c r="AD305" s="2" t="b">
        <f>LEN(_xlfn.CONCAT(TRACK_TYPES[[#This Row],[TRACK_TYPE_STANDARD_GAUGE_RAILTYPE_OHLE]:[TRACK_TYPE_MTRO]]))&gt;0</f>
        <v>1</v>
      </c>
      <c r="AE305" s="38" t="b" cm="1">
        <f t="array" ref="AE305">IFERROR(_xlfn.BYROW(TRACK_TYPES[[#This Row],[TRACK_TYPE_STANDARD_GAUGE_RAILTYPE_OHLE]:[TRACK_TYPE_STANDARD_GAUGE_RAILTYPE_NONE]],_xlfn.LAMBDA(_xlpm.r,OR(_xlpm.r))),FALSE)</f>
        <v>1</v>
      </c>
      <c r="AF305" s="38" t="b" cm="1">
        <f t="array" ref="AF305">IFERROR(_xlfn.BYROW(TRACK_TYPES[[#This Row],[TRACK_TYPE_NARROW_GAUGE_RAILTYPE_OHLE]:[TRACK_TYPE_NARROW_GAUGE_RAILTYPE_NONE]],_xlfn.LAMBDA(_xlpm.r,OR(_xlpm.r))),FALSE)</f>
        <v>0</v>
      </c>
      <c r="AG305" s="38" t="b" cm="1">
        <f t="array" ref="AG305">IFERROR(_xlfn.BYROW(TRACK_TYPES[[#This Row],[TRACK_TYPE_BROAD_GAUGE_RAILTYPE_OHLE]:[TRACK_TYPE_BROAD_GAUGE_RAILTYPE_NONE]],_xlfn.LAMBDA(_xlpm.r,OR(_xlpm.r))),FALSE)</f>
        <v>0</v>
      </c>
      <c r="AH3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5"/>
      <c r="AQ305"/>
      <c r="AR305"/>
    </row>
    <row r="306" spans="1:44" x14ac:dyDescent="0.35">
      <c r="A306" s="2" t="s">
        <v>2940</v>
      </c>
      <c r="B306" s="40" t="str">
        <f>_xlfn.XLOOKUP(PROPERTIES[[#This Row],[VEHIDCODE]],CONTROL[VEHIDCODE],CONTROL[ENGLISH])</f>
        <v>MMZ 81-707 Type Ezsh</v>
      </c>
      <c r="H306" t="b">
        <v>1</v>
      </c>
      <c r="AC306" s="2"/>
      <c r="AD306" s="2" t="b">
        <f>LEN(_xlfn.CONCAT(TRACK_TYPES[[#This Row],[TRACK_TYPE_STANDARD_GAUGE_RAILTYPE_OHLE]:[TRACK_TYPE_MTRO]]))&gt;0</f>
        <v>1</v>
      </c>
      <c r="AE306" s="38" t="b" cm="1">
        <f t="array" ref="AE306">IFERROR(_xlfn.BYROW(TRACK_TYPES[[#This Row],[TRACK_TYPE_STANDARD_GAUGE_RAILTYPE_OHLE]:[TRACK_TYPE_STANDARD_GAUGE_RAILTYPE_NONE]],_xlfn.LAMBDA(_xlpm.r,OR(_xlpm.r))),FALSE)</f>
        <v>1</v>
      </c>
      <c r="AF306" s="38" t="b" cm="1">
        <f t="array" ref="AF306">IFERROR(_xlfn.BYROW(TRACK_TYPES[[#This Row],[TRACK_TYPE_NARROW_GAUGE_RAILTYPE_OHLE]:[TRACK_TYPE_NARROW_GAUGE_RAILTYPE_NONE]],_xlfn.LAMBDA(_xlpm.r,OR(_xlpm.r))),FALSE)</f>
        <v>0</v>
      </c>
      <c r="AG306" s="38" t="b" cm="1">
        <f t="array" ref="AG306">IFERROR(_xlfn.BYROW(TRACK_TYPES[[#This Row],[TRACK_TYPE_BROAD_GAUGE_RAILTYPE_OHLE]:[TRACK_TYPE_BROAD_GAUGE_RAILTYPE_NONE]],_xlfn.LAMBDA(_xlpm.r,OR(_xlpm.r))),FALSE)</f>
        <v>0</v>
      </c>
      <c r="AH3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6"/>
      <c r="AQ306"/>
      <c r="AR306"/>
    </row>
    <row r="307" spans="1:44" x14ac:dyDescent="0.35">
      <c r="A307" s="2" t="s">
        <v>2941</v>
      </c>
      <c r="B307" s="40" t="str">
        <f>_xlfn.XLOOKUP(PROPERTIES[[#This Row],[VEHIDCODE]],CONTROL[VEHIDCODE],CONTROL[ENGLISH])</f>
        <v>Strommens Oslo T1000</v>
      </c>
      <c r="H307" t="b">
        <v>1</v>
      </c>
      <c r="AC307" s="2"/>
      <c r="AD307" s="2" t="b">
        <f>LEN(_xlfn.CONCAT(TRACK_TYPES[[#This Row],[TRACK_TYPE_STANDARD_GAUGE_RAILTYPE_OHLE]:[TRACK_TYPE_MTRO]]))&gt;0</f>
        <v>1</v>
      </c>
      <c r="AE307" s="38" t="b" cm="1">
        <f t="array" ref="AE307">IFERROR(_xlfn.BYROW(TRACK_TYPES[[#This Row],[TRACK_TYPE_STANDARD_GAUGE_RAILTYPE_OHLE]:[TRACK_TYPE_STANDARD_GAUGE_RAILTYPE_NONE]],_xlfn.LAMBDA(_xlpm.r,OR(_xlpm.r))),FALSE)</f>
        <v>1</v>
      </c>
      <c r="AF307" s="38" t="b" cm="1">
        <f t="array" ref="AF307">IFERROR(_xlfn.BYROW(TRACK_TYPES[[#This Row],[TRACK_TYPE_NARROW_GAUGE_RAILTYPE_OHLE]:[TRACK_TYPE_NARROW_GAUGE_RAILTYPE_NONE]],_xlfn.LAMBDA(_xlpm.r,OR(_xlpm.r))),FALSE)</f>
        <v>0</v>
      </c>
      <c r="AG307" s="38" t="b" cm="1">
        <f t="array" ref="AG307">IFERROR(_xlfn.BYROW(TRACK_TYPES[[#This Row],[TRACK_TYPE_BROAD_GAUGE_RAILTYPE_OHLE]:[TRACK_TYPE_BROAD_GAUGE_RAILTYPE_NONE]],_xlfn.LAMBDA(_xlpm.r,OR(_xlpm.r))),FALSE)</f>
        <v>0</v>
      </c>
      <c r="AH3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7"/>
      <c r="AQ307"/>
      <c r="AR307"/>
    </row>
    <row r="308" spans="1:44" x14ac:dyDescent="0.35">
      <c r="A308" s="2" t="s">
        <v>2942</v>
      </c>
      <c r="B308" s="40" t="str">
        <f>_xlfn.XLOOKUP(PROPERTIES[[#This Row],[VEHIDCODE]],CONTROL[VEHIDCODE],CONTROL[ENGLISH])</f>
        <v>Hawker Siddeley Toronto H1</v>
      </c>
      <c r="H308" t="b">
        <v>1</v>
      </c>
      <c r="AC308" s="2"/>
      <c r="AD308" s="2" t="b">
        <f>LEN(_xlfn.CONCAT(TRACK_TYPES[[#This Row],[TRACK_TYPE_STANDARD_GAUGE_RAILTYPE_OHLE]:[TRACK_TYPE_MTRO]]))&gt;0</f>
        <v>1</v>
      </c>
      <c r="AE308" s="38" t="b" cm="1">
        <f t="array" ref="AE308">IFERROR(_xlfn.BYROW(TRACK_TYPES[[#This Row],[TRACK_TYPE_STANDARD_GAUGE_RAILTYPE_OHLE]:[TRACK_TYPE_STANDARD_GAUGE_RAILTYPE_NONE]],_xlfn.LAMBDA(_xlpm.r,OR(_xlpm.r))),FALSE)</f>
        <v>1</v>
      </c>
      <c r="AF308" s="38" t="b" cm="1">
        <f t="array" ref="AF308">IFERROR(_xlfn.BYROW(TRACK_TYPES[[#This Row],[TRACK_TYPE_NARROW_GAUGE_RAILTYPE_OHLE]:[TRACK_TYPE_NARROW_GAUGE_RAILTYPE_NONE]],_xlfn.LAMBDA(_xlpm.r,OR(_xlpm.r))),FALSE)</f>
        <v>0</v>
      </c>
      <c r="AG308" s="38" t="b" cm="1">
        <f t="array" ref="AG308">IFERROR(_xlfn.BYROW(TRACK_TYPES[[#This Row],[TRACK_TYPE_BROAD_GAUGE_RAILTYPE_OHLE]:[TRACK_TYPE_BROAD_GAUGE_RAILTYPE_NONE]],_xlfn.LAMBDA(_xlpm.r,OR(_xlpm.r))),FALSE)</f>
        <v>0</v>
      </c>
      <c r="AH3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8"/>
      <c r="AQ308"/>
      <c r="AR308"/>
    </row>
    <row r="309" spans="1:44" x14ac:dyDescent="0.35">
      <c r="A309" s="2" t="s">
        <v>2943</v>
      </c>
      <c r="B309" s="40" t="str">
        <f>_xlfn.XLOOKUP(PROPERTIES[[#This Row],[VEHIDCODE]],CONTROL[VEHIDCODE],CONTROL[ENGLISH])</f>
        <v>MAN Munchen MVG A2</v>
      </c>
      <c r="H309" t="b">
        <v>1</v>
      </c>
      <c r="AC309" s="2"/>
      <c r="AD309" s="2" t="b">
        <f>LEN(_xlfn.CONCAT(TRACK_TYPES[[#This Row],[TRACK_TYPE_STANDARD_GAUGE_RAILTYPE_OHLE]:[TRACK_TYPE_MTRO]]))&gt;0</f>
        <v>1</v>
      </c>
      <c r="AE309" s="38" t="b" cm="1">
        <f t="array" ref="AE309">IFERROR(_xlfn.BYROW(TRACK_TYPES[[#This Row],[TRACK_TYPE_STANDARD_GAUGE_RAILTYPE_OHLE]:[TRACK_TYPE_STANDARD_GAUGE_RAILTYPE_NONE]],_xlfn.LAMBDA(_xlpm.r,OR(_xlpm.r))),FALSE)</f>
        <v>1</v>
      </c>
      <c r="AF309" s="38" t="b" cm="1">
        <f t="array" ref="AF309">IFERROR(_xlfn.BYROW(TRACK_TYPES[[#This Row],[TRACK_TYPE_NARROW_GAUGE_RAILTYPE_OHLE]:[TRACK_TYPE_NARROW_GAUGE_RAILTYPE_NONE]],_xlfn.LAMBDA(_xlpm.r,OR(_xlpm.r))),FALSE)</f>
        <v>0</v>
      </c>
      <c r="AG309" s="38" t="b" cm="1">
        <f t="array" ref="AG309">IFERROR(_xlfn.BYROW(TRACK_TYPES[[#This Row],[TRACK_TYPE_BROAD_GAUGE_RAILTYPE_OHLE]:[TRACK_TYPE_BROAD_GAUGE_RAILTYPE_NONE]],_xlfn.LAMBDA(_xlpm.r,OR(_xlpm.r))),FALSE)</f>
        <v>0</v>
      </c>
      <c r="AH3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9"/>
      <c r="AQ309"/>
      <c r="AR309"/>
    </row>
    <row r="310" spans="1:44" x14ac:dyDescent="0.35">
      <c r="A310" s="2" t="s">
        <v>2944</v>
      </c>
      <c r="B310" s="40" t="str">
        <f>_xlfn.XLOOKUP(PROPERTIES[[#This Row],[VEHIDCODE]],CONTROL[VEHIDCODE],CONTROL[ENGLISH])</f>
        <v>St. Louis Car Co New York R44</v>
      </c>
      <c r="H310" t="b">
        <v>1</v>
      </c>
      <c r="AC310" s="2"/>
      <c r="AD310" s="2" t="b">
        <f>LEN(_xlfn.CONCAT(TRACK_TYPES[[#This Row],[TRACK_TYPE_STANDARD_GAUGE_RAILTYPE_OHLE]:[TRACK_TYPE_MTRO]]))&gt;0</f>
        <v>1</v>
      </c>
      <c r="AE310" s="38" t="b" cm="1">
        <f t="array" ref="AE310">IFERROR(_xlfn.BYROW(TRACK_TYPES[[#This Row],[TRACK_TYPE_STANDARD_GAUGE_RAILTYPE_OHLE]:[TRACK_TYPE_STANDARD_GAUGE_RAILTYPE_NONE]],_xlfn.LAMBDA(_xlpm.r,OR(_xlpm.r))),FALSE)</f>
        <v>1</v>
      </c>
      <c r="AF310" s="38" t="b" cm="1">
        <f t="array" ref="AF310">IFERROR(_xlfn.BYROW(TRACK_TYPES[[#This Row],[TRACK_TYPE_NARROW_GAUGE_RAILTYPE_OHLE]:[TRACK_TYPE_NARROW_GAUGE_RAILTYPE_NONE]],_xlfn.LAMBDA(_xlpm.r,OR(_xlpm.r))),FALSE)</f>
        <v>0</v>
      </c>
      <c r="AG310" s="38" t="b" cm="1">
        <f t="array" ref="AG310">IFERROR(_xlfn.BYROW(TRACK_TYPES[[#This Row],[TRACK_TYPE_BROAD_GAUGE_RAILTYPE_OHLE]:[TRACK_TYPE_BROAD_GAUGE_RAILTYPE_NONE]],_xlfn.LAMBDA(_xlpm.r,OR(_xlpm.r))),FALSE)</f>
        <v>0</v>
      </c>
      <c r="AH3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0"/>
      <c r="AQ310"/>
      <c r="AR310"/>
    </row>
    <row r="311" spans="1:44" x14ac:dyDescent="0.35">
      <c r="A311" s="2" t="s">
        <v>2945</v>
      </c>
      <c r="B311" s="40" t="str">
        <f>_xlfn.XLOOKUP(PROPERTIES[[#This Row],[VEHIDCODE]],CONTROL[VEHIDCODE],CONTROL[ENGLISH])</f>
        <v>LHB Amsterdam M1</v>
      </c>
      <c r="H311" t="b">
        <v>1</v>
      </c>
      <c r="AC311" s="2"/>
      <c r="AD311" s="2" t="b">
        <f>LEN(_xlfn.CONCAT(TRACK_TYPES[[#This Row],[TRACK_TYPE_STANDARD_GAUGE_RAILTYPE_OHLE]:[TRACK_TYPE_MTRO]]))&gt;0</f>
        <v>1</v>
      </c>
      <c r="AE311" s="38" t="b" cm="1">
        <f t="array" ref="AE311">IFERROR(_xlfn.BYROW(TRACK_TYPES[[#This Row],[TRACK_TYPE_STANDARD_GAUGE_RAILTYPE_OHLE]:[TRACK_TYPE_STANDARD_GAUGE_RAILTYPE_NONE]],_xlfn.LAMBDA(_xlpm.r,OR(_xlpm.r))),FALSE)</f>
        <v>1</v>
      </c>
      <c r="AF311" s="38" t="b" cm="1">
        <f t="array" ref="AF311">IFERROR(_xlfn.BYROW(TRACK_TYPES[[#This Row],[TRACK_TYPE_NARROW_GAUGE_RAILTYPE_OHLE]:[TRACK_TYPE_NARROW_GAUGE_RAILTYPE_NONE]],_xlfn.LAMBDA(_xlpm.r,OR(_xlpm.r))),FALSE)</f>
        <v>0</v>
      </c>
      <c r="AG311" s="38" t="b" cm="1">
        <f t="array" ref="AG311">IFERROR(_xlfn.BYROW(TRACK_TYPES[[#This Row],[TRACK_TYPE_BROAD_GAUGE_RAILTYPE_OHLE]:[TRACK_TYPE_BROAD_GAUGE_RAILTYPE_NONE]],_xlfn.LAMBDA(_xlpm.r,OR(_xlpm.r))),FALSE)</f>
        <v>0</v>
      </c>
      <c r="AH3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1"/>
      <c r="AQ311"/>
      <c r="AR311"/>
    </row>
    <row r="312" spans="1:44" x14ac:dyDescent="0.35">
      <c r="A312" s="2" t="s">
        <v>2946</v>
      </c>
      <c r="B312" s="40" t="str">
        <f>_xlfn.XLOOKUP(PROPERTIES[[#This Row],[VEHIDCODE]],CONTROL[VEHIDCODE],CONTROL[ENGLISH])</f>
        <v>ASEA Stockholm C8</v>
      </c>
      <c r="H312" t="b">
        <v>1</v>
      </c>
      <c r="AC312" s="2"/>
      <c r="AD312" s="2" t="b">
        <f>LEN(_xlfn.CONCAT(TRACK_TYPES[[#This Row],[TRACK_TYPE_STANDARD_GAUGE_RAILTYPE_OHLE]:[TRACK_TYPE_MTRO]]))&gt;0</f>
        <v>1</v>
      </c>
      <c r="AE312" s="38" t="b" cm="1">
        <f t="array" ref="AE312">IFERROR(_xlfn.BYROW(TRACK_TYPES[[#This Row],[TRACK_TYPE_STANDARD_GAUGE_RAILTYPE_OHLE]:[TRACK_TYPE_STANDARD_GAUGE_RAILTYPE_NONE]],_xlfn.LAMBDA(_xlpm.r,OR(_xlpm.r))),FALSE)</f>
        <v>1</v>
      </c>
      <c r="AF312" s="38" t="b" cm="1">
        <f t="array" ref="AF312">IFERROR(_xlfn.BYROW(TRACK_TYPES[[#This Row],[TRACK_TYPE_NARROW_GAUGE_RAILTYPE_OHLE]:[TRACK_TYPE_NARROW_GAUGE_RAILTYPE_NONE]],_xlfn.LAMBDA(_xlpm.r,OR(_xlpm.r))),FALSE)</f>
        <v>0</v>
      </c>
      <c r="AG312" s="38" t="b" cm="1">
        <f t="array" ref="AG312">IFERROR(_xlfn.BYROW(TRACK_TYPES[[#This Row],[TRACK_TYPE_BROAD_GAUGE_RAILTYPE_OHLE]:[TRACK_TYPE_BROAD_GAUGE_RAILTYPE_NONE]],_xlfn.LAMBDA(_xlpm.r,OR(_xlpm.r))),FALSE)</f>
        <v>0</v>
      </c>
      <c r="AH3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2"/>
      <c r="AQ312"/>
      <c r="AR312"/>
    </row>
    <row r="313" spans="1:44" x14ac:dyDescent="0.35">
      <c r="A313" s="2" t="s">
        <v>2947</v>
      </c>
      <c r="B313" s="40" t="str">
        <f>_xlfn.XLOOKUP(PROPERTIES[[#This Row],[VEHIDCODE]],CONTROL[VEHIDCODE],CONTROL[ENGLISH])</f>
        <v>AEG D</v>
      </c>
      <c r="H313" t="b">
        <v>1</v>
      </c>
      <c r="AC313" s="2"/>
      <c r="AD313" s="2" t="b">
        <f>LEN(_xlfn.CONCAT(TRACK_TYPES[[#This Row],[TRACK_TYPE_STANDARD_GAUGE_RAILTYPE_OHLE]:[TRACK_TYPE_MTRO]]))&gt;0</f>
        <v>1</v>
      </c>
      <c r="AE313" s="38" t="b" cm="1">
        <f t="array" ref="AE313">IFERROR(_xlfn.BYROW(TRACK_TYPES[[#This Row],[TRACK_TYPE_STANDARD_GAUGE_RAILTYPE_OHLE]:[TRACK_TYPE_STANDARD_GAUGE_RAILTYPE_NONE]],_xlfn.LAMBDA(_xlpm.r,OR(_xlpm.r))),FALSE)</f>
        <v>1</v>
      </c>
      <c r="AF313" s="38" t="b" cm="1">
        <f t="array" ref="AF313">IFERROR(_xlfn.BYROW(TRACK_TYPES[[#This Row],[TRACK_TYPE_NARROW_GAUGE_RAILTYPE_OHLE]:[TRACK_TYPE_NARROW_GAUGE_RAILTYPE_NONE]],_xlfn.LAMBDA(_xlpm.r,OR(_xlpm.r))),FALSE)</f>
        <v>0</v>
      </c>
      <c r="AG313" s="38" t="b" cm="1">
        <f t="array" ref="AG313">IFERROR(_xlfn.BYROW(TRACK_TYPES[[#This Row],[TRACK_TYPE_BROAD_GAUGE_RAILTYPE_OHLE]:[TRACK_TYPE_BROAD_GAUGE_RAILTYPE_NONE]],_xlfn.LAMBDA(_xlpm.r,OR(_xlpm.r))),FALSE)</f>
        <v>0</v>
      </c>
      <c r="AH3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3"/>
      <c r="AQ313"/>
      <c r="AR313"/>
    </row>
    <row r="314" spans="1:44" x14ac:dyDescent="0.35">
      <c r="A314" s="2" t="s">
        <v>2948</v>
      </c>
      <c r="B314" s="40" t="str">
        <f>_xlfn.XLOOKUP(PROPERTIES[[#This Row],[VEHIDCODE]],CONTROL[VEHIDCODE],CONTROL[ENGLISH])</f>
        <v>Valmet Helsinki M100</v>
      </c>
      <c r="X314" t="b">
        <v>1</v>
      </c>
      <c r="AC314" s="2"/>
      <c r="AD314" s="2" t="b">
        <f>LEN(_xlfn.CONCAT(TRACK_TYPES[[#This Row],[TRACK_TYPE_STANDARD_GAUGE_RAILTYPE_OHLE]:[TRACK_TYPE_MTRO]]))&gt;0</f>
        <v>1</v>
      </c>
      <c r="AE314" s="38" t="b" cm="1">
        <f t="array" ref="AE314">IFERROR(_xlfn.BYROW(TRACK_TYPES[[#This Row],[TRACK_TYPE_STANDARD_GAUGE_RAILTYPE_OHLE]:[TRACK_TYPE_STANDARD_GAUGE_RAILTYPE_NONE]],_xlfn.LAMBDA(_xlpm.r,OR(_xlpm.r))),FALSE)</f>
        <v>0</v>
      </c>
      <c r="AF314" s="38" t="b" cm="1">
        <f t="array" ref="AF314">IFERROR(_xlfn.BYROW(TRACK_TYPES[[#This Row],[TRACK_TYPE_NARROW_GAUGE_RAILTYPE_OHLE]:[TRACK_TYPE_NARROW_GAUGE_RAILTYPE_NONE]],_xlfn.LAMBDA(_xlpm.r,OR(_xlpm.r))),FALSE)</f>
        <v>0</v>
      </c>
      <c r="AG314" s="38" t="b" cm="1">
        <f t="array" ref="AG314">IFERROR(_xlfn.BYROW(TRACK_TYPES[[#This Row],[TRACK_TYPE_BROAD_GAUGE_RAILTYPE_OHLE]:[TRACK_TYPE_BROAD_GAUGE_RAILTYPE_NONE]],_xlfn.LAMBDA(_xlpm.r,OR(_xlpm.r))),FALSE)</f>
        <v>1</v>
      </c>
      <c r="AH3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14"/>
      <c r="AQ314"/>
      <c r="AR314"/>
    </row>
    <row r="315" spans="1:44" x14ac:dyDescent="0.35">
      <c r="A315" s="2" t="s">
        <v>2949</v>
      </c>
      <c r="B315" s="40" t="str">
        <f>_xlfn.XLOOKUP(PROPERTIES[[#This Row],[VEHIDCODE]],CONTROL[VEHIDCODE],CONTROL[ENGLISH])</f>
        <v>Sorefame Sao Paulo Serie 5500</v>
      </c>
      <c r="X315" t="b">
        <v>1</v>
      </c>
      <c r="AC315" s="2"/>
      <c r="AD315" s="2" t="b">
        <f>LEN(_xlfn.CONCAT(TRACK_TYPES[[#This Row],[TRACK_TYPE_STANDARD_GAUGE_RAILTYPE_OHLE]:[TRACK_TYPE_MTRO]]))&gt;0</f>
        <v>1</v>
      </c>
      <c r="AE315" s="38" t="b" cm="1">
        <f t="array" ref="AE315">IFERROR(_xlfn.BYROW(TRACK_TYPES[[#This Row],[TRACK_TYPE_STANDARD_GAUGE_RAILTYPE_OHLE]:[TRACK_TYPE_STANDARD_GAUGE_RAILTYPE_NONE]],_xlfn.LAMBDA(_xlpm.r,OR(_xlpm.r))),FALSE)</f>
        <v>0</v>
      </c>
      <c r="AF315" s="38" t="b" cm="1">
        <f t="array" ref="AF315">IFERROR(_xlfn.BYROW(TRACK_TYPES[[#This Row],[TRACK_TYPE_NARROW_GAUGE_RAILTYPE_OHLE]:[TRACK_TYPE_NARROW_GAUGE_RAILTYPE_NONE]],_xlfn.LAMBDA(_xlpm.r,OR(_xlpm.r))),FALSE)</f>
        <v>0</v>
      </c>
      <c r="AG315" s="38" t="b" cm="1">
        <f t="array" ref="AG315">IFERROR(_xlfn.BYROW(TRACK_TYPES[[#This Row],[TRACK_TYPE_BROAD_GAUGE_RAILTYPE_OHLE]:[TRACK_TYPE_BROAD_GAUGE_RAILTYPE_NONE]],_xlfn.LAMBDA(_xlpm.r,OR(_xlpm.r))),FALSE)</f>
        <v>1</v>
      </c>
      <c r="AH3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15"/>
      <c r="AQ315"/>
      <c r="AR315"/>
    </row>
    <row r="316" spans="1:44" x14ac:dyDescent="0.35">
      <c r="A316" s="2" t="s">
        <v>2950</v>
      </c>
      <c r="B316" s="40" t="str">
        <f>_xlfn.XLOOKUP(PROPERTIES[[#This Row],[VEHIDCODE]],CONTROL[VEHIDCODE],CONTROL[ENGLISH])</f>
        <v>MMZ 81-720</v>
      </c>
      <c r="X316" t="b">
        <v>1</v>
      </c>
      <c r="AC316" s="2"/>
      <c r="AD316" s="2" t="b">
        <f>LEN(_xlfn.CONCAT(TRACK_TYPES[[#This Row],[TRACK_TYPE_STANDARD_GAUGE_RAILTYPE_OHLE]:[TRACK_TYPE_MTRO]]))&gt;0</f>
        <v>1</v>
      </c>
      <c r="AE316" s="38" t="b" cm="1">
        <f t="array" ref="AE316">IFERROR(_xlfn.BYROW(TRACK_TYPES[[#This Row],[TRACK_TYPE_STANDARD_GAUGE_RAILTYPE_OHLE]:[TRACK_TYPE_STANDARD_GAUGE_RAILTYPE_NONE]],_xlfn.LAMBDA(_xlpm.r,OR(_xlpm.r))),FALSE)</f>
        <v>0</v>
      </c>
      <c r="AF316" s="38" t="b" cm="1">
        <f t="array" ref="AF316">IFERROR(_xlfn.BYROW(TRACK_TYPES[[#This Row],[TRACK_TYPE_NARROW_GAUGE_RAILTYPE_OHLE]:[TRACK_TYPE_NARROW_GAUGE_RAILTYPE_NONE]],_xlfn.LAMBDA(_xlpm.r,OR(_xlpm.r))),FALSE)</f>
        <v>0</v>
      </c>
      <c r="AG316" s="38" t="b" cm="1">
        <f t="array" ref="AG316">IFERROR(_xlfn.BYROW(TRACK_TYPES[[#This Row],[TRACK_TYPE_BROAD_GAUGE_RAILTYPE_OHLE]:[TRACK_TYPE_BROAD_GAUGE_RAILTYPE_NONE]],_xlfn.LAMBDA(_xlpm.r,OR(_xlpm.r))),FALSE)</f>
        <v>1</v>
      </c>
      <c r="AH3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16"/>
      <c r="AQ316"/>
      <c r="AR316"/>
    </row>
    <row r="317" spans="1:44" x14ac:dyDescent="0.35">
      <c r="A317" s="2" t="s">
        <v>2951</v>
      </c>
      <c r="B317" s="40" t="str">
        <f>_xlfn.XLOOKUP(PROPERTIES[[#This Row],[VEHIDCODE]],CONTROL[VEHIDCODE],CONTROL[ENGLISH])</f>
        <v>Kawasaki Tokyo S01</v>
      </c>
      <c r="H317" t="b">
        <v>1</v>
      </c>
      <c r="AC317" s="2"/>
      <c r="AD317" s="2" t="b">
        <f>LEN(_xlfn.CONCAT(TRACK_TYPES[[#This Row],[TRACK_TYPE_STANDARD_GAUGE_RAILTYPE_OHLE]:[TRACK_TYPE_MTRO]]))&gt;0</f>
        <v>1</v>
      </c>
      <c r="AE317" s="38" t="b" cm="1">
        <f t="array" ref="AE317">IFERROR(_xlfn.BYROW(TRACK_TYPES[[#This Row],[TRACK_TYPE_STANDARD_GAUGE_RAILTYPE_OHLE]:[TRACK_TYPE_STANDARD_GAUGE_RAILTYPE_NONE]],_xlfn.LAMBDA(_xlpm.r,OR(_xlpm.r))),FALSE)</f>
        <v>1</v>
      </c>
      <c r="AF317" s="38" t="b" cm="1">
        <f t="array" ref="AF317">IFERROR(_xlfn.BYROW(TRACK_TYPES[[#This Row],[TRACK_TYPE_NARROW_GAUGE_RAILTYPE_OHLE]:[TRACK_TYPE_NARROW_GAUGE_RAILTYPE_NONE]],_xlfn.LAMBDA(_xlpm.r,OR(_xlpm.r))),FALSE)</f>
        <v>0</v>
      </c>
      <c r="AG317" s="38" t="b" cm="1">
        <f t="array" ref="AG317">IFERROR(_xlfn.BYROW(TRACK_TYPES[[#This Row],[TRACK_TYPE_BROAD_GAUGE_RAILTYPE_OHLE]:[TRACK_TYPE_BROAD_GAUGE_RAILTYPE_NONE]],_xlfn.LAMBDA(_xlpm.r,OR(_xlpm.r))),FALSE)</f>
        <v>0</v>
      </c>
      <c r="AH3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7"/>
      <c r="AQ317"/>
      <c r="AR317"/>
    </row>
    <row r="318" spans="1:44" x14ac:dyDescent="0.35">
      <c r="A318" s="2" t="s">
        <v>2952</v>
      </c>
      <c r="B318" s="40" t="str">
        <f>_xlfn.XLOOKUP(PROPERTIES[[#This Row],[VEHIDCODE]],CONTROL[VEHIDCODE],CONTROL[ENGLISH])</f>
        <v>Kinki Sharyo Vcairo</v>
      </c>
      <c r="H318" t="b">
        <v>1</v>
      </c>
      <c r="AC318" s="2"/>
      <c r="AD318" s="2" t="b">
        <f>LEN(_xlfn.CONCAT(TRACK_TYPES[[#This Row],[TRACK_TYPE_STANDARD_GAUGE_RAILTYPE_OHLE]:[TRACK_TYPE_MTRO]]))&gt;0</f>
        <v>1</v>
      </c>
      <c r="AE318" s="38" t="b" cm="1">
        <f t="array" ref="AE318">IFERROR(_xlfn.BYROW(TRACK_TYPES[[#This Row],[TRACK_TYPE_STANDARD_GAUGE_RAILTYPE_OHLE]:[TRACK_TYPE_STANDARD_GAUGE_RAILTYPE_NONE]],_xlfn.LAMBDA(_xlpm.r,OR(_xlpm.r))),FALSE)</f>
        <v>1</v>
      </c>
      <c r="AF318" s="38" t="b" cm="1">
        <f t="array" ref="AF318">IFERROR(_xlfn.BYROW(TRACK_TYPES[[#This Row],[TRACK_TYPE_NARROW_GAUGE_RAILTYPE_OHLE]:[TRACK_TYPE_NARROW_GAUGE_RAILTYPE_NONE]],_xlfn.LAMBDA(_xlpm.r,OR(_xlpm.r))),FALSE)</f>
        <v>0</v>
      </c>
      <c r="AG318" s="38" t="b" cm="1">
        <f t="array" ref="AG318">IFERROR(_xlfn.BYROW(TRACK_TYPES[[#This Row],[TRACK_TYPE_BROAD_GAUGE_RAILTYPE_OHLE]:[TRACK_TYPE_BROAD_GAUGE_RAILTYPE_NONE]],_xlfn.LAMBDA(_xlpm.r,OR(_xlpm.r))),FALSE)</f>
        <v>0</v>
      </c>
      <c r="AH3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8"/>
      <c r="AQ318"/>
      <c r="AR318"/>
    </row>
    <row r="319" spans="1:44" x14ac:dyDescent="0.35">
      <c r="A319" s="2" t="s">
        <v>2953</v>
      </c>
      <c r="B319" s="40" t="str">
        <f>_xlfn.XLOOKUP(PROPERTIES[[#This Row],[VEHIDCODE]],CONTROL[VEHIDCODE],CONTROL[ENGLISH])</f>
        <v>LHB London DLR P86</v>
      </c>
      <c r="H319" t="b">
        <v>1</v>
      </c>
      <c r="AC319" s="2"/>
      <c r="AD319" s="2" t="b">
        <f>LEN(_xlfn.CONCAT(TRACK_TYPES[[#This Row],[TRACK_TYPE_STANDARD_GAUGE_RAILTYPE_OHLE]:[TRACK_TYPE_MTRO]]))&gt;0</f>
        <v>1</v>
      </c>
      <c r="AE319" s="38" t="b" cm="1">
        <f t="array" ref="AE319">IFERROR(_xlfn.BYROW(TRACK_TYPES[[#This Row],[TRACK_TYPE_STANDARD_GAUGE_RAILTYPE_OHLE]:[TRACK_TYPE_STANDARD_GAUGE_RAILTYPE_NONE]],_xlfn.LAMBDA(_xlpm.r,OR(_xlpm.r))),FALSE)</f>
        <v>1</v>
      </c>
      <c r="AF319" s="38" t="b" cm="1">
        <f t="array" ref="AF319">IFERROR(_xlfn.BYROW(TRACK_TYPES[[#This Row],[TRACK_TYPE_NARROW_GAUGE_RAILTYPE_OHLE]:[TRACK_TYPE_NARROW_GAUGE_RAILTYPE_NONE]],_xlfn.LAMBDA(_xlpm.r,OR(_xlpm.r))),FALSE)</f>
        <v>0</v>
      </c>
      <c r="AG319" s="38" t="b" cm="1">
        <f t="array" ref="AG319">IFERROR(_xlfn.BYROW(TRACK_TYPES[[#This Row],[TRACK_TYPE_BROAD_GAUGE_RAILTYPE_OHLE]:[TRACK_TYPE_BROAD_GAUGE_RAILTYPE_NONE]],_xlfn.LAMBDA(_xlpm.r,OR(_xlpm.r))),FALSE)</f>
        <v>0</v>
      </c>
      <c r="AH3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9"/>
      <c r="AQ319"/>
      <c r="AR319"/>
    </row>
    <row r="320" spans="1:44" x14ac:dyDescent="0.35">
      <c r="A320" s="2" t="s">
        <v>2954</v>
      </c>
      <c r="B320" s="40" t="str">
        <f>_xlfn.XLOOKUP(PROPERTIES[[#This Row],[VEHIDCODE]],CONTROL[VEHIDCODE],CONTROL[ENGLISH])</f>
        <v>MMZ 81-717.5M</v>
      </c>
      <c r="H320" t="b">
        <v>1</v>
      </c>
      <c r="X320" t="b">
        <v>1</v>
      </c>
      <c r="AC320" s="2"/>
      <c r="AD320" s="2" t="b">
        <f>LEN(_xlfn.CONCAT(TRACK_TYPES[[#This Row],[TRACK_TYPE_STANDARD_GAUGE_RAILTYPE_OHLE]:[TRACK_TYPE_MTRO]]))&gt;0</f>
        <v>1</v>
      </c>
      <c r="AE320" s="38" t="b" cm="1">
        <f t="array" ref="AE320">IFERROR(_xlfn.BYROW(TRACK_TYPES[[#This Row],[TRACK_TYPE_STANDARD_GAUGE_RAILTYPE_OHLE]:[TRACK_TYPE_STANDARD_GAUGE_RAILTYPE_NONE]],_xlfn.LAMBDA(_xlpm.r,OR(_xlpm.r))),FALSE)</f>
        <v>1</v>
      </c>
      <c r="AF320" s="38" t="b" cm="1">
        <f t="array" ref="AF320">IFERROR(_xlfn.BYROW(TRACK_TYPES[[#This Row],[TRACK_TYPE_NARROW_GAUGE_RAILTYPE_OHLE]:[TRACK_TYPE_NARROW_GAUGE_RAILTYPE_NONE]],_xlfn.LAMBDA(_xlpm.r,OR(_xlpm.r))),FALSE)</f>
        <v>0</v>
      </c>
      <c r="AG320" s="38" t="b" cm="1">
        <f t="array" ref="AG320">IFERROR(_xlfn.BYROW(TRACK_TYPES[[#This Row],[TRACK_TYPE_BROAD_GAUGE_RAILTYPE_OHLE]:[TRACK_TYPE_BROAD_GAUGE_RAILTYPE_NONE]],_xlfn.LAMBDA(_xlpm.r,OR(_xlpm.r))),FALSE)</f>
        <v>1</v>
      </c>
      <c r="AH3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0"/>
      <c r="AQ320"/>
      <c r="AR320"/>
    </row>
    <row r="321" spans="1:44" x14ac:dyDescent="0.35">
      <c r="A321" s="2" t="s">
        <v>2955</v>
      </c>
      <c r="B321" s="40" t="str">
        <f>_xlfn.XLOOKUP(PROPERTIES[[#This Row],[VEHIDCODE]],CONTROL[VEHIDCODE],CONTROL[ENGLISH])</f>
        <v>Bombardier Boston 01800</v>
      </c>
      <c r="H321" t="b">
        <v>1</v>
      </c>
      <c r="AC321" s="2"/>
      <c r="AD321" s="2" t="b">
        <f>LEN(_xlfn.CONCAT(TRACK_TYPES[[#This Row],[TRACK_TYPE_STANDARD_GAUGE_RAILTYPE_OHLE]:[TRACK_TYPE_MTRO]]))&gt;0</f>
        <v>1</v>
      </c>
      <c r="AE321" s="38" t="b" cm="1">
        <f t="array" ref="AE321">IFERROR(_xlfn.BYROW(TRACK_TYPES[[#This Row],[TRACK_TYPE_STANDARD_GAUGE_RAILTYPE_OHLE]:[TRACK_TYPE_STANDARD_GAUGE_RAILTYPE_NONE]],_xlfn.LAMBDA(_xlpm.r,OR(_xlpm.r))),FALSE)</f>
        <v>1</v>
      </c>
      <c r="AF321" s="38" t="b" cm="1">
        <f t="array" ref="AF321">IFERROR(_xlfn.BYROW(TRACK_TYPES[[#This Row],[TRACK_TYPE_NARROW_GAUGE_RAILTYPE_OHLE]:[TRACK_TYPE_NARROW_GAUGE_RAILTYPE_NONE]],_xlfn.LAMBDA(_xlpm.r,OR(_xlpm.r))),FALSE)</f>
        <v>0</v>
      </c>
      <c r="AG321" s="38" t="b" cm="1">
        <f t="array" ref="AG321">IFERROR(_xlfn.BYROW(TRACK_TYPES[[#This Row],[TRACK_TYPE_BROAD_GAUGE_RAILTYPE_OHLE]:[TRACK_TYPE_BROAD_GAUGE_RAILTYPE_NONE]],_xlfn.LAMBDA(_xlpm.r,OR(_xlpm.r))),FALSE)</f>
        <v>0</v>
      </c>
      <c r="AH3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1"/>
      <c r="AQ321"/>
      <c r="AR321"/>
    </row>
    <row r="322" spans="1:44" x14ac:dyDescent="0.35">
      <c r="A322" s="2" t="s">
        <v>2956</v>
      </c>
      <c r="B322" s="40" t="str">
        <f>_xlfn.XLOOKUP(PROPERTIES[[#This Row],[VEHIDCODE]],CONTROL[VEHIDCODE],CONTROL[ENGLISH])</f>
        <v>Breda LA A650</v>
      </c>
      <c r="H322" t="b">
        <v>1</v>
      </c>
      <c r="AC322" s="2"/>
      <c r="AD322" s="2" t="b">
        <f>LEN(_xlfn.CONCAT(TRACK_TYPES[[#This Row],[TRACK_TYPE_STANDARD_GAUGE_RAILTYPE_OHLE]:[TRACK_TYPE_MTRO]]))&gt;0</f>
        <v>1</v>
      </c>
      <c r="AE322" s="38" t="b" cm="1">
        <f t="array" ref="AE322">IFERROR(_xlfn.BYROW(TRACK_TYPES[[#This Row],[TRACK_TYPE_STANDARD_GAUGE_RAILTYPE_OHLE]:[TRACK_TYPE_STANDARD_GAUGE_RAILTYPE_NONE]],_xlfn.LAMBDA(_xlpm.r,OR(_xlpm.r))),FALSE)</f>
        <v>1</v>
      </c>
      <c r="AF322" s="38" t="b" cm="1">
        <f t="array" ref="AF322">IFERROR(_xlfn.BYROW(TRACK_TYPES[[#This Row],[TRACK_TYPE_NARROW_GAUGE_RAILTYPE_OHLE]:[TRACK_TYPE_NARROW_GAUGE_RAILTYPE_NONE]],_xlfn.LAMBDA(_xlpm.r,OR(_xlpm.r))),FALSE)</f>
        <v>0</v>
      </c>
      <c r="AG322" s="38" t="b" cm="1">
        <f t="array" ref="AG322">IFERROR(_xlfn.BYROW(TRACK_TYPES[[#This Row],[TRACK_TYPE_BROAD_GAUGE_RAILTYPE_OHLE]:[TRACK_TYPE_BROAD_GAUGE_RAILTYPE_NONE]],_xlfn.LAMBDA(_xlpm.r,OR(_xlpm.r))),FALSE)</f>
        <v>0</v>
      </c>
      <c r="AH3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2"/>
      <c r="AQ322"/>
      <c r="AR322"/>
    </row>
    <row r="323" spans="1:44" x14ac:dyDescent="0.35">
      <c r="A323" s="2" t="s">
        <v>2957</v>
      </c>
      <c r="B323" s="40" t="str">
        <f>_xlfn.XLOOKUP(PROPERTIES[[#This Row],[VEHIDCODE]],CONTROL[VEHIDCODE],CONTROL[ENGLISH])</f>
        <v>Kawasaki Taipei C301</v>
      </c>
      <c r="H323" t="b">
        <v>1</v>
      </c>
      <c r="AC323" s="2"/>
      <c r="AD323" s="2" t="b">
        <f>LEN(_xlfn.CONCAT(TRACK_TYPES[[#This Row],[TRACK_TYPE_STANDARD_GAUGE_RAILTYPE_OHLE]:[TRACK_TYPE_MTRO]]))&gt;0</f>
        <v>1</v>
      </c>
      <c r="AE323" s="38" t="b" cm="1">
        <f t="array" ref="AE323">IFERROR(_xlfn.BYROW(TRACK_TYPES[[#This Row],[TRACK_TYPE_STANDARD_GAUGE_RAILTYPE_OHLE]:[TRACK_TYPE_STANDARD_GAUGE_RAILTYPE_NONE]],_xlfn.LAMBDA(_xlpm.r,OR(_xlpm.r))),FALSE)</f>
        <v>1</v>
      </c>
      <c r="AF323" s="38" t="b" cm="1">
        <f t="array" ref="AF323">IFERROR(_xlfn.BYROW(TRACK_TYPES[[#This Row],[TRACK_TYPE_NARROW_GAUGE_RAILTYPE_OHLE]:[TRACK_TYPE_NARROW_GAUGE_RAILTYPE_NONE]],_xlfn.LAMBDA(_xlpm.r,OR(_xlpm.r))),FALSE)</f>
        <v>0</v>
      </c>
      <c r="AG323" s="38" t="b" cm="1">
        <f t="array" ref="AG323">IFERROR(_xlfn.BYROW(TRACK_TYPES[[#This Row],[TRACK_TYPE_BROAD_GAUGE_RAILTYPE_OHLE]:[TRACK_TYPE_BROAD_GAUGE_RAILTYPE_NONE]],_xlfn.LAMBDA(_xlpm.r,OR(_xlpm.r))),FALSE)</f>
        <v>0</v>
      </c>
      <c r="AH3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3"/>
      <c r="AQ323"/>
      <c r="AR323"/>
    </row>
    <row r="324" spans="1:44" x14ac:dyDescent="0.35">
      <c r="A324" s="2" t="s">
        <v>2958</v>
      </c>
      <c r="B324" s="40" t="str">
        <f>_xlfn.XLOOKUP(PROPERTIES[[#This Row],[VEHIDCODE]],CONTROL[VEHIDCODE],CONTROL[ENGLISH])</f>
        <v>CAF Amsterdam S3 90</v>
      </c>
      <c r="G324" t="b">
        <v>1</v>
      </c>
      <c r="H324" t="b">
        <v>1</v>
      </c>
      <c r="AC324" s="2"/>
      <c r="AD324" s="2" t="b">
        <f>LEN(_xlfn.CONCAT(TRACK_TYPES[[#This Row],[TRACK_TYPE_STANDARD_GAUGE_RAILTYPE_OHLE]:[TRACK_TYPE_MTRO]]))&gt;0</f>
        <v>1</v>
      </c>
      <c r="AE324" s="38" t="b" cm="1">
        <f t="array" ref="AE324">IFERROR(_xlfn.BYROW(TRACK_TYPES[[#This Row],[TRACK_TYPE_STANDARD_GAUGE_RAILTYPE_OHLE]:[TRACK_TYPE_STANDARD_GAUGE_RAILTYPE_NONE]],_xlfn.LAMBDA(_xlpm.r,OR(_xlpm.r))),FALSE)</f>
        <v>1</v>
      </c>
      <c r="AF324" s="38" t="b" cm="1">
        <f t="array" ref="AF324">IFERROR(_xlfn.BYROW(TRACK_TYPES[[#This Row],[TRACK_TYPE_NARROW_GAUGE_RAILTYPE_OHLE]:[TRACK_TYPE_NARROW_GAUGE_RAILTYPE_NONE]],_xlfn.LAMBDA(_xlpm.r,OR(_xlpm.r))),FALSE)</f>
        <v>0</v>
      </c>
      <c r="AG324" s="38" t="b" cm="1">
        <f t="array" ref="AG324">IFERROR(_xlfn.BYROW(TRACK_TYPES[[#This Row],[TRACK_TYPE_BROAD_GAUGE_RAILTYPE_OHLE]:[TRACK_TYPE_BROAD_GAUGE_RAILTYPE_NONE]],_xlfn.LAMBDA(_xlpm.r,OR(_xlpm.r))),FALSE)</f>
        <v>0</v>
      </c>
      <c r="AH3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4"/>
      <c r="AQ324"/>
      <c r="AR324"/>
    </row>
    <row r="325" spans="1:44" x14ac:dyDescent="0.35">
      <c r="A325" s="2" t="s">
        <v>2959</v>
      </c>
      <c r="B325" s="40" t="str">
        <f>_xlfn.XLOOKUP(PROPERTIES[[#This Row],[VEHIDCODE]],CONTROL[VEHIDCODE],CONTROL[ENGLISH])</f>
        <v>GEC-Alsthom Paris MP89</v>
      </c>
      <c r="H325" t="b">
        <v>1</v>
      </c>
      <c r="AC325" s="2"/>
      <c r="AD325" s="2" t="b">
        <f>LEN(_xlfn.CONCAT(TRACK_TYPES[[#This Row],[TRACK_TYPE_STANDARD_GAUGE_RAILTYPE_OHLE]:[TRACK_TYPE_MTRO]]))&gt;0</f>
        <v>1</v>
      </c>
      <c r="AE325" s="38" t="b" cm="1">
        <f t="array" ref="AE325">IFERROR(_xlfn.BYROW(TRACK_TYPES[[#This Row],[TRACK_TYPE_STANDARD_GAUGE_RAILTYPE_OHLE]:[TRACK_TYPE_STANDARD_GAUGE_RAILTYPE_NONE]],_xlfn.LAMBDA(_xlpm.r,OR(_xlpm.r))),FALSE)</f>
        <v>1</v>
      </c>
      <c r="AF325" s="38" t="b" cm="1">
        <f t="array" ref="AF325">IFERROR(_xlfn.BYROW(TRACK_TYPES[[#This Row],[TRACK_TYPE_NARROW_GAUGE_RAILTYPE_OHLE]:[TRACK_TYPE_NARROW_GAUGE_RAILTYPE_NONE]],_xlfn.LAMBDA(_xlpm.r,OR(_xlpm.r))),FALSE)</f>
        <v>0</v>
      </c>
      <c r="AG325" s="38" t="b" cm="1">
        <f t="array" ref="AG325">IFERROR(_xlfn.BYROW(TRACK_TYPES[[#This Row],[TRACK_TYPE_BROAD_GAUGE_RAILTYPE_OHLE]:[TRACK_TYPE_BROAD_GAUGE_RAILTYPE_NONE]],_xlfn.LAMBDA(_xlpm.r,OR(_xlpm.r))),FALSE)</f>
        <v>0</v>
      </c>
      <c r="AH3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5"/>
      <c r="AQ325"/>
      <c r="AR325"/>
    </row>
    <row r="326" spans="1:44" x14ac:dyDescent="0.35">
      <c r="A326" s="2" t="s">
        <v>2960</v>
      </c>
      <c r="B326" s="40" t="str">
        <f>_xlfn.XLOOKUP(PROPERTIES[[#This Row],[VEHIDCODE]],CONTROL[VEHIDCODE],CONTROL[ENGLISH])</f>
        <v>MMZ 81-740</v>
      </c>
      <c r="H326" t="b">
        <v>1</v>
      </c>
      <c r="X326" t="b">
        <v>1</v>
      </c>
      <c r="AC326" s="2"/>
      <c r="AD326" s="2" t="b">
        <f>LEN(_xlfn.CONCAT(TRACK_TYPES[[#This Row],[TRACK_TYPE_STANDARD_GAUGE_RAILTYPE_OHLE]:[TRACK_TYPE_MTRO]]))&gt;0</f>
        <v>1</v>
      </c>
      <c r="AE326" s="38" t="b" cm="1">
        <f t="array" ref="AE326">IFERROR(_xlfn.BYROW(TRACK_TYPES[[#This Row],[TRACK_TYPE_STANDARD_GAUGE_RAILTYPE_OHLE]:[TRACK_TYPE_STANDARD_GAUGE_RAILTYPE_NONE]],_xlfn.LAMBDA(_xlpm.r,OR(_xlpm.r))),FALSE)</f>
        <v>1</v>
      </c>
      <c r="AF326" s="38" t="b" cm="1">
        <f t="array" ref="AF326">IFERROR(_xlfn.BYROW(TRACK_TYPES[[#This Row],[TRACK_TYPE_NARROW_GAUGE_RAILTYPE_OHLE]:[TRACK_TYPE_NARROW_GAUGE_RAILTYPE_NONE]],_xlfn.LAMBDA(_xlpm.r,OR(_xlpm.r))),FALSE)</f>
        <v>0</v>
      </c>
      <c r="AG326" s="38" t="b" cm="1">
        <f t="array" ref="AG326">IFERROR(_xlfn.BYROW(TRACK_TYPES[[#This Row],[TRACK_TYPE_BROAD_GAUGE_RAILTYPE_OHLE]:[TRACK_TYPE_BROAD_GAUGE_RAILTYPE_NONE]],_xlfn.LAMBDA(_xlpm.r,OR(_xlpm.r))),FALSE)</f>
        <v>1</v>
      </c>
      <c r="AH3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6"/>
      <c r="AQ326"/>
      <c r="AR326"/>
    </row>
    <row r="327" spans="1:44" x14ac:dyDescent="0.35">
      <c r="A327" s="2" t="s">
        <v>2961</v>
      </c>
      <c r="B327" s="40" t="str">
        <f>_xlfn.XLOOKUP(PROPERTIES[[#This Row],[VEHIDCODE]],CONTROL[VEHIDCODE],CONTROL[ENGLISH])</f>
        <v>Alstom Singapore C830 'Metropolis'</v>
      </c>
      <c r="H327" t="b">
        <v>1</v>
      </c>
      <c r="AC327" s="2"/>
      <c r="AD327" s="2" t="b">
        <f>LEN(_xlfn.CONCAT(TRACK_TYPES[[#This Row],[TRACK_TYPE_STANDARD_GAUGE_RAILTYPE_OHLE]:[TRACK_TYPE_MTRO]]))&gt;0</f>
        <v>1</v>
      </c>
      <c r="AE327" s="38" t="b" cm="1">
        <f t="array" ref="AE327">IFERROR(_xlfn.BYROW(TRACK_TYPES[[#This Row],[TRACK_TYPE_STANDARD_GAUGE_RAILTYPE_OHLE]:[TRACK_TYPE_STANDARD_GAUGE_RAILTYPE_NONE]],_xlfn.LAMBDA(_xlpm.r,OR(_xlpm.r))),FALSE)</f>
        <v>1</v>
      </c>
      <c r="AF327" s="38" t="b" cm="1">
        <f t="array" ref="AF327">IFERROR(_xlfn.BYROW(TRACK_TYPES[[#This Row],[TRACK_TYPE_NARROW_GAUGE_RAILTYPE_OHLE]:[TRACK_TYPE_NARROW_GAUGE_RAILTYPE_NONE]],_xlfn.LAMBDA(_xlpm.r,OR(_xlpm.r))),FALSE)</f>
        <v>0</v>
      </c>
      <c r="AG327" s="38" t="b" cm="1">
        <f t="array" ref="AG327">IFERROR(_xlfn.BYROW(TRACK_TYPES[[#This Row],[TRACK_TYPE_BROAD_GAUGE_RAILTYPE_OHLE]:[TRACK_TYPE_BROAD_GAUGE_RAILTYPE_NONE]],_xlfn.LAMBDA(_xlpm.r,OR(_xlpm.r))),FALSE)</f>
        <v>0</v>
      </c>
      <c r="AH3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7"/>
      <c r="AQ327"/>
      <c r="AR327"/>
    </row>
    <row r="328" spans="1:44" x14ac:dyDescent="0.35">
      <c r="A328" s="2" t="s">
        <v>2962</v>
      </c>
      <c r="B328" s="40" t="str">
        <f>_xlfn.XLOOKUP(PROPERTIES[[#This Row],[VEHIDCODE]],CONTROL[VEHIDCODE],CONTROL[ENGLISH])</f>
        <v>Siemens Oslo MX3000</v>
      </c>
      <c r="H328" t="b">
        <v>1</v>
      </c>
      <c r="AC328" s="2"/>
      <c r="AD328" s="2" t="b">
        <f>LEN(_xlfn.CONCAT(TRACK_TYPES[[#This Row],[TRACK_TYPE_STANDARD_GAUGE_RAILTYPE_OHLE]:[TRACK_TYPE_MTRO]]))&gt;0</f>
        <v>1</v>
      </c>
      <c r="AE328" s="38" t="b" cm="1">
        <f t="array" ref="AE328">IFERROR(_xlfn.BYROW(TRACK_TYPES[[#This Row],[TRACK_TYPE_STANDARD_GAUGE_RAILTYPE_OHLE]:[TRACK_TYPE_STANDARD_GAUGE_RAILTYPE_NONE]],_xlfn.LAMBDA(_xlpm.r,OR(_xlpm.r))),FALSE)</f>
        <v>1</v>
      </c>
      <c r="AF328" s="38" t="b" cm="1">
        <f t="array" ref="AF328">IFERROR(_xlfn.BYROW(TRACK_TYPES[[#This Row],[TRACK_TYPE_NARROW_GAUGE_RAILTYPE_OHLE]:[TRACK_TYPE_NARROW_GAUGE_RAILTYPE_NONE]],_xlfn.LAMBDA(_xlpm.r,OR(_xlpm.r))),FALSE)</f>
        <v>0</v>
      </c>
      <c r="AG328" s="38" t="b" cm="1">
        <f t="array" ref="AG328">IFERROR(_xlfn.BYROW(TRACK_TYPES[[#This Row],[TRACK_TYPE_BROAD_GAUGE_RAILTYPE_OHLE]:[TRACK_TYPE_BROAD_GAUGE_RAILTYPE_NONE]],_xlfn.LAMBDA(_xlpm.r,OR(_xlpm.r))),FALSE)</f>
        <v>0</v>
      </c>
      <c r="AH3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8"/>
      <c r="AQ328"/>
      <c r="AR328"/>
    </row>
    <row r="329" spans="1:44" x14ac:dyDescent="0.35">
      <c r="A329" s="2" t="s">
        <v>2963</v>
      </c>
      <c r="B329" s="40" t="str">
        <f>_xlfn.XLOOKUP(PROPERTIES[[#This Row],[VEHIDCODE]],CONTROL[VEHIDCODE],CONTROL[ENGLISH])</f>
        <v>Kawasaki Osaka 30000</v>
      </c>
      <c r="H329" t="b">
        <v>1</v>
      </c>
      <c r="AC329" s="2"/>
      <c r="AD329" s="2" t="b">
        <f>LEN(_xlfn.CONCAT(TRACK_TYPES[[#This Row],[TRACK_TYPE_STANDARD_GAUGE_RAILTYPE_OHLE]:[TRACK_TYPE_MTRO]]))&gt;0</f>
        <v>1</v>
      </c>
      <c r="AE329" s="38" t="b" cm="1">
        <f t="array" ref="AE329">IFERROR(_xlfn.BYROW(TRACK_TYPES[[#This Row],[TRACK_TYPE_STANDARD_GAUGE_RAILTYPE_OHLE]:[TRACK_TYPE_STANDARD_GAUGE_RAILTYPE_NONE]],_xlfn.LAMBDA(_xlpm.r,OR(_xlpm.r))),FALSE)</f>
        <v>1</v>
      </c>
      <c r="AF329" s="38" t="b" cm="1">
        <f t="array" ref="AF329">IFERROR(_xlfn.BYROW(TRACK_TYPES[[#This Row],[TRACK_TYPE_NARROW_GAUGE_RAILTYPE_OHLE]:[TRACK_TYPE_NARROW_GAUGE_RAILTYPE_NONE]],_xlfn.LAMBDA(_xlpm.r,OR(_xlpm.r))),FALSE)</f>
        <v>0</v>
      </c>
      <c r="AG329" s="38" t="b" cm="1">
        <f t="array" ref="AG329">IFERROR(_xlfn.BYROW(TRACK_TYPES[[#This Row],[TRACK_TYPE_BROAD_GAUGE_RAILTYPE_OHLE]:[TRACK_TYPE_BROAD_GAUGE_RAILTYPE_NONE]],_xlfn.LAMBDA(_xlpm.r,OR(_xlpm.r))),FALSE)</f>
        <v>0</v>
      </c>
      <c r="AH3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9"/>
      <c r="AQ329"/>
      <c r="AR329"/>
    </row>
    <row r="330" spans="1:44" x14ac:dyDescent="0.35">
      <c r="A330" s="2" t="s">
        <v>2964</v>
      </c>
      <c r="B330" s="40" t="str">
        <f>_xlfn.XLOOKUP(PROPERTIES[[#This Row],[VEHIDCODE]],CONTROL[VEHIDCODE],CONTROL[ENGLISH])</f>
        <v>Kawasaki Singapore C151A</v>
      </c>
      <c r="H330" t="b">
        <v>1</v>
      </c>
      <c r="AC330" s="2"/>
      <c r="AD330" s="2" t="b">
        <f>LEN(_xlfn.CONCAT(TRACK_TYPES[[#This Row],[TRACK_TYPE_STANDARD_GAUGE_RAILTYPE_OHLE]:[TRACK_TYPE_MTRO]]))&gt;0</f>
        <v>1</v>
      </c>
      <c r="AE330" s="38" t="b" cm="1">
        <f t="array" ref="AE330">IFERROR(_xlfn.BYROW(TRACK_TYPES[[#This Row],[TRACK_TYPE_STANDARD_GAUGE_RAILTYPE_OHLE]:[TRACK_TYPE_STANDARD_GAUGE_RAILTYPE_NONE]],_xlfn.LAMBDA(_xlpm.r,OR(_xlpm.r))),FALSE)</f>
        <v>1</v>
      </c>
      <c r="AF330" s="38" t="b" cm="1">
        <f t="array" ref="AF330">IFERROR(_xlfn.BYROW(TRACK_TYPES[[#This Row],[TRACK_TYPE_NARROW_GAUGE_RAILTYPE_OHLE]:[TRACK_TYPE_NARROW_GAUGE_RAILTYPE_NONE]],_xlfn.LAMBDA(_xlpm.r,OR(_xlpm.r))),FALSE)</f>
        <v>0</v>
      </c>
      <c r="AG330" s="38" t="b" cm="1">
        <f t="array" ref="AG330">IFERROR(_xlfn.BYROW(TRACK_TYPES[[#This Row],[TRACK_TYPE_BROAD_GAUGE_RAILTYPE_OHLE]:[TRACK_TYPE_BROAD_GAUGE_RAILTYPE_NONE]],_xlfn.LAMBDA(_xlpm.r,OR(_xlpm.r))),FALSE)</f>
        <v>0</v>
      </c>
      <c r="AH3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0"/>
      <c r="AQ330"/>
      <c r="AR330"/>
    </row>
    <row r="331" spans="1:44" x14ac:dyDescent="0.35">
      <c r="A331" s="2" t="s">
        <v>2965</v>
      </c>
      <c r="B331" s="40" t="str">
        <f>_xlfn.XLOOKUP(PROPERTIES[[#This Row],[VEHIDCODE]],CONTROL[VEHIDCODE],CONTROL[ENGLISH])</f>
        <v>Kawasaki Washington 7000</v>
      </c>
      <c r="H331" t="b">
        <v>1</v>
      </c>
      <c r="AC331" s="2"/>
      <c r="AD331" s="2" t="b">
        <f>LEN(_xlfn.CONCAT(TRACK_TYPES[[#This Row],[TRACK_TYPE_STANDARD_GAUGE_RAILTYPE_OHLE]:[TRACK_TYPE_MTRO]]))&gt;0</f>
        <v>1</v>
      </c>
      <c r="AE331" s="38" t="b" cm="1">
        <f t="array" ref="AE331">IFERROR(_xlfn.BYROW(TRACK_TYPES[[#This Row],[TRACK_TYPE_STANDARD_GAUGE_RAILTYPE_OHLE]:[TRACK_TYPE_STANDARD_GAUGE_RAILTYPE_NONE]],_xlfn.LAMBDA(_xlpm.r,OR(_xlpm.r))),FALSE)</f>
        <v>1</v>
      </c>
      <c r="AF331" s="38" t="b" cm="1">
        <f t="array" ref="AF331">IFERROR(_xlfn.BYROW(TRACK_TYPES[[#This Row],[TRACK_TYPE_NARROW_GAUGE_RAILTYPE_OHLE]:[TRACK_TYPE_NARROW_GAUGE_RAILTYPE_NONE]],_xlfn.LAMBDA(_xlpm.r,OR(_xlpm.r))),FALSE)</f>
        <v>0</v>
      </c>
      <c r="AG331" s="38" t="b" cm="1">
        <f t="array" ref="AG331">IFERROR(_xlfn.BYROW(TRACK_TYPES[[#This Row],[TRACK_TYPE_BROAD_GAUGE_RAILTYPE_OHLE]:[TRACK_TYPE_BROAD_GAUGE_RAILTYPE_NONE]],_xlfn.LAMBDA(_xlpm.r,OR(_xlpm.r))),FALSE)</f>
        <v>0</v>
      </c>
      <c r="AH3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1"/>
      <c r="AQ331"/>
      <c r="AR331"/>
    </row>
    <row r="332" spans="1:44" x14ac:dyDescent="0.35">
      <c r="A332" s="2" t="s">
        <v>2966</v>
      </c>
      <c r="B332" s="40" t="str">
        <f>_xlfn.XLOOKUP(PROPERTIES[[#This Row],[VEHIDCODE]],CONTROL[VEHIDCODE],CONTROL[ENGLISH])</f>
        <v>Hitachi Thessaloniki 2014</v>
      </c>
      <c r="H332" t="b">
        <v>1</v>
      </c>
      <c r="AC332" s="2"/>
      <c r="AD332" s="2" t="b">
        <f>LEN(_xlfn.CONCAT(TRACK_TYPES[[#This Row],[TRACK_TYPE_STANDARD_GAUGE_RAILTYPE_OHLE]:[TRACK_TYPE_MTRO]]))&gt;0</f>
        <v>1</v>
      </c>
      <c r="AE332" s="38" t="b" cm="1">
        <f t="array" ref="AE332">IFERROR(_xlfn.BYROW(TRACK_TYPES[[#This Row],[TRACK_TYPE_STANDARD_GAUGE_RAILTYPE_OHLE]:[TRACK_TYPE_STANDARD_GAUGE_RAILTYPE_NONE]],_xlfn.LAMBDA(_xlpm.r,OR(_xlpm.r))),FALSE)</f>
        <v>1</v>
      </c>
      <c r="AF332" s="38" t="b" cm="1">
        <f t="array" ref="AF332">IFERROR(_xlfn.BYROW(TRACK_TYPES[[#This Row],[TRACK_TYPE_NARROW_GAUGE_RAILTYPE_OHLE]:[TRACK_TYPE_NARROW_GAUGE_RAILTYPE_NONE]],_xlfn.LAMBDA(_xlpm.r,OR(_xlpm.r))),FALSE)</f>
        <v>0</v>
      </c>
      <c r="AG332" s="38" t="b" cm="1">
        <f t="array" ref="AG332">IFERROR(_xlfn.BYROW(TRACK_TYPES[[#This Row],[TRACK_TYPE_BROAD_GAUGE_RAILTYPE_OHLE]:[TRACK_TYPE_BROAD_GAUGE_RAILTYPE_NONE]],_xlfn.LAMBDA(_xlpm.r,OR(_xlpm.r))),FALSE)</f>
        <v>0</v>
      </c>
      <c r="AH3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2"/>
      <c r="AQ332"/>
      <c r="AR332"/>
    </row>
    <row r="333" spans="1:44" x14ac:dyDescent="0.35">
      <c r="A333" s="2" t="s">
        <v>2967</v>
      </c>
      <c r="B333" s="40" t="str">
        <f>_xlfn.XLOOKUP(PROPERTIES[[#This Row],[VEHIDCODE]],CONTROL[VEHIDCODE],CONTROL[ENGLISH])</f>
        <v>AEG Berlin U-Bahn A I</v>
      </c>
      <c r="H333" t="b">
        <v>1</v>
      </c>
      <c r="AC333" s="2"/>
      <c r="AD333" s="2" t="b">
        <f>LEN(_xlfn.CONCAT(TRACK_TYPES[[#This Row],[TRACK_TYPE_STANDARD_GAUGE_RAILTYPE_OHLE]:[TRACK_TYPE_MTRO]]))&gt;0</f>
        <v>1</v>
      </c>
      <c r="AE333" s="38" t="b" cm="1">
        <f t="array" ref="AE333">IFERROR(_xlfn.BYROW(TRACK_TYPES[[#This Row],[TRACK_TYPE_STANDARD_GAUGE_RAILTYPE_OHLE]:[TRACK_TYPE_STANDARD_GAUGE_RAILTYPE_NONE]],_xlfn.LAMBDA(_xlpm.r,OR(_xlpm.r))),FALSE)</f>
        <v>1</v>
      </c>
      <c r="AF333" s="38" t="b" cm="1">
        <f t="array" ref="AF333">IFERROR(_xlfn.BYROW(TRACK_TYPES[[#This Row],[TRACK_TYPE_NARROW_GAUGE_RAILTYPE_OHLE]:[TRACK_TYPE_NARROW_GAUGE_RAILTYPE_NONE]],_xlfn.LAMBDA(_xlpm.r,OR(_xlpm.r))),FALSE)</f>
        <v>0</v>
      </c>
      <c r="AG333" s="38" t="b" cm="1">
        <f t="array" ref="AG333">IFERROR(_xlfn.BYROW(TRACK_TYPES[[#This Row],[TRACK_TYPE_BROAD_GAUGE_RAILTYPE_OHLE]:[TRACK_TYPE_BROAD_GAUGE_RAILTYPE_NONE]],_xlfn.LAMBDA(_xlpm.r,OR(_xlpm.r))),FALSE)</f>
        <v>0</v>
      </c>
      <c r="AH3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3"/>
      <c r="AQ333"/>
      <c r="AR333"/>
    </row>
    <row r="334" spans="1:44" x14ac:dyDescent="0.35">
      <c r="A334" s="2" t="s">
        <v>2968</v>
      </c>
      <c r="B334" s="40" t="str">
        <f>_xlfn.XLOOKUP(PROPERTIES[[#This Row],[VEHIDCODE]],CONTROL[VEHIDCODE],CONTROL[ENGLISH])</f>
        <v>ACF New York Hedley Hi-V</v>
      </c>
      <c r="H334" t="b">
        <v>1</v>
      </c>
      <c r="AC334" s="2"/>
      <c r="AD334" s="2" t="b">
        <f>LEN(_xlfn.CONCAT(TRACK_TYPES[[#This Row],[TRACK_TYPE_STANDARD_GAUGE_RAILTYPE_OHLE]:[TRACK_TYPE_MTRO]]))&gt;0</f>
        <v>1</v>
      </c>
      <c r="AE334" s="38" t="b" cm="1">
        <f t="array" ref="AE334">IFERROR(_xlfn.BYROW(TRACK_TYPES[[#This Row],[TRACK_TYPE_STANDARD_GAUGE_RAILTYPE_OHLE]:[TRACK_TYPE_STANDARD_GAUGE_RAILTYPE_NONE]],_xlfn.LAMBDA(_xlpm.r,OR(_xlpm.r))),FALSE)</f>
        <v>1</v>
      </c>
      <c r="AF334" s="38" t="b" cm="1">
        <f t="array" ref="AF334">IFERROR(_xlfn.BYROW(TRACK_TYPES[[#This Row],[TRACK_TYPE_NARROW_GAUGE_RAILTYPE_OHLE]:[TRACK_TYPE_NARROW_GAUGE_RAILTYPE_NONE]],_xlfn.LAMBDA(_xlpm.r,OR(_xlpm.r))),FALSE)</f>
        <v>0</v>
      </c>
      <c r="AG334" s="38" t="b" cm="1">
        <f t="array" ref="AG334">IFERROR(_xlfn.BYROW(TRACK_TYPES[[#This Row],[TRACK_TYPE_BROAD_GAUGE_RAILTYPE_OHLE]:[TRACK_TYPE_BROAD_GAUGE_RAILTYPE_NONE]],_xlfn.LAMBDA(_xlpm.r,OR(_xlpm.r))),FALSE)</f>
        <v>0</v>
      </c>
      <c r="AH3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4"/>
      <c r="AQ334"/>
      <c r="AR334"/>
    </row>
    <row r="335" spans="1:44" x14ac:dyDescent="0.35">
      <c r="A335" s="2" t="s">
        <v>2969</v>
      </c>
      <c r="B335" s="40" t="str">
        <f>_xlfn.XLOOKUP(PROPERTIES[[#This Row],[VEHIDCODE]],CONTROL[VEHIDCODE],CONTROL[ENGLISH])</f>
        <v>Kawasaki Osaka 1000</v>
      </c>
      <c r="H335" t="b">
        <v>1</v>
      </c>
      <c r="AC335" s="2"/>
      <c r="AD335" s="2" t="b">
        <f>LEN(_xlfn.CONCAT(TRACK_TYPES[[#This Row],[TRACK_TYPE_STANDARD_GAUGE_RAILTYPE_OHLE]:[TRACK_TYPE_MTRO]]))&gt;0</f>
        <v>1</v>
      </c>
      <c r="AE335" s="38" t="b" cm="1">
        <f t="array" ref="AE335">IFERROR(_xlfn.BYROW(TRACK_TYPES[[#This Row],[TRACK_TYPE_STANDARD_GAUGE_RAILTYPE_OHLE]:[TRACK_TYPE_STANDARD_GAUGE_RAILTYPE_NONE]],_xlfn.LAMBDA(_xlpm.r,OR(_xlpm.r))),FALSE)</f>
        <v>1</v>
      </c>
      <c r="AF335" s="38" t="b" cm="1">
        <f t="array" ref="AF335">IFERROR(_xlfn.BYROW(TRACK_TYPES[[#This Row],[TRACK_TYPE_NARROW_GAUGE_RAILTYPE_OHLE]:[TRACK_TYPE_NARROW_GAUGE_RAILTYPE_NONE]],_xlfn.LAMBDA(_xlpm.r,OR(_xlpm.r))),FALSE)</f>
        <v>0</v>
      </c>
      <c r="AG335" s="38" t="b" cm="1">
        <f t="array" ref="AG335">IFERROR(_xlfn.BYROW(TRACK_TYPES[[#This Row],[TRACK_TYPE_BROAD_GAUGE_RAILTYPE_OHLE]:[TRACK_TYPE_BROAD_GAUGE_RAILTYPE_NONE]],_xlfn.LAMBDA(_xlpm.r,OR(_xlpm.r))),FALSE)</f>
        <v>0</v>
      </c>
      <c r="AH3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5"/>
      <c r="AQ335"/>
      <c r="AR335"/>
    </row>
    <row r="336" spans="1:44" x14ac:dyDescent="0.35">
      <c r="A336" s="2" t="s">
        <v>2970</v>
      </c>
      <c r="B336" s="40" t="str">
        <f>_xlfn.XLOOKUP(PROPERTIES[[#This Row],[VEHIDCODE]],CONTROL[VEHIDCODE],CONTROL[ENGLISH])</f>
        <v>MMZ Type A</v>
      </c>
      <c r="X336" t="b">
        <v>1</v>
      </c>
      <c r="AC336" s="2"/>
      <c r="AD336" s="2" t="b">
        <f>LEN(_xlfn.CONCAT(TRACK_TYPES[[#This Row],[TRACK_TYPE_STANDARD_GAUGE_RAILTYPE_OHLE]:[TRACK_TYPE_MTRO]]))&gt;0</f>
        <v>1</v>
      </c>
      <c r="AE336" s="38" t="b" cm="1">
        <f t="array" ref="AE336">IFERROR(_xlfn.BYROW(TRACK_TYPES[[#This Row],[TRACK_TYPE_STANDARD_GAUGE_RAILTYPE_OHLE]:[TRACK_TYPE_STANDARD_GAUGE_RAILTYPE_NONE]],_xlfn.LAMBDA(_xlpm.r,OR(_xlpm.r))),FALSE)</f>
        <v>0</v>
      </c>
      <c r="AF336" s="38" t="b" cm="1">
        <f t="array" ref="AF336">IFERROR(_xlfn.BYROW(TRACK_TYPES[[#This Row],[TRACK_TYPE_NARROW_GAUGE_RAILTYPE_OHLE]:[TRACK_TYPE_NARROW_GAUGE_RAILTYPE_NONE]],_xlfn.LAMBDA(_xlpm.r,OR(_xlpm.r))),FALSE)</f>
        <v>0</v>
      </c>
      <c r="AG336" s="38" t="b" cm="1">
        <f t="array" ref="AG336">IFERROR(_xlfn.BYROW(TRACK_TYPES[[#This Row],[TRACK_TYPE_BROAD_GAUGE_RAILTYPE_OHLE]:[TRACK_TYPE_BROAD_GAUGE_RAILTYPE_NONE]],_xlfn.LAMBDA(_xlpm.r,OR(_xlpm.r))),FALSE)</f>
        <v>1</v>
      </c>
      <c r="AH3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36"/>
      <c r="AQ336"/>
      <c r="AR336"/>
    </row>
    <row r="337" spans="1:44" x14ac:dyDescent="0.35">
      <c r="A337" s="2" t="s">
        <v>2971</v>
      </c>
      <c r="B337" s="40" t="str">
        <f>_xlfn.XLOOKUP(PROPERTIES[[#This Row],[VEHIDCODE]],CONTROL[VEHIDCODE],CONTROL[ENGLISH])</f>
        <v>ACF New York R10</v>
      </c>
      <c r="H337" t="b">
        <v>1</v>
      </c>
      <c r="AC337" s="2"/>
      <c r="AD337" s="2" t="b">
        <f>LEN(_xlfn.CONCAT(TRACK_TYPES[[#This Row],[TRACK_TYPE_STANDARD_GAUGE_RAILTYPE_OHLE]:[TRACK_TYPE_MTRO]]))&gt;0</f>
        <v>1</v>
      </c>
      <c r="AE337" s="38" t="b" cm="1">
        <f t="array" ref="AE337">IFERROR(_xlfn.BYROW(TRACK_TYPES[[#This Row],[TRACK_TYPE_STANDARD_GAUGE_RAILTYPE_OHLE]:[TRACK_TYPE_STANDARD_GAUGE_RAILTYPE_NONE]],_xlfn.LAMBDA(_xlpm.r,OR(_xlpm.r))),FALSE)</f>
        <v>1</v>
      </c>
      <c r="AF337" s="38" t="b" cm="1">
        <f t="array" ref="AF337">IFERROR(_xlfn.BYROW(TRACK_TYPES[[#This Row],[TRACK_TYPE_NARROW_GAUGE_RAILTYPE_OHLE]:[TRACK_TYPE_NARROW_GAUGE_RAILTYPE_NONE]],_xlfn.LAMBDA(_xlpm.r,OR(_xlpm.r))),FALSE)</f>
        <v>0</v>
      </c>
      <c r="AG337" s="38" t="b" cm="1">
        <f t="array" ref="AG337">IFERROR(_xlfn.BYROW(TRACK_TYPES[[#This Row],[TRACK_TYPE_BROAD_GAUGE_RAILTYPE_OHLE]:[TRACK_TYPE_BROAD_GAUGE_RAILTYPE_NONE]],_xlfn.LAMBDA(_xlpm.r,OR(_xlpm.r))),FALSE)</f>
        <v>0</v>
      </c>
      <c r="AH3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7"/>
      <c r="AQ337"/>
      <c r="AR337"/>
    </row>
    <row r="338" spans="1:44" x14ac:dyDescent="0.35">
      <c r="A338" s="2" t="s">
        <v>2972</v>
      </c>
      <c r="B338" s="40" t="str">
        <f>_xlfn.XLOOKUP(PROPERTIES[[#This Row],[VEHIDCODE]],CONTROL[VEHIDCODE],CONTROL[ENGLISH])</f>
        <v>Stanga Rome MR 100</v>
      </c>
      <c r="H338" t="b">
        <v>1</v>
      </c>
      <c r="AC338" s="2"/>
      <c r="AD338" s="2" t="b">
        <f>LEN(_xlfn.CONCAT(TRACK_TYPES[[#This Row],[TRACK_TYPE_STANDARD_GAUGE_RAILTYPE_OHLE]:[TRACK_TYPE_MTRO]]))&gt;0</f>
        <v>1</v>
      </c>
      <c r="AE338" s="38" t="b" cm="1">
        <f t="array" ref="AE338">IFERROR(_xlfn.BYROW(TRACK_TYPES[[#This Row],[TRACK_TYPE_STANDARD_GAUGE_RAILTYPE_OHLE]:[TRACK_TYPE_STANDARD_GAUGE_RAILTYPE_NONE]],_xlfn.LAMBDA(_xlpm.r,OR(_xlpm.r))),FALSE)</f>
        <v>1</v>
      </c>
      <c r="AF338" s="38" t="b" cm="1">
        <f t="array" ref="AF338">IFERROR(_xlfn.BYROW(TRACK_TYPES[[#This Row],[TRACK_TYPE_NARROW_GAUGE_RAILTYPE_OHLE]:[TRACK_TYPE_NARROW_GAUGE_RAILTYPE_NONE]],_xlfn.LAMBDA(_xlpm.r,OR(_xlpm.r))),FALSE)</f>
        <v>0</v>
      </c>
      <c r="AG338" s="38" t="b" cm="1">
        <f t="array" ref="AG338">IFERROR(_xlfn.BYROW(TRACK_TYPES[[#This Row],[TRACK_TYPE_BROAD_GAUGE_RAILTYPE_OHLE]:[TRACK_TYPE_BROAD_GAUGE_RAILTYPE_NONE]],_xlfn.LAMBDA(_xlpm.r,OR(_xlpm.r))),FALSE)</f>
        <v>0</v>
      </c>
      <c r="AH3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8"/>
      <c r="AQ338"/>
      <c r="AR338"/>
    </row>
    <row r="339" spans="1:44" x14ac:dyDescent="0.35">
      <c r="A339" s="2" t="s">
        <v>2973</v>
      </c>
      <c r="B339" s="40" t="str">
        <f>_xlfn.XLOOKUP(PROPERTIES[[#This Row],[VEHIDCODE]],CONTROL[VEHIDCODE],CONTROL[ENGLISH])</f>
        <v>MMZ 81-702 Type D</v>
      </c>
      <c r="X339" t="b">
        <v>1</v>
      </c>
      <c r="AC339" s="2"/>
      <c r="AD339" s="2" t="b">
        <f>LEN(_xlfn.CONCAT(TRACK_TYPES[[#This Row],[TRACK_TYPE_STANDARD_GAUGE_RAILTYPE_OHLE]:[TRACK_TYPE_MTRO]]))&gt;0</f>
        <v>1</v>
      </c>
      <c r="AE339" s="38" t="b" cm="1">
        <f t="array" ref="AE339">IFERROR(_xlfn.BYROW(TRACK_TYPES[[#This Row],[TRACK_TYPE_STANDARD_GAUGE_RAILTYPE_OHLE]:[TRACK_TYPE_STANDARD_GAUGE_RAILTYPE_NONE]],_xlfn.LAMBDA(_xlpm.r,OR(_xlpm.r))),FALSE)</f>
        <v>0</v>
      </c>
      <c r="AF339" s="38" t="b" cm="1">
        <f t="array" ref="AF339">IFERROR(_xlfn.BYROW(TRACK_TYPES[[#This Row],[TRACK_TYPE_NARROW_GAUGE_RAILTYPE_OHLE]:[TRACK_TYPE_NARROW_GAUGE_RAILTYPE_NONE]],_xlfn.LAMBDA(_xlpm.r,OR(_xlpm.r))),FALSE)</f>
        <v>0</v>
      </c>
      <c r="AG339" s="38" t="b" cm="1">
        <f t="array" ref="AG339">IFERROR(_xlfn.BYROW(TRACK_TYPES[[#This Row],[TRACK_TYPE_BROAD_GAUGE_RAILTYPE_OHLE]:[TRACK_TYPE_BROAD_GAUGE_RAILTYPE_NONE]],_xlfn.LAMBDA(_xlpm.r,OR(_xlpm.r))),FALSE)</f>
        <v>1</v>
      </c>
      <c r="AH3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39"/>
      <c r="AQ339"/>
      <c r="AR339"/>
    </row>
    <row r="340" spans="1:44" x14ac:dyDescent="0.35">
      <c r="A340" s="2" t="s">
        <v>2974</v>
      </c>
      <c r="B340" s="40" t="str">
        <f>_xlfn.XLOOKUP(PROPERTIES[[#This Row],[VEHIDCODE]],CONTROL[VEHIDCODE],CONTROL[ENGLISH])</f>
        <v>Werkspoor Rotterdam MG2 Type M</v>
      </c>
      <c r="H340" t="b">
        <v>1</v>
      </c>
      <c r="AC340" s="2"/>
      <c r="AD340" s="2" t="b">
        <f>LEN(_xlfn.CONCAT(TRACK_TYPES[[#This Row],[TRACK_TYPE_STANDARD_GAUGE_RAILTYPE_OHLE]:[TRACK_TYPE_MTRO]]))&gt;0</f>
        <v>1</v>
      </c>
      <c r="AE340" s="38" t="b" cm="1">
        <f t="array" ref="AE340">IFERROR(_xlfn.BYROW(TRACK_TYPES[[#This Row],[TRACK_TYPE_STANDARD_GAUGE_RAILTYPE_OHLE]:[TRACK_TYPE_STANDARD_GAUGE_RAILTYPE_NONE]],_xlfn.LAMBDA(_xlpm.r,OR(_xlpm.r))),FALSE)</f>
        <v>1</v>
      </c>
      <c r="AF340" s="38" t="b" cm="1">
        <f t="array" ref="AF340">IFERROR(_xlfn.BYROW(TRACK_TYPES[[#This Row],[TRACK_TYPE_NARROW_GAUGE_RAILTYPE_OHLE]:[TRACK_TYPE_NARROW_GAUGE_RAILTYPE_NONE]],_xlfn.LAMBDA(_xlpm.r,OR(_xlpm.r))),FALSE)</f>
        <v>0</v>
      </c>
      <c r="AG340" s="38" t="b" cm="1">
        <f t="array" ref="AG340">IFERROR(_xlfn.BYROW(TRACK_TYPES[[#This Row],[TRACK_TYPE_BROAD_GAUGE_RAILTYPE_OHLE]:[TRACK_TYPE_BROAD_GAUGE_RAILTYPE_NONE]],_xlfn.LAMBDA(_xlpm.r,OR(_xlpm.r))),FALSE)</f>
        <v>0</v>
      </c>
      <c r="AH3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0"/>
      <c r="AQ340"/>
      <c r="AR340"/>
    </row>
    <row r="341" spans="1:44" x14ac:dyDescent="0.35">
      <c r="A341" s="2" t="s">
        <v>2975</v>
      </c>
      <c r="B341" s="40" t="str">
        <f>_xlfn.XLOOKUP(PROPERTIES[[#This Row],[VEHIDCODE]],CONTROL[VEHIDCODE],CONTROL[ENGLISH])</f>
        <v>MMZ 81-709 ECS</v>
      </c>
      <c r="H341" t="b">
        <v>1</v>
      </c>
      <c r="AC341" s="2"/>
      <c r="AD341" s="2" t="b">
        <f>LEN(_xlfn.CONCAT(TRACK_TYPES[[#This Row],[TRACK_TYPE_STANDARD_GAUGE_RAILTYPE_OHLE]:[TRACK_TYPE_MTRO]]))&gt;0</f>
        <v>1</v>
      </c>
      <c r="AE341" s="38" t="b" cm="1">
        <f t="array" ref="AE341">IFERROR(_xlfn.BYROW(TRACK_TYPES[[#This Row],[TRACK_TYPE_STANDARD_GAUGE_RAILTYPE_OHLE]:[TRACK_TYPE_STANDARD_GAUGE_RAILTYPE_NONE]],_xlfn.LAMBDA(_xlpm.r,OR(_xlpm.r))),FALSE)</f>
        <v>1</v>
      </c>
      <c r="AF341" s="38" t="b" cm="1">
        <f t="array" ref="AF341">IFERROR(_xlfn.BYROW(TRACK_TYPES[[#This Row],[TRACK_TYPE_NARROW_GAUGE_RAILTYPE_OHLE]:[TRACK_TYPE_NARROW_GAUGE_RAILTYPE_NONE]],_xlfn.LAMBDA(_xlpm.r,OR(_xlpm.r))),FALSE)</f>
        <v>0</v>
      </c>
      <c r="AG341" s="38" t="b" cm="1">
        <f t="array" ref="AG341">IFERROR(_xlfn.BYROW(TRACK_TYPES[[#This Row],[TRACK_TYPE_BROAD_GAUGE_RAILTYPE_OHLE]:[TRACK_TYPE_BROAD_GAUGE_RAILTYPE_NONE]],_xlfn.LAMBDA(_xlpm.r,OR(_xlpm.r))),FALSE)</f>
        <v>0</v>
      </c>
      <c r="AH3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1"/>
      <c r="AQ341"/>
      <c r="AR341"/>
    </row>
    <row r="342" spans="1:44" x14ac:dyDescent="0.35">
      <c r="A342" s="2" t="s">
        <v>2976</v>
      </c>
      <c r="B342" s="40" t="str">
        <f>_xlfn.XLOOKUP(PROPERTIES[[#This Row],[VEHIDCODE]],CONTROL[VEHIDCODE],CONTROL[ENGLISH])</f>
        <v>Hitachi Buenos Aires Serie 1200</v>
      </c>
      <c r="H342" t="b">
        <v>1</v>
      </c>
      <c r="AC342" s="2"/>
      <c r="AD342" s="2" t="b">
        <f>LEN(_xlfn.CONCAT(TRACK_TYPES[[#This Row],[TRACK_TYPE_STANDARD_GAUGE_RAILTYPE_OHLE]:[TRACK_TYPE_MTRO]]))&gt;0</f>
        <v>1</v>
      </c>
      <c r="AE342" s="38" t="b" cm="1">
        <f t="array" ref="AE342">IFERROR(_xlfn.BYROW(TRACK_TYPES[[#This Row],[TRACK_TYPE_STANDARD_GAUGE_RAILTYPE_OHLE]:[TRACK_TYPE_STANDARD_GAUGE_RAILTYPE_NONE]],_xlfn.LAMBDA(_xlpm.r,OR(_xlpm.r))),FALSE)</f>
        <v>1</v>
      </c>
      <c r="AF342" s="38" t="b" cm="1">
        <f t="array" ref="AF342">IFERROR(_xlfn.BYROW(TRACK_TYPES[[#This Row],[TRACK_TYPE_NARROW_GAUGE_RAILTYPE_OHLE]:[TRACK_TYPE_NARROW_GAUGE_RAILTYPE_NONE]],_xlfn.LAMBDA(_xlpm.r,OR(_xlpm.r))),FALSE)</f>
        <v>0</v>
      </c>
      <c r="AG342" s="38" t="b" cm="1">
        <f t="array" ref="AG342">IFERROR(_xlfn.BYROW(TRACK_TYPES[[#This Row],[TRACK_TYPE_BROAD_GAUGE_RAILTYPE_OHLE]:[TRACK_TYPE_BROAD_GAUGE_RAILTYPE_NONE]],_xlfn.LAMBDA(_xlpm.r,OR(_xlpm.r))),FALSE)</f>
        <v>0</v>
      </c>
      <c r="AH3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2"/>
      <c r="AQ342"/>
      <c r="AR342"/>
    </row>
    <row r="343" spans="1:44" x14ac:dyDescent="0.35">
      <c r="A343" s="2" t="s">
        <v>2977</v>
      </c>
      <c r="B343" s="40" t="str">
        <f>_xlfn.XLOOKUP(PROPERTIES[[#This Row],[VEHIDCODE]],CONTROL[VEHIDCODE],CONTROL[ENGLISH])</f>
        <v>GEC-Alsthom Santiago NS-93</v>
      </c>
      <c r="H343" t="b">
        <v>1</v>
      </c>
      <c r="AC343" s="2"/>
      <c r="AD343" s="2" t="b">
        <f>LEN(_xlfn.CONCAT(TRACK_TYPES[[#This Row],[TRACK_TYPE_STANDARD_GAUGE_RAILTYPE_OHLE]:[TRACK_TYPE_MTRO]]))&gt;0</f>
        <v>1</v>
      </c>
      <c r="AE343" s="38" t="b" cm="1">
        <f t="array" ref="AE343">IFERROR(_xlfn.BYROW(TRACK_TYPES[[#This Row],[TRACK_TYPE_STANDARD_GAUGE_RAILTYPE_OHLE]:[TRACK_TYPE_STANDARD_GAUGE_RAILTYPE_NONE]],_xlfn.LAMBDA(_xlpm.r,OR(_xlpm.r))),FALSE)</f>
        <v>1</v>
      </c>
      <c r="AF343" s="38" t="b" cm="1">
        <f t="array" ref="AF343">IFERROR(_xlfn.BYROW(TRACK_TYPES[[#This Row],[TRACK_TYPE_NARROW_GAUGE_RAILTYPE_OHLE]:[TRACK_TYPE_NARROW_GAUGE_RAILTYPE_NONE]],_xlfn.LAMBDA(_xlpm.r,OR(_xlpm.r))),FALSE)</f>
        <v>0</v>
      </c>
      <c r="AG343" s="38" t="b" cm="1">
        <f t="array" ref="AG343">IFERROR(_xlfn.BYROW(TRACK_TYPES[[#This Row],[TRACK_TYPE_BROAD_GAUGE_RAILTYPE_OHLE]:[TRACK_TYPE_BROAD_GAUGE_RAILTYPE_NONE]],_xlfn.LAMBDA(_xlpm.r,OR(_xlpm.r))),FALSE)</f>
        <v>0</v>
      </c>
      <c r="AH3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3"/>
      <c r="AQ343"/>
      <c r="AR343"/>
    </row>
    <row r="344" spans="1:44" x14ac:dyDescent="0.35">
      <c r="A344" s="2" t="s">
        <v>2978</v>
      </c>
      <c r="B344" s="40" t="str">
        <f>_xlfn.XLOOKUP(PROPERTIES[[#This Row],[VEHIDCODE]],CONTROL[VEHIDCODE],CONTROL[ENGLISH])</f>
        <v>Alstom Brasil Santiago AS-2002</v>
      </c>
      <c r="H344" t="b">
        <v>1</v>
      </c>
      <c r="AC344" s="2"/>
      <c r="AD344" s="2" t="b">
        <f>LEN(_xlfn.CONCAT(TRACK_TYPES[[#This Row],[TRACK_TYPE_STANDARD_GAUGE_RAILTYPE_OHLE]:[TRACK_TYPE_MTRO]]))&gt;0</f>
        <v>1</v>
      </c>
      <c r="AE344" s="38" t="b" cm="1">
        <f t="array" ref="AE344">IFERROR(_xlfn.BYROW(TRACK_TYPES[[#This Row],[TRACK_TYPE_STANDARD_GAUGE_RAILTYPE_OHLE]:[TRACK_TYPE_STANDARD_GAUGE_RAILTYPE_NONE]],_xlfn.LAMBDA(_xlpm.r,OR(_xlpm.r))),FALSE)</f>
        <v>1</v>
      </c>
      <c r="AF344" s="38" t="b" cm="1">
        <f t="array" ref="AF344">IFERROR(_xlfn.BYROW(TRACK_TYPES[[#This Row],[TRACK_TYPE_NARROW_GAUGE_RAILTYPE_OHLE]:[TRACK_TYPE_NARROW_GAUGE_RAILTYPE_NONE]],_xlfn.LAMBDA(_xlpm.r,OR(_xlpm.r))),FALSE)</f>
        <v>0</v>
      </c>
      <c r="AG344" s="38" t="b" cm="1">
        <f t="array" ref="AG344">IFERROR(_xlfn.BYROW(TRACK_TYPES[[#This Row],[TRACK_TYPE_BROAD_GAUGE_RAILTYPE_OHLE]:[TRACK_TYPE_BROAD_GAUGE_RAILTYPE_NONE]],_xlfn.LAMBDA(_xlpm.r,OR(_xlpm.r))),FALSE)</f>
        <v>0</v>
      </c>
      <c r="AH3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4"/>
      <c r="AQ344"/>
      <c r="AR344"/>
    </row>
    <row r="345" spans="1:44" x14ac:dyDescent="0.35">
      <c r="A345" s="2" t="s">
        <v>2979</v>
      </c>
      <c r="B345" s="40" t="str">
        <f>_xlfn.XLOOKUP(PROPERTIES[[#This Row],[VEHIDCODE]],CONTROL[VEHIDCODE],CONTROL[ENGLISH])</f>
        <v>TUDH Recife VLT Mobile 3</v>
      </c>
      <c r="H345" t="b">
        <v>1</v>
      </c>
      <c r="AC345" s="2"/>
      <c r="AD345" s="2" t="b">
        <f>LEN(_xlfn.CONCAT(TRACK_TYPES[[#This Row],[TRACK_TYPE_STANDARD_GAUGE_RAILTYPE_OHLE]:[TRACK_TYPE_MTRO]]))&gt;0</f>
        <v>1</v>
      </c>
      <c r="AE345" s="38" t="b" cm="1">
        <f t="array" ref="AE345">IFERROR(_xlfn.BYROW(TRACK_TYPES[[#This Row],[TRACK_TYPE_STANDARD_GAUGE_RAILTYPE_OHLE]:[TRACK_TYPE_STANDARD_GAUGE_RAILTYPE_NONE]],_xlfn.LAMBDA(_xlpm.r,OR(_xlpm.r))),FALSE)</f>
        <v>1</v>
      </c>
      <c r="AF345" s="38" t="b" cm="1">
        <f t="array" ref="AF345">IFERROR(_xlfn.BYROW(TRACK_TYPES[[#This Row],[TRACK_TYPE_NARROW_GAUGE_RAILTYPE_OHLE]:[TRACK_TYPE_NARROW_GAUGE_RAILTYPE_NONE]],_xlfn.LAMBDA(_xlpm.r,OR(_xlpm.r))),FALSE)</f>
        <v>0</v>
      </c>
      <c r="AG345" s="38" t="b" cm="1">
        <f t="array" ref="AG345">IFERROR(_xlfn.BYROW(TRACK_TYPES[[#This Row],[TRACK_TYPE_BROAD_GAUGE_RAILTYPE_OHLE]:[TRACK_TYPE_BROAD_GAUGE_RAILTYPE_NONE]],_xlfn.LAMBDA(_xlpm.r,OR(_xlpm.r))),FALSE)</f>
        <v>0</v>
      </c>
      <c r="AH3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5"/>
      <c r="AQ345"/>
      <c r="AR345"/>
    </row>
    <row r="346" spans="1:44" x14ac:dyDescent="0.35">
      <c r="A346" s="2" t="s">
        <v>2980</v>
      </c>
      <c r="B346" s="40" t="str">
        <f>_xlfn.XLOOKUP(PROPERTIES[[#This Row],[VEHIDCODE]],CONTROL[VEHIDCODE],CONTROL[ENGLISH])</f>
        <v>CAF Madrid Series 5000</v>
      </c>
      <c r="H346" t="b">
        <v>1</v>
      </c>
      <c r="AC346" s="2"/>
      <c r="AD346" s="2" t="b">
        <f>LEN(_xlfn.CONCAT(TRACK_TYPES[[#This Row],[TRACK_TYPE_STANDARD_GAUGE_RAILTYPE_OHLE]:[TRACK_TYPE_MTRO]]))&gt;0</f>
        <v>1</v>
      </c>
      <c r="AE346" s="38" t="b" cm="1">
        <f t="array" ref="AE346">IFERROR(_xlfn.BYROW(TRACK_TYPES[[#This Row],[TRACK_TYPE_STANDARD_GAUGE_RAILTYPE_OHLE]:[TRACK_TYPE_STANDARD_GAUGE_RAILTYPE_NONE]],_xlfn.LAMBDA(_xlpm.r,OR(_xlpm.r))),FALSE)</f>
        <v>1</v>
      </c>
      <c r="AF346" s="38" t="b" cm="1">
        <f t="array" ref="AF346">IFERROR(_xlfn.BYROW(TRACK_TYPES[[#This Row],[TRACK_TYPE_NARROW_GAUGE_RAILTYPE_OHLE]:[TRACK_TYPE_NARROW_GAUGE_RAILTYPE_NONE]],_xlfn.LAMBDA(_xlpm.r,OR(_xlpm.r))),FALSE)</f>
        <v>0</v>
      </c>
      <c r="AG346" s="38" t="b" cm="1">
        <f t="array" ref="AG346">IFERROR(_xlfn.BYROW(TRACK_TYPES[[#This Row],[TRACK_TYPE_BROAD_GAUGE_RAILTYPE_OHLE]:[TRACK_TYPE_BROAD_GAUGE_RAILTYPE_NONE]],_xlfn.LAMBDA(_xlpm.r,OR(_xlpm.r))),FALSE)</f>
        <v>0</v>
      </c>
      <c r="AH3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6"/>
      <c r="AQ346"/>
      <c r="AR346"/>
    </row>
    <row r="347" spans="1:44" x14ac:dyDescent="0.35">
      <c r="A347" s="2" t="s">
        <v>2981</v>
      </c>
      <c r="B347" s="40" t="str">
        <f>_xlfn.XLOOKUP(PROPERTIES[[#This Row],[VEHIDCODE]],CONTROL[VEHIDCODE],CONTROL[ENGLISH])</f>
        <v>CAF Rome S/300</v>
      </c>
      <c r="H347" t="b">
        <v>1</v>
      </c>
      <c r="AC347" s="2"/>
      <c r="AD347" s="2" t="b">
        <f>LEN(_xlfn.CONCAT(TRACK_TYPES[[#This Row],[TRACK_TYPE_STANDARD_GAUGE_RAILTYPE_OHLE]:[TRACK_TYPE_MTRO]]))&gt;0</f>
        <v>1</v>
      </c>
      <c r="AE347" s="38" t="b" cm="1">
        <f t="array" ref="AE347">IFERROR(_xlfn.BYROW(TRACK_TYPES[[#This Row],[TRACK_TYPE_STANDARD_GAUGE_RAILTYPE_OHLE]:[TRACK_TYPE_STANDARD_GAUGE_RAILTYPE_NONE]],_xlfn.LAMBDA(_xlpm.r,OR(_xlpm.r))),FALSE)</f>
        <v>1</v>
      </c>
      <c r="AF347" s="38" t="b" cm="1">
        <f t="array" ref="AF347">IFERROR(_xlfn.BYROW(TRACK_TYPES[[#This Row],[TRACK_TYPE_NARROW_GAUGE_RAILTYPE_OHLE]:[TRACK_TYPE_NARROW_GAUGE_RAILTYPE_NONE]],_xlfn.LAMBDA(_xlpm.r,OR(_xlpm.r))),FALSE)</f>
        <v>0</v>
      </c>
      <c r="AG347" s="38" t="b" cm="1">
        <f t="array" ref="AG347">IFERROR(_xlfn.BYROW(TRACK_TYPES[[#This Row],[TRACK_TYPE_BROAD_GAUGE_RAILTYPE_OHLE]:[TRACK_TYPE_BROAD_GAUGE_RAILTYPE_NONE]],_xlfn.LAMBDA(_xlpm.r,OR(_xlpm.r))),FALSE)</f>
        <v>0</v>
      </c>
      <c r="AH3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7"/>
      <c r="AQ347"/>
      <c r="AR347"/>
    </row>
    <row r="348" spans="1:44" x14ac:dyDescent="0.35">
      <c r="A348" s="2" t="s">
        <v>2982</v>
      </c>
      <c r="B348" s="40" t="str">
        <f>_xlfn.XLOOKUP(PROPERTIES[[#This Row],[VEHIDCODE]],CONTROL[VEHIDCODE],CONTROL[ENGLISH])</f>
        <v>CAF Algiers 2011 Stock</v>
      </c>
      <c r="H348" t="b">
        <v>1</v>
      </c>
      <c r="AC348" s="2"/>
      <c r="AD348" s="2" t="b">
        <f>LEN(_xlfn.CONCAT(TRACK_TYPES[[#This Row],[TRACK_TYPE_STANDARD_GAUGE_RAILTYPE_OHLE]:[TRACK_TYPE_MTRO]]))&gt;0</f>
        <v>1</v>
      </c>
      <c r="AE348" s="38" t="b" cm="1">
        <f t="array" ref="AE348">IFERROR(_xlfn.BYROW(TRACK_TYPES[[#This Row],[TRACK_TYPE_STANDARD_GAUGE_RAILTYPE_OHLE]:[TRACK_TYPE_STANDARD_GAUGE_RAILTYPE_NONE]],_xlfn.LAMBDA(_xlpm.r,OR(_xlpm.r))),FALSE)</f>
        <v>1</v>
      </c>
      <c r="AF348" s="38" t="b" cm="1">
        <f t="array" ref="AF348">IFERROR(_xlfn.BYROW(TRACK_TYPES[[#This Row],[TRACK_TYPE_NARROW_GAUGE_RAILTYPE_OHLE]:[TRACK_TYPE_NARROW_GAUGE_RAILTYPE_NONE]],_xlfn.LAMBDA(_xlpm.r,OR(_xlpm.r))),FALSE)</f>
        <v>0</v>
      </c>
      <c r="AG348" s="38" t="b" cm="1">
        <f t="array" ref="AG348">IFERROR(_xlfn.BYROW(TRACK_TYPES[[#This Row],[TRACK_TYPE_BROAD_GAUGE_RAILTYPE_OHLE]:[TRACK_TYPE_BROAD_GAUGE_RAILTYPE_NONE]],_xlfn.LAMBDA(_xlpm.r,OR(_xlpm.r))),FALSE)</f>
        <v>0</v>
      </c>
      <c r="AH3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8"/>
      <c r="AQ348"/>
      <c r="AR348"/>
    </row>
    <row r="349" spans="1:44" x14ac:dyDescent="0.35">
      <c r="A349" s="2" t="s">
        <v>2983</v>
      </c>
      <c r="B349" s="40" t="str">
        <f>_xlfn.XLOOKUP(PROPERTIES[[#This Row],[VEHIDCODE]],CONTROL[VEHIDCODE],CONTROL[ENGLISH])</f>
        <v>Stadler Berlin U-Bahn IK</v>
      </c>
      <c r="H349" t="b">
        <v>1</v>
      </c>
      <c r="AC349" s="2"/>
      <c r="AD349" s="2" t="b">
        <f>LEN(_xlfn.CONCAT(TRACK_TYPES[[#This Row],[TRACK_TYPE_STANDARD_GAUGE_RAILTYPE_OHLE]:[TRACK_TYPE_MTRO]]))&gt;0</f>
        <v>1</v>
      </c>
      <c r="AE349" s="38" t="b" cm="1">
        <f t="array" ref="AE349">IFERROR(_xlfn.BYROW(TRACK_TYPES[[#This Row],[TRACK_TYPE_STANDARD_GAUGE_RAILTYPE_OHLE]:[TRACK_TYPE_STANDARD_GAUGE_RAILTYPE_NONE]],_xlfn.LAMBDA(_xlpm.r,OR(_xlpm.r))),FALSE)</f>
        <v>1</v>
      </c>
      <c r="AF349" s="38" t="b" cm="1">
        <f t="array" ref="AF349">IFERROR(_xlfn.BYROW(TRACK_TYPES[[#This Row],[TRACK_TYPE_NARROW_GAUGE_RAILTYPE_OHLE]:[TRACK_TYPE_NARROW_GAUGE_RAILTYPE_NONE]],_xlfn.LAMBDA(_xlpm.r,OR(_xlpm.r))),FALSE)</f>
        <v>0</v>
      </c>
      <c r="AG349" s="38" t="b" cm="1">
        <f t="array" ref="AG349">IFERROR(_xlfn.BYROW(TRACK_TYPES[[#This Row],[TRACK_TYPE_BROAD_GAUGE_RAILTYPE_OHLE]:[TRACK_TYPE_BROAD_GAUGE_RAILTYPE_NONE]],_xlfn.LAMBDA(_xlpm.r,OR(_xlpm.r))),FALSE)</f>
        <v>0</v>
      </c>
      <c r="AH3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9"/>
      <c r="AQ349"/>
      <c r="AR349"/>
    </row>
    <row r="350" spans="1:44" x14ac:dyDescent="0.35">
      <c r="A350" s="2" t="s">
        <v>2984</v>
      </c>
      <c r="B350" s="40" t="str">
        <f>_xlfn.XLOOKUP(PROPERTIES[[#This Row],[VEHIDCODE]],CONTROL[VEHIDCODE],CONTROL[ENGLISH])</f>
        <v>St. Louis Car Company Chicago L 6000 Series</v>
      </c>
      <c r="H350" t="b">
        <v>1</v>
      </c>
      <c r="AC350" s="2"/>
      <c r="AD350" s="2" t="b">
        <f>LEN(_xlfn.CONCAT(TRACK_TYPES[[#This Row],[TRACK_TYPE_STANDARD_GAUGE_RAILTYPE_OHLE]:[TRACK_TYPE_MTRO]]))&gt;0</f>
        <v>1</v>
      </c>
      <c r="AE350" s="38" t="b" cm="1">
        <f t="array" ref="AE350">IFERROR(_xlfn.BYROW(TRACK_TYPES[[#This Row],[TRACK_TYPE_STANDARD_GAUGE_RAILTYPE_OHLE]:[TRACK_TYPE_STANDARD_GAUGE_RAILTYPE_NONE]],_xlfn.LAMBDA(_xlpm.r,OR(_xlpm.r))),FALSE)</f>
        <v>1</v>
      </c>
      <c r="AF350" s="38" t="b" cm="1">
        <f t="array" ref="AF350">IFERROR(_xlfn.BYROW(TRACK_TYPES[[#This Row],[TRACK_TYPE_NARROW_GAUGE_RAILTYPE_OHLE]:[TRACK_TYPE_NARROW_GAUGE_RAILTYPE_NONE]],_xlfn.LAMBDA(_xlpm.r,OR(_xlpm.r))),FALSE)</f>
        <v>0</v>
      </c>
      <c r="AG350" s="38" t="b" cm="1">
        <f t="array" ref="AG350">IFERROR(_xlfn.BYROW(TRACK_TYPES[[#This Row],[TRACK_TYPE_BROAD_GAUGE_RAILTYPE_OHLE]:[TRACK_TYPE_BROAD_GAUGE_RAILTYPE_NONE]],_xlfn.LAMBDA(_xlpm.r,OR(_xlpm.r))),FALSE)</f>
        <v>0</v>
      </c>
      <c r="AH3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0"/>
      <c r="AQ350"/>
      <c r="AR350"/>
    </row>
    <row r="351" spans="1:44" x14ac:dyDescent="0.35">
      <c r="A351" s="2" t="s">
        <v>2985</v>
      </c>
      <c r="B351" s="40" t="str">
        <f>_xlfn.XLOOKUP(PROPERTIES[[#This Row],[VEHIDCODE]],CONTROL[VEHIDCODE],CONTROL[ENGLISH])</f>
        <v>BRC&amp;W London 1903 Stock</v>
      </c>
      <c r="I351" t="b">
        <v>1</v>
      </c>
      <c r="AC351" s="2"/>
      <c r="AD351" s="2" t="b">
        <f>LEN(_xlfn.CONCAT(TRACK_TYPES[[#This Row],[TRACK_TYPE_STANDARD_GAUGE_RAILTYPE_OHLE]:[TRACK_TYPE_MTRO]]))&gt;0</f>
        <v>1</v>
      </c>
      <c r="AE351" s="38" t="b" cm="1">
        <f t="array" ref="AE351">IFERROR(_xlfn.BYROW(TRACK_TYPES[[#This Row],[TRACK_TYPE_STANDARD_GAUGE_RAILTYPE_OHLE]:[TRACK_TYPE_STANDARD_GAUGE_RAILTYPE_NONE]],_xlfn.LAMBDA(_xlpm.r,OR(_xlpm.r))),FALSE)</f>
        <v>1</v>
      </c>
      <c r="AF351" s="38" t="b" cm="1">
        <f t="array" ref="AF351">IFERROR(_xlfn.BYROW(TRACK_TYPES[[#This Row],[TRACK_TYPE_NARROW_GAUGE_RAILTYPE_OHLE]:[TRACK_TYPE_NARROW_GAUGE_RAILTYPE_NONE]],_xlfn.LAMBDA(_xlpm.r,OR(_xlpm.r))),FALSE)</f>
        <v>0</v>
      </c>
      <c r="AG351" s="38" t="b" cm="1">
        <f t="array" ref="AG351">IFERROR(_xlfn.BYROW(TRACK_TYPES[[#This Row],[TRACK_TYPE_BROAD_GAUGE_RAILTYPE_OHLE]:[TRACK_TYPE_BROAD_GAUGE_RAILTYPE_NONE]],_xlfn.LAMBDA(_xlpm.r,OR(_xlpm.r))),FALSE)</f>
        <v>0</v>
      </c>
      <c r="AH3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1"/>
      <c r="AQ351"/>
      <c r="AR351"/>
    </row>
    <row r="352" spans="1:44" x14ac:dyDescent="0.35">
      <c r="A352" s="2" t="s">
        <v>2986</v>
      </c>
      <c r="B352" s="40" t="str">
        <f>_xlfn.XLOOKUP(PROPERTIES[[#This Row],[VEHIDCODE]],CONTROL[VEHIDCODE],CONTROL[ENGLISH])</f>
        <v>BRC&amp;W London 1938 Stock</v>
      </c>
      <c r="I352" t="b">
        <v>1</v>
      </c>
      <c r="AC352" s="2"/>
      <c r="AD352" s="2" t="b">
        <f>LEN(_xlfn.CONCAT(TRACK_TYPES[[#This Row],[TRACK_TYPE_STANDARD_GAUGE_RAILTYPE_OHLE]:[TRACK_TYPE_MTRO]]))&gt;0</f>
        <v>1</v>
      </c>
      <c r="AE352" s="38" t="b" cm="1">
        <f t="array" ref="AE352">IFERROR(_xlfn.BYROW(TRACK_TYPES[[#This Row],[TRACK_TYPE_STANDARD_GAUGE_RAILTYPE_OHLE]:[TRACK_TYPE_STANDARD_GAUGE_RAILTYPE_NONE]],_xlfn.LAMBDA(_xlpm.r,OR(_xlpm.r))),FALSE)</f>
        <v>1</v>
      </c>
      <c r="AF352" s="38" t="b" cm="1">
        <f t="array" ref="AF352">IFERROR(_xlfn.BYROW(TRACK_TYPES[[#This Row],[TRACK_TYPE_NARROW_GAUGE_RAILTYPE_OHLE]:[TRACK_TYPE_NARROW_GAUGE_RAILTYPE_NONE]],_xlfn.LAMBDA(_xlpm.r,OR(_xlpm.r))),FALSE)</f>
        <v>0</v>
      </c>
      <c r="AG352" s="38" t="b" cm="1">
        <f t="array" ref="AG352">IFERROR(_xlfn.BYROW(TRACK_TYPES[[#This Row],[TRACK_TYPE_BROAD_GAUGE_RAILTYPE_OHLE]:[TRACK_TYPE_BROAD_GAUGE_RAILTYPE_NONE]],_xlfn.LAMBDA(_xlpm.r,OR(_xlpm.r))),FALSE)</f>
        <v>0</v>
      </c>
      <c r="AH3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2"/>
      <c r="AQ352"/>
      <c r="AR352"/>
    </row>
    <row r="353" spans="1:44" x14ac:dyDescent="0.35">
      <c r="A353" s="2" t="s">
        <v>2987</v>
      </c>
      <c r="B353" s="40" t="str">
        <f>_xlfn.XLOOKUP(PROPERTIES[[#This Row],[VEHIDCODE]],CONTROL[VEHIDCODE],CONTROL[ENGLISH])</f>
        <v>NER EF1</v>
      </c>
      <c r="G353" t="b">
        <v>1</v>
      </c>
      <c r="AC353" s="2"/>
      <c r="AD353" s="2" t="b">
        <f>LEN(_xlfn.CONCAT(TRACK_TYPES[[#This Row],[TRACK_TYPE_STANDARD_GAUGE_RAILTYPE_OHLE]:[TRACK_TYPE_MTRO]]))&gt;0</f>
        <v>1</v>
      </c>
      <c r="AE353" s="38" t="b" cm="1">
        <f t="array" ref="AE353">IFERROR(_xlfn.BYROW(TRACK_TYPES[[#This Row],[TRACK_TYPE_STANDARD_GAUGE_RAILTYPE_OHLE]:[TRACK_TYPE_STANDARD_GAUGE_RAILTYPE_NONE]],_xlfn.LAMBDA(_xlpm.r,OR(_xlpm.r))),FALSE)</f>
        <v>1</v>
      </c>
      <c r="AF353" s="38" t="b" cm="1">
        <f t="array" ref="AF353">IFERROR(_xlfn.BYROW(TRACK_TYPES[[#This Row],[TRACK_TYPE_NARROW_GAUGE_RAILTYPE_OHLE]:[TRACK_TYPE_NARROW_GAUGE_RAILTYPE_NONE]],_xlfn.LAMBDA(_xlpm.r,OR(_xlpm.r))),FALSE)</f>
        <v>0</v>
      </c>
      <c r="AG353" s="38" t="b" cm="1">
        <f t="array" ref="AG353">IFERROR(_xlfn.BYROW(TRACK_TYPES[[#This Row],[TRACK_TYPE_BROAD_GAUGE_RAILTYPE_OHLE]:[TRACK_TYPE_BROAD_GAUGE_RAILTYPE_NONE]],_xlfn.LAMBDA(_xlpm.r,OR(_xlpm.r))),FALSE)</f>
        <v>0</v>
      </c>
      <c r="AH3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3"/>
      <c r="AQ353"/>
      <c r="AR353"/>
    </row>
    <row r="354" spans="1:44" x14ac:dyDescent="0.35">
      <c r="A354" s="2" t="s">
        <v>2988</v>
      </c>
      <c r="B354" s="40" t="str">
        <f>_xlfn.XLOOKUP(PROPERTIES[[#This Row],[VEHIDCODE]],CONTROL[VEHIDCODE],CONTROL[ENGLISH])</f>
        <v>JNR EB10</v>
      </c>
      <c r="O354" t="b">
        <v>1</v>
      </c>
      <c r="AC354" s="2"/>
      <c r="AD354" s="2" t="b">
        <f>LEN(_xlfn.CONCAT(TRACK_TYPES[[#This Row],[TRACK_TYPE_STANDARD_GAUGE_RAILTYPE_OHLE]:[TRACK_TYPE_MTRO]]))&gt;0</f>
        <v>1</v>
      </c>
      <c r="AE354" s="38" t="b" cm="1">
        <f t="array" ref="AE354">IFERROR(_xlfn.BYROW(TRACK_TYPES[[#This Row],[TRACK_TYPE_STANDARD_GAUGE_RAILTYPE_OHLE]:[TRACK_TYPE_STANDARD_GAUGE_RAILTYPE_NONE]],_xlfn.LAMBDA(_xlpm.r,OR(_xlpm.r))),FALSE)</f>
        <v>0</v>
      </c>
      <c r="AF354" s="38" t="b" cm="1">
        <f t="array" ref="AF354">IFERROR(_xlfn.BYROW(TRACK_TYPES[[#This Row],[TRACK_TYPE_NARROW_GAUGE_RAILTYPE_OHLE]:[TRACK_TYPE_NARROW_GAUGE_RAILTYPE_NONE]],_xlfn.LAMBDA(_xlpm.r,OR(_xlpm.r))),FALSE)</f>
        <v>1</v>
      </c>
      <c r="AG354" s="38" t="b" cm="1">
        <f t="array" ref="AG354">IFERROR(_xlfn.BYROW(TRACK_TYPES[[#This Row],[TRACK_TYPE_BROAD_GAUGE_RAILTYPE_OHLE]:[TRACK_TYPE_BROAD_GAUGE_RAILTYPE_NONE]],_xlfn.LAMBDA(_xlpm.r,OR(_xlpm.r))),FALSE)</f>
        <v>0</v>
      </c>
      <c r="AH3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54"/>
      <c r="AQ354"/>
      <c r="AR354"/>
    </row>
    <row r="355" spans="1:44" x14ac:dyDescent="0.35">
      <c r="A355" s="2" t="s">
        <v>2989</v>
      </c>
      <c r="B355" s="40" t="str">
        <f>_xlfn.XLOOKUP(PROPERTIES[[#This Row],[VEHIDCODE]],CONTROL[VEHIDCODE],CONTROL[ENGLISH])</f>
        <v>Hitachi/Kawasaki EF55</v>
      </c>
      <c r="O355" t="b">
        <v>1</v>
      </c>
      <c r="AC355" s="2"/>
      <c r="AD355" s="2" t="b">
        <f>LEN(_xlfn.CONCAT(TRACK_TYPES[[#This Row],[TRACK_TYPE_STANDARD_GAUGE_RAILTYPE_OHLE]:[TRACK_TYPE_MTRO]]))&gt;0</f>
        <v>1</v>
      </c>
      <c r="AE355" s="38" t="b" cm="1">
        <f t="array" ref="AE355">IFERROR(_xlfn.BYROW(TRACK_TYPES[[#This Row],[TRACK_TYPE_STANDARD_GAUGE_RAILTYPE_OHLE]:[TRACK_TYPE_STANDARD_GAUGE_RAILTYPE_NONE]],_xlfn.LAMBDA(_xlpm.r,OR(_xlpm.r))),FALSE)</f>
        <v>0</v>
      </c>
      <c r="AF355" s="38" t="b" cm="1">
        <f t="array" ref="AF355">IFERROR(_xlfn.BYROW(TRACK_TYPES[[#This Row],[TRACK_TYPE_NARROW_GAUGE_RAILTYPE_OHLE]:[TRACK_TYPE_NARROW_GAUGE_RAILTYPE_NONE]],_xlfn.LAMBDA(_xlpm.r,OR(_xlpm.r))),FALSE)</f>
        <v>1</v>
      </c>
      <c r="AG355" s="38" t="b" cm="1">
        <f t="array" ref="AG355">IFERROR(_xlfn.BYROW(TRACK_TYPES[[#This Row],[TRACK_TYPE_BROAD_GAUGE_RAILTYPE_OHLE]:[TRACK_TYPE_BROAD_GAUGE_RAILTYPE_NONE]],_xlfn.LAMBDA(_xlpm.r,OR(_xlpm.r))),FALSE)</f>
        <v>0</v>
      </c>
      <c r="AH3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55"/>
      <c r="AQ355"/>
      <c r="AR355"/>
    </row>
    <row r="356" spans="1:44" x14ac:dyDescent="0.35">
      <c r="A356" s="2" t="s">
        <v>2990</v>
      </c>
      <c r="B356" s="40" t="str">
        <f>_xlfn.XLOOKUP(PROPERTIES[[#This Row],[VEHIDCODE]],CONTROL[VEHIDCODE],CONTROL[ENGLISH])</f>
        <v>SLM NS 1000</v>
      </c>
      <c r="G356" t="b">
        <v>1</v>
      </c>
      <c r="AC356" s="2"/>
      <c r="AD356" s="2" t="b">
        <f>LEN(_xlfn.CONCAT(TRACK_TYPES[[#This Row],[TRACK_TYPE_STANDARD_GAUGE_RAILTYPE_OHLE]:[TRACK_TYPE_MTRO]]))&gt;0</f>
        <v>1</v>
      </c>
      <c r="AE356" s="38" t="b" cm="1">
        <f t="array" ref="AE356">IFERROR(_xlfn.BYROW(TRACK_TYPES[[#This Row],[TRACK_TYPE_STANDARD_GAUGE_RAILTYPE_OHLE]:[TRACK_TYPE_STANDARD_GAUGE_RAILTYPE_NONE]],_xlfn.LAMBDA(_xlpm.r,OR(_xlpm.r))),FALSE)</f>
        <v>1</v>
      </c>
      <c r="AF356" s="38" t="b" cm="1">
        <f t="array" ref="AF356">IFERROR(_xlfn.BYROW(TRACK_TYPES[[#This Row],[TRACK_TYPE_NARROW_GAUGE_RAILTYPE_OHLE]:[TRACK_TYPE_NARROW_GAUGE_RAILTYPE_NONE]],_xlfn.LAMBDA(_xlpm.r,OR(_xlpm.r))),FALSE)</f>
        <v>0</v>
      </c>
      <c r="AG356" s="38" t="b" cm="1">
        <f t="array" ref="AG356">IFERROR(_xlfn.BYROW(TRACK_TYPES[[#This Row],[TRACK_TYPE_BROAD_GAUGE_RAILTYPE_OHLE]:[TRACK_TYPE_BROAD_GAUGE_RAILTYPE_NONE]],_xlfn.LAMBDA(_xlpm.r,OR(_xlpm.r))),FALSE)</f>
        <v>0</v>
      </c>
      <c r="AH3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6"/>
      <c r="AQ356"/>
      <c r="AR356"/>
    </row>
    <row r="357" spans="1:44" x14ac:dyDescent="0.35">
      <c r="A357" s="2" t="s">
        <v>2991</v>
      </c>
      <c r="B357" s="40" t="str">
        <f>_xlfn.XLOOKUP(PROPERTIES[[#This Row],[VEHIDCODE]],CONTROL[VEHIDCODE],CONTROL[ENGLISH])</f>
        <v>Alsthom BB 7200/NS 1600</v>
      </c>
      <c r="G357" t="b">
        <v>1</v>
      </c>
      <c r="AC357" s="2"/>
      <c r="AD357" s="2" t="b">
        <f>LEN(_xlfn.CONCAT(TRACK_TYPES[[#This Row],[TRACK_TYPE_STANDARD_GAUGE_RAILTYPE_OHLE]:[TRACK_TYPE_MTRO]]))&gt;0</f>
        <v>1</v>
      </c>
      <c r="AE357" s="38" t="b" cm="1">
        <f t="array" ref="AE357">IFERROR(_xlfn.BYROW(TRACK_TYPES[[#This Row],[TRACK_TYPE_STANDARD_GAUGE_RAILTYPE_OHLE]:[TRACK_TYPE_STANDARD_GAUGE_RAILTYPE_NONE]],_xlfn.LAMBDA(_xlpm.r,OR(_xlpm.r))),FALSE)</f>
        <v>1</v>
      </c>
      <c r="AF357" s="38" t="b" cm="1">
        <f t="array" ref="AF357">IFERROR(_xlfn.BYROW(TRACK_TYPES[[#This Row],[TRACK_TYPE_NARROW_GAUGE_RAILTYPE_OHLE]:[TRACK_TYPE_NARROW_GAUGE_RAILTYPE_NONE]],_xlfn.LAMBDA(_xlpm.r,OR(_xlpm.r))),FALSE)</f>
        <v>0</v>
      </c>
      <c r="AG357" s="38" t="b" cm="1">
        <f t="array" ref="AG357">IFERROR(_xlfn.BYROW(TRACK_TYPES[[#This Row],[TRACK_TYPE_BROAD_GAUGE_RAILTYPE_OHLE]:[TRACK_TYPE_BROAD_GAUGE_RAILTYPE_NONE]],_xlfn.LAMBDA(_xlpm.r,OR(_xlpm.r))),FALSE)</f>
        <v>0</v>
      </c>
      <c r="AH3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7"/>
      <c r="AQ357"/>
      <c r="AR357"/>
    </row>
    <row r="358" spans="1:44" x14ac:dyDescent="0.35">
      <c r="A358" s="2" t="s">
        <v>2992</v>
      </c>
      <c r="B358" s="40" t="str">
        <f>_xlfn.XLOOKUP(PROPERTIES[[#This Row],[VEHIDCODE]],CONTROL[VEHIDCODE],CONTROL[ENGLISH])</f>
        <v>Victorian Railways E</v>
      </c>
      <c r="W358" t="b">
        <v>1</v>
      </c>
      <c r="AC358" s="2"/>
      <c r="AD358" s="2" t="b">
        <f>LEN(_xlfn.CONCAT(TRACK_TYPES[[#This Row],[TRACK_TYPE_STANDARD_GAUGE_RAILTYPE_OHLE]:[TRACK_TYPE_MTRO]]))&gt;0</f>
        <v>1</v>
      </c>
      <c r="AE358" s="38" t="b" cm="1">
        <f t="array" ref="AE358">IFERROR(_xlfn.BYROW(TRACK_TYPES[[#This Row],[TRACK_TYPE_STANDARD_GAUGE_RAILTYPE_OHLE]:[TRACK_TYPE_STANDARD_GAUGE_RAILTYPE_NONE]],_xlfn.LAMBDA(_xlpm.r,OR(_xlpm.r))),FALSE)</f>
        <v>0</v>
      </c>
      <c r="AF358" s="38" t="b" cm="1">
        <f t="array" ref="AF358">IFERROR(_xlfn.BYROW(TRACK_TYPES[[#This Row],[TRACK_TYPE_NARROW_GAUGE_RAILTYPE_OHLE]:[TRACK_TYPE_NARROW_GAUGE_RAILTYPE_NONE]],_xlfn.LAMBDA(_xlpm.r,OR(_xlpm.r))),FALSE)</f>
        <v>0</v>
      </c>
      <c r="AG358" s="38" t="b" cm="1">
        <f t="array" ref="AG358">IFERROR(_xlfn.BYROW(TRACK_TYPES[[#This Row],[TRACK_TYPE_BROAD_GAUGE_RAILTYPE_OHLE]:[TRACK_TYPE_BROAD_GAUGE_RAILTYPE_NONE]],_xlfn.LAMBDA(_xlpm.r,OR(_xlpm.r))),FALSE)</f>
        <v>1</v>
      </c>
      <c r="AH3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58"/>
      <c r="AQ358"/>
      <c r="AR358"/>
    </row>
    <row r="359" spans="1:44" x14ac:dyDescent="0.35">
      <c r="A359" s="2" t="s">
        <v>2993</v>
      </c>
      <c r="B359" s="40" t="str">
        <f>_xlfn.XLOOKUP(PROPERTIES[[#This Row],[VEHIDCODE]],CONTROL[VEHIDCODE],CONTROL[ENGLISH])</f>
        <v>British Thomson-Houston ES1</v>
      </c>
      <c r="G359" t="b">
        <v>1</v>
      </c>
      <c r="AC359" s="2"/>
      <c r="AD359" s="2" t="b">
        <f>LEN(_xlfn.CONCAT(TRACK_TYPES[[#This Row],[TRACK_TYPE_STANDARD_GAUGE_RAILTYPE_OHLE]:[TRACK_TYPE_MTRO]]))&gt;0</f>
        <v>1</v>
      </c>
      <c r="AE359" s="38" t="b" cm="1">
        <f t="array" ref="AE359">IFERROR(_xlfn.BYROW(TRACK_TYPES[[#This Row],[TRACK_TYPE_STANDARD_GAUGE_RAILTYPE_OHLE]:[TRACK_TYPE_STANDARD_GAUGE_RAILTYPE_NONE]],_xlfn.LAMBDA(_xlpm.r,OR(_xlpm.r))),FALSE)</f>
        <v>1</v>
      </c>
      <c r="AF359" s="38" t="b" cm="1">
        <f t="array" ref="AF359">IFERROR(_xlfn.BYROW(TRACK_TYPES[[#This Row],[TRACK_TYPE_NARROW_GAUGE_RAILTYPE_OHLE]:[TRACK_TYPE_NARROW_GAUGE_RAILTYPE_NONE]],_xlfn.LAMBDA(_xlpm.r,OR(_xlpm.r))),FALSE)</f>
        <v>0</v>
      </c>
      <c r="AG359" s="38" t="b" cm="1">
        <f t="array" ref="AG359">IFERROR(_xlfn.BYROW(TRACK_TYPES[[#This Row],[TRACK_TYPE_BROAD_GAUGE_RAILTYPE_OHLE]:[TRACK_TYPE_BROAD_GAUGE_RAILTYPE_NONE]],_xlfn.LAMBDA(_xlpm.r,OR(_xlpm.r))),FALSE)</f>
        <v>0</v>
      </c>
      <c r="AH3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9"/>
      <c r="AQ359"/>
      <c r="AR359"/>
    </row>
    <row r="360" spans="1:44" x14ac:dyDescent="0.35">
      <c r="A360" s="2" t="s">
        <v>2994</v>
      </c>
      <c r="B360" s="40" t="str">
        <f>_xlfn.XLOOKUP(PROPERTIES[[#This Row],[VEHIDCODE]],CONTROL[VEHIDCODE],CONTROL[ENGLISH])</f>
        <v>ALCO-GE NYC S-Motor S1</v>
      </c>
      <c r="G360" t="b">
        <v>1</v>
      </c>
      <c r="H360" t="b">
        <v>1</v>
      </c>
      <c r="AC360" s="2"/>
      <c r="AD360" s="2" t="b">
        <f>LEN(_xlfn.CONCAT(TRACK_TYPES[[#This Row],[TRACK_TYPE_STANDARD_GAUGE_RAILTYPE_OHLE]:[TRACK_TYPE_MTRO]]))&gt;0</f>
        <v>1</v>
      </c>
      <c r="AE360" s="38" t="b" cm="1">
        <f t="array" ref="AE360">IFERROR(_xlfn.BYROW(TRACK_TYPES[[#This Row],[TRACK_TYPE_STANDARD_GAUGE_RAILTYPE_OHLE]:[TRACK_TYPE_STANDARD_GAUGE_RAILTYPE_NONE]],_xlfn.LAMBDA(_xlpm.r,OR(_xlpm.r))),FALSE)</f>
        <v>1</v>
      </c>
      <c r="AF360" s="38" t="b" cm="1">
        <f t="array" ref="AF360">IFERROR(_xlfn.BYROW(TRACK_TYPES[[#This Row],[TRACK_TYPE_NARROW_GAUGE_RAILTYPE_OHLE]:[TRACK_TYPE_NARROW_GAUGE_RAILTYPE_NONE]],_xlfn.LAMBDA(_xlpm.r,OR(_xlpm.r))),FALSE)</f>
        <v>0</v>
      </c>
      <c r="AG360" s="38" t="b" cm="1">
        <f t="array" ref="AG360">IFERROR(_xlfn.BYROW(TRACK_TYPES[[#This Row],[TRACK_TYPE_BROAD_GAUGE_RAILTYPE_OHLE]:[TRACK_TYPE_BROAD_GAUGE_RAILTYPE_NONE]],_xlfn.LAMBDA(_xlpm.r,OR(_xlpm.r))),FALSE)</f>
        <v>0</v>
      </c>
      <c r="AH3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0"/>
      <c r="AQ360"/>
      <c r="AR360"/>
    </row>
    <row r="361" spans="1:44" x14ac:dyDescent="0.35">
      <c r="A361" s="2" t="s">
        <v>2995</v>
      </c>
      <c r="B361" s="40" t="str">
        <f>_xlfn.XLOOKUP(PROPERTIES[[#This Row],[VEHIDCODE]],CONTROL[VEHIDCODE],CONTROL[ENGLISH])</f>
        <v>Nippon Sharyo DeKi 400</v>
      </c>
      <c r="O361" t="b">
        <v>1</v>
      </c>
      <c r="AC361" s="2"/>
      <c r="AD361" s="2" t="b">
        <f>LEN(_xlfn.CONCAT(TRACK_TYPES[[#This Row],[TRACK_TYPE_STANDARD_GAUGE_RAILTYPE_OHLE]:[TRACK_TYPE_MTRO]]))&gt;0</f>
        <v>1</v>
      </c>
      <c r="AE361" s="38" t="b" cm="1">
        <f t="array" ref="AE361">IFERROR(_xlfn.BYROW(TRACK_TYPES[[#This Row],[TRACK_TYPE_STANDARD_GAUGE_RAILTYPE_OHLE]:[TRACK_TYPE_STANDARD_GAUGE_RAILTYPE_NONE]],_xlfn.LAMBDA(_xlpm.r,OR(_xlpm.r))),FALSE)</f>
        <v>0</v>
      </c>
      <c r="AF361" s="38" t="b" cm="1">
        <f t="array" ref="AF361">IFERROR(_xlfn.BYROW(TRACK_TYPES[[#This Row],[TRACK_TYPE_NARROW_GAUGE_RAILTYPE_OHLE]:[TRACK_TYPE_NARROW_GAUGE_RAILTYPE_NONE]],_xlfn.LAMBDA(_xlpm.r,OR(_xlpm.r))),FALSE)</f>
        <v>1</v>
      </c>
      <c r="AG361" s="38" t="b" cm="1">
        <f t="array" ref="AG361">IFERROR(_xlfn.BYROW(TRACK_TYPES[[#This Row],[TRACK_TYPE_BROAD_GAUGE_RAILTYPE_OHLE]:[TRACK_TYPE_BROAD_GAUGE_RAILTYPE_NONE]],_xlfn.LAMBDA(_xlpm.r,OR(_xlpm.r))),FALSE)</f>
        <v>0</v>
      </c>
      <c r="AH3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61"/>
      <c r="AQ361"/>
      <c r="AR361"/>
    </row>
    <row r="362" spans="1:44" x14ac:dyDescent="0.35">
      <c r="A362" s="2" t="s">
        <v>2996</v>
      </c>
      <c r="B362" s="40" t="str">
        <f>_xlfn.XLOOKUP(PROPERTIES[[#This Row],[VEHIDCODE]],CONTROL[VEHIDCODE],CONTROL[ENGLISH])</f>
        <v>Vulcan Foundry-SLM EF/1</v>
      </c>
      <c r="W362" t="b">
        <v>1</v>
      </c>
      <c r="AC362" s="2"/>
      <c r="AD362" s="2" t="b">
        <f>LEN(_xlfn.CONCAT(TRACK_TYPES[[#This Row],[TRACK_TYPE_STANDARD_GAUGE_RAILTYPE_OHLE]:[TRACK_TYPE_MTRO]]))&gt;0</f>
        <v>1</v>
      </c>
      <c r="AE362" s="38" t="b" cm="1">
        <f t="array" ref="AE362">IFERROR(_xlfn.BYROW(TRACK_TYPES[[#This Row],[TRACK_TYPE_STANDARD_GAUGE_RAILTYPE_OHLE]:[TRACK_TYPE_STANDARD_GAUGE_RAILTYPE_NONE]],_xlfn.LAMBDA(_xlpm.r,OR(_xlpm.r))),FALSE)</f>
        <v>0</v>
      </c>
      <c r="AF362" s="38" t="b" cm="1">
        <f t="array" ref="AF362">IFERROR(_xlfn.BYROW(TRACK_TYPES[[#This Row],[TRACK_TYPE_NARROW_GAUGE_RAILTYPE_OHLE]:[TRACK_TYPE_NARROW_GAUGE_RAILTYPE_NONE]],_xlfn.LAMBDA(_xlpm.r,OR(_xlpm.r))),FALSE)</f>
        <v>0</v>
      </c>
      <c r="AG362" s="38" t="b" cm="1">
        <f t="array" ref="AG362">IFERROR(_xlfn.BYROW(TRACK_TYPES[[#This Row],[TRACK_TYPE_BROAD_GAUGE_RAILTYPE_OHLE]:[TRACK_TYPE_BROAD_GAUGE_RAILTYPE_NONE]],_xlfn.LAMBDA(_xlpm.r,OR(_xlpm.r))),FALSE)</f>
        <v>1</v>
      </c>
      <c r="AH3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62"/>
      <c r="AQ362"/>
      <c r="AR362"/>
    </row>
    <row r="363" spans="1:44" x14ac:dyDescent="0.35">
      <c r="A363" s="2" t="s">
        <v>2997</v>
      </c>
      <c r="B363" s="40" t="str">
        <f>_xlfn.XLOOKUP(PROPERTIES[[#This Row],[VEHIDCODE]],CONTROL[VEHIDCODE],CONTROL[ENGLISH])</f>
        <v>Jeumont-Schneider BB 9004</v>
      </c>
      <c r="G363" t="b">
        <v>1</v>
      </c>
      <c r="AC363" s="2"/>
      <c r="AD363" s="2" t="b">
        <f>LEN(_xlfn.CONCAT(TRACK_TYPES[[#This Row],[TRACK_TYPE_STANDARD_GAUGE_RAILTYPE_OHLE]:[TRACK_TYPE_MTRO]]))&gt;0</f>
        <v>1</v>
      </c>
      <c r="AE363" s="38" t="b" cm="1">
        <f t="array" ref="AE363">IFERROR(_xlfn.BYROW(TRACK_TYPES[[#This Row],[TRACK_TYPE_STANDARD_GAUGE_RAILTYPE_OHLE]:[TRACK_TYPE_STANDARD_GAUGE_RAILTYPE_NONE]],_xlfn.LAMBDA(_xlpm.r,OR(_xlpm.r))),FALSE)</f>
        <v>1</v>
      </c>
      <c r="AF363" s="38" t="b" cm="1">
        <f t="array" ref="AF363">IFERROR(_xlfn.BYROW(TRACK_TYPES[[#This Row],[TRACK_TYPE_NARROW_GAUGE_RAILTYPE_OHLE]:[TRACK_TYPE_NARROW_GAUGE_RAILTYPE_NONE]],_xlfn.LAMBDA(_xlpm.r,OR(_xlpm.r))),FALSE)</f>
        <v>0</v>
      </c>
      <c r="AG363" s="38" t="b" cm="1">
        <f t="array" ref="AG363">IFERROR(_xlfn.BYROW(TRACK_TYPES[[#This Row],[TRACK_TYPE_BROAD_GAUGE_RAILTYPE_OHLE]:[TRACK_TYPE_BROAD_GAUGE_RAILTYPE_NONE]],_xlfn.LAMBDA(_xlpm.r,OR(_xlpm.r))),FALSE)</f>
        <v>0</v>
      </c>
      <c r="AH3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3"/>
      <c r="AQ363"/>
      <c r="AR363"/>
    </row>
    <row r="364" spans="1:44" x14ac:dyDescent="0.35">
      <c r="A364" s="2" t="s">
        <v>2998</v>
      </c>
      <c r="B364" s="40" t="str">
        <f>_xlfn.XLOOKUP(PROPERTIES[[#This Row],[VEHIDCODE]],CONTROL[VEHIDCODE],CONTROL[ENGLISH])</f>
        <v>Werkspoor ESS 3200</v>
      </c>
      <c r="O364" t="b">
        <v>1</v>
      </c>
      <c r="AC364" s="2"/>
      <c r="AD364" s="2" t="b">
        <f>LEN(_xlfn.CONCAT(TRACK_TYPES[[#This Row],[TRACK_TYPE_STANDARD_GAUGE_RAILTYPE_OHLE]:[TRACK_TYPE_MTRO]]))&gt;0</f>
        <v>1</v>
      </c>
      <c r="AE364" s="38" t="b" cm="1">
        <f t="array" ref="AE364">IFERROR(_xlfn.BYROW(TRACK_TYPES[[#This Row],[TRACK_TYPE_STANDARD_GAUGE_RAILTYPE_OHLE]:[TRACK_TYPE_STANDARD_GAUGE_RAILTYPE_NONE]],_xlfn.LAMBDA(_xlpm.r,OR(_xlpm.r))),FALSE)</f>
        <v>0</v>
      </c>
      <c r="AF364" s="38" t="b" cm="1">
        <f t="array" ref="AF364">IFERROR(_xlfn.BYROW(TRACK_TYPES[[#This Row],[TRACK_TYPE_NARROW_GAUGE_RAILTYPE_OHLE]:[TRACK_TYPE_NARROW_GAUGE_RAILTYPE_NONE]],_xlfn.LAMBDA(_xlpm.r,OR(_xlpm.r))),FALSE)</f>
        <v>1</v>
      </c>
      <c r="AG364" s="38" t="b" cm="1">
        <f t="array" ref="AG364">IFERROR(_xlfn.BYROW(TRACK_TYPES[[#This Row],[TRACK_TYPE_BROAD_GAUGE_RAILTYPE_OHLE]:[TRACK_TYPE_BROAD_GAUGE_RAILTYPE_NONE]],_xlfn.LAMBDA(_xlpm.r,OR(_xlpm.r))),FALSE)</f>
        <v>0</v>
      </c>
      <c r="AH3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64"/>
      <c r="AQ364"/>
      <c r="AR364"/>
    </row>
    <row r="365" spans="1:44" x14ac:dyDescent="0.35">
      <c r="A365" s="2" t="s">
        <v>2999</v>
      </c>
      <c r="B365" s="40" t="str">
        <f>_xlfn.XLOOKUP(PROPERTIES[[#This Row],[VEHIDCODE]],CONTROL[VEHIDCODE],CONTROL[ENGLISH])</f>
        <v>Metropolitan-Vickers EM2</v>
      </c>
      <c r="G365" t="b">
        <v>1</v>
      </c>
      <c r="AC365" s="2"/>
      <c r="AD365" s="2" t="b">
        <f>LEN(_xlfn.CONCAT(TRACK_TYPES[[#This Row],[TRACK_TYPE_STANDARD_GAUGE_RAILTYPE_OHLE]:[TRACK_TYPE_MTRO]]))&gt;0</f>
        <v>1</v>
      </c>
      <c r="AE365" s="38" t="b" cm="1">
        <f t="array" ref="AE365">IFERROR(_xlfn.BYROW(TRACK_TYPES[[#This Row],[TRACK_TYPE_STANDARD_GAUGE_RAILTYPE_OHLE]:[TRACK_TYPE_STANDARD_GAUGE_RAILTYPE_NONE]],_xlfn.LAMBDA(_xlpm.r,OR(_xlpm.r))),FALSE)</f>
        <v>1</v>
      </c>
      <c r="AF365" s="38" t="b" cm="1">
        <f t="array" ref="AF365">IFERROR(_xlfn.BYROW(TRACK_TYPES[[#This Row],[TRACK_TYPE_NARROW_GAUGE_RAILTYPE_OHLE]:[TRACK_TYPE_NARROW_GAUGE_RAILTYPE_NONE]],_xlfn.LAMBDA(_xlpm.r,OR(_xlpm.r))),FALSE)</f>
        <v>0</v>
      </c>
      <c r="AG365" s="38" t="b" cm="1">
        <f t="array" ref="AG365">IFERROR(_xlfn.BYROW(TRACK_TYPES[[#This Row],[TRACK_TYPE_BROAD_GAUGE_RAILTYPE_OHLE]:[TRACK_TYPE_BROAD_GAUGE_RAILTYPE_NONE]],_xlfn.LAMBDA(_xlpm.r,OR(_xlpm.r))),FALSE)</f>
        <v>0</v>
      </c>
      <c r="AH3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5"/>
      <c r="AQ365"/>
      <c r="AR365"/>
    </row>
    <row r="366" spans="1:44" x14ac:dyDescent="0.35">
      <c r="A366" s="2" t="s">
        <v>3000</v>
      </c>
      <c r="B366" s="40" t="str">
        <f>_xlfn.XLOOKUP(PROPERTIES[[#This Row],[VEHIDCODE]],CONTROL[VEHIDCODE],CONTROL[ENGLISH])</f>
        <v>NER EE1</v>
      </c>
      <c r="G366" t="b">
        <v>1</v>
      </c>
      <c r="AC366" s="2"/>
      <c r="AD366" s="2" t="b">
        <f>LEN(_xlfn.CONCAT(TRACK_TYPES[[#This Row],[TRACK_TYPE_STANDARD_GAUGE_RAILTYPE_OHLE]:[TRACK_TYPE_MTRO]]))&gt;0</f>
        <v>1</v>
      </c>
      <c r="AE366" s="38" t="b" cm="1">
        <f t="array" ref="AE366">IFERROR(_xlfn.BYROW(TRACK_TYPES[[#This Row],[TRACK_TYPE_STANDARD_GAUGE_RAILTYPE_OHLE]:[TRACK_TYPE_STANDARD_GAUGE_RAILTYPE_NONE]],_xlfn.LAMBDA(_xlpm.r,OR(_xlpm.r))),FALSE)</f>
        <v>1</v>
      </c>
      <c r="AF366" s="38" t="b" cm="1">
        <f t="array" ref="AF366">IFERROR(_xlfn.BYROW(TRACK_TYPES[[#This Row],[TRACK_TYPE_NARROW_GAUGE_RAILTYPE_OHLE]:[TRACK_TYPE_NARROW_GAUGE_RAILTYPE_NONE]],_xlfn.LAMBDA(_xlpm.r,OR(_xlpm.r))),FALSE)</f>
        <v>0</v>
      </c>
      <c r="AG366" s="38" t="b" cm="1">
        <f t="array" ref="AG366">IFERROR(_xlfn.BYROW(TRACK_TYPES[[#This Row],[TRACK_TYPE_BROAD_GAUGE_RAILTYPE_OHLE]:[TRACK_TYPE_BROAD_GAUGE_RAILTYPE_NONE]],_xlfn.LAMBDA(_xlpm.r,OR(_xlpm.r))),FALSE)</f>
        <v>0</v>
      </c>
      <c r="AH3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6"/>
      <c r="AQ366"/>
      <c r="AR366"/>
    </row>
    <row r="367" spans="1:44" x14ac:dyDescent="0.35">
      <c r="A367" s="2" t="s">
        <v>3001</v>
      </c>
      <c r="B367" s="40" t="str">
        <f>_xlfn.XLOOKUP(PROPERTIES[[#This Row],[VEHIDCODE]],CONTROL[VEHIDCODE],CONTROL[ENGLISH])</f>
        <v>GE ES-2</v>
      </c>
      <c r="F367" t="b">
        <v>1</v>
      </c>
      <c r="AC367" s="2"/>
      <c r="AD367" s="2" t="b">
        <f>LEN(_xlfn.CONCAT(TRACK_TYPES[[#This Row],[TRACK_TYPE_STANDARD_GAUGE_RAILTYPE_OHLE]:[TRACK_TYPE_MTRO]]))&gt;0</f>
        <v>1</v>
      </c>
      <c r="AE367" s="38" t="b" cm="1">
        <f t="array" ref="AE367">IFERROR(_xlfn.BYROW(TRACK_TYPES[[#This Row],[TRACK_TYPE_STANDARD_GAUGE_RAILTYPE_OHLE]:[TRACK_TYPE_STANDARD_GAUGE_RAILTYPE_NONE]],_xlfn.LAMBDA(_xlpm.r,OR(_xlpm.r))),FALSE)</f>
        <v>1</v>
      </c>
      <c r="AF367" s="38" t="b" cm="1">
        <f t="array" ref="AF367">IFERROR(_xlfn.BYROW(TRACK_TYPES[[#This Row],[TRACK_TYPE_NARROW_GAUGE_RAILTYPE_OHLE]:[TRACK_TYPE_NARROW_GAUGE_RAILTYPE_NONE]],_xlfn.LAMBDA(_xlpm.r,OR(_xlpm.r))),FALSE)</f>
        <v>0</v>
      </c>
      <c r="AG367" s="38" t="b" cm="1">
        <f t="array" ref="AG367">IFERROR(_xlfn.BYROW(TRACK_TYPES[[#This Row],[TRACK_TYPE_BROAD_GAUGE_RAILTYPE_OHLE]:[TRACK_TYPE_BROAD_GAUGE_RAILTYPE_NONE]],_xlfn.LAMBDA(_xlpm.r,OR(_xlpm.r))),FALSE)</f>
        <v>0</v>
      </c>
      <c r="AH3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7"/>
      <c r="AQ367"/>
      <c r="AR367"/>
    </row>
    <row r="368" spans="1:44" x14ac:dyDescent="0.35">
      <c r="A368" s="2" t="s">
        <v>3002</v>
      </c>
      <c r="B368" s="40" t="str">
        <f>_xlfn.XLOOKUP(PROPERTIES[[#This Row],[VEHIDCODE]],CONTROL[VEHIDCODE],CONTROL[ENGLISH])</f>
        <v>GE 2-4-8-0+0-8-4-2 EP2</v>
      </c>
      <c r="F368" t="b">
        <v>1</v>
      </c>
      <c r="AC368" s="2"/>
      <c r="AD368" s="2" t="b">
        <f>LEN(_xlfn.CONCAT(TRACK_TYPES[[#This Row],[TRACK_TYPE_STANDARD_GAUGE_RAILTYPE_OHLE]:[TRACK_TYPE_MTRO]]))&gt;0</f>
        <v>1</v>
      </c>
      <c r="AE368" s="38" t="b" cm="1">
        <f t="array" ref="AE368">IFERROR(_xlfn.BYROW(TRACK_TYPES[[#This Row],[TRACK_TYPE_STANDARD_GAUGE_RAILTYPE_OHLE]:[TRACK_TYPE_STANDARD_GAUGE_RAILTYPE_NONE]],_xlfn.LAMBDA(_xlpm.r,OR(_xlpm.r))),FALSE)</f>
        <v>1</v>
      </c>
      <c r="AF368" s="38" t="b" cm="1">
        <f t="array" ref="AF368">IFERROR(_xlfn.BYROW(TRACK_TYPES[[#This Row],[TRACK_TYPE_NARROW_GAUGE_RAILTYPE_OHLE]:[TRACK_TYPE_NARROW_GAUGE_RAILTYPE_NONE]],_xlfn.LAMBDA(_xlpm.r,OR(_xlpm.r))),FALSE)</f>
        <v>0</v>
      </c>
      <c r="AG368" s="38" t="b" cm="1">
        <f t="array" ref="AG368">IFERROR(_xlfn.BYROW(TRACK_TYPES[[#This Row],[TRACK_TYPE_BROAD_GAUGE_RAILTYPE_OHLE]:[TRACK_TYPE_BROAD_GAUGE_RAILTYPE_NONE]],_xlfn.LAMBDA(_xlpm.r,OR(_xlpm.r))),FALSE)</f>
        <v>0</v>
      </c>
      <c r="AH3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8"/>
      <c r="AQ368"/>
      <c r="AR368"/>
    </row>
    <row r="369" spans="1:44" x14ac:dyDescent="0.35">
      <c r="A369" s="2" t="s">
        <v>3003</v>
      </c>
      <c r="B369" s="40" t="str">
        <f>_xlfn.XLOOKUP(PROPERTIES[[#This Row],[VEHIDCODE]],CONTROL[VEHIDCODE],CONTROL[ENGLISH])</f>
        <v>Baldwin Westinghouse E-28</v>
      </c>
      <c r="V369" t="b">
        <v>1</v>
      </c>
      <c r="AC369" s="2"/>
      <c r="AD369" s="2" t="b">
        <f>LEN(_xlfn.CONCAT(TRACK_TYPES[[#This Row],[TRACK_TYPE_STANDARD_GAUGE_RAILTYPE_OHLE]:[TRACK_TYPE_MTRO]]))&gt;0</f>
        <v>1</v>
      </c>
      <c r="AE369" s="38" t="b" cm="1">
        <f t="array" ref="AE369">IFERROR(_xlfn.BYROW(TRACK_TYPES[[#This Row],[TRACK_TYPE_STANDARD_GAUGE_RAILTYPE_OHLE]:[TRACK_TYPE_STANDARD_GAUGE_RAILTYPE_NONE]],_xlfn.LAMBDA(_xlpm.r,OR(_xlpm.r))),FALSE)</f>
        <v>0</v>
      </c>
      <c r="AF369" s="38" t="b" cm="1">
        <f t="array" ref="AF369">IFERROR(_xlfn.BYROW(TRACK_TYPES[[#This Row],[TRACK_TYPE_NARROW_GAUGE_RAILTYPE_OHLE]:[TRACK_TYPE_NARROW_GAUGE_RAILTYPE_NONE]],_xlfn.LAMBDA(_xlpm.r,OR(_xlpm.r))),FALSE)</f>
        <v>0</v>
      </c>
      <c r="AG369" s="38" t="b" cm="1">
        <f t="array" ref="AG369">IFERROR(_xlfn.BYROW(TRACK_TYPES[[#This Row],[TRACK_TYPE_BROAD_GAUGE_RAILTYPE_OHLE]:[TRACK_TYPE_BROAD_GAUGE_RAILTYPE_NONE]],_xlfn.LAMBDA(_xlpm.r,OR(_xlpm.r))),FALSE)</f>
        <v>1</v>
      </c>
      <c r="AH3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69"/>
      <c r="AQ369"/>
      <c r="AR369"/>
    </row>
    <row r="370" spans="1:44" x14ac:dyDescent="0.35">
      <c r="A370" s="2" t="s">
        <v>3004</v>
      </c>
      <c r="B370" s="40" t="str">
        <f>_xlfn.XLOOKUP(PROPERTIES[[#This Row],[VEHIDCODE]],CONTROL[VEHIDCODE],CONTROL[ENGLISH])</f>
        <v>Breda E.428</v>
      </c>
      <c r="F370" t="b">
        <v>1</v>
      </c>
      <c r="AC370" s="2"/>
      <c r="AD370" s="2" t="b">
        <f>LEN(_xlfn.CONCAT(TRACK_TYPES[[#This Row],[TRACK_TYPE_STANDARD_GAUGE_RAILTYPE_OHLE]:[TRACK_TYPE_MTRO]]))&gt;0</f>
        <v>1</v>
      </c>
      <c r="AE370" s="38" t="b" cm="1">
        <f t="array" ref="AE370">IFERROR(_xlfn.BYROW(TRACK_TYPES[[#This Row],[TRACK_TYPE_STANDARD_GAUGE_RAILTYPE_OHLE]:[TRACK_TYPE_STANDARD_GAUGE_RAILTYPE_NONE]],_xlfn.LAMBDA(_xlpm.r,OR(_xlpm.r))),FALSE)</f>
        <v>1</v>
      </c>
      <c r="AF370" s="38" t="b" cm="1">
        <f t="array" ref="AF370">IFERROR(_xlfn.BYROW(TRACK_TYPES[[#This Row],[TRACK_TYPE_NARROW_GAUGE_RAILTYPE_OHLE]:[TRACK_TYPE_NARROW_GAUGE_RAILTYPE_NONE]],_xlfn.LAMBDA(_xlpm.r,OR(_xlpm.r))),FALSE)</f>
        <v>0</v>
      </c>
      <c r="AG370" s="38" t="b" cm="1">
        <f t="array" ref="AG370">IFERROR(_xlfn.BYROW(TRACK_TYPES[[#This Row],[TRACK_TYPE_BROAD_GAUGE_RAILTYPE_OHLE]:[TRACK_TYPE_BROAD_GAUGE_RAILTYPE_NONE]],_xlfn.LAMBDA(_xlpm.r,OR(_xlpm.r))),FALSE)</f>
        <v>0</v>
      </c>
      <c r="AH3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0"/>
      <c r="AQ370"/>
      <c r="AR370"/>
    </row>
    <row r="371" spans="1:44" x14ac:dyDescent="0.35">
      <c r="A371" s="2" t="s">
        <v>3005</v>
      </c>
      <c r="B371" s="40" t="str">
        <f>_xlfn.XLOOKUP(PROPERTIES[[#This Row],[VEHIDCODE]],CONTROL[VEHIDCODE],CONTROL[ENGLISH])</f>
        <v>Werkspoor SAR ES</v>
      </c>
      <c r="N371" t="b">
        <v>1</v>
      </c>
      <c r="AC371" s="2"/>
      <c r="AD371" s="2" t="b">
        <f>LEN(_xlfn.CONCAT(TRACK_TYPES[[#This Row],[TRACK_TYPE_STANDARD_GAUGE_RAILTYPE_OHLE]:[TRACK_TYPE_MTRO]]))&gt;0</f>
        <v>1</v>
      </c>
      <c r="AE371" s="38" t="b" cm="1">
        <f t="array" ref="AE371">IFERROR(_xlfn.BYROW(TRACK_TYPES[[#This Row],[TRACK_TYPE_STANDARD_GAUGE_RAILTYPE_OHLE]:[TRACK_TYPE_STANDARD_GAUGE_RAILTYPE_NONE]],_xlfn.LAMBDA(_xlpm.r,OR(_xlpm.r))),FALSE)</f>
        <v>0</v>
      </c>
      <c r="AF371" s="38" t="b" cm="1">
        <f t="array" ref="AF371">IFERROR(_xlfn.BYROW(TRACK_TYPES[[#This Row],[TRACK_TYPE_NARROW_GAUGE_RAILTYPE_OHLE]:[TRACK_TYPE_NARROW_GAUGE_RAILTYPE_NONE]],_xlfn.LAMBDA(_xlpm.r,OR(_xlpm.r))),FALSE)</f>
        <v>1</v>
      </c>
      <c r="AG371" s="38" t="b" cm="1">
        <f t="array" ref="AG371">IFERROR(_xlfn.BYROW(TRACK_TYPES[[#This Row],[TRACK_TYPE_BROAD_GAUGE_RAILTYPE_OHLE]:[TRACK_TYPE_BROAD_GAUGE_RAILTYPE_NONE]],_xlfn.LAMBDA(_xlpm.r,OR(_xlpm.r))),FALSE)</f>
        <v>0</v>
      </c>
      <c r="AH3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71"/>
      <c r="AQ371"/>
      <c r="AR371"/>
    </row>
    <row r="372" spans="1:44" x14ac:dyDescent="0.35">
      <c r="A372" s="2" t="s">
        <v>3006</v>
      </c>
      <c r="B372" s="40" t="str">
        <f>_xlfn.XLOOKUP(PROPERTIES[[#This Row],[VEHIDCODE]],CONTROL[VEHIDCODE],CONTROL[ENGLISH])</f>
        <v>English Electric E [AEI E]</v>
      </c>
      <c r="F372" t="b">
        <v>1</v>
      </c>
      <c r="AC372" s="2"/>
      <c r="AD372" s="2" t="b">
        <f>LEN(_xlfn.CONCAT(TRACK_TYPES[[#This Row],[TRACK_TYPE_STANDARD_GAUGE_RAILTYPE_OHLE]:[TRACK_TYPE_MTRO]]))&gt;0</f>
        <v>1</v>
      </c>
      <c r="AE372" s="38" t="b" cm="1">
        <f t="array" ref="AE372">IFERROR(_xlfn.BYROW(TRACK_TYPES[[#This Row],[TRACK_TYPE_STANDARD_GAUGE_RAILTYPE_OHLE]:[TRACK_TYPE_STANDARD_GAUGE_RAILTYPE_NONE]],_xlfn.LAMBDA(_xlpm.r,OR(_xlpm.r))),FALSE)</f>
        <v>1</v>
      </c>
      <c r="AF372" s="38" t="b" cm="1">
        <f t="array" ref="AF372">IFERROR(_xlfn.BYROW(TRACK_TYPES[[#This Row],[TRACK_TYPE_NARROW_GAUGE_RAILTYPE_OHLE]:[TRACK_TYPE_NARROW_GAUGE_RAILTYPE_NONE]],_xlfn.LAMBDA(_xlpm.r,OR(_xlpm.r))),FALSE)</f>
        <v>0</v>
      </c>
      <c r="AG372" s="38" t="b" cm="1">
        <f t="array" ref="AG372">IFERROR(_xlfn.BYROW(TRACK_TYPES[[#This Row],[TRACK_TYPE_BROAD_GAUGE_RAILTYPE_OHLE]:[TRACK_TYPE_BROAD_GAUGE_RAILTYPE_NONE]],_xlfn.LAMBDA(_xlpm.r,OR(_xlpm.r))),FALSE)</f>
        <v>0</v>
      </c>
      <c r="AH3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2"/>
      <c r="AQ372"/>
      <c r="AR372"/>
    </row>
    <row r="373" spans="1:44" x14ac:dyDescent="0.35">
      <c r="A373" s="2" t="s">
        <v>3007</v>
      </c>
      <c r="B373" s="40" t="str">
        <f>_xlfn.XLOOKUP(PROPERTIES[[#This Row],[VEHIDCODE]],CONTROL[VEHIDCODE],CONTROL[ENGLISH])</f>
        <v>HCP 203E</v>
      </c>
      <c r="F373" t="b">
        <v>1</v>
      </c>
      <c r="AC373" s="2"/>
      <c r="AD373" s="2" t="b">
        <f>LEN(_xlfn.CONCAT(TRACK_TYPES[[#This Row],[TRACK_TYPE_STANDARD_GAUGE_RAILTYPE_OHLE]:[TRACK_TYPE_MTRO]]))&gt;0</f>
        <v>1</v>
      </c>
      <c r="AE373" s="38" t="b" cm="1">
        <f t="array" ref="AE373">IFERROR(_xlfn.BYROW(TRACK_TYPES[[#This Row],[TRACK_TYPE_STANDARD_GAUGE_RAILTYPE_OHLE]:[TRACK_TYPE_STANDARD_GAUGE_RAILTYPE_NONE]],_xlfn.LAMBDA(_xlpm.r,OR(_xlpm.r))),FALSE)</f>
        <v>1</v>
      </c>
      <c r="AF373" s="38" t="b" cm="1">
        <f t="array" ref="AF373">IFERROR(_xlfn.BYROW(TRACK_TYPES[[#This Row],[TRACK_TYPE_NARROW_GAUGE_RAILTYPE_OHLE]:[TRACK_TYPE_NARROW_GAUGE_RAILTYPE_NONE]],_xlfn.LAMBDA(_xlpm.r,OR(_xlpm.r))),FALSE)</f>
        <v>0</v>
      </c>
      <c r="AG373" s="38" t="b" cm="1">
        <f t="array" ref="AG373">IFERROR(_xlfn.BYROW(TRACK_TYPES[[#This Row],[TRACK_TYPE_BROAD_GAUGE_RAILTYPE_OHLE]:[TRACK_TYPE_BROAD_GAUGE_RAILTYPE_NONE]],_xlfn.LAMBDA(_xlpm.r,OR(_xlpm.r))),FALSE)</f>
        <v>0</v>
      </c>
      <c r="AH3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3"/>
      <c r="AQ373"/>
      <c r="AR373"/>
    </row>
    <row r="374" spans="1:44" x14ac:dyDescent="0.35">
      <c r="A374" s="2" t="s">
        <v>3008</v>
      </c>
      <c r="B374" s="40" t="str">
        <f>_xlfn.XLOOKUP(PROPERTIES[[#This Row],[VEHIDCODE]],CONTROL[VEHIDCODE],CONTROL[ENGLISH])</f>
        <v>Pafawag 104E</v>
      </c>
      <c r="F374" t="b">
        <v>1</v>
      </c>
      <c r="AC374" s="2"/>
      <c r="AD374" s="2" t="b">
        <f>LEN(_xlfn.CONCAT(TRACK_TYPES[[#This Row],[TRACK_TYPE_STANDARD_GAUGE_RAILTYPE_OHLE]:[TRACK_TYPE_MTRO]]))&gt;0</f>
        <v>1</v>
      </c>
      <c r="AE374" s="38" t="b" cm="1">
        <f t="array" ref="AE374">IFERROR(_xlfn.BYROW(TRACK_TYPES[[#This Row],[TRACK_TYPE_STANDARD_GAUGE_RAILTYPE_OHLE]:[TRACK_TYPE_STANDARD_GAUGE_RAILTYPE_NONE]],_xlfn.LAMBDA(_xlpm.r,OR(_xlpm.r))),FALSE)</f>
        <v>1</v>
      </c>
      <c r="AF374" s="38" t="b" cm="1">
        <f t="array" ref="AF374">IFERROR(_xlfn.BYROW(TRACK_TYPES[[#This Row],[TRACK_TYPE_NARROW_GAUGE_RAILTYPE_OHLE]:[TRACK_TYPE_NARROW_GAUGE_RAILTYPE_NONE]],_xlfn.LAMBDA(_xlpm.r,OR(_xlpm.r))),FALSE)</f>
        <v>0</v>
      </c>
      <c r="AG374" s="38" t="b" cm="1">
        <f t="array" ref="AG374">IFERROR(_xlfn.BYROW(TRACK_TYPES[[#This Row],[TRACK_TYPE_BROAD_GAUGE_RAILTYPE_OHLE]:[TRACK_TYPE_BROAD_GAUGE_RAILTYPE_NONE]],_xlfn.LAMBDA(_xlpm.r,OR(_xlpm.r))),FALSE)</f>
        <v>0</v>
      </c>
      <c r="AH3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4"/>
      <c r="AQ374"/>
      <c r="AR374"/>
    </row>
    <row r="375" spans="1:44" x14ac:dyDescent="0.35">
      <c r="A375" s="2" t="s">
        <v>3009</v>
      </c>
      <c r="B375" s="40" t="str">
        <f>_xlfn.XLOOKUP(PROPERTIES[[#This Row],[VEHIDCODE]],CONTROL[VEHIDCODE],CONTROL[ENGLISH])</f>
        <v>Skoda 98E</v>
      </c>
      <c r="F375" t="b">
        <v>1</v>
      </c>
      <c r="AC375" s="2"/>
      <c r="AD375" s="2" t="b">
        <f>LEN(_xlfn.CONCAT(TRACK_TYPES[[#This Row],[TRACK_TYPE_STANDARD_GAUGE_RAILTYPE_OHLE]:[TRACK_TYPE_MTRO]]))&gt;0</f>
        <v>1</v>
      </c>
      <c r="AE375" s="38" t="b" cm="1">
        <f t="array" ref="AE375">IFERROR(_xlfn.BYROW(TRACK_TYPES[[#This Row],[TRACK_TYPE_STANDARD_GAUGE_RAILTYPE_OHLE]:[TRACK_TYPE_STANDARD_GAUGE_RAILTYPE_NONE]],_xlfn.LAMBDA(_xlpm.r,OR(_xlpm.r))),FALSE)</f>
        <v>1</v>
      </c>
      <c r="AF375" s="38" t="b" cm="1">
        <f t="array" ref="AF375">IFERROR(_xlfn.BYROW(TRACK_TYPES[[#This Row],[TRACK_TYPE_NARROW_GAUGE_RAILTYPE_OHLE]:[TRACK_TYPE_NARROW_GAUGE_RAILTYPE_NONE]],_xlfn.LAMBDA(_xlpm.r,OR(_xlpm.r))),FALSE)</f>
        <v>0</v>
      </c>
      <c r="AG375" s="38" t="b" cm="1">
        <f t="array" ref="AG375">IFERROR(_xlfn.BYROW(TRACK_TYPES[[#This Row],[TRACK_TYPE_BROAD_GAUGE_RAILTYPE_OHLE]:[TRACK_TYPE_BROAD_GAUGE_RAILTYPE_NONE]],_xlfn.LAMBDA(_xlpm.r,OR(_xlpm.r))),FALSE)</f>
        <v>0</v>
      </c>
      <c r="AH3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5"/>
      <c r="AQ375"/>
      <c r="AR375"/>
    </row>
    <row r="376" spans="1:44" x14ac:dyDescent="0.35">
      <c r="A376" s="2" t="s">
        <v>3010</v>
      </c>
      <c r="B376" s="40" t="str">
        <f>_xlfn.XLOOKUP(PROPERTIES[[#This Row],[VEHIDCODE]],CONTROL[VEHIDCODE],CONTROL[ENGLISH])</f>
        <v>TIBB E.646</v>
      </c>
      <c r="F376" t="b">
        <v>1</v>
      </c>
      <c r="AC376" s="2"/>
      <c r="AD376" s="2" t="b">
        <f>LEN(_xlfn.CONCAT(TRACK_TYPES[[#This Row],[TRACK_TYPE_STANDARD_GAUGE_RAILTYPE_OHLE]:[TRACK_TYPE_MTRO]]))&gt;0</f>
        <v>1</v>
      </c>
      <c r="AE376" s="38" t="b" cm="1">
        <f t="array" ref="AE376">IFERROR(_xlfn.BYROW(TRACK_TYPES[[#This Row],[TRACK_TYPE_STANDARD_GAUGE_RAILTYPE_OHLE]:[TRACK_TYPE_STANDARD_GAUGE_RAILTYPE_NONE]],_xlfn.LAMBDA(_xlpm.r,OR(_xlpm.r))),FALSE)</f>
        <v>1</v>
      </c>
      <c r="AF376" s="38" t="b" cm="1">
        <f t="array" ref="AF376">IFERROR(_xlfn.BYROW(TRACK_TYPES[[#This Row],[TRACK_TYPE_NARROW_GAUGE_RAILTYPE_OHLE]:[TRACK_TYPE_NARROW_GAUGE_RAILTYPE_NONE]],_xlfn.LAMBDA(_xlpm.r,OR(_xlpm.r))),FALSE)</f>
        <v>0</v>
      </c>
      <c r="AG376" s="38" t="b" cm="1">
        <f t="array" ref="AG376">IFERROR(_xlfn.BYROW(TRACK_TYPES[[#This Row],[TRACK_TYPE_BROAD_GAUGE_RAILTYPE_OHLE]:[TRACK_TYPE_BROAD_GAUGE_RAILTYPE_NONE]],_xlfn.LAMBDA(_xlpm.r,OR(_xlpm.r))),FALSE)</f>
        <v>0</v>
      </c>
      <c r="AH3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6"/>
      <c r="AQ376"/>
      <c r="AR376"/>
    </row>
    <row r="377" spans="1:44" x14ac:dyDescent="0.35">
      <c r="A377" s="2" t="s">
        <v>3011</v>
      </c>
      <c r="B377" s="40" t="str">
        <f>_xlfn.XLOOKUP(PROPERTIES[[#This Row],[VEHIDCODE]],CONTROL[VEHIDCODE],CONTROL[ENGLISH])</f>
        <v>Breda E.424</v>
      </c>
      <c r="F377" t="b">
        <v>1</v>
      </c>
      <c r="AC377" s="2"/>
      <c r="AD377" s="2" t="b">
        <f>LEN(_xlfn.CONCAT(TRACK_TYPES[[#This Row],[TRACK_TYPE_STANDARD_GAUGE_RAILTYPE_OHLE]:[TRACK_TYPE_MTRO]]))&gt;0</f>
        <v>1</v>
      </c>
      <c r="AE377" s="38" t="b" cm="1">
        <f t="array" ref="AE377">IFERROR(_xlfn.BYROW(TRACK_TYPES[[#This Row],[TRACK_TYPE_STANDARD_GAUGE_RAILTYPE_OHLE]:[TRACK_TYPE_STANDARD_GAUGE_RAILTYPE_NONE]],_xlfn.LAMBDA(_xlpm.r,OR(_xlpm.r))),FALSE)</f>
        <v>1</v>
      </c>
      <c r="AF377" s="38" t="b" cm="1">
        <f t="array" ref="AF377">IFERROR(_xlfn.BYROW(TRACK_TYPES[[#This Row],[TRACK_TYPE_NARROW_GAUGE_RAILTYPE_OHLE]:[TRACK_TYPE_NARROW_GAUGE_RAILTYPE_NONE]],_xlfn.LAMBDA(_xlpm.r,OR(_xlpm.r))),FALSE)</f>
        <v>0</v>
      </c>
      <c r="AG377" s="38" t="b" cm="1">
        <f t="array" ref="AG377">IFERROR(_xlfn.BYROW(TRACK_TYPES[[#This Row],[TRACK_TYPE_BROAD_GAUGE_RAILTYPE_OHLE]:[TRACK_TYPE_BROAD_GAUGE_RAILTYPE_NONE]],_xlfn.LAMBDA(_xlpm.r,OR(_xlpm.r))),FALSE)</f>
        <v>0</v>
      </c>
      <c r="AH3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7"/>
      <c r="AQ377"/>
      <c r="AR377"/>
    </row>
    <row r="378" spans="1:44" x14ac:dyDescent="0.35">
      <c r="A378" s="2" t="s">
        <v>3012</v>
      </c>
      <c r="B378" s="40" t="str">
        <f>_xlfn.XLOOKUP(PROPERTIES[[#This Row],[VEHIDCODE]],CONTROL[VEHIDCODE],CONTROL[ENGLISH])</f>
        <v>Savigliano E.444</v>
      </c>
      <c r="F378" t="b">
        <v>1</v>
      </c>
      <c r="AC378" s="2"/>
      <c r="AD378" s="2" t="b">
        <f>LEN(_xlfn.CONCAT(TRACK_TYPES[[#This Row],[TRACK_TYPE_STANDARD_GAUGE_RAILTYPE_OHLE]:[TRACK_TYPE_MTRO]]))&gt;0</f>
        <v>1</v>
      </c>
      <c r="AE378" s="38" t="b" cm="1">
        <f t="array" ref="AE378">IFERROR(_xlfn.BYROW(TRACK_TYPES[[#This Row],[TRACK_TYPE_STANDARD_GAUGE_RAILTYPE_OHLE]:[TRACK_TYPE_STANDARD_GAUGE_RAILTYPE_NONE]],_xlfn.LAMBDA(_xlpm.r,OR(_xlpm.r))),FALSE)</f>
        <v>1</v>
      </c>
      <c r="AF378" s="38" t="b" cm="1">
        <f t="array" ref="AF378">IFERROR(_xlfn.BYROW(TRACK_TYPES[[#This Row],[TRACK_TYPE_NARROW_GAUGE_RAILTYPE_OHLE]:[TRACK_TYPE_NARROW_GAUGE_RAILTYPE_NONE]],_xlfn.LAMBDA(_xlpm.r,OR(_xlpm.r))),FALSE)</f>
        <v>0</v>
      </c>
      <c r="AG378" s="38" t="b" cm="1">
        <f t="array" ref="AG378">IFERROR(_xlfn.BYROW(TRACK_TYPES[[#This Row],[TRACK_TYPE_BROAD_GAUGE_RAILTYPE_OHLE]:[TRACK_TYPE_BROAD_GAUGE_RAILTYPE_NONE]],_xlfn.LAMBDA(_xlpm.r,OR(_xlpm.r))),FALSE)</f>
        <v>0</v>
      </c>
      <c r="AH3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8"/>
      <c r="AQ378"/>
      <c r="AR378"/>
    </row>
    <row r="379" spans="1:44" x14ac:dyDescent="0.35">
      <c r="A379" s="2" t="s">
        <v>3013</v>
      </c>
      <c r="B379" s="40" t="str">
        <f>_xlfn.XLOOKUP(PROPERTIES[[#This Row],[VEHIDCODE]],CONTROL[VEHIDCODE],CONTROL[ENGLISH])</f>
        <v>Fiat E.633</v>
      </c>
      <c r="F379" t="b">
        <v>1</v>
      </c>
      <c r="AC379" s="2"/>
      <c r="AD379" s="2" t="b">
        <f>LEN(_xlfn.CONCAT(TRACK_TYPES[[#This Row],[TRACK_TYPE_STANDARD_GAUGE_RAILTYPE_OHLE]:[TRACK_TYPE_MTRO]]))&gt;0</f>
        <v>1</v>
      </c>
      <c r="AE379" s="38" t="b" cm="1">
        <f t="array" ref="AE379">IFERROR(_xlfn.BYROW(TRACK_TYPES[[#This Row],[TRACK_TYPE_STANDARD_GAUGE_RAILTYPE_OHLE]:[TRACK_TYPE_STANDARD_GAUGE_RAILTYPE_NONE]],_xlfn.LAMBDA(_xlpm.r,OR(_xlpm.r))),FALSE)</f>
        <v>1</v>
      </c>
      <c r="AF379" s="38" t="b" cm="1">
        <f t="array" ref="AF379">IFERROR(_xlfn.BYROW(TRACK_TYPES[[#This Row],[TRACK_TYPE_NARROW_GAUGE_RAILTYPE_OHLE]:[TRACK_TYPE_NARROW_GAUGE_RAILTYPE_NONE]],_xlfn.LAMBDA(_xlpm.r,OR(_xlpm.r))),FALSE)</f>
        <v>0</v>
      </c>
      <c r="AG379" s="38" t="b" cm="1">
        <f t="array" ref="AG379">IFERROR(_xlfn.BYROW(TRACK_TYPES[[#This Row],[TRACK_TYPE_BROAD_GAUGE_RAILTYPE_OHLE]:[TRACK_TYPE_BROAD_GAUGE_RAILTYPE_NONE]],_xlfn.LAMBDA(_xlpm.r,OR(_xlpm.r))),FALSE)</f>
        <v>0</v>
      </c>
      <c r="AH3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9"/>
      <c r="AQ379"/>
      <c r="AR379"/>
    </row>
    <row r="380" spans="1:44" x14ac:dyDescent="0.35">
      <c r="A380" s="2" t="s">
        <v>3014</v>
      </c>
      <c r="B380" s="40" t="str">
        <f>_xlfn.XLOOKUP(PROPERTIES[[#This Row],[VEHIDCODE]],CONTROL[VEHIDCODE],CONTROL[ENGLISH])</f>
        <v>BN/ACEC 25.5</v>
      </c>
      <c r="F380" t="b">
        <v>1</v>
      </c>
      <c r="G380" t="b">
        <v>1</v>
      </c>
      <c r="AC380" s="2"/>
      <c r="AD380" s="2" t="b">
        <f>LEN(_xlfn.CONCAT(TRACK_TYPES[[#This Row],[TRACK_TYPE_STANDARD_GAUGE_RAILTYPE_OHLE]:[TRACK_TYPE_MTRO]]))&gt;0</f>
        <v>1</v>
      </c>
      <c r="AE380" s="38" t="b" cm="1">
        <f t="array" ref="AE380">IFERROR(_xlfn.BYROW(TRACK_TYPES[[#This Row],[TRACK_TYPE_STANDARD_GAUGE_RAILTYPE_OHLE]:[TRACK_TYPE_STANDARD_GAUGE_RAILTYPE_NONE]],_xlfn.LAMBDA(_xlpm.r,OR(_xlpm.r))),FALSE)</f>
        <v>1</v>
      </c>
      <c r="AF380" s="38" t="b" cm="1">
        <f t="array" ref="AF380">IFERROR(_xlfn.BYROW(TRACK_TYPES[[#This Row],[TRACK_TYPE_NARROW_GAUGE_RAILTYPE_OHLE]:[TRACK_TYPE_NARROW_GAUGE_RAILTYPE_NONE]],_xlfn.LAMBDA(_xlpm.r,OR(_xlpm.r))),FALSE)</f>
        <v>0</v>
      </c>
      <c r="AG380" s="38" t="b" cm="1">
        <f t="array" ref="AG380">IFERROR(_xlfn.BYROW(TRACK_TYPES[[#This Row],[TRACK_TYPE_BROAD_GAUGE_RAILTYPE_OHLE]:[TRACK_TYPE_BROAD_GAUGE_RAILTYPE_NONE]],_xlfn.LAMBDA(_xlpm.r,OR(_xlpm.r))),FALSE)</f>
        <v>0</v>
      </c>
      <c r="AH3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80"/>
      <c r="AQ380"/>
      <c r="AR380"/>
    </row>
    <row r="381" spans="1:44" x14ac:dyDescent="0.35">
      <c r="A381" s="2" t="s">
        <v>3015</v>
      </c>
      <c r="B381" s="40" t="str">
        <f>_xlfn.XLOOKUP(PROPERTIES[[#This Row],[VEHIDCODE]],CONTROL[VEHIDCODE],CONTROL[ENGLISH])</f>
        <v>Krauss Maffei/CAF 250</v>
      </c>
      <c r="V381" t="b">
        <v>1</v>
      </c>
      <c r="AC381" s="2"/>
      <c r="AD381" s="2" t="b">
        <f>LEN(_xlfn.CONCAT(TRACK_TYPES[[#This Row],[TRACK_TYPE_STANDARD_GAUGE_RAILTYPE_OHLE]:[TRACK_TYPE_MTRO]]))&gt;0</f>
        <v>1</v>
      </c>
      <c r="AE381" s="38" t="b" cm="1">
        <f t="array" ref="AE381">IFERROR(_xlfn.BYROW(TRACK_TYPES[[#This Row],[TRACK_TYPE_STANDARD_GAUGE_RAILTYPE_OHLE]:[TRACK_TYPE_STANDARD_GAUGE_RAILTYPE_NONE]],_xlfn.LAMBDA(_xlpm.r,OR(_xlpm.r))),FALSE)</f>
        <v>0</v>
      </c>
      <c r="AF381" s="38" t="b" cm="1">
        <f t="array" ref="AF381">IFERROR(_xlfn.BYROW(TRACK_TYPES[[#This Row],[TRACK_TYPE_NARROW_GAUGE_RAILTYPE_OHLE]:[TRACK_TYPE_NARROW_GAUGE_RAILTYPE_NONE]],_xlfn.LAMBDA(_xlpm.r,OR(_xlpm.r))),FALSE)</f>
        <v>0</v>
      </c>
      <c r="AG381" s="38" t="b" cm="1">
        <f t="array" ref="AG381">IFERROR(_xlfn.BYROW(TRACK_TYPES[[#This Row],[TRACK_TYPE_BROAD_GAUGE_RAILTYPE_OHLE]:[TRACK_TYPE_BROAD_GAUGE_RAILTYPE_NONE]],_xlfn.LAMBDA(_xlpm.r,OR(_xlpm.r))),FALSE)</f>
        <v>1</v>
      </c>
      <c r="AH3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81"/>
      <c r="AQ381"/>
      <c r="AR381"/>
    </row>
    <row r="382" spans="1:44" x14ac:dyDescent="0.35">
      <c r="A382" s="2" t="s">
        <v>3016</v>
      </c>
      <c r="B382" s="40" t="str">
        <f>_xlfn.XLOOKUP(PROPERTIES[[#This Row],[VEHIDCODE]],CONTROL[VEHIDCODE],CONTROL[ENGLISH])</f>
        <v>EF-E 29 GE 2-C+C-2</v>
      </c>
      <c r="V382" t="b">
        <v>1</v>
      </c>
      <c r="AC382" s="2"/>
      <c r="AD382" s="2" t="b">
        <f>LEN(_xlfn.CONCAT(TRACK_TYPES[[#This Row],[TRACK_TYPE_STANDARD_GAUGE_RAILTYPE_OHLE]:[TRACK_TYPE_MTRO]]))&gt;0</f>
        <v>1</v>
      </c>
      <c r="AE382" s="38" t="b" cm="1">
        <f t="array" ref="AE382">IFERROR(_xlfn.BYROW(TRACK_TYPES[[#This Row],[TRACK_TYPE_STANDARD_GAUGE_RAILTYPE_OHLE]:[TRACK_TYPE_STANDARD_GAUGE_RAILTYPE_NONE]],_xlfn.LAMBDA(_xlpm.r,OR(_xlpm.r))),FALSE)</f>
        <v>0</v>
      </c>
      <c r="AF382" s="38" t="b" cm="1">
        <f t="array" ref="AF382">IFERROR(_xlfn.BYROW(TRACK_TYPES[[#This Row],[TRACK_TYPE_NARROW_GAUGE_RAILTYPE_OHLE]:[TRACK_TYPE_NARROW_GAUGE_RAILTYPE_NONE]],_xlfn.LAMBDA(_xlpm.r,OR(_xlpm.r))),FALSE)</f>
        <v>0</v>
      </c>
      <c r="AG382" s="38" t="b" cm="1">
        <f t="array" ref="AG382">IFERROR(_xlfn.BYROW(TRACK_TYPES[[#This Row],[TRACK_TYPE_BROAD_GAUGE_RAILTYPE_OHLE]:[TRACK_TYPE_BROAD_GAUGE_RAILTYPE_NONE]],_xlfn.LAMBDA(_xlpm.r,OR(_xlpm.r))),FALSE)</f>
        <v>1</v>
      </c>
      <c r="AH3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82"/>
      <c r="AQ382"/>
      <c r="AR382"/>
    </row>
    <row r="383" spans="1:44" x14ac:dyDescent="0.35">
      <c r="A383" s="2" t="s">
        <v>3017</v>
      </c>
      <c r="B383" s="40" t="str">
        <f>_xlfn.XLOOKUP(PROPERTIES[[#This Row],[VEHIDCODE]],CONTROL[VEHIDCODE],CONTROL[ENGLISH])</f>
        <v>GAI/Breda E-17</v>
      </c>
      <c r="V383" t="b">
        <v>1</v>
      </c>
      <c r="AC383" s="2"/>
      <c r="AD383" s="2" t="b">
        <f>LEN(_xlfn.CONCAT(TRACK_TYPES[[#This Row],[TRACK_TYPE_STANDARD_GAUGE_RAILTYPE_OHLE]:[TRACK_TYPE_MTRO]]))&gt;0</f>
        <v>1</v>
      </c>
      <c r="AE383" s="38" t="b" cm="1">
        <f t="array" ref="AE383">IFERROR(_xlfn.BYROW(TRACK_TYPES[[#This Row],[TRACK_TYPE_STANDARD_GAUGE_RAILTYPE_OHLE]:[TRACK_TYPE_STANDARD_GAUGE_RAILTYPE_NONE]],_xlfn.LAMBDA(_xlpm.r,OR(_xlpm.r))),FALSE)</f>
        <v>0</v>
      </c>
      <c r="AF383" s="38" t="b" cm="1">
        <f t="array" ref="AF383">IFERROR(_xlfn.BYROW(TRACK_TYPES[[#This Row],[TRACK_TYPE_NARROW_GAUGE_RAILTYPE_OHLE]:[TRACK_TYPE_NARROW_GAUGE_RAILTYPE_NONE]],_xlfn.LAMBDA(_xlpm.r,OR(_xlpm.r))),FALSE)</f>
        <v>0</v>
      </c>
      <c r="AG383" s="38" t="b" cm="1">
        <f t="array" ref="AG383">IFERROR(_xlfn.BYROW(TRACK_TYPES[[#This Row],[TRACK_TYPE_BROAD_GAUGE_RAILTYPE_OHLE]:[TRACK_TYPE_BROAD_GAUGE_RAILTYPE_NONE]],_xlfn.LAMBDA(_xlpm.r,OR(_xlpm.r))),FALSE)</f>
        <v>1</v>
      </c>
      <c r="AH3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83"/>
      <c r="AQ383"/>
      <c r="AR383"/>
    </row>
    <row r="384" spans="1:44" x14ac:dyDescent="0.35">
      <c r="A384" s="2" t="s">
        <v>3018</v>
      </c>
      <c r="B384" s="40" t="str">
        <f>_xlfn.XLOOKUP(PROPERTIES[[#This Row],[VEHIDCODE]],CONTROL[VEHIDCODE],CONTROL[ENGLISH])</f>
        <v>Alsthom BB 8100</v>
      </c>
      <c r="F384" t="b">
        <v>1</v>
      </c>
      <c r="G384" t="b">
        <v>1</v>
      </c>
      <c r="AC384" s="2"/>
      <c r="AD384" s="2" t="b">
        <f>LEN(_xlfn.CONCAT(TRACK_TYPES[[#This Row],[TRACK_TYPE_STANDARD_GAUGE_RAILTYPE_OHLE]:[TRACK_TYPE_MTRO]]))&gt;0</f>
        <v>1</v>
      </c>
      <c r="AE384" s="38" t="b" cm="1">
        <f t="array" ref="AE384">IFERROR(_xlfn.BYROW(TRACK_TYPES[[#This Row],[TRACK_TYPE_STANDARD_GAUGE_RAILTYPE_OHLE]:[TRACK_TYPE_STANDARD_GAUGE_RAILTYPE_NONE]],_xlfn.LAMBDA(_xlpm.r,OR(_xlpm.r))),FALSE)</f>
        <v>1</v>
      </c>
      <c r="AF384" s="38" t="b" cm="1">
        <f t="array" ref="AF384">IFERROR(_xlfn.BYROW(TRACK_TYPES[[#This Row],[TRACK_TYPE_NARROW_GAUGE_RAILTYPE_OHLE]:[TRACK_TYPE_NARROW_GAUGE_RAILTYPE_NONE]],_xlfn.LAMBDA(_xlpm.r,OR(_xlpm.r))),FALSE)</f>
        <v>0</v>
      </c>
      <c r="AG384" s="38" t="b" cm="1">
        <f t="array" ref="AG384">IFERROR(_xlfn.BYROW(TRACK_TYPES[[#This Row],[TRACK_TYPE_BROAD_GAUGE_RAILTYPE_OHLE]:[TRACK_TYPE_BROAD_GAUGE_RAILTYPE_NONE]],_xlfn.LAMBDA(_xlpm.r,OR(_xlpm.r))),FALSE)</f>
        <v>0</v>
      </c>
      <c r="AH3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84"/>
      <c r="AQ384"/>
      <c r="AR384"/>
    </row>
    <row r="385" spans="1:44" x14ac:dyDescent="0.35">
      <c r="A385" s="2" t="s">
        <v>3019</v>
      </c>
      <c r="B385" s="40" t="str">
        <f>_xlfn.XLOOKUP(PROPERTIES[[#This Row],[VEHIDCODE]],CONTROL[VEHIDCODE],CONTROL[ENGLISH])</f>
        <v>Vulcan Foundry-EE EM/1</v>
      </c>
      <c r="W385" t="b">
        <v>1</v>
      </c>
      <c r="AC385" s="2"/>
      <c r="AD385" s="2" t="b">
        <f>LEN(_xlfn.CONCAT(TRACK_TYPES[[#This Row],[TRACK_TYPE_STANDARD_GAUGE_RAILTYPE_OHLE]:[TRACK_TYPE_MTRO]]))&gt;0</f>
        <v>1</v>
      </c>
      <c r="AE385" s="38" t="b" cm="1">
        <f t="array" ref="AE385">IFERROR(_xlfn.BYROW(TRACK_TYPES[[#This Row],[TRACK_TYPE_STANDARD_GAUGE_RAILTYPE_OHLE]:[TRACK_TYPE_STANDARD_GAUGE_RAILTYPE_NONE]],_xlfn.LAMBDA(_xlpm.r,OR(_xlpm.r))),FALSE)</f>
        <v>0</v>
      </c>
      <c r="AF385" s="38" t="b" cm="1">
        <f t="array" ref="AF385">IFERROR(_xlfn.BYROW(TRACK_TYPES[[#This Row],[TRACK_TYPE_NARROW_GAUGE_RAILTYPE_OHLE]:[TRACK_TYPE_NARROW_GAUGE_RAILTYPE_NONE]],_xlfn.LAMBDA(_xlpm.r,OR(_xlpm.r))),FALSE)</f>
        <v>0</v>
      </c>
      <c r="AG385" s="38" t="b" cm="1">
        <f t="array" ref="AG385">IFERROR(_xlfn.BYROW(TRACK_TYPES[[#This Row],[TRACK_TYPE_BROAD_GAUGE_RAILTYPE_OHLE]:[TRACK_TYPE_BROAD_GAUGE_RAILTYPE_NONE]],_xlfn.LAMBDA(_xlpm.r,OR(_xlpm.r))),FALSE)</f>
        <v>1</v>
      </c>
      <c r="AH3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85"/>
      <c r="AQ385"/>
      <c r="AR385"/>
    </row>
    <row r="386" spans="1:44" x14ac:dyDescent="0.35">
      <c r="A386" s="2" t="s">
        <v>3020</v>
      </c>
      <c r="B386" s="40" t="str">
        <f>_xlfn.XLOOKUP(PROPERTIES[[#This Row],[VEHIDCODE]],CONTROL[VEHIDCODE],CONTROL[ENGLISH])</f>
        <v>Union Carriage &amp; Wagon E38</v>
      </c>
      <c r="N386" t="b">
        <v>1</v>
      </c>
      <c r="AC386" s="2"/>
      <c r="AD386" s="2" t="b">
        <f>LEN(_xlfn.CONCAT(TRACK_TYPES[[#This Row],[TRACK_TYPE_STANDARD_GAUGE_RAILTYPE_OHLE]:[TRACK_TYPE_MTRO]]))&gt;0</f>
        <v>1</v>
      </c>
      <c r="AE386" s="38" t="b" cm="1">
        <f t="array" ref="AE386">IFERROR(_xlfn.BYROW(TRACK_TYPES[[#This Row],[TRACK_TYPE_STANDARD_GAUGE_RAILTYPE_OHLE]:[TRACK_TYPE_STANDARD_GAUGE_RAILTYPE_NONE]],_xlfn.LAMBDA(_xlpm.r,OR(_xlpm.r))),FALSE)</f>
        <v>0</v>
      </c>
      <c r="AF386" s="38" t="b" cm="1">
        <f t="array" ref="AF386">IFERROR(_xlfn.BYROW(TRACK_TYPES[[#This Row],[TRACK_TYPE_NARROW_GAUGE_RAILTYPE_OHLE]:[TRACK_TYPE_NARROW_GAUGE_RAILTYPE_NONE]],_xlfn.LAMBDA(_xlpm.r,OR(_xlpm.r))),FALSE)</f>
        <v>1</v>
      </c>
      <c r="AG386" s="38" t="b" cm="1">
        <f t="array" ref="AG386">IFERROR(_xlfn.BYROW(TRACK_TYPES[[#This Row],[TRACK_TYPE_BROAD_GAUGE_RAILTYPE_OHLE]:[TRACK_TYPE_BROAD_GAUGE_RAILTYPE_NONE]],_xlfn.LAMBDA(_xlpm.r,OR(_xlpm.r))),FALSE)</f>
        <v>0</v>
      </c>
      <c r="AH3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86"/>
      <c r="AQ386"/>
      <c r="AR386"/>
    </row>
    <row r="387" spans="1:44" x14ac:dyDescent="0.35">
      <c r="A387" s="2" t="s">
        <v>3021</v>
      </c>
      <c r="B387" s="40" t="str">
        <f>_xlfn.XLOOKUP(PROPERTIES[[#This Row],[VEHIDCODE]],CONTROL[VEHIDCODE],CONTROL[ENGLISH])</f>
        <v>Mitsubishi series 269</v>
      </c>
      <c r="V387" t="b">
        <v>1</v>
      </c>
      <c r="AC387" s="2"/>
      <c r="AD387" s="2" t="b">
        <f>LEN(_xlfn.CONCAT(TRACK_TYPES[[#This Row],[TRACK_TYPE_STANDARD_GAUGE_RAILTYPE_OHLE]:[TRACK_TYPE_MTRO]]))&gt;0</f>
        <v>1</v>
      </c>
      <c r="AE387" s="38" t="b" cm="1">
        <f t="array" ref="AE387">IFERROR(_xlfn.BYROW(TRACK_TYPES[[#This Row],[TRACK_TYPE_STANDARD_GAUGE_RAILTYPE_OHLE]:[TRACK_TYPE_STANDARD_GAUGE_RAILTYPE_NONE]],_xlfn.LAMBDA(_xlpm.r,OR(_xlpm.r))),FALSE)</f>
        <v>0</v>
      </c>
      <c r="AF387" s="38" t="b" cm="1">
        <f t="array" ref="AF387">IFERROR(_xlfn.BYROW(TRACK_TYPES[[#This Row],[TRACK_TYPE_NARROW_GAUGE_RAILTYPE_OHLE]:[TRACK_TYPE_NARROW_GAUGE_RAILTYPE_NONE]],_xlfn.LAMBDA(_xlpm.r,OR(_xlpm.r))),FALSE)</f>
        <v>0</v>
      </c>
      <c r="AG387" s="38" t="b" cm="1">
        <f t="array" ref="AG387">IFERROR(_xlfn.BYROW(TRACK_TYPES[[#This Row],[TRACK_TYPE_BROAD_GAUGE_RAILTYPE_OHLE]:[TRACK_TYPE_BROAD_GAUGE_RAILTYPE_NONE]],_xlfn.LAMBDA(_xlpm.r,OR(_xlpm.r))),FALSE)</f>
        <v>1</v>
      </c>
      <c r="AH3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87"/>
      <c r="AQ387"/>
      <c r="AR387"/>
    </row>
    <row r="388" spans="1:44" x14ac:dyDescent="0.35">
      <c r="A388" s="2" t="s">
        <v>3022</v>
      </c>
      <c r="B388" s="40" t="str">
        <f>_xlfn.XLOOKUP(PROPERTIES[[#This Row],[VEHIDCODE]],CONTROL[VEHIDCODE],CONTROL[ENGLISH])</f>
        <v>Skoda 69E</v>
      </c>
      <c r="D388" t="b">
        <v>1</v>
      </c>
      <c r="F388" t="b">
        <v>1</v>
      </c>
      <c r="AC388" s="2"/>
      <c r="AD388" s="2" t="b">
        <f>LEN(_xlfn.CONCAT(TRACK_TYPES[[#This Row],[TRACK_TYPE_STANDARD_GAUGE_RAILTYPE_OHLE]:[TRACK_TYPE_MTRO]]))&gt;0</f>
        <v>1</v>
      </c>
      <c r="AE388" s="38" t="b" cm="1">
        <f t="array" ref="AE388">IFERROR(_xlfn.BYROW(TRACK_TYPES[[#This Row],[TRACK_TYPE_STANDARD_GAUGE_RAILTYPE_OHLE]:[TRACK_TYPE_STANDARD_GAUGE_RAILTYPE_NONE]],_xlfn.LAMBDA(_xlpm.r,OR(_xlpm.r))),FALSE)</f>
        <v>1</v>
      </c>
      <c r="AF388" s="38" t="b" cm="1">
        <f t="array" ref="AF388">IFERROR(_xlfn.BYROW(TRACK_TYPES[[#This Row],[TRACK_TYPE_NARROW_GAUGE_RAILTYPE_OHLE]:[TRACK_TYPE_NARROW_GAUGE_RAILTYPE_NONE]],_xlfn.LAMBDA(_xlpm.r,OR(_xlpm.r))),FALSE)</f>
        <v>0</v>
      </c>
      <c r="AG388" s="38" t="b" cm="1">
        <f t="array" ref="AG388">IFERROR(_xlfn.BYROW(TRACK_TYPES[[#This Row],[TRACK_TYPE_BROAD_GAUGE_RAILTYPE_OHLE]:[TRACK_TYPE_BROAD_GAUGE_RAILTYPE_NONE]],_xlfn.LAMBDA(_xlpm.r,OR(_xlpm.r))),FALSE)</f>
        <v>0</v>
      </c>
      <c r="AH3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88"/>
      <c r="AQ388"/>
      <c r="AR388"/>
    </row>
    <row r="389" spans="1:44" x14ac:dyDescent="0.35">
      <c r="A389" s="2" t="s">
        <v>3023</v>
      </c>
      <c r="B389" s="40" t="str">
        <f>_xlfn.XLOOKUP(PROPERTIES[[#This Row],[VEHIDCODE]],CONTROL[VEHIDCODE],CONTROL[ENGLISH])</f>
        <v>AEG/Skabo EL7</v>
      </c>
      <c r="E389" t="b">
        <v>1</v>
      </c>
      <c r="AC389" s="2"/>
      <c r="AD389" s="2" t="b">
        <f>LEN(_xlfn.CONCAT(TRACK_TYPES[[#This Row],[TRACK_TYPE_STANDARD_GAUGE_RAILTYPE_OHLE]:[TRACK_TYPE_MTRO]]))&gt;0</f>
        <v>1</v>
      </c>
      <c r="AE389" s="38" t="b" cm="1">
        <f t="array" ref="AE389">IFERROR(_xlfn.BYROW(TRACK_TYPES[[#This Row],[TRACK_TYPE_STANDARD_GAUGE_RAILTYPE_OHLE]:[TRACK_TYPE_STANDARD_GAUGE_RAILTYPE_NONE]],_xlfn.LAMBDA(_xlpm.r,OR(_xlpm.r))),FALSE)</f>
        <v>1</v>
      </c>
      <c r="AF389" s="38" t="b" cm="1">
        <f t="array" ref="AF389">IFERROR(_xlfn.BYROW(TRACK_TYPES[[#This Row],[TRACK_TYPE_NARROW_GAUGE_RAILTYPE_OHLE]:[TRACK_TYPE_NARROW_GAUGE_RAILTYPE_NONE]],_xlfn.LAMBDA(_xlpm.r,OR(_xlpm.r))),FALSE)</f>
        <v>0</v>
      </c>
      <c r="AG389" s="38" t="b" cm="1">
        <f t="array" ref="AG389">IFERROR(_xlfn.BYROW(TRACK_TYPES[[#This Row],[TRACK_TYPE_BROAD_GAUGE_RAILTYPE_OHLE]:[TRACK_TYPE_BROAD_GAUGE_RAILTYPE_NONE]],_xlfn.LAMBDA(_xlpm.r,OR(_xlpm.r))),FALSE)</f>
        <v>0</v>
      </c>
      <c r="AH3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89"/>
      <c r="AQ389"/>
      <c r="AR389"/>
    </row>
    <row r="390" spans="1:44" x14ac:dyDescent="0.35">
      <c r="A390" s="2" t="s">
        <v>3024</v>
      </c>
      <c r="B390" s="40" t="str">
        <f>_xlfn.XLOOKUP(PROPERTIES[[#This Row],[VEHIDCODE]],CONTROL[VEHIDCODE],CONTROL[ENGLISH])</f>
        <v xml:space="preserve">Westinghouse FF-1 'Big Liz' </v>
      </c>
      <c r="E390" t="b">
        <v>1</v>
      </c>
      <c r="AC390" s="2"/>
      <c r="AD390" s="2" t="b">
        <f>LEN(_xlfn.CONCAT(TRACK_TYPES[[#This Row],[TRACK_TYPE_STANDARD_GAUGE_RAILTYPE_OHLE]:[TRACK_TYPE_MTRO]]))&gt;0</f>
        <v>1</v>
      </c>
      <c r="AE390" s="38" t="b" cm="1">
        <f t="array" ref="AE390">IFERROR(_xlfn.BYROW(TRACK_TYPES[[#This Row],[TRACK_TYPE_STANDARD_GAUGE_RAILTYPE_OHLE]:[TRACK_TYPE_STANDARD_GAUGE_RAILTYPE_NONE]],_xlfn.LAMBDA(_xlpm.r,OR(_xlpm.r))),FALSE)</f>
        <v>1</v>
      </c>
      <c r="AF390" s="38" t="b" cm="1">
        <f t="array" ref="AF390">IFERROR(_xlfn.BYROW(TRACK_TYPES[[#This Row],[TRACK_TYPE_NARROW_GAUGE_RAILTYPE_OHLE]:[TRACK_TYPE_NARROW_GAUGE_RAILTYPE_NONE]],_xlfn.LAMBDA(_xlpm.r,OR(_xlpm.r))),FALSE)</f>
        <v>0</v>
      </c>
      <c r="AG390" s="38" t="b" cm="1">
        <f t="array" ref="AG390">IFERROR(_xlfn.BYROW(TRACK_TYPES[[#This Row],[TRACK_TYPE_BROAD_GAUGE_RAILTYPE_OHLE]:[TRACK_TYPE_BROAD_GAUGE_RAILTYPE_NONE]],_xlfn.LAMBDA(_xlpm.r,OR(_xlpm.r))),FALSE)</f>
        <v>0</v>
      </c>
      <c r="AH3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0"/>
      <c r="AQ390"/>
      <c r="AR390"/>
    </row>
    <row r="391" spans="1:44" x14ac:dyDescent="0.35">
      <c r="A391" s="2" t="s">
        <v>3025</v>
      </c>
      <c r="B391" s="40" t="str">
        <f>_xlfn.XLOOKUP(PROPERTIES[[#This Row],[VEHIDCODE]],CONTROL[VEHIDCODE],CONTROL[ENGLISH])</f>
        <v>ELIN/Floridsdorf 1161</v>
      </c>
      <c r="E391" t="b">
        <v>1</v>
      </c>
      <c r="AC391" s="2"/>
      <c r="AD391" s="2" t="b">
        <f>LEN(_xlfn.CONCAT(TRACK_TYPES[[#This Row],[TRACK_TYPE_STANDARD_GAUGE_RAILTYPE_OHLE]:[TRACK_TYPE_MTRO]]))&gt;0</f>
        <v>1</v>
      </c>
      <c r="AE391" s="38" t="b" cm="1">
        <f t="array" ref="AE391">IFERROR(_xlfn.BYROW(TRACK_TYPES[[#This Row],[TRACK_TYPE_STANDARD_GAUGE_RAILTYPE_OHLE]:[TRACK_TYPE_STANDARD_GAUGE_RAILTYPE_NONE]],_xlfn.LAMBDA(_xlpm.r,OR(_xlpm.r))),FALSE)</f>
        <v>1</v>
      </c>
      <c r="AF391" s="38" t="b" cm="1">
        <f t="array" ref="AF391">IFERROR(_xlfn.BYROW(TRACK_TYPES[[#This Row],[TRACK_TYPE_NARROW_GAUGE_RAILTYPE_OHLE]:[TRACK_TYPE_NARROW_GAUGE_RAILTYPE_NONE]],_xlfn.LAMBDA(_xlpm.r,OR(_xlpm.r))),FALSE)</f>
        <v>0</v>
      </c>
      <c r="AG391" s="38" t="b" cm="1">
        <f t="array" ref="AG391">IFERROR(_xlfn.BYROW(TRACK_TYPES[[#This Row],[TRACK_TYPE_BROAD_GAUGE_RAILTYPE_OHLE]:[TRACK_TYPE_BROAD_GAUGE_RAILTYPE_NONE]],_xlfn.LAMBDA(_xlpm.r,OR(_xlpm.r))),FALSE)</f>
        <v>0</v>
      </c>
      <c r="AH3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1"/>
      <c r="AQ391"/>
      <c r="AR391"/>
    </row>
    <row r="392" spans="1:44" x14ac:dyDescent="0.35">
      <c r="A392" s="2" t="s">
        <v>3026</v>
      </c>
      <c r="B392" s="40" t="str">
        <f>_xlfn.XLOOKUP(PROPERTIES[[#This Row],[VEHIDCODE]],CONTROL[VEHIDCODE],CONTROL[ENGLISH])</f>
        <v>Maffei/SSW Lok 5 'Adolphine'</v>
      </c>
      <c r="E392" t="b">
        <v>1</v>
      </c>
      <c r="AC392" s="2"/>
      <c r="AD392" s="2" t="b">
        <f>LEN(_xlfn.CONCAT(TRACK_TYPES[[#This Row],[TRACK_TYPE_STANDARD_GAUGE_RAILTYPE_OHLE]:[TRACK_TYPE_MTRO]]))&gt;0</f>
        <v>1</v>
      </c>
      <c r="AE392" s="38" t="b" cm="1">
        <f t="array" ref="AE392">IFERROR(_xlfn.BYROW(TRACK_TYPES[[#This Row],[TRACK_TYPE_STANDARD_GAUGE_RAILTYPE_OHLE]:[TRACK_TYPE_STANDARD_GAUGE_RAILTYPE_NONE]],_xlfn.LAMBDA(_xlpm.r,OR(_xlpm.r))),FALSE)</f>
        <v>1</v>
      </c>
      <c r="AF392" s="38" t="b" cm="1">
        <f t="array" ref="AF392">IFERROR(_xlfn.BYROW(TRACK_TYPES[[#This Row],[TRACK_TYPE_NARROW_GAUGE_RAILTYPE_OHLE]:[TRACK_TYPE_NARROW_GAUGE_RAILTYPE_NONE]],_xlfn.LAMBDA(_xlpm.r,OR(_xlpm.r))),FALSE)</f>
        <v>0</v>
      </c>
      <c r="AG392" s="38" t="b" cm="1">
        <f t="array" ref="AG392">IFERROR(_xlfn.BYROW(TRACK_TYPES[[#This Row],[TRACK_TYPE_BROAD_GAUGE_RAILTYPE_OHLE]:[TRACK_TYPE_BROAD_GAUGE_RAILTYPE_NONE]],_xlfn.LAMBDA(_xlpm.r,OR(_xlpm.r))),FALSE)</f>
        <v>0</v>
      </c>
      <c r="AH3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2"/>
      <c r="AQ392"/>
      <c r="AR392"/>
    </row>
    <row r="393" spans="1:44" x14ac:dyDescent="0.35">
      <c r="A393" s="2" t="s">
        <v>3027</v>
      </c>
      <c r="B393" s="40" t="str">
        <f>_xlfn.XLOOKUP(PROPERTIES[[#This Row],[VEHIDCODE]],CONTROL[VEHIDCODE],CONTROL[ENGLISH])</f>
        <v>Thune/ASEA EL10</v>
      </c>
      <c r="E393" t="b">
        <v>1</v>
      </c>
      <c r="AC393" s="2"/>
      <c r="AD393" s="2" t="b">
        <f>LEN(_xlfn.CONCAT(TRACK_TYPES[[#This Row],[TRACK_TYPE_STANDARD_GAUGE_RAILTYPE_OHLE]:[TRACK_TYPE_MTRO]]))&gt;0</f>
        <v>1</v>
      </c>
      <c r="AE393" s="38" t="b" cm="1">
        <f t="array" ref="AE393">IFERROR(_xlfn.BYROW(TRACK_TYPES[[#This Row],[TRACK_TYPE_STANDARD_GAUGE_RAILTYPE_OHLE]:[TRACK_TYPE_STANDARD_GAUGE_RAILTYPE_NONE]],_xlfn.LAMBDA(_xlpm.r,OR(_xlpm.r))),FALSE)</f>
        <v>1</v>
      </c>
      <c r="AF393" s="38" t="b" cm="1">
        <f t="array" ref="AF393">IFERROR(_xlfn.BYROW(TRACK_TYPES[[#This Row],[TRACK_TYPE_NARROW_GAUGE_RAILTYPE_OHLE]:[TRACK_TYPE_NARROW_GAUGE_RAILTYPE_NONE]],_xlfn.LAMBDA(_xlpm.r,OR(_xlpm.r))),FALSE)</f>
        <v>0</v>
      </c>
      <c r="AG393" s="38" t="b" cm="1">
        <f t="array" ref="AG393">IFERROR(_xlfn.BYROW(TRACK_TYPES[[#This Row],[TRACK_TYPE_BROAD_GAUGE_RAILTYPE_OHLE]:[TRACK_TYPE_BROAD_GAUGE_RAILTYPE_NONE]],_xlfn.LAMBDA(_xlpm.r,OR(_xlpm.r))),FALSE)</f>
        <v>0</v>
      </c>
      <c r="AH3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3"/>
      <c r="AQ393"/>
      <c r="AR393"/>
    </row>
    <row r="394" spans="1:44" x14ac:dyDescent="0.35">
      <c r="A394" s="2" t="s">
        <v>3028</v>
      </c>
      <c r="B394" s="40" t="str">
        <f>_xlfn.XLOOKUP(PROPERTIES[[#This Row],[VEHIDCODE]],CONTROL[VEHIDCODE],CONTROL[ENGLISH])</f>
        <v>AEG E 04</v>
      </c>
      <c r="E394" t="b">
        <v>1</v>
      </c>
      <c r="AC394" s="2"/>
      <c r="AD394" s="2" t="b">
        <f>LEN(_xlfn.CONCAT(TRACK_TYPES[[#This Row],[TRACK_TYPE_STANDARD_GAUGE_RAILTYPE_OHLE]:[TRACK_TYPE_MTRO]]))&gt;0</f>
        <v>1</v>
      </c>
      <c r="AE394" s="38" t="b" cm="1">
        <f t="array" ref="AE394">IFERROR(_xlfn.BYROW(TRACK_TYPES[[#This Row],[TRACK_TYPE_STANDARD_GAUGE_RAILTYPE_OHLE]:[TRACK_TYPE_STANDARD_GAUGE_RAILTYPE_NONE]],_xlfn.LAMBDA(_xlpm.r,OR(_xlpm.r))),FALSE)</f>
        <v>1</v>
      </c>
      <c r="AF394" s="38" t="b" cm="1">
        <f t="array" ref="AF394">IFERROR(_xlfn.BYROW(TRACK_TYPES[[#This Row],[TRACK_TYPE_NARROW_GAUGE_RAILTYPE_OHLE]:[TRACK_TYPE_NARROW_GAUGE_RAILTYPE_NONE]],_xlfn.LAMBDA(_xlpm.r,OR(_xlpm.r))),FALSE)</f>
        <v>0</v>
      </c>
      <c r="AG394" s="38" t="b" cm="1">
        <f t="array" ref="AG394">IFERROR(_xlfn.BYROW(TRACK_TYPES[[#This Row],[TRACK_TYPE_BROAD_GAUGE_RAILTYPE_OHLE]:[TRACK_TYPE_BROAD_GAUGE_RAILTYPE_NONE]],_xlfn.LAMBDA(_xlpm.r,OR(_xlpm.r))),FALSE)</f>
        <v>0</v>
      </c>
      <c r="AH3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4"/>
      <c r="AQ394"/>
      <c r="AR394"/>
    </row>
    <row r="395" spans="1:44" x14ac:dyDescent="0.35">
      <c r="A395" s="2" t="s">
        <v>3029</v>
      </c>
      <c r="B395" s="40" t="str">
        <f>_xlfn.XLOOKUP(PROPERTIES[[#This Row],[VEHIDCODE]],CONTROL[VEHIDCODE],CONTROL[ENGLISH])</f>
        <v>GE 4-6-0+0-6-4OE GG-1</v>
      </c>
      <c r="E395" t="b">
        <v>1</v>
      </c>
      <c r="AC395" s="2"/>
      <c r="AD395" s="2" t="b">
        <f>LEN(_xlfn.CONCAT(TRACK_TYPES[[#This Row],[TRACK_TYPE_STANDARD_GAUGE_RAILTYPE_OHLE]:[TRACK_TYPE_MTRO]]))&gt;0</f>
        <v>1</v>
      </c>
      <c r="AE395" s="38" t="b" cm="1">
        <f t="array" ref="AE395">IFERROR(_xlfn.BYROW(TRACK_TYPES[[#This Row],[TRACK_TYPE_STANDARD_GAUGE_RAILTYPE_OHLE]:[TRACK_TYPE_STANDARD_GAUGE_RAILTYPE_NONE]],_xlfn.LAMBDA(_xlpm.r,OR(_xlpm.r))),FALSE)</f>
        <v>1</v>
      </c>
      <c r="AF395" s="38" t="b" cm="1">
        <f t="array" ref="AF395">IFERROR(_xlfn.BYROW(TRACK_TYPES[[#This Row],[TRACK_TYPE_NARROW_GAUGE_RAILTYPE_OHLE]:[TRACK_TYPE_NARROW_GAUGE_RAILTYPE_NONE]],_xlfn.LAMBDA(_xlpm.r,OR(_xlpm.r))),FALSE)</f>
        <v>0</v>
      </c>
      <c r="AG395" s="38" t="b" cm="1">
        <f t="array" ref="AG395">IFERROR(_xlfn.BYROW(TRACK_TYPES[[#This Row],[TRACK_TYPE_BROAD_GAUGE_RAILTYPE_OHLE]:[TRACK_TYPE_BROAD_GAUGE_RAILTYPE_NONE]],_xlfn.LAMBDA(_xlpm.r,OR(_xlpm.r))),FALSE)</f>
        <v>0</v>
      </c>
      <c r="AH3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5"/>
      <c r="AQ395"/>
      <c r="AR395"/>
    </row>
    <row r="396" spans="1:44" x14ac:dyDescent="0.35">
      <c r="A396" s="2" t="s">
        <v>3030</v>
      </c>
      <c r="B396" s="40" t="str">
        <f>_xlfn.XLOOKUP(PROPERTIES[[#This Row],[VEHIDCODE]],CONTROL[VEHIDCODE],CONTROL[ENGLISH])</f>
        <v>SLM 1100 'Crocodile'</v>
      </c>
      <c r="E396" t="b">
        <v>1</v>
      </c>
      <c r="AC396" s="2"/>
      <c r="AD396" s="2" t="b">
        <f>LEN(_xlfn.CONCAT(TRACK_TYPES[[#This Row],[TRACK_TYPE_STANDARD_GAUGE_RAILTYPE_OHLE]:[TRACK_TYPE_MTRO]]))&gt;0</f>
        <v>1</v>
      </c>
      <c r="AE396" s="38" t="b" cm="1">
        <f t="array" ref="AE396">IFERROR(_xlfn.BYROW(TRACK_TYPES[[#This Row],[TRACK_TYPE_STANDARD_GAUGE_RAILTYPE_OHLE]:[TRACK_TYPE_STANDARD_GAUGE_RAILTYPE_NONE]],_xlfn.LAMBDA(_xlpm.r,OR(_xlpm.r))),FALSE)</f>
        <v>1</v>
      </c>
      <c r="AF396" s="38" t="b" cm="1">
        <f t="array" ref="AF396">IFERROR(_xlfn.BYROW(TRACK_TYPES[[#This Row],[TRACK_TYPE_NARROW_GAUGE_RAILTYPE_OHLE]:[TRACK_TYPE_NARROW_GAUGE_RAILTYPE_NONE]],_xlfn.LAMBDA(_xlpm.r,OR(_xlpm.r))),FALSE)</f>
        <v>0</v>
      </c>
      <c r="AG396" s="38" t="b" cm="1">
        <f t="array" ref="AG396">IFERROR(_xlfn.BYROW(TRACK_TYPES[[#This Row],[TRACK_TYPE_BROAD_GAUGE_RAILTYPE_OHLE]:[TRACK_TYPE_BROAD_GAUGE_RAILTYPE_NONE]],_xlfn.LAMBDA(_xlpm.r,OR(_xlpm.r))),FALSE)</f>
        <v>0</v>
      </c>
      <c r="AH3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6"/>
      <c r="AQ396"/>
      <c r="AR396"/>
    </row>
    <row r="397" spans="1:44" x14ac:dyDescent="0.35">
      <c r="A397" s="2" t="s">
        <v>3031</v>
      </c>
      <c r="B397" s="40" t="str">
        <f>_xlfn.XLOOKUP(PROPERTIES[[#This Row],[VEHIDCODE]],CONTROL[VEHIDCODE],CONTROL[ENGLISH])</f>
        <v>AEG/BBC/Henschel/Siemens E03</v>
      </c>
      <c r="E397" t="b">
        <v>1</v>
      </c>
      <c r="AC397" s="2"/>
      <c r="AD397" s="2" t="b">
        <f>LEN(_xlfn.CONCAT(TRACK_TYPES[[#This Row],[TRACK_TYPE_STANDARD_GAUGE_RAILTYPE_OHLE]:[TRACK_TYPE_MTRO]]))&gt;0</f>
        <v>1</v>
      </c>
      <c r="AE397" s="38" t="b" cm="1">
        <f t="array" ref="AE397">IFERROR(_xlfn.BYROW(TRACK_TYPES[[#This Row],[TRACK_TYPE_STANDARD_GAUGE_RAILTYPE_OHLE]:[TRACK_TYPE_STANDARD_GAUGE_RAILTYPE_NONE]],_xlfn.LAMBDA(_xlpm.r,OR(_xlpm.r))),FALSE)</f>
        <v>1</v>
      </c>
      <c r="AF397" s="38" t="b" cm="1">
        <f t="array" ref="AF397">IFERROR(_xlfn.BYROW(TRACK_TYPES[[#This Row],[TRACK_TYPE_NARROW_GAUGE_RAILTYPE_OHLE]:[TRACK_TYPE_NARROW_GAUGE_RAILTYPE_NONE]],_xlfn.LAMBDA(_xlpm.r,OR(_xlpm.r))),FALSE)</f>
        <v>0</v>
      </c>
      <c r="AG397" s="38" t="b" cm="1">
        <f t="array" ref="AG397">IFERROR(_xlfn.BYROW(TRACK_TYPES[[#This Row],[TRACK_TYPE_BROAD_GAUGE_RAILTYPE_OHLE]:[TRACK_TYPE_BROAD_GAUGE_RAILTYPE_NONE]],_xlfn.LAMBDA(_xlpm.r,OR(_xlpm.r))),FALSE)</f>
        <v>0</v>
      </c>
      <c r="AH3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7"/>
      <c r="AQ397"/>
      <c r="AR397"/>
    </row>
    <row r="398" spans="1:44" x14ac:dyDescent="0.35">
      <c r="A398" s="2" t="s">
        <v>3032</v>
      </c>
      <c r="B398" s="40" t="str">
        <f>_xlfn.XLOOKUP(PROPERTIES[[#This Row],[VEHIDCODE]],CONTROL[VEHIDCODE],CONTROL[ENGLISH])</f>
        <v>Krauss/WASSEG E 91.9</v>
      </c>
      <c r="E398" t="b">
        <v>1</v>
      </c>
      <c r="AC398" s="2"/>
      <c r="AD398" s="2" t="b">
        <f>LEN(_xlfn.CONCAT(TRACK_TYPES[[#This Row],[TRACK_TYPE_STANDARD_GAUGE_RAILTYPE_OHLE]:[TRACK_TYPE_MTRO]]))&gt;0</f>
        <v>1</v>
      </c>
      <c r="AE398" s="38" t="b" cm="1">
        <f t="array" ref="AE398">IFERROR(_xlfn.BYROW(TRACK_TYPES[[#This Row],[TRACK_TYPE_STANDARD_GAUGE_RAILTYPE_OHLE]:[TRACK_TYPE_STANDARD_GAUGE_RAILTYPE_NONE]],_xlfn.LAMBDA(_xlpm.r,OR(_xlpm.r))),FALSE)</f>
        <v>1</v>
      </c>
      <c r="AF398" s="38" t="b" cm="1">
        <f t="array" ref="AF398">IFERROR(_xlfn.BYROW(TRACK_TYPES[[#This Row],[TRACK_TYPE_NARROW_GAUGE_RAILTYPE_OHLE]:[TRACK_TYPE_NARROW_GAUGE_RAILTYPE_NONE]],_xlfn.LAMBDA(_xlpm.r,OR(_xlpm.r))),FALSE)</f>
        <v>0</v>
      </c>
      <c r="AG398" s="38" t="b" cm="1">
        <f t="array" ref="AG398">IFERROR(_xlfn.BYROW(TRACK_TYPES[[#This Row],[TRACK_TYPE_BROAD_GAUGE_RAILTYPE_OHLE]:[TRACK_TYPE_BROAD_GAUGE_RAILTYPE_NONE]],_xlfn.LAMBDA(_xlpm.r,OR(_xlpm.r))),FALSE)</f>
        <v>0</v>
      </c>
      <c r="AH3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8"/>
      <c r="AQ398"/>
      <c r="AR398"/>
    </row>
    <row r="399" spans="1:44" x14ac:dyDescent="0.35">
      <c r="A399" s="2" t="s">
        <v>3033</v>
      </c>
      <c r="B399" s="40" t="str">
        <f>_xlfn.XLOOKUP(PROPERTIES[[#This Row],[VEHIDCODE]],CONTROL[VEHIDCODE],CONTROL[ENGLISH])</f>
        <v>SLM Ce 4/4</v>
      </c>
      <c r="E399" t="b">
        <v>1</v>
      </c>
      <c r="AC399" s="2"/>
      <c r="AD399" s="2" t="b">
        <f>LEN(_xlfn.CONCAT(TRACK_TYPES[[#This Row],[TRACK_TYPE_STANDARD_GAUGE_RAILTYPE_OHLE]:[TRACK_TYPE_MTRO]]))&gt;0</f>
        <v>1</v>
      </c>
      <c r="AE399" s="38" t="b" cm="1">
        <f t="array" ref="AE399">IFERROR(_xlfn.BYROW(TRACK_TYPES[[#This Row],[TRACK_TYPE_STANDARD_GAUGE_RAILTYPE_OHLE]:[TRACK_TYPE_STANDARD_GAUGE_RAILTYPE_NONE]],_xlfn.LAMBDA(_xlpm.r,OR(_xlpm.r))),FALSE)</f>
        <v>1</v>
      </c>
      <c r="AF399" s="38" t="b" cm="1">
        <f t="array" ref="AF399">IFERROR(_xlfn.BYROW(TRACK_TYPES[[#This Row],[TRACK_TYPE_NARROW_GAUGE_RAILTYPE_OHLE]:[TRACK_TYPE_NARROW_GAUGE_RAILTYPE_NONE]],_xlfn.LAMBDA(_xlpm.r,OR(_xlpm.r))),FALSE)</f>
        <v>0</v>
      </c>
      <c r="AG399" s="38" t="b" cm="1">
        <f t="array" ref="AG399">IFERROR(_xlfn.BYROW(TRACK_TYPES[[#This Row],[TRACK_TYPE_BROAD_GAUGE_RAILTYPE_OHLE]:[TRACK_TYPE_BROAD_GAUGE_RAILTYPE_NONE]],_xlfn.LAMBDA(_xlpm.r,OR(_xlpm.r))),FALSE)</f>
        <v>0</v>
      </c>
      <c r="AH3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9"/>
      <c r="AQ399"/>
      <c r="AR399"/>
    </row>
    <row r="400" spans="1:44" x14ac:dyDescent="0.35">
      <c r="A400" s="2" t="s">
        <v>3034</v>
      </c>
      <c r="B400" s="40" t="str">
        <f>_xlfn.XLOOKUP(PROPERTIES[[#This Row],[VEHIDCODE]],CONTROL[VEHIDCODE],CONTROL[ENGLISH])</f>
        <v>SLM Ae 6/6</v>
      </c>
      <c r="E400" t="b">
        <v>1</v>
      </c>
      <c r="AC400" s="2"/>
      <c r="AD400" s="2" t="b">
        <f>LEN(_xlfn.CONCAT(TRACK_TYPES[[#This Row],[TRACK_TYPE_STANDARD_GAUGE_RAILTYPE_OHLE]:[TRACK_TYPE_MTRO]]))&gt;0</f>
        <v>1</v>
      </c>
      <c r="AE400" s="38" t="b" cm="1">
        <f t="array" ref="AE400">IFERROR(_xlfn.BYROW(TRACK_TYPES[[#This Row],[TRACK_TYPE_STANDARD_GAUGE_RAILTYPE_OHLE]:[TRACK_TYPE_STANDARD_GAUGE_RAILTYPE_NONE]],_xlfn.LAMBDA(_xlpm.r,OR(_xlpm.r))),FALSE)</f>
        <v>1</v>
      </c>
      <c r="AF400" s="38" t="b" cm="1">
        <f t="array" ref="AF400">IFERROR(_xlfn.BYROW(TRACK_TYPES[[#This Row],[TRACK_TYPE_NARROW_GAUGE_RAILTYPE_OHLE]:[TRACK_TYPE_NARROW_GAUGE_RAILTYPE_NONE]],_xlfn.LAMBDA(_xlpm.r,OR(_xlpm.r))),FALSE)</f>
        <v>0</v>
      </c>
      <c r="AG400" s="38" t="b" cm="1">
        <f t="array" ref="AG400">IFERROR(_xlfn.BYROW(TRACK_TYPES[[#This Row],[TRACK_TYPE_BROAD_GAUGE_RAILTYPE_OHLE]:[TRACK_TYPE_BROAD_GAUGE_RAILTYPE_NONE]],_xlfn.LAMBDA(_xlpm.r,OR(_xlpm.r))),FALSE)</f>
        <v>0</v>
      </c>
      <c r="AH4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0"/>
      <c r="AQ400"/>
      <c r="AR400"/>
    </row>
    <row r="401" spans="1:44" x14ac:dyDescent="0.35">
      <c r="A401" s="2" t="s">
        <v>3035</v>
      </c>
      <c r="B401" s="40" t="str">
        <f>_xlfn.XLOOKUP(PROPERTIES[[#This Row],[VEHIDCODE]],CONTROL[VEHIDCODE],CONTROL[ENGLISH])</f>
        <v>SLM-ABB Lok 2000</v>
      </c>
      <c r="D401" t="b">
        <v>1</v>
      </c>
      <c r="E401" t="b">
        <v>1</v>
      </c>
      <c r="T401" t="b">
        <v>1</v>
      </c>
      <c r="AC401" s="2"/>
      <c r="AD401" s="2" t="b">
        <f>LEN(_xlfn.CONCAT(TRACK_TYPES[[#This Row],[TRACK_TYPE_STANDARD_GAUGE_RAILTYPE_OHLE]:[TRACK_TYPE_MTRO]]))&gt;0</f>
        <v>1</v>
      </c>
      <c r="AE401" s="38" t="b" cm="1">
        <f t="array" ref="AE401">IFERROR(_xlfn.BYROW(TRACK_TYPES[[#This Row],[TRACK_TYPE_STANDARD_GAUGE_RAILTYPE_OHLE]:[TRACK_TYPE_STANDARD_GAUGE_RAILTYPE_NONE]],_xlfn.LAMBDA(_xlpm.r,OR(_xlpm.r))),FALSE)</f>
        <v>1</v>
      </c>
      <c r="AF401" s="38" t="b" cm="1">
        <f t="array" ref="AF401">IFERROR(_xlfn.BYROW(TRACK_TYPES[[#This Row],[TRACK_TYPE_NARROW_GAUGE_RAILTYPE_OHLE]:[TRACK_TYPE_NARROW_GAUGE_RAILTYPE_NONE]],_xlfn.LAMBDA(_xlpm.r,OR(_xlpm.r))),FALSE)</f>
        <v>0</v>
      </c>
      <c r="AG401" s="38" t="b" cm="1">
        <f t="array" ref="AG401">IFERROR(_xlfn.BYROW(TRACK_TYPES[[#This Row],[TRACK_TYPE_BROAD_GAUGE_RAILTYPE_OHLE]:[TRACK_TYPE_BROAD_GAUGE_RAILTYPE_NONE]],_xlfn.LAMBDA(_xlpm.r,OR(_xlpm.r))),FALSE)</f>
        <v>1</v>
      </c>
      <c r="AH4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1"/>
      <c r="AQ401"/>
      <c r="AR401"/>
    </row>
    <row r="402" spans="1:44" x14ac:dyDescent="0.35">
      <c r="A402" s="2" t="s">
        <v>3036</v>
      </c>
      <c r="B402" s="40" t="str">
        <f>_xlfn.XLOOKUP(PROPERTIES[[#This Row],[VEHIDCODE]],CONTROL[VEHIDCODE],CONTROL[ENGLISH])</f>
        <v>Stadler Butler Eem 923</v>
      </c>
      <c r="D402" t="b">
        <v>1</v>
      </c>
      <c r="E402" t="b">
        <v>1</v>
      </c>
      <c r="J402" s="2" t="b">
        <v>1</v>
      </c>
      <c r="AC402" s="2"/>
      <c r="AD402" s="2" t="b">
        <f>LEN(_xlfn.CONCAT(TRACK_TYPES[[#This Row],[TRACK_TYPE_STANDARD_GAUGE_RAILTYPE_OHLE]:[TRACK_TYPE_MTRO]]))&gt;0</f>
        <v>1</v>
      </c>
      <c r="AE402" s="38" t="b" cm="1">
        <f t="array" ref="AE402">IFERROR(_xlfn.BYROW(TRACK_TYPES[[#This Row],[TRACK_TYPE_STANDARD_GAUGE_RAILTYPE_OHLE]:[TRACK_TYPE_STANDARD_GAUGE_RAILTYPE_NONE]],_xlfn.LAMBDA(_xlpm.r,OR(_xlpm.r))),FALSE)</f>
        <v>1</v>
      </c>
      <c r="AF402" s="38" t="b" cm="1">
        <f t="array" ref="AF402">IFERROR(_xlfn.BYROW(TRACK_TYPES[[#This Row],[TRACK_TYPE_NARROW_GAUGE_RAILTYPE_OHLE]:[TRACK_TYPE_NARROW_GAUGE_RAILTYPE_NONE]],_xlfn.LAMBDA(_xlpm.r,OR(_xlpm.r))),FALSE)</f>
        <v>0</v>
      </c>
      <c r="AG402" s="38" t="b" cm="1">
        <f t="array" ref="AG402">IFERROR(_xlfn.BYROW(TRACK_TYPES[[#This Row],[TRACK_TYPE_BROAD_GAUGE_RAILTYPE_OHLE]:[TRACK_TYPE_BROAD_GAUGE_RAILTYPE_NONE]],_xlfn.LAMBDA(_xlpm.r,OR(_xlpm.r))),FALSE)</f>
        <v>0</v>
      </c>
      <c r="AH4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2"/>
      <c r="AQ402"/>
      <c r="AR402"/>
    </row>
    <row r="403" spans="1:44" x14ac:dyDescent="0.35">
      <c r="A403" s="2" t="s">
        <v>3037</v>
      </c>
      <c r="B403" s="40" t="str">
        <f>_xlfn.XLOOKUP(PROPERTIES[[#This Row],[VEHIDCODE]],CONTROL[VEHIDCODE],CONTROL[ENGLISH])</f>
        <v>SGP 1044</v>
      </c>
      <c r="E403" t="b">
        <v>1</v>
      </c>
      <c r="AC403" s="2"/>
      <c r="AD403" s="2" t="b">
        <f>LEN(_xlfn.CONCAT(TRACK_TYPES[[#This Row],[TRACK_TYPE_STANDARD_GAUGE_RAILTYPE_OHLE]:[TRACK_TYPE_MTRO]]))&gt;0</f>
        <v>1</v>
      </c>
      <c r="AE403" s="38" t="b" cm="1">
        <f t="array" ref="AE403">IFERROR(_xlfn.BYROW(TRACK_TYPES[[#This Row],[TRACK_TYPE_STANDARD_GAUGE_RAILTYPE_OHLE]:[TRACK_TYPE_STANDARD_GAUGE_RAILTYPE_NONE]],_xlfn.LAMBDA(_xlpm.r,OR(_xlpm.r))),FALSE)</f>
        <v>1</v>
      </c>
      <c r="AF403" s="38" t="b" cm="1">
        <f t="array" ref="AF403">IFERROR(_xlfn.BYROW(TRACK_TYPES[[#This Row],[TRACK_TYPE_NARROW_GAUGE_RAILTYPE_OHLE]:[TRACK_TYPE_NARROW_GAUGE_RAILTYPE_NONE]],_xlfn.LAMBDA(_xlpm.r,OR(_xlpm.r))),FALSE)</f>
        <v>0</v>
      </c>
      <c r="AG403" s="38" t="b" cm="1">
        <f t="array" ref="AG403">IFERROR(_xlfn.BYROW(TRACK_TYPES[[#This Row],[TRACK_TYPE_BROAD_GAUGE_RAILTYPE_OHLE]:[TRACK_TYPE_BROAD_GAUGE_RAILTYPE_NONE]],_xlfn.LAMBDA(_xlpm.r,OR(_xlpm.r))),FALSE)</f>
        <v>0</v>
      </c>
      <c r="AH4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3"/>
      <c r="AQ403"/>
      <c r="AR403"/>
    </row>
    <row r="404" spans="1:44" x14ac:dyDescent="0.35">
      <c r="A404" s="2" t="s">
        <v>3038</v>
      </c>
      <c r="B404" s="40" t="str">
        <f>_xlfn.XLOOKUP(PROPERTIES[[#This Row],[VEHIDCODE]],CONTROL[VEHIDCODE],CONTROL[ENGLISH])</f>
        <v>SGP 1063</v>
      </c>
      <c r="D404" t="b">
        <v>1</v>
      </c>
      <c r="E404" t="b">
        <v>1</v>
      </c>
      <c r="AC404" s="2"/>
      <c r="AD404" s="2" t="b">
        <f>LEN(_xlfn.CONCAT(TRACK_TYPES[[#This Row],[TRACK_TYPE_STANDARD_GAUGE_RAILTYPE_OHLE]:[TRACK_TYPE_MTRO]]))&gt;0</f>
        <v>1</v>
      </c>
      <c r="AE404" s="38" t="b" cm="1">
        <f t="array" ref="AE404">IFERROR(_xlfn.BYROW(TRACK_TYPES[[#This Row],[TRACK_TYPE_STANDARD_GAUGE_RAILTYPE_OHLE]:[TRACK_TYPE_STANDARD_GAUGE_RAILTYPE_NONE]],_xlfn.LAMBDA(_xlpm.r,OR(_xlpm.r))),FALSE)</f>
        <v>1</v>
      </c>
      <c r="AF404" s="38" t="b" cm="1">
        <f t="array" ref="AF404">IFERROR(_xlfn.BYROW(TRACK_TYPES[[#This Row],[TRACK_TYPE_NARROW_GAUGE_RAILTYPE_OHLE]:[TRACK_TYPE_NARROW_GAUGE_RAILTYPE_NONE]],_xlfn.LAMBDA(_xlpm.r,OR(_xlpm.r))),FALSE)</f>
        <v>0</v>
      </c>
      <c r="AG404" s="38" t="b" cm="1">
        <f t="array" ref="AG404">IFERROR(_xlfn.BYROW(TRACK_TYPES[[#This Row],[TRACK_TYPE_BROAD_GAUGE_RAILTYPE_OHLE]:[TRACK_TYPE_BROAD_GAUGE_RAILTYPE_NONE]],_xlfn.LAMBDA(_xlpm.r,OR(_xlpm.r))),FALSE)</f>
        <v>0</v>
      </c>
      <c r="AH4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4"/>
      <c r="AQ404"/>
      <c r="AR404"/>
    </row>
    <row r="405" spans="1:44" x14ac:dyDescent="0.35">
      <c r="A405" s="2" t="s">
        <v>3039</v>
      </c>
      <c r="B405" s="40" t="str">
        <f>_xlfn.XLOOKUP(PROPERTIES[[#This Row],[VEHIDCODE]],CONTROL[VEHIDCODE],CONTROL[ENGLISH])</f>
        <v>ASEA Dm3</v>
      </c>
      <c r="E405" t="b">
        <v>1</v>
      </c>
      <c r="AC405" s="2"/>
      <c r="AD405" s="2" t="b">
        <f>LEN(_xlfn.CONCAT(TRACK_TYPES[[#This Row],[TRACK_TYPE_STANDARD_GAUGE_RAILTYPE_OHLE]:[TRACK_TYPE_MTRO]]))&gt;0</f>
        <v>1</v>
      </c>
      <c r="AE405" s="38" t="b" cm="1">
        <f t="array" ref="AE405">IFERROR(_xlfn.BYROW(TRACK_TYPES[[#This Row],[TRACK_TYPE_STANDARD_GAUGE_RAILTYPE_OHLE]:[TRACK_TYPE_STANDARD_GAUGE_RAILTYPE_NONE]],_xlfn.LAMBDA(_xlpm.r,OR(_xlpm.r))),FALSE)</f>
        <v>1</v>
      </c>
      <c r="AF405" s="38" t="b" cm="1">
        <f t="array" ref="AF405">IFERROR(_xlfn.BYROW(TRACK_TYPES[[#This Row],[TRACK_TYPE_NARROW_GAUGE_RAILTYPE_OHLE]:[TRACK_TYPE_NARROW_GAUGE_RAILTYPE_NONE]],_xlfn.LAMBDA(_xlpm.r,OR(_xlpm.r))),FALSE)</f>
        <v>0</v>
      </c>
      <c r="AG405" s="38" t="b" cm="1">
        <f t="array" ref="AG405">IFERROR(_xlfn.BYROW(TRACK_TYPES[[#This Row],[TRACK_TYPE_BROAD_GAUGE_RAILTYPE_OHLE]:[TRACK_TYPE_BROAD_GAUGE_RAILTYPE_NONE]],_xlfn.LAMBDA(_xlpm.r,OR(_xlpm.r))),FALSE)</f>
        <v>0</v>
      </c>
      <c r="AH4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5"/>
      <c r="AQ405"/>
      <c r="AR405"/>
    </row>
    <row r="406" spans="1:44" x14ac:dyDescent="0.35">
      <c r="A406" s="2" t="s">
        <v>3040</v>
      </c>
      <c r="B406" s="40" t="str">
        <f>_xlfn.XLOOKUP(PROPERTIES[[#This Row],[VEHIDCODE]],CONTROL[VEHIDCODE],CONTROL[ENGLISH])</f>
        <v>Bombardier Traxx H80 AC</v>
      </c>
      <c r="E406" t="b">
        <v>1</v>
      </c>
      <c r="AC406" s="2"/>
      <c r="AD406" s="2" t="b">
        <f>LEN(_xlfn.CONCAT(TRACK_TYPES[[#This Row],[TRACK_TYPE_STANDARD_GAUGE_RAILTYPE_OHLE]:[TRACK_TYPE_MTRO]]))&gt;0</f>
        <v>1</v>
      </c>
      <c r="AE406" s="38" t="b" cm="1">
        <f t="array" ref="AE406">IFERROR(_xlfn.BYROW(TRACK_TYPES[[#This Row],[TRACK_TYPE_STANDARD_GAUGE_RAILTYPE_OHLE]:[TRACK_TYPE_STANDARD_GAUGE_RAILTYPE_NONE]],_xlfn.LAMBDA(_xlpm.r,OR(_xlpm.r))),FALSE)</f>
        <v>1</v>
      </c>
      <c r="AF406" s="38" t="b" cm="1">
        <f t="array" ref="AF406">IFERROR(_xlfn.BYROW(TRACK_TYPES[[#This Row],[TRACK_TYPE_NARROW_GAUGE_RAILTYPE_OHLE]:[TRACK_TYPE_NARROW_GAUGE_RAILTYPE_NONE]],_xlfn.LAMBDA(_xlpm.r,OR(_xlpm.r))),FALSE)</f>
        <v>0</v>
      </c>
      <c r="AG406" s="38" t="b" cm="1">
        <f t="array" ref="AG406">IFERROR(_xlfn.BYROW(TRACK_TYPES[[#This Row],[TRACK_TYPE_BROAD_GAUGE_RAILTYPE_OHLE]:[TRACK_TYPE_BROAD_GAUGE_RAILTYPE_NONE]],_xlfn.LAMBDA(_xlpm.r,OR(_xlpm.r))),FALSE)</f>
        <v>0</v>
      </c>
      <c r="AH4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6"/>
      <c r="AQ406"/>
      <c r="AR406"/>
    </row>
    <row r="407" spans="1:44" x14ac:dyDescent="0.35">
      <c r="A407" s="2" t="s">
        <v>3041</v>
      </c>
      <c r="B407" s="40" t="str">
        <f>_xlfn.XLOOKUP(PROPERTIES[[#This Row],[VEHIDCODE]],CONTROL[VEHIDCODE],CONTROL[ENGLISH])</f>
        <v>Siemens Oa</v>
      </c>
      <c r="E407" t="b">
        <v>1</v>
      </c>
      <c r="AC407" s="2"/>
      <c r="AD407" s="2" t="b">
        <f>LEN(_xlfn.CONCAT(TRACK_TYPES[[#This Row],[TRACK_TYPE_STANDARD_GAUGE_RAILTYPE_OHLE]:[TRACK_TYPE_MTRO]]))&gt;0</f>
        <v>1</v>
      </c>
      <c r="AE407" s="38" t="b" cm="1">
        <f t="array" ref="AE407">IFERROR(_xlfn.BYROW(TRACK_TYPES[[#This Row],[TRACK_TYPE_STANDARD_GAUGE_RAILTYPE_OHLE]:[TRACK_TYPE_STANDARD_GAUGE_RAILTYPE_NONE]],_xlfn.LAMBDA(_xlpm.r,OR(_xlpm.r))),FALSE)</f>
        <v>1</v>
      </c>
      <c r="AF407" s="38" t="b" cm="1">
        <f t="array" ref="AF407">IFERROR(_xlfn.BYROW(TRACK_TYPES[[#This Row],[TRACK_TYPE_NARROW_GAUGE_RAILTYPE_OHLE]:[TRACK_TYPE_NARROW_GAUGE_RAILTYPE_NONE]],_xlfn.LAMBDA(_xlpm.r,OR(_xlpm.r))),FALSE)</f>
        <v>0</v>
      </c>
      <c r="AG407" s="38" t="b" cm="1">
        <f t="array" ref="AG407">IFERROR(_xlfn.BYROW(TRACK_TYPES[[#This Row],[TRACK_TYPE_BROAD_GAUGE_RAILTYPE_OHLE]:[TRACK_TYPE_BROAD_GAUGE_RAILTYPE_NONE]],_xlfn.LAMBDA(_xlpm.r,OR(_xlpm.r))),FALSE)</f>
        <v>0</v>
      </c>
      <c r="AH4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7"/>
      <c r="AQ407"/>
      <c r="AR407"/>
    </row>
    <row r="408" spans="1:44" x14ac:dyDescent="0.35">
      <c r="A408" s="2" t="s">
        <v>3042</v>
      </c>
      <c r="B408" s="40" t="str">
        <f>_xlfn.XLOOKUP(PROPERTIES[[#This Row],[VEHIDCODE]],CONTROL[VEHIDCODE],CONTROL[ENGLISH])</f>
        <v>ASEA F</v>
      </c>
      <c r="E408" t="b">
        <v>1</v>
      </c>
      <c r="AC408" s="2"/>
      <c r="AD408" s="2" t="b">
        <f>LEN(_xlfn.CONCAT(TRACK_TYPES[[#This Row],[TRACK_TYPE_STANDARD_GAUGE_RAILTYPE_OHLE]:[TRACK_TYPE_MTRO]]))&gt;0</f>
        <v>1</v>
      </c>
      <c r="AE408" s="38" t="b" cm="1">
        <f t="array" ref="AE408">IFERROR(_xlfn.BYROW(TRACK_TYPES[[#This Row],[TRACK_TYPE_STANDARD_GAUGE_RAILTYPE_OHLE]:[TRACK_TYPE_STANDARD_GAUGE_RAILTYPE_NONE]],_xlfn.LAMBDA(_xlpm.r,OR(_xlpm.r))),FALSE)</f>
        <v>1</v>
      </c>
      <c r="AF408" s="38" t="b" cm="1">
        <f t="array" ref="AF408">IFERROR(_xlfn.BYROW(TRACK_TYPES[[#This Row],[TRACK_TYPE_NARROW_GAUGE_RAILTYPE_OHLE]:[TRACK_TYPE_NARROW_GAUGE_RAILTYPE_NONE]],_xlfn.LAMBDA(_xlpm.r,OR(_xlpm.r))),FALSE)</f>
        <v>0</v>
      </c>
      <c r="AG408" s="38" t="b" cm="1">
        <f t="array" ref="AG408">IFERROR(_xlfn.BYROW(TRACK_TYPES[[#This Row],[TRACK_TYPE_BROAD_GAUGE_RAILTYPE_OHLE]:[TRACK_TYPE_BROAD_GAUGE_RAILTYPE_NONE]],_xlfn.LAMBDA(_xlpm.r,OR(_xlpm.r))),FALSE)</f>
        <v>0</v>
      </c>
      <c r="AH4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8"/>
      <c r="AQ408"/>
      <c r="AR408"/>
    </row>
    <row r="409" spans="1:44" x14ac:dyDescent="0.35">
      <c r="A409" s="2" t="s">
        <v>3043</v>
      </c>
      <c r="B409" s="40" t="str">
        <f>_xlfn.XLOOKUP(PROPERTIES[[#This Row],[VEHIDCODE]],CONTROL[VEHIDCODE],CONTROL[ENGLISH])</f>
        <v>Thyssen-Henschel EL17</v>
      </c>
      <c r="E409" t="b">
        <v>1</v>
      </c>
      <c r="AC409" s="2"/>
      <c r="AD409" s="2" t="b">
        <f>LEN(_xlfn.CONCAT(TRACK_TYPES[[#This Row],[TRACK_TYPE_STANDARD_GAUGE_RAILTYPE_OHLE]:[TRACK_TYPE_MTRO]]))&gt;0</f>
        <v>1</v>
      </c>
      <c r="AE409" s="38" t="b" cm="1">
        <f t="array" ref="AE409">IFERROR(_xlfn.BYROW(TRACK_TYPES[[#This Row],[TRACK_TYPE_STANDARD_GAUGE_RAILTYPE_OHLE]:[TRACK_TYPE_STANDARD_GAUGE_RAILTYPE_NONE]],_xlfn.LAMBDA(_xlpm.r,OR(_xlpm.r))),FALSE)</f>
        <v>1</v>
      </c>
      <c r="AF409" s="38" t="b" cm="1">
        <f t="array" ref="AF409">IFERROR(_xlfn.BYROW(TRACK_TYPES[[#This Row],[TRACK_TYPE_NARROW_GAUGE_RAILTYPE_OHLE]:[TRACK_TYPE_NARROW_GAUGE_RAILTYPE_NONE]],_xlfn.LAMBDA(_xlpm.r,OR(_xlpm.r))),FALSE)</f>
        <v>0</v>
      </c>
      <c r="AG409" s="38" t="b" cm="1">
        <f t="array" ref="AG409">IFERROR(_xlfn.BYROW(TRACK_TYPES[[#This Row],[TRACK_TYPE_BROAD_GAUGE_RAILTYPE_OHLE]:[TRACK_TYPE_BROAD_GAUGE_RAILTYPE_NONE]],_xlfn.LAMBDA(_xlpm.r,OR(_xlpm.r))),FALSE)</f>
        <v>0</v>
      </c>
      <c r="AH4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9"/>
      <c r="AQ409"/>
      <c r="AR409"/>
    </row>
    <row r="410" spans="1:44" x14ac:dyDescent="0.35">
      <c r="A410" s="2" t="s">
        <v>3044</v>
      </c>
      <c r="B410" s="40" t="str">
        <f>_xlfn.XLOOKUP(PROPERTIES[[#This Row],[VEHIDCODE]],CONTROL[VEHIDCODE],CONTROL[ENGLISH])</f>
        <v>Borsig/SSW ES 6</v>
      </c>
      <c r="E410" t="b">
        <v>1</v>
      </c>
      <c r="AC410" s="2"/>
      <c r="AD410" s="2" t="b">
        <f>LEN(_xlfn.CONCAT(TRACK_TYPES[[#This Row],[TRACK_TYPE_STANDARD_GAUGE_RAILTYPE_OHLE]:[TRACK_TYPE_MTRO]]))&gt;0</f>
        <v>1</v>
      </c>
      <c r="AE410" s="38" t="b" cm="1">
        <f t="array" ref="AE410">IFERROR(_xlfn.BYROW(TRACK_TYPES[[#This Row],[TRACK_TYPE_STANDARD_GAUGE_RAILTYPE_OHLE]:[TRACK_TYPE_STANDARD_GAUGE_RAILTYPE_NONE]],_xlfn.LAMBDA(_xlpm.r,OR(_xlpm.r))),FALSE)</f>
        <v>1</v>
      </c>
      <c r="AF410" s="38" t="b" cm="1">
        <f t="array" ref="AF410">IFERROR(_xlfn.BYROW(TRACK_TYPES[[#This Row],[TRACK_TYPE_NARROW_GAUGE_RAILTYPE_OHLE]:[TRACK_TYPE_NARROW_GAUGE_RAILTYPE_NONE]],_xlfn.LAMBDA(_xlpm.r,OR(_xlpm.r))),FALSE)</f>
        <v>0</v>
      </c>
      <c r="AG410" s="38" t="b" cm="1">
        <f t="array" ref="AG410">IFERROR(_xlfn.BYROW(TRACK_TYPES[[#This Row],[TRACK_TYPE_BROAD_GAUGE_RAILTYPE_OHLE]:[TRACK_TYPE_BROAD_GAUGE_RAILTYPE_NONE]],_xlfn.LAMBDA(_xlpm.r,OR(_xlpm.r))),FALSE)</f>
        <v>0</v>
      </c>
      <c r="AH4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0"/>
      <c r="AQ410"/>
      <c r="AR410"/>
    </row>
    <row r="411" spans="1:44" x14ac:dyDescent="0.35">
      <c r="A411" s="2" t="s">
        <v>3045</v>
      </c>
      <c r="B411" s="40" t="str">
        <f>_xlfn.XLOOKUP(PROPERTIES[[#This Row],[VEHIDCODE]],CONTROL[VEHIDCODE],CONTROL[ENGLISH])</f>
        <v>GE EL-2B</v>
      </c>
      <c r="E411" t="b">
        <v>1</v>
      </c>
      <c r="AC411" s="2"/>
      <c r="AD411" s="2" t="b">
        <f>LEN(_xlfn.CONCAT(TRACK_TYPES[[#This Row],[TRACK_TYPE_STANDARD_GAUGE_RAILTYPE_OHLE]:[TRACK_TYPE_MTRO]]))&gt;0</f>
        <v>1</v>
      </c>
      <c r="AE411" s="38" t="b" cm="1">
        <f t="array" ref="AE411">IFERROR(_xlfn.BYROW(TRACK_TYPES[[#This Row],[TRACK_TYPE_STANDARD_GAUGE_RAILTYPE_OHLE]:[TRACK_TYPE_STANDARD_GAUGE_RAILTYPE_NONE]],_xlfn.LAMBDA(_xlpm.r,OR(_xlpm.r))),FALSE)</f>
        <v>1</v>
      </c>
      <c r="AF411" s="38" t="b" cm="1">
        <f t="array" ref="AF411">IFERROR(_xlfn.BYROW(TRACK_TYPES[[#This Row],[TRACK_TYPE_NARROW_GAUGE_RAILTYPE_OHLE]:[TRACK_TYPE_NARROW_GAUGE_RAILTYPE_NONE]],_xlfn.LAMBDA(_xlpm.r,OR(_xlpm.r))),FALSE)</f>
        <v>0</v>
      </c>
      <c r="AG411" s="38" t="b" cm="1">
        <f t="array" ref="AG411">IFERROR(_xlfn.BYROW(TRACK_TYPES[[#This Row],[TRACK_TYPE_BROAD_GAUGE_RAILTYPE_OHLE]:[TRACK_TYPE_BROAD_GAUGE_RAILTYPE_NONE]],_xlfn.LAMBDA(_xlpm.r,OR(_xlpm.r))),FALSE)</f>
        <v>0</v>
      </c>
      <c r="AH4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1"/>
      <c r="AQ411"/>
      <c r="AR411"/>
    </row>
    <row r="412" spans="1:44" x14ac:dyDescent="0.35">
      <c r="A412" s="2" t="s">
        <v>3046</v>
      </c>
      <c r="B412" s="40" t="str">
        <f>_xlfn.XLOOKUP(PROPERTIES[[#This Row],[VEHIDCODE]],CONTROL[VEHIDCODE],CONTROL[ENGLISH])</f>
        <v>GE W-1</v>
      </c>
      <c r="E412" t="b">
        <v>1</v>
      </c>
      <c r="AC412" s="2"/>
      <c r="AD412" s="2" t="b">
        <f>LEN(_xlfn.CONCAT(TRACK_TYPES[[#This Row],[TRACK_TYPE_STANDARD_GAUGE_RAILTYPE_OHLE]:[TRACK_TYPE_MTRO]]))&gt;0</f>
        <v>1</v>
      </c>
      <c r="AE412" s="38" t="b" cm="1">
        <f t="array" ref="AE412">IFERROR(_xlfn.BYROW(TRACK_TYPES[[#This Row],[TRACK_TYPE_STANDARD_GAUGE_RAILTYPE_OHLE]:[TRACK_TYPE_STANDARD_GAUGE_RAILTYPE_NONE]],_xlfn.LAMBDA(_xlpm.r,OR(_xlpm.r))),FALSE)</f>
        <v>1</v>
      </c>
      <c r="AF412" s="38" t="b" cm="1">
        <f t="array" ref="AF412">IFERROR(_xlfn.BYROW(TRACK_TYPES[[#This Row],[TRACK_TYPE_NARROW_GAUGE_RAILTYPE_OHLE]:[TRACK_TYPE_NARROW_GAUGE_RAILTYPE_NONE]],_xlfn.LAMBDA(_xlpm.r,OR(_xlpm.r))),FALSE)</f>
        <v>0</v>
      </c>
      <c r="AG412" s="38" t="b" cm="1">
        <f t="array" ref="AG412">IFERROR(_xlfn.BYROW(TRACK_TYPES[[#This Row],[TRACK_TYPE_BROAD_GAUGE_RAILTYPE_OHLE]:[TRACK_TYPE_BROAD_GAUGE_RAILTYPE_NONE]],_xlfn.LAMBDA(_xlpm.r,OR(_xlpm.r))),FALSE)</f>
        <v>0</v>
      </c>
      <c r="AH4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2"/>
      <c r="AQ412"/>
      <c r="AR412"/>
    </row>
    <row r="413" spans="1:44" x14ac:dyDescent="0.35">
      <c r="A413" s="2" t="s">
        <v>3047</v>
      </c>
      <c r="B413" s="40" t="str">
        <f>_xlfn.XLOOKUP(PROPERTIES[[#This Row],[VEHIDCODE]],CONTROL[VEHIDCODE],CONTROL[ENGLISH])</f>
        <v>Westinghouse 6wOE B1</v>
      </c>
      <c r="E413" t="b">
        <v>1</v>
      </c>
      <c r="H413" t="b">
        <v>1</v>
      </c>
      <c r="AC413" s="2"/>
      <c r="AD413" s="2" t="b">
        <f>LEN(_xlfn.CONCAT(TRACK_TYPES[[#This Row],[TRACK_TYPE_STANDARD_GAUGE_RAILTYPE_OHLE]:[TRACK_TYPE_MTRO]]))&gt;0</f>
        <v>1</v>
      </c>
      <c r="AE413" s="38" t="b" cm="1">
        <f t="array" ref="AE413">IFERROR(_xlfn.BYROW(TRACK_TYPES[[#This Row],[TRACK_TYPE_STANDARD_GAUGE_RAILTYPE_OHLE]:[TRACK_TYPE_STANDARD_GAUGE_RAILTYPE_NONE]],_xlfn.LAMBDA(_xlpm.r,OR(_xlpm.r))),FALSE)</f>
        <v>1</v>
      </c>
      <c r="AF413" s="38" t="b" cm="1">
        <f t="array" ref="AF413">IFERROR(_xlfn.BYROW(TRACK_TYPES[[#This Row],[TRACK_TYPE_NARROW_GAUGE_RAILTYPE_OHLE]:[TRACK_TYPE_NARROW_GAUGE_RAILTYPE_NONE]],_xlfn.LAMBDA(_xlpm.r,OR(_xlpm.r))),FALSE)</f>
        <v>0</v>
      </c>
      <c r="AG413" s="38" t="b" cm="1">
        <f t="array" ref="AG413">IFERROR(_xlfn.BYROW(TRACK_TYPES[[#This Row],[TRACK_TYPE_BROAD_GAUGE_RAILTYPE_OHLE]:[TRACK_TYPE_BROAD_GAUGE_RAILTYPE_NONE]],_xlfn.LAMBDA(_xlpm.r,OR(_xlpm.r))),FALSE)</f>
        <v>0</v>
      </c>
      <c r="AH4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3"/>
      <c r="AQ413"/>
      <c r="AR413"/>
    </row>
    <row r="414" spans="1:44" x14ac:dyDescent="0.35">
      <c r="A414" s="2" t="s">
        <v>3048</v>
      </c>
      <c r="B414" s="40" t="str">
        <f>_xlfn.XLOOKUP(PROPERTIES[[#This Row],[VEHIDCODE]],CONTROL[VEHIDCODE],CONTROL[ENGLISH])</f>
        <v>Siemens E40 AG-V1</v>
      </c>
      <c r="L414" t="b">
        <v>1</v>
      </c>
      <c r="AC414" s="2"/>
      <c r="AD414" s="2" t="b">
        <f>LEN(_xlfn.CONCAT(TRACK_TYPES[[#This Row],[TRACK_TYPE_STANDARD_GAUGE_RAILTYPE_OHLE]:[TRACK_TYPE_MTRO]]))&gt;0</f>
        <v>1</v>
      </c>
      <c r="AE414" s="38" t="b" cm="1">
        <f t="array" ref="AE414">IFERROR(_xlfn.BYROW(TRACK_TYPES[[#This Row],[TRACK_TYPE_STANDARD_GAUGE_RAILTYPE_OHLE]:[TRACK_TYPE_STANDARD_GAUGE_RAILTYPE_NONE]],_xlfn.LAMBDA(_xlpm.r,OR(_xlpm.r))),FALSE)</f>
        <v>0</v>
      </c>
      <c r="AF414" s="38" t="b" cm="1">
        <f t="array" ref="AF414">IFERROR(_xlfn.BYROW(TRACK_TYPES[[#This Row],[TRACK_TYPE_NARROW_GAUGE_RAILTYPE_OHLE]:[TRACK_TYPE_NARROW_GAUGE_RAILTYPE_NONE]],_xlfn.LAMBDA(_xlpm.r,OR(_xlpm.r))),FALSE)</f>
        <v>1</v>
      </c>
      <c r="AG414" s="38" t="b" cm="1">
        <f t="array" ref="AG414">IFERROR(_xlfn.BYROW(TRACK_TYPES[[#This Row],[TRACK_TYPE_BROAD_GAUGE_RAILTYPE_OHLE]:[TRACK_TYPE_BROAD_GAUGE_RAILTYPE_NONE]],_xlfn.LAMBDA(_xlpm.r,OR(_xlpm.r))),FALSE)</f>
        <v>0</v>
      </c>
      <c r="AH4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14"/>
      <c r="AQ414"/>
      <c r="AR414"/>
    </row>
    <row r="415" spans="1:44" x14ac:dyDescent="0.35">
      <c r="A415" s="2" t="s">
        <v>3049</v>
      </c>
      <c r="B415" s="40" t="str">
        <f>_xlfn.XLOOKUP(PROPERTIES[[#This Row],[VEHIDCODE]],CONTROL[VEHIDCODE],CONTROL[ENGLISH])</f>
        <v>Zuzhou SS6</v>
      </c>
      <c r="D415" t="b">
        <v>1</v>
      </c>
      <c r="AC415" s="2"/>
      <c r="AD415" s="2" t="b">
        <f>LEN(_xlfn.CONCAT(TRACK_TYPES[[#This Row],[TRACK_TYPE_STANDARD_GAUGE_RAILTYPE_OHLE]:[TRACK_TYPE_MTRO]]))&gt;0</f>
        <v>1</v>
      </c>
      <c r="AE415" s="38" t="b" cm="1">
        <f t="array" ref="AE415">IFERROR(_xlfn.BYROW(TRACK_TYPES[[#This Row],[TRACK_TYPE_STANDARD_GAUGE_RAILTYPE_OHLE]:[TRACK_TYPE_STANDARD_GAUGE_RAILTYPE_NONE]],_xlfn.LAMBDA(_xlpm.r,OR(_xlpm.r))),FALSE)</f>
        <v>1</v>
      </c>
      <c r="AF415" s="38" t="b" cm="1">
        <f t="array" ref="AF415">IFERROR(_xlfn.BYROW(TRACK_TYPES[[#This Row],[TRACK_TYPE_NARROW_GAUGE_RAILTYPE_OHLE]:[TRACK_TYPE_NARROW_GAUGE_RAILTYPE_NONE]],_xlfn.LAMBDA(_xlpm.r,OR(_xlpm.r))),FALSE)</f>
        <v>0</v>
      </c>
      <c r="AG415" s="38" t="b" cm="1">
        <f t="array" ref="AG415">IFERROR(_xlfn.BYROW(TRACK_TYPES[[#This Row],[TRACK_TYPE_BROAD_GAUGE_RAILTYPE_OHLE]:[TRACK_TYPE_BROAD_GAUGE_RAILTYPE_NONE]],_xlfn.LAMBDA(_xlpm.r,OR(_xlpm.r))),FALSE)</f>
        <v>0</v>
      </c>
      <c r="AH4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5"/>
      <c r="AQ415"/>
      <c r="AR415"/>
    </row>
    <row r="416" spans="1:44" x14ac:dyDescent="0.35">
      <c r="A416" s="2" t="s">
        <v>3050</v>
      </c>
      <c r="B416" s="40" t="str">
        <f>_xlfn.XLOOKUP(PROPERTIES[[#This Row],[VEHIDCODE]],CONTROL[VEHIDCODE],CONTROL[ENGLISH])</f>
        <v>Zuzhou SS3</v>
      </c>
      <c r="D416" t="b">
        <v>1</v>
      </c>
      <c r="AC416" s="2"/>
      <c r="AD416" s="2" t="b">
        <f>LEN(_xlfn.CONCAT(TRACK_TYPES[[#This Row],[TRACK_TYPE_STANDARD_GAUGE_RAILTYPE_OHLE]:[TRACK_TYPE_MTRO]]))&gt;0</f>
        <v>1</v>
      </c>
      <c r="AE416" s="38" t="b" cm="1">
        <f t="array" ref="AE416">IFERROR(_xlfn.BYROW(TRACK_TYPES[[#This Row],[TRACK_TYPE_STANDARD_GAUGE_RAILTYPE_OHLE]:[TRACK_TYPE_STANDARD_GAUGE_RAILTYPE_NONE]],_xlfn.LAMBDA(_xlpm.r,OR(_xlpm.r))),FALSE)</f>
        <v>1</v>
      </c>
      <c r="AF416" s="38" t="b" cm="1">
        <f t="array" ref="AF416">IFERROR(_xlfn.BYROW(TRACK_TYPES[[#This Row],[TRACK_TYPE_NARROW_GAUGE_RAILTYPE_OHLE]:[TRACK_TYPE_NARROW_GAUGE_RAILTYPE_NONE]],_xlfn.LAMBDA(_xlpm.r,OR(_xlpm.r))),FALSE)</f>
        <v>0</v>
      </c>
      <c r="AG416" s="38" t="b" cm="1">
        <f t="array" ref="AG416">IFERROR(_xlfn.BYROW(TRACK_TYPES[[#This Row],[TRACK_TYPE_BROAD_GAUGE_RAILTYPE_OHLE]:[TRACK_TYPE_BROAD_GAUGE_RAILTYPE_NONE]],_xlfn.LAMBDA(_xlpm.r,OR(_xlpm.r))),FALSE)</f>
        <v>0</v>
      </c>
      <c r="AH4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6"/>
      <c r="AQ416"/>
      <c r="AR416"/>
    </row>
    <row r="417" spans="1:44" x14ac:dyDescent="0.35">
      <c r="A417" s="2" t="s">
        <v>3051</v>
      </c>
      <c r="B417" s="40" t="str">
        <f>_xlfn.XLOOKUP(PROPERTIES[[#This Row],[VEHIDCODE]],CONTROL[VEHIDCODE],CONTROL[ENGLISH])</f>
        <v>Toshiba/CNR Dalian HXD3</v>
      </c>
      <c r="D417" t="b">
        <v>1</v>
      </c>
      <c r="AC417" s="2"/>
      <c r="AD417" s="2" t="b">
        <f>LEN(_xlfn.CONCAT(TRACK_TYPES[[#This Row],[TRACK_TYPE_STANDARD_GAUGE_RAILTYPE_OHLE]:[TRACK_TYPE_MTRO]]))&gt;0</f>
        <v>1</v>
      </c>
      <c r="AE417" s="38" t="b" cm="1">
        <f t="array" ref="AE417">IFERROR(_xlfn.BYROW(TRACK_TYPES[[#This Row],[TRACK_TYPE_STANDARD_GAUGE_RAILTYPE_OHLE]:[TRACK_TYPE_STANDARD_GAUGE_RAILTYPE_NONE]],_xlfn.LAMBDA(_xlpm.r,OR(_xlpm.r))),FALSE)</f>
        <v>1</v>
      </c>
      <c r="AF417" s="38" t="b" cm="1">
        <f t="array" ref="AF417">IFERROR(_xlfn.BYROW(TRACK_TYPES[[#This Row],[TRACK_TYPE_NARROW_GAUGE_RAILTYPE_OHLE]:[TRACK_TYPE_NARROW_GAUGE_RAILTYPE_NONE]],_xlfn.LAMBDA(_xlpm.r,OR(_xlpm.r))),FALSE)</f>
        <v>0</v>
      </c>
      <c r="AG417" s="38" t="b" cm="1">
        <f t="array" ref="AG417">IFERROR(_xlfn.BYROW(TRACK_TYPES[[#This Row],[TRACK_TYPE_BROAD_GAUGE_RAILTYPE_OHLE]:[TRACK_TYPE_BROAD_GAUGE_RAILTYPE_NONE]],_xlfn.LAMBDA(_xlpm.r,OR(_xlpm.r))),FALSE)</f>
        <v>0</v>
      </c>
      <c r="AH4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7"/>
      <c r="AQ417"/>
      <c r="AR417"/>
    </row>
    <row r="418" spans="1:44" x14ac:dyDescent="0.35">
      <c r="A418" s="2" t="s">
        <v>3052</v>
      </c>
      <c r="B418" s="40" t="str">
        <f>_xlfn.XLOOKUP(PROPERTIES[[#This Row],[VEHIDCODE]],CONTROL[VEHIDCODE],CONTROL[ENGLISH])</f>
        <v>Toshiba/CRRC HXD1D</v>
      </c>
      <c r="D418" t="b">
        <v>1</v>
      </c>
      <c r="AC418" s="2"/>
      <c r="AD418" s="2" t="b">
        <f>LEN(_xlfn.CONCAT(TRACK_TYPES[[#This Row],[TRACK_TYPE_STANDARD_GAUGE_RAILTYPE_OHLE]:[TRACK_TYPE_MTRO]]))&gt;0</f>
        <v>1</v>
      </c>
      <c r="AE418" s="38" t="b" cm="1">
        <f t="array" ref="AE418">IFERROR(_xlfn.BYROW(TRACK_TYPES[[#This Row],[TRACK_TYPE_STANDARD_GAUGE_RAILTYPE_OHLE]:[TRACK_TYPE_STANDARD_GAUGE_RAILTYPE_NONE]],_xlfn.LAMBDA(_xlpm.r,OR(_xlpm.r))),FALSE)</f>
        <v>1</v>
      </c>
      <c r="AF418" s="38" t="b" cm="1">
        <f t="array" ref="AF418">IFERROR(_xlfn.BYROW(TRACK_TYPES[[#This Row],[TRACK_TYPE_NARROW_GAUGE_RAILTYPE_OHLE]:[TRACK_TYPE_NARROW_GAUGE_RAILTYPE_NONE]],_xlfn.LAMBDA(_xlpm.r,OR(_xlpm.r))),FALSE)</f>
        <v>0</v>
      </c>
      <c r="AG418" s="38" t="b" cm="1">
        <f t="array" ref="AG418">IFERROR(_xlfn.BYROW(TRACK_TYPES[[#This Row],[TRACK_TYPE_BROAD_GAUGE_RAILTYPE_OHLE]:[TRACK_TYPE_BROAD_GAUGE_RAILTYPE_NONE]],_xlfn.LAMBDA(_xlpm.r,OR(_xlpm.r))),FALSE)</f>
        <v>0</v>
      </c>
      <c r="AH4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8"/>
      <c r="AQ418"/>
      <c r="AR418"/>
    </row>
    <row r="419" spans="1:44" x14ac:dyDescent="0.35">
      <c r="A419" s="2" t="s">
        <v>3053</v>
      </c>
      <c r="B419" s="40" t="str">
        <f>_xlfn.XLOOKUP(PROPERTIES[[#This Row],[VEHIDCODE]],CONTROL[VEHIDCODE],CONTROL[ENGLISH])</f>
        <v>Kawasaki 6K</v>
      </c>
      <c r="D419" t="b">
        <v>1</v>
      </c>
      <c r="AC419" s="2"/>
      <c r="AD419" s="2" t="b">
        <f>LEN(_xlfn.CONCAT(TRACK_TYPES[[#This Row],[TRACK_TYPE_STANDARD_GAUGE_RAILTYPE_OHLE]:[TRACK_TYPE_MTRO]]))&gt;0</f>
        <v>1</v>
      </c>
      <c r="AE419" s="38" t="b" cm="1">
        <f t="array" ref="AE419">IFERROR(_xlfn.BYROW(TRACK_TYPES[[#This Row],[TRACK_TYPE_STANDARD_GAUGE_RAILTYPE_OHLE]:[TRACK_TYPE_STANDARD_GAUGE_RAILTYPE_NONE]],_xlfn.LAMBDA(_xlpm.r,OR(_xlpm.r))),FALSE)</f>
        <v>1</v>
      </c>
      <c r="AF419" s="38" t="b" cm="1">
        <f t="array" ref="AF419">IFERROR(_xlfn.BYROW(TRACK_TYPES[[#This Row],[TRACK_TYPE_NARROW_GAUGE_RAILTYPE_OHLE]:[TRACK_TYPE_NARROW_GAUGE_RAILTYPE_NONE]],_xlfn.LAMBDA(_xlpm.r,OR(_xlpm.r))),FALSE)</f>
        <v>0</v>
      </c>
      <c r="AG419" s="38" t="b" cm="1">
        <f t="array" ref="AG419">IFERROR(_xlfn.BYROW(TRACK_TYPES[[#This Row],[TRACK_TYPE_BROAD_GAUGE_RAILTYPE_OHLE]:[TRACK_TYPE_BROAD_GAUGE_RAILTYPE_NONE]],_xlfn.LAMBDA(_xlpm.r,OR(_xlpm.r))),FALSE)</f>
        <v>0</v>
      </c>
      <c r="AH4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9"/>
      <c r="AQ419"/>
      <c r="AR419"/>
    </row>
    <row r="420" spans="1:44" x14ac:dyDescent="0.35">
      <c r="A420" s="2" t="s">
        <v>3054</v>
      </c>
      <c r="B420" s="40" t="str">
        <f>_xlfn.XLOOKUP(PROPERTIES[[#This Row],[VEHIDCODE]],CONTROL[VEHIDCODE],CONTROL[ENGLISH])</f>
        <v>GE E44</v>
      </c>
      <c r="E420" t="b">
        <v>1</v>
      </c>
      <c r="AC420" s="2"/>
      <c r="AD420" s="2" t="b">
        <f>LEN(_xlfn.CONCAT(TRACK_TYPES[[#This Row],[TRACK_TYPE_STANDARD_GAUGE_RAILTYPE_OHLE]:[TRACK_TYPE_MTRO]]))&gt;0</f>
        <v>1</v>
      </c>
      <c r="AE420" s="38" t="b" cm="1">
        <f t="array" ref="AE420">IFERROR(_xlfn.BYROW(TRACK_TYPES[[#This Row],[TRACK_TYPE_STANDARD_GAUGE_RAILTYPE_OHLE]:[TRACK_TYPE_STANDARD_GAUGE_RAILTYPE_NONE]],_xlfn.LAMBDA(_xlpm.r,OR(_xlpm.r))),FALSE)</f>
        <v>1</v>
      </c>
      <c r="AF420" s="38" t="b" cm="1">
        <f t="array" ref="AF420">IFERROR(_xlfn.BYROW(TRACK_TYPES[[#This Row],[TRACK_TYPE_NARROW_GAUGE_RAILTYPE_OHLE]:[TRACK_TYPE_NARROW_GAUGE_RAILTYPE_NONE]],_xlfn.LAMBDA(_xlpm.r,OR(_xlpm.r))),FALSE)</f>
        <v>0</v>
      </c>
      <c r="AG420" s="38" t="b" cm="1">
        <f t="array" ref="AG420">IFERROR(_xlfn.BYROW(TRACK_TYPES[[#This Row],[TRACK_TYPE_BROAD_GAUGE_RAILTYPE_OHLE]:[TRACK_TYPE_BROAD_GAUGE_RAILTYPE_NONE]],_xlfn.LAMBDA(_xlpm.r,OR(_xlpm.r))),FALSE)</f>
        <v>0</v>
      </c>
      <c r="AH4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0"/>
      <c r="AQ420"/>
      <c r="AR420"/>
    </row>
    <row r="421" spans="1:44" x14ac:dyDescent="0.35">
      <c r="A421" s="2" t="s">
        <v>3055</v>
      </c>
      <c r="B421" s="40" t="str">
        <f>_xlfn.XLOOKUP(PROPERTIES[[#This Row],[VEHIDCODE]],CONTROL[VEHIDCODE],CONTROL[ENGLISH])</f>
        <v>ASEA/Koncar Rb</v>
      </c>
      <c r="D421" t="b">
        <v>1</v>
      </c>
      <c r="AC421" s="2"/>
      <c r="AD421" s="2" t="b">
        <f>LEN(_xlfn.CONCAT(TRACK_TYPES[[#This Row],[TRACK_TYPE_STANDARD_GAUGE_RAILTYPE_OHLE]:[TRACK_TYPE_MTRO]]))&gt;0</f>
        <v>1</v>
      </c>
      <c r="AE421" s="38" t="b" cm="1">
        <f t="array" ref="AE421">IFERROR(_xlfn.BYROW(TRACK_TYPES[[#This Row],[TRACK_TYPE_STANDARD_GAUGE_RAILTYPE_OHLE]:[TRACK_TYPE_STANDARD_GAUGE_RAILTYPE_NONE]],_xlfn.LAMBDA(_xlpm.r,OR(_xlpm.r))),FALSE)</f>
        <v>1</v>
      </c>
      <c r="AF421" s="38" t="b" cm="1">
        <f t="array" ref="AF421">IFERROR(_xlfn.BYROW(TRACK_TYPES[[#This Row],[TRACK_TYPE_NARROW_GAUGE_RAILTYPE_OHLE]:[TRACK_TYPE_NARROW_GAUGE_RAILTYPE_NONE]],_xlfn.LAMBDA(_xlpm.r,OR(_xlpm.r))),FALSE)</f>
        <v>0</v>
      </c>
      <c r="AG421" s="38" t="b" cm="1">
        <f t="array" ref="AG421">IFERROR(_xlfn.BYROW(TRACK_TYPES[[#This Row],[TRACK_TYPE_BROAD_GAUGE_RAILTYPE_OHLE]:[TRACK_TYPE_BROAD_GAUGE_RAILTYPE_NONE]],_xlfn.LAMBDA(_xlpm.r,OR(_xlpm.r))),FALSE)</f>
        <v>0</v>
      </c>
      <c r="AH4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1"/>
      <c r="AQ421"/>
      <c r="AR421"/>
    </row>
    <row r="422" spans="1:44" x14ac:dyDescent="0.35">
      <c r="A422" s="2" t="s">
        <v>3056</v>
      </c>
      <c r="B422" s="40" t="str">
        <f>_xlfn.XLOOKUP(PROPERTIES[[#This Row],[VEHIDCODE]],CONTROL[VEHIDCODE],CONTROL[ENGLISH])</f>
        <v>Ganz-MAVAG VM14 'V43'</v>
      </c>
      <c r="D422" t="b">
        <v>1</v>
      </c>
      <c r="E422" t="b">
        <v>1</v>
      </c>
      <c r="AC422" s="2"/>
      <c r="AD422" s="2" t="b">
        <f>LEN(_xlfn.CONCAT(TRACK_TYPES[[#This Row],[TRACK_TYPE_STANDARD_GAUGE_RAILTYPE_OHLE]:[TRACK_TYPE_MTRO]]))&gt;0</f>
        <v>1</v>
      </c>
      <c r="AE422" s="38" t="b" cm="1">
        <f t="array" ref="AE422">IFERROR(_xlfn.BYROW(TRACK_TYPES[[#This Row],[TRACK_TYPE_STANDARD_GAUGE_RAILTYPE_OHLE]:[TRACK_TYPE_STANDARD_GAUGE_RAILTYPE_NONE]],_xlfn.LAMBDA(_xlpm.r,OR(_xlpm.r))),FALSE)</f>
        <v>1</v>
      </c>
      <c r="AF422" s="38" t="b" cm="1">
        <f t="array" ref="AF422">IFERROR(_xlfn.BYROW(TRACK_TYPES[[#This Row],[TRACK_TYPE_NARROW_GAUGE_RAILTYPE_OHLE]:[TRACK_TYPE_NARROW_GAUGE_RAILTYPE_NONE]],_xlfn.LAMBDA(_xlpm.r,OR(_xlpm.r))),FALSE)</f>
        <v>0</v>
      </c>
      <c r="AG422" s="38" t="b" cm="1">
        <f t="array" ref="AG422">IFERROR(_xlfn.BYROW(TRACK_TYPES[[#This Row],[TRACK_TYPE_BROAD_GAUGE_RAILTYPE_OHLE]:[TRACK_TYPE_BROAD_GAUGE_RAILTYPE_NONE]],_xlfn.LAMBDA(_xlpm.r,OR(_xlpm.r))),FALSE)</f>
        <v>0</v>
      </c>
      <c r="AH4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2"/>
      <c r="AQ422"/>
      <c r="AR422"/>
    </row>
    <row r="423" spans="1:44" x14ac:dyDescent="0.35">
      <c r="A423" s="2" t="s">
        <v>3057</v>
      </c>
      <c r="B423" s="40" t="str">
        <f>_xlfn.XLOOKUP(PROPERTIES[[#This Row],[VEHIDCODE]],CONTROL[VEHIDCODE],CONTROL[ENGLISH])</f>
        <v>Alsthom CP 2500</v>
      </c>
      <c r="T423" t="b">
        <v>1</v>
      </c>
      <c r="AC423" s="2"/>
      <c r="AD423" s="2" t="b">
        <f>LEN(_xlfn.CONCAT(TRACK_TYPES[[#This Row],[TRACK_TYPE_STANDARD_GAUGE_RAILTYPE_OHLE]:[TRACK_TYPE_MTRO]]))&gt;0</f>
        <v>1</v>
      </c>
      <c r="AE423" s="38" t="b" cm="1">
        <f t="array" ref="AE423">IFERROR(_xlfn.BYROW(TRACK_TYPES[[#This Row],[TRACK_TYPE_STANDARD_GAUGE_RAILTYPE_OHLE]:[TRACK_TYPE_STANDARD_GAUGE_RAILTYPE_NONE]],_xlfn.LAMBDA(_xlpm.r,OR(_xlpm.r))),FALSE)</f>
        <v>0</v>
      </c>
      <c r="AF423" s="38" t="b" cm="1">
        <f t="array" ref="AF423">IFERROR(_xlfn.BYROW(TRACK_TYPES[[#This Row],[TRACK_TYPE_NARROW_GAUGE_RAILTYPE_OHLE]:[TRACK_TYPE_NARROW_GAUGE_RAILTYPE_NONE]],_xlfn.LAMBDA(_xlpm.r,OR(_xlpm.r))),FALSE)</f>
        <v>0</v>
      </c>
      <c r="AG423" s="38" t="b" cm="1">
        <f t="array" ref="AG423">IFERROR(_xlfn.BYROW(TRACK_TYPES[[#This Row],[TRACK_TYPE_BROAD_GAUGE_RAILTYPE_OHLE]:[TRACK_TYPE_BROAD_GAUGE_RAILTYPE_NONE]],_xlfn.LAMBDA(_xlpm.r,OR(_xlpm.r))),FALSE)</f>
        <v>1</v>
      </c>
      <c r="AH4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23"/>
      <c r="AQ423"/>
      <c r="AR423"/>
    </row>
    <row r="424" spans="1:44" x14ac:dyDescent="0.35">
      <c r="A424" s="2" t="s">
        <v>3058</v>
      </c>
      <c r="B424" s="40" t="str">
        <f>_xlfn.XLOOKUP(PROPERTIES[[#This Row],[VEHIDCODE]],CONTROL[VEHIDCODE],CONTROL[ENGLISH])</f>
        <v>Alsthom CP 2600</v>
      </c>
      <c r="T424" t="b">
        <v>1</v>
      </c>
      <c r="AC424" s="2"/>
      <c r="AD424" s="2" t="b">
        <f>LEN(_xlfn.CONCAT(TRACK_TYPES[[#This Row],[TRACK_TYPE_STANDARD_GAUGE_RAILTYPE_OHLE]:[TRACK_TYPE_MTRO]]))&gt;0</f>
        <v>1</v>
      </c>
      <c r="AE424" s="38" t="b" cm="1">
        <f t="array" ref="AE424">IFERROR(_xlfn.BYROW(TRACK_TYPES[[#This Row],[TRACK_TYPE_STANDARD_GAUGE_RAILTYPE_OHLE]:[TRACK_TYPE_STANDARD_GAUGE_RAILTYPE_NONE]],_xlfn.LAMBDA(_xlpm.r,OR(_xlpm.r))),FALSE)</f>
        <v>0</v>
      </c>
      <c r="AF424" s="38" t="b" cm="1">
        <f t="array" ref="AF424">IFERROR(_xlfn.BYROW(TRACK_TYPES[[#This Row],[TRACK_TYPE_NARROW_GAUGE_RAILTYPE_OHLE]:[TRACK_TYPE_NARROW_GAUGE_RAILTYPE_NONE]],_xlfn.LAMBDA(_xlpm.r,OR(_xlpm.r))),FALSE)</f>
        <v>0</v>
      </c>
      <c r="AG424" s="38" t="b" cm="1">
        <f t="array" ref="AG424">IFERROR(_xlfn.BYROW(TRACK_TYPES[[#This Row],[TRACK_TYPE_BROAD_GAUGE_RAILTYPE_OHLE]:[TRACK_TYPE_BROAD_GAUGE_RAILTYPE_NONE]],_xlfn.LAMBDA(_xlpm.r,OR(_xlpm.r))),FALSE)</f>
        <v>1</v>
      </c>
      <c r="AH4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24"/>
      <c r="AQ424"/>
      <c r="AR424"/>
    </row>
    <row r="425" spans="1:44" x14ac:dyDescent="0.35">
      <c r="A425" s="2" t="s">
        <v>3059</v>
      </c>
      <c r="B425" s="40" t="str">
        <f>_xlfn.XLOOKUP(PROPERTIES[[#This Row],[VEHIDCODE]],CONTROL[VEHIDCODE],CONTROL[ENGLISH])</f>
        <v>ZELC 20E 'China Doll'</v>
      </c>
      <c r="L425" t="b">
        <v>1</v>
      </c>
      <c r="AC425" s="2"/>
      <c r="AD425" s="2" t="b">
        <f>LEN(_xlfn.CONCAT(TRACK_TYPES[[#This Row],[TRACK_TYPE_STANDARD_GAUGE_RAILTYPE_OHLE]:[TRACK_TYPE_MTRO]]))&gt;0</f>
        <v>1</v>
      </c>
      <c r="AE425" s="38" t="b" cm="1">
        <f t="array" ref="AE425">IFERROR(_xlfn.BYROW(TRACK_TYPES[[#This Row],[TRACK_TYPE_STANDARD_GAUGE_RAILTYPE_OHLE]:[TRACK_TYPE_STANDARD_GAUGE_RAILTYPE_NONE]],_xlfn.LAMBDA(_xlpm.r,OR(_xlpm.r))),FALSE)</f>
        <v>0</v>
      </c>
      <c r="AF425" s="38" t="b" cm="1">
        <f t="array" ref="AF425">IFERROR(_xlfn.BYROW(TRACK_TYPES[[#This Row],[TRACK_TYPE_NARROW_GAUGE_RAILTYPE_OHLE]:[TRACK_TYPE_NARROW_GAUGE_RAILTYPE_NONE]],_xlfn.LAMBDA(_xlpm.r,OR(_xlpm.r))),FALSE)</f>
        <v>1</v>
      </c>
      <c r="AG425" s="38" t="b" cm="1">
        <f t="array" ref="AG425">IFERROR(_xlfn.BYROW(TRACK_TYPES[[#This Row],[TRACK_TYPE_BROAD_GAUGE_RAILTYPE_OHLE]:[TRACK_TYPE_BROAD_GAUGE_RAILTYPE_NONE]],_xlfn.LAMBDA(_xlpm.r,OR(_xlpm.r))),FALSE)</f>
        <v>0</v>
      </c>
      <c r="AH4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25"/>
      <c r="AQ425"/>
      <c r="AR425"/>
    </row>
    <row r="426" spans="1:44" x14ac:dyDescent="0.35">
      <c r="A426" s="2" t="s">
        <v>3456</v>
      </c>
      <c r="B426" s="40" t="str">
        <f>_xlfn.XLOOKUP(PROPERTIES[[#This Row],[VEHIDCODE]],CONTROL[VEHIDCODE],CONTROL[ENGLISH])</f>
        <v>Siemens EuroSprinter ES64F4</v>
      </c>
      <c r="C426" t="b">
        <v>1</v>
      </c>
      <c r="AC426" s="2"/>
      <c r="AD426" s="2" t="b">
        <f>LEN(_xlfn.CONCAT(TRACK_TYPES[[#This Row],[TRACK_TYPE_STANDARD_GAUGE_RAILTYPE_OHLE]:[TRACK_TYPE_MTRO]]))&gt;0</f>
        <v>1</v>
      </c>
      <c r="AE426" s="38" t="b" cm="1">
        <f t="array" ref="AE426">IFERROR(_xlfn.BYROW(TRACK_TYPES[[#This Row],[TRACK_TYPE_STANDARD_GAUGE_RAILTYPE_OHLE]:[TRACK_TYPE_STANDARD_GAUGE_RAILTYPE_NONE]],_xlfn.LAMBDA(_xlpm.r,OR(_xlpm.r))),FALSE)</f>
        <v>1</v>
      </c>
      <c r="AF426" s="38" t="b" cm="1">
        <f t="array" ref="AF426">IFERROR(_xlfn.BYROW(TRACK_TYPES[[#This Row],[TRACK_TYPE_NARROW_GAUGE_RAILTYPE_OHLE]:[TRACK_TYPE_NARROW_GAUGE_RAILTYPE_NONE]],_xlfn.LAMBDA(_xlpm.r,OR(_xlpm.r))),FALSE)</f>
        <v>0</v>
      </c>
      <c r="AG426" s="38" t="b" cm="1">
        <f t="array" ref="AG426">IFERROR(_xlfn.BYROW(TRACK_TYPES[[#This Row],[TRACK_TYPE_BROAD_GAUGE_RAILTYPE_OHLE]:[TRACK_TYPE_BROAD_GAUGE_RAILTYPE_NONE]],_xlfn.LAMBDA(_xlpm.r,OR(_xlpm.r))),FALSE)</f>
        <v>0</v>
      </c>
      <c r="AH4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6"/>
      <c r="AQ426"/>
      <c r="AR426"/>
    </row>
    <row r="427" spans="1:44" x14ac:dyDescent="0.35">
      <c r="A427" s="2" t="s">
        <v>3060</v>
      </c>
      <c r="B427" s="40" t="str">
        <f>_xlfn.XLOOKUP(PROPERTIES[[#This Row],[VEHIDCODE]],CONTROL[VEHIDCODE],CONTROL[ENGLISH])</f>
        <v>DEVZ DS3</v>
      </c>
      <c r="T427" t="b">
        <v>1</v>
      </c>
      <c r="AC427" s="2"/>
      <c r="AD427" s="2" t="b">
        <f>LEN(_xlfn.CONCAT(TRACK_TYPES[[#This Row],[TRACK_TYPE_STANDARD_GAUGE_RAILTYPE_OHLE]:[TRACK_TYPE_MTRO]]))&gt;0</f>
        <v>1</v>
      </c>
      <c r="AE427" s="38" t="b" cm="1">
        <f t="array" ref="AE427">IFERROR(_xlfn.BYROW(TRACK_TYPES[[#This Row],[TRACK_TYPE_STANDARD_GAUGE_RAILTYPE_OHLE]:[TRACK_TYPE_STANDARD_GAUGE_RAILTYPE_NONE]],_xlfn.LAMBDA(_xlpm.r,OR(_xlpm.r))),FALSE)</f>
        <v>0</v>
      </c>
      <c r="AF427" s="38" t="b" cm="1">
        <f t="array" ref="AF427">IFERROR(_xlfn.BYROW(TRACK_TYPES[[#This Row],[TRACK_TYPE_NARROW_GAUGE_RAILTYPE_OHLE]:[TRACK_TYPE_NARROW_GAUGE_RAILTYPE_NONE]],_xlfn.LAMBDA(_xlpm.r,OR(_xlpm.r))),FALSE)</f>
        <v>0</v>
      </c>
      <c r="AG427" s="38" t="b" cm="1">
        <f t="array" ref="AG427">IFERROR(_xlfn.BYROW(TRACK_TYPES[[#This Row],[TRACK_TYPE_BROAD_GAUGE_RAILTYPE_OHLE]:[TRACK_TYPE_BROAD_GAUGE_RAILTYPE_NONE]],_xlfn.LAMBDA(_xlpm.r,OR(_xlpm.r))),FALSE)</f>
        <v>1</v>
      </c>
      <c r="AH4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27"/>
      <c r="AQ427"/>
      <c r="AR427"/>
    </row>
    <row r="428" spans="1:44" x14ac:dyDescent="0.35">
      <c r="A428" s="2" t="s">
        <v>3061</v>
      </c>
      <c r="B428" s="40" t="str">
        <f>_xlfn.XLOOKUP(PROPERTIES[[#This Row],[VEHIDCODE]],CONTROL[VEHIDCODE],CONTROL[ENGLISH])</f>
        <v>Skoda 47E</v>
      </c>
      <c r="D428" t="b">
        <v>1</v>
      </c>
      <c r="AC428" s="2"/>
      <c r="AD428" s="2" t="b">
        <f>LEN(_xlfn.CONCAT(TRACK_TYPES[[#This Row],[TRACK_TYPE_STANDARD_GAUGE_RAILTYPE_OHLE]:[TRACK_TYPE_MTRO]]))&gt;0</f>
        <v>1</v>
      </c>
      <c r="AE428" s="38" t="b" cm="1">
        <f t="array" ref="AE428">IFERROR(_xlfn.BYROW(TRACK_TYPES[[#This Row],[TRACK_TYPE_STANDARD_GAUGE_RAILTYPE_OHLE]:[TRACK_TYPE_STANDARD_GAUGE_RAILTYPE_NONE]],_xlfn.LAMBDA(_xlpm.r,OR(_xlpm.r))),FALSE)</f>
        <v>1</v>
      </c>
      <c r="AF428" s="38" t="b" cm="1">
        <f t="array" ref="AF428">IFERROR(_xlfn.BYROW(TRACK_TYPES[[#This Row],[TRACK_TYPE_NARROW_GAUGE_RAILTYPE_OHLE]:[TRACK_TYPE_NARROW_GAUGE_RAILTYPE_NONE]],_xlfn.LAMBDA(_xlpm.r,OR(_xlpm.r))),FALSE)</f>
        <v>0</v>
      </c>
      <c r="AG428" s="38" t="b" cm="1">
        <f t="array" ref="AG428">IFERROR(_xlfn.BYROW(TRACK_TYPES[[#This Row],[TRACK_TYPE_BROAD_GAUGE_RAILTYPE_OHLE]:[TRACK_TYPE_BROAD_GAUGE_RAILTYPE_NONE]],_xlfn.LAMBDA(_xlpm.r,OR(_xlpm.r))),FALSE)</f>
        <v>0</v>
      </c>
      <c r="AH4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8"/>
      <c r="AQ428"/>
      <c r="AR428"/>
    </row>
    <row r="429" spans="1:44" x14ac:dyDescent="0.35">
      <c r="A429" s="2" t="s">
        <v>3062</v>
      </c>
      <c r="B429" s="40" t="str">
        <f>_xlfn.XLOOKUP(PROPERTIES[[#This Row],[VEHIDCODE]],CONTROL[VEHIDCODE],CONTROL[ENGLISH])</f>
        <v>Ansaldo - Breda C.F E.491</v>
      </c>
      <c r="D429" t="b">
        <v>1</v>
      </c>
      <c r="AC429" s="2"/>
      <c r="AD429" s="2" t="b">
        <f>LEN(_xlfn.CONCAT(TRACK_TYPES[[#This Row],[TRACK_TYPE_STANDARD_GAUGE_RAILTYPE_OHLE]:[TRACK_TYPE_MTRO]]))&gt;0</f>
        <v>1</v>
      </c>
      <c r="AE429" s="38" t="b" cm="1">
        <f t="array" ref="AE429">IFERROR(_xlfn.BYROW(TRACK_TYPES[[#This Row],[TRACK_TYPE_STANDARD_GAUGE_RAILTYPE_OHLE]:[TRACK_TYPE_STANDARD_GAUGE_RAILTYPE_NONE]],_xlfn.LAMBDA(_xlpm.r,OR(_xlpm.r))),FALSE)</f>
        <v>1</v>
      </c>
      <c r="AF429" s="38" t="b" cm="1">
        <f t="array" ref="AF429">IFERROR(_xlfn.BYROW(TRACK_TYPES[[#This Row],[TRACK_TYPE_NARROW_GAUGE_RAILTYPE_OHLE]:[TRACK_TYPE_NARROW_GAUGE_RAILTYPE_NONE]],_xlfn.LAMBDA(_xlpm.r,OR(_xlpm.r))),FALSE)</f>
        <v>0</v>
      </c>
      <c r="AG429" s="38" t="b" cm="1">
        <f t="array" ref="AG429">IFERROR(_xlfn.BYROW(TRACK_TYPES[[#This Row],[TRACK_TYPE_BROAD_GAUGE_RAILTYPE_OHLE]:[TRACK_TYPE_BROAD_GAUGE_RAILTYPE_NONE]],_xlfn.LAMBDA(_xlpm.r,OR(_xlpm.r))),FALSE)</f>
        <v>0</v>
      </c>
      <c r="AH4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9"/>
      <c r="AQ429"/>
      <c r="AR429"/>
    </row>
    <row r="430" spans="1:44" x14ac:dyDescent="0.35">
      <c r="A430" s="2" t="s">
        <v>3063</v>
      </c>
      <c r="B430" s="40" t="str">
        <f>_xlfn.XLOOKUP(PROPERTIES[[#This Row],[VEHIDCODE]],CONTROL[VEHIDCODE],CONTROL[ENGLISH])</f>
        <v>ASEA/Electroputere LE5100</v>
      </c>
      <c r="D430" t="b">
        <v>1</v>
      </c>
      <c r="AC430" s="2"/>
      <c r="AD430" s="2" t="b">
        <f>LEN(_xlfn.CONCAT(TRACK_TYPES[[#This Row],[TRACK_TYPE_STANDARD_GAUGE_RAILTYPE_OHLE]:[TRACK_TYPE_MTRO]]))&gt;0</f>
        <v>1</v>
      </c>
      <c r="AE430" s="38" t="b" cm="1">
        <f t="array" ref="AE430">IFERROR(_xlfn.BYROW(TRACK_TYPES[[#This Row],[TRACK_TYPE_STANDARD_GAUGE_RAILTYPE_OHLE]:[TRACK_TYPE_STANDARD_GAUGE_RAILTYPE_NONE]],_xlfn.LAMBDA(_xlpm.r,OR(_xlpm.r))),FALSE)</f>
        <v>1</v>
      </c>
      <c r="AF430" s="38" t="b" cm="1">
        <f t="array" ref="AF430">IFERROR(_xlfn.BYROW(TRACK_TYPES[[#This Row],[TRACK_TYPE_NARROW_GAUGE_RAILTYPE_OHLE]:[TRACK_TYPE_NARROW_GAUGE_RAILTYPE_NONE]],_xlfn.LAMBDA(_xlpm.r,OR(_xlpm.r))),FALSE)</f>
        <v>0</v>
      </c>
      <c r="AG430" s="38" t="b" cm="1">
        <f t="array" ref="AG430">IFERROR(_xlfn.BYROW(TRACK_TYPES[[#This Row],[TRACK_TYPE_BROAD_GAUGE_RAILTYPE_OHLE]:[TRACK_TYPE_BROAD_GAUGE_RAILTYPE_NONE]],_xlfn.LAMBDA(_xlpm.r,OR(_xlpm.r))),FALSE)</f>
        <v>0</v>
      </c>
      <c r="AH4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0"/>
      <c r="AQ430"/>
      <c r="AR430"/>
    </row>
    <row r="431" spans="1:44" x14ac:dyDescent="0.35">
      <c r="A431" s="2" t="s">
        <v>3064</v>
      </c>
      <c r="B431" s="40" t="str">
        <f>_xlfn.XLOOKUP(PROPERTIES[[#This Row],[VEHIDCODE]],CONTROL[VEHIDCODE],CONTROL[ENGLISH])</f>
        <v>CEF BB 1600</v>
      </c>
      <c r="G431" t="b">
        <v>1</v>
      </c>
      <c r="AC431" s="2"/>
      <c r="AD431" s="2" t="b">
        <f>LEN(_xlfn.CONCAT(TRACK_TYPES[[#This Row],[TRACK_TYPE_STANDARD_GAUGE_RAILTYPE_OHLE]:[TRACK_TYPE_MTRO]]))&gt;0</f>
        <v>1</v>
      </c>
      <c r="AE431" s="38" t="b" cm="1">
        <f t="array" ref="AE431">IFERROR(_xlfn.BYROW(TRACK_TYPES[[#This Row],[TRACK_TYPE_STANDARD_GAUGE_RAILTYPE_OHLE]:[TRACK_TYPE_STANDARD_GAUGE_RAILTYPE_NONE]],_xlfn.LAMBDA(_xlpm.r,OR(_xlpm.r))),FALSE)</f>
        <v>1</v>
      </c>
      <c r="AF431" s="38" t="b" cm="1">
        <f t="array" ref="AF431">IFERROR(_xlfn.BYROW(TRACK_TYPES[[#This Row],[TRACK_TYPE_NARROW_GAUGE_RAILTYPE_OHLE]:[TRACK_TYPE_NARROW_GAUGE_RAILTYPE_NONE]],_xlfn.LAMBDA(_xlpm.r,OR(_xlpm.r))),FALSE)</f>
        <v>0</v>
      </c>
      <c r="AG431" s="38" t="b" cm="1">
        <f t="array" ref="AG431">IFERROR(_xlfn.BYROW(TRACK_TYPES[[#This Row],[TRACK_TYPE_BROAD_GAUGE_RAILTYPE_OHLE]:[TRACK_TYPE_BROAD_GAUGE_RAILTYPE_NONE]],_xlfn.LAMBDA(_xlpm.r,OR(_xlpm.r))),FALSE)</f>
        <v>0</v>
      </c>
      <c r="AH4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1"/>
      <c r="AQ431"/>
      <c r="AR431"/>
    </row>
    <row r="432" spans="1:44" x14ac:dyDescent="0.35">
      <c r="A432" s="2" t="s">
        <v>3065</v>
      </c>
      <c r="B432" s="40" t="str">
        <f>_xlfn.XLOOKUP(PROPERTIES[[#This Row],[VEHIDCODE]],CONTROL[VEHIDCODE],CONTROL[ENGLISH])</f>
        <v>Doncaster AL5</v>
      </c>
      <c r="D432" t="b">
        <v>1</v>
      </c>
      <c r="AC432" s="2"/>
      <c r="AD432" s="2" t="b">
        <f>LEN(_xlfn.CONCAT(TRACK_TYPES[[#This Row],[TRACK_TYPE_STANDARD_GAUGE_RAILTYPE_OHLE]:[TRACK_TYPE_MTRO]]))&gt;0</f>
        <v>1</v>
      </c>
      <c r="AE432" s="38" t="b" cm="1">
        <f t="array" ref="AE432">IFERROR(_xlfn.BYROW(TRACK_TYPES[[#This Row],[TRACK_TYPE_STANDARD_GAUGE_RAILTYPE_OHLE]:[TRACK_TYPE_STANDARD_GAUGE_RAILTYPE_NONE]],_xlfn.LAMBDA(_xlpm.r,OR(_xlpm.r))),FALSE)</f>
        <v>1</v>
      </c>
      <c r="AF432" s="38" t="b" cm="1">
        <f t="array" ref="AF432">IFERROR(_xlfn.BYROW(TRACK_TYPES[[#This Row],[TRACK_TYPE_NARROW_GAUGE_RAILTYPE_OHLE]:[TRACK_TYPE_NARROW_GAUGE_RAILTYPE_NONE]],_xlfn.LAMBDA(_xlpm.r,OR(_xlpm.r))),FALSE)</f>
        <v>0</v>
      </c>
      <c r="AG432" s="38" t="b" cm="1">
        <f t="array" ref="AG432">IFERROR(_xlfn.BYROW(TRACK_TYPES[[#This Row],[TRACK_TYPE_BROAD_GAUGE_RAILTYPE_OHLE]:[TRACK_TYPE_BROAD_GAUGE_RAILTYPE_NONE]],_xlfn.LAMBDA(_xlpm.r,OR(_xlpm.r))),FALSE)</f>
        <v>0</v>
      </c>
      <c r="AH4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2"/>
      <c r="AQ432"/>
      <c r="AR432"/>
    </row>
    <row r="433" spans="1:44" x14ac:dyDescent="0.35">
      <c r="A433" s="2" t="s">
        <v>3066</v>
      </c>
      <c r="B433" s="40" t="str">
        <f>_xlfn.XLOOKUP(PROPERTIES[[#This Row],[VEHIDCODE]],CONTROL[VEHIDCODE],CONTROL[ENGLISH])</f>
        <v>GE E60C-2</v>
      </c>
      <c r="D433" t="b">
        <v>1</v>
      </c>
      <c r="E433" t="b">
        <v>1</v>
      </c>
      <c r="AC433" s="2"/>
      <c r="AD433" s="2" t="b">
        <f>LEN(_xlfn.CONCAT(TRACK_TYPES[[#This Row],[TRACK_TYPE_STANDARD_GAUGE_RAILTYPE_OHLE]:[TRACK_TYPE_MTRO]]))&gt;0</f>
        <v>1</v>
      </c>
      <c r="AE433" s="38" t="b" cm="1">
        <f t="array" ref="AE433">IFERROR(_xlfn.BYROW(TRACK_TYPES[[#This Row],[TRACK_TYPE_STANDARD_GAUGE_RAILTYPE_OHLE]:[TRACK_TYPE_STANDARD_GAUGE_RAILTYPE_NONE]],_xlfn.LAMBDA(_xlpm.r,OR(_xlpm.r))),FALSE)</f>
        <v>1</v>
      </c>
      <c r="AF433" s="38" t="b" cm="1">
        <f t="array" ref="AF433">IFERROR(_xlfn.BYROW(TRACK_TYPES[[#This Row],[TRACK_TYPE_NARROW_GAUGE_RAILTYPE_OHLE]:[TRACK_TYPE_NARROW_GAUGE_RAILTYPE_NONE]],_xlfn.LAMBDA(_xlpm.r,OR(_xlpm.r))),FALSE)</f>
        <v>0</v>
      </c>
      <c r="AG433" s="38" t="b" cm="1">
        <f t="array" ref="AG433">IFERROR(_xlfn.BYROW(TRACK_TYPES[[#This Row],[TRACK_TYPE_BROAD_GAUGE_RAILTYPE_OHLE]:[TRACK_TYPE_BROAD_GAUGE_RAILTYPE_NONE]],_xlfn.LAMBDA(_xlpm.r,OR(_xlpm.r))),FALSE)</f>
        <v>0</v>
      </c>
      <c r="AH4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3"/>
      <c r="AQ433"/>
      <c r="AR433"/>
    </row>
    <row r="434" spans="1:44" x14ac:dyDescent="0.35">
      <c r="A434" s="2" t="s">
        <v>3067</v>
      </c>
      <c r="B434" s="40" t="str">
        <f>_xlfn.XLOOKUP(PROPERTIES[[#This Row],[VEHIDCODE]],CONTROL[VEHIDCODE],CONTROL[ENGLISH])</f>
        <v>Alstom E 1400</v>
      </c>
      <c r="D434" t="b">
        <v>1</v>
      </c>
      <c r="F434" t="b">
        <v>1</v>
      </c>
      <c r="AC434" s="2"/>
      <c r="AD434" s="2" t="b">
        <f>LEN(_xlfn.CONCAT(TRACK_TYPES[[#This Row],[TRACK_TYPE_STANDARD_GAUGE_RAILTYPE_OHLE]:[TRACK_TYPE_MTRO]]))&gt;0</f>
        <v>1</v>
      </c>
      <c r="AE434" s="38" t="b" cm="1">
        <f t="array" ref="AE434">IFERROR(_xlfn.BYROW(TRACK_TYPES[[#This Row],[TRACK_TYPE_STANDARD_GAUGE_RAILTYPE_OHLE]:[TRACK_TYPE_STANDARD_GAUGE_RAILTYPE_NONE]],_xlfn.LAMBDA(_xlpm.r,OR(_xlpm.r))),FALSE)</f>
        <v>1</v>
      </c>
      <c r="AF434" s="38" t="b" cm="1">
        <f t="array" ref="AF434">IFERROR(_xlfn.BYROW(TRACK_TYPES[[#This Row],[TRACK_TYPE_NARROW_GAUGE_RAILTYPE_OHLE]:[TRACK_TYPE_NARROW_GAUGE_RAILTYPE_NONE]],_xlfn.LAMBDA(_xlpm.r,OR(_xlpm.r))),FALSE)</f>
        <v>0</v>
      </c>
      <c r="AG434" s="38" t="b" cm="1">
        <f t="array" ref="AG434">IFERROR(_xlfn.BYROW(TRACK_TYPES[[#This Row],[TRACK_TYPE_BROAD_GAUGE_RAILTYPE_OHLE]:[TRACK_TYPE_BROAD_GAUGE_RAILTYPE_NONE]],_xlfn.LAMBDA(_xlpm.r,OR(_xlpm.r))),FALSE)</f>
        <v>0</v>
      </c>
      <c r="AH4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4"/>
      <c r="AQ434"/>
      <c r="AR434"/>
    </row>
    <row r="435" spans="1:44" x14ac:dyDescent="0.35">
      <c r="A435" s="2" t="s">
        <v>3068</v>
      </c>
      <c r="B435" s="40" t="str">
        <f>_xlfn.XLOOKUP(PROPERTIES[[#This Row],[VEHIDCODE]],CONTROL[VEHIDCODE],CONTROL[ENGLISH])</f>
        <v>Toshiba EA</v>
      </c>
      <c r="O435" t="b">
        <v>1</v>
      </c>
      <c r="AC435" s="2"/>
      <c r="AD435" s="2" t="b">
        <f>LEN(_xlfn.CONCAT(TRACK_TYPES[[#This Row],[TRACK_TYPE_STANDARD_GAUGE_RAILTYPE_OHLE]:[TRACK_TYPE_MTRO]]))&gt;0</f>
        <v>1</v>
      </c>
      <c r="AE435" s="38" t="b" cm="1">
        <f t="array" ref="AE435">IFERROR(_xlfn.BYROW(TRACK_TYPES[[#This Row],[TRACK_TYPE_STANDARD_GAUGE_RAILTYPE_OHLE]:[TRACK_TYPE_STANDARD_GAUGE_RAILTYPE_NONE]],_xlfn.LAMBDA(_xlpm.r,OR(_xlpm.r))),FALSE)</f>
        <v>0</v>
      </c>
      <c r="AF435" s="38" t="b" cm="1">
        <f t="array" ref="AF435">IFERROR(_xlfn.BYROW(TRACK_TYPES[[#This Row],[TRACK_TYPE_NARROW_GAUGE_RAILTYPE_OHLE]:[TRACK_TYPE_NARROW_GAUGE_RAILTYPE_NONE]],_xlfn.LAMBDA(_xlpm.r,OR(_xlpm.r))),FALSE)</f>
        <v>1</v>
      </c>
      <c r="AG435" s="38" t="b" cm="1">
        <f t="array" ref="AG435">IFERROR(_xlfn.BYROW(TRACK_TYPES[[#This Row],[TRACK_TYPE_BROAD_GAUGE_RAILTYPE_OHLE]:[TRACK_TYPE_BROAD_GAUGE_RAILTYPE_NONE]],_xlfn.LAMBDA(_xlpm.r,OR(_xlpm.r))),FALSE)</f>
        <v>0</v>
      </c>
      <c r="AH4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35"/>
      <c r="AQ435"/>
      <c r="AR435"/>
    </row>
    <row r="436" spans="1:44" x14ac:dyDescent="0.35">
      <c r="A436" s="2" t="s">
        <v>3069</v>
      </c>
      <c r="B436" s="40" t="str">
        <f>_xlfn.XLOOKUP(PROPERTIES[[#This Row],[VEHIDCODE]],CONTROL[VEHIDCODE],CONTROL[ENGLISH])</f>
        <v>ASEA-GMD GF6C</v>
      </c>
      <c r="D436" t="b">
        <v>1</v>
      </c>
      <c r="AC436" s="2"/>
      <c r="AD436" s="2" t="b">
        <f>LEN(_xlfn.CONCAT(TRACK_TYPES[[#This Row],[TRACK_TYPE_STANDARD_GAUGE_RAILTYPE_OHLE]:[TRACK_TYPE_MTRO]]))&gt;0</f>
        <v>1</v>
      </c>
      <c r="AE436" s="38" t="b" cm="1">
        <f t="array" ref="AE436">IFERROR(_xlfn.BYROW(TRACK_TYPES[[#This Row],[TRACK_TYPE_STANDARD_GAUGE_RAILTYPE_OHLE]:[TRACK_TYPE_STANDARD_GAUGE_RAILTYPE_NONE]],_xlfn.LAMBDA(_xlpm.r,OR(_xlpm.r))),FALSE)</f>
        <v>1</v>
      </c>
      <c r="AF436" s="38" t="b" cm="1">
        <f t="array" ref="AF436">IFERROR(_xlfn.BYROW(TRACK_TYPES[[#This Row],[TRACK_TYPE_NARROW_GAUGE_RAILTYPE_OHLE]:[TRACK_TYPE_NARROW_GAUGE_RAILTYPE_NONE]],_xlfn.LAMBDA(_xlpm.r,OR(_xlpm.r))),FALSE)</f>
        <v>0</v>
      </c>
      <c r="AG436" s="38" t="b" cm="1">
        <f t="array" ref="AG436">IFERROR(_xlfn.BYROW(TRACK_TYPES[[#This Row],[TRACK_TYPE_BROAD_GAUGE_RAILTYPE_OHLE]:[TRACK_TYPE_BROAD_GAUGE_RAILTYPE_NONE]],_xlfn.LAMBDA(_xlpm.r,OR(_xlpm.r))),FALSE)</f>
        <v>0</v>
      </c>
      <c r="AH4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6"/>
      <c r="AQ436"/>
      <c r="AR436"/>
    </row>
    <row r="437" spans="1:44" x14ac:dyDescent="0.35">
      <c r="A437" s="2" t="s">
        <v>3070</v>
      </c>
      <c r="B437" s="40" t="str">
        <f>_xlfn.XLOOKUP(PROPERTIES[[#This Row],[VEHIDCODE]],CONTROL[VEHIDCODE],CONTROL[ENGLISH])</f>
        <v>Alsthom BB 22200</v>
      </c>
      <c r="D437" t="b">
        <v>1</v>
      </c>
      <c r="G437" t="b">
        <v>1</v>
      </c>
      <c r="AC437" s="2"/>
      <c r="AD437" s="2" t="b">
        <f>LEN(_xlfn.CONCAT(TRACK_TYPES[[#This Row],[TRACK_TYPE_STANDARD_GAUGE_RAILTYPE_OHLE]:[TRACK_TYPE_MTRO]]))&gt;0</f>
        <v>1</v>
      </c>
      <c r="AE437" s="38" t="b" cm="1">
        <f t="array" ref="AE437">IFERROR(_xlfn.BYROW(TRACK_TYPES[[#This Row],[TRACK_TYPE_STANDARD_GAUGE_RAILTYPE_OHLE]:[TRACK_TYPE_STANDARD_GAUGE_RAILTYPE_NONE]],_xlfn.LAMBDA(_xlpm.r,OR(_xlpm.r))),FALSE)</f>
        <v>1</v>
      </c>
      <c r="AF437" s="38" t="b" cm="1">
        <f t="array" ref="AF437">IFERROR(_xlfn.BYROW(TRACK_TYPES[[#This Row],[TRACK_TYPE_NARROW_GAUGE_RAILTYPE_OHLE]:[TRACK_TYPE_NARROW_GAUGE_RAILTYPE_NONE]],_xlfn.LAMBDA(_xlpm.r,OR(_xlpm.r))),FALSE)</f>
        <v>0</v>
      </c>
      <c r="AG437" s="38" t="b" cm="1">
        <f t="array" ref="AG437">IFERROR(_xlfn.BYROW(TRACK_TYPES[[#This Row],[TRACK_TYPE_BROAD_GAUGE_RAILTYPE_OHLE]:[TRACK_TYPE_BROAD_GAUGE_RAILTYPE_NONE]],_xlfn.LAMBDA(_xlpm.r,OR(_xlpm.r))),FALSE)</f>
        <v>0</v>
      </c>
      <c r="AH4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7"/>
      <c r="AQ437"/>
      <c r="AR437"/>
    </row>
    <row r="438" spans="1:44" x14ac:dyDescent="0.35">
      <c r="A438" s="2" t="s">
        <v>3071</v>
      </c>
      <c r="B438" s="40" t="str">
        <f>_xlfn.XLOOKUP(PROPERTIES[[#This Row],[VEHIDCODE]],CONTROL[VEHIDCODE],CONTROL[ENGLISH])</f>
        <v>GEC-Alsthom BB 26000</v>
      </c>
      <c r="D438" t="b">
        <v>1</v>
      </c>
      <c r="G438" t="b">
        <v>1</v>
      </c>
      <c r="AC438" s="2"/>
      <c r="AD438" s="2" t="b">
        <f>LEN(_xlfn.CONCAT(TRACK_TYPES[[#This Row],[TRACK_TYPE_STANDARD_GAUGE_RAILTYPE_OHLE]:[TRACK_TYPE_MTRO]]))&gt;0</f>
        <v>1</v>
      </c>
      <c r="AE438" s="38" t="b" cm="1">
        <f t="array" ref="AE438">IFERROR(_xlfn.BYROW(TRACK_TYPES[[#This Row],[TRACK_TYPE_STANDARD_GAUGE_RAILTYPE_OHLE]:[TRACK_TYPE_STANDARD_GAUGE_RAILTYPE_NONE]],_xlfn.LAMBDA(_xlpm.r,OR(_xlpm.r))),FALSE)</f>
        <v>1</v>
      </c>
      <c r="AF438" s="38" t="b" cm="1">
        <f t="array" ref="AF438">IFERROR(_xlfn.BYROW(TRACK_TYPES[[#This Row],[TRACK_TYPE_NARROW_GAUGE_RAILTYPE_OHLE]:[TRACK_TYPE_NARROW_GAUGE_RAILTYPE_NONE]],_xlfn.LAMBDA(_xlpm.r,OR(_xlpm.r))),FALSE)</f>
        <v>0</v>
      </c>
      <c r="AG438" s="38" t="b" cm="1">
        <f t="array" ref="AG438">IFERROR(_xlfn.BYROW(TRACK_TYPES[[#This Row],[TRACK_TYPE_BROAD_GAUGE_RAILTYPE_OHLE]:[TRACK_TYPE_BROAD_GAUGE_RAILTYPE_NONE]],_xlfn.LAMBDA(_xlpm.r,OR(_xlpm.r))),FALSE)</f>
        <v>0</v>
      </c>
      <c r="AH4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8"/>
      <c r="AQ438"/>
      <c r="AR438"/>
    </row>
    <row r="439" spans="1:44" x14ac:dyDescent="0.35">
      <c r="A439" s="2" t="s">
        <v>3072</v>
      </c>
      <c r="B439" s="40" t="str">
        <f>_xlfn.XLOOKUP(PROPERTIES[[#This Row],[VEHIDCODE]],CONTROL[VEHIDCODE],CONTROL[ENGLISH])</f>
        <v>Alsthom BB 25500</v>
      </c>
      <c r="D439" t="b">
        <v>1</v>
      </c>
      <c r="G439" t="b">
        <v>1</v>
      </c>
      <c r="AC439" s="2"/>
      <c r="AD439" s="2" t="b">
        <f>LEN(_xlfn.CONCAT(TRACK_TYPES[[#This Row],[TRACK_TYPE_STANDARD_GAUGE_RAILTYPE_OHLE]:[TRACK_TYPE_MTRO]]))&gt;0</f>
        <v>1</v>
      </c>
      <c r="AE439" s="38" t="b" cm="1">
        <f t="array" ref="AE439">IFERROR(_xlfn.BYROW(TRACK_TYPES[[#This Row],[TRACK_TYPE_STANDARD_GAUGE_RAILTYPE_OHLE]:[TRACK_TYPE_STANDARD_GAUGE_RAILTYPE_NONE]],_xlfn.LAMBDA(_xlpm.r,OR(_xlpm.r))),FALSE)</f>
        <v>1</v>
      </c>
      <c r="AF439" s="38" t="b" cm="1">
        <f t="array" ref="AF439">IFERROR(_xlfn.BYROW(TRACK_TYPES[[#This Row],[TRACK_TYPE_NARROW_GAUGE_RAILTYPE_OHLE]:[TRACK_TYPE_NARROW_GAUGE_RAILTYPE_NONE]],_xlfn.LAMBDA(_xlpm.r,OR(_xlpm.r))),FALSE)</f>
        <v>0</v>
      </c>
      <c r="AG439" s="38" t="b" cm="1">
        <f t="array" ref="AG439">IFERROR(_xlfn.BYROW(TRACK_TYPES[[#This Row],[TRACK_TYPE_BROAD_GAUGE_RAILTYPE_OHLE]:[TRACK_TYPE_BROAD_GAUGE_RAILTYPE_NONE]],_xlfn.LAMBDA(_xlpm.r,OR(_xlpm.r))),FALSE)</f>
        <v>0</v>
      </c>
      <c r="AH4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9"/>
      <c r="AQ439"/>
      <c r="AR439"/>
    </row>
    <row r="440" spans="1:44" x14ac:dyDescent="0.35">
      <c r="A440" s="2" t="s">
        <v>3073</v>
      </c>
      <c r="B440" s="40" t="str">
        <f>_xlfn.XLOOKUP(PROPERTIES[[#This Row],[VEHIDCODE]],CONTROL[VEHIDCODE],CONTROL[ENGLISH])</f>
        <v>Siemens EuroSprinter ES64U4</v>
      </c>
      <c r="C440" t="b">
        <v>1</v>
      </c>
      <c r="AC440" s="2"/>
      <c r="AD440" s="2" t="b">
        <f>LEN(_xlfn.CONCAT(TRACK_TYPES[[#This Row],[TRACK_TYPE_STANDARD_GAUGE_RAILTYPE_OHLE]:[TRACK_TYPE_MTRO]]))&gt;0</f>
        <v>1</v>
      </c>
      <c r="AE440" s="38" t="b" cm="1">
        <f t="array" ref="AE440">IFERROR(_xlfn.BYROW(TRACK_TYPES[[#This Row],[TRACK_TYPE_STANDARD_GAUGE_RAILTYPE_OHLE]:[TRACK_TYPE_STANDARD_GAUGE_RAILTYPE_NONE]],_xlfn.LAMBDA(_xlpm.r,OR(_xlpm.r))),FALSE)</f>
        <v>1</v>
      </c>
      <c r="AF440" s="38" t="b" cm="1">
        <f t="array" ref="AF440">IFERROR(_xlfn.BYROW(TRACK_TYPES[[#This Row],[TRACK_TYPE_NARROW_GAUGE_RAILTYPE_OHLE]:[TRACK_TYPE_NARROW_GAUGE_RAILTYPE_NONE]],_xlfn.LAMBDA(_xlpm.r,OR(_xlpm.r))),FALSE)</f>
        <v>0</v>
      </c>
      <c r="AG440" s="38" t="b" cm="1">
        <f t="array" ref="AG440">IFERROR(_xlfn.BYROW(TRACK_TYPES[[#This Row],[TRACK_TYPE_BROAD_GAUGE_RAILTYPE_OHLE]:[TRACK_TYPE_BROAD_GAUGE_RAILTYPE_NONE]],_xlfn.LAMBDA(_xlpm.r,OR(_xlpm.r))),FALSE)</f>
        <v>0</v>
      </c>
      <c r="AH4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0"/>
      <c r="AQ440"/>
      <c r="AR440"/>
    </row>
    <row r="441" spans="1:44" x14ac:dyDescent="0.35">
      <c r="A441" s="2" t="s">
        <v>3074</v>
      </c>
      <c r="B441" s="40" t="str">
        <f>_xlfn.XLOOKUP(PROPERTIES[[#This Row],[VEHIDCODE]],CONTROL[VEHIDCODE],CONTROL[ENGLISH])</f>
        <v>Toshiba EH500</v>
      </c>
      <c r="L441" t="b">
        <v>1</v>
      </c>
      <c r="O441" t="b">
        <v>1</v>
      </c>
      <c r="AC441" s="2"/>
      <c r="AD441" s="2" t="b">
        <f>LEN(_xlfn.CONCAT(TRACK_TYPES[[#This Row],[TRACK_TYPE_STANDARD_GAUGE_RAILTYPE_OHLE]:[TRACK_TYPE_MTRO]]))&gt;0</f>
        <v>1</v>
      </c>
      <c r="AE441" s="38" t="b" cm="1">
        <f t="array" ref="AE441">IFERROR(_xlfn.BYROW(TRACK_TYPES[[#This Row],[TRACK_TYPE_STANDARD_GAUGE_RAILTYPE_OHLE]:[TRACK_TYPE_STANDARD_GAUGE_RAILTYPE_NONE]],_xlfn.LAMBDA(_xlpm.r,OR(_xlpm.r))),FALSE)</f>
        <v>0</v>
      </c>
      <c r="AF441" s="38" t="b" cm="1">
        <f t="array" ref="AF441">IFERROR(_xlfn.BYROW(TRACK_TYPES[[#This Row],[TRACK_TYPE_NARROW_GAUGE_RAILTYPE_OHLE]:[TRACK_TYPE_NARROW_GAUGE_RAILTYPE_NONE]],_xlfn.LAMBDA(_xlpm.r,OR(_xlpm.r))),FALSE)</f>
        <v>1</v>
      </c>
      <c r="AG441" s="38" t="b" cm="1">
        <f t="array" ref="AG441">IFERROR(_xlfn.BYROW(TRACK_TYPES[[#This Row],[TRACK_TYPE_BROAD_GAUGE_RAILTYPE_OHLE]:[TRACK_TYPE_BROAD_GAUGE_RAILTYPE_NONE]],_xlfn.LAMBDA(_xlpm.r,OR(_xlpm.r))),FALSE)</f>
        <v>0</v>
      </c>
      <c r="AH4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41"/>
      <c r="AQ441"/>
      <c r="AR441"/>
    </row>
    <row r="442" spans="1:44" x14ac:dyDescent="0.35">
      <c r="A442" s="2" t="s">
        <v>3075</v>
      </c>
      <c r="B442" s="40" t="str">
        <f>_xlfn.XLOOKUP(PROPERTIES[[#This Row],[VEHIDCODE]],CONTROL[VEHIDCODE],CONTROL[ENGLISH])</f>
        <v>ASEA-EMD AEM-7</v>
      </c>
      <c r="D442" t="b">
        <v>1</v>
      </c>
      <c r="E442" t="b">
        <v>1</v>
      </c>
      <c r="AC442" s="2"/>
      <c r="AD442" s="2" t="b">
        <f>LEN(_xlfn.CONCAT(TRACK_TYPES[[#This Row],[TRACK_TYPE_STANDARD_GAUGE_RAILTYPE_OHLE]:[TRACK_TYPE_MTRO]]))&gt;0</f>
        <v>1</v>
      </c>
      <c r="AE442" s="38" t="b" cm="1">
        <f t="array" ref="AE442">IFERROR(_xlfn.BYROW(TRACK_TYPES[[#This Row],[TRACK_TYPE_STANDARD_GAUGE_RAILTYPE_OHLE]:[TRACK_TYPE_STANDARD_GAUGE_RAILTYPE_NONE]],_xlfn.LAMBDA(_xlpm.r,OR(_xlpm.r))),FALSE)</f>
        <v>1</v>
      </c>
      <c r="AF442" s="38" t="b" cm="1">
        <f t="array" ref="AF442">IFERROR(_xlfn.BYROW(TRACK_TYPES[[#This Row],[TRACK_TYPE_NARROW_GAUGE_RAILTYPE_OHLE]:[TRACK_TYPE_NARROW_GAUGE_RAILTYPE_NONE]],_xlfn.LAMBDA(_xlpm.r,OR(_xlpm.r))),FALSE)</f>
        <v>0</v>
      </c>
      <c r="AG442" s="38" t="b" cm="1">
        <f t="array" ref="AG442">IFERROR(_xlfn.BYROW(TRACK_TYPES[[#This Row],[TRACK_TYPE_BROAD_GAUGE_RAILTYPE_OHLE]:[TRACK_TYPE_BROAD_GAUGE_RAILTYPE_NONE]],_xlfn.LAMBDA(_xlpm.r,OR(_xlpm.r))),FALSE)</f>
        <v>0</v>
      </c>
      <c r="AH4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2"/>
      <c r="AQ442"/>
      <c r="AR442"/>
    </row>
    <row r="443" spans="1:44" x14ac:dyDescent="0.35">
      <c r="A443" s="2" t="s">
        <v>3076</v>
      </c>
      <c r="B443" s="40" t="str">
        <f>_xlfn.XLOOKUP(PROPERTIES[[#This Row],[VEHIDCODE]],CONTROL[VEHIDCODE],CONTROL[ENGLISH])</f>
        <v>Bombardier-Alstom HHP-8</v>
      </c>
      <c r="D443" t="b">
        <v>1</v>
      </c>
      <c r="E443" t="b">
        <v>1</v>
      </c>
      <c r="AC443" s="2"/>
      <c r="AD443" s="2" t="b">
        <f>LEN(_xlfn.CONCAT(TRACK_TYPES[[#This Row],[TRACK_TYPE_STANDARD_GAUGE_RAILTYPE_OHLE]:[TRACK_TYPE_MTRO]]))&gt;0</f>
        <v>1</v>
      </c>
      <c r="AE443" s="38" t="b" cm="1">
        <f t="array" ref="AE443">IFERROR(_xlfn.BYROW(TRACK_TYPES[[#This Row],[TRACK_TYPE_STANDARD_GAUGE_RAILTYPE_OHLE]:[TRACK_TYPE_STANDARD_GAUGE_RAILTYPE_NONE]],_xlfn.LAMBDA(_xlpm.r,OR(_xlpm.r))),FALSE)</f>
        <v>1</v>
      </c>
      <c r="AF443" s="38" t="b" cm="1">
        <f t="array" ref="AF443">IFERROR(_xlfn.BYROW(TRACK_TYPES[[#This Row],[TRACK_TYPE_NARROW_GAUGE_RAILTYPE_OHLE]:[TRACK_TYPE_NARROW_GAUGE_RAILTYPE_NONE]],_xlfn.LAMBDA(_xlpm.r,OR(_xlpm.r))),FALSE)</f>
        <v>0</v>
      </c>
      <c r="AG443" s="38" t="b" cm="1">
        <f t="array" ref="AG443">IFERROR(_xlfn.BYROW(TRACK_TYPES[[#This Row],[TRACK_TYPE_BROAD_GAUGE_RAILTYPE_OHLE]:[TRACK_TYPE_BROAD_GAUGE_RAILTYPE_NONE]],_xlfn.LAMBDA(_xlpm.r,OR(_xlpm.r))),FALSE)</f>
        <v>0</v>
      </c>
      <c r="AH4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3"/>
      <c r="AQ443"/>
      <c r="AR443"/>
    </row>
    <row r="444" spans="1:44" x14ac:dyDescent="0.35">
      <c r="A444" s="2" t="s">
        <v>3077</v>
      </c>
      <c r="B444" s="40" t="str">
        <f>_xlfn.XLOOKUP(PROPERTIES[[#This Row],[VEHIDCODE]],CONTROL[VEHIDCODE],CONTROL[ENGLISH])</f>
        <v>Skoda 109E</v>
      </c>
      <c r="D444" t="b">
        <v>1</v>
      </c>
      <c r="F444" t="b">
        <v>1</v>
      </c>
      <c r="G444" t="b">
        <v>1</v>
      </c>
      <c r="AC444" s="2"/>
      <c r="AD444" s="2" t="b">
        <f>LEN(_xlfn.CONCAT(TRACK_TYPES[[#This Row],[TRACK_TYPE_STANDARD_GAUGE_RAILTYPE_OHLE]:[TRACK_TYPE_MTRO]]))&gt;0</f>
        <v>1</v>
      </c>
      <c r="AE444" s="38" t="b" cm="1">
        <f t="array" ref="AE444">IFERROR(_xlfn.BYROW(TRACK_TYPES[[#This Row],[TRACK_TYPE_STANDARD_GAUGE_RAILTYPE_OHLE]:[TRACK_TYPE_STANDARD_GAUGE_RAILTYPE_NONE]],_xlfn.LAMBDA(_xlpm.r,OR(_xlpm.r))),FALSE)</f>
        <v>1</v>
      </c>
      <c r="AF444" s="38" t="b" cm="1">
        <f t="array" ref="AF444">IFERROR(_xlfn.BYROW(TRACK_TYPES[[#This Row],[TRACK_TYPE_NARROW_GAUGE_RAILTYPE_OHLE]:[TRACK_TYPE_NARROW_GAUGE_RAILTYPE_NONE]],_xlfn.LAMBDA(_xlpm.r,OR(_xlpm.r))),FALSE)</f>
        <v>0</v>
      </c>
      <c r="AG444" s="38" t="b" cm="1">
        <f t="array" ref="AG444">IFERROR(_xlfn.BYROW(TRACK_TYPES[[#This Row],[TRACK_TYPE_BROAD_GAUGE_RAILTYPE_OHLE]:[TRACK_TYPE_BROAD_GAUGE_RAILTYPE_NONE]],_xlfn.LAMBDA(_xlpm.r,OR(_xlpm.r))),FALSE)</f>
        <v>0</v>
      </c>
      <c r="AH4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4"/>
      <c r="AQ444"/>
      <c r="AR444"/>
    </row>
    <row r="445" spans="1:44" x14ac:dyDescent="0.35">
      <c r="A445" s="2" t="s">
        <v>3078</v>
      </c>
      <c r="B445" s="40" t="str">
        <f>_xlfn.XLOOKUP(PROPERTIES[[#This Row],[VEHIDCODE]],CONTROL[VEHIDCODE],CONTROL[ENGLISH])</f>
        <v>CAF/Macosa 252</v>
      </c>
      <c r="D445" t="b">
        <v>1</v>
      </c>
      <c r="F445" t="b">
        <v>1</v>
      </c>
      <c r="G445" t="b">
        <v>1</v>
      </c>
      <c r="T445" t="b">
        <v>1</v>
      </c>
      <c r="V445" t="b">
        <v>1</v>
      </c>
      <c r="W445" t="b">
        <v>1</v>
      </c>
      <c r="AC445" s="2"/>
      <c r="AD445" s="2" t="b">
        <f>LEN(_xlfn.CONCAT(TRACK_TYPES[[#This Row],[TRACK_TYPE_STANDARD_GAUGE_RAILTYPE_OHLE]:[TRACK_TYPE_MTRO]]))&gt;0</f>
        <v>1</v>
      </c>
      <c r="AE445" s="38" t="b" cm="1">
        <f t="array" ref="AE445">IFERROR(_xlfn.BYROW(TRACK_TYPES[[#This Row],[TRACK_TYPE_STANDARD_GAUGE_RAILTYPE_OHLE]:[TRACK_TYPE_STANDARD_GAUGE_RAILTYPE_NONE]],_xlfn.LAMBDA(_xlpm.r,OR(_xlpm.r))),FALSE)</f>
        <v>1</v>
      </c>
      <c r="AF445" s="38" t="b" cm="1">
        <f t="array" ref="AF445">IFERROR(_xlfn.BYROW(TRACK_TYPES[[#This Row],[TRACK_TYPE_NARROW_GAUGE_RAILTYPE_OHLE]:[TRACK_TYPE_NARROW_GAUGE_RAILTYPE_NONE]],_xlfn.LAMBDA(_xlpm.r,OR(_xlpm.r))),FALSE)</f>
        <v>0</v>
      </c>
      <c r="AG445" s="38" t="b" cm="1">
        <f t="array" ref="AG445">IFERROR(_xlfn.BYROW(TRACK_TYPES[[#This Row],[TRACK_TYPE_BROAD_GAUGE_RAILTYPE_OHLE]:[TRACK_TYPE_BROAD_GAUGE_RAILTYPE_NONE]],_xlfn.LAMBDA(_xlpm.r,OR(_xlpm.r))),FALSE)</f>
        <v>1</v>
      </c>
      <c r="AH4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5"/>
      <c r="AQ445"/>
      <c r="AR445"/>
    </row>
    <row r="446" spans="1:44" x14ac:dyDescent="0.35">
      <c r="A446" s="2" t="s">
        <v>3079</v>
      </c>
      <c r="B446" s="40" t="str">
        <f>_xlfn.XLOOKUP(PROPERTIES[[#This Row],[VEHIDCODE]],CONTROL[VEHIDCODE],CONTROL[ENGLISH])</f>
        <v>Bombardier Traxx F140 MS</v>
      </c>
      <c r="C446" t="b">
        <v>1</v>
      </c>
      <c r="S446" t="b">
        <v>1</v>
      </c>
      <c r="AC446" s="2"/>
      <c r="AD446" s="2" t="b">
        <f>LEN(_xlfn.CONCAT(TRACK_TYPES[[#This Row],[TRACK_TYPE_STANDARD_GAUGE_RAILTYPE_OHLE]:[TRACK_TYPE_MTRO]]))&gt;0</f>
        <v>1</v>
      </c>
      <c r="AE446" s="38" t="b" cm="1">
        <f t="array" ref="AE446">IFERROR(_xlfn.BYROW(TRACK_TYPES[[#This Row],[TRACK_TYPE_STANDARD_GAUGE_RAILTYPE_OHLE]:[TRACK_TYPE_STANDARD_GAUGE_RAILTYPE_NONE]],_xlfn.LAMBDA(_xlpm.r,OR(_xlpm.r))),FALSE)</f>
        <v>1</v>
      </c>
      <c r="AF446" s="38" t="b" cm="1">
        <f t="array" ref="AF446">IFERROR(_xlfn.BYROW(TRACK_TYPES[[#This Row],[TRACK_TYPE_NARROW_GAUGE_RAILTYPE_OHLE]:[TRACK_TYPE_NARROW_GAUGE_RAILTYPE_NONE]],_xlfn.LAMBDA(_xlpm.r,OR(_xlpm.r))),FALSE)</f>
        <v>0</v>
      </c>
      <c r="AG446" s="38" t="b" cm="1">
        <f t="array" ref="AG446">IFERROR(_xlfn.BYROW(TRACK_TYPES[[#This Row],[TRACK_TYPE_BROAD_GAUGE_RAILTYPE_OHLE]:[TRACK_TYPE_BROAD_GAUGE_RAILTYPE_NONE]],_xlfn.LAMBDA(_xlpm.r,OR(_xlpm.r))),FALSE)</f>
        <v>1</v>
      </c>
      <c r="AH4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6"/>
      <c r="AQ446"/>
      <c r="AR446"/>
    </row>
    <row r="447" spans="1:44" x14ac:dyDescent="0.35">
      <c r="A447" s="2" t="s">
        <v>3080</v>
      </c>
      <c r="B447" s="40" t="str">
        <f>_xlfn.XLOOKUP(PROPERTIES[[#This Row],[VEHIDCODE]],CONTROL[VEHIDCODE],CONTROL[ENGLISH])</f>
        <v>TIBB E.550</v>
      </c>
      <c r="E447" t="b">
        <v>1</v>
      </c>
      <c r="AC447" s="2"/>
      <c r="AD447" s="2" t="b">
        <f>LEN(_xlfn.CONCAT(TRACK_TYPES[[#This Row],[TRACK_TYPE_STANDARD_GAUGE_RAILTYPE_OHLE]:[TRACK_TYPE_MTRO]]))&gt;0</f>
        <v>1</v>
      </c>
      <c r="AE447" s="38" t="b" cm="1">
        <f t="array" ref="AE447">IFERROR(_xlfn.BYROW(TRACK_TYPES[[#This Row],[TRACK_TYPE_STANDARD_GAUGE_RAILTYPE_OHLE]:[TRACK_TYPE_STANDARD_GAUGE_RAILTYPE_NONE]],_xlfn.LAMBDA(_xlpm.r,OR(_xlpm.r))),FALSE)</f>
        <v>1</v>
      </c>
      <c r="AF447" s="38" t="b" cm="1">
        <f t="array" ref="AF447">IFERROR(_xlfn.BYROW(TRACK_TYPES[[#This Row],[TRACK_TYPE_NARROW_GAUGE_RAILTYPE_OHLE]:[TRACK_TYPE_NARROW_GAUGE_RAILTYPE_NONE]],_xlfn.LAMBDA(_xlpm.r,OR(_xlpm.r))),FALSE)</f>
        <v>0</v>
      </c>
      <c r="AG447" s="38" t="b" cm="1">
        <f t="array" ref="AG447">IFERROR(_xlfn.BYROW(TRACK_TYPES[[#This Row],[TRACK_TYPE_BROAD_GAUGE_RAILTYPE_OHLE]:[TRACK_TYPE_BROAD_GAUGE_RAILTYPE_NONE]],_xlfn.LAMBDA(_xlpm.r,OR(_xlpm.r))),FALSE)</f>
        <v>0</v>
      </c>
      <c r="AH4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7"/>
      <c r="AQ447"/>
      <c r="AR447"/>
    </row>
    <row r="448" spans="1:44" x14ac:dyDescent="0.35">
      <c r="A448" s="2" t="s">
        <v>3081</v>
      </c>
      <c r="B448" s="40" t="str">
        <f>_xlfn.XLOOKUP(PROPERTIES[[#This Row],[VEHIDCODE]],CONTROL[VEHIDCODE],CONTROL[ENGLISH])</f>
        <v>Hitachi EF81</v>
      </c>
      <c r="L448" t="b">
        <v>1</v>
      </c>
      <c r="O448" t="b">
        <v>1</v>
      </c>
      <c r="AC448" s="2"/>
      <c r="AD448" s="2" t="b">
        <f>LEN(_xlfn.CONCAT(TRACK_TYPES[[#This Row],[TRACK_TYPE_STANDARD_GAUGE_RAILTYPE_OHLE]:[TRACK_TYPE_MTRO]]))&gt;0</f>
        <v>1</v>
      </c>
      <c r="AE448" s="38" t="b" cm="1">
        <f t="array" ref="AE448">IFERROR(_xlfn.BYROW(TRACK_TYPES[[#This Row],[TRACK_TYPE_STANDARD_GAUGE_RAILTYPE_OHLE]:[TRACK_TYPE_STANDARD_GAUGE_RAILTYPE_NONE]],_xlfn.LAMBDA(_xlpm.r,OR(_xlpm.r))),FALSE)</f>
        <v>0</v>
      </c>
      <c r="AF448" s="38" t="b" cm="1">
        <f t="array" ref="AF448">IFERROR(_xlfn.BYROW(TRACK_TYPES[[#This Row],[TRACK_TYPE_NARROW_GAUGE_RAILTYPE_OHLE]:[TRACK_TYPE_NARROW_GAUGE_RAILTYPE_NONE]],_xlfn.LAMBDA(_xlpm.r,OR(_xlpm.r))),FALSE)</f>
        <v>1</v>
      </c>
      <c r="AG448" s="38" t="b" cm="1">
        <f t="array" ref="AG448">IFERROR(_xlfn.BYROW(TRACK_TYPES[[#This Row],[TRACK_TYPE_BROAD_GAUGE_RAILTYPE_OHLE]:[TRACK_TYPE_BROAD_GAUGE_RAILTYPE_NONE]],_xlfn.LAMBDA(_xlpm.r,OR(_xlpm.r))),FALSE)</f>
        <v>0</v>
      </c>
      <c r="AH4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48"/>
      <c r="AQ448"/>
      <c r="AR448"/>
    </row>
    <row r="449" spans="1:44" x14ac:dyDescent="0.35">
      <c r="A449" s="2" t="s">
        <v>3082</v>
      </c>
      <c r="B449" s="40" t="str">
        <f>_xlfn.XLOOKUP(PROPERTIES[[#This Row],[VEHIDCODE]],CONTROL[VEHIDCODE],CONTROL[ENGLISH])</f>
        <v>ABB/Brush Class 92</v>
      </c>
      <c r="D449" t="b">
        <v>1</v>
      </c>
      <c r="H449" t="b">
        <v>1</v>
      </c>
      <c r="AC449" s="2"/>
      <c r="AD449" s="2" t="b">
        <f>LEN(_xlfn.CONCAT(TRACK_TYPES[[#This Row],[TRACK_TYPE_STANDARD_GAUGE_RAILTYPE_OHLE]:[TRACK_TYPE_MTRO]]))&gt;0</f>
        <v>1</v>
      </c>
      <c r="AE449" s="38" t="b" cm="1">
        <f t="array" ref="AE449">IFERROR(_xlfn.BYROW(TRACK_TYPES[[#This Row],[TRACK_TYPE_STANDARD_GAUGE_RAILTYPE_OHLE]:[TRACK_TYPE_STANDARD_GAUGE_RAILTYPE_NONE]],_xlfn.LAMBDA(_xlpm.r,OR(_xlpm.r))),FALSE)</f>
        <v>1</v>
      </c>
      <c r="AF449" s="38" t="b" cm="1">
        <f t="array" ref="AF449">IFERROR(_xlfn.BYROW(TRACK_TYPES[[#This Row],[TRACK_TYPE_NARROW_GAUGE_RAILTYPE_OHLE]:[TRACK_TYPE_NARROW_GAUGE_RAILTYPE_NONE]],_xlfn.LAMBDA(_xlpm.r,OR(_xlpm.r))),FALSE)</f>
        <v>0</v>
      </c>
      <c r="AG449" s="38" t="b" cm="1">
        <f t="array" ref="AG449">IFERROR(_xlfn.BYROW(TRACK_TYPES[[#This Row],[TRACK_TYPE_BROAD_GAUGE_RAILTYPE_OHLE]:[TRACK_TYPE_BROAD_GAUGE_RAILTYPE_NONE]],_xlfn.LAMBDA(_xlpm.r,OR(_xlpm.r))),FALSE)</f>
        <v>0</v>
      </c>
      <c r="AH4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9"/>
      <c r="AQ449"/>
      <c r="AR449"/>
    </row>
    <row r="450" spans="1:44" x14ac:dyDescent="0.35">
      <c r="A450" s="2" t="s">
        <v>3083</v>
      </c>
      <c r="B450" s="40" t="str">
        <f>_xlfn.XLOOKUP(PROPERTIES[[#This Row],[VEHIDCODE]],CONTROL[VEHIDCODE],CONTROL[ENGLISH])</f>
        <v>Siemens ACS-64</v>
      </c>
      <c r="D450" t="b">
        <v>1</v>
      </c>
      <c r="E450" t="b">
        <v>1</v>
      </c>
      <c r="AC450" s="2"/>
      <c r="AD450" s="2" t="b">
        <f>LEN(_xlfn.CONCAT(TRACK_TYPES[[#This Row],[TRACK_TYPE_STANDARD_GAUGE_RAILTYPE_OHLE]:[TRACK_TYPE_MTRO]]))&gt;0</f>
        <v>1</v>
      </c>
      <c r="AE450" s="38" t="b" cm="1">
        <f t="array" ref="AE450">IFERROR(_xlfn.BYROW(TRACK_TYPES[[#This Row],[TRACK_TYPE_STANDARD_GAUGE_RAILTYPE_OHLE]:[TRACK_TYPE_STANDARD_GAUGE_RAILTYPE_NONE]],_xlfn.LAMBDA(_xlpm.r,OR(_xlpm.r))),FALSE)</f>
        <v>1</v>
      </c>
      <c r="AF450" s="38" t="b" cm="1">
        <f t="array" ref="AF450">IFERROR(_xlfn.BYROW(TRACK_TYPES[[#This Row],[TRACK_TYPE_NARROW_GAUGE_RAILTYPE_OHLE]:[TRACK_TYPE_NARROW_GAUGE_RAILTYPE_NONE]],_xlfn.LAMBDA(_xlpm.r,OR(_xlpm.r))),FALSE)</f>
        <v>0</v>
      </c>
      <c r="AG450" s="38" t="b" cm="1">
        <f t="array" ref="AG450">IFERROR(_xlfn.BYROW(TRACK_TYPES[[#This Row],[TRACK_TYPE_BROAD_GAUGE_RAILTYPE_OHLE]:[TRACK_TYPE_BROAD_GAUGE_RAILTYPE_NONE]],_xlfn.LAMBDA(_xlpm.r,OR(_xlpm.r))),FALSE)</f>
        <v>0</v>
      </c>
      <c r="AH4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0"/>
      <c r="AQ450"/>
      <c r="AR450"/>
    </row>
    <row r="451" spans="1:44" x14ac:dyDescent="0.35">
      <c r="A451" s="2" t="s">
        <v>3084</v>
      </c>
      <c r="B451" s="40" t="str">
        <f>_xlfn.XLOOKUP(PROPERTIES[[#This Row],[VEHIDCODE]],CONTROL[VEHIDCODE],CONTROL[ENGLISH])</f>
        <v>Alsthom CC 40100</v>
      </c>
      <c r="C451" t="b">
        <v>1</v>
      </c>
      <c r="AC451" s="2"/>
      <c r="AD451" s="2" t="b">
        <f>LEN(_xlfn.CONCAT(TRACK_TYPES[[#This Row],[TRACK_TYPE_STANDARD_GAUGE_RAILTYPE_OHLE]:[TRACK_TYPE_MTRO]]))&gt;0</f>
        <v>1</v>
      </c>
      <c r="AE451" s="38" t="b" cm="1">
        <f t="array" ref="AE451">IFERROR(_xlfn.BYROW(TRACK_TYPES[[#This Row],[TRACK_TYPE_STANDARD_GAUGE_RAILTYPE_OHLE]:[TRACK_TYPE_STANDARD_GAUGE_RAILTYPE_NONE]],_xlfn.LAMBDA(_xlpm.r,OR(_xlpm.r))),FALSE)</f>
        <v>1</v>
      </c>
      <c r="AF451" s="38" t="b" cm="1">
        <f t="array" ref="AF451">IFERROR(_xlfn.BYROW(TRACK_TYPES[[#This Row],[TRACK_TYPE_NARROW_GAUGE_RAILTYPE_OHLE]:[TRACK_TYPE_NARROW_GAUGE_RAILTYPE_NONE]],_xlfn.LAMBDA(_xlpm.r,OR(_xlpm.r))),FALSE)</f>
        <v>0</v>
      </c>
      <c r="AG451" s="38" t="b" cm="1">
        <f t="array" ref="AG451">IFERROR(_xlfn.BYROW(TRACK_TYPES[[#This Row],[TRACK_TYPE_BROAD_GAUGE_RAILTYPE_OHLE]:[TRACK_TYPE_BROAD_GAUGE_RAILTYPE_NONE]],_xlfn.LAMBDA(_xlpm.r,OR(_xlpm.r))),FALSE)</f>
        <v>0</v>
      </c>
      <c r="AH4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1"/>
      <c r="AQ451"/>
      <c r="AR451"/>
    </row>
    <row r="452" spans="1:44" x14ac:dyDescent="0.35">
      <c r="A452" s="2" t="s">
        <v>3085</v>
      </c>
      <c r="B452" s="40" t="str">
        <f>_xlfn.XLOOKUP(PROPERTIES[[#This Row],[VEHIDCODE]],CONTROL[VEHIDCODE],CONTROL[ENGLISH])</f>
        <v>Alsthom Class 13 HLE</v>
      </c>
      <c r="D452" t="b">
        <v>1</v>
      </c>
      <c r="F452" t="b">
        <v>1</v>
      </c>
      <c r="G452" t="b">
        <v>1</v>
      </c>
      <c r="AC452" s="2"/>
      <c r="AD452" s="2" t="b">
        <f>LEN(_xlfn.CONCAT(TRACK_TYPES[[#This Row],[TRACK_TYPE_STANDARD_GAUGE_RAILTYPE_OHLE]:[TRACK_TYPE_MTRO]]))&gt;0</f>
        <v>1</v>
      </c>
      <c r="AE452" s="38" t="b" cm="1">
        <f t="array" ref="AE452">IFERROR(_xlfn.BYROW(TRACK_TYPES[[#This Row],[TRACK_TYPE_STANDARD_GAUGE_RAILTYPE_OHLE]:[TRACK_TYPE_STANDARD_GAUGE_RAILTYPE_NONE]],_xlfn.LAMBDA(_xlpm.r,OR(_xlpm.r))),FALSE)</f>
        <v>1</v>
      </c>
      <c r="AF452" s="38" t="b" cm="1">
        <f t="array" ref="AF452">IFERROR(_xlfn.BYROW(TRACK_TYPES[[#This Row],[TRACK_TYPE_NARROW_GAUGE_RAILTYPE_OHLE]:[TRACK_TYPE_NARROW_GAUGE_RAILTYPE_NONE]],_xlfn.LAMBDA(_xlpm.r,OR(_xlpm.r))),FALSE)</f>
        <v>0</v>
      </c>
      <c r="AG452" s="38" t="b" cm="1">
        <f t="array" ref="AG452">IFERROR(_xlfn.BYROW(TRACK_TYPES[[#This Row],[TRACK_TYPE_BROAD_GAUGE_RAILTYPE_OHLE]:[TRACK_TYPE_BROAD_GAUGE_RAILTYPE_NONE]],_xlfn.LAMBDA(_xlpm.r,OR(_xlpm.r))),FALSE)</f>
        <v>0</v>
      </c>
      <c r="AH4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2"/>
      <c r="AQ452"/>
      <c r="AR452"/>
    </row>
    <row r="453" spans="1:44" x14ac:dyDescent="0.35">
      <c r="A453" s="2" t="s">
        <v>3086</v>
      </c>
      <c r="B453" s="40" t="str">
        <f>_xlfn.XLOOKUP(PROPERTIES[[#This Row],[VEHIDCODE]],CONTROL[VEHIDCODE],CONTROL[ENGLISH])</f>
        <v>LHB VT 04.0 'Flying Hamburger'</v>
      </c>
      <c r="J453" s="2" t="b">
        <v>1</v>
      </c>
      <c r="AC453" s="2"/>
      <c r="AD453" s="2" t="b">
        <f>LEN(_xlfn.CONCAT(TRACK_TYPES[[#This Row],[TRACK_TYPE_STANDARD_GAUGE_RAILTYPE_OHLE]:[TRACK_TYPE_MTRO]]))&gt;0</f>
        <v>1</v>
      </c>
      <c r="AE453" s="38" t="b" cm="1">
        <f t="array" ref="AE453">IFERROR(_xlfn.BYROW(TRACK_TYPES[[#This Row],[TRACK_TYPE_STANDARD_GAUGE_RAILTYPE_OHLE]:[TRACK_TYPE_STANDARD_GAUGE_RAILTYPE_NONE]],_xlfn.LAMBDA(_xlpm.r,OR(_xlpm.r))),FALSE)</f>
        <v>1</v>
      </c>
      <c r="AF453" s="38" t="b" cm="1">
        <f t="array" ref="AF453">IFERROR(_xlfn.BYROW(TRACK_TYPES[[#This Row],[TRACK_TYPE_NARROW_GAUGE_RAILTYPE_OHLE]:[TRACK_TYPE_NARROW_GAUGE_RAILTYPE_NONE]],_xlfn.LAMBDA(_xlpm.r,OR(_xlpm.r))),FALSE)</f>
        <v>0</v>
      </c>
      <c r="AG453" s="38" t="b" cm="1">
        <f t="array" ref="AG453">IFERROR(_xlfn.BYROW(TRACK_TYPES[[#This Row],[TRACK_TYPE_BROAD_GAUGE_RAILTYPE_OHLE]:[TRACK_TYPE_BROAD_GAUGE_RAILTYPE_NONE]],_xlfn.LAMBDA(_xlpm.r,OR(_xlpm.r))),FALSE)</f>
        <v>0</v>
      </c>
      <c r="AH4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3"/>
      <c r="AQ453"/>
      <c r="AR453"/>
    </row>
    <row r="454" spans="1:44" x14ac:dyDescent="0.35">
      <c r="A454" s="2" t="s">
        <v>3087</v>
      </c>
      <c r="B454" s="40" t="str">
        <f>_xlfn.XLOOKUP(PROPERTIES[[#This Row],[VEHIDCODE]],CONTROL[VEHIDCODE],CONTROL[ENGLISH])</f>
        <v>Harland &amp; Wolf 'Silver City Comet'</v>
      </c>
      <c r="J454" s="2" t="b">
        <v>1</v>
      </c>
      <c r="AC454" s="2"/>
      <c r="AD454" s="2" t="b">
        <f>LEN(_xlfn.CONCAT(TRACK_TYPES[[#This Row],[TRACK_TYPE_STANDARD_GAUGE_RAILTYPE_OHLE]:[TRACK_TYPE_MTRO]]))&gt;0</f>
        <v>1</v>
      </c>
      <c r="AE454" s="38" t="b" cm="1">
        <f t="array" ref="AE454">IFERROR(_xlfn.BYROW(TRACK_TYPES[[#This Row],[TRACK_TYPE_STANDARD_GAUGE_RAILTYPE_OHLE]:[TRACK_TYPE_STANDARD_GAUGE_RAILTYPE_NONE]],_xlfn.LAMBDA(_xlpm.r,OR(_xlpm.r))),FALSE)</f>
        <v>1</v>
      </c>
      <c r="AF454" s="38" t="b" cm="1">
        <f t="array" ref="AF454">IFERROR(_xlfn.BYROW(TRACK_TYPES[[#This Row],[TRACK_TYPE_NARROW_GAUGE_RAILTYPE_OHLE]:[TRACK_TYPE_NARROW_GAUGE_RAILTYPE_NONE]],_xlfn.LAMBDA(_xlpm.r,OR(_xlpm.r))),FALSE)</f>
        <v>0</v>
      </c>
      <c r="AG454" s="38" t="b" cm="1">
        <f t="array" ref="AG454">IFERROR(_xlfn.BYROW(TRACK_TYPES[[#This Row],[TRACK_TYPE_BROAD_GAUGE_RAILTYPE_OHLE]:[TRACK_TYPE_BROAD_GAUGE_RAILTYPE_NONE]],_xlfn.LAMBDA(_xlpm.r,OR(_xlpm.r))),FALSE)</f>
        <v>0</v>
      </c>
      <c r="AH4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4"/>
      <c r="AQ454"/>
      <c r="AR454"/>
    </row>
    <row r="455" spans="1:44" x14ac:dyDescent="0.35">
      <c r="A455" s="2" t="s">
        <v>3088</v>
      </c>
      <c r="B455" s="40" t="str">
        <f>_xlfn.XLOOKUP(PROPERTIES[[#This Row],[VEHIDCODE]],CONTROL[VEHIDCODE],CONTROL[ENGLISH])</f>
        <v>Tatra M131</v>
      </c>
      <c r="J455" s="2" t="b">
        <v>1</v>
      </c>
      <c r="AC455" s="2"/>
      <c r="AD455" s="2" t="b">
        <f>LEN(_xlfn.CONCAT(TRACK_TYPES[[#This Row],[TRACK_TYPE_STANDARD_GAUGE_RAILTYPE_OHLE]:[TRACK_TYPE_MTRO]]))&gt;0</f>
        <v>1</v>
      </c>
      <c r="AE455" s="38" t="b" cm="1">
        <f t="array" ref="AE455">IFERROR(_xlfn.BYROW(TRACK_TYPES[[#This Row],[TRACK_TYPE_STANDARD_GAUGE_RAILTYPE_OHLE]:[TRACK_TYPE_STANDARD_GAUGE_RAILTYPE_NONE]],_xlfn.LAMBDA(_xlpm.r,OR(_xlpm.r))),FALSE)</f>
        <v>1</v>
      </c>
      <c r="AF455" s="38" t="b" cm="1">
        <f t="array" ref="AF455">IFERROR(_xlfn.BYROW(TRACK_TYPES[[#This Row],[TRACK_TYPE_NARROW_GAUGE_RAILTYPE_OHLE]:[TRACK_TYPE_NARROW_GAUGE_RAILTYPE_NONE]],_xlfn.LAMBDA(_xlpm.r,OR(_xlpm.r))),FALSE)</f>
        <v>0</v>
      </c>
      <c r="AG455" s="38" t="b" cm="1">
        <f t="array" ref="AG455">IFERROR(_xlfn.BYROW(TRACK_TYPES[[#This Row],[TRACK_TYPE_BROAD_GAUGE_RAILTYPE_OHLE]:[TRACK_TYPE_BROAD_GAUGE_RAILTYPE_NONE]],_xlfn.LAMBDA(_xlpm.r,OR(_xlpm.r))),FALSE)</f>
        <v>0</v>
      </c>
      <c r="AH4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5"/>
      <c r="AQ455"/>
      <c r="AR455"/>
    </row>
    <row r="456" spans="1:44" x14ac:dyDescent="0.35">
      <c r="A456" s="2" t="s">
        <v>3089</v>
      </c>
      <c r="B456" s="40" t="str">
        <f>_xlfn.XLOOKUP(PROPERTIES[[#This Row],[VEHIDCODE]],CONTROL[VEHIDCODE],CONTROL[ENGLISH])</f>
        <v>MAN VT 08.5</v>
      </c>
      <c r="J456" s="2" t="b">
        <v>1</v>
      </c>
      <c r="AC456" s="2"/>
      <c r="AD456" s="2" t="b">
        <f>LEN(_xlfn.CONCAT(TRACK_TYPES[[#This Row],[TRACK_TYPE_STANDARD_GAUGE_RAILTYPE_OHLE]:[TRACK_TYPE_MTRO]]))&gt;0</f>
        <v>1</v>
      </c>
      <c r="AE456" s="38" t="b" cm="1">
        <f t="array" ref="AE456">IFERROR(_xlfn.BYROW(TRACK_TYPES[[#This Row],[TRACK_TYPE_STANDARD_GAUGE_RAILTYPE_OHLE]:[TRACK_TYPE_STANDARD_GAUGE_RAILTYPE_NONE]],_xlfn.LAMBDA(_xlpm.r,OR(_xlpm.r))),FALSE)</f>
        <v>1</v>
      </c>
      <c r="AF456" s="38" t="b" cm="1">
        <f t="array" ref="AF456">IFERROR(_xlfn.BYROW(TRACK_TYPES[[#This Row],[TRACK_TYPE_NARROW_GAUGE_RAILTYPE_OHLE]:[TRACK_TYPE_NARROW_GAUGE_RAILTYPE_NONE]],_xlfn.LAMBDA(_xlpm.r,OR(_xlpm.r))),FALSE)</f>
        <v>0</v>
      </c>
      <c r="AG456" s="38" t="b" cm="1">
        <f t="array" ref="AG456">IFERROR(_xlfn.BYROW(TRACK_TYPES[[#This Row],[TRACK_TYPE_BROAD_GAUGE_RAILTYPE_OHLE]:[TRACK_TYPE_BROAD_GAUGE_RAILTYPE_NONE]],_xlfn.LAMBDA(_xlpm.r,OR(_xlpm.r))),FALSE)</f>
        <v>0</v>
      </c>
      <c r="AH4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6"/>
      <c r="AQ456"/>
      <c r="AR456"/>
    </row>
    <row r="457" spans="1:44" x14ac:dyDescent="0.35">
      <c r="A457" s="2" t="s">
        <v>3090</v>
      </c>
      <c r="B457" s="40" t="str">
        <f>_xlfn.XLOOKUP(PROPERTIES[[#This Row],[VEHIDCODE]],CONTROL[VEHIDCODE],CONTROL[ENGLISH])</f>
        <v>South Australian Railways 400 'Redhen'</v>
      </c>
      <c r="Z457" s="2" t="b">
        <v>1</v>
      </c>
      <c r="AC457" s="2"/>
      <c r="AD457" s="2" t="b">
        <f>LEN(_xlfn.CONCAT(TRACK_TYPES[[#This Row],[TRACK_TYPE_STANDARD_GAUGE_RAILTYPE_OHLE]:[TRACK_TYPE_MTRO]]))&gt;0</f>
        <v>1</v>
      </c>
      <c r="AE457" s="38" t="b" cm="1">
        <f t="array" ref="AE457">IFERROR(_xlfn.BYROW(TRACK_TYPES[[#This Row],[TRACK_TYPE_STANDARD_GAUGE_RAILTYPE_OHLE]:[TRACK_TYPE_STANDARD_GAUGE_RAILTYPE_NONE]],_xlfn.LAMBDA(_xlpm.r,OR(_xlpm.r))),FALSE)</f>
        <v>0</v>
      </c>
      <c r="AF457" s="38" t="b" cm="1">
        <f t="array" ref="AF457">IFERROR(_xlfn.BYROW(TRACK_TYPES[[#This Row],[TRACK_TYPE_NARROW_GAUGE_RAILTYPE_OHLE]:[TRACK_TYPE_NARROW_GAUGE_RAILTYPE_NONE]],_xlfn.LAMBDA(_xlpm.r,OR(_xlpm.r))),FALSE)</f>
        <v>0</v>
      </c>
      <c r="AG457" s="38" t="b" cm="1">
        <f t="array" ref="AG457">IFERROR(_xlfn.BYROW(TRACK_TYPES[[#This Row],[TRACK_TYPE_BROAD_GAUGE_RAILTYPE_OHLE]:[TRACK_TYPE_BROAD_GAUGE_RAILTYPE_NONE]],_xlfn.LAMBDA(_xlpm.r,OR(_xlpm.r))),FALSE)</f>
        <v>1</v>
      </c>
      <c r="AH4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57"/>
      <c r="AQ457"/>
      <c r="AR457"/>
    </row>
    <row r="458" spans="1:44" x14ac:dyDescent="0.35">
      <c r="A458" s="2" t="s">
        <v>3091</v>
      </c>
      <c r="B458" s="40" t="str">
        <f>_xlfn.XLOOKUP(PROPERTIES[[#This Row],[VEHIDCODE]],CONTROL[VEHIDCODE],CONTROL[ENGLISH])</f>
        <v>MAN/LHB VT11.5/DB 601 'TEE'</v>
      </c>
      <c r="J458" s="2" t="b">
        <v>1</v>
      </c>
      <c r="AC458" s="2"/>
      <c r="AD458" s="2" t="b">
        <f>LEN(_xlfn.CONCAT(TRACK_TYPES[[#This Row],[TRACK_TYPE_STANDARD_GAUGE_RAILTYPE_OHLE]:[TRACK_TYPE_MTRO]]))&gt;0</f>
        <v>1</v>
      </c>
      <c r="AE458" s="38" t="b" cm="1">
        <f t="array" ref="AE458">IFERROR(_xlfn.BYROW(TRACK_TYPES[[#This Row],[TRACK_TYPE_STANDARD_GAUGE_RAILTYPE_OHLE]:[TRACK_TYPE_STANDARD_GAUGE_RAILTYPE_NONE]],_xlfn.LAMBDA(_xlpm.r,OR(_xlpm.r))),FALSE)</f>
        <v>1</v>
      </c>
      <c r="AF458" s="38" t="b" cm="1">
        <f t="array" ref="AF458">IFERROR(_xlfn.BYROW(TRACK_TYPES[[#This Row],[TRACK_TYPE_NARROW_GAUGE_RAILTYPE_OHLE]:[TRACK_TYPE_NARROW_GAUGE_RAILTYPE_NONE]],_xlfn.LAMBDA(_xlpm.r,OR(_xlpm.r))),FALSE)</f>
        <v>0</v>
      </c>
      <c r="AG458" s="38" t="b" cm="1">
        <f t="array" ref="AG458">IFERROR(_xlfn.BYROW(TRACK_TYPES[[#This Row],[TRACK_TYPE_BROAD_GAUGE_RAILTYPE_OHLE]:[TRACK_TYPE_BROAD_GAUGE_RAILTYPE_NONE]],_xlfn.LAMBDA(_xlpm.r,OR(_xlpm.r))),FALSE)</f>
        <v>0</v>
      </c>
      <c r="AH4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8"/>
      <c r="AQ458"/>
      <c r="AR458"/>
    </row>
    <row r="459" spans="1:44" x14ac:dyDescent="0.35">
      <c r="A459" s="2" t="s">
        <v>3092</v>
      </c>
      <c r="B459" s="40" t="str">
        <f>_xlfn.XLOOKUP(PROPERTIES[[#This Row],[VEHIDCODE]],CONTROL[VEHIDCODE],CONTROL[ENGLISH])</f>
        <v>Werkspoor Plan U DE-III</v>
      </c>
      <c r="J459" s="2" t="b">
        <v>1</v>
      </c>
      <c r="AC459" s="2"/>
      <c r="AD459" s="2" t="b">
        <f>LEN(_xlfn.CONCAT(TRACK_TYPES[[#This Row],[TRACK_TYPE_STANDARD_GAUGE_RAILTYPE_OHLE]:[TRACK_TYPE_MTRO]]))&gt;0</f>
        <v>1</v>
      </c>
      <c r="AE459" s="38" t="b" cm="1">
        <f t="array" ref="AE459">IFERROR(_xlfn.BYROW(TRACK_TYPES[[#This Row],[TRACK_TYPE_STANDARD_GAUGE_RAILTYPE_OHLE]:[TRACK_TYPE_STANDARD_GAUGE_RAILTYPE_NONE]],_xlfn.LAMBDA(_xlpm.r,OR(_xlpm.r))),FALSE)</f>
        <v>1</v>
      </c>
      <c r="AF459" s="38" t="b" cm="1">
        <f t="array" ref="AF459">IFERROR(_xlfn.BYROW(TRACK_TYPES[[#This Row],[TRACK_TYPE_NARROW_GAUGE_RAILTYPE_OHLE]:[TRACK_TYPE_NARROW_GAUGE_RAILTYPE_NONE]],_xlfn.LAMBDA(_xlpm.r,OR(_xlpm.r))),FALSE)</f>
        <v>0</v>
      </c>
      <c r="AG459" s="38" t="b" cm="1">
        <f t="array" ref="AG459">IFERROR(_xlfn.BYROW(TRACK_TYPES[[#This Row],[TRACK_TYPE_BROAD_GAUGE_RAILTYPE_OHLE]:[TRACK_TYPE_BROAD_GAUGE_RAILTYPE_NONE]],_xlfn.LAMBDA(_xlpm.r,OR(_xlpm.r))),FALSE)</f>
        <v>0</v>
      </c>
      <c r="AH4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9"/>
      <c r="AQ459"/>
      <c r="AR459"/>
    </row>
    <row r="460" spans="1:44" x14ac:dyDescent="0.35">
      <c r="A460" s="2" t="s">
        <v>3093</v>
      </c>
      <c r="B460" s="40" t="str">
        <f>_xlfn.XLOOKUP(PROPERTIES[[#This Row],[VEHIDCODE]],CONTROL[VEHIDCODE],CONTROL[ENGLISH])</f>
        <v>UAC 'Turbo Train'</v>
      </c>
      <c r="J460" s="2" t="b">
        <v>1</v>
      </c>
      <c r="AC460" s="2"/>
      <c r="AD460" s="2" t="b">
        <f>LEN(_xlfn.CONCAT(TRACK_TYPES[[#This Row],[TRACK_TYPE_STANDARD_GAUGE_RAILTYPE_OHLE]:[TRACK_TYPE_MTRO]]))&gt;0</f>
        <v>1</v>
      </c>
      <c r="AE460" s="38" t="b" cm="1">
        <f t="array" ref="AE460">IFERROR(_xlfn.BYROW(TRACK_TYPES[[#This Row],[TRACK_TYPE_STANDARD_GAUGE_RAILTYPE_OHLE]:[TRACK_TYPE_STANDARD_GAUGE_RAILTYPE_NONE]],_xlfn.LAMBDA(_xlpm.r,OR(_xlpm.r))),FALSE)</f>
        <v>1</v>
      </c>
      <c r="AF460" s="38" t="b" cm="1">
        <f t="array" ref="AF460">IFERROR(_xlfn.BYROW(TRACK_TYPES[[#This Row],[TRACK_TYPE_NARROW_GAUGE_RAILTYPE_OHLE]:[TRACK_TYPE_NARROW_GAUGE_RAILTYPE_NONE]],_xlfn.LAMBDA(_xlpm.r,OR(_xlpm.r))),FALSE)</f>
        <v>0</v>
      </c>
      <c r="AG460" s="38" t="b" cm="1">
        <f t="array" ref="AG460">IFERROR(_xlfn.BYROW(TRACK_TYPES[[#This Row],[TRACK_TYPE_BROAD_GAUGE_RAILTYPE_OHLE]:[TRACK_TYPE_BROAD_GAUGE_RAILTYPE_NONE]],_xlfn.LAMBDA(_xlpm.r,OR(_xlpm.r))),FALSE)</f>
        <v>0</v>
      </c>
      <c r="AH4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0"/>
      <c r="AQ460"/>
      <c r="AR460"/>
    </row>
    <row r="461" spans="1:44" x14ac:dyDescent="0.35">
      <c r="A461" s="2" t="s">
        <v>3094</v>
      </c>
      <c r="B461" s="40" t="str">
        <f>_xlfn.XLOOKUP(PROPERTIES[[#This Row],[VEHIDCODE]],CONTROL[VEHIDCODE],CONTROL[ENGLISH])</f>
        <v>Ganz-MAVAG 811</v>
      </c>
      <c r="J461" s="2" t="b">
        <v>1</v>
      </c>
      <c r="AC461" s="2"/>
      <c r="AD461" s="2" t="b">
        <f>LEN(_xlfn.CONCAT(TRACK_TYPES[[#This Row],[TRACK_TYPE_STANDARD_GAUGE_RAILTYPE_OHLE]:[TRACK_TYPE_MTRO]]))&gt;0</f>
        <v>1</v>
      </c>
      <c r="AE461" s="38" t="b" cm="1">
        <f t="array" ref="AE461">IFERROR(_xlfn.BYROW(TRACK_TYPES[[#This Row],[TRACK_TYPE_STANDARD_GAUGE_RAILTYPE_OHLE]:[TRACK_TYPE_STANDARD_GAUGE_RAILTYPE_NONE]],_xlfn.LAMBDA(_xlpm.r,OR(_xlpm.r))),FALSE)</f>
        <v>1</v>
      </c>
      <c r="AF461" s="38" t="b" cm="1">
        <f t="array" ref="AF461">IFERROR(_xlfn.BYROW(TRACK_TYPES[[#This Row],[TRACK_TYPE_NARROW_GAUGE_RAILTYPE_OHLE]:[TRACK_TYPE_NARROW_GAUGE_RAILTYPE_NONE]],_xlfn.LAMBDA(_xlpm.r,OR(_xlpm.r))),FALSE)</f>
        <v>0</v>
      </c>
      <c r="AG461" s="38" t="b" cm="1">
        <f t="array" ref="AG461">IFERROR(_xlfn.BYROW(TRACK_TYPES[[#This Row],[TRACK_TYPE_BROAD_GAUGE_RAILTYPE_OHLE]:[TRACK_TYPE_BROAD_GAUGE_RAILTYPE_NONE]],_xlfn.LAMBDA(_xlpm.r,OR(_xlpm.r))),FALSE)</f>
        <v>0</v>
      </c>
      <c r="AH4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1"/>
      <c r="AQ461"/>
      <c r="AR461"/>
    </row>
    <row r="462" spans="1:44" x14ac:dyDescent="0.35">
      <c r="A462" s="2" t="s">
        <v>3095</v>
      </c>
      <c r="B462" s="40" t="str">
        <f>_xlfn.XLOOKUP(PROPERTIES[[#This Row],[VEHIDCODE]],CONTROL[VEHIDCODE],CONTROL[ENGLISH])</f>
        <v>BREL 43 IC125</v>
      </c>
      <c r="J462" s="2" t="b">
        <v>1</v>
      </c>
      <c r="AC462" s="2"/>
      <c r="AD462" s="2" t="b">
        <f>LEN(_xlfn.CONCAT(TRACK_TYPES[[#This Row],[TRACK_TYPE_STANDARD_GAUGE_RAILTYPE_OHLE]:[TRACK_TYPE_MTRO]]))&gt;0</f>
        <v>1</v>
      </c>
      <c r="AE462" s="38" t="b" cm="1">
        <f t="array" ref="AE462">IFERROR(_xlfn.BYROW(TRACK_TYPES[[#This Row],[TRACK_TYPE_STANDARD_GAUGE_RAILTYPE_OHLE]:[TRACK_TYPE_STANDARD_GAUGE_RAILTYPE_NONE]],_xlfn.LAMBDA(_xlpm.r,OR(_xlpm.r))),FALSE)</f>
        <v>1</v>
      </c>
      <c r="AF462" s="38" t="b" cm="1">
        <f t="array" ref="AF462">IFERROR(_xlfn.BYROW(TRACK_TYPES[[#This Row],[TRACK_TYPE_NARROW_GAUGE_RAILTYPE_OHLE]:[TRACK_TYPE_NARROW_GAUGE_RAILTYPE_NONE]],_xlfn.LAMBDA(_xlpm.r,OR(_xlpm.r))),FALSE)</f>
        <v>0</v>
      </c>
      <c r="AG462" s="38" t="b" cm="1">
        <f t="array" ref="AG462">IFERROR(_xlfn.BYROW(TRACK_TYPES[[#This Row],[TRACK_TYPE_BROAD_GAUGE_RAILTYPE_OHLE]:[TRACK_TYPE_BROAD_GAUGE_RAILTYPE_NONE]],_xlfn.LAMBDA(_xlpm.r,OR(_xlpm.r))),FALSE)</f>
        <v>0</v>
      </c>
      <c r="AH4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2"/>
      <c r="AQ462"/>
      <c r="AR462"/>
    </row>
    <row r="463" spans="1:44" x14ac:dyDescent="0.35">
      <c r="A463" s="2" t="s">
        <v>3096</v>
      </c>
      <c r="B463" s="40" t="str">
        <f>_xlfn.XLOOKUP(PROPERTIES[[#This Row],[VEHIDCODE]],CONTROL[VEHIDCODE],CONTROL[ENGLISH])</f>
        <v>Bombardier M6109</v>
      </c>
      <c r="J463" s="2" t="b">
        <v>1</v>
      </c>
      <c r="AC463" s="2"/>
      <c r="AD463" s="2" t="b">
        <f>LEN(_xlfn.CONCAT(TRACK_TYPES[[#This Row],[TRACK_TYPE_STANDARD_GAUGE_RAILTYPE_OHLE]:[TRACK_TYPE_MTRO]]))&gt;0</f>
        <v>1</v>
      </c>
      <c r="AE463" s="38" t="b" cm="1">
        <f t="array" ref="AE463">IFERROR(_xlfn.BYROW(TRACK_TYPES[[#This Row],[TRACK_TYPE_STANDARD_GAUGE_RAILTYPE_OHLE]:[TRACK_TYPE_STANDARD_GAUGE_RAILTYPE_NONE]],_xlfn.LAMBDA(_xlpm.r,OR(_xlpm.r))),FALSE)</f>
        <v>1</v>
      </c>
      <c r="AF463" s="38" t="b" cm="1">
        <f t="array" ref="AF463">IFERROR(_xlfn.BYROW(TRACK_TYPES[[#This Row],[TRACK_TYPE_NARROW_GAUGE_RAILTYPE_OHLE]:[TRACK_TYPE_NARROW_GAUGE_RAILTYPE_NONE]],_xlfn.LAMBDA(_xlpm.r,OR(_xlpm.r))),FALSE)</f>
        <v>0</v>
      </c>
      <c r="AG463" s="38" t="b" cm="1">
        <f t="array" ref="AG463">IFERROR(_xlfn.BYROW(TRACK_TYPES[[#This Row],[TRACK_TYPE_BROAD_GAUGE_RAILTYPE_OHLE]:[TRACK_TYPE_BROAD_GAUGE_RAILTYPE_NONE]],_xlfn.LAMBDA(_xlpm.r,OR(_xlpm.r))),FALSE)</f>
        <v>0</v>
      </c>
      <c r="AH4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3"/>
      <c r="AQ463"/>
      <c r="AR463"/>
    </row>
    <row r="464" spans="1:44" x14ac:dyDescent="0.35">
      <c r="A464" s="2" t="s">
        <v>3097</v>
      </c>
      <c r="B464" s="40" t="str">
        <f>_xlfn.XLOOKUP(PROPERTIES[[#This Row],[VEHIDCODE]],CONTROL[VEHIDCODE],CONTROL[ENGLISH])</f>
        <v>ABB IC3 Y2</v>
      </c>
      <c r="J464" s="2" t="b">
        <v>1</v>
      </c>
      <c r="Z464" s="2" t="b">
        <v>1</v>
      </c>
      <c r="AC464" s="2"/>
      <c r="AD464" s="2" t="b">
        <f>LEN(_xlfn.CONCAT(TRACK_TYPES[[#This Row],[TRACK_TYPE_STANDARD_GAUGE_RAILTYPE_OHLE]:[TRACK_TYPE_MTRO]]))&gt;0</f>
        <v>1</v>
      </c>
      <c r="AE464" s="38" t="b" cm="1">
        <f t="array" ref="AE464">IFERROR(_xlfn.BYROW(TRACK_TYPES[[#This Row],[TRACK_TYPE_STANDARD_GAUGE_RAILTYPE_OHLE]:[TRACK_TYPE_STANDARD_GAUGE_RAILTYPE_NONE]],_xlfn.LAMBDA(_xlpm.r,OR(_xlpm.r))),FALSE)</f>
        <v>1</v>
      </c>
      <c r="AF464" s="38" t="b" cm="1">
        <f t="array" ref="AF464">IFERROR(_xlfn.BYROW(TRACK_TYPES[[#This Row],[TRACK_TYPE_NARROW_GAUGE_RAILTYPE_OHLE]:[TRACK_TYPE_NARROW_GAUGE_RAILTYPE_NONE]],_xlfn.LAMBDA(_xlpm.r,OR(_xlpm.r))),FALSE)</f>
        <v>0</v>
      </c>
      <c r="AG464" s="38" t="b" cm="1">
        <f t="array" ref="AG464">IFERROR(_xlfn.BYROW(TRACK_TYPES[[#This Row],[TRACK_TYPE_BROAD_GAUGE_RAILTYPE_OHLE]:[TRACK_TYPE_BROAD_GAUGE_RAILTYPE_NONE]],_xlfn.LAMBDA(_xlpm.r,OR(_xlpm.r))),FALSE)</f>
        <v>1</v>
      </c>
      <c r="AH4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4"/>
      <c r="AQ464"/>
      <c r="AR464"/>
    </row>
    <row r="465" spans="1:44" x14ac:dyDescent="0.35">
      <c r="A465" s="2" t="s">
        <v>3098</v>
      </c>
      <c r="B465" s="40" t="str">
        <f>_xlfn.XLOOKUP(PROPERTIES[[#This Row],[VEHIDCODE]],CONTROL[VEHIDCODE],CONTROL[ENGLISH])</f>
        <v>CAF 594 TRD</v>
      </c>
      <c r="J465" s="2" t="b">
        <v>1</v>
      </c>
      <c r="Z465" s="2" t="b">
        <v>1</v>
      </c>
      <c r="AC465" s="2"/>
      <c r="AD465" s="2" t="b">
        <f>LEN(_xlfn.CONCAT(TRACK_TYPES[[#This Row],[TRACK_TYPE_STANDARD_GAUGE_RAILTYPE_OHLE]:[TRACK_TYPE_MTRO]]))&gt;0</f>
        <v>1</v>
      </c>
      <c r="AE465" s="38" t="b" cm="1">
        <f t="array" ref="AE465">IFERROR(_xlfn.BYROW(TRACK_TYPES[[#This Row],[TRACK_TYPE_STANDARD_GAUGE_RAILTYPE_OHLE]:[TRACK_TYPE_STANDARD_GAUGE_RAILTYPE_NONE]],_xlfn.LAMBDA(_xlpm.r,OR(_xlpm.r))),FALSE)</f>
        <v>1</v>
      </c>
      <c r="AF465" s="38" t="b" cm="1">
        <f t="array" ref="AF465">IFERROR(_xlfn.BYROW(TRACK_TYPES[[#This Row],[TRACK_TYPE_NARROW_GAUGE_RAILTYPE_OHLE]:[TRACK_TYPE_NARROW_GAUGE_RAILTYPE_NONE]],_xlfn.LAMBDA(_xlpm.r,OR(_xlpm.r))),FALSE)</f>
        <v>0</v>
      </c>
      <c r="AG465" s="38" t="b" cm="1">
        <f t="array" ref="AG465">IFERROR(_xlfn.BYROW(TRACK_TYPES[[#This Row],[TRACK_TYPE_BROAD_GAUGE_RAILTYPE_OHLE]:[TRACK_TYPE_BROAD_GAUGE_RAILTYPE_NONE]],_xlfn.LAMBDA(_xlpm.r,OR(_xlpm.r))),FALSE)</f>
        <v>1</v>
      </c>
      <c r="AH4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5"/>
      <c r="AQ465"/>
      <c r="AR465"/>
    </row>
    <row r="466" spans="1:44" x14ac:dyDescent="0.35">
      <c r="A466" s="2" t="s">
        <v>3099</v>
      </c>
      <c r="B466" s="40" t="str">
        <f>_xlfn.XLOOKUP(PROPERTIES[[#This Row],[VEHIDCODE]],CONTROL[VEHIDCODE],CONTROL[ENGLISH])</f>
        <v>Adtranz Class 168 'Clubman'</v>
      </c>
      <c r="J466" s="2" t="b">
        <v>1</v>
      </c>
      <c r="AC466" s="2"/>
      <c r="AD466" s="2" t="b">
        <f>LEN(_xlfn.CONCAT(TRACK_TYPES[[#This Row],[TRACK_TYPE_STANDARD_GAUGE_RAILTYPE_OHLE]:[TRACK_TYPE_MTRO]]))&gt;0</f>
        <v>1</v>
      </c>
      <c r="AE466" s="38" t="b" cm="1">
        <f t="array" ref="AE466">IFERROR(_xlfn.BYROW(TRACK_TYPES[[#This Row],[TRACK_TYPE_STANDARD_GAUGE_RAILTYPE_OHLE]:[TRACK_TYPE_STANDARD_GAUGE_RAILTYPE_NONE]],_xlfn.LAMBDA(_xlpm.r,OR(_xlpm.r))),FALSE)</f>
        <v>1</v>
      </c>
      <c r="AF466" s="38" t="b" cm="1">
        <f t="array" ref="AF466">IFERROR(_xlfn.BYROW(TRACK_TYPES[[#This Row],[TRACK_TYPE_NARROW_GAUGE_RAILTYPE_OHLE]:[TRACK_TYPE_NARROW_GAUGE_RAILTYPE_NONE]],_xlfn.LAMBDA(_xlpm.r,OR(_xlpm.r))),FALSE)</f>
        <v>0</v>
      </c>
      <c r="AG466" s="38" t="b" cm="1">
        <f t="array" ref="AG466">IFERROR(_xlfn.BYROW(TRACK_TYPES[[#This Row],[TRACK_TYPE_BROAD_GAUGE_RAILTYPE_OHLE]:[TRACK_TYPE_BROAD_GAUGE_RAILTYPE_NONE]],_xlfn.LAMBDA(_xlpm.r,OR(_xlpm.r))),FALSE)</f>
        <v>0</v>
      </c>
      <c r="AH4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6"/>
      <c r="AQ466"/>
      <c r="AR466"/>
    </row>
    <row r="467" spans="1:44" x14ac:dyDescent="0.35">
      <c r="A467" s="2" t="s">
        <v>3100</v>
      </c>
      <c r="B467" s="40" t="str">
        <f>_xlfn.XLOOKUP(PROPERTIES[[#This Row],[VEHIDCODE]],CONTROL[VEHIDCODE],CONTROL[ENGLISH])</f>
        <v>Adtranz Class 612 'Regio Swinger'</v>
      </c>
      <c r="J467" s="2" t="b">
        <v>1</v>
      </c>
      <c r="AC467" s="2"/>
      <c r="AD467" s="2" t="b">
        <f>LEN(_xlfn.CONCAT(TRACK_TYPES[[#This Row],[TRACK_TYPE_STANDARD_GAUGE_RAILTYPE_OHLE]:[TRACK_TYPE_MTRO]]))&gt;0</f>
        <v>1</v>
      </c>
      <c r="AE467" s="38" t="b" cm="1">
        <f t="array" ref="AE467">IFERROR(_xlfn.BYROW(TRACK_TYPES[[#This Row],[TRACK_TYPE_STANDARD_GAUGE_RAILTYPE_OHLE]:[TRACK_TYPE_STANDARD_GAUGE_RAILTYPE_NONE]],_xlfn.LAMBDA(_xlpm.r,OR(_xlpm.r))),FALSE)</f>
        <v>1</v>
      </c>
      <c r="AF467" s="38" t="b" cm="1">
        <f t="array" ref="AF467">IFERROR(_xlfn.BYROW(TRACK_TYPES[[#This Row],[TRACK_TYPE_NARROW_GAUGE_RAILTYPE_OHLE]:[TRACK_TYPE_NARROW_GAUGE_RAILTYPE_NONE]],_xlfn.LAMBDA(_xlpm.r,OR(_xlpm.r))),FALSE)</f>
        <v>0</v>
      </c>
      <c r="AG467" s="38" t="b" cm="1">
        <f t="array" ref="AG467">IFERROR(_xlfn.BYROW(TRACK_TYPES[[#This Row],[TRACK_TYPE_BROAD_GAUGE_RAILTYPE_OHLE]:[TRACK_TYPE_BROAD_GAUGE_RAILTYPE_NONE]],_xlfn.LAMBDA(_xlpm.r,OR(_xlpm.r))),FALSE)</f>
        <v>0</v>
      </c>
      <c r="AH4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7"/>
      <c r="AQ467"/>
      <c r="AR467"/>
    </row>
    <row r="468" spans="1:44" x14ac:dyDescent="0.35">
      <c r="A468" s="2" t="s">
        <v>3101</v>
      </c>
      <c r="B468" s="40" t="str">
        <f>_xlfn.XLOOKUP(PROPERTIES[[#This Row],[VEHIDCODE]],CONTROL[VEHIDCODE],CONTROL[ENGLISH])</f>
        <v>Siemens Desiro</v>
      </c>
      <c r="J468" s="2" t="b">
        <v>1</v>
      </c>
      <c r="AC468" s="2"/>
      <c r="AD468" s="2" t="b">
        <f>LEN(_xlfn.CONCAT(TRACK_TYPES[[#This Row],[TRACK_TYPE_STANDARD_GAUGE_RAILTYPE_OHLE]:[TRACK_TYPE_MTRO]]))&gt;0</f>
        <v>1</v>
      </c>
      <c r="AE468" s="38" t="b" cm="1">
        <f t="array" ref="AE468">IFERROR(_xlfn.BYROW(TRACK_TYPES[[#This Row],[TRACK_TYPE_STANDARD_GAUGE_RAILTYPE_OHLE]:[TRACK_TYPE_STANDARD_GAUGE_RAILTYPE_NONE]],_xlfn.LAMBDA(_xlpm.r,OR(_xlpm.r))),FALSE)</f>
        <v>1</v>
      </c>
      <c r="AF468" s="38" t="b" cm="1">
        <f t="array" ref="AF468">IFERROR(_xlfn.BYROW(TRACK_TYPES[[#This Row],[TRACK_TYPE_NARROW_GAUGE_RAILTYPE_OHLE]:[TRACK_TYPE_NARROW_GAUGE_RAILTYPE_NONE]],_xlfn.LAMBDA(_xlpm.r,OR(_xlpm.r))),FALSE)</f>
        <v>0</v>
      </c>
      <c r="AG468" s="38" t="b" cm="1">
        <f t="array" ref="AG468">IFERROR(_xlfn.BYROW(TRACK_TYPES[[#This Row],[TRACK_TYPE_BROAD_GAUGE_RAILTYPE_OHLE]:[TRACK_TYPE_BROAD_GAUGE_RAILTYPE_NONE]],_xlfn.LAMBDA(_xlpm.r,OR(_xlpm.r))),FALSE)</f>
        <v>0</v>
      </c>
      <c r="AH4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8"/>
      <c r="AQ468"/>
      <c r="AR468"/>
    </row>
    <row r="469" spans="1:44" x14ac:dyDescent="0.35">
      <c r="A469" s="2" t="s">
        <v>3102</v>
      </c>
      <c r="B469" s="40" t="str">
        <f>_xlfn.XLOOKUP(PROPERTIES[[#This Row],[VEHIDCODE]],CONTROL[VEHIDCODE],CONTROL[ENGLISH])</f>
        <v>Alstom Coradia LINT</v>
      </c>
      <c r="J469" s="2" t="b">
        <v>1</v>
      </c>
      <c r="AC469" s="2"/>
      <c r="AD469" s="2" t="b">
        <f>LEN(_xlfn.CONCAT(TRACK_TYPES[[#This Row],[TRACK_TYPE_STANDARD_GAUGE_RAILTYPE_OHLE]:[TRACK_TYPE_MTRO]]))&gt;0</f>
        <v>1</v>
      </c>
      <c r="AE469" s="38" t="b" cm="1">
        <f t="array" ref="AE469">IFERROR(_xlfn.BYROW(TRACK_TYPES[[#This Row],[TRACK_TYPE_STANDARD_GAUGE_RAILTYPE_OHLE]:[TRACK_TYPE_STANDARD_GAUGE_RAILTYPE_NONE]],_xlfn.LAMBDA(_xlpm.r,OR(_xlpm.r))),FALSE)</f>
        <v>1</v>
      </c>
      <c r="AF469" s="38" t="b" cm="1">
        <f t="array" ref="AF469">IFERROR(_xlfn.BYROW(TRACK_TYPES[[#This Row],[TRACK_TYPE_NARROW_GAUGE_RAILTYPE_OHLE]:[TRACK_TYPE_NARROW_GAUGE_RAILTYPE_NONE]],_xlfn.LAMBDA(_xlpm.r,OR(_xlpm.r))),FALSE)</f>
        <v>0</v>
      </c>
      <c r="AG469" s="38" t="b" cm="1">
        <f t="array" ref="AG469">IFERROR(_xlfn.BYROW(TRACK_TYPES[[#This Row],[TRACK_TYPE_BROAD_GAUGE_RAILTYPE_OHLE]:[TRACK_TYPE_BROAD_GAUGE_RAILTYPE_NONE]],_xlfn.LAMBDA(_xlpm.r,OR(_xlpm.r))),FALSE)</f>
        <v>0</v>
      </c>
      <c r="AH4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9"/>
      <c r="AQ469"/>
      <c r="AR469"/>
    </row>
    <row r="470" spans="1:44" x14ac:dyDescent="0.35">
      <c r="A470" s="2" t="s">
        <v>3103</v>
      </c>
      <c r="B470" s="40" t="str">
        <f>_xlfn.XLOOKUP(PROPERTIES[[#This Row],[VEHIDCODE]],CONTROL[VEHIDCODE],CONTROL[ENGLISH])</f>
        <v>Bombardier Talent NSB BM 93</v>
      </c>
      <c r="J470" s="2" t="b">
        <v>1</v>
      </c>
      <c r="AC470" s="2"/>
      <c r="AD470" s="2" t="b">
        <f>LEN(_xlfn.CONCAT(TRACK_TYPES[[#This Row],[TRACK_TYPE_STANDARD_GAUGE_RAILTYPE_OHLE]:[TRACK_TYPE_MTRO]]))&gt;0</f>
        <v>1</v>
      </c>
      <c r="AE470" s="38" t="b" cm="1">
        <f t="array" ref="AE470">IFERROR(_xlfn.BYROW(TRACK_TYPES[[#This Row],[TRACK_TYPE_STANDARD_GAUGE_RAILTYPE_OHLE]:[TRACK_TYPE_STANDARD_GAUGE_RAILTYPE_NONE]],_xlfn.LAMBDA(_xlpm.r,OR(_xlpm.r))),FALSE)</f>
        <v>1</v>
      </c>
      <c r="AF470" s="38" t="b" cm="1">
        <f t="array" ref="AF470">IFERROR(_xlfn.BYROW(TRACK_TYPES[[#This Row],[TRACK_TYPE_NARROW_GAUGE_RAILTYPE_OHLE]:[TRACK_TYPE_NARROW_GAUGE_RAILTYPE_NONE]],_xlfn.LAMBDA(_xlpm.r,OR(_xlpm.r))),FALSE)</f>
        <v>0</v>
      </c>
      <c r="AG470" s="38" t="b" cm="1">
        <f t="array" ref="AG470">IFERROR(_xlfn.BYROW(TRACK_TYPES[[#This Row],[TRACK_TYPE_BROAD_GAUGE_RAILTYPE_OHLE]:[TRACK_TYPE_BROAD_GAUGE_RAILTYPE_NONE]],_xlfn.LAMBDA(_xlpm.r,OR(_xlpm.r))),FALSE)</f>
        <v>0</v>
      </c>
      <c r="AH4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0"/>
      <c r="AQ470"/>
      <c r="AR470"/>
    </row>
    <row r="471" spans="1:44" x14ac:dyDescent="0.35">
      <c r="A471" s="2" t="s">
        <v>3104</v>
      </c>
      <c r="B471" s="40" t="str">
        <f>_xlfn.XLOOKUP(PROPERTIES[[#This Row],[VEHIDCODE]],CONTROL[VEHIDCODE],CONTROL[ENGLISH])</f>
        <v>UGL WD 'Prospector'</v>
      </c>
      <c r="J471" s="2" t="b">
        <v>1</v>
      </c>
      <c r="AC471" s="2"/>
      <c r="AD471" s="2" t="b">
        <f>LEN(_xlfn.CONCAT(TRACK_TYPES[[#This Row],[TRACK_TYPE_STANDARD_GAUGE_RAILTYPE_OHLE]:[TRACK_TYPE_MTRO]]))&gt;0</f>
        <v>1</v>
      </c>
      <c r="AE471" s="38" t="b" cm="1">
        <f t="array" ref="AE471">IFERROR(_xlfn.BYROW(TRACK_TYPES[[#This Row],[TRACK_TYPE_STANDARD_GAUGE_RAILTYPE_OHLE]:[TRACK_TYPE_STANDARD_GAUGE_RAILTYPE_NONE]],_xlfn.LAMBDA(_xlpm.r,OR(_xlpm.r))),FALSE)</f>
        <v>1</v>
      </c>
      <c r="AF471" s="38" t="b" cm="1">
        <f t="array" ref="AF471">IFERROR(_xlfn.BYROW(TRACK_TYPES[[#This Row],[TRACK_TYPE_NARROW_GAUGE_RAILTYPE_OHLE]:[TRACK_TYPE_NARROW_GAUGE_RAILTYPE_NONE]],_xlfn.LAMBDA(_xlpm.r,OR(_xlpm.r))),FALSE)</f>
        <v>0</v>
      </c>
      <c r="AG471" s="38" t="b" cm="1">
        <f t="array" ref="AG471">IFERROR(_xlfn.BYROW(TRACK_TYPES[[#This Row],[TRACK_TYPE_BROAD_GAUGE_RAILTYPE_OHLE]:[TRACK_TYPE_BROAD_GAUGE_RAILTYPE_NONE]],_xlfn.LAMBDA(_xlpm.r,OR(_xlpm.r))),FALSE)</f>
        <v>0</v>
      </c>
      <c r="AH4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1"/>
      <c r="AQ471"/>
      <c r="AR471"/>
    </row>
    <row r="472" spans="1:44" x14ac:dyDescent="0.35">
      <c r="A472" s="2" t="s">
        <v>3105</v>
      </c>
      <c r="B472" s="40" t="str">
        <f>_xlfn.XLOOKUP(PROPERTIES[[#This Row],[VEHIDCODE]],CONTROL[VEHIDCODE],CONTROL[ENGLISH])</f>
        <v>UGL 'Hunter' Railcar</v>
      </c>
      <c r="J472" s="2" t="b">
        <v>1</v>
      </c>
      <c r="AC472" s="2"/>
      <c r="AD472" s="2" t="b">
        <f>LEN(_xlfn.CONCAT(TRACK_TYPES[[#This Row],[TRACK_TYPE_STANDARD_GAUGE_RAILTYPE_OHLE]:[TRACK_TYPE_MTRO]]))&gt;0</f>
        <v>1</v>
      </c>
      <c r="AE472" s="38" t="b" cm="1">
        <f t="array" ref="AE472">IFERROR(_xlfn.BYROW(TRACK_TYPES[[#This Row],[TRACK_TYPE_STANDARD_GAUGE_RAILTYPE_OHLE]:[TRACK_TYPE_STANDARD_GAUGE_RAILTYPE_NONE]],_xlfn.LAMBDA(_xlpm.r,OR(_xlpm.r))),FALSE)</f>
        <v>1</v>
      </c>
      <c r="AF472" s="38" t="b" cm="1">
        <f t="array" ref="AF472">IFERROR(_xlfn.BYROW(TRACK_TYPES[[#This Row],[TRACK_TYPE_NARROW_GAUGE_RAILTYPE_OHLE]:[TRACK_TYPE_NARROW_GAUGE_RAILTYPE_NONE]],_xlfn.LAMBDA(_xlpm.r,OR(_xlpm.r))),FALSE)</f>
        <v>0</v>
      </c>
      <c r="AG472" s="38" t="b" cm="1">
        <f t="array" ref="AG472">IFERROR(_xlfn.BYROW(TRACK_TYPES[[#This Row],[TRACK_TYPE_BROAD_GAUGE_RAILTYPE_OHLE]:[TRACK_TYPE_BROAD_GAUGE_RAILTYPE_NONE]],_xlfn.LAMBDA(_xlpm.r,OR(_xlpm.r))),FALSE)</f>
        <v>0</v>
      </c>
      <c r="AH4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2"/>
      <c r="AQ472"/>
      <c r="AR472"/>
    </row>
    <row r="473" spans="1:44" x14ac:dyDescent="0.35">
      <c r="A473" s="2" t="s">
        <v>3106</v>
      </c>
      <c r="B473" s="40" t="str">
        <f>_xlfn.XLOOKUP(PROPERTIES[[#This Row],[VEHIDCODE]],CONTROL[VEHIDCODE],CONTROL[ENGLISH])</f>
        <v>MVM RA2</v>
      </c>
      <c r="Z473" s="2" t="b">
        <v>1</v>
      </c>
      <c r="AC473" s="2"/>
      <c r="AD473" s="2" t="b">
        <f>LEN(_xlfn.CONCAT(TRACK_TYPES[[#This Row],[TRACK_TYPE_STANDARD_GAUGE_RAILTYPE_OHLE]:[TRACK_TYPE_MTRO]]))&gt;0</f>
        <v>1</v>
      </c>
      <c r="AE473" s="38" t="b" cm="1">
        <f t="array" ref="AE473">IFERROR(_xlfn.BYROW(TRACK_TYPES[[#This Row],[TRACK_TYPE_STANDARD_GAUGE_RAILTYPE_OHLE]:[TRACK_TYPE_STANDARD_GAUGE_RAILTYPE_NONE]],_xlfn.LAMBDA(_xlpm.r,OR(_xlpm.r))),FALSE)</f>
        <v>0</v>
      </c>
      <c r="AF473" s="38" t="b" cm="1">
        <f t="array" ref="AF473">IFERROR(_xlfn.BYROW(TRACK_TYPES[[#This Row],[TRACK_TYPE_NARROW_GAUGE_RAILTYPE_OHLE]:[TRACK_TYPE_NARROW_GAUGE_RAILTYPE_NONE]],_xlfn.LAMBDA(_xlpm.r,OR(_xlpm.r))),FALSE)</f>
        <v>0</v>
      </c>
      <c r="AG473" s="38" t="b" cm="1">
        <f t="array" ref="AG473">IFERROR(_xlfn.BYROW(TRACK_TYPES[[#This Row],[TRACK_TYPE_BROAD_GAUGE_RAILTYPE_OHLE]:[TRACK_TYPE_BROAD_GAUGE_RAILTYPE_NONE]],_xlfn.LAMBDA(_xlpm.r,OR(_xlpm.r))),FALSE)</f>
        <v>1</v>
      </c>
      <c r="AH4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73"/>
      <c r="AQ473"/>
      <c r="AR473"/>
    </row>
    <row r="474" spans="1:44" x14ac:dyDescent="0.35">
      <c r="A474" s="2" t="s">
        <v>3107</v>
      </c>
      <c r="B474" s="40" t="str">
        <f>_xlfn.XLOOKUP(PROPERTIES[[#This Row],[VEHIDCODE]],CONTROL[VEHIDCODE],CONTROL[ENGLISH])</f>
        <v>AnsaldoBreda IC4</v>
      </c>
      <c r="J474" s="2" t="b">
        <v>1</v>
      </c>
      <c r="AC474" s="2"/>
      <c r="AD474" s="2" t="b">
        <f>LEN(_xlfn.CONCAT(TRACK_TYPES[[#This Row],[TRACK_TYPE_STANDARD_GAUGE_RAILTYPE_OHLE]:[TRACK_TYPE_MTRO]]))&gt;0</f>
        <v>1</v>
      </c>
      <c r="AE474" s="38" t="b" cm="1">
        <f t="array" ref="AE474">IFERROR(_xlfn.BYROW(TRACK_TYPES[[#This Row],[TRACK_TYPE_STANDARD_GAUGE_RAILTYPE_OHLE]:[TRACK_TYPE_STANDARD_GAUGE_RAILTYPE_NONE]],_xlfn.LAMBDA(_xlpm.r,OR(_xlpm.r))),FALSE)</f>
        <v>1</v>
      </c>
      <c r="AF474" s="38" t="b" cm="1">
        <f t="array" ref="AF474">IFERROR(_xlfn.BYROW(TRACK_TYPES[[#This Row],[TRACK_TYPE_NARROW_GAUGE_RAILTYPE_OHLE]:[TRACK_TYPE_NARROW_GAUGE_RAILTYPE_NONE]],_xlfn.LAMBDA(_xlpm.r,OR(_xlpm.r))),FALSE)</f>
        <v>0</v>
      </c>
      <c r="AG474" s="38" t="b" cm="1">
        <f t="array" ref="AG474">IFERROR(_xlfn.BYROW(TRACK_TYPES[[#This Row],[TRACK_TYPE_BROAD_GAUGE_RAILTYPE_OHLE]:[TRACK_TYPE_BROAD_GAUGE_RAILTYPE_NONE]],_xlfn.LAMBDA(_xlpm.r,OR(_xlpm.r))),FALSE)</f>
        <v>0</v>
      </c>
      <c r="AH4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4"/>
      <c r="AQ474"/>
      <c r="AR474"/>
    </row>
    <row r="475" spans="1:44" x14ac:dyDescent="0.35">
      <c r="A475" s="2" t="s">
        <v>3108</v>
      </c>
      <c r="B475" s="40" t="str">
        <f>_xlfn.XLOOKUP(PROPERTIES[[#This Row],[VEHIDCODE]],CONTROL[VEHIDCODE],CONTROL[ENGLISH])</f>
        <v>TZV Gredelj 7022</v>
      </c>
      <c r="J475" s="2" t="b">
        <v>1</v>
      </c>
      <c r="AC475" s="2"/>
      <c r="AD475" s="2" t="b">
        <f>LEN(_xlfn.CONCAT(TRACK_TYPES[[#This Row],[TRACK_TYPE_STANDARD_GAUGE_RAILTYPE_OHLE]:[TRACK_TYPE_MTRO]]))&gt;0</f>
        <v>1</v>
      </c>
      <c r="AE475" s="38" t="b" cm="1">
        <f t="array" ref="AE475">IFERROR(_xlfn.BYROW(TRACK_TYPES[[#This Row],[TRACK_TYPE_STANDARD_GAUGE_RAILTYPE_OHLE]:[TRACK_TYPE_STANDARD_GAUGE_RAILTYPE_NONE]],_xlfn.LAMBDA(_xlpm.r,OR(_xlpm.r))),FALSE)</f>
        <v>1</v>
      </c>
      <c r="AF475" s="38" t="b" cm="1">
        <f t="array" ref="AF475">IFERROR(_xlfn.BYROW(TRACK_TYPES[[#This Row],[TRACK_TYPE_NARROW_GAUGE_RAILTYPE_OHLE]:[TRACK_TYPE_NARROW_GAUGE_RAILTYPE_NONE]],_xlfn.LAMBDA(_xlpm.r,OR(_xlpm.r))),FALSE)</f>
        <v>0</v>
      </c>
      <c r="AG475" s="38" t="b" cm="1">
        <f t="array" ref="AG475">IFERROR(_xlfn.BYROW(TRACK_TYPES[[#This Row],[TRACK_TYPE_BROAD_GAUGE_RAILTYPE_OHLE]:[TRACK_TYPE_BROAD_GAUGE_RAILTYPE_NONE]],_xlfn.LAMBDA(_xlpm.r,OR(_xlpm.r))),FALSE)</f>
        <v>0</v>
      </c>
      <c r="AH4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5"/>
      <c r="AQ475"/>
      <c r="AR475"/>
    </row>
    <row r="476" spans="1:44" x14ac:dyDescent="0.35">
      <c r="A476" s="2" t="s">
        <v>3109</v>
      </c>
      <c r="B476" s="40" t="str">
        <f>_xlfn.XLOOKUP(PROPERTIES[[#This Row],[VEHIDCODE]],CONTROL[VEHIDCODE],CONTROL[ENGLISH])</f>
        <v>Fiat TCDD MT 5500</v>
      </c>
      <c r="J476" s="2" t="b">
        <v>1</v>
      </c>
      <c r="AC476" s="2"/>
      <c r="AD476" s="2" t="b">
        <f>LEN(_xlfn.CONCAT(TRACK_TYPES[[#This Row],[TRACK_TYPE_STANDARD_GAUGE_RAILTYPE_OHLE]:[TRACK_TYPE_MTRO]]))&gt;0</f>
        <v>1</v>
      </c>
      <c r="AE476" s="38" t="b" cm="1">
        <f t="array" ref="AE476">IFERROR(_xlfn.BYROW(TRACK_TYPES[[#This Row],[TRACK_TYPE_STANDARD_GAUGE_RAILTYPE_OHLE]:[TRACK_TYPE_STANDARD_GAUGE_RAILTYPE_NONE]],_xlfn.LAMBDA(_xlpm.r,OR(_xlpm.r))),FALSE)</f>
        <v>1</v>
      </c>
      <c r="AF476" s="38" t="b" cm="1">
        <f t="array" ref="AF476">IFERROR(_xlfn.BYROW(TRACK_TYPES[[#This Row],[TRACK_TYPE_NARROW_GAUGE_RAILTYPE_OHLE]:[TRACK_TYPE_NARROW_GAUGE_RAILTYPE_NONE]],_xlfn.LAMBDA(_xlpm.r,OR(_xlpm.r))),FALSE)</f>
        <v>0</v>
      </c>
      <c r="AG476" s="38" t="b" cm="1">
        <f t="array" ref="AG476">IFERROR(_xlfn.BYROW(TRACK_TYPES[[#This Row],[TRACK_TYPE_BROAD_GAUGE_RAILTYPE_OHLE]:[TRACK_TYPE_BROAD_GAUGE_RAILTYPE_NONE]],_xlfn.LAMBDA(_xlpm.r,OR(_xlpm.r))),FALSE)</f>
        <v>0</v>
      </c>
      <c r="AH4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6"/>
      <c r="AQ476"/>
      <c r="AR476"/>
    </row>
    <row r="477" spans="1:44" x14ac:dyDescent="0.35">
      <c r="A477" s="2" t="s">
        <v>3110</v>
      </c>
      <c r="B477" s="40" t="str">
        <f>_xlfn.XLOOKUP(PROPERTIES[[#This Row],[VEHIDCODE]],CONTROL[VEHIDCODE],CONTROL[ENGLISH])</f>
        <v>Fuji KiHa 181</v>
      </c>
      <c r="R477" s="2" t="b">
        <v>1</v>
      </c>
      <c r="AC477" s="2"/>
      <c r="AD477" s="2" t="b">
        <f>LEN(_xlfn.CONCAT(TRACK_TYPES[[#This Row],[TRACK_TYPE_STANDARD_GAUGE_RAILTYPE_OHLE]:[TRACK_TYPE_MTRO]]))&gt;0</f>
        <v>1</v>
      </c>
      <c r="AE477" s="38" t="b" cm="1">
        <f t="array" ref="AE477">IFERROR(_xlfn.BYROW(TRACK_TYPES[[#This Row],[TRACK_TYPE_STANDARD_GAUGE_RAILTYPE_OHLE]:[TRACK_TYPE_STANDARD_GAUGE_RAILTYPE_NONE]],_xlfn.LAMBDA(_xlpm.r,OR(_xlpm.r))),FALSE)</f>
        <v>0</v>
      </c>
      <c r="AF477" s="38" t="b" cm="1">
        <f t="array" ref="AF477">IFERROR(_xlfn.BYROW(TRACK_TYPES[[#This Row],[TRACK_TYPE_NARROW_GAUGE_RAILTYPE_OHLE]:[TRACK_TYPE_NARROW_GAUGE_RAILTYPE_NONE]],_xlfn.LAMBDA(_xlpm.r,OR(_xlpm.r))),FALSE)</f>
        <v>1</v>
      </c>
      <c r="AG477" s="38" t="b" cm="1">
        <f t="array" ref="AG477">IFERROR(_xlfn.BYROW(TRACK_TYPES[[#This Row],[TRACK_TYPE_BROAD_GAUGE_RAILTYPE_OHLE]:[TRACK_TYPE_BROAD_GAUGE_RAILTYPE_NONE]],_xlfn.LAMBDA(_xlpm.r,OR(_xlpm.r))),FALSE)</f>
        <v>0</v>
      </c>
      <c r="AH4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77"/>
      <c r="AQ477"/>
      <c r="AR477"/>
    </row>
    <row r="478" spans="1:44" x14ac:dyDescent="0.35">
      <c r="A478" s="2" t="s">
        <v>3111</v>
      </c>
      <c r="B478" s="40" t="str">
        <f>_xlfn.XLOOKUP(PROPERTIES[[#This Row],[VEHIDCODE]],CONTROL[VEHIDCODE],CONTROL[ENGLISH])</f>
        <v>Vagonka Studenka 814</v>
      </c>
      <c r="J478" s="2" t="b">
        <v>1</v>
      </c>
      <c r="AC478" s="2"/>
      <c r="AD478" s="2" t="b">
        <f>LEN(_xlfn.CONCAT(TRACK_TYPES[[#This Row],[TRACK_TYPE_STANDARD_GAUGE_RAILTYPE_OHLE]:[TRACK_TYPE_MTRO]]))&gt;0</f>
        <v>1</v>
      </c>
      <c r="AE478" s="38" t="b" cm="1">
        <f t="array" ref="AE478">IFERROR(_xlfn.BYROW(TRACK_TYPES[[#This Row],[TRACK_TYPE_STANDARD_GAUGE_RAILTYPE_OHLE]:[TRACK_TYPE_STANDARD_GAUGE_RAILTYPE_NONE]],_xlfn.LAMBDA(_xlpm.r,OR(_xlpm.r))),FALSE)</f>
        <v>1</v>
      </c>
      <c r="AF478" s="38" t="b" cm="1">
        <f t="array" ref="AF478">IFERROR(_xlfn.BYROW(TRACK_TYPES[[#This Row],[TRACK_TYPE_NARROW_GAUGE_RAILTYPE_OHLE]:[TRACK_TYPE_NARROW_GAUGE_RAILTYPE_NONE]],_xlfn.LAMBDA(_xlpm.r,OR(_xlpm.r))),FALSE)</f>
        <v>0</v>
      </c>
      <c r="AG478" s="38" t="b" cm="1">
        <f t="array" ref="AG478">IFERROR(_xlfn.BYROW(TRACK_TYPES[[#This Row],[TRACK_TYPE_BROAD_GAUGE_RAILTYPE_OHLE]:[TRACK_TYPE_BROAD_GAUGE_RAILTYPE_NONE]],_xlfn.LAMBDA(_xlpm.r,OR(_xlpm.r))),FALSE)</f>
        <v>0</v>
      </c>
      <c r="AH4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8"/>
      <c r="AQ478"/>
      <c r="AR478"/>
    </row>
    <row r="479" spans="1:44" x14ac:dyDescent="0.35">
      <c r="A479" s="2" t="s">
        <v>3112</v>
      </c>
      <c r="B479" s="40" t="str">
        <f>_xlfn.XLOOKUP(PROPERTIES[[#This Row],[VEHIDCODE]],CONTROL[VEHIDCODE],CONTROL[ENGLISH])</f>
        <v>BR 150/0 'Sprinter'</v>
      </c>
      <c r="J479" s="2" t="b">
        <v>1</v>
      </c>
      <c r="AC479" s="2"/>
      <c r="AD479" s="2" t="b">
        <f>LEN(_xlfn.CONCAT(TRACK_TYPES[[#This Row],[TRACK_TYPE_STANDARD_GAUGE_RAILTYPE_OHLE]:[TRACK_TYPE_MTRO]]))&gt;0</f>
        <v>1</v>
      </c>
      <c r="AE479" s="38" t="b" cm="1">
        <f t="array" ref="AE479">IFERROR(_xlfn.BYROW(TRACK_TYPES[[#This Row],[TRACK_TYPE_STANDARD_GAUGE_RAILTYPE_OHLE]:[TRACK_TYPE_STANDARD_GAUGE_RAILTYPE_NONE]],_xlfn.LAMBDA(_xlpm.r,OR(_xlpm.r))),FALSE)</f>
        <v>1</v>
      </c>
      <c r="AF479" s="38" t="b" cm="1">
        <f t="array" ref="AF479">IFERROR(_xlfn.BYROW(TRACK_TYPES[[#This Row],[TRACK_TYPE_NARROW_GAUGE_RAILTYPE_OHLE]:[TRACK_TYPE_NARROW_GAUGE_RAILTYPE_NONE]],_xlfn.LAMBDA(_xlpm.r,OR(_xlpm.r))),FALSE)</f>
        <v>0</v>
      </c>
      <c r="AG479" s="38" t="b" cm="1">
        <f t="array" ref="AG479">IFERROR(_xlfn.BYROW(TRACK_TYPES[[#This Row],[TRACK_TYPE_BROAD_GAUGE_RAILTYPE_OHLE]:[TRACK_TYPE_BROAD_GAUGE_RAILTYPE_NONE]],_xlfn.LAMBDA(_xlpm.r,OR(_xlpm.r))),FALSE)</f>
        <v>0</v>
      </c>
      <c r="AH4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9"/>
      <c r="AQ479"/>
      <c r="AR479"/>
    </row>
    <row r="480" spans="1:44" x14ac:dyDescent="0.35">
      <c r="A480" s="2" t="s">
        <v>3113</v>
      </c>
      <c r="B480" s="40" t="str">
        <f>_xlfn.XLOOKUP(PROPERTIES[[#This Row],[VEHIDCODE]],CONTROL[VEHIDCODE],CONTROL[ENGLISH])</f>
        <v>BREL 141 'Pacer'</v>
      </c>
      <c r="J480" s="2" t="b">
        <v>1</v>
      </c>
      <c r="AC480" s="2"/>
      <c r="AD480" s="2" t="b">
        <f>LEN(_xlfn.CONCAT(TRACK_TYPES[[#This Row],[TRACK_TYPE_STANDARD_GAUGE_RAILTYPE_OHLE]:[TRACK_TYPE_MTRO]]))&gt;0</f>
        <v>1</v>
      </c>
      <c r="AE480" s="38" t="b" cm="1">
        <f t="array" ref="AE480">IFERROR(_xlfn.BYROW(TRACK_TYPES[[#This Row],[TRACK_TYPE_STANDARD_GAUGE_RAILTYPE_OHLE]:[TRACK_TYPE_STANDARD_GAUGE_RAILTYPE_NONE]],_xlfn.LAMBDA(_xlpm.r,OR(_xlpm.r))),FALSE)</f>
        <v>1</v>
      </c>
      <c r="AF480" s="38" t="b" cm="1">
        <f t="array" ref="AF480">IFERROR(_xlfn.BYROW(TRACK_TYPES[[#This Row],[TRACK_TYPE_NARROW_GAUGE_RAILTYPE_OHLE]:[TRACK_TYPE_NARROW_GAUGE_RAILTYPE_NONE]],_xlfn.LAMBDA(_xlpm.r,OR(_xlpm.r))),FALSE)</f>
        <v>0</v>
      </c>
      <c r="AG480" s="38" t="b" cm="1">
        <f t="array" ref="AG480">IFERROR(_xlfn.BYROW(TRACK_TYPES[[#This Row],[TRACK_TYPE_BROAD_GAUGE_RAILTYPE_OHLE]:[TRACK_TYPE_BROAD_GAUGE_RAILTYPE_NONE]],_xlfn.LAMBDA(_xlpm.r,OR(_xlpm.r))),FALSE)</f>
        <v>0</v>
      </c>
      <c r="AH4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0"/>
      <c r="AQ480"/>
      <c r="AR480"/>
    </row>
    <row r="481" spans="1:44" x14ac:dyDescent="0.35">
      <c r="A481" s="2" t="s">
        <v>3114</v>
      </c>
      <c r="B481" s="40" t="str">
        <f>_xlfn.XLOOKUP(PROPERTIES[[#This Row],[VEHIDCODE]],CONTROL[VEHIDCODE],CONTROL[ENGLISH])</f>
        <v>ABB IC3 [Israel]</v>
      </c>
      <c r="J481" s="2" t="b">
        <v>1</v>
      </c>
      <c r="Z481" s="2" t="b">
        <v>1</v>
      </c>
      <c r="AC481" s="2"/>
      <c r="AD481" s="2" t="b">
        <f>LEN(_xlfn.CONCAT(TRACK_TYPES[[#This Row],[TRACK_TYPE_STANDARD_GAUGE_RAILTYPE_OHLE]:[TRACK_TYPE_MTRO]]))&gt;0</f>
        <v>1</v>
      </c>
      <c r="AE481" s="38" t="b" cm="1">
        <f t="array" ref="AE481">IFERROR(_xlfn.BYROW(TRACK_TYPES[[#This Row],[TRACK_TYPE_STANDARD_GAUGE_RAILTYPE_OHLE]:[TRACK_TYPE_STANDARD_GAUGE_RAILTYPE_NONE]],_xlfn.LAMBDA(_xlpm.r,OR(_xlpm.r))),FALSE)</f>
        <v>1</v>
      </c>
      <c r="AF481" s="38" t="b" cm="1">
        <f t="array" ref="AF481">IFERROR(_xlfn.BYROW(TRACK_TYPES[[#This Row],[TRACK_TYPE_NARROW_GAUGE_RAILTYPE_OHLE]:[TRACK_TYPE_NARROW_GAUGE_RAILTYPE_NONE]],_xlfn.LAMBDA(_xlpm.r,OR(_xlpm.r))),FALSE)</f>
        <v>0</v>
      </c>
      <c r="AG481" s="38" t="b" cm="1">
        <f t="array" ref="AG481">IFERROR(_xlfn.BYROW(TRACK_TYPES[[#This Row],[TRACK_TYPE_BROAD_GAUGE_RAILTYPE_OHLE]:[TRACK_TYPE_BROAD_GAUGE_RAILTYPE_NONE]],_xlfn.LAMBDA(_xlpm.r,OR(_xlpm.r))),FALSE)</f>
        <v>1</v>
      </c>
      <c r="AH4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1"/>
      <c r="AQ481"/>
      <c r="AR481"/>
    </row>
    <row r="482" spans="1:44" x14ac:dyDescent="0.35">
      <c r="A482" s="2" t="s">
        <v>3115</v>
      </c>
      <c r="B482" s="40" t="str">
        <f>_xlfn.XLOOKUP(PROPERTIES[[#This Row],[VEHIDCODE]],CONTROL[VEHIDCODE],CONTROL[ENGLISH])</f>
        <v>Comeng 3100</v>
      </c>
      <c r="J482" s="2" t="b">
        <v>1</v>
      </c>
      <c r="AC482" s="2"/>
      <c r="AD482" s="2" t="b">
        <f>LEN(_xlfn.CONCAT(TRACK_TYPES[[#This Row],[TRACK_TYPE_STANDARD_GAUGE_RAILTYPE_OHLE]:[TRACK_TYPE_MTRO]]))&gt;0</f>
        <v>1</v>
      </c>
      <c r="AE482" s="38" t="b" cm="1">
        <f t="array" ref="AE482">IFERROR(_xlfn.BYROW(TRACK_TYPES[[#This Row],[TRACK_TYPE_STANDARD_GAUGE_RAILTYPE_OHLE]:[TRACK_TYPE_STANDARD_GAUGE_RAILTYPE_NONE]],_xlfn.LAMBDA(_xlpm.r,OR(_xlpm.r))),FALSE)</f>
        <v>1</v>
      </c>
      <c r="AF482" s="38" t="b" cm="1">
        <f t="array" ref="AF482">IFERROR(_xlfn.BYROW(TRACK_TYPES[[#This Row],[TRACK_TYPE_NARROW_GAUGE_RAILTYPE_OHLE]:[TRACK_TYPE_NARROW_GAUGE_RAILTYPE_NONE]],_xlfn.LAMBDA(_xlpm.r,OR(_xlpm.r))),FALSE)</f>
        <v>0</v>
      </c>
      <c r="AG482" s="38" t="b" cm="1">
        <f t="array" ref="AG482">IFERROR(_xlfn.BYROW(TRACK_TYPES[[#This Row],[TRACK_TYPE_BROAD_GAUGE_RAILTYPE_OHLE]:[TRACK_TYPE_BROAD_GAUGE_RAILTYPE_NONE]],_xlfn.LAMBDA(_xlpm.r,OR(_xlpm.r))),FALSE)</f>
        <v>0</v>
      </c>
      <c r="AH4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2"/>
      <c r="AQ482"/>
      <c r="AR482"/>
    </row>
    <row r="483" spans="1:44" x14ac:dyDescent="0.35">
      <c r="A483" s="2" t="s">
        <v>3116</v>
      </c>
      <c r="B483" s="40" t="str">
        <f>_xlfn.XLOOKUP(PROPERTIES[[#This Row],[VEHIDCODE]],CONTROL[VEHIDCODE],CONTROL[ENGLISH])</f>
        <v>ABB Xplorer</v>
      </c>
      <c r="J483" s="2" t="b">
        <v>1</v>
      </c>
      <c r="AC483" s="2"/>
      <c r="AD483" s="2" t="b">
        <f>LEN(_xlfn.CONCAT(TRACK_TYPES[[#This Row],[TRACK_TYPE_STANDARD_GAUGE_RAILTYPE_OHLE]:[TRACK_TYPE_MTRO]]))&gt;0</f>
        <v>1</v>
      </c>
      <c r="AE483" s="38" t="b" cm="1">
        <f t="array" ref="AE483">IFERROR(_xlfn.BYROW(TRACK_TYPES[[#This Row],[TRACK_TYPE_STANDARD_GAUGE_RAILTYPE_OHLE]:[TRACK_TYPE_STANDARD_GAUGE_RAILTYPE_NONE]],_xlfn.LAMBDA(_xlpm.r,OR(_xlpm.r))),FALSE)</f>
        <v>1</v>
      </c>
      <c r="AF483" s="38" t="b" cm="1">
        <f t="array" ref="AF483">IFERROR(_xlfn.BYROW(TRACK_TYPES[[#This Row],[TRACK_TYPE_NARROW_GAUGE_RAILTYPE_OHLE]:[TRACK_TYPE_NARROW_GAUGE_RAILTYPE_NONE]],_xlfn.LAMBDA(_xlpm.r,OR(_xlpm.r))),FALSE)</f>
        <v>0</v>
      </c>
      <c r="AG483" s="38" t="b" cm="1">
        <f t="array" ref="AG483">IFERROR(_xlfn.BYROW(TRACK_TYPES[[#This Row],[TRACK_TYPE_BROAD_GAUGE_RAILTYPE_OHLE]:[TRACK_TYPE_BROAD_GAUGE_RAILTYPE_NONE]],_xlfn.LAMBDA(_xlpm.r,OR(_xlpm.r))),FALSE)</f>
        <v>0</v>
      </c>
      <c r="AH4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3"/>
      <c r="AQ483"/>
      <c r="AR483"/>
    </row>
    <row r="484" spans="1:44" x14ac:dyDescent="0.35">
      <c r="A484" s="2" t="s">
        <v>3117</v>
      </c>
      <c r="B484" s="40" t="str">
        <f>_xlfn.XLOOKUP(PROPERTIES[[#This Row],[VEHIDCODE]],CONTROL[VEHIDCODE],CONTROL[ENGLISH])</f>
        <v>Niigata Transys KiHa 189</v>
      </c>
      <c r="R484" s="2" t="b">
        <v>1</v>
      </c>
      <c r="AC484" s="2"/>
      <c r="AD484" s="2" t="b">
        <f>LEN(_xlfn.CONCAT(TRACK_TYPES[[#This Row],[TRACK_TYPE_STANDARD_GAUGE_RAILTYPE_OHLE]:[TRACK_TYPE_MTRO]]))&gt;0</f>
        <v>1</v>
      </c>
      <c r="AE484" s="38" t="b" cm="1">
        <f t="array" ref="AE484">IFERROR(_xlfn.BYROW(TRACK_TYPES[[#This Row],[TRACK_TYPE_STANDARD_GAUGE_RAILTYPE_OHLE]:[TRACK_TYPE_STANDARD_GAUGE_RAILTYPE_NONE]],_xlfn.LAMBDA(_xlpm.r,OR(_xlpm.r))),FALSE)</f>
        <v>0</v>
      </c>
      <c r="AF484" s="38" t="b" cm="1">
        <f t="array" ref="AF484">IFERROR(_xlfn.BYROW(TRACK_TYPES[[#This Row],[TRACK_TYPE_NARROW_GAUGE_RAILTYPE_OHLE]:[TRACK_TYPE_NARROW_GAUGE_RAILTYPE_NONE]],_xlfn.LAMBDA(_xlpm.r,OR(_xlpm.r))),FALSE)</f>
        <v>1</v>
      </c>
      <c r="AG484" s="38" t="b" cm="1">
        <f t="array" ref="AG484">IFERROR(_xlfn.BYROW(TRACK_TYPES[[#This Row],[TRACK_TYPE_BROAD_GAUGE_RAILTYPE_OHLE]:[TRACK_TYPE_BROAD_GAUGE_RAILTYPE_NONE]],_xlfn.LAMBDA(_xlpm.r,OR(_xlpm.r))),FALSE)</f>
        <v>0</v>
      </c>
      <c r="AH4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84"/>
      <c r="AQ484"/>
      <c r="AR484"/>
    </row>
    <row r="485" spans="1:44" x14ac:dyDescent="0.35">
      <c r="A485" s="2" t="s">
        <v>3118</v>
      </c>
      <c r="B485" s="40" t="str">
        <f>_xlfn.XLOOKUP(PROPERTIES[[#This Row],[VEHIDCODE]],CONTROL[VEHIDCODE],CONTROL[ENGLISH])</f>
        <v>Integral Coach Factory S11</v>
      </c>
      <c r="Z485" s="2" t="b">
        <v>1</v>
      </c>
      <c r="AC485" s="2"/>
      <c r="AD485" s="2" t="b">
        <f>LEN(_xlfn.CONCAT(TRACK_TYPES[[#This Row],[TRACK_TYPE_STANDARD_GAUGE_RAILTYPE_OHLE]:[TRACK_TYPE_MTRO]]))&gt;0</f>
        <v>1</v>
      </c>
      <c r="AE485" s="38" t="b" cm="1">
        <f t="array" ref="AE485">IFERROR(_xlfn.BYROW(TRACK_TYPES[[#This Row],[TRACK_TYPE_STANDARD_GAUGE_RAILTYPE_OHLE]:[TRACK_TYPE_STANDARD_GAUGE_RAILTYPE_NONE]],_xlfn.LAMBDA(_xlpm.r,OR(_xlpm.r))),FALSE)</f>
        <v>0</v>
      </c>
      <c r="AF485" s="38" t="b" cm="1">
        <f t="array" ref="AF485">IFERROR(_xlfn.BYROW(TRACK_TYPES[[#This Row],[TRACK_TYPE_NARROW_GAUGE_RAILTYPE_OHLE]:[TRACK_TYPE_NARROW_GAUGE_RAILTYPE_NONE]],_xlfn.LAMBDA(_xlpm.r,OR(_xlpm.r))),FALSE)</f>
        <v>0</v>
      </c>
      <c r="AG485" s="38" t="b" cm="1">
        <f t="array" ref="AG485">IFERROR(_xlfn.BYROW(TRACK_TYPES[[#This Row],[TRACK_TYPE_BROAD_GAUGE_RAILTYPE_OHLE]:[TRACK_TYPE_BROAD_GAUGE_RAILTYPE_NONE]],_xlfn.LAMBDA(_xlpm.r,OR(_xlpm.r))),FALSE)</f>
        <v>1</v>
      </c>
      <c r="AH4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85"/>
      <c r="AQ485"/>
      <c r="AR485"/>
    </row>
    <row r="486" spans="1:44" x14ac:dyDescent="0.35">
      <c r="A486" s="2" t="s">
        <v>3119</v>
      </c>
      <c r="B486" s="40" t="str">
        <f>_xlfn.XLOOKUP(PROPERTIES[[#This Row],[VEHIDCODE]],CONTROL[VEHIDCODE],CONTROL[ENGLISH])</f>
        <v>ZOS Vrutky 861</v>
      </c>
      <c r="J486" s="2" t="b">
        <v>1</v>
      </c>
      <c r="AC486" s="2"/>
      <c r="AD486" s="2" t="b">
        <f>LEN(_xlfn.CONCAT(TRACK_TYPES[[#This Row],[TRACK_TYPE_STANDARD_GAUGE_RAILTYPE_OHLE]:[TRACK_TYPE_MTRO]]))&gt;0</f>
        <v>1</v>
      </c>
      <c r="AE486" s="38" t="b" cm="1">
        <f t="array" ref="AE486">IFERROR(_xlfn.BYROW(TRACK_TYPES[[#This Row],[TRACK_TYPE_STANDARD_GAUGE_RAILTYPE_OHLE]:[TRACK_TYPE_STANDARD_GAUGE_RAILTYPE_NONE]],_xlfn.LAMBDA(_xlpm.r,OR(_xlpm.r))),FALSE)</f>
        <v>1</v>
      </c>
      <c r="AF486" s="38" t="b" cm="1">
        <f t="array" ref="AF486">IFERROR(_xlfn.BYROW(TRACK_TYPES[[#This Row],[TRACK_TYPE_NARROW_GAUGE_RAILTYPE_OHLE]:[TRACK_TYPE_NARROW_GAUGE_RAILTYPE_NONE]],_xlfn.LAMBDA(_xlpm.r,OR(_xlpm.r))),FALSE)</f>
        <v>0</v>
      </c>
      <c r="AG486" s="38" t="b" cm="1">
        <f t="array" ref="AG486">IFERROR(_xlfn.BYROW(TRACK_TYPES[[#This Row],[TRACK_TYPE_BROAD_GAUGE_RAILTYPE_OHLE]:[TRACK_TYPE_BROAD_GAUGE_RAILTYPE_NONE]],_xlfn.LAMBDA(_xlpm.r,OR(_xlpm.r))),FALSE)</f>
        <v>0</v>
      </c>
      <c r="AH4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6"/>
      <c r="AQ486"/>
      <c r="AR486"/>
    </row>
    <row r="487" spans="1:44" x14ac:dyDescent="0.35">
      <c r="A487" s="2" t="s">
        <v>3120</v>
      </c>
      <c r="B487" s="40" t="str">
        <f>_xlfn.XLOOKUP(PROPERTIES[[#This Row],[VEHIDCODE]],CONTROL[VEHIDCODE],CONTROL[ENGLISH])</f>
        <v>CAF TLD-500</v>
      </c>
      <c r="Z487" s="2" t="b">
        <v>1</v>
      </c>
      <c r="AC487" s="2"/>
      <c r="AD487" s="2" t="b">
        <f>LEN(_xlfn.CONCAT(TRACK_TYPES[[#This Row],[TRACK_TYPE_STANDARD_GAUGE_RAILTYPE_OHLE]:[TRACK_TYPE_MTRO]]))&gt;0</f>
        <v>1</v>
      </c>
      <c r="AE487" s="38" t="b" cm="1">
        <f t="array" ref="AE487">IFERROR(_xlfn.BYROW(TRACK_TYPES[[#This Row],[TRACK_TYPE_STANDARD_GAUGE_RAILTYPE_OHLE]:[TRACK_TYPE_STANDARD_GAUGE_RAILTYPE_NONE]],_xlfn.LAMBDA(_xlpm.r,OR(_xlpm.r))),FALSE)</f>
        <v>0</v>
      </c>
      <c r="AF487" s="38" t="b" cm="1">
        <f t="array" ref="AF487">IFERROR(_xlfn.BYROW(TRACK_TYPES[[#This Row],[TRACK_TYPE_NARROW_GAUGE_RAILTYPE_OHLE]:[TRACK_TYPE_NARROW_GAUGE_RAILTYPE_NONE]],_xlfn.LAMBDA(_xlpm.r,OR(_xlpm.r))),FALSE)</f>
        <v>0</v>
      </c>
      <c r="AG487" s="38" t="b" cm="1">
        <f t="array" ref="AG487">IFERROR(_xlfn.BYROW(TRACK_TYPES[[#This Row],[TRACK_TYPE_BROAD_GAUGE_RAILTYPE_OHLE]:[TRACK_TYPE_BROAD_GAUGE_RAILTYPE_NONE]],_xlfn.LAMBDA(_xlpm.r,OR(_xlpm.r))),FALSE)</f>
        <v>1</v>
      </c>
      <c r="AH4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87"/>
      <c r="AQ487"/>
      <c r="AR487"/>
    </row>
    <row r="488" spans="1:44" x14ac:dyDescent="0.35">
      <c r="A488" s="2" t="s">
        <v>3121</v>
      </c>
      <c r="B488" s="40" t="str">
        <f>_xlfn.XLOOKUP(PROPERTIES[[#This Row],[VEHIDCODE]],CONTROL[VEHIDCODE],CONTROL[ENGLISH])</f>
        <v>Camrail ZE 500</v>
      </c>
      <c r="R488" s="2" t="b">
        <v>1</v>
      </c>
      <c r="AC488" s="2"/>
      <c r="AD488" s="2" t="b">
        <f>LEN(_xlfn.CONCAT(TRACK_TYPES[[#This Row],[TRACK_TYPE_STANDARD_GAUGE_RAILTYPE_OHLE]:[TRACK_TYPE_MTRO]]))&gt;0</f>
        <v>1</v>
      </c>
      <c r="AE488" s="38" t="b" cm="1">
        <f t="array" ref="AE488">IFERROR(_xlfn.BYROW(TRACK_TYPES[[#This Row],[TRACK_TYPE_STANDARD_GAUGE_RAILTYPE_OHLE]:[TRACK_TYPE_STANDARD_GAUGE_RAILTYPE_NONE]],_xlfn.LAMBDA(_xlpm.r,OR(_xlpm.r))),FALSE)</f>
        <v>0</v>
      </c>
      <c r="AF488" s="38" t="b" cm="1">
        <f t="array" ref="AF488">IFERROR(_xlfn.BYROW(TRACK_TYPES[[#This Row],[TRACK_TYPE_NARROW_GAUGE_RAILTYPE_OHLE]:[TRACK_TYPE_NARROW_GAUGE_RAILTYPE_NONE]],_xlfn.LAMBDA(_xlpm.r,OR(_xlpm.r))),FALSE)</f>
        <v>1</v>
      </c>
      <c r="AG488" s="38" t="b" cm="1">
        <f t="array" ref="AG488">IFERROR(_xlfn.BYROW(TRACK_TYPES[[#This Row],[TRACK_TYPE_BROAD_GAUGE_RAILTYPE_OHLE]:[TRACK_TYPE_BROAD_GAUGE_RAILTYPE_NONE]],_xlfn.LAMBDA(_xlpm.r,OR(_xlpm.r))),FALSE)</f>
        <v>0</v>
      </c>
      <c r="AH4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88"/>
      <c r="AQ488"/>
      <c r="AR488"/>
    </row>
    <row r="489" spans="1:44" x14ac:dyDescent="0.35">
      <c r="A489" s="2" t="s">
        <v>3122</v>
      </c>
      <c r="B489" s="40" t="str">
        <f>_xlfn.XLOOKUP(PROPERTIES[[#This Row],[VEHIDCODE]],CONTROL[VEHIDCODE],CONTROL[ENGLISH])</f>
        <v>Metro-Cammell 251 'Blue Pullman'</v>
      </c>
      <c r="J489" s="2" t="b">
        <v>1</v>
      </c>
      <c r="AC489" s="2"/>
      <c r="AD489" s="2" t="b">
        <f>LEN(_xlfn.CONCAT(TRACK_TYPES[[#This Row],[TRACK_TYPE_STANDARD_GAUGE_RAILTYPE_OHLE]:[TRACK_TYPE_MTRO]]))&gt;0</f>
        <v>1</v>
      </c>
      <c r="AE489" s="38" t="b" cm="1">
        <f t="array" ref="AE489">IFERROR(_xlfn.BYROW(TRACK_TYPES[[#This Row],[TRACK_TYPE_STANDARD_GAUGE_RAILTYPE_OHLE]:[TRACK_TYPE_STANDARD_GAUGE_RAILTYPE_NONE]],_xlfn.LAMBDA(_xlpm.r,OR(_xlpm.r))),FALSE)</f>
        <v>1</v>
      </c>
      <c r="AF489" s="38" t="b" cm="1">
        <f t="array" ref="AF489">IFERROR(_xlfn.BYROW(TRACK_TYPES[[#This Row],[TRACK_TYPE_NARROW_GAUGE_RAILTYPE_OHLE]:[TRACK_TYPE_NARROW_GAUGE_RAILTYPE_NONE]],_xlfn.LAMBDA(_xlpm.r,OR(_xlpm.r))),FALSE)</f>
        <v>0</v>
      </c>
      <c r="AG489" s="38" t="b" cm="1">
        <f t="array" ref="AG489">IFERROR(_xlfn.BYROW(TRACK_TYPES[[#This Row],[TRACK_TYPE_BROAD_GAUGE_RAILTYPE_OHLE]:[TRACK_TYPE_BROAD_GAUGE_RAILTYPE_NONE]],_xlfn.LAMBDA(_xlpm.r,OR(_xlpm.r))),FALSE)</f>
        <v>0</v>
      </c>
      <c r="AH4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9"/>
      <c r="AQ489"/>
      <c r="AR489"/>
    </row>
    <row r="490" spans="1:44" x14ac:dyDescent="0.35">
      <c r="A490" s="2" t="s">
        <v>3123</v>
      </c>
      <c r="B490" s="40" t="str">
        <f>_xlfn.XLOOKUP(PROPERTIES[[#This Row],[VEHIDCODE]],CONTROL[VEHIDCODE],CONTROL[ENGLISH])</f>
        <v>Comeng ADK</v>
      </c>
      <c r="R490" s="2" t="b">
        <v>1</v>
      </c>
      <c r="AC490" s="2"/>
      <c r="AD490" s="2" t="b">
        <f>LEN(_xlfn.CONCAT(TRACK_TYPES[[#This Row],[TRACK_TYPE_STANDARD_GAUGE_RAILTYPE_OHLE]:[TRACK_TYPE_MTRO]]))&gt;0</f>
        <v>1</v>
      </c>
      <c r="AE490" s="38" t="b" cm="1">
        <f t="array" ref="AE490">IFERROR(_xlfn.BYROW(TRACK_TYPES[[#This Row],[TRACK_TYPE_STANDARD_GAUGE_RAILTYPE_OHLE]:[TRACK_TYPE_STANDARD_GAUGE_RAILTYPE_NONE]],_xlfn.LAMBDA(_xlpm.r,OR(_xlpm.r))),FALSE)</f>
        <v>0</v>
      </c>
      <c r="AF490" s="38" t="b" cm="1">
        <f t="array" ref="AF490">IFERROR(_xlfn.BYROW(TRACK_TYPES[[#This Row],[TRACK_TYPE_NARROW_GAUGE_RAILTYPE_OHLE]:[TRACK_TYPE_NARROW_GAUGE_RAILTYPE_NONE]],_xlfn.LAMBDA(_xlpm.r,OR(_xlpm.r))),FALSE)</f>
        <v>1</v>
      </c>
      <c r="AG490" s="38" t="b" cm="1">
        <f t="array" ref="AG490">IFERROR(_xlfn.BYROW(TRACK_TYPES[[#This Row],[TRACK_TYPE_BROAD_GAUGE_RAILTYPE_OHLE]:[TRACK_TYPE_BROAD_GAUGE_RAILTYPE_NONE]],_xlfn.LAMBDA(_xlpm.r,OR(_xlpm.r))),FALSE)</f>
        <v>0</v>
      </c>
      <c r="AH4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90"/>
      <c r="AQ490"/>
      <c r="AR490"/>
    </row>
    <row r="491" spans="1:44" x14ac:dyDescent="0.35">
      <c r="A491" s="2" t="s">
        <v>3124</v>
      </c>
      <c r="B491" s="40" t="str">
        <f>_xlfn.XLOOKUP(PROPERTIES[[#This Row],[VEHIDCODE]],CONTROL[VEHIDCODE],CONTROL[ENGLISH])</f>
        <v>ANF X 4630</v>
      </c>
      <c r="J491" s="2" t="b">
        <v>1</v>
      </c>
      <c r="AC491" s="2"/>
      <c r="AD491" s="2" t="b">
        <f>LEN(_xlfn.CONCAT(TRACK_TYPES[[#This Row],[TRACK_TYPE_STANDARD_GAUGE_RAILTYPE_OHLE]:[TRACK_TYPE_MTRO]]))&gt;0</f>
        <v>1</v>
      </c>
      <c r="AE491" s="38" t="b" cm="1">
        <f t="array" ref="AE491">IFERROR(_xlfn.BYROW(TRACK_TYPES[[#This Row],[TRACK_TYPE_STANDARD_GAUGE_RAILTYPE_OHLE]:[TRACK_TYPE_STANDARD_GAUGE_RAILTYPE_NONE]],_xlfn.LAMBDA(_xlpm.r,OR(_xlpm.r))),FALSE)</f>
        <v>1</v>
      </c>
      <c r="AF491" s="38" t="b" cm="1">
        <f t="array" ref="AF491">IFERROR(_xlfn.BYROW(TRACK_TYPES[[#This Row],[TRACK_TYPE_NARROW_GAUGE_RAILTYPE_OHLE]:[TRACK_TYPE_NARROW_GAUGE_RAILTYPE_NONE]],_xlfn.LAMBDA(_xlpm.r,OR(_xlpm.r))),FALSE)</f>
        <v>0</v>
      </c>
      <c r="AG491" s="38" t="b" cm="1">
        <f t="array" ref="AG491">IFERROR(_xlfn.BYROW(TRACK_TYPES[[#This Row],[TRACK_TYPE_BROAD_GAUGE_RAILTYPE_OHLE]:[TRACK_TYPE_BROAD_GAUGE_RAILTYPE_NONE]],_xlfn.LAMBDA(_xlpm.r,OR(_xlpm.r))),FALSE)</f>
        <v>0</v>
      </c>
      <c r="AH4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1"/>
      <c r="AQ491"/>
      <c r="AR491"/>
    </row>
    <row r="492" spans="1:44" x14ac:dyDescent="0.35">
      <c r="A492" s="2" t="s">
        <v>3125</v>
      </c>
      <c r="B492" s="40" t="str">
        <f>_xlfn.XLOOKUP(PROPERTIES[[#This Row],[VEHIDCODE]],CONTROL[VEHIDCODE],CONTROL[ENGLISH])</f>
        <v>ANF T 2000</v>
      </c>
      <c r="J492" s="2" t="b">
        <v>1</v>
      </c>
      <c r="AC492" s="2"/>
      <c r="AD492" s="2" t="b">
        <f>LEN(_xlfn.CONCAT(TRACK_TYPES[[#This Row],[TRACK_TYPE_STANDARD_GAUGE_RAILTYPE_OHLE]:[TRACK_TYPE_MTRO]]))&gt;0</f>
        <v>1</v>
      </c>
      <c r="AE492" s="38" t="b" cm="1">
        <f t="array" ref="AE492">IFERROR(_xlfn.BYROW(TRACK_TYPES[[#This Row],[TRACK_TYPE_STANDARD_GAUGE_RAILTYPE_OHLE]:[TRACK_TYPE_STANDARD_GAUGE_RAILTYPE_NONE]],_xlfn.LAMBDA(_xlpm.r,OR(_xlpm.r))),FALSE)</f>
        <v>1</v>
      </c>
      <c r="AF492" s="38" t="b" cm="1">
        <f t="array" ref="AF492">IFERROR(_xlfn.BYROW(TRACK_TYPES[[#This Row],[TRACK_TYPE_NARROW_GAUGE_RAILTYPE_OHLE]:[TRACK_TYPE_NARROW_GAUGE_RAILTYPE_NONE]],_xlfn.LAMBDA(_xlpm.r,OR(_xlpm.r))),FALSE)</f>
        <v>0</v>
      </c>
      <c r="AG492" s="38" t="b" cm="1">
        <f t="array" ref="AG492">IFERROR(_xlfn.BYROW(TRACK_TYPES[[#This Row],[TRACK_TYPE_BROAD_GAUGE_RAILTYPE_OHLE]:[TRACK_TYPE_BROAD_GAUGE_RAILTYPE_NONE]],_xlfn.LAMBDA(_xlpm.r,OR(_xlpm.r))),FALSE)</f>
        <v>0</v>
      </c>
      <c r="AH4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2"/>
      <c r="AQ492"/>
      <c r="AR492"/>
    </row>
    <row r="493" spans="1:44" x14ac:dyDescent="0.35">
      <c r="A493" s="2" t="s">
        <v>3126</v>
      </c>
      <c r="B493" s="40" t="str">
        <f>_xlfn.XLOOKUP(PROPERTIES[[#This Row],[VEHIDCODE]],CONTROL[VEHIDCODE],CONTROL[ENGLISH])</f>
        <v>Duwag Wadloper</v>
      </c>
      <c r="J493" s="2" t="b">
        <v>1</v>
      </c>
      <c r="AC493" s="2"/>
      <c r="AD493" s="2" t="b">
        <f>LEN(_xlfn.CONCAT(TRACK_TYPES[[#This Row],[TRACK_TYPE_STANDARD_GAUGE_RAILTYPE_OHLE]:[TRACK_TYPE_MTRO]]))&gt;0</f>
        <v>1</v>
      </c>
      <c r="AE493" s="38" t="b" cm="1">
        <f t="array" ref="AE493">IFERROR(_xlfn.BYROW(TRACK_TYPES[[#This Row],[TRACK_TYPE_STANDARD_GAUGE_RAILTYPE_OHLE]:[TRACK_TYPE_STANDARD_GAUGE_RAILTYPE_NONE]],_xlfn.LAMBDA(_xlpm.r,OR(_xlpm.r))),FALSE)</f>
        <v>1</v>
      </c>
      <c r="AF493" s="38" t="b" cm="1">
        <f t="array" ref="AF493">IFERROR(_xlfn.BYROW(TRACK_TYPES[[#This Row],[TRACK_TYPE_NARROW_GAUGE_RAILTYPE_OHLE]:[TRACK_TYPE_NARROW_GAUGE_RAILTYPE_NONE]],_xlfn.LAMBDA(_xlpm.r,OR(_xlpm.r))),FALSE)</f>
        <v>0</v>
      </c>
      <c r="AG493" s="38" t="b" cm="1">
        <f t="array" ref="AG493">IFERROR(_xlfn.BYROW(TRACK_TYPES[[#This Row],[TRACK_TYPE_BROAD_GAUGE_RAILTYPE_OHLE]:[TRACK_TYPE_BROAD_GAUGE_RAILTYPE_NONE]],_xlfn.LAMBDA(_xlpm.r,OR(_xlpm.r))),FALSE)</f>
        <v>0</v>
      </c>
      <c r="AH4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3"/>
      <c r="AQ493"/>
      <c r="AR493"/>
    </row>
    <row r="494" spans="1:44" x14ac:dyDescent="0.35">
      <c r="A494" s="2" t="s">
        <v>3127</v>
      </c>
      <c r="B494" s="40" t="str">
        <f>_xlfn.XLOOKUP(PROPERTIES[[#This Row],[VEHIDCODE]],CONTROL[VEHIDCODE],CONTROL[ENGLISH])</f>
        <v>Duwag 628.2</v>
      </c>
      <c r="J494" s="2" t="b">
        <v>1</v>
      </c>
      <c r="AC494" s="2"/>
      <c r="AD494" s="2" t="b">
        <f>LEN(_xlfn.CONCAT(TRACK_TYPES[[#This Row],[TRACK_TYPE_STANDARD_GAUGE_RAILTYPE_OHLE]:[TRACK_TYPE_MTRO]]))&gt;0</f>
        <v>1</v>
      </c>
      <c r="AE494" s="38" t="b" cm="1">
        <f t="array" ref="AE494">IFERROR(_xlfn.BYROW(TRACK_TYPES[[#This Row],[TRACK_TYPE_STANDARD_GAUGE_RAILTYPE_OHLE]:[TRACK_TYPE_STANDARD_GAUGE_RAILTYPE_NONE]],_xlfn.LAMBDA(_xlpm.r,OR(_xlpm.r))),FALSE)</f>
        <v>1</v>
      </c>
      <c r="AF494" s="38" t="b" cm="1">
        <f t="array" ref="AF494">IFERROR(_xlfn.BYROW(TRACK_TYPES[[#This Row],[TRACK_TYPE_NARROW_GAUGE_RAILTYPE_OHLE]:[TRACK_TYPE_NARROW_GAUGE_RAILTYPE_NONE]],_xlfn.LAMBDA(_xlpm.r,OR(_xlpm.r))),FALSE)</f>
        <v>0</v>
      </c>
      <c r="AG494" s="38" t="b" cm="1">
        <f t="array" ref="AG494">IFERROR(_xlfn.BYROW(TRACK_TYPES[[#This Row],[TRACK_TYPE_BROAD_GAUGE_RAILTYPE_OHLE]:[TRACK_TYPE_BROAD_GAUGE_RAILTYPE_NONE]],_xlfn.LAMBDA(_xlpm.r,OR(_xlpm.r))),FALSE)</f>
        <v>0</v>
      </c>
      <c r="AH4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4"/>
      <c r="AQ494"/>
      <c r="AR494"/>
    </row>
    <row r="495" spans="1:44" x14ac:dyDescent="0.35">
      <c r="A495" s="2" t="s">
        <v>3128</v>
      </c>
      <c r="B495" s="40" t="str">
        <f>_xlfn.XLOOKUP(PROPERTIES[[#This Row],[VEHIDCODE]],CONTROL[VEHIDCODE],CONTROL[ENGLISH])</f>
        <v>CAF ZZ 2200 Autorail</v>
      </c>
      <c r="J495" s="2" t="b">
        <v>1</v>
      </c>
      <c r="AC495" s="2"/>
      <c r="AD495" s="2" t="b">
        <f>LEN(_xlfn.CONCAT(TRACK_TYPES[[#This Row],[TRACK_TYPE_STANDARD_GAUGE_RAILTYPE_OHLE]:[TRACK_TYPE_MTRO]]))&gt;0</f>
        <v>1</v>
      </c>
      <c r="AE495" s="38" t="b" cm="1">
        <f t="array" ref="AE495">IFERROR(_xlfn.BYROW(TRACK_TYPES[[#This Row],[TRACK_TYPE_STANDARD_GAUGE_RAILTYPE_OHLE]:[TRACK_TYPE_STANDARD_GAUGE_RAILTYPE_NONE]],_xlfn.LAMBDA(_xlpm.r,OR(_xlpm.r))),FALSE)</f>
        <v>1</v>
      </c>
      <c r="AF495" s="38" t="b" cm="1">
        <f t="array" ref="AF495">IFERROR(_xlfn.BYROW(TRACK_TYPES[[#This Row],[TRACK_TYPE_NARROW_GAUGE_RAILTYPE_OHLE]:[TRACK_TYPE_NARROW_GAUGE_RAILTYPE_NONE]],_xlfn.LAMBDA(_xlpm.r,OR(_xlpm.r))),FALSE)</f>
        <v>0</v>
      </c>
      <c r="AG495" s="38" t="b" cm="1">
        <f t="array" ref="AG495">IFERROR(_xlfn.BYROW(TRACK_TYPES[[#This Row],[TRACK_TYPE_BROAD_GAUGE_RAILTYPE_OHLE]:[TRACK_TYPE_BROAD_GAUGE_RAILTYPE_NONE]],_xlfn.LAMBDA(_xlpm.r,OR(_xlpm.r))),FALSE)</f>
        <v>0</v>
      </c>
      <c r="AH4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5"/>
      <c r="AQ495"/>
      <c r="AR495"/>
    </row>
    <row r="496" spans="1:44" x14ac:dyDescent="0.35">
      <c r="A496" s="2" t="s">
        <v>3129</v>
      </c>
      <c r="B496" s="40" t="str">
        <f>_xlfn.XLOOKUP(PROPERTIES[[#This Row],[VEHIDCODE]],CONTROL[VEHIDCODE],CONTROL[ENGLISH])</f>
        <v>CFD AMT 800</v>
      </c>
      <c r="R496" s="2" t="b">
        <v>1</v>
      </c>
      <c r="AC496" s="2"/>
      <c r="AD496" s="2" t="b">
        <f>LEN(_xlfn.CONCAT(TRACK_TYPES[[#This Row],[TRACK_TYPE_STANDARD_GAUGE_RAILTYPE_OHLE]:[TRACK_TYPE_MTRO]]))&gt;0</f>
        <v>1</v>
      </c>
      <c r="AE496" s="38" t="b" cm="1">
        <f t="array" ref="AE496">IFERROR(_xlfn.BYROW(TRACK_TYPES[[#This Row],[TRACK_TYPE_STANDARD_GAUGE_RAILTYPE_OHLE]:[TRACK_TYPE_STANDARD_GAUGE_RAILTYPE_NONE]],_xlfn.LAMBDA(_xlpm.r,OR(_xlpm.r))),FALSE)</f>
        <v>0</v>
      </c>
      <c r="AF496" s="38" t="b" cm="1">
        <f t="array" ref="AF496">IFERROR(_xlfn.BYROW(TRACK_TYPES[[#This Row],[TRACK_TYPE_NARROW_GAUGE_RAILTYPE_OHLE]:[TRACK_TYPE_NARROW_GAUGE_RAILTYPE_NONE]],_xlfn.LAMBDA(_xlpm.r,OR(_xlpm.r))),FALSE)</f>
        <v>1</v>
      </c>
      <c r="AG496" s="38" t="b" cm="1">
        <f t="array" ref="AG496">IFERROR(_xlfn.BYROW(TRACK_TYPES[[#This Row],[TRACK_TYPE_BROAD_GAUGE_RAILTYPE_OHLE]:[TRACK_TYPE_BROAD_GAUGE_RAILTYPE_NONE]],_xlfn.LAMBDA(_xlpm.r,OR(_xlpm.r))),FALSE)</f>
        <v>0</v>
      </c>
      <c r="AH4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96"/>
      <c r="AQ496"/>
      <c r="AR496"/>
    </row>
    <row r="497" spans="1:44" x14ac:dyDescent="0.35">
      <c r="A497" s="2" t="s">
        <v>3130</v>
      </c>
      <c r="B497" s="40" t="str">
        <f>_xlfn.XLOOKUP(PROPERTIES[[#This Row],[VEHIDCODE]],CONTROL[VEHIDCODE],CONTROL[ENGLISH])</f>
        <v>CNR Tangshan Ghana DEMU</v>
      </c>
      <c r="R497" s="2" t="b">
        <v>1</v>
      </c>
      <c r="AC497" s="2"/>
      <c r="AD497" s="2" t="b">
        <f>LEN(_xlfn.CONCAT(TRACK_TYPES[[#This Row],[TRACK_TYPE_STANDARD_GAUGE_RAILTYPE_OHLE]:[TRACK_TYPE_MTRO]]))&gt;0</f>
        <v>1</v>
      </c>
      <c r="AE497" s="38" t="b" cm="1">
        <f t="array" ref="AE497">IFERROR(_xlfn.BYROW(TRACK_TYPES[[#This Row],[TRACK_TYPE_STANDARD_GAUGE_RAILTYPE_OHLE]:[TRACK_TYPE_STANDARD_GAUGE_RAILTYPE_NONE]],_xlfn.LAMBDA(_xlpm.r,OR(_xlpm.r))),FALSE)</f>
        <v>0</v>
      </c>
      <c r="AF497" s="38" t="b" cm="1">
        <f t="array" ref="AF497">IFERROR(_xlfn.BYROW(TRACK_TYPES[[#This Row],[TRACK_TYPE_NARROW_GAUGE_RAILTYPE_OHLE]:[TRACK_TYPE_NARROW_GAUGE_RAILTYPE_NONE]],_xlfn.LAMBDA(_xlpm.r,OR(_xlpm.r))),FALSE)</f>
        <v>1</v>
      </c>
      <c r="AG497" s="38" t="b" cm="1">
        <f t="array" ref="AG497">IFERROR(_xlfn.BYROW(TRACK_TYPES[[#This Row],[TRACK_TYPE_BROAD_GAUGE_RAILTYPE_OHLE]:[TRACK_TYPE_BROAD_GAUGE_RAILTYPE_NONE]],_xlfn.LAMBDA(_xlpm.r,OR(_xlpm.r))),FALSE)</f>
        <v>0</v>
      </c>
      <c r="AH4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97"/>
      <c r="AQ497"/>
      <c r="AR497"/>
    </row>
    <row r="498" spans="1:44" x14ac:dyDescent="0.35">
      <c r="A498" s="2" t="s">
        <v>3131</v>
      </c>
      <c r="B498" s="40" t="str">
        <f>_xlfn.XLOOKUP(PROPERTIES[[#This Row],[VEHIDCODE]],CONTROL[VEHIDCODE],CONTROL[ENGLISH])</f>
        <v>Downer EDI/Hitachi Tilt Train</v>
      </c>
      <c r="R498" s="2" t="b">
        <v>1</v>
      </c>
      <c r="AC498" s="2"/>
      <c r="AD498" s="2" t="b">
        <f>LEN(_xlfn.CONCAT(TRACK_TYPES[[#This Row],[TRACK_TYPE_STANDARD_GAUGE_RAILTYPE_OHLE]:[TRACK_TYPE_MTRO]]))&gt;0</f>
        <v>1</v>
      </c>
      <c r="AE498" s="38" t="b" cm="1">
        <f t="array" ref="AE498">IFERROR(_xlfn.BYROW(TRACK_TYPES[[#This Row],[TRACK_TYPE_STANDARD_GAUGE_RAILTYPE_OHLE]:[TRACK_TYPE_STANDARD_GAUGE_RAILTYPE_NONE]],_xlfn.LAMBDA(_xlpm.r,OR(_xlpm.r))),FALSE)</f>
        <v>0</v>
      </c>
      <c r="AF498" s="38" t="b" cm="1">
        <f t="array" ref="AF498">IFERROR(_xlfn.BYROW(TRACK_TYPES[[#This Row],[TRACK_TYPE_NARROW_GAUGE_RAILTYPE_OHLE]:[TRACK_TYPE_NARROW_GAUGE_RAILTYPE_NONE]],_xlfn.LAMBDA(_xlpm.r,OR(_xlpm.r))),FALSE)</f>
        <v>1</v>
      </c>
      <c r="AG498" s="38" t="b" cm="1">
        <f t="array" ref="AG498">IFERROR(_xlfn.BYROW(TRACK_TYPES[[#This Row],[TRACK_TYPE_BROAD_GAUGE_RAILTYPE_OHLE]:[TRACK_TYPE_BROAD_GAUGE_RAILTYPE_NONE]],_xlfn.LAMBDA(_xlpm.r,OR(_xlpm.r))),FALSE)</f>
        <v>0</v>
      </c>
      <c r="AH4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98"/>
      <c r="AQ498"/>
      <c r="AR498"/>
    </row>
    <row r="499" spans="1:44" x14ac:dyDescent="0.35">
      <c r="A499" s="2" t="s">
        <v>3132</v>
      </c>
      <c r="B499" s="40" t="str">
        <f>_xlfn.XLOOKUP(PROPERTIES[[#This Row],[VEHIDCODE]],CONTROL[VEHIDCODE],CONTROL[ENGLISH])</f>
        <v>Nippon Sharyo 1000 Series</v>
      </c>
      <c r="J499" s="2" t="b">
        <v>1</v>
      </c>
      <c r="AC499" s="2"/>
      <c r="AD499" s="2" t="b">
        <f>LEN(_xlfn.CONCAT(TRACK_TYPES[[#This Row],[TRACK_TYPE_STANDARD_GAUGE_RAILTYPE_OHLE]:[TRACK_TYPE_MTRO]]))&gt;0</f>
        <v>1</v>
      </c>
      <c r="AE499" s="38" t="b" cm="1">
        <f t="array" ref="AE499">IFERROR(_xlfn.BYROW(TRACK_TYPES[[#This Row],[TRACK_TYPE_STANDARD_GAUGE_RAILTYPE_OHLE]:[TRACK_TYPE_STANDARD_GAUGE_RAILTYPE_NONE]],_xlfn.LAMBDA(_xlpm.r,OR(_xlpm.r))),FALSE)</f>
        <v>1</v>
      </c>
      <c r="AF499" s="38" t="b" cm="1">
        <f t="array" ref="AF499">IFERROR(_xlfn.BYROW(TRACK_TYPES[[#This Row],[TRACK_TYPE_NARROW_GAUGE_RAILTYPE_OHLE]:[TRACK_TYPE_NARROW_GAUGE_RAILTYPE_NONE]],_xlfn.LAMBDA(_xlpm.r,OR(_xlpm.r))),FALSE)</f>
        <v>0</v>
      </c>
      <c r="AG499" s="38" t="b" cm="1">
        <f t="array" ref="AG499">IFERROR(_xlfn.BYROW(TRACK_TYPES[[#This Row],[TRACK_TYPE_BROAD_GAUGE_RAILTYPE_OHLE]:[TRACK_TYPE_BROAD_GAUGE_RAILTYPE_NONE]],_xlfn.LAMBDA(_xlpm.r,OR(_xlpm.r))),FALSE)</f>
        <v>0</v>
      </c>
      <c r="AH4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9"/>
      <c r="AQ499"/>
      <c r="AR499"/>
    </row>
    <row r="500" spans="1:44" x14ac:dyDescent="0.35">
      <c r="A500" s="2" t="s">
        <v>3133</v>
      </c>
      <c r="B500" s="40" t="str">
        <f>_xlfn.XLOOKUP(PROPERTIES[[#This Row],[VEHIDCODE]],CONTROL[VEHIDCODE],CONTROL[ENGLISH])</f>
        <v>Materfer CMM 400-2</v>
      </c>
      <c r="J500" s="2" t="b">
        <v>1</v>
      </c>
      <c r="AC500" s="2"/>
      <c r="AD500" s="2" t="b">
        <f>LEN(_xlfn.CONCAT(TRACK_TYPES[[#This Row],[TRACK_TYPE_STANDARD_GAUGE_RAILTYPE_OHLE]:[TRACK_TYPE_MTRO]]))&gt;0</f>
        <v>1</v>
      </c>
      <c r="AE500" s="38" t="b" cm="1">
        <f t="array" ref="AE500">IFERROR(_xlfn.BYROW(TRACK_TYPES[[#This Row],[TRACK_TYPE_STANDARD_GAUGE_RAILTYPE_OHLE]:[TRACK_TYPE_STANDARD_GAUGE_RAILTYPE_NONE]],_xlfn.LAMBDA(_xlpm.r,OR(_xlpm.r))),FALSE)</f>
        <v>1</v>
      </c>
      <c r="AF500" s="38" t="b" cm="1">
        <f t="array" ref="AF500">IFERROR(_xlfn.BYROW(TRACK_TYPES[[#This Row],[TRACK_TYPE_NARROW_GAUGE_RAILTYPE_OHLE]:[TRACK_TYPE_NARROW_GAUGE_RAILTYPE_NONE]],_xlfn.LAMBDA(_xlpm.r,OR(_xlpm.r))),FALSE)</f>
        <v>0</v>
      </c>
      <c r="AG500" s="38" t="b" cm="1">
        <f t="array" ref="AG500">IFERROR(_xlfn.BYROW(TRACK_TYPES[[#This Row],[TRACK_TYPE_BROAD_GAUGE_RAILTYPE_OHLE]:[TRACK_TYPE_BROAD_GAUGE_RAILTYPE_NONE]],_xlfn.LAMBDA(_xlpm.r,OR(_xlpm.r))),FALSE)</f>
        <v>0</v>
      </c>
      <c r="AH5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0"/>
      <c r="AQ500"/>
      <c r="AR500"/>
    </row>
    <row r="501" spans="1:44" x14ac:dyDescent="0.35">
      <c r="A501" s="2" t="s">
        <v>3134</v>
      </c>
      <c r="B501" s="40" t="str">
        <f>_xlfn.XLOOKUP(PROPERTIES[[#This Row],[VEHIDCODE]],CONTROL[VEHIDCODE],CONTROL[ENGLISH])</f>
        <v>Fiat ALn 442-448</v>
      </c>
      <c r="J501" s="2" t="b">
        <v>1</v>
      </c>
      <c r="AC501" s="2"/>
      <c r="AD501" s="2" t="b">
        <f>LEN(_xlfn.CONCAT(TRACK_TYPES[[#This Row],[TRACK_TYPE_STANDARD_GAUGE_RAILTYPE_OHLE]:[TRACK_TYPE_MTRO]]))&gt;0</f>
        <v>1</v>
      </c>
      <c r="AE501" s="38" t="b" cm="1">
        <f t="array" ref="AE501">IFERROR(_xlfn.BYROW(TRACK_TYPES[[#This Row],[TRACK_TYPE_STANDARD_GAUGE_RAILTYPE_OHLE]:[TRACK_TYPE_STANDARD_GAUGE_RAILTYPE_NONE]],_xlfn.LAMBDA(_xlpm.r,OR(_xlpm.r))),FALSE)</f>
        <v>1</v>
      </c>
      <c r="AF501" s="38" t="b" cm="1">
        <f t="array" ref="AF501">IFERROR(_xlfn.BYROW(TRACK_TYPES[[#This Row],[TRACK_TYPE_NARROW_GAUGE_RAILTYPE_OHLE]:[TRACK_TYPE_NARROW_GAUGE_RAILTYPE_NONE]],_xlfn.LAMBDA(_xlpm.r,OR(_xlpm.r))),FALSE)</f>
        <v>0</v>
      </c>
      <c r="AG501" s="38" t="b" cm="1">
        <f t="array" ref="AG501">IFERROR(_xlfn.BYROW(TRACK_TYPES[[#This Row],[TRACK_TYPE_BROAD_GAUGE_RAILTYPE_OHLE]:[TRACK_TYPE_BROAD_GAUGE_RAILTYPE_NONE]],_xlfn.LAMBDA(_xlpm.r,OR(_xlpm.r))),FALSE)</f>
        <v>0</v>
      </c>
      <c r="AH5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1"/>
      <c r="AQ501"/>
      <c r="AR501"/>
    </row>
    <row r="502" spans="1:44" x14ac:dyDescent="0.35">
      <c r="A502" s="2" t="s">
        <v>3135</v>
      </c>
      <c r="B502" s="40" t="str">
        <f>_xlfn.XLOOKUP(PROPERTIES[[#This Row],[VEHIDCODE]],CONTROL[VEHIDCODE],CONTROL[ENGLISH])</f>
        <v>Sorefame CP 0400</v>
      </c>
      <c r="Z502" s="2" t="b">
        <v>1</v>
      </c>
      <c r="AC502" s="2"/>
      <c r="AD502" s="2" t="b">
        <f>LEN(_xlfn.CONCAT(TRACK_TYPES[[#This Row],[TRACK_TYPE_STANDARD_GAUGE_RAILTYPE_OHLE]:[TRACK_TYPE_MTRO]]))&gt;0</f>
        <v>1</v>
      </c>
      <c r="AE502" s="38" t="b" cm="1">
        <f t="array" ref="AE502">IFERROR(_xlfn.BYROW(TRACK_TYPES[[#This Row],[TRACK_TYPE_STANDARD_GAUGE_RAILTYPE_OHLE]:[TRACK_TYPE_STANDARD_GAUGE_RAILTYPE_NONE]],_xlfn.LAMBDA(_xlpm.r,OR(_xlpm.r))),FALSE)</f>
        <v>0</v>
      </c>
      <c r="AF502" s="38" t="b" cm="1">
        <f t="array" ref="AF502">IFERROR(_xlfn.BYROW(TRACK_TYPES[[#This Row],[TRACK_TYPE_NARROW_GAUGE_RAILTYPE_OHLE]:[TRACK_TYPE_NARROW_GAUGE_RAILTYPE_NONE]],_xlfn.LAMBDA(_xlpm.r,OR(_xlpm.r))),FALSE)</f>
        <v>0</v>
      </c>
      <c r="AG502" s="38" t="b" cm="1">
        <f t="array" ref="AG502">IFERROR(_xlfn.BYROW(TRACK_TYPES[[#This Row],[TRACK_TYPE_BROAD_GAUGE_RAILTYPE_OHLE]:[TRACK_TYPE_BROAD_GAUGE_RAILTYPE_NONE]],_xlfn.LAMBDA(_xlpm.r,OR(_xlpm.r))),FALSE)</f>
        <v>1</v>
      </c>
      <c r="AH5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502"/>
      <c r="AQ502"/>
      <c r="AR502"/>
    </row>
    <row r="503" spans="1:44" x14ac:dyDescent="0.35">
      <c r="A503" s="2" t="s">
        <v>3136</v>
      </c>
      <c r="B503" s="40" t="str">
        <f>_xlfn.XLOOKUP(PROPERTIES[[#This Row],[VEHIDCODE]],CONTROL[VEHIDCODE],CONTROL[ENGLISH])</f>
        <v>Sorefame CP 0600</v>
      </c>
      <c r="Z503" s="2" t="b">
        <v>1</v>
      </c>
      <c r="AC503" s="2"/>
      <c r="AD503" s="2" t="b">
        <f>LEN(_xlfn.CONCAT(TRACK_TYPES[[#This Row],[TRACK_TYPE_STANDARD_GAUGE_RAILTYPE_OHLE]:[TRACK_TYPE_MTRO]]))&gt;0</f>
        <v>1</v>
      </c>
      <c r="AE503" s="38" t="b" cm="1">
        <f t="array" ref="AE503">IFERROR(_xlfn.BYROW(TRACK_TYPES[[#This Row],[TRACK_TYPE_STANDARD_GAUGE_RAILTYPE_OHLE]:[TRACK_TYPE_STANDARD_GAUGE_RAILTYPE_NONE]],_xlfn.LAMBDA(_xlpm.r,OR(_xlpm.r))),FALSE)</f>
        <v>0</v>
      </c>
      <c r="AF503" s="38" t="b" cm="1">
        <f t="array" ref="AF503">IFERROR(_xlfn.BYROW(TRACK_TYPES[[#This Row],[TRACK_TYPE_NARROW_GAUGE_RAILTYPE_OHLE]:[TRACK_TYPE_NARROW_GAUGE_RAILTYPE_NONE]],_xlfn.LAMBDA(_xlpm.r,OR(_xlpm.r))),FALSE)</f>
        <v>0</v>
      </c>
      <c r="AG503" s="38" t="b" cm="1">
        <f t="array" ref="AG503">IFERROR(_xlfn.BYROW(TRACK_TYPES[[#This Row],[TRACK_TYPE_BROAD_GAUGE_RAILTYPE_OHLE]:[TRACK_TYPE_BROAD_GAUGE_RAILTYPE_NONE]],_xlfn.LAMBDA(_xlpm.r,OR(_xlpm.r))),FALSE)</f>
        <v>1</v>
      </c>
      <c r="AH5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503"/>
      <c r="AQ503"/>
      <c r="AR503"/>
    </row>
    <row r="504" spans="1:44" x14ac:dyDescent="0.35">
      <c r="A504" s="2" t="s">
        <v>3137</v>
      </c>
      <c r="B504" s="40" t="str">
        <f>_xlfn.XLOOKUP(PROPERTIES[[#This Row],[VEHIDCODE]],CONTROL[VEHIDCODE],CONTROL[ENGLISH])</f>
        <v>MTM 2400 'Apollos'</v>
      </c>
      <c r="Z504" s="2" t="b">
        <v>1</v>
      </c>
      <c r="AC504" s="2"/>
      <c r="AD504" s="2" t="b">
        <f>LEN(_xlfn.CONCAT(TRACK_TYPES[[#This Row],[TRACK_TYPE_STANDARD_GAUGE_RAILTYPE_OHLE]:[TRACK_TYPE_MTRO]]))&gt;0</f>
        <v>1</v>
      </c>
      <c r="AE504" s="38" t="b" cm="1">
        <f t="array" ref="AE504">IFERROR(_xlfn.BYROW(TRACK_TYPES[[#This Row],[TRACK_TYPE_STANDARD_GAUGE_RAILTYPE_OHLE]:[TRACK_TYPE_STANDARD_GAUGE_RAILTYPE_NONE]],_xlfn.LAMBDA(_xlpm.r,OR(_xlpm.r))),FALSE)</f>
        <v>0</v>
      </c>
      <c r="AF504" s="38" t="b" cm="1">
        <f t="array" ref="AF504">IFERROR(_xlfn.BYROW(TRACK_TYPES[[#This Row],[TRACK_TYPE_NARROW_GAUGE_RAILTYPE_OHLE]:[TRACK_TYPE_NARROW_GAUGE_RAILTYPE_NONE]],_xlfn.LAMBDA(_xlpm.r,OR(_xlpm.r))),FALSE)</f>
        <v>0</v>
      </c>
      <c r="AG504" s="38" t="b" cm="1">
        <f t="array" ref="AG504">IFERROR(_xlfn.BYROW(TRACK_TYPES[[#This Row],[TRACK_TYPE_BROAD_GAUGE_RAILTYPE_OHLE]:[TRACK_TYPE_BROAD_GAUGE_RAILTYPE_NONE]],_xlfn.LAMBDA(_xlpm.r,OR(_xlpm.r))),FALSE)</f>
        <v>1</v>
      </c>
      <c r="AH5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504"/>
      <c r="AQ504"/>
      <c r="AR504"/>
    </row>
    <row r="505" spans="1:44" x14ac:dyDescent="0.35">
      <c r="A505" s="2" t="s">
        <v>3138</v>
      </c>
      <c r="B505" s="40" t="str">
        <f>_xlfn.XLOOKUP(PROPERTIES[[#This Row],[VEHIDCODE]],CONTROL[VEHIDCODE],CONTROL[ENGLISH])</f>
        <v>Windhoff CargoSprinter</v>
      </c>
      <c r="J505" s="2" t="b">
        <v>1</v>
      </c>
      <c r="AC505" s="2"/>
      <c r="AD505" s="2" t="b">
        <f>LEN(_xlfn.CONCAT(TRACK_TYPES[[#This Row],[TRACK_TYPE_STANDARD_GAUGE_RAILTYPE_OHLE]:[TRACK_TYPE_MTRO]]))&gt;0</f>
        <v>1</v>
      </c>
      <c r="AE505" s="38" t="b" cm="1">
        <f t="array" ref="AE505">IFERROR(_xlfn.BYROW(TRACK_TYPES[[#This Row],[TRACK_TYPE_STANDARD_GAUGE_RAILTYPE_OHLE]:[TRACK_TYPE_STANDARD_GAUGE_RAILTYPE_NONE]],_xlfn.LAMBDA(_xlpm.r,OR(_xlpm.r))),FALSE)</f>
        <v>1</v>
      </c>
      <c r="AF505" s="38" t="b" cm="1">
        <f t="array" ref="AF505">IFERROR(_xlfn.BYROW(TRACK_TYPES[[#This Row],[TRACK_TYPE_NARROW_GAUGE_RAILTYPE_OHLE]:[TRACK_TYPE_NARROW_GAUGE_RAILTYPE_NONE]],_xlfn.LAMBDA(_xlpm.r,OR(_xlpm.r))),FALSE)</f>
        <v>0</v>
      </c>
      <c r="AG505" s="38" t="b" cm="1">
        <f t="array" ref="AG505">IFERROR(_xlfn.BYROW(TRACK_TYPES[[#This Row],[TRACK_TYPE_BROAD_GAUGE_RAILTYPE_OHLE]:[TRACK_TYPE_BROAD_GAUGE_RAILTYPE_NONE]],_xlfn.LAMBDA(_xlpm.r,OR(_xlpm.r))),FALSE)</f>
        <v>0</v>
      </c>
      <c r="AH5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5"/>
      <c r="AQ505"/>
      <c r="AR505"/>
    </row>
    <row r="506" spans="1:44" x14ac:dyDescent="0.35">
      <c r="A506" s="2" t="s">
        <v>3139</v>
      </c>
      <c r="B506" s="40" t="str">
        <f>_xlfn.XLOOKUP(PROPERTIES[[#This Row],[VEHIDCODE]],CONTROL[VEHIDCODE],CONTROL[ENGLISH])</f>
        <v>Downer/CRRC/Hitachi 'Waratah'</v>
      </c>
      <c r="G506" t="b">
        <v>1</v>
      </c>
      <c r="AC506" s="2"/>
      <c r="AD506" s="2" t="b">
        <f>LEN(_xlfn.CONCAT(TRACK_TYPES[[#This Row],[TRACK_TYPE_STANDARD_GAUGE_RAILTYPE_OHLE]:[TRACK_TYPE_MTRO]]))&gt;0</f>
        <v>1</v>
      </c>
      <c r="AE506" s="38" t="b" cm="1">
        <f t="array" ref="AE506">IFERROR(_xlfn.BYROW(TRACK_TYPES[[#This Row],[TRACK_TYPE_STANDARD_GAUGE_RAILTYPE_OHLE]:[TRACK_TYPE_STANDARD_GAUGE_RAILTYPE_NONE]],_xlfn.LAMBDA(_xlpm.r,OR(_xlpm.r))),FALSE)</f>
        <v>1</v>
      </c>
      <c r="AF506" s="38" t="b" cm="1">
        <f t="array" ref="AF506">IFERROR(_xlfn.BYROW(TRACK_TYPES[[#This Row],[TRACK_TYPE_NARROW_GAUGE_RAILTYPE_OHLE]:[TRACK_TYPE_NARROW_GAUGE_RAILTYPE_NONE]],_xlfn.LAMBDA(_xlpm.r,OR(_xlpm.r))),FALSE)</f>
        <v>0</v>
      </c>
      <c r="AG506" s="38" t="b" cm="1">
        <f t="array" ref="AG506">IFERROR(_xlfn.BYROW(TRACK_TYPES[[#This Row],[TRACK_TYPE_BROAD_GAUGE_RAILTYPE_OHLE]:[TRACK_TYPE_BROAD_GAUGE_RAILTYPE_NONE]],_xlfn.LAMBDA(_xlpm.r,OR(_xlpm.r))),FALSE)</f>
        <v>0</v>
      </c>
      <c r="AH5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6"/>
      <c r="AQ506"/>
      <c r="AR506"/>
    </row>
    <row r="507" spans="1:44" x14ac:dyDescent="0.35">
      <c r="A507" s="2" t="s">
        <v>3140</v>
      </c>
      <c r="B507" s="40" t="str">
        <f>_xlfn.XLOOKUP(PROPERTIES[[#This Row],[VEHIDCODE]],CONTROL[VEHIDCODE],CONTROL[ENGLISH])</f>
        <v>Frichs &amp; Scandia S-Tog II</v>
      </c>
      <c r="G507" t="b">
        <v>1</v>
      </c>
      <c r="AC507" s="2"/>
      <c r="AD507" s="2" t="b">
        <f>LEN(_xlfn.CONCAT(TRACK_TYPES[[#This Row],[TRACK_TYPE_STANDARD_GAUGE_RAILTYPE_OHLE]:[TRACK_TYPE_MTRO]]))&gt;0</f>
        <v>1</v>
      </c>
      <c r="AE507" s="38" t="b" cm="1">
        <f t="array" ref="AE507">IFERROR(_xlfn.BYROW(TRACK_TYPES[[#This Row],[TRACK_TYPE_STANDARD_GAUGE_RAILTYPE_OHLE]:[TRACK_TYPE_STANDARD_GAUGE_RAILTYPE_NONE]],_xlfn.LAMBDA(_xlpm.r,OR(_xlpm.r))),FALSE)</f>
        <v>1</v>
      </c>
      <c r="AF507" s="38" t="b" cm="1">
        <f t="array" ref="AF507">IFERROR(_xlfn.BYROW(TRACK_TYPES[[#This Row],[TRACK_TYPE_NARROW_GAUGE_RAILTYPE_OHLE]:[TRACK_TYPE_NARROW_GAUGE_RAILTYPE_NONE]],_xlfn.LAMBDA(_xlpm.r,OR(_xlpm.r))),FALSE)</f>
        <v>0</v>
      </c>
      <c r="AG507" s="38" t="b" cm="1">
        <f t="array" ref="AG507">IFERROR(_xlfn.BYROW(TRACK_TYPES[[#This Row],[TRACK_TYPE_BROAD_GAUGE_RAILTYPE_OHLE]:[TRACK_TYPE_BROAD_GAUGE_RAILTYPE_NONE]],_xlfn.LAMBDA(_xlpm.r,OR(_xlpm.r))),FALSE)</f>
        <v>0</v>
      </c>
      <c r="AH5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7"/>
      <c r="AQ507"/>
      <c r="AR507"/>
    </row>
    <row r="508" spans="1:44" x14ac:dyDescent="0.35">
      <c r="A508" s="2" t="s">
        <v>3141</v>
      </c>
      <c r="B508" s="40" t="str">
        <f>_xlfn.XLOOKUP(PROPERTIES[[#This Row],[VEHIDCODE]],CONTROL[VEHIDCODE],CONTROL[ENGLISH])</f>
        <v>Alsthom S-Tog IV</v>
      </c>
      <c r="G508" t="b">
        <v>1</v>
      </c>
      <c r="AC508" s="2"/>
      <c r="AD508" s="2" t="b">
        <f>LEN(_xlfn.CONCAT(TRACK_TYPES[[#This Row],[TRACK_TYPE_STANDARD_GAUGE_RAILTYPE_OHLE]:[TRACK_TYPE_MTRO]]))&gt;0</f>
        <v>1</v>
      </c>
      <c r="AE508" s="38" t="b" cm="1">
        <f t="array" ref="AE508">IFERROR(_xlfn.BYROW(TRACK_TYPES[[#This Row],[TRACK_TYPE_STANDARD_GAUGE_RAILTYPE_OHLE]:[TRACK_TYPE_STANDARD_GAUGE_RAILTYPE_NONE]],_xlfn.LAMBDA(_xlpm.r,OR(_xlpm.r))),FALSE)</f>
        <v>1</v>
      </c>
      <c r="AF508" s="38" t="b" cm="1">
        <f t="array" ref="AF508">IFERROR(_xlfn.BYROW(TRACK_TYPES[[#This Row],[TRACK_TYPE_NARROW_GAUGE_RAILTYPE_OHLE]:[TRACK_TYPE_NARROW_GAUGE_RAILTYPE_NONE]],_xlfn.LAMBDA(_xlpm.r,OR(_xlpm.r))),FALSE)</f>
        <v>0</v>
      </c>
      <c r="AG508" s="38" t="b" cm="1">
        <f t="array" ref="AG508">IFERROR(_xlfn.BYROW(TRACK_TYPES[[#This Row],[TRACK_TYPE_BROAD_GAUGE_RAILTYPE_OHLE]:[TRACK_TYPE_BROAD_GAUGE_RAILTYPE_NONE]],_xlfn.LAMBDA(_xlpm.r,OR(_xlpm.r))),FALSE)</f>
        <v>0</v>
      </c>
      <c r="AH5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8"/>
      <c r="AQ508"/>
      <c r="AR508"/>
    </row>
    <row r="509" spans="1:44" x14ac:dyDescent="0.35">
      <c r="A509" s="2" t="s">
        <v>3142</v>
      </c>
      <c r="B509" s="40" t="str">
        <f>_xlfn.XLOOKUP(PROPERTIES[[#This Row],[VEHIDCODE]],CONTROL[VEHIDCODE],CONTROL[ENGLISH])</f>
        <v>TIBB ECD 21-30</v>
      </c>
      <c r="G509" t="b">
        <v>1</v>
      </c>
      <c r="AC509" s="2"/>
      <c r="AD509" s="2" t="b">
        <f>LEN(_xlfn.CONCAT(TRACK_TYPES[[#This Row],[TRACK_TYPE_STANDARD_GAUGE_RAILTYPE_OHLE]:[TRACK_TYPE_MTRO]]))&gt;0</f>
        <v>1</v>
      </c>
      <c r="AE509" s="38" t="b" cm="1">
        <f t="array" ref="AE509">IFERROR(_xlfn.BYROW(TRACK_TYPES[[#This Row],[TRACK_TYPE_STANDARD_GAUGE_RAILTYPE_OHLE]:[TRACK_TYPE_STANDARD_GAUGE_RAILTYPE_NONE]],_xlfn.LAMBDA(_xlpm.r,OR(_xlpm.r))),FALSE)</f>
        <v>1</v>
      </c>
      <c r="AF509" s="38" t="b" cm="1">
        <f t="array" ref="AF509">IFERROR(_xlfn.BYROW(TRACK_TYPES[[#This Row],[TRACK_TYPE_NARROW_GAUGE_RAILTYPE_OHLE]:[TRACK_TYPE_NARROW_GAUGE_RAILTYPE_NONE]],_xlfn.LAMBDA(_xlpm.r,OR(_xlpm.r))),FALSE)</f>
        <v>0</v>
      </c>
      <c r="AG509" s="38" t="b" cm="1">
        <f t="array" ref="AG509">IFERROR(_xlfn.BYROW(TRACK_TYPES[[#This Row],[TRACK_TYPE_BROAD_GAUGE_RAILTYPE_OHLE]:[TRACK_TYPE_BROAD_GAUGE_RAILTYPE_NONE]],_xlfn.LAMBDA(_xlpm.r,OR(_xlpm.r))),FALSE)</f>
        <v>0</v>
      </c>
      <c r="AH5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9"/>
      <c r="AQ509"/>
      <c r="AR509"/>
    </row>
    <row r="510" spans="1:44" x14ac:dyDescent="0.35">
      <c r="A510" s="2" t="s">
        <v>3143</v>
      </c>
      <c r="B510" s="40" t="str">
        <f>_xlfn.XLOOKUP(PROPERTIES[[#This Row],[VEHIDCODE]],CONTROL[VEHIDCODE],CONTROL[ENGLISH])</f>
        <v>Werkspoor Mat'24</v>
      </c>
      <c r="G510" t="b">
        <v>1</v>
      </c>
      <c r="AC510" s="2"/>
      <c r="AD510" s="2" t="b">
        <f>LEN(_xlfn.CONCAT(TRACK_TYPES[[#This Row],[TRACK_TYPE_STANDARD_GAUGE_RAILTYPE_OHLE]:[TRACK_TYPE_MTRO]]))&gt;0</f>
        <v>1</v>
      </c>
      <c r="AE510" s="38" t="b" cm="1">
        <f t="array" ref="AE510">IFERROR(_xlfn.BYROW(TRACK_TYPES[[#This Row],[TRACK_TYPE_STANDARD_GAUGE_RAILTYPE_OHLE]:[TRACK_TYPE_STANDARD_GAUGE_RAILTYPE_NONE]],_xlfn.LAMBDA(_xlpm.r,OR(_xlpm.r))),FALSE)</f>
        <v>1</v>
      </c>
      <c r="AF510" s="38" t="b" cm="1">
        <f t="array" ref="AF510">IFERROR(_xlfn.BYROW(TRACK_TYPES[[#This Row],[TRACK_TYPE_NARROW_GAUGE_RAILTYPE_OHLE]:[TRACK_TYPE_NARROW_GAUGE_RAILTYPE_NONE]],_xlfn.LAMBDA(_xlpm.r,OR(_xlpm.r))),FALSE)</f>
        <v>0</v>
      </c>
      <c r="AG510" s="38" t="b" cm="1">
        <f t="array" ref="AG510">IFERROR(_xlfn.BYROW(TRACK_TYPES[[#This Row],[TRACK_TYPE_BROAD_GAUGE_RAILTYPE_OHLE]:[TRACK_TYPE_BROAD_GAUGE_RAILTYPE_NONE]],_xlfn.LAMBDA(_xlpm.r,OR(_xlpm.r))),FALSE)</f>
        <v>0</v>
      </c>
      <c r="AH5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0"/>
      <c r="AQ510"/>
      <c r="AR510"/>
    </row>
    <row r="511" spans="1:44" x14ac:dyDescent="0.35">
      <c r="A511" s="2" t="s">
        <v>3144</v>
      </c>
      <c r="B511" s="40" t="str">
        <f>_xlfn.XLOOKUP(PROPERTIES[[#This Row],[VEHIDCODE]],CONTROL[VEHIDCODE],CONTROL[ENGLISH])</f>
        <v>Werkspoor Mat'36</v>
      </c>
      <c r="G511" t="b">
        <v>1</v>
      </c>
      <c r="AC511" s="2"/>
      <c r="AD511" s="2" t="b">
        <f>LEN(_xlfn.CONCAT(TRACK_TYPES[[#This Row],[TRACK_TYPE_STANDARD_GAUGE_RAILTYPE_OHLE]:[TRACK_TYPE_MTRO]]))&gt;0</f>
        <v>1</v>
      </c>
      <c r="AE511" s="38" t="b" cm="1">
        <f t="array" ref="AE511">IFERROR(_xlfn.BYROW(TRACK_TYPES[[#This Row],[TRACK_TYPE_STANDARD_GAUGE_RAILTYPE_OHLE]:[TRACK_TYPE_STANDARD_GAUGE_RAILTYPE_NONE]],_xlfn.LAMBDA(_xlpm.r,OR(_xlpm.r))),FALSE)</f>
        <v>1</v>
      </c>
      <c r="AF511" s="38" t="b" cm="1">
        <f t="array" ref="AF511">IFERROR(_xlfn.BYROW(TRACK_TYPES[[#This Row],[TRACK_TYPE_NARROW_GAUGE_RAILTYPE_OHLE]:[TRACK_TYPE_NARROW_GAUGE_RAILTYPE_NONE]],_xlfn.LAMBDA(_xlpm.r,OR(_xlpm.r))),FALSE)</f>
        <v>0</v>
      </c>
      <c r="AG511" s="38" t="b" cm="1">
        <f t="array" ref="AG511">IFERROR(_xlfn.BYROW(TRACK_TYPES[[#This Row],[TRACK_TYPE_BROAD_GAUGE_RAILTYPE_OHLE]:[TRACK_TYPE_BROAD_GAUGE_RAILTYPE_NONE]],_xlfn.LAMBDA(_xlpm.r,OR(_xlpm.r))),FALSE)</f>
        <v>0</v>
      </c>
      <c r="AH5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1"/>
      <c r="AQ511"/>
      <c r="AR511"/>
    </row>
    <row r="512" spans="1:44" x14ac:dyDescent="0.35">
      <c r="A512" s="2" t="s">
        <v>3145</v>
      </c>
      <c r="B512" s="40" t="str">
        <f>_xlfn.XLOOKUP(PROPERTIES[[#This Row],[VEHIDCODE]],CONTROL[VEHIDCODE],CONTROL[ENGLISH])</f>
        <v>Werkspoor Mat'54</v>
      </c>
      <c r="G512" t="b">
        <v>1</v>
      </c>
      <c r="AC512" s="2"/>
      <c r="AD512" s="2" t="b">
        <f>LEN(_xlfn.CONCAT(TRACK_TYPES[[#This Row],[TRACK_TYPE_STANDARD_GAUGE_RAILTYPE_OHLE]:[TRACK_TYPE_MTRO]]))&gt;0</f>
        <v>1</v>
      </c>
      <c r="AE512" s="38" t="b" cm="1">
        <f t="array" ref="AE512">IFERROR(_xlfn.BYROW(TRACK_TYPES[[#This Row],[TRACK_TYPE_STANDARD_GAUGE_RAILTYPE_OHLE]:[TRACK_TYPE_STANDARD_GAUGE_RAILTYPE_NONE]],_xlfn.LAMBDA(_xlpm.r,OR(_xlpm.r))),FALSE)</f>
        <v>1</v>
      </c>
      <c r="AF512" s="38" t="b" cm="1">
        <f t="array" ref="AF512">IFERROR(_xlfn.BYROW(TRACK_TYPES[[#This Row],[TRACK_TYPE_NARROW_GAUGE_RAILTYPE_OHLE]:[TRACK_TYPE_NARROW_GAUGE_RAILTYPE_NONE]],_xlfn.LAMBDA(_xlpm.r,OR(_xlpm.r))),FALSE)</f>
        <v>0</v>
      </c>
      <c r="AG512" s="38" t="b" cm="1">
        <f t="array" ref="AG512">IFERROR(_xlfn.BYROW(TRACK_TYPES[[#This Row],[TRACK_TYPE_BROAD_GAUGE_RAILTYPE_OHLE]:[TRACK_TYPE_BROAD_GAUGE_RAILTYPE_NONE]],_xlfn.LAMBDA(_xlpm.r,OR(_xlpm.r))),FALSE)</f>
        <v>0</v>
      </c>
      <c r="AH5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2"/>
      <c r="AQ512"/>
      <c r="AR512"/>
    </row>
    <row r="513" spans="1:44" x14ac:dyDescent="0.35">
      <c r="A513" s="2" t="s">
        <v>3146</v>
      </c>
      <c r="B513" s="40" t="str">
        <f>_xlfn.XLOOKUP(PROPERTIES[[#This Row],[VEHIDCODE]],CONTROL[VEHIDCODE],CONTROL[ENGLISH])</f>
        <v>Talbot Plan Y</v>
      </c>
      <c r="G513" t="b">
        <v>1</v>
      </c>
      <c r="AC513" s="2"/>
      <c r="AD513" s="2" t="b">
        <f>LEN(_xlfn.CONCAT(TRACK_TYPES[[#This Row],[TRACK_TYPE_STANDARD_GAUGE_RAILTYPE_OHLE]:[TRACK_TYPE_MTRO]]))&gt;0</f>
        <v>1</v>
      </c>
      <c r="AE513" s="38" t="b" cm="1">
        <f t="array" ref="AE513">IFERROR(_xlfn.BYROW(TRACK_TYPES[[#This Row],[TRACK_TYPE_STANDARD_GAUGE_RAILTYPE_OHLE]:[TRACK_TYPE_STANDARD_GAUGE_RAILTYPE_NONE]],_xlfn.LAMBDA(_xlpm.r,OR(_xlpm.r))),FALSE)</f>
        <v>1</v>
      </c>
      <c r="AF513" s="38" t="b" cm="1">
        <f t="array" ref="AF513">IFERROR(_xlfn.BYROW(TRACK_TYPES[[#This Row],[TRACK_TYPE_NARROW_GAUGE_RAILTYPE_OHLE]:[TRACK_TYPE_NARROW_GAUGE_RAILTYPE_NONE]],_xlfn.LAMBDA(_xlpm.r,OR(_xlpm.r))),FALSE)</f>
        <v>0</v>
      </c>
      <c r="AG513" s="38" t="b" cm="1">
        <f t="array" ref="AG513">IFERROR(_xlfn.BYROW(TRACK_TYPES[[#This Row],[TRACK_TYPE_BROAD_GAUGE_RAILTYPE_OHLE]:[TRACK_TYPE_BROAD_GAUGE_RAILTYPE_NONE]],_xlfn.LAMBDA(_xlpm.r,OR(_xlpm.r))),FALSE)</f>
        <v>0</v>
      </c>
      <c r="AH5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3"/>
      <c r="AQ513"/>
      <c r="AR513"/>
    </row>
    <row r="514" spans="1:44" x14ac:dyDescent="0.35">
      <c r="A514" s="2" t="s">
        <v>3147</v>
      </c>
      <c r="B514" s="40" t="str">
        <f>_xlfn.XLOOKUP(PROPERTIES[[#This Row],[VEHIDCODE]],CONTROL[VEHIDCODE],CONTROL[ENGLISH])</f>
        <v>Talbot ICM 4000</v>
      </c>
      <c r="G514" t="b">
        <v>1</v>
      </c>
      <c r="AC514" s="2"/>
      <c r="AD514" s="2" t="b">
        <f>LEN(_xlfn.CONCAT(TRACK_TYPES[[#This Row],[TRACK_TYPE_STANDARD_GAUGE_RAILTYPE_OHLE]:[TRACK_TYPE_MTRO]]))&gt;0</f>
        <v>1</v>
      </c>
      <c r="AE514" s="38" t="b" cm="1">
        <f t="array" ref="AE514">IFERROR(_xlfn.BYROW(TRACK_TYPES[[#This Row],[TRACK_TYPE_STANDARD_GAUGE_RAILTYPE_OHLE]:[TRACK_TYPE_STANDARD_GAUGE_RAILTYPE_NONE]],_xlfn.LAMBDA(_xlpm.r,OR(_xlpm.r))),FALSE)</f>
        <v>1</v>
      </c>
      <c r="AF514" s="38" t="b" cm="1">
        <f t="array" ref="AF514">IFERROR(_xlfn.BYROW(TRACK_TYPES[[#This Row],[TRACK_TYPE_NARROW_GAUGE_RAILTYPE_OHLE]:[TRACK_TYPE_NARROW_GAUGE_RAILTYPE_NONE]],_xlfn.LAMBDA(_xlpm.r,OR(_xlpm.r))),FALSE)</f>
        <v>0</v>
      </c>
      <c r="AG514" s="38" t="b" cm="1">
        <f t="array" ref="AG514">IFERROR(_xlfn.BYROW(TRACK_TYPES[[#This Row],[TRACK_TYPE_BROAD_GAUGE_RAILTYPE_OHLE]:[TRACK_TYPE_BROAD_GAUGE_RAILTYPE_NONE]],_xlfn.LAMBDA(_xlpm.r,OR(_xlpm.r))),FALSE)</f>
        <v>0</v>
      </c>
      <c r="AH5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4"/>
      <c r="AQ514"/>
      <c r="AR514"/>
    </row>
    <row r="515" spans="1:44" x14ac:dyDescent="0.35">
      <c r="A515" s="2" t="s">
        <v>3148</v>
      </c>
      <c r="B515" s="40" t="str">
        <f>_xlfn.XLOOKUP(PROPERTIES[[#This Row],[VEHIDCODE]],CONTROL[VEHIDCODE],CONTROL[ENGLISH])</f>
        <v>Talbot DD-IRM 'VIRM' 8000</v>
      </c>
      <c r="G515" t="b">
        <v>1</v>
      </c>
      <c r="AC515" s="2"/>
      <c r="AD515" s="2" t="b">
        <f>LEN(_xlfn.CONCAT(TRACK_TYPES[[#This Row],[TRACK_TYPE_STANDARD_GAUGE_RAILTYPE_OHLE]:[TRACK_TYPE_MTRO]]))&gt;0</f>
        <v>1</v>
      </c>
      <c r="AE515" s="38" t="b" cm="1">
        <f t="array" ref="AE515">IFERROR(_xlfn.BYROW(TRACK_TYPES[[#This Row],[TRACK_TYPE_STANDARD_GAUGE_RAILTYPE_OHLE]:[TRACK_TYPE_STANDARD_GAUGE_RAILTYPE_NONE]],_xlfn.LAMBDA(_xlpm.r,OR(_xlpm.r))),FALSE)</f>
        <v>1</v>
      </c>
      <c r="AF515" s="38" t="b" cm="1">
        <f t="array" ref="AF515">IFERROR(_xlfn.BYROW(TRACK_TYPES[[#This Row],[TRACK_TYPE_NARROW_GAUGE_RAILTYPE_OHLE]:[TRACK_TYPE_NARROW_GAUGE_RAILTYPE_NONE]],_xlfn.LAMBDA(_xlpm.r,OR(_xlpm.r))),FALSE)</f>
        <v>0</v>
      </c>
      <c r="AG515" s="38" t="b" cm="1">
        <f t="array" ref="AG515">IFERROR(_xlfn.BYROW(TRACK_TYPES[[#This Row],[TRACK_TYPE_BROAD_GAUGE_RAILTYPE_OHLE]:[TRACK_TYPE_BROAD_GAUGE_RAILTYPE_NONE]],_xlfn.LAMBDA(_xlpm.r,OR(_xlpm.r))),FALSE)</f>
        <v>0</v>
      </c>
      <c r="AH5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5"/>
      <c r="AQ515"/>
      <c r="AR515"/>
    </row>
    <row r="516" spans="1:44" x14ac:dyDescent="0.35">
      <c r="A516" s="2" t="s">
        <v>3149</v>
      </c>
      <c r="B516" s="40" t="str">
        <f>_xlfn.XLOOKUP(PROPERTIES[[#This Row],[VEHIDCODE]],CONTROL[VEHIDCODE],CONTROL[ENGLISH])</f>
        <v>De Dietrich/Adtranz mDDm 390</v>
      </c>
      <c r="G516" t="b">
        <v>1</v>
      </c>
      <c r="AC516" s="2"/>
      <c r="AD516" s="2" t="b">
        <f>LEN(_xlfn.CONCAT(TRACK_TYPES[[#This Row],[TRACK_TYPE_STANDARD_GAUGE_RAILTYPE_OHLE]:[TRACK_TYPE_MTRO]]))&gt;0</f>
        <v>1</v>
      </c>
      <c r="AE516" s="38" t="b" cm="1">
        <f t="array" ref="AE516">IFERROR(_xlfn.BYROW(TRACK_TYPES[[#This Row],[TRACK_TYPE_STANDARD_GAUGE_RAILTYPE_OHLE]:[TRACK_TYPE_STANDARD_GAUGE_RAILTYPE_NONE]],_xlfn.LAMBDA(_xlpm.r,OR(_xlpm.r))),FALSE)</f>
        <v>1</v>
      </c>
      <c r="AF516" s="38" t="b" cm="1">
        <f t="array" ref="AF516">IFERROR(_xlfn.BYROW(TRACK_TYPES[[#This Row],[TRACK_TYPE_NARROW_GAUGE_RAILTYPE_OHLE]:[TRACK_TYPE_NARROW_GAUGE_RAILTYPE_NONE]],_xlfn.LAMBDA(_xlpm.r,OR(_xlpm.r))),FALSE)</f>
        <v>0</v>
      </c>
      <c r="AG516" s="38" t="b" cm="1">
        <f t="array" ref="AG516">IFERROR(_xlfn.BYROW(TRACK_TYPES[[#This Row],[TRACK_TYPE_BROAD_GAUGE_RAILTYPE_OHLE]:[TRACK_TYPE_BROAD_GAUGE_RAILTYPE_NONE]],_xlfn.LAMBDA(_xlpm.r,OR(_xlpm.r))),FALSE)</f>
        <v>0</v>
      </c>
      <c r="AH5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6"/>
      <c r="AQ516"/>
      <c r="AR516"/>
    </row>
    <row r="517" spans="1:44" x14ac:dyDescent="0.35">
      <c r="A517" s="2" t="s">
        <v>3150</v>
      </c>
      <c r="B517" s="40" t="str">
        <f>_xlfn.XLOOKUP(PROPERTIES[[#This Row],[VEHIDCODE]],CONTROL[VEHIDCODE],CONTROL[ENGLISH])</f>
        <v>ET 165</v>
      </c>
      <c r="G517" t="b">
        <v>1</v>
      </c>
      <c r="H517" t="b">
        <v>1</v>
      </c>
      <c r="W517" t="b">
        <v>1</v>
      </c>
      <c r="X517" t="b">
        <v>1</v>
      </c>
      <c r="AC517" s="2"/>
      <c r="AD517" s="2" t="b">
        <f>LEN(_xlfn.CONCAT(TRACK_TYPES[[#This Row],[TRACK_TYPE_STANDARD_GAUGE_RAILTYPE_OHLE]:[TRACK_TYPE_MTRO]]))&gt;0</f>
        <v>1</v>
      </c>
      <c r="AE517" s="38" t="b" cm="1">
        <f t="array" ref="AE517">IFERROR(_xlfn.BYROW(TRACK_TYPES[[#This Row],[TRACK_TYPE_STANDARD_GAUGE_RAILTYPE_OHLE]:[TRACK_TYPE_STANDARD_GAUGE_RAILTYPE_NONE]],_xlfn.LAMBDA(_xlpm.r,OR(_xlpm.r))),FALSE)</f>
        <v>1</v>
      </c>
      <c r="AF517" s="38" t="b" cm="1">
        <f t="array" ref="AF517">IFERROR(_xlfn.BYROW(TRACK_TYPES[[#This Row],[TRACK_TYPE_NARROW_GAUGE_RAILTYPE_OHLE]:[TRACK_TYPE_NARROW_GAUGE_RAILTYPE_NONE]],_xlfn.LAMBDA(_xlpm.r,OR(_xlpm.r))),FALSE)</f>
        <v>0</v>
      </c>
      <c r="AG517" s="38" t="b" cm="1">
        <f t="array" ref="AG517">IFERROR(_xlfn.BYROW(TRACK_TYPES[[#This Row],[TRACK_TYPE_BROAD_GAUGE_RAILTYPE_OHLE]:[TRACK_TYPE_BROAD_GAUGE_RAILTYPE_NONE]],_xlfn.LAMBDA(_xlpm.r,OR(_xlpm.r))),FALSE)</f>
        <v>1</v>
      </c>
      <c r="AH5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7"/>
      <c r="AQ517"/>
      <c r="AR517"/>
    </row>
    <row r="518" spans="1:44" x14ac:dyDescent="0.35">
      <c r="A518" s="2" t="s">
        <v>3151</v>
      </c>
      <c r="B518" s="40" t="str">
        <f>_xlfn.XLOOKUP(PROPERTIES[[#This Row],[VEHIDCODE]],CONTROL[VEHIDCODE],CONTROL[ENGLISH])</f>
        <v>Breda ETR.200</v>
      </c>
      <c r="F518" t="b">
        <v>1</v>
      </c>
      <c r="AC518" s="2"/>
      <c r="AD518" s="2" t="b">
        <f>LEN(_xlfn.CONCAT(TRACK_TYPES[[#This Row],[TRACK_TYPE_STANDARD_GAUGE_RAILTYPE_OHLE]:[TRACK_TYPE_MTRO]]))&gt;0</f>
        <v>1</v>
      </c>
      <c r="AE518" s="38" t="b" cm="1">
        <f t="array" ref="AE518">IFERROR(_xlfn.BYROW(TRACK_TYPES[[#This Row],[TRACK_TYPE_STANDARD_GAUGE_RAILTYPE_OHLE]:[TRACK_TYPE_STANDARD_GAUGE_RAILTYPE_NONE]],_xlfn.LAMBDA(_xlpm.r,OR(_xlpm.r))),FALSE)</f>
        <v>1</v>
      </c>
      <c r="AF518" s="38" t="b" cm="1">
        <f t="array" ref="AF518">IFERROR(_xlfn.BYROW(TRACK_TYPES[[#This Row],[TRACK_TYPE_NARROW_GAUGE_RAILTYPE_OHLE]:[TRACK_TYPE_NARROW_GAUGE_RAILTYPE_NONE]],_xlfn.LAMBDA(_xlpm.r,OR(_xlpm.r))),FALSE)</f>
        <v>0</v>
      </c>
      <c r="AG518" s="38" t="b" cm="1">
        <f t="array" ref="AG518">IFERROR(_xlfn.BYROW(TRACK_TYPES[[#This Row],[TRACK_TYPE_BROAD_GAUGE_RAILTYPE_OHLE]:[TRACK_TYPE_BROAD_GAUGE_RAILTYPE_NONE]],_xlfn.LAMBDA(_xlpm.r,OR(_xlpm.r))),FALSE)</f>
        <v>0</v>
      </c>
      <c r="AH5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8"/>
      <c r="AQ518"/>
      <c r="AR518"/>
    </row>
    <row r="519" spans="1:44" x14ac:dyDescent="0.35">
      <c r="A519" s="2" t="s">
        <v>3152</v>
      </c>
      <c r="B519" s="40" t="str">
        <f>_xlfn.XLOOKUP(PROPERTIES[[#This Row],[VEHIDCODE]],CONTROL[VEHIDCODE],CONTROL[ENGLISH])</f>
        <v>Breda ETR.300 'Settebello'</v>
      </c>
      <c r="F519" t="b">
        <v>1</v>
      </c>
      <c r="AC519" s="2"/>
      <c r="AD519" s="2" t="b">
        <f>LEN(_xlfn.CONCAT(TRACK_TYPES[[#This Row],[TRACK_TYPE_STANDARD_GAUGE_RAILTYPE_OHLE]:[TRACK_TYPE_MTRO]]))&gt;0</f>
        <v>1</v>
      </c>
      <c r="AE519" s="38" t="b" cm="1">
        <f t="array" ref="AE519">IFERROR(_xlfn.BYROW(TRACK_TYPES[[#This Row],[TRACK_TYPE_STANDARD_GAUGE_RAILTYPE_OHLE]:[TRACK_TYPE_STANDARD_GAUGE_RAILTYPE_NONE]],_xlfn.LAMBDA(_xlpm.r,OR(_xlpm.r))),FALSE)</f>
        <v>1</v>
      </c>
      <c r="AF519" s="38" t="b" cm="1">
        <f t="array" ref="AF519">IFERROR(_xlfn.BYROW(TRACK_TYPES[[#This Row],[TRACK_TYPE_NARROW_GAUGE_RAILTYPE_OHLE]:[TRACK_TYPE_NARROW_GAUGE_RAILTYPE_NONE]],_xlfn.LAMBDA(_xlpm.r,OR(_xlpm.r))),FALSE)</f>
        <v>0</v>
      </c>
      <c r="AG519" s="38" t="b" cm="1">
        <f t="array" ref="AG519">IFERROR(_xlfn.BYROW(TRACK_TYPES[[#This Row],[TRACK_TYPE_BROAD_GAUGE_RAILTYPE_OHLE]:[TRACK_TYPE_BROAD_GAUGE_RAILTYPE_NONE]],_xlfn.LAMBDA(_xlpm.r,OR(_xlpm.r))),FALSE)</f>
        <v>0</v>
      </c>
      <c r="AH5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9"/>
      <c r="AQ519"/>
      <c r="AR519"/>
    </row>
    <row r="520" spans="1:44" x14ac:dyDescent="0.35">
      <c r="A520" s="2" t="s">
        <v>3153</v>
      </c>
      <c r="B520" s="40" t="str">
        <f>_xlfn.XLOOKUP(PROPERTIES[[#This Row],[VEHIDCODE]],CONTROL[VEHIDCODE],CONTROL[ENGLISH])</f>
        <v>TREVI ETR.500 'Frecciarossa'</v>
      </c>
      <c r="D520" t="b">
        <v>1</v>
      </c>
      <c r="F520" t="b">
        <v>1</v>
      </c>
      <c r="G520" t="b">
        <v>1</v>
      </c>
      <c r="AC520" s="2"/>
      <c r="AD520" s="2" t="b">
        <f>LEN(_xlfn.CONCAT(TRACK_TYPES[[#This Row],[TRACK_TYPE_STANDARD_GAUGE_RAILTYPE_OHLE]:[TRACK_TYPE_MTRO]]))&gt;0</f>
        <v>1</v>
      </c>
      <c r="AE520" s="38" t="b" cm="1">
        <f t="array" ref="AE520">IFERROR(_xlfn.BYROW(TRACK_TYPES[[#This Row],[TRACK_TYPE_STANDARD_GAUGE_RAILTYPE_OHLE]:[TRACK_TYPE_STANDARD_GAUGE_RAILTYPE_NONE]],_xlfn.LAMBDA(_xlpm.r,OR(_xlpm.r))),FALSE)</f>
        <v>1</v>
      </c>
      <c r="AF520" s="38" t="b" cm="1">
        <f t="array" ref="AF520">IFERROR(_xlfn.BYROW(TRACK_TYPES[[#This Row],[TRACK_TYPE_NARROW_GAUGE_RAILTYPE_OHLE]:[TRACK_TYPE_NARROW_GAUGE_RAILTYPE_NONE]],_xlfn.LAMBDA(_xlpm.r,OR(_xlpm.r))),FALSE)</f>
        <v>0</v>
      </c>
      <c r="AG520" s="38" t="b" cm="1">
        <f t="array" ref="AG520">IFERROR(_xlfn.BYROW(TRACK_TYPES[[#This Row],[TRACK_TYPE_BROAD_GAUGE_RAILTYPE_OHLE]:[TRACK_TYPE_BROAD_GAUGE_RAILTYPE_NONE]],_xlfn.LAMBDA(_xlpm.r,OR(_xlpm.r))),FALSE)</f>
        <v>0</v>
      </c>
      <c r="AH5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0"/>
      <c r="AQ520"/>
      <c r="AR520"/>
    </row>
    <row r="521" spans="1:44" x14ac:dyDescent="0.35">
      <c r="A521" s="2" t="s">
        <v>3154</v>
      </c>
      <c r="B521" s="40" t="str">
        <f>_xlfn.XLOOKUP(PROPERTIES[[#This Row],[VEHIDCODE]],CONTROL[VEHIDCODE],CONTROL[ENGLISH])</f>
        <v>AnsaldoBreda ALe 426</v>
      </c>
      <c r="F521" t="b">
        <v>1</v>
      </c>
      <c r="AC521" s="2"/>
      <c r="AD521" s="2" t="b">
        <f>LEN(_xlfn.CONCAT(TRACK_TYPES[[#This Row],[TRACK_TYPE_STANDARD_GAUGE_RAILTYPE_OHLE]:[TRACK_TYPE_MTRO]]))&gt;0</f>
        <v>1</v>
      </c>
      <c r="AE521" s="38" t="b" cm="1">
        <f t="array" ref="AE521">IFERROR(_xlfn.BYROW(TRACK_TYPES[[#This Row],[TRACK_TYPE_STANDARD_GAUGE_RAILTYPE_OHLE]:[TRACK_TYPE_STANDARD_GAUGE_RAILTYPE_NONE]],_xlfn.LAMBDA(_xlpm.r,OR(_xlpm.r))),FALSE)</f>
        <v>1</v>
      </c>
      <c r="AF521" s="38" t="b" cm="1">
        <f t="array" ref="AF521">IFERROR(_xlfn.BYROW(TRACK_TYPES[[#This Row],[TRACK_TYPE_NARROW_GAUGE_RAILTYPE_OHLE]:[TRACK_TYPE_NARROW_GAUGE_RAILTYPE_NONE]],_xlfn.LAMBDA(_xlpm.r,OR(_xlpm.r))),FALSE)</f>
        <v>0</v>
      </c>
      <c r="AG521" s="38" t="b" cm="1">
        <f t="array" ref="AG521">IFERROR(_xlfn.BYROW(TRACK_TYPES[[#This Row],[TRACK_TYPE_BROAD_GAUGE_RAILTYPE_OHLE]:[TRACK_TYPE_BROAD_GAUGE_RAILTYPE_NONE]],_xlfn.LAMBDA(_xlpm.r,OR(_xlpm.r))),FALSE)</f>
        <v>0</v>
      </c>
      <c r="AH5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1"/>
      <c r="AQ521"/>
      <c r="AR521"/>
    </row>
    <row r="522" spans="1:44" x14ac:dyDescent="0.35">
      <c r="A522" s="2" t="s">
        <v>3155</v>
      </c>
      <c r="B522" s="40" t="str">
        <f>_xlfn.XLOOKUP(PROPERTIES[[#This Row],[VEHIDCODE]],CONTROL[VEHIDCODE],CONTROL[ENGLISH])</f>
        <v>BN/ACEC ZMC</v>
      </c>
      <c r="F522" t="b">
        <v>1</v>
      </c>
      <c r="AC522" s="2"/>
      <c r="AD522" s="2" t="b">
        <f>LEN(_xlfn.CONCAT(TRACK_TYPES[[#This Row],[TRACK_TYPE_STANDARD_GAUGE_RAILTYPE_OHLE]:[TRACK_TYPE_MTRO]]))&gt;0</f>
        <v>1</v>
      </c>
      <c r="AE522" s="38" t="b" cm="1">
        <f t="array" ref="AE522">IFERROR(_xlfn.BYROW(TRACK_TYPES[[#This Row],[TRACK_TYPE_STANDARD_GAUGE_RAILTYPE_OHLE]:[TRACK_TYPE_STANDARD_GAUGE_RAILTYPE_NONE]],_xlfn.LAMBDA(_xlpm.r,OR(_xlpm.r))),FALSE)</f>
        <v>1</v>
      </c>
      <c r="AF522" s="38" t="b" cm="1">
        <f t="array" ref="AF522">IFERROR(_xlfn.BYROW(TRACK_TYPES[[#This Row],[TRACK_TYPE_NARROW_GAUGE_RAILTYPE_OHLE]:[TRACK_TYPE_NARROW_GAUGE_RAILTYPE_NONE]],_xlfn.LAMBDA(_xlpm.r,OR(_xlpm.r))),FALSE)</f>
        <v>0</v>
      </c>
      <c r="AG522" s="38" t="b" cm="1">
        <f t="array" ref="AG522">IFERROR(_xlfn.BYROW(TRACK_TYPES[[#This Row],[TRACK_TYPE_BROAD_GAUGE_RAILTYPE_OHLE]:[TRACK_TYPE_BROAD_GAUGE_RAILTYPE_NONE]],_xlfn.LAMBDA(_xlpm.r,OR(_xlpm.r))),FALSE)</f>
        <v>0</v>
      </c>
      <c r="AH5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2"/>
      <c r="AQ522"/>
      <c r="AR522"/>
    </row>
    <row r="523" spans="1:44" x14ac:dyDescent="0.35">
      <c r="A523" s="2" t="s">
        <v>3156</v>
      </c>
      <c r="B523" s="40" t="str">
        <f>_xlfn.XLOOKUP(PROPERTIES[[#This Row],[VEHIDCODE]],CONTROL[VEHIDCODE],CONTROL[ENGLISH])</f>
        <v>ASEA EW54</v>
      </c>
      <c r="F523" t="b">
        <v>1</v>
      </c>
      <c r="AC523" s="2"/>
      <c r="AD523" s="2" t="b">
        <f>LEN(_xlfn.CONCAT(TRACK_TYPES[[#This Row],[TRACK_TYPE_STANDARD_GAUGE_RAILTYPE_OHLE]:[TRACK_TYPE_MTRO]]))&gt;0</f>
        <v>1</v>
      </c>
      <c r="AE523" s="38" t="b" cm="1">
        <f t="array" ref="AE523">IFERROR(_xlfn.BYROW(TRACK_TYPES[[#This Row],[TRACK_TYPE_STANDARD_GAUGE_RAILTYPE_OHLE]:[TRACK_TYPE_STANDARD_GAUGE_RAILTYPE_NONE]],_xlfn.LAMBDA(_xlpm.r,OR(_xlpm.r))),FALSE)</f>
        <v>1</v>
      </c>
      <c r="AF523" s="38" t="b" cm="1">
        <f t="array" ref="AF523">IFERROR(_xlfn.BYROW(TRACK_TYPES[[#This Row],[TRACK_TYPE_NARROW_GAUGE_RAILTYPE_OHLE]:[TRACK_TYPE_NARROW_GAUGE_RAILTYPE_NONE]],_xlfn.LAMBDA(_xlpm.r,OR(_xlpm.r))),FALSE)</f>
        <v>0</v>
      </c>
      <c r="AG523" s="38" t="b" cm="1">
        <f t="array" ref="AG523">IFERROR(_xlfn.BYROW(TRACK_TYPES[[#This Row],[TRACK_TYPE_BROAD_GAUGE_RAILTYPE_OHLE]:[TRACK_TYPE_BROAD_GAUGE_RAILTYPE_NONE]],_xlfn.LAMBDA(_xlpm.r,OR(_xlpm.r))),FALSE)</f>
        <v>0</v>
      </c>
      <c r="AH5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3"/>
      <c r="AQ523"/>
      <c r="AR523"/>
    </row>
    <row r="524" spans="1:44" x14ac:dyDescent="0.35">
      <c r="A524" s="2" t="s">
        <v>3157</v>
      </c>
      <c r="B524" s="40" t="str">
        <f>_xlfn.XLOOKUP(PROPERTIES[[#This Row],[VEHIDCODE]],CONTROL[VEHIDCODE],CONTROL[ENGLISH])</f>
        <v>Breda ALe 801</v>
      </c>
      <c r="F524" t="b">
        <v>1</v>
      </c>
      <c r="AC524" s="2"/>
      <c r="AD524" s="2" t="b">
        <f>LEN(_xlfn.CONCAT(TRACK_TYPES[[#This Row],[TRACK_TYPE_STANDARD_GAUGE_RAILTYPE_OHLE]:[TRACK_TYPE_MTRO]]))&gt;0</f>
        <v>1</v>
      </c>
      <c r="AE524" s="38" t="b" cm="1">
        <f t="array" ref="AE524">IFERROR(_xlfn.BYROW(TRACK_TYPES[[#This Row],[TRACK_TYPE_STANDARD_GAUGE_RAILTYPE_OHLE]:[TRACK_TYPE_STANDARD_GAUGE_RAILTYPE_NONE]],_xlfn.LAMBDA(_xlpm.r,OR(_xlpm.r))),FALSE)</f>
        <v>1</v>
      </c>
      <c r="AF524" s="38" t="b" cm="1">
        <f t="array" ref="AF524">IFERROR(_xlfn.BYROW(TRACK_TYPES[[#This Row],[TRACK_TYPE_NARROW_GAUGE_RAILTYPE_OHLE]:[TRACK_TYPE_NARROW_GAUGE_RAILTYPE_NONE]],_xlfn.LAMBDA(_xlpm.r,OR(_xlpm.r))),FALSE)</f>
        <v>0</v>
      </c>
      <c r="AG524" s="38" t="b" cm="1">
        <f t="array" ref="AG524">IFERROR(_xlfn.BYROW(TRACK_TYPES[[#This Row],[TRACK_TYPE_BROAD_GAUGE_RAILTYPE_OHLE]:[TRACK_TYPE_BROAD_GAUGE_RAILTYPE_NONE]],_xlfn.LAMBDA(_xlpm.r,OR(_xlpm.r))),FALSE)</f>
        <v>0</v>
      </c>
      <c r="AH5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4"/>
      <c r="AQ524"/>
      <c r="AR524"/>
    </row>
    <row r="525" spans="1:44" x14ac:dyDescent="0.35">
      <c r="A525" s="2" t="s">
        <v>3158</v>
      </c>
      <c r="B525" s="40" t="str">
        <f>_xlfn.XLOOKUP(PROPERTIES[[#This Row],[VEHIDCODE]],CONTROL[VEHIDCODE],CONTROL[ENGLISH])</f>
        <v>SGP/AEG/BBC 4030</v>
      </c>
      <c r="E525" t="b">
        <v>1</v>
      </c>
      <c r="AC525" s="2"/>
      <c r="AD525" s="2" t="b">
        <f>LEN(_xlfn.CONCAT(TRACK_TYPES[[#This Row],[TRACK_TYPE_STANDARD_GAUGE_RAILTYPE_OHLE]:[TRACK_TYPE_MTRO]]))&gt;0</f>
        <v>1</v>
      </c>
      <c r="AE525" s="38" t="b" cm="1">
        <f t="array" ref="AE525">IFERROR(_xlfn.BYROW(TRACK_TYPES[[#This Row],[TRACK_TYPE_STANDARD_GAUGE_RAILTYPE_OHLE]:[TRACK_TYPE_STANDARD_GAUGE_RAILTYPE_NONE]],_xlfn.LAMBDA(_xlpm.r,OR(_xlpm.r))),FALSE)</f>
        <v>1</v>
      </c>
      <c r="AF525" s="38" t="b" cm="1">
        <f t="array" ref="AF525">IFERROR(_xlfn.BYROW(TRACK_TYPES[[#This Row],[TRACK_TYPE_NARROW_GAUGE_RAILTYPE_OHLE]:[TRACK_TYPE_NARROW_GAUGE_RAILTYPE_NONE]],_xlfn.LAMBDA(_xlpm.r,OR(_xlpm.r))),FALSE)</f>
        <v>0</v>
      </c>
      <c r="AG525" s="38" t="b" cm="1">
        <f t="array" ref="AG525">IFERROR(_xlfn.BYROW(TRACK_TYPES[[#This Row],[TRACK_TYPE_BROAD_GAUGE_RAILTYPE_OHLE]:[TRACK_TYPE_BROAD_GAUGE_RAILTYPE_NONE]],_xlfn.LAMBDA(_xlpm.r,OR(_xlpm.r))),FALSE)</f>
        <v>0</v>
      </c>
      <c r="AH5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5"/>
      <c r="AQ525"/>
      <c r="AR525"/>
    </row>
    <row r="526" spans="1:44" x14ac:dyDescent="0.35">
      <c r="A526" s="2" t="s">
        <v>3159</v>
      </c>
      <c r="B526" s="40" t="str">
        <f>_xlfn.XLOOKUP(PROPERTIES[[#This Row],[VEHIDCODE]],CONTROL[VEHIDCODE],CONTROL[ENGLISH])</f>
        <v>ELIN ET 10</v>
      </c>
      <c r="E526" t="b">
        <v>1</v>
      </c>
      <c r="AC526" s="2"/>
      <c r="AD526" s="2" t="b">
        <f>LEN(_xlfn.CONCAT(TRACK_TYPES[[#This Row],[TRACK_TYPE_STANDARD_GAUGE_RAILTYPE_OHLE]:[TRACK_TYPE_MTRO]]))&gt;0</f>
        <v>1</v>
      </c>
      <c r="AE526" s="38" t="b" cm="1">
        <f t="array" ref="AE526">IFERROR(_xlfn.BYROW(TRACK_TYPES[[#This Row],[TRACK_TYPE_STANDARD_GAUGE_RAILTYPE_OHLE]:[TRACK_TYPE_STANDARD_GAUGE_RAILTYPE_NONE]],_xlfn.LAMBDA(_xlpm.r,OR(_xlpm.r))),FALSE)</f>
        <v>1</v>
      </c>
      <c r="AF526" s="38" t="b" cm="1">
        <f t="array" ref="AF526">IFERROR(_xlfn.BYROW(TRACK_TYPES[[#This Row],[TRACK_TYPE_NARROW_GAUGE_RAILTYPE_OHLE]:[TRACK_TYPE_NARROW_GAUGE_RAILTYPE_NONE]],_xlfn.LAMBDA(_xlpm.r,OR(_xlpm.r))),FALSE)</f>
        <v>0</v>
      </c>
      <c r="AG526" s="38" t="b" cm="1">
        <f t="array" ref="AG526">IFERROR(_xlfn.BYROW(TRACK_TYPES[[#This Row],[TRACK_TYPE_BROAD_GAUGE_RAILTYPE_OHLE]:[TRACK_TYPE_BROAD_GAUGE_RAILTYPE_NONE]],_xlfn.LAMBDA(_xlpm.r,OR(_xlpm.r))),FALSE)</f>
        <v>0</v>
      </c>
      <c r="AH5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6"/>
      <c r="AQ526"/>
      <c r="AR526"/>
    </row>
    <row r="527" spans="1:44" x14ac:dyDescent="0.35">
      <c r="A527" s="2" t="s">
        <v>3160</v>
      </c>
      <c r="B527" s="40" t="str">
        <f>_xlfn.XLOOKUP(PROPERTIES[[#This Row],[VEHIDCODE]],CONTROL[VEHIDCODE],CONTROL[ENGLISH])</f>
        <v>Stadler 'KISS'</v>
      </c>
      <c r="D527" t="b">
        <v>1</v>
      </c>
      <c r="E527" t="b">
        <v>1</v>
      </c>
      <c r="F527" t="b">
        <v>1</v>
      </c>
      <c r="T527" t="b">
        <v>1</v>
      </c>
      <c r="U527" t="b">
        <v>1</v>
      </c>
      <c r="V527" t="b">
        <v>1</v>
      </c>
      <c r="AC527" s="2"/>
      <c r="AD527" s="2" t="b">
        <f>LEN(_xlfn.CONCAT(TRACK_TYPES[[#This Row],[TRACK_TYPE_STANDARD_GAUGE_RAILTYPE_OHLE]:[TRACK_TYPE_MTRO]]))&gt;0</f>
        <v>1</v>
      </c>
      <c r="AE527" s="38" t="b" cm="1">
        <f t="array" ref="AE527">IFERROR(_xlfn.BYROW(TRACK_TYPES[[#This Row],[TRACK_TYPE_STANDARD_GAUGE_RAILTYPE_OHLE]:[TRACK_TYPE_STANDARD_GAUGE_RAILTYPE_NONE]],_xlfn.LAMBDA(_xlpm.r,OR(_xlpm.r))),FALSE)</f>
        <v>1</v>
      </c>
      <c r="AF527" s="38" t="b" cm="1">
        <f t="array" ref="AF527">IFERROR(_xlfn.BYROW(TRACK_TYPES[[#This Row],[TRACK_TYPE_NARROW_GAUGE_RAILTYPE_OHLE]:[TRACK_TYPE_NARROW_GAUGE_RAILTYPE_NONE]],_xlfn.LAMBDA(_xlpm.r,OR(_xlpm.r))),FALSE)</f>
        <v>0</v>
      </c>
      <c r="AG527" s="38" t="b" cm="1">
        <f t="array" ref="AG527">IFERROR(_xlfn.BYROW(TRACK_TYPES[[#This Row],[TRACK_TYPE_BROAD_GAUGE_RAILTYPE_OHLE]:[TRACK_TYPE_BROAD_GAUGE_RAILTYPE_NONE]],_xlfn.LAMBDA(_xlpm.r,OR(_xlpm.r))),FALSE)</f>
        <v>1</v>
      </c>
      <c r="AH5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7"/>
      <c r="AQ527"/>
      <c r="AR527"/>
    </row>
    <row r="528" spans="1:44" x14ac:dyDescent="0.35">
      <c r="A528" s="2" t="s">
        <v>3161</v>
      </c>
      <c r="B528" s="40" t="str">
        <f>_xlfn.XLOOKUP(PROPERTIES[[#This Row],[VEHIDCODE]],CONTROL[VEHIDCODE],CONTROL[ENGLISH])</f>
        <v>LHB 420</v>
      </c>
      <c r="E528" t="b">
        <v>1</v>
      </c>
      <c r="AC528" s="2"/>
      <c r="AD528" s="2" t="b">
        <f>LEN(_xlfn.CONCAT(TRACK_TYPES[[#This Row],[TRACK_TYPE_STANDARD_GAUGE_RAILTYPE_OHLE]:[TRACK_TYPE_MTRO]]))&gt;0</f>
        <v>1</v>
      </c>
      <c r="AE528" s="38" t="b" cm="1">
        <f t="array" ref="AE528">IFERROR(_xlfn.BYROW(TRACK_TYPES[[#This Row],[TRACK_TYPE_STANDARD_GAUGE_RAILTYPE_OHLE]:[TRACK_TYPE_STANDARD_GAUGE_RAILTYPE_NONE]],_xlfn.LAMBDA(_xlpm.r,OR(_xlpm.r))),FALSE)</f>
        <v>1</v>
      </c>
      <c r="AF528" s="38" t="b" cm="1">
        <f t="array" ref="AF528">IFERROR(_xlfn.BYROW(TRACK_TYPES[[#This Row],[TRACK_TYPE_NARROW_GAUGE_RAILTYPE_OHLE]:[TRACK_TYPE_NARROW_GAUGE_RAILTYPE_NONE]],_xlfn.LAMBDA(_xlpm.r,OR(_xlpm.r))),FALSE)</f>
        <v>0</v>
      </c>
      <c r="AG528" s="38" t="b" cm="1">
        <f t="array" ref="AG528">IFERROR(_xlfn.BYROW(TRACK_TYPES[[#This Row],[TRACK_TYPE_BROAD_GAUGE_RAILTYPE_OHLE]:[TRACK_TYPE_BROAD_GAUGE_RAILTYPE_NONE]],_xlfn.LAMBDA(_xlpm.r,OR(_xlpm.r))),FALSE)</f>
        <v>0</v>
      </c>
      <c r="AH5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8"/>
      <c r="AQ528"/>
      <c r="AR528"/>
    </row>
    <row r="529" spans="1:44" x14ac:dyDescent="0.35">
      <c r="A529" s="2" t="s">
        <v>3162</v>
      </c>
      <c r="B529" s="40" t="str">
        <f>_xlfn.XLOOKUP(PROPERTIES[[#This Row],[VEHIDCODE]],CONTROL[VEHIDCODE],CONTROL[ENGLISH])</f>
        <v>Adtranz BM73</v>
      </c>
      <c r="E529" t="b">
        <v>1</v>
      </c>
      <c r="AC529" s="2"/>
      <c r="AD529" s="2" t="b">
        <f>LEN(_xlfn.CONCAT(TRACK_TYPES[[#This Row],[TRACK_TYPE_STANDARD_GAUGE_RAILTYPE_OHLE]:[TRACK_TYPE_MTRO]]))&gt;0</f>
        <v>1</v>
      </c>
      <c r="AE529" s="38" t="b" cm="1">
        <f t="array" ref="AE529">IFERROR(_xlfn.BYROW(TRACK_TYPES[[#This Row],[TRACK_TYPE_STANDARD_GAUGE_RAILTYPE_OHLE]:[TRACK_TYPE_STANDARD_GAUGE_RAILTYPE_NONE]],_xlfn.LAMBDA(_xlpm.r,OR(_xlpm.r))),FALSE)</f>
        <v>1</v>
      </c>
      <c r="AF529" s="38" t="b" cm="1">
        <f t="array" ref="AF529">IFERROR(_xlfn.BYROW(TRACK_TYPES[[#This Row],[TRACK_TYPE_NARROW_GAUGE_RAILTYPE_OHLE]:[TRACK_TYPE_NARROW_GAUGE_RAILTYPE_NONE]],_xlfn.LAMBDA(_xlpm.r,OR(_xlpm.r))),FALSE)</f>
        <v>0</v>
      </c>
      <c r="AG529" s="38" t="b" cm="1">
        <f t="array" ref="AG529">IFERROR(_xlfn.BYROW(TRACK_TYPES[[#This Row],[TRACK_TYPE_BROAD_GAUGE_RAILTYPE_OHLE]:[TRACK_TYPE_BROAD_GAUGE_RAILTYPE_NONE]],_xlfn.LAMBDA(_xlpm.r,OR(_xlpm.r))),FALSE)</f>
        <v>0</v>
      </c>
      <c r="AH5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9"/>
      <c r="AQ529"/>
      <c r="AR529"/>
    </row>
    <row r="530" spans="1:44" x14ac:dyDescent="0.35">
      <c r="A530" s="2" t="s">
        <v>3163</v>
      </c>
      <c r="B530" s="40" t="str">
        <f>_xlfn.XLOOKUP(PROPERTIES[[#This Row],[VEHIDCODE]],CONTROL[VEHIDCODE],CONTROL[ENGLISH])</f>
        <v>NEBB M65</v>
      </c>
      <c r="E530" t="b">
        <v>1</v>
      </c>
      <c r="AC530" s="2"/>
      <c r="AD530" s="2" t="b">
        <f>LEN(_xlfn.CONCAT(TRACK_TYPES[[#This Row],[TRACK_TYPE_STANDARD_GAUGE_RAILTYPE_OHLE]:[TRACK_TYPE_MTRO]]))&gt;0</f>
        <v>1</v>
      </c>
      <c r="AE530" s="38" t="b" cm="1">
        <f t="array" ref="AE530">IFERROR(_xlfn.BYROW(TRACK_TYPES[[#This Row],[TRACK_TYPE_STANDARD_GAUGE_RAILTYPE_OHLE]:[TRACK_TYPE_STANDARD_GAUGE_RAILTYPE_NONE]],_xlfn.LAMBDA(_xlpm.r,OR(_xlpm.r))),FALSE)</f>
        <v>1</v>
      </c>
      <c r="AF530" s="38" t="b" cm="1">
        <f t="array" ref="AF530">IFERROR(_xlfn.BYROW(TRACK_TYPES[[#This Row],[TRACK_TYPE_NARROW_GAUGE_RAILTYPE_OHLE]:[TRACK_TYPE_NARROW_GAUGE_RAILTYPE_NONE]],_xlfn.LAMBDA(_xlpm.r,OR(_xlpm.r))),FALSE)</f>
        <v>0</v>
      </c>
      <c r="AG530" s="38" t="b" cm="1">
        <f t="array" ref="AG530">IFERROR(_xlfn.BYROW(TRACK_TYPES[[#This Row],[TRACK_TYPE_BROAD_GAUGE_RAILTYPE_OHLE]:[TRACK_TYPE_BROAD_GAUGE_RAILTYPE_NONE]],_xlfn.LAMBDA(_xlpm.r,OR(_xlpm.r))),FALSE)</f>
        <v>0</v>
      </c>
      <c r="AH5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0"/>
      <c r="AQ530"/>
      <c r="AR530"/>
    </row>
    <row r="531" spans="1:44" x14ac:dyDescent="0.35">
      <c r="A531" s="2" t="s">
        <v>3164</v>
      </c>
      <c r="B531" s="40" t="str">
        <f>_xlfn.XLOOKUP(PROPERTIES[[#This Row],[VEHIDCODE]],CONTROL[VEHIDCODE],CONTROL[ENGLISH])</f>
        <v>ASEA X2000</v>
      </c>
      <c r="D531" t="b">
        <v>1</v>
      </c>
      <c r="E531" t="b">
        <v>1</v>
      </c>
      <c r="AC531" s="2"/>
      <c r="AD531" s="2" t="b">
        <f>LEN(_xlfn.CONCAT(TRACK_TYPES[[#This Row],[TRACK_TYPE_STANDARD_GAUGE_RAILTYPE_OHLE]:[TRACK_TYPE_MTRO]]))&gt;0</f>
        <v>1</v>
      </c>
      <c r="AE531" s="38" t="b" cm="1">
        <f t="array" ref="AE531">IFERROR(_xlfn.BYROW(TRACK_TYPES[[#This Row],[TRACK_TYPE_STANDARD_GAUGE_RAILTYPE_OHLE]:[TRACK_TYPE_STANDARD_GAUGE_RAILTYPE_NONE]],_xlfn.LAMBDA(_xlpm.r,OR(_xlpm.r))),FALSE)</f>
        <v>1</v>
      </c>
      <c r="AF531" s="38" t="b" cm="1">
        <f t="array" ref="AF531">IFERROR(_xlfn.BYROW(TRACK_TYPES[[#This Row],[TRACK_TYPE_NARROW_GAUGE_RAILTYPE_OHLE]:[TRACK_TYPE_NARROW_GAUGE_RAILTYPE_NONE]],_xlfn.LAMBDA(_xlpm.r,OR(_xlpm.r))),FALSE)</f>
        <v>0</v>
      </c>
      <c r="AG531" s="38" t="b" cm="1">
        <f t="array" ref="AG531">IFERROR(_xlfn.BYROW(TRACK_TYPES[[#This Row],[TRACK_TYPE_BROAD_GAUGE_RAILTYPE_OHLE]:[TRACK_TYPE_BROAD_GAUGE_RAILTYPE_NONE]],_xlfn.LAMBDA(_xlpm.r,OR(_xlpm.r))),FALSE)</f>
        <v>0</v>
      </c>
      <c r="AH5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1"/>
      <c r="AQ531"/>
      <c r="AR531"/>
    </row>
    <row r="532" spans="1:44" x14ac:dyDescent="0.35">
      <c r="A532" s="2" t="s">
        <v>3165</v>
      </c>
      <c r="B532" s="40" t="str">
        <f>_xlfn.XLOOKUP(PROPERTIES[[#This Row],[VEHIDCODE]],CONTROL[VEHIDCODE],CONTROL[ENGLISH])</f>
        <v>SWP RABDe 510</v>
      </c>
      <c r="E532" t="b">
        <v>1</v>
      </c>
      <c r="AC532" s="2"/>
      <c r="AD532" s="2" t="b">
        <f>LEN(_xlfn.CONCAT(TRACK_TYPES[[#This Row],[TRACK_TYPE_STANDARD_GAUGE_RAILTYPE_OHLE]:[TRACK_TYPE_MTRO]]))&gt;0</f>
        <v>1</v>
      </c>
      <c r="AE532" s="38" t="b" cm="1">
        <f t="array" ref="AE532">IFERROR(_xlfn.BYROW(TRACK_TYPES[[#This Row],[TRACK_TYPE_STANDARD_GAUGE_RAILTYPE_OHLE]:[TRACK_TYPE_STANDARD_GAUGE_RAILTYPE_NONE]],_xlfn.LAMBDA(_xlpm.r,OR(_xlpm.r))),FALSE)</f>
        <v>1</v>
      </c>
      <c r="AF532" s="38" t="b" cm="1">
        <f t="array" ref="AF532">IFERROR(_xlfn.BYROW(TRACK_TYPES[[#This Row],[TRACK_TYPE_NARROW_GAUGE_RAILTYPE_OHLE]:[TRACK_TYPE_NARROW_GAUGE_RAILTYPE_NONE]],_xlfn.LAMBDA(_xlpm.r,OR(_xlpm.r))),FALSE)</f>
        <v>0</v>
      </c>
      <c r="AG532" s="38" t="b" cm="1">
        <f t="array" ref="AG532">IFERROR(_xlfn.BYROW(TRACK_TYPES[[#This Row],[TRACK_TYPE_BROAD_GAUGE_RAILTYPE_OHLE]:[TRACK_TYPE_BROAD_GAUGE_RAILTYPE_NONE]],_xlfn.LAMBDA(_xlpm.r,OR(_xlpm.r))),FALSE)</f>
        <v>0</v>
      </c>
      <c r="AH5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2"/>
      <c r="AQ532"/>
      <c r="AR532"/>
    </row>
    <row r="533" spans="1:44" x14ac:dyDescent="0.35">
      <c r="A533" s="2" t="s">
        <v>3166</v>
      </c>
      <c r="B533" s="40" t="str">
        <f>_xlfn.XLOOKUP(PROPERTIES[[#This Row],[VEHIDCODE]],CONTROL[VEHIDCODE],CONTROL[ENGLISH])</f>
        <v>Schindler RBDe 560</v>
      </c>
      <c r="E533" t="b">
        <v>1</v>
      </c>
      <c r="AC533" s="2"/>
      <c r="AD533" s="2" t="b">
        <f>LEN(_xlfn.CONCAT(TRACK_TYPES[[#This Row],[TRACK_TYPE_STANDARD_GAUGE_RAILTYPE_OHLE]:[TRACK_TYPE_MTRO]]))&gt;0</f>
        <v>1</v>
      </c>
      <c r="AE533" s="38" t="b" cm="1">
        <f t="array" ref="AE533">IFERROR(_xlfn.BYROW(TRACK_TYPES[[#This Row],[TRACK_TYPE_STANDARD_GAUGE_RAILTYPE_OHLE]:[TRACK_TYPE_STANDARD_GAUGE_RAILTYPE_NONE]],_xlfn.LAMBDA(_xlpm.r,OR(_xlpm.r))),FALSE)</f>
        <v>1</v>
      </c>
      <c r="AF533" s="38" t="b" cm="1">
        <f t="array" ref="AF533">IFERROR(_xlfn.BYROW(TRACK_TYPES[[#This Row],[TRACK_TYPE_NARROW_GAUGE_RAILTYPE_OHLE]:[TRACK_TYPE_NARROW_GAUGE_RAILTYPE_NONE]],_xlfn.LAMBDA(_xlpm.r,OR(_xlpm.r))),FALSE)</f>
        <v>0</v>
      </c>
      <c r="AG533" s="38" t="b" cm="1">
        <f t="array" ref="AG533">IFERROR(_xlfn.BYROW(TRACK_TYPES[[#This Row],[TRACK_TYPE_BROAD_GAUGE_RAILTYPE_OHLE]:[TRACK_TYPE_BROAD_GAUGE_RAILTYPE_NONE]],_xlfn.LAMBDA(_xlpm.r,OR(_xlpm.r))),FALSE)</f>
        <v>0</v>
      </c>
      <c r="AH5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3"/>
      <c r="AQ533"/>
      <c r="AR533"/>
    </row>
    <row r="534" spans="1:44" x14ac:dyDescent="0.35">
      <c r="A534" s="2" t="s">
        <v>3167</v>
      </c>
      <c r="B534" s="40" t="str">
        <f>_xlfn.XLOOKUP(PROPERTIES[[#This Row],[VEHIDCODE]],CONTROL[VEHIDCODE],CONTROL[ENGLISH])</f>
        <v>Stadler RABe 523 'Flirt'</v>
      </c>
      <c r="C534" t="b">
        <v>1</v>
      </c>
      <c r="S534" t="b">
        <v>1</v>
      </c>
      <c r="AC534" s="2"/>
      <c r="AD534" s="2" t="b">
        <f>LEN(_xlfn.CONCAT(TRACK_TYPES[[#This Row],[TRACK_TYPE_STANDARD_GAUGE_RAILTYPE_OHLE]:[TRACK_TYPE_MTRO]]))&gt;0</f>
        <v>1</v>
      </c>
      <c r="AE534" s="38" t="b" cm="1">
        <f t="array" ref="AE534">IFERROR(_xlfn.BYROW(TRACK_TYPES[[#This Row],[TRACK_TYPE_STANDARD_GAUGE_RAILTYPE_OHLE]:[TRACK_TYPE_STANDARD_GAUGE_RAILTYPE_NONE]],_xlfn.LAMBDA(_xlpm.r,OR(_xlpm.r))),FALSE)</f>
        <v>1</v>
      </c>
      <c r="AF534" s="38" t="b" cm="1">
        <f t="array" ref="AF534">IFERROR(_xlfn.BYROW(TRACK_TYPES[[#This Row],[TRACK_TYPE_NARROW_GAUGE_RAILTYPE_OHLE]:[TRACK_TYPE_NARROW_GAUGE_RAILTYPE_NONE]],_xlfn.LAMBDA(_xlpm.r,OR(_xlpm.r))),FALSE)</f>
        <v>0</v>
      </c>
      <c r="AG534" s="38" t="b" cm="1">
        <f t="array" ref="AG534">IFERROR(_xlfn.BYROW(TRACK_TYPES[[#This Row],[TRACK_TYPE_BROAD_GAUGE_RAILTYPE_OHLE]:[TRACK_TYPE_BROAD_GAUGE_RAILTYPE_NONE]],_xlfn.LAMBDA(_xlpm.r,OR(_xlpm.r))),FALSE)</f>
        <v>1</v>
      </c>
      <c r="AH5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4"/>
      <c r="AQ534"/>
      <c r="AR534"/>
    </row>
    <row r="535" spans="1:44" x14ac:dyDescent="0.35">
      <c r="A535" s="2" t="s">
        <v>3168</v>
      </c>
      <c r="B535" s="40" t="str">
        <f>_xlfn.XLOOKUP(PROPERTIES[[#This Row],[VEHIDCODE]],CONTROL[VEHIDCODE],CONTROL[ENGLISH])</f>
        <v>Budd Metroliner</v>
      </c>
      <c r="D535" t="b">
        <v>1</v>
      </c>
      <c r="E535" t="b">
        <v>1</v>
      </c>
      <c r="AC535" s="2"/>
      <c r="AD535" s="2" t="b">
        <f>LEN(_xlfn.CONCAT(TRACK_TYPES[[#This Row],[TRACK_TYPE_STANDARD_GAUGE_RAILTYPE_OHLE]:[TRACK_TYPE_MTRO]]))&gt;0</f>
        <v>1</v>
      </c>
      <c r="AE535" s="38" t="b" cm="1">
        <f t="array" ref="AE535">IFERROR(_xlfn.BYROW(TRACK_TYPES[[#This Row],[TRACK_TYPE_STANDARD_GAUGE_RAILTYPE_OHLE]:[TRACK_TYPE_STANDARD_GAUGE_RAILTYPE_NONE]],_xlfn.LAMBDA(_xlpm.r,OR(_xlpm.r))),FALSE)</f>
        <v>1</v>
      </c>
      <c r="AF535" s="38" t="b" cm="1">
        <f t="array" ref="AF535">IFERROR(_xlfn.BYROW(TRACK_TYPES[[#This Row],[TRACK_TYPE_NARROW_GAUGE_RAILTYPE_OHLE]:[TRACK_TYPE_NARROW_GAUGE_RAILTYPE_NONE]],_xlfn.LAMBDA(_xlpm.r,OR(_xlpm.r))),FALSE)</f>
        <v>0</v>
      </c>
      <c r="AG535" s="38" t="b" cm="1">
        <f t="array" ref="AG535">IFERROR(_xlfn.BYROW(TRACK_TYPES[[#This Row],[TRACK_TYPE_BROAD_GAUGE_RAILTYPE_OHLE]:[TRACK_TYPE_BROAD_GAUGE_RAILTYPE_NONE]],_xlfn.LAMBDA(_xlpm.r,OR(_xlpm.r))),FALSE)</f>
        <v>0</v>
      </c>
      <c r="AH5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5"/>
      <c r="AQ535"/>
      <c r="AR535"/>
    </row>
    <row r="536" spans="1:44" x14ac:dyDescent="0.35">
      <c r="A536" s="2" t="s">
        <v>3169</v>
      </c>
      <c r="B536" s="40" t="str">
        <f>_xlfn.XLOOKUP(PROPERTIES[[#This Row],[VEHIDCODE]],CONTROL[VEHIDCODE],CONTROL[ENGLISH])</f>
        <v>Siemens Velero</v>
      </c>
      <c r="C536" t="b">
        <v>1</v>
      </c>
      <c r="S536" t="b">
        <v>1</v>
      </c>
      <c r="AC536" s="2"/>
      <c r="AD536" s="2" t="b">
        <f>LEN(_xlfn.CONCAT(TRACK_TYPES[[#This Row],[TRACK_TYPE_STANDARD_GAUGE_RAILTYPE_OHLE]:[TRACK_TYPE_MTRO]]))&gt;0</f>
        <v>1</v>
      </c>
      <c r="AE536" s="38" t="b" cm="1">
        <f t="array" ref="AE536">IFERROR(_xlfn.BYROW(TRACK_TYPES[[#This Row],[TRACK_TYPE_STANDARD_GAUGE_RAILTYPE_OHLE]:[TRACK_TYPE_STANDARD_GAUGE_RAILTYPE_NONE]],_xlfn.LAMBDA(_xlpm.r,OR(_xlpm.r))),FALSE)</f>
        <v>1</v>
      </c>
      <c r="AF536" s="38" t="b" cm="1">
        <f t="array" ref="AF536">IFERROR(_xlfn.BYROW(TRACK_TYPES[[#This Row],[TRACK_TYPE_NARROW_GAUGE_RAILTYPE_OHLE]:[TRACK_TYPE_NARROW_GAUGE_RAILTYPE_NONE]],_xlfn.LAMBDA(_xlpm.r,OR(_xlpm.r))),FALSE)</f>
        <v>0</v>
      </c>
      <c r="AG536" s="38" t="b" cm="1">
        <f t="array" ref="AG536">IFERROR(_xlfn.BYROW(TRACK_TYPES[[#This Row],[TRACK_TYPE_BROAD_GAUGE_RAILTYPE_OHLE]:[TRACK_TYPE_BROAD_GAUGE_RAILTYPE_NONE]],_xlfn.LAMBDA(_xlpm.r,OR(_xlpm.r))),FALSE)</f>
        <v>1</v>
      </c>
      <c r="AH5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6"/>
      <c r="AQ536"/>
      <c r="AR536"/>
    </row>
    <row r="537" spans="1:44" x14ac:dyDescent="0.35">
      <c r="A537" s="2" t="s">
        <v>3170</v>
      </c>
      <c r="B537" s="40" t="str">
        <f>_xlfn.XLOOKUP(PROPERTIES[[#This Row],[VEHIDCODE]],CONTROL[VEHIDCODE],CONTROL[ENGLISH])</f>
        <v>Siemens Desiro BDZ</v>
      </c>
      <c r="D537" t="b">
        <v>1</v>
      </c>
      <c r="AC537" s="2"/>
      <c r="AD537" s="2" t="b">
        <f>LEN(_xlfn.CONCAT(TRACK_TYPES[[#This Row],[TRACK_TYPE_STANDARD_GAUGE_RAILTYPE_OHLE]:[TRACK_TYPE_MTRO]]))&gt;0</f>
        <v>1</v>
      </c>
      <c r="AE537" s="38" t="b" cm="1">
        <f t="array" ref="AE537">IFERROR(_xlfn.BYROW(TRACK_TYPES[[#This Row],[TRACK_TYPE_STANDARD_GAUGE_RAILTYPE_OHLE]:[TRACK_TYPE_STANDARD_GAUGE_RAILTYPE_NONE]],_xlfn.LAMBDA(_xlpm.r,OR(_xlpm.r))),FALSE)</f>
        <v>1</v>
      </c>
      <c r="AF537" s="38" t="b" cm="1">
        <f t="array" ref="AF537">IFERROR(_xlfn.BYROW(TRACK_TYPES[[#This Row],[TRACK_TYPE_NARROW_GAUGE_RAILTYPE_OHLE]:[TRACK_TYPE_NARROW_GAUGE_RAILTYPE_NONE]],_xlfn.LAMBDA(_xlpm.r,OR(_xlpm.r))),FALSE)</f>
        <v>0</v>
      </c>
      <c r="AG537" s="38" t="b" cm="1">
        <f t="array" ref="AG537">IFERROR(_xlfn.BYROW(TRACK_TYPES[[#This Row],[TRACK_TYPE_BROAD_GAUGE_RAILTYPE_OHLE]:[TRACK_TYPE_BROAD_GAUGE_RAILTYPE_NONE]],_xlfn.LAMBDA(_xlpm.r,OR(_xlpm.r))),FALSE)</f>
        <v>0</v>
      </c>
      <c r="AH5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7"/>
      <c r="AQ537"/>
      <c r="AR537"/>
    </row>
    <row r="538" spans="1:44" x14ac:dyDescent="0.35">
      <c r="A538" s="2" t="s">
        <v>3171</v>
      </c>
      <c r="B538" s="40" t="str">
        <f>_xlfn.XLOOKUP(PROPERTIES[[#This Row],[VEHIDCODE]],CONTROL[VEHIDCODE],CONTROL[ENGLISH])</f>
        <v>Valmet Sm2</v>
      </c>
      <c r="T538" t="b">
        <v>1</v>
      </c>
      <c r="AC538" s="2"/>
      <c r="AD538" s="2" t="b">
        <f>LEN(_xlfn.CONCAT(TRACK_TYPES[[#This Row],[TRACK_TYPE_STANDARD_GAUGE_RAILTYPE_OHLE]:[TRACK_TYPE_MTRO]]))&gt;0</f>
        <v>1</v>
      </c>
      <c r="AE538" s="38" t="b" cm="1">
        <f t="array" ref="AE538">IFERROR(_xlfn.BYROW(TRACK_TYPES[[#This Row],[TRACK_TYPE_STANDARD_GAUGE_RAILTYPE_OHLE]:[TRACK_TYPE_STANDARD_GAUGE_RAILTYPE_NONE]],_xlfn.LAMBDA(_xlpm.r,OR(_xlpm.r))),FALSE)</f>
        <v>0</v>
      </c>
      <c r="AF538" s="38" t="b" cm="1">
        <f t="array" ref="AF538">IFERROR(_xlfn.BYROW(TRACK_TYPES[[#This Row],[TRACK_TYPE_NARROW_GAUGE_RAILTYPE_OHLE]:[TRACK_TYPE_NARROW_GAUGE_RAILTYPE_NONE]],_xlfn.LAMBDA(_xlpm.r,OR(_xlpm.r))),FALSE)</f>
        <v>0</v>
      </c>
      <c r="AG538" s="38" t="b" cm="1">
        <f t="array" ref="AG538">IFERROR(_xlfn.BYROW(TRACK_TYPES[[#This Row],[TRACK_TYPE_BROAD_GAUGE_RAILTYPE_OHLE]:[TRACK_TYPE_BROAD_GAUGE_RAILTYPE_NONE]],_xlfn.LAMBDA(_xlpm.r,OR(_xlpm.r))),FALSE)</f>
        <v>1</v>
      </c>
      <c r="AH5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538"/>
      <c r="AQ538"/>
      <c r="AR538"/>
    </row>
    <row r="539" spans="1:44" x14ac:dyDescent="0.35">
      <c r="A539" s="2" t="s">
        <v>3172</v>
      </c>
      <c r="B539" s="40" t="str">
        <f>_xlfn.XLOOKUP(PROPERTIES[[#This Row],[VEHIDCODE]],CONTROL[VEHIDCODE],CONTROL[ENGLISH])</f>
        <v>Fiat/CAF Sm4</v>
      </c>
      <c r="T539" t="b">
        <v>1</v>
      </c>
      <c r="AC539" s="2"/>
      <c r="AD539" s="2" t="b">
        <f>LEN(_xlfn.CONCAT(TRACK_TYPES[[#This Row],[TRACK_TYPE_STANDARD_GAUGE_RAILTYPE_OHLE]:[TRACK_TYPE_MTRO]]))&gt;0</f>
        <v>1</v>
      </c>
      <c r="AE539" s="38" t="b" cm="1">
        <f t="array" ref="AE539">IFERROR(_xlfn.BYROW(TRACK_TYPES[[#This Row],[TRACK_TYPE_STANDARD_GAUGE_RAILTYPE_OHLE]:[TRACK_TYPE_STANDARD_GAUGE_RAILTYPE_NONE]],_xlfn.LAMBDA(_xlpm.r,OR(_xlpm.r))),FALSE)</f>
        <v>0</v>
      </c>
      <c r="AF539" s="38" t="b" cm="1">
        <f t="array" ref="AF539">IFERROR(_xlfn.BYROW(TRACK_TYPES[[#This Row],[TRACK_TYPE_NARROW_GAUGE_RAILTYPE_OHLE]:[TRACK_TYPE_NARROW_GAUGE_RAILTYPE_NONE]],_xlfn.LAMBDA(_xlpm.r,OR(_xlpm.r))),FALSE)</f>
        <v>0</v>
      </c>
      <c r="AG539" s="38" t="b" cm="1">
        <f t="array" ref="AG539">IFERROR(_xlfn.BYROW(TRACK_TYPES[[#This Row],[TRACK_TYPE_BROAD_GAUGE_RAILTYPE_OHLE]:[TRACK_TYPE_BROAD_GAUGE_RAILTYPE_NONE]],_xlfn.LAMBDA(_xlpm.r,OR(_xlpm.r))),FALSE)</f>
        <v>1</v>
      </c>
      <c r="AH5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539"/>
      <c r="AQ539"/>
      <c r="AR539"/>
    </row>
    <row r="540" spans="1:44" x14ac:dyDescent="0.35">
      <c r="A540" s="2" t="s">
        <v>3173</v>
      </c>
      <c r="B540" s="40" t="str">
        <f>_xlfn.XLOOKUP(PROPERTIES[[#This Row],[VEHIDCODE]],CONTROL[VEHIDCODE],CONTROL[ENGLISH])</f>
        <v>Ganz-MAVAG VM17 'BDVmot'</v>
      </c>
      <c r="D540" t="b">
        <v>1</v>
      </c>
      <c r="AC540" s="2"/>
      <c r="AD540" s="2" t="b">
        <f>LEN(_xlfn.CONCAT(TRACK_TYPES[[#This Row],[TRACK_TYPE_STANDARD_GAUGE_RAILTYPE_OHLE]:[TRACK_TYPE_MTRO]]))&gt;0</f>
        <v>1</v>
      </c>
      <c r="AE540" s="38" t="b" cm="1">
        <f t="array" ref="AE540">IFERROR(_xlfn.BYROW(TRACK_TYPES[[#This Row],[TRACK_TYPE_STANDARD_GAUGE_RAILTYPE_OHLE]:[TRACK_TYPE_STANDARD_GAUGE_RAILTYPE_NONE]],_xlfn.LAMBDA(_xlpm.r,OR(_xlpm.r))),FALSE)</f>
        <v>1</v>
      </c>
      <c r="AF540" s="38" t="b" cm="1">
        <f t="array" ref="AF540">IFERROR(_xlfn.BYROW(TRACK_TYPES[[#This Row],[TRACK_TYPE_NARROW_GAUGE_RAILTYPE_OHLE]:[TRACK_TYPE_NARROW_GAUGE_RAILTYPE_NONE]],_xlfn.LAMBDA(_xlpm.r,OR(_xlpm.r))),FALSE)</f>
        <v>0</v>
      </c>
      <c r="AG540" s="38" t="b" cm="1">
        <f t="array" ref="AG540">IFERROR(_xlfn.BYROW(TRACK_TYPES[[#This Row],[TRACK_TYPE_BROAD_GAUGE_RAILTYPE_OHLE]:[TRACK_TYPE_BROAD_GAUGE_RAILTYPE_NONE]],_xlfn.LAMBDA(_xlpm.r,OR(_xlpm.r))),FALSE)</f>
        <v>0</v>
      </c>
      <c r="AH5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0"/>
      <c r="AQ540"/>
      <c r="AR540"/>
    </row>
    <row r="541" spans="1:44" x14ac:dyDescent="0.35">
      <c r="A541" s="2" t="s">
        <v>3174</v>
      </c>
      <c r="B541" s="40" t="str">
        <f>_xlfn.XLOOKUP(PROPERTIES[[#This Row],[VEHIDCODE]],CONTROL[VEHIDCODE],CONTROL[ENGLISH])</f>
        <v>ACME Corp. Sureot</v>
      </c>
      <c r="C541" t="b">
        <v>1</v>
      </c>
      <c r="AC541" s="2"/>
      <c r="AD541" s="2" t="b">
        <f>LEN(_xlfn.CONCAT(TRACK_TYPES[[#This Row],[TRACK_TYPE_STANDARD_GAUGE_RAILTYPE_OHLE]:[TRACK_TYPE_MTRO]]))&gt;0</f>
        <v>1</v>
      </c>
      <c r="AE541" s="38" t="b" cm="1">
        <f t="array" ref="AE541">IFERROR(_xlfn.BYROW(TRACK_TYPES[[#This Row],[TRACK_TYPE_STANDARD_GAUGE_RAILTYPE_OHLE]:[TRACK_TYPE_STANDARD_GAUGE_RAILTYPE_NONE]],_xlfn.LAMBDA(_xlpm.r,OR(_xlpm.r))),FALSE)</f>
        <v>1</v>
      </c>
      <c r="AF541" s="38" t="b" cm="1">
        <f t="array" ref="AF541">IFERROR(_xlfn.BYROW(TRACK_TYPES[[#This Row],[TRACK_TYPE_NARROW_GAUGE_RAILTYPE_OHLE]:[TRACK_TYPE_NARROW_GAUGE_RAILTYPE_NONE]],_xlfn.LAMBDA(_xlpm.r,OR(_xlpm.r))),FALSE)</f>
        <v>0</v>
      </c>
      <c r="AG541" s="38" t="b" cm="1">
        <f t="array" ref="AG541">IFERROR(_xlfn.BYROW(TRACK_TYPES[[#This Row],[TRACK_TYPE_BROAD_GAUGE_RAILTYPE_OHLE]:[TRACK_TYPE_BROAD_GAUGE_RAILTYPE_NONE]],_xlfn.LAMBDA(_xlpm.r,OR(_xlpm.r))),FALSE)</f>
        <v>0</v>
      </c>
      <c r="AH5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1"/>
      <c r="AQ541"/>
      <c r="AR541"/>
    </row>
    <row r="542" spans="1:44" x14ac:dyDescent="0.35">
      <c r="A542" s="2" t="s">
        <v>3175</v>
      </c>
      <c r="B542" s="40" t="str">
        <f>_xlfn.XLOOKUP(PROPERTIES[[#This Row],[VEHIDCODE]],CONTROL[VEHIDCODE],CONTROL[ENGLISH])</f>
        <v>Hitachi Shinkansen Series 0</v>
      </c>
      <c r="D542" t="b">
        <v>1</v>
      </c>
      <c r="AC542" s="2"/>
      <c r="AD542" s="2" t="b">
        <f>LEN(_xlfn.CONCAT(TRACK_TYPES[[#This Row],[TRACK_TYPE_STANDARD_GAUGE_RAILTYPE_OHLE]:[TRACK_TYPE_MTRO]]))&gt;0</f>
        <v>1</v>
      </c>
      <c r="AE542" s="38" t="b" cm="1">
        <f t="array" ref="AE542">IFERROR(_xlfn.BYROW(TRACK_TYPES[[#This Row],[TRACK_TYPE_STANDARD_GAUGE_RAILTYPE_OHLE]:[TRACK_TYPE_STANDARD_GAUGE_RAILTYPE_NONE]],_xlfn.LAMBDA(_xlpm.r,OR(_xlpm.r))),FALSE)</f>
        <v>1</v>
      </c>
      <c r="AF542" s="38" t="b" cm="1">
        <f t="array" ref="AF542">IFERROR(_xlfn.BYROW(TRACK_TYPES[[#This Row],[TRACK_TYPE_NARROW_GAUGE_RAILTYPE_OHLE]:[TRACK_TYPE_NARROW_GAUGE_RAILTYPE_NONE]],_xlfn.LAMBDA(_xlpm.r,OR(_xlpm.r))),FALSE)</f>
        <v>0</v>
      </c>
      <c r="AG542" s="38" t="b" cm="1">
        <f t="array" ref="AG542">IFERROR(_xlfn.BYROW(TRACK_TYPES[[#This Row],[TRACK_TYPE_BROAD_GAUGE_RAILTYPE_OHLE]:[TRACK_TYPE_BROAD_GAUGE_RAILTYPE_NONE]],_xlfn.LAMBDA(_xlpm.r,OR(_xlpm.r))),FALSE)</f>
        <v>0</v>
      </c>
      <c r="AH5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2"/>
      <c r="AQ542"/>
      <c r="AR542"/>
    </row>
    <row r="543" spans="1:44" x14ac:dyDescent="0.35">
      <c r="A543" s="2" t="s">
        <v>3176</v>
      </c>
      <c r="B543" s="40" t="str">
        <f>_xlfn.XLOOKUP(PROPERTIES[[#This Row],[VEHIDCODE]],CONTROL[VEHIDCODE],CONTROL[ENGLISH])</f>
        <v>Hitachi Shinkansen Series 700</v>
      </c>
      <c r="D543" t="b">
        <v>1</v>
      </c>
      <c r="AC543" s="2"/>
      <c r="AD543" s="2" t="b">
        <f>LEN(_xlfn.CONCAT(TRACK_TYPES[[#This Row],[TRACK_TYPE_STANDARD_GAUGE_RAILTYPE_OHLE]:[TRACK_TYPE_MTRO]]))&gt;0</f>
        <v>1</v>
      </c>
      <c r="AE543" s="38" t="b" cm="1">
        <f t="array" ref="AE543">IFERROR(_xlfn.BYROW(TRACK_TYPES[[#This Row],[TRACK_TYPE_STANDARD_GAUGE_RAILTYPE_OHLE]:[TRACK_TYPE_STANDARD_GAUGE_RAILTYPE_NONE]],_xlfn.LAMBDA(_xlpm.r,OR(_xlpm.r))),FALSE)</f>
        <v>1</v>
      </c>
      <c r="AF543" s="38" t="b" cm="1">
        <f t="array" ref="AF543">IFERROR(_xlfn.BYROW(TRACK_TYPES[[#This Row],[TRACK_TYPE_NARROW_GAUGE_RAILTYPE_OHLE]:[TRACK_TYPE_NARROW_GAUGE_RAILTYPE_NONE]],_xlfn.LAMBDA(_xlpm.r,OR(_xlpm.r))),FALSE)</f>
        <v>0</v>
      </c>
      <c r="AG543" s="38" t="b" cm="1">
        <f t="array" ref="AG543">IFERROR(_xlfn.BYROW(TRACK_TYPES[[#This Row],[TRACK_TYPE_BROAD_GAUGE_RAILTYPE_OHLE]:[TRACK_TYPE_BROAD_GAUGE_RAILTYPE_NONE]],_xlfn.LAMBDA(_xlpm.r,OR(_xlpm.r))),FALSE)</f>
        <v>0</v>
      </c>
      <c r="AH5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3"/>
      <c r="AQ543"/>
      <c r="AR543"/>
    </row>
    <row r="544" spans="1:44" x14ac:dyDescent="0.35">
      <c r="A544" s="2" t="s">
        <v>3177</v>
      </c>
      <c r="B544" s="40" t="str">
        <f>_xlfn.XLOOKUP(PROPERTIES[[#This Row],[VEHIDCODE]],CONTROL[VEHIDCODE],CONTROL[ENGLISH])</f>
        <v>Hitachi/Kawasaki Shinkansen Series E1 Max</v>
      </c>
      <c r="D544" t="b">
        <v>1</v>
      </c>
      <c r="AC544" s="2"/>
      <c r="AD544" s="2" t="b">
        <f>LEN(_xlfn.CONCAT(TRACK_TYPES[[#This Row],[TRACK_TYPE_STANDARD_GAUGE_RAILTYPE_OHLE]:[TRACK_TYPE_MTRO]]))&gt;0</f>
        <v>1</v>
      </c>
      <c r="AE544" s="38" t="b" cm="1">
        <f t="array" ref="AE544">IFERROR(_xlfn.BYROW(TRACK_TYPES[[#This Row],[TRACK_TYPE_STANDARD_GAUGE_RAILTYPE_OHLE]:[TRACK_TYPE_STANDARD_GAUGE_RAILTYPE_NONE]],_xlfn.LAMBDA(_xlpm.r,OR(_xlpm.r))),FALSE)</f>
        <v>1</v>
      </c>
      <c r="AF544" s="38" t="b" cm="1">
        <f t="array" ref="AF544">IFERROR(_xlfn.BYROW(TRACK_TYPES[[#This Row],[TRACK_TYPE_NARROW_GAUGE_RAILTYPE_OHLE]:[TRACK_TYPE_NARROW_GAUGE_RAILTYPE_NONE]],_xlfn.LAMBDA(_xlpm.r,OR(_xlpm.r))),FALSE)</f>
        <v>0</v>
      </c>
      <c r="AG544" s="38" t="b" cm="1">
        <f t="array" ref="AG544">IFERROR(_xlfn.BYROW(TRACK_TYPES[[#This Row],[TRACK_TYPE_BROAD_GAUGE_RAILTYPE_OHLE]:[TRACK_TYPE_BROAD_GAUGE_RAILTYPE_NONE]],_xlfn.LAMBDA(_xlpm.r,OR(_xlpm.r))),FALSE)</f>
        <v>0</v>
      </c>
      <c r="AH5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4"/>
      <c r="AQ544"/>
      <c r="AR544"/>
    </row>
    <row r="545" spans="1:44" x14ac:dyDescent="0.35">
      <c r="A545" s="2" t="s">
        <v>3178</v>
      </c>
      <c r="B545" s="40" t="str">
        <f>_xlfn.XLOOKUP(PROPERTIES[[#This Row],[VEHIDCODE]],CONTROL[VEHIDCODE],CONTROL[ENGLISH])</f>
        <v>Alstom Coradia Duplex</v>
      </c>
      <c r="D545" t="b">
        <v>1</v>
      </c>
      <c r="E545" t="b">
        <v>1</v>
      </c>
      <c r="G545" t="b">
        <v>1</v>
      </c>
      <c r="AC545" s="2"/>
      <c r="AD545" s="2" t="b">
        <f>LEN(_xlfn.CONCAT(TRACK_TYPES[[#This Row],[TRACK_TYPE_STANDARD_GAUGE_RAILTYPE_OHLE]:[TRACK_TYPE_MTRO]]))&gt;0</f>
        <v>1</v>
      </c>
      <c r="AE545" s="38" t="b" cm="1">
        <f t="array" ref="AE545">IFERROR(_xlfn.BYROW(TRACK_TYPES[[#This Row],[TRACK_TYPE_STANDARD_GAUGE_RAILTYPE_OHLE]:[TRACK_TYPE_STANDARD_GAUGE_RAILTYPE_NONE]],_xlfn.LAMBDA(_xlpm.r,OR(_xlpm.r))),FALSE)</f>
        <v>1</v>
      </c>
      <c r="AF545" s="38" t="b" cm="1">
        <f t="array" ref="AF545">IFERROR(_xlfn.BYROW(TRACK_TYPES[[#This Row],[TRACK_TYPE_NARROW_GAUGE_RAILTYPE_OHLE]:[TRACK_TYPE_NARROW_GAUGE_RAILTYPE_NONE]],_xlfn.LAMBDA(_xlpm.r,OR(_xlpm.r))),FALSE)</f>
        <v>0</v>
      </c>
      <c r="AG545" s="38" t="b" cm="1">
        <f t="array" ref="AG545">IFERROR(_xlfn.BYROW(TRACK_TYPES[[#This Row],[TRACK_TYPE_BROAD_GAUGE_RAILTYPE_OHLE]:[TRACK_TYPE_BROAD_GAUGE_RAILTYPE_NONE]],_xlfn.LAMBDA(_xlpm.r,OR(_xlpm.r))),FALSE)</f>
        <v>0</v>
      </c>
      <c r="AH5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5"/>
      <c r="AQ545"/>
      <c r="AR545"/>
    </row>
    <row r="546" spans="1:44" x14ac:dyDescent="0.35">
      <c r="A546" s="2" t="s">
        <v>3179</v>
      </c>
      <c r="B546" s="40" t="str">
        <f>_xlfn.XLOOKUP(PROPERTIES[[#This Row],[VEHIDCODE]],CONTROL[VEHIDCODE],CONTROL[ENGLISH])</f>
        <v>RVR ER31</v>
      </c>
      <c r="D546" t="b">
        <v>1</v>
      </c>
      <c r="AC546" s="2"/>
      <c r="AD546" s="2" t="b">
        <f>LEN(_xlfn.CONCAT(TRACK_TYPES[[#This Row],[TRACK_TYPE_STANDARD_GAUGE_RAILTYPE_OHLE]:[TRACK_TYPE_MTRO]]))&gt;0</f>
        <v>1</v>
      </c>
      <c r="AE546" s="38" t="b" cm="1">
        <f t="array" ref="AE546">IFERROR(_xlfn.BYROW(TRACK_TYPES[[#This Row],[TRACK_TYPE_STANDARD_GAUGE_RAILTYPE_OHLE]:[TRACK_TYPE_STANDARD_GAUGE_RAILTYPE_NONE]],_xlfn.LAMBDA(_xlpm.r,OR(_xlpm.r))),FALSE)</f>
        <v>1</v>
      </c>
      <c r="AF546" s="38" t="b" cm="1">
        <f t="array" ref="AF546">IFERROR(_xlfn.BYROW(TRACK_TYPES[[#This Row],[TRACK_TYPE_NARROW_GAUGE_RAILTYPE_OHLE]:[TRACK_TYPE_NARROW_GAUGE_RAILTYPE_NONE]],_xlfn.LAMBDA(_xlpm.r,OR(_xlpm.r))),FALSE)</f>
        <v>0</v>
      </c>
      <c r="AG546" s="38" t="b" cm="1">
        <f t="array" ref="AG546">IFERROR(_xlfn.BYROW(TRACK_TYPES[[#This Row],[TRACK_TYPE_BROAD_GAUGE_RAILTYPE_OHLE]:[TRACK_TYPE_BROAD_GAUGE_RAILTYPE_NONE]],_xlfn.LAMBDA(_xlpm.r,OR(_xlpm.r))),FALSE)</f>
        <v>0</v>
      </c>
      <c r="AH5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6"/>
      <c r="AQ546"/>
      <c r="AR546"/>
    </row>
    <row r="547" spans="1:44" x14ac:dyDescent="0.35">
      <c r="A547" s="2" t="s">
        <v>3444</v>
      </c>
      <c r="B547" s="40" t="str">
        <f>_xlfn.XLOOKUP(PROPERTIES[[#This Row],[VEHIDCODE]],CONTROL[VEHIDCODE],CONTROL[ENGLISH])</f>
        <v>Carel et Fouche/Alsthom Z 6100</v>
      </c>
      <c r="D547" t="b">
        <v>1</v>
      </c>
      <c r="AC547" s="2"/>
      <c r="AD547" s="2" t="b">
        <f>LEN(_xlfn.CONCAT(TRACK_TYPES[[#This Row],[TRACK_TYPE_STANDARD_GAUGE_RAILTYPE_OHLE]:[TRACK_TYPE_MTRO]]))&gt;0</f>
        <v>1</v>
      </c>
      <c r="AE547" s="38" t="b" cm="1">
        <f t="array" ref="AE547">IFERROR(_xlfn.BYROW(TRACK_TYPES[[#This Row],[TRACK_TYPE_STANDARD_GAUGE_RAILTYPE_OHLE]:[TRACK_TYPE_STANDARD_GAUGE_RAILTYPE_NONE]],_xlfn.LAMBDA(_xlpm.r,OR(_xlpm.r))),FALSE)</f>
        <v>1</v>
      </c>
      <c r="AF547" s="38" t="b" cm="1">
        <f t="array" ref="AF547">IFERROR(_xlfn.BYROW(TRACK_TYPES[[#This Row],[TRACK_TYPE_NARROW_GAUGE_RAILTYPE_OHLE]:[TRACK_TYPE_NARROW_GAUGE_RAILTYPE_NONE]],_xlfn.LAMBDA(_xlpm.r,OR(_xlpm.r))),FALSE)</f>
        <v>0</v>
      </c>
      <c r="AG547" s="38" t="b" cm="1">
        <f t="array" ref="AG547">IFERROR(_xlfn.BYROW(TRACK_TYPES[[#This Row],[TRACK_TYPE_BROAD_GAUGE_RAILTYPE_OHLE]:[TRACK_TYPE_BROAD_GAUGE_RAILTYPE_NONE]],_xlfn.LAMBDA(_xlpm.r,OR(_xlpm.r))),FALSE)</f>
        <v>0</v>
      </c>
      <c r="AH5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7"/>
      <c r="AQ547"/>
      <c r="AR547"/>
    </row>
    <row r="548" spans="1:44" x14ac:dyDescent="0.35">
      <c r="A548" s="2" t="s">
        <v>3180</v>
      </c>
      <c r="B548" s="40" t="str">
        <f>_xlfn.XLOOKUP(PROPERTIES[[#This Row],[VEHIDCODE]],CONTROL[VEHIDCODE],CONTROL[ENGLISH])</f>
        <v>Bombardier/UCW Electrostar 'Gautrain'</v>
      </c>
      <c r="D548" t="b">
        <v>1</v>
      </c>
      <c r="AC548" s="2"/>
      <c r="AD548" s="2" t="b">
        <f>LEN(_xlfn.CONCAT(TRACK_TYPES[[#This Row],[TRACK_TYPE_STANDARD_GAUGE_RAILTYPE_OHLE]:[TRACK_TYPE_MTRO]]))&gt;0</f>
        <v>1</v>
      </c>
      <c r="AE548" s="38" t="b" cm="1">
        <f t="array" ref="AE548">IFERROR(_xlfn.BYROW(TRACK_TYPES[[#This Row],[TRACK_TYPE_STANDARD_GAUGE_RAILTYPE_OHLE]:[TRACK_TYPE_STANDARD_GAUGE_RAILTYPE_NONE]],_xlfn.LAMBDA(_xlpm.r,OR(_xlpm.r))),FALSE)</f>
        <v>1</v>
      </c>
      <c r="AF548" s="38" t="b" cm="1">
        <f t="array" ref="AF548">IFERROR(_xlfn.BYROW(TRACK_TYPES[[#This Row],[TRACK_TYPE_NARROW_GAUGE_RAILTYPE_OHLE]:[TRACK_TYPE_NARROW_GAUGE_RAILTYPE_NONE]],_xlfn.LAMBDA(_xlpm.r,OR(_xlpm.r))),FALSE)</f>
        <v>0</v>
      </c>
      <c r="AG548" s="38" t="b" cm="1">
        <f t="array" ref="AG548">IFERROR(_xlfn.BYROW(TRACK_TYPES[[#This Row],[TRACK_TYPE_BROAD_GAUGE_RAILTYPE_OHLE]:[TRACK_TYPE_BROAD_GAUGE_RAILTYPE_NONE]],_xlfn.LAMBDA(_xlpm.r,OR(_xlpm.r))),FALSE)</f>
        <v>0</v>
      </c>
      <c r="AH5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8"/>
      <c r="AQ548"/>
      <c r="AR548"/>
    </row>
    <row r="549" spans="1:44" x14ac:dyDescent="0.35">
      <c r="A549" s="2" t="s">
        <v>3181</v>
      </c>
      <c r="B549" s="40" t="str">
        <f>_xlfn.XLOOKUP(PROPERTIES[[#This Row],[VEHIDCODE]],CONTROL[VEHIDCODE],CONTROL[ENGLISH])</f>
        <v>Alsthom/Jeumont TCDD E8000</v>
      </c>
      <c r="D549" t="b">
        <v>1</v>
      </c>
      <c r="AC549" s="2"/>
      <c r="AD549" s="2" t="b">
        <f>LEN(_xlfn.CONCAT(TRACK_TYPES[[#This Row],[TRACK_TYPE_STANDARD_GAUGE_RAILTYPE_OHLE]:[TRACK_TYPE_MTRO]]))&gt;0</f>
        <v>1</v>
      </c>
      <c r="AE549" s="38" t="b" cm="1">
        <f t="array" ref="AE549">IFERROR(_xlfn.BYROW(TRACK_TYPES[[#This Row],[TRACK_TYPE_STANDARD_GAUGE_RAILTYPE_OHLE]:[TRACK_TYPE_STANDARD_GAUGE_RAILTYPE_NONE]],_xlfn.LAMBDA(_xlpm.r,OR(_xlpm.r))),FALSE)</f>
        <v>1</v>
      </c>
      <c r="AF549" s="38" t="b" cm="1">
        <f t="array" ref="AF549">IFERROR(_xlfn.BYROW(TRACK_TYPES[[#This Row],[TRACK_TYPE_NARROW_GAUGE_RAILTYPE_OHLE]:[TRACK_TYPE_NARROW_GAUGE_RAILTYPE_NONE]],_xlfn.LAMBDA(_xlpm.r,OR(_xlpm.r))),FALSE)</f>
        <v>0</v>
      </c>
      <c r="AG549" s="38" t="b" cm="1">
        <f t="array" ref="AG549">IFERROR(_xlfn.BYROW(TRACK_TYPES[[#This Row],[TRACK_TYPE_BROAD_GAUGE_RAILTYPE_OHLE]:[TRACK_TYPE_BROAD_GAUGE_RAILTYPE_NONE]],_xlfn.LAMBDA(_xlpm.r,OR(_xlpm.r))),FALSE)</f>
        <v>0</v>
      </c>
      <c r="AH5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9"/>
      <c r="AQ549"/>
      <c r="AR549"/>
    </row>
    <row r="550" spans="1:44" x14ac:dyDescent="0.35">
      <c r="A550" s="2" t="s">
        <v>3182</v>
      </c>
      <c r="B550" s="40" t="str">
        <f>_xlfn.XLOOKUP(PROPERTIES[[#This Row],[VEHIDCODE]],CONTROL[VEHIDCODE],CONTROL[ENGLISH])</f>
        <v>CSR Qingdao CHR380A</v>
      </c>
      <c r="D550" t="b">
        <v>1</v>
      </c>
      <c r="AC550" s="2"/>
      <c r="AD550" s="2" t="b">
        <f>LEN(_xlfn.CONCAT(TRACK_TYPES[[#This Row],[TRACK_TYPE_STANDARD_GAUGE_RAILTYPE_OHLE]:[TRACK_TYPE_MTRO]]))&gt;0</f>
        <v>1</v>
      </c>
      <c r="AE550" s="38" t="b" cm="1">
        <f t="array" ref="AE550">IFERROR(_xlfn.BYROW(TRACK_TYPES[[#This Row],[TRACK_TYPE_STANDARD_GAUGE_RAILTYPE_OHLE]:[TRACK_TYPE_STANDARD_GAUGE_RAILTYPE_NONE]],_xlfn.LAMBDA(_xlpm.r,OR(_xlpm.r))),FALSE)</f>
        <v>1</v>
      </c>
      <c r="AF550" s="38" t="b" cm="1">
        <f t="array" ref="AF550">IFERROR(_xlfn.BYROW(TRACK_TYPES[[#This Row],[TRACK_TYPE_NARROW_GAUGE_RAILTYPE_OHLE]:[TRACK_TYPE_NARROW_GAUGE_RAILTYPE_NONE]],_xlfn.LAMBDA(_xlpm.r,OR(_xlpm.r))),FALSE)</f>
        <v>0</v>
      </c>
      <c r="AG550" s="38" t="b" cm="1">
        <f t="array" ref="AG550">IFERROR(_xlfn.BYROW(TRACK_TYPES[[#This Row],[TRACK_TYPE_BROAD_GAUGE_RAILTYPE_OHLE]:[TRACK_TYPE_BROAD_GAUGE_RAILTYPE_NONE]],_xlfn.LAMBDA(_xlpm.r,OR(_xlpm.r))),FALSE)</f>
        <v>0</v>
      </c>
      <c r="AH5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0"/>
      <c r="AQ550"/>
      <c r="AR550"/>
    </row>
    <row r="551" spans="1:44" x14ac:dyDescent="0.35">
      <c r="A551" s="2" t="s">
        <v>3183</v>
      </c>
      <c r="B551" s="40" t="str">
        <f>_xlfn.XLOOKUP(PROPERTIES[[#This Row],[VEHIDCODE]],CONTROL[VEHIDCODE],CONTROL[ENGLISH])</f>
        <v>PRR MP54</v>
      </c>
      <c r="E551" t="b">
        <v>1</v>
      </c>
      <c r="H551" t="b">
        <v>1</v>
      </c>
      <c r="AC551" s="2"/>
      <c r="AD551" s="2" t="b">
        <f>LEN(_xlfn.CONCAT(TRACK_TYPES[[#This Row],[TRACK_TYPE_STANDARD_GAUGE_RAILTYPE_OHLE]:[TRACK_TYPE_MTRO]]))&gt;0</f>
        <v>1</v>
      </c>
      <c r="AE551" s="38" t="b" cm="1">
        <f t="array" ref="AE551">IFERROR(_xlfn.BYROW(TRACK_TYPES[[#This Row],[TRACK_TYPE_STANDARD_GAUGE_RAILTYPE_OHLE]:[TRACK_TYPE_STANDARD_GAUGE_RAILTYPE_NONE]],_xlfn.LAMBDA(_xlpm.r,OR(_xlpm.r))),FALSE)</f>
        <v>1</v>
      </c>
      <c r="AF551" s="38" t="b" cm="1">
        <f t="array" ref="AF551">IFERROR(_xlfn.BYROW(TRACK_TYPES[[#This Row],[TRACK_TYPE_NARROW_GAUGE_RAILTYPE_OHLE]:[TRACK_TYPE_NARROW_GAUGE_RAILTYPE_NONE]],_xlfn.LAMBDA(_xlpm.r,OR(_xlpm.r))),FALSE)</f>
        <v>0</v>
      </c>
      <c r="AG551" s="38" t="b" cm="1">
        <f t="array" ref="AG551">IFERROR(_xlfn.BYROW(TRACK_TYPES[[#This Row],[TRACK_TYPE_BROAD_GAUGE_RAILTYPE_OHLE]:[TRACK_TYPE_BROAD_GAUGE_RAILTYPE_NONE]],_xlfn.LAMBDA(_xlpm.r,OR(_xlpm.r))),FALSE)</f>
        <v>0</v>
      </c>
      <c r="AH5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1"/>
      <c r="AQ551"/>
      <c r="AR551"/>
    </row>
    <row r="552" spans="1:44" x14ac:dyDescent="0.35">
      <c r="A552" s="2" t="s">
        <v>3184</v>
      </c>
      <c r="B552" s="40" t="str">
        <f>_xlfn.XLOOKUP(PROPERTIES[[#This Row],[VEHIDCODE]],CONTROL[VEHIDCODE],CONTROL[ENGLISH])</f>
        <v>Alstom AGV</v>
      </c>
      <c r="C552" t="b">
        <v>1</v>
      </c>
      <c r="AC552" s="2"/>
      <c r="AD552" s="2" t="b">
        <f>LEN(_xlfn.CONCAT(TRACK_TYPES[[#This Row],[TRACK_TYPE_STANDARD_GAUGE_RAILTYPE_OHLE]:[TRACK_TYPE_MTRO]]))&gt;0</f>
        <v>1</v>
      </c>
      <c r="AE552" s="38" t="b" cm="1">
        <f t="array" ref="AE552">IFERROR(_xlfn.BYROW(TRACK_TYPES[[#This Row],[TRACK_TYPE_STANDARD_GAUGE_RAILTYPE_OHLE]:[TRACK_TYPE_STANDARD_GAUGE_RAILTYPE_NONE]],_xlfn.LAMBDA(_xlpm.r,OR(_xlpm.r))),FALSE)</f>
        <v>1</v>
      </c>
      <c r="AF552" s="38" t="b" cm="1">
        <f t="array" ref="AF552">IFERROR(_xlfn.BYROW(TRACK_TYPES[[#This Row],[TRACK_TYPE_NARROW_GAUGE_RAILTYPE_OHLE]:[TRACK_TYPE_NARROW_GAUGE_RAILTYPE_NONE]],_xlfn.LAMBDA(_xlpm.r,OR(_xlpm.r))),FALSE)</f>
        <v>0</v>
      </c>
      <c r="AG552" s="38" t="b" cm="1">
        <f t="array" ref="AG552">IFERROR(_xlfn.BYROW(TRACK_TYPES[[#This Row],[TRACK_TYPE_BROAD_GAUGE_RAILTYPE_OHLE]:[TRACK_TYPE_BROAD_GAUGE_RAILTYPE_NONE]],_xlfn.LAMBDA(_xlpm.r,OR(_xlpm.r))),FALSE)</f>
        <v>0</v>
      </c>
      <c r="AH5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2"/>
      <c r="AQ552"/>
      <c r="AR552"/>
    </row>
    <row r="553" spans="1:44" x14ac:dyDescent="0.35">
      <c r="A553" s="2" t="s">
        <v>3185</v>
      </c>
      <c r="B553" s="40" t="str">
        <f>_xlfn.XLOOKUP(PROPERTIES[[#This Row],[VEHIDCODE]],CONTROL[VEHIDCODE],CONTROL[ENGLISH])</f>
        <v>Alstom Avelia Horizon</v>
      </c>
      <c r="C553" t="b">
        <v>1</v>
      </c>
      <c r="AC553" s="2"/>
      <c r="AD553" s="2" t="b">
        <f>LEN(_xlfn.CONCAT(TRACK_TYPES[[#This Row],[TRACK_TYPE_STANDARD_GAUGE_RAILTYPE_OHLE]:[TRACK_TYPE_MTRO]]))&gt;0</f>
        <v>1</v>
      </c>
      <c r="AE553" s="38" t="b" cm="1">
        <f t="array" ref="AE553">IFERROR(_xlfn.BYROW(TRACK_TYPES[[#This Row],[TRACK_TYPE_STANDARD_GAUGE_RAILTYPE_OHLE]:[TRACK_TYPE_STANDARD_GAUGE_RAILTYPE_NONE]],_xlfn.LAMBDA(_xlpm.r,OR(_xlpm.r))),FALSE)</f>
        <v>1</v>
      </c>
      <c r="AF553" s="38" t="b" cm="1">
        <f t="array" ref="AF553">IFERROR(_xlfn.BYROW(TRACK_TYPES[[#This Row],[TRACK_TYPE_NARROW_GAUGE_RAILTYPE_OHLE]:[TRACK_TYPE_NARROW_GAUGE_RAILTYPE_NONE]],_xlfn.LAMBDA(_xlpm.r,OR(_xlpm.r))),FALSE)</f>
        <v>0</v>
      </c>
      <c r="AG553" s="38" t="b" cm="1">
        <f t="array" ref="AG553">IFERROR(_xlfn.BYROW(TRACK_TYPES[[#This Row],[TRACK_TYPE_BROAD_GAUGE_RAILTYPE_OHLE]:[TRACK_TYPE_BROAD_GAUGE_RAILTYPE_NONE]],_xlfn.LAMBDA(_xlpm.r,OR(_xlpm.r))),FALSE)</f>
        <v>0</v>
      </c>
      <c r="AH5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3"/>
      <c r="AQ553"/>
      <c r="AR553"/>
    </row>
    <row r="554" spans="1:44" x14ac:dyDescent="0.35">
      <c r="A554" s="2" t="s">
        <v>3186</v>
      </c>
      <c r="B554" s="40" t="str">
        <f>_xlfn.XLOOKUP(PROPERTIES[[#This Row],[VEHIDCODE]],CONTROL[VEHIDCODE],CONTROL[ENGLISH])</f>
        <v>AnsaldoBreda V250 'Albatros'</v>
      </c>
      <c r="D554" t="b">
        <v>1</v>
      </c>
      <c r="E554" t="b">
        <v>1</v>
      </c>
      <c r="F554" t="b">
        <v>1</v>
      </c>
      <c r="AC554" s="2"/>
      <c r="AD554" s="2" t="b">
        <f>LEN(_xlfn.CONCAT(TRACK_TYPES[[#This Row],[TRACK_TYPE_STANDARD_GAUGE_RAILTYPE_OHLE]:[TRACK_TYPE_MTRO]]))&gt;0</f>
        <v>1</v>
      </c>
      <c r="AE554" s="38" t="b" cm="1">
        <f t="array" ref="AE554">IFERROR(_xlfn.BYROW(TRACK_TYPES[[#This Row],[TRACK_TYPE_STANDARD_GAUGE_RAILTYPE_OHLE]:[TRACK_TYPE_STANDARD_GAUGE_RAILTYPE_NONE]],_xlfn.LAMBDA(_xlpm.r,OR(_xlpm.r))),FALSE)</f>
        <v>1</v>
      </c>
      <c r="AF554" s="38" t="b" cm="1">
        <f t="array" ref="AF554">IFERROR(_xlfn.BYROW(TRACK_TYPES[[#This Row],[TRACK_TYPE_NARROW_GAUGE_RAILTYPE_OHLE]:[TRACK_TYPE_NARROW_GAUGE_RAILTYPE_NONE]],_xlfn.LAMBDA(_xlpm.r,OR(_xlpm.r))),FALSE)</f>
        <v>0</v>
      </c>
      <c r="AG554" s="38" t="b" cm="1">
        <f t="array" ref="AG554">IFERROR(_xlfn.BYROW(TRACK_TYPES[[#This Row],[TRACK_TYPE_BROAD_GAUGE_RAILTYPE_OHLE]:[TRACK_TYPE_BROAD_GAUGE_RAILTYPE_NONE]],_xlfn.LAMBDA(_xlpm.r,OR(_xlpm.r))),FALSE)</f>
        <v>0</v>
      </c>
      <c r="AH5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4"/>
      <c r="AQ554"/>
      <c r="AR554"/>
    </row>
    <row r="555" spans="1:44" x14ac:dyDescent="0.35">
      <c r="A555" s="2" t="s">
        <v>3187</v>
      </c>
      <c r="B555" s="40" t="str">
        <f>_xlfn.XLOOKUP(PROPERTIES[[#This Row],[VEHIDCODE]],CONTROL[VEHIDCODE],CONTROL[ENGLISH])</f>
        <v>NS 4800 HSA 'Fyra'</v>
      </c>
      <c r="C555" t="b">
        <v>1</v>
      </c>
      <c r="AC555" s="2"/>
      <c r="AD555" s="2" t="b">
        <f>LEN(_xlfn.CONCAT(TRACK_TYPES[[#This Row],[TRACK_TYPE_STANDARD_GAUGE_RAILTYPE_OHLE]:[TRACK_TYPE_MTRO]]))&gt;0</f>
        <v>1</v>
      </c>
      <c r="AE555" s="38" t="b" cm="1">
        <f t="array" ref="AE555">IFERROR(_xlfn.BYROW(TRACK_TYPES[[#This Row],[TRACK_TYPE_STANDARD_GAUGE_RAILTYPE_OHLE]:[TRACK_TYPE_STANDARD_GAUGE_RAILTYPE_NONE]],_xlfn.LAMBDA(_xlpm.r,OR(_xlpm.r))),FALSE)</f>
        <v>1</v>
      </c>
      <c r="AF555" s="38" t="b" cm="1">
        <f t="array" ref="AF555">IFERROR(_xlfn.BYROW(TRACK_TYPES[[#This Row],[TRACK_TYPE_NARROW_GAUGE_RAILTYPE_OHLE]:[TRACK_TYPE_NARROW_GAUGE_RAILTYPE_NONE]],_xlfn.LAMBDA(_xlpm.r,OR(_xlpm.r))),FALSE)</f>
        <v>0</v>
      </c>
      <c r="AG555" s="38" t="b" cm="1">
        <f t="array" ref="AG555">IFERROR(_xlfn.BYROW(TRACK_TYPES[[#This Row],[TRACK_TYPE_BROAD_GAUGE_RAILTYPE_OHLE]:[TRACK_TYPE_BROAD_GAUGE_RAILTYPE_NONE]],_xlfn.LAMBDA(_xlpm.r,OR(_xlpm.r))),FALSE)</f>
        <v>0</v>
      </c>
      <c r="AH5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5"/>
      <c r="AQ555"/>
      <c r="AR555"/>
    </row>
    <row r="556" spans="1:44" x14ac:dyDescent="0.35">
      <c r="A556" s="2" t="s">
        <v>3188</v>
      </c>
      <c r="B556" s="40" t="str">
        <f>_xlfn.XLOOKUP(PROPERTIES[[#This Row],[VEHIDCODE]],CONTROL[VEHIDCODE],CONTROL[ENGLISH])</f>
        <v>SIG Rae TEE II</v>
      </c>
      <c r="C556" t="b">
        <v>1</v>
      </c>
      <c r="AC556" s="2"/>
      <c r="AD556" s="2" t="b">
        <f>LEN(_xlfn.CONCAT(TRACK_TYPES[[#This Row],[TRACK_TYPE_STANDARD_GAUGE_RAILTYPE_OHLE]:[TRACK_TYPE_MTRO]]))&gt;0</f>
        <v>1</v>
      </c>
      <c r="AE556" s="38" t="b" cm="1">
        <f t="array" ref="AE556">IFERROR(_xlfn.BYROW(TRACK_TYPES[[#This Row],[TRACK_TYPE_STANDARD_GAUGE_RAILTYPE_OHLE]:[TRACK_TYPE_STANDARD_GAUGE_RAILTYPE_NONE]],_xlfn.LAMBDA(_xlpm.r,OR(_xlpm.r))),FALSE)</f>
        <v>1</v>
      </c>
      <c r="AF556" s="38" t="b" cm="1">
        <f t="array" ref="AF556">IFERROR(_xlfn.BYROW(TRACK_TYPES[[#This Row],[TRACK_TYPE_NARROW_GAUGE_RAILTYPE_OHLE]:[TRACK_TYPE_NARROW_GAUGE_RAILTYPE_NONE]],_xlfn.LAMBDA(_xlpm.r,OR(_xlpm.r))),FALSE)</f>
        <v>0</v>
      </c>
      <c r="AG556" s="38" t="b" cm="1">
        <f t="array" ref="AG556">IFERROR(_xlfn.BYROW(TRACK_TYPES[[#This Row],[TRACK_TYPE_BROAD_GAUGE_RAILTYPE_OHLE]:[TRACK_TYPE_BROAD_GAUGE_RAILTYPE_NONE]],_xlfn.LAMBDA(_xlpm.r,OR(_xlpm.r))),FALSE)</f>
        <v>0</v>
      </c>
      <c r="AH5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6"/>
      <c r="AQ556"/>
      <c r="AR556"/>
    </row>
    <row r="557" spans="1:44" x14ac:dyDescent="0.35">
      <c r="A557" s="2" t="s">
        <v>3189</v>
      </c>
      <c r="B557" s="40" t="str">
        <f>_xlfn.XLOOKUP(PROPERTIES[[#This Row],[VEHIDCODE]],CONTROL[VEHIDCODE],CONTROL[ENGLISH])</f>
        <v>Pullman Erie Lackawanna 2500 Series</v>
      </c>
      <c r="F557" t="b">
        <v>1</v>
      </c>
      <c r="AC557" s="2"/>
      <c r="AD557" s="2" t="b">
        <f>LEN(_xlfn.CONCAT(TRACK_TYPES[[#This Row],[TRACK_TYPE_STANDARD_GAUGE_RAILTYPE_OHLE]:[TRACK_TYPE_MTRO]]))&gt;0</f>
        <v>1</v>
      </c>
      <c r="AE557" s="38" t="b" cm="1">
        <f t="array" ref="AE557">IFERROR(_xlfn.BYROW(TRACK_TYPES[[#This Row],[TRACK_TYPE_STANDARD_GAUGE_RAILTYPE_OHLE]:[TRACK_TYPE_STANDARD_GAUGE_RAILTYPE_NONE]],_xlfn.LAMBDA(_xlpm.r,OR(_xlpm.r))),FALSE)</f>
        <v>1</v>
      </c>
      <c r="AF557" s="38" t="b" cm="1">
        <f t="array" ref="AF557">IFERROR(_xlfn.BYROW(TRACK_TYPES[[#This Row],[TRACK_TYPE_NARROW_GAUGE_RAILTYPE_OHLE]:[TRACK_TYPE_NARROW_GAUGE_RAILTYPE_NONE]],_xlfn.LAMBDA(_xlpm.r,OR(_xlpm.r))),FALSE)</f>
        <v>0</v>
      </c>
      <c r="AG557" s="38" t="b" cm="1">
        <f t="array" ref="AG557">IFERROR(_xlfn.BYROW(TRACK_TYPES[[#This Row],[TRACK_TYPE_BROAD_GAUGE_RAILTYPE_OHLE]:[TRACK_TYPE_BROAD_GAUGE_RAILTYPE_NONE]],_xlfn.LAMBDA(_xlpm.r,OR(_xlpm.r))),FALSE)</f>
        <v>0</v>
      </c>
      <c r="AH5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7"/>
      <c r="AQ557"/>
      <c r="AR557"/>
    </row>
    <row r="558" spans="1:44" x14ac:dyDescent="0.35">
      <c r="A558" s="2" t="s">
        <v>3190</v>
      </c>
      <c r="B558" s="40" t="str">
        <f>_xlfn.XLOOKUP(PROPERTIES[[#This Row],[VEHIDCODE]],CONTROL[VEHIDCODE],CONTROL[ENGLISH])</f>
        <v>Alsthom TGV 23000</v>
      </c>
      <c r="D558" t="b">
        <v>1</v>
      </c>
      <c r="G558" t="b">
        <v>1</v>
      </c>
      <c r="AC558" s="2"/>
      <c r="AD558" s="2" t="b">
        <f>LEN(_xlfn.CONCAT(TRACK_TYPES[[#This Row],[TRACK_TYPE_STANDARD_GAUGE_RAILTYPE_OHLE]:[TRACK_TYPE_MTRO]]))&gt;0</f>
        <v>1</v>
      </c>
      <c r="AE558" s="38" t="b" cm="1">
        <f t="array" ref="AE558">IFERROR(_xlfn.BYROW(TRACK_TYPES[[#This Row],[TRACK_TYPE_STANDARD_GAUGE_RAILTYPE_OHLE]:[TRACK_TYPE_STANDARD_GAUGE_RAILTYPE_NONE]],_xlfn.LAMBDA(_xlpm.r,OR(_xlpm.r))),FALSE)</f>
        <v>1</v>
      </c>
      <c r="AF558" s="38" t="b" cm="1">
        <f t="array" ref="AF558">IFERROR(_xlfn.BYROW(TRACK_TYPES[[#This Row],[TRACK_TYPE_NARROW_GAUGE_RAILTYPE_OHLE]:[TRACK_TYPE_NARROW_GAUGE_RAILTYPE_NONE]],_xlfn.LAMBDA(_xlpm.r,OR(_xlpm.r))),FALSE)</f>
        <v>0</v>
      </c>
      <c r="AG558" s="38" t="b" cm="1">
        <f t="array" ref="AG558">IFERROR(_xlfn.BYROW(TRACK_TYPES[[#This Row],[TRACK_TYPE_BROAD_GAUGE_RAILTYPE_OHLE]:[TRACK_TYPE_BROAD_GAUGE_RAILTYPE_NONE]],_xlfn.LAMBDA(_xlpm.r,OR(_xlpm.r))),FALSE)</f>
        <v>0</v>
      </c>
      <c r="AH5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8"/>
      <c r="AQ558"/>
      <c r="AR558"/>
    </row>
    <row r="559" spans="1:44" x14ac:dyDescent="0.35">
      <c r="A559" s="2" t="s">
        <v>3191</v>
      </c>
      <c r="B559" s="40" t="str">
        <f>_xlfn.XLOOKUP(PROPERTIES[[#This Row],[VEHIDCODE]],CONTROL[VEHIDCODE],CONTROL[ENGLISH])</f>
        <v>Alsthom TGV Duplex</v>
      </c>
      <c r="D559" t="b">
        <v>1</v>
      </c>
      <c r="G559" t="b">
        <v>1</v>
      </c>
      <c r="AC559" s="2"/>
      <c r="AD559" s="2" t="b">
        <f>LEN(_xlfn.CONCAT(TRACK_TYPES[[#This Row],[TRACK_TYPE_STANDARD_GAUGE_RAILTYPE_OHLE]:[TRACK_TYPE_MTRO]]))&gt;0</f>
        <v>1</v>
      </c>
      <c r="AE559" s="38" t="b" cm="1">
        <f t="array" ref="AE559">IFERROR(_xlfn.BYROW(TRACK_TYPES[[#This Row],[TRACK_TYPE_STANDARD_GAUGE_RAILTYPE_OHLE]:[TRACK_TYPE_STANDARD_GAUGE_RAILTYPE_NONE]],_xlfn.LAMBDA(_xlpm.r,OR(_xlpm.r))),FALSE)</f>
        <v>1</v>
      </c>
      <c r="AF559" s="38" t="b" cm="1">
        <f t="array" ref="AF559">IFERROR(_xlfn.BYROW(TRACK_TYPES[[#This Row],[TRACK_TYPE_NARROW_GAUGE_RAILTYPE_OHLE]:[TRACK_TYPE_NARROW_GAUGE_RAILTYPE_NONE]],_xlfn.LAMBDA(_xlpm.r,OR(_xlpm.r))),FALSE)</f>
        <v>0</v>
      </c>
      <c r="AG559" s="38" t="b" cm="1">
        <f t="array" ref="AG559">IFERROR(_xlfn.BYROW(TRACK_TYPES[[#This Row],[TRACK_TYPE_BROAD_GAUGE_RAILTYPE_OHLE]:[TRACK_TYPE_BROAD_GAUGE_RAILTYPE_NONE]],_xlfn.LAMBDA(_xlpm.r,OR(_xlpm.r))),FALSE)</f>
        <v>0</v>
      </c>
      <c r="AH5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9"/>
      <c r="AQ559"/>
      <c r="AR559"/>
    </row>
    <row r="560" spans="1:44" x14ac:dyDescent="0.35">
      <c r="A560" s="2" t="s">
        <v>3192</v>
      </c>
      <c r="B560" s="40" t="str">
        <f>_xlfn.XLOOKUP(PROPERTIES[[#This Row],[VEHIDCODE]],CONTROL[VEHIDCODE],CONTROL[ENGLISH])</f>
        <v>GEC-Alsthom Thalys PBKA</v>
      </c>
      <c r="C560" t="b">
        <v>1</v>
      </c>
      <c r="AC560" s="2"/>
      <c r="AD560" s="2" t="b">
        <f>LEN(_xlfn.CONCAT(TRACK_TYPES[[#This Row],[TRACK_TYPE_STANDARD_GAUGE_RAILTYPE_OHLE]:[TRACK_TYPE_MTRO]]))&gt;0</f>
        <v>1</v>
      </c>
      <c r="AE560" s="38" t="b" cm="1">
        <f t="array" ref="AE560">IFERROR(_xlfn.BYROW(TRACK_TYPES[[#This Row],[TRACK_TYPE_STANDARD_GAUGE_RAILTYPE_OHLE]:[TRACK_TYPE_STANDARD_GAUGE_RAILTYPE_NONE]],_xlfn.LAMBDA(_xlpm.r,OR(_xlpm.r))),FALSE)</f>
        <v>1</v>
      </c>
      <c r="AF560" s="38" t="b" cm="1">
        <f t="array" ref="AF560">IFERROR(_xlfn.BYROW(TRACK_TYPES[[#This Row],[TRACK_TYPE_NARROW_GAUGE_RAILTYPE_OHLE]:[TRACK_TYPE_NARROW_GAUGE_RAILTYPE_NONE]],_xlfn.LAMBDA(_xlpm.r,OR(_xlpm.r))),FALSE)</f>
        <v>0</v>
      </c>
      <c r="AG560" s="38" t="b" cm="1">
        <f t="array" ref="AG560">IFERROR(_xlfn.BYROW(TRACK_TYPES[[#This Row],[TRACK_TYPE_BROAD_GAUGE_RAILTYPE_OHLE]:[TRACK_TYPE_BROAD_GAUGE_RAILTYPE_NONE]],_xlfn.LAMBDA(_xlpm.r,OR(_xlpm.r))),FALSE)</f>
        <v>0</v>
      </c>
      <c r="AH5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0"/>
      <c r="AQ560"/>
      <c r="AR560"/>
    </row>
    <row r="561" spans="1:44" x14ac:dyDescent="0.35">
      <c r="A561" s="2" t="s">
        <v>3193</v>
      </c>
      <c r="B561" s="40" t="str">
        <f>_xlfn.XLOOKUP(PROPERTIES[[#This Row],[VEHIDCODE]],CONTROL[VEHIDCODE],CONTROL[ENGLISH])</f>
        <v>Alsthom 'Pendolino' 680</v>
      </c>
      <c r="D561" t="b">
        <v>1</v>
      </c>
      <c r="E561" t="b">
        <v>1</v>
      </c>
      <c r="F561" t="b">
        <v>1</v>
      </c>
      <c r="S561" t="b">
        <v>1</v>
      </c>
      <c r="AC561" s="2"/>
      <c r="AD561" s="2" t="b">
        <f>LEN(_xlfn.CONCAT(TRACK_TYPES[[#This Row],[TRACK_TYPE_STANDARD_GAUGE_RAILTYPE_OHLE]:[TRACK_TYPE_MTRO]]))&gt;0</f>
        <v>1</v>
      </c>
      <c r="AE561" s="38" t="b" cm="1">
        <f t="array" ref="AE561">IFERROR(_xlfn.BYROW(TRACK_TYPES[[#This Row],[TRACK_TYPE_STANDARD_GAUGE_RAILTYPE_OHLE]:[TRACK_TYPE_STANDARD_GAUGE_RAILTYPE_NONE]],_xlfn.LAMBDA(_xlpm.r,OR(_xlpm.r))),FALSE)</f>
        <v>1</v>
      </c>
      <c r="AF561" s="38" t="b" cm="1">
        <f t="array" ref="AF561">IFERROR(_xlfn.BYROW(TRACK_TYPES[[#This Row],[TRACK_TYPE_NARROW_GAUGE_RAILTYPE_OHLE]:[TRACK_TYPE_NARROW_GAUGE_RAILTYPE_NONE]],_xlfn.LAMBDA(_xlpm.r,OR(_xlpm.r))),FALSE)</f>
        <v>0</v>
      </c>
      <c r="AG561" s="38" t="b" cm="1">
        <f t="array" ref="AG561">IFERROR(_xlfn.BYROW(TRACK_TYPES[[#This Row],[TRACK_TYPE_BROAD_GAUGE_RAILTYPE_OHLE]:[TRACK_TYPE_BROAD_GAUGE_RAILTYPE_NONE]],_xlfn.LAMBDA(_xlpm.r,OR(_xlpm.r))),FALSE)</f>
        <v>1</v>
      </c>
      <c r="AH5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1"/>
      <c r="AQ561"/>
      <c r="AR561"/>
    </row>
    <row r="562" spans="1:44" x14ac:dyDescent="0.35">
      <c r="A562" s="2" t="s">
        <v>3194</v>
      </c>
      <c r="B562" s="40" t="str">
        <f>_xlfn.XLOOKUP(PROPERTIES[[#This Row],[VEHIDCODE]],CONTROL[VEHIDCODE],CONTROL[ENGLISH])</f>
        <v>CAF/Alstom Class 120</v>
      </c>
      <c r="D562" t="b">
        <v>1</v>
      </c>
      <c r="F562" t="b">
        <v>1</v>
      </c>
      <c r="T562" t="b">
        <v>1</v>
      </c>
      <c r="V562" t="b">
        <v>1</v>
      </c>
      <c r="AC562" s="2"/>
      <c r="AD562" s="2" t="b">
        <f>LEN(_xlfn.CONCAT(TRACK_TYPES[[#This Row],[TRACK_TYPE_STANDARD_GAUGE_RAILTYPE_OHLE]:[TRACK_TYPE_MTRO]]))&gt;0</f>
        <v>1</v>
      </c>
      <c r="AE562" s="38" t="b" cm="1">
        <f t="array" ref="AE562">IFERROR(_xlfn.BYROW(TRACK_TYPES[[#This Row],[TRACK_TYPE_STANDARD_GAUGE_RAILTYPE_OHLE]:[TRACK_TYPE_STANDARD_GAUGE_RAILTYPE_NONE]],_xlfn.LAMBDA(_xlpm.r,OR(_xlpm.r))),FALSE)</f>
        <v>1</v>
      </c>
      <c r="AF562" s="38" t="b" cm="1">
        <f t="array" ref="AF562">IFERROR(_xlfn.BYROW(TRACK_TYPES[[#This Row],[TRACK_TYPE_NARROW_GAUGE_RAILTYPE_OHLE]:[TRACK_TYPE_NARROW_GAUGE_RAILTYPE_NONE]],_xlfn.LAMBDA(_xlpm.r,OR(_xlpm.r))),FALSE)</f>
        <v>0</v>
      </c>
      <c r="AG562" s="38" t="b" cm="1">
        <f t="array" ref="AG562">IFERROR(_xlfn.BYROW(TRACK_TYPES[[#This Row],[TRACK_TYPE_BROAD_GAUGE_RAILTYPE_OHLE]:[TRACK_TYPE_BROAD_GAUGE_RAILTYPE_NONE]],_xlfn.LAMBDA(_xlpm.r,OR(_xlpm.r))),FALSE)</f>
        <v>1</v>
      </c>
      <c r="AH5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2"/>
      <c r="AQ562"/>
      <c r="AR562"/>
    </row>
    <row r="563" spans="1:44" x14ac:dyDescent="0.35">
      <c r="A563" s="2" t="s">
        <v>3195</v>
      </c>
      <c r="B563" s="40" t="str">
        <f>_xlfn.XLOOKUP(PROPERTIES[[#This Row],[VEHIDCODE]],CONTROL[VEHIDCODE],CONTROL[ENGLISH])</f>
        <v>Bombarier/Alstom Acela Express</v>
      </c>
      <c r="D563" t="b">
        <v>1</v>
      </c>
      <c r="E563" t="b">
        <v>1</v>
      </c>
      <c r="AC563" s="2"/>
      <c r="AD563" s="2" t="b">
        <f>LEN(_xlfn.CONCAT(TRACK_TYPES[[#This Row],[TRACK_TYPE_STANDARD_GAUGE_RAILTYPE_OHLE]:[TRACK_TYPE_MTRO]]))&gt;0</f>
        <v>1</v>
      </c>
      <c r="AE563" s="38" t="b" cm="1">
        <f t="array" ref="AE563">IFERROR(_xlfn.BYROW(TRACK_TYPES[[#This Row],[TRACK_TYPE_STANDARD_GAUGE_RAILTYPE_OHLE]:[TRACK_TYPE_STANDARD_GAUGE_RAILTYPE_NONE]],_xlfn.LAMBDA(_xlpm.r,OR(_xlpm.r))),FALSE)</f>
        <v>1</v>
      </c>
      <c r="AF563" s="38" t="b" cm="1">
        <f t="array" ref="AF563">IFERROR(_xlfn.BYROW(TRACK_TYPES[[#This Row],[TRACK_TYPE_NARROW_GAUGE_RAILTYPE_OHLE]:[TRACK_TYPE_NARROW_GAUGE_RAILTYPE_NONE]],_xlfn.LAMBDA(_xlpm.r,OR(_xlpm.r))),FALSE)</f>
        <v>0</v>
      </c>
      <c r="AG563" s="38" t="b" cm="1">
        <f t="array" ref="AG563">IFERROR(_xlfn.BYROW(TRACK_TYPES[[#This Row],[TRACK_TYPE_BROAD_GAUGE_RAILTYPE_OHLE]:[TRACK_TYPE_BROAD_GAUGE_RAILTYPE_NONE]],_xlfn.LAMBDA(_xlpm.r,OR(_xlpm.r))),FALSE)</f>
        <v>0</v>
      </c>
      <c r="AH5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3"/>
      <c r="AQ563"/>
      <c r="AR563"/>
    </row>
    <row r="564" spans="1:44" x14ac:dyDescent="0.35">
      <c r="A564" s="2" t="s">
        <v>3196</v>
      </c>
      <c r="B564" s="40" t="str">
        <f>_xlfn.XLOOKUP(PROPERTIES[[#This Row],[VEHIDCODE]],CONTROL[VEHIDCODE],CONTROL[ENGLISH])</f>
        <v>Brooklyn Union Gate 1300</v>
      </c>
      <c r="E564" t="b">
        <v>1</v>
      </c>
      <c r="H564" t="b">
        <v>1</v>
      </c>
      <c r="AC564" s="2"/>
      <c r="AD564" s="2" t="b">
        <f>LEN(_xlfn.CONCAT(TRACK_TYPES[[#This Row],[TRACK_TYPE_STANDARD_GAUGE_RAILTYPE_OHLE]:[TRACK_TYPE_MTRO]]))&gt;0</f>
        <v>1</v>
      </c>
      <c r="AE564" s="38" t="b" cm="1">
        <f t="array" ref="AE564">IFERROR(_xlfn.BYROW(TRACK_TYPES[[#This Row],[TRACK_TYPE_STANDARD_GAUGE_RAILTYPE_OHLE]:[TRACK_TYPE_STANDARD_GAUGE_RAILTYPE_NONE]],_xlfn.LAMBDA(_xlpm.r,OR(_xlpm.r))),FALSE)</f>
        <v>1</v>
      </c>
      <c r="AF564" s="38" t="b" cm="1">
        <f t="array" ref="AF564">IFERROR(_xlfn.BYROW(TRACK_TYPES[[#This Row],[TRACK_TYPE_NARROW_GAUGE_RAILTYPE_OHLE]:[TRACK_TYPE_NARROW_GAUGE_RAILTYPE_NONE]],_xlfn.LAMBDA(_xlpm.r,OR(_xlpm.r))),FALSE)</f>
        <v>0</v>
      </c>
      <c r="AG564" s="38" t="b" cm="1">
        <f t="array" ref="AG564">IFERROR(_xlfn.BYROW(TRACK_TYPES[[#This Row],[TRACK_TYPE_BROAD_GAUGE_RAILTYPE_OHLE]:[TRACK_TYPE_BROAD_GAUGE_RAILTYPE_NONE]],_xlfn.LAMBDA(_xlpm.r,OR(_xlpm.r))),FALSE)</f>
        <v>0</v>
      </c>
      <c r="AH5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4"/>
      <c r="AQ564"/>
      <c r="AR564"/>
    </row>
    <row r="565" spans="1:44" x14ac:dyDescent="0.35">
      <c r="A565" s="2" t="s">
        <v>3197</v>
      </c>
      <c r="B565" s="40" t="str">
        <f>_xlfn.XLOOKUP(PROPERTIES[[#This Row],[VEHIDCODE]],CONTROL[VEHIDCODE],CONTROL[ENGLISH])</f>
        <v>Siemens &amp; Halske Budapest 1894 Stock</v>
      </c>
      <c r="H565" t="b">
        <v>1</v>
      </c>
      <c r="AC565" s="2"/>
      <c r="AD565" s="2" t="b">
        <f>LEN(_xlfn.CONCAT(TRACK_TYPES[[#This Row],[TRACK_TYPE_STANDARD_GAUGE_RAILTYPE_OHLE]:[TRACK_TYPE_MTRO]]))&gt;0</f>
        <v>1</v>
      </c>
      <c r="AE565" s="38" t="b" cm="1">
        <f t="array" ref="AE565">IFERROR(_xlfn.BYROW(TRACK_TYPES[[#This Row],[TRACK_TYPE_STANDARD_GAUGE_RAILTYPE_OHLE]:[TRACK_TYPE_STANDARD_GAUGE_RAILTYPE_NONE]],_xlfn.LAMBDA(_xlpm.r,OR(_xlpm.r))),FALSE)</f>
        <v>1</v>
      </c>
      <c r="AF565" s="38" t="b" cm="1">
        <f t="array" ref="AF565">IFERROR(_xlfn.BYROW(TRACK_TYPES[[#This Row],[TRACK_TYPE_NARROW_GAUGE_RAILTYPE_OHLE]:[TRACK_TYPE_NARROW_GAUGE_RAILTYPE_NONE]],_xlfn.LAMBDA(_xlpm.r,OR(_xlpm.r))),FALSE)</f>
        <v>0</v>
      </c>
      <c r="AG565" s="38" t="b" cm="1">
        <f t="array" ref="AG565">IFERROR(_xlfn.BYROW(TRACK_TYPES[[#This Row],[TRACK_TYPE_BROAD_GAUGE_RAILTYPE_OHLE]:[TRACK_TYPE_BROAD_GAUGE_RAILTYPE_NONE]],_xlfn.LAMBDA(_xlpm.r,OR(_xlpm.r))),FALSE)</f>
        <v>0</v>
      </c>
      <c r="AH5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5"/>
      <c r="AQ565"/>
      <c r="AR565"/>
    </row>
    <row r="566" spans="1:44" x14ac:dyDescent="0.35">
      <c r="A566" s="2" t="s">
        <v>3198</v>
      </c>
      <c r="B566" s="40" t="str">
        <f>_xlfn.XLOOKUP(PROPERTIES[[#This Row],[VEHIDCODE]],CONTROL[VEHIDCODE],CONTROL[ENGLISH])</f>
        <v>Chicago L Northwest Elevated 1907 Stock</v>
      </c>
      <c r="H566" t="b">
        <v>1</v>
      </c>
      <c r="AC566" s="2"/>
      <c r="AD566" s="2" t="b">
        <f>LEN(_xlfn.CONCAT(TRACK_TYPES[[#This Row],[TRACK_TYPE_STANDARD_GAUGE_RAILTYPE_OHLE]:[TRACK_TYPE_MTRO]]))&gt;0</f>
        <v>1</v>
      </c>
      <c r="AE566" s="38" t="b" cm="1">
        <f t="array" ref="AE566">IFERROR(_xlfn.BYROW(TRACK_TYPES[[#This Row],[TRACK_TYPE_STANDARD_GAUGE_RAILTYPE_OHLE]:[TRACK_TYPE_STANDARD_GAUGE_RAILTYPE_NONE]],_xlfn.LAMBDA(_xlpm.r,OR(_xlpm.r))),FALSE)</f>
        <v>1</v>
      </c>
      <c r="AF566" s="38" t="b" cm="1">
        <f t="array" ref="AF566">IFERROR(_xlfn.BYROW(TRACK_TYPES[[#This Row],[TRACK_TYPE_NARROW_GAUGE_RAILTYPE_OHLE]:[TRACK_TYPE_NARROW_GAUGE_RAILTYPE_NONE]],_xlfn.LAMBDA(_xlpm.r,OR(_xlpm.r))),FALSE)</f>
        <v>0</v>
      </c>
      <c r="AG566" s="38" t="b" cm="1">
        <f t="array" ref="AG566">IFERROR(_xlfn.BYROW(TRACK_TYPES[[#This Row],[TRACK_TYPE_BROAD_GAUGE_RAILTYPE_OHLE]:[TRACK_TYPE_BROAD_GAUGE_RAILTYPE_NONE]],_xlfn.LAMBDA(_xlpm.r,OR(_xlpm.r))),FALSE)</f>
        <v>0</v>
      </c>
      <c r="AH5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6"/>
      <c r="AQ566"/>
      <c r="AR566"/>
    </row>
    <row r="567" spans="1:44" x14ac:dyDescent="0.35">
      <c r="A567" s="2" t="s">
        <v>3199</v>
      </c>
      <c r="B567" s="40" t="str">
        <f>_xlfn.XLOOKUP(PROPERTIES[[#This Row],[VEHIDCODE]],CONTROL[VEHIDCODE],CONTROL[ENGLISH])</f>
        <v>Berlin U-Bahn C II</v>
      </c>
      <c r="H567" t="b">
        <v>1</v>
      </c>
      <c r="AC567" s="2"/>
      <c r="AD567" s="2" t="b">
        <f>LEN(_xlfn.CONCAT(TRACK_TYPES[[#This Row],[TRACK_TYPE_STANDARD_GAUGE_RAILTYPE_OHLE]:[TRACK_TYPE_MTRO]]))&gt;0</f>
        <v>1</v>
      </c>
      <c r="AE567" s="38" t="b" cm="1">
        <f t="array" ref="AE567">IFERROR(_xlfn.BYROW(TRACK_TYPES[[#This Row],[TRACK_TYPE_STANDARD_GAUGE_RAILTYPE_OHLE]:[TRACK_TYPE_STANDARD_GAUGE_RAILTYPE_NONE]],_xlfn.LAMBDA(_xlpm.r,OR(_xlpm.r))),FALSE)</f>
        <v>1</v>
      </c>
      <c r="AF567" s="38" t="b" cm="1">
        <f t="array" ref="AF567">IFERROR(_xlfn.BYROW(TRACK_TYPES[[#This Row],[TRACK_TYPE_NARROW_GAUGE_RAILTYPE_OHLE]:[TRACK_TYPE_NARROW_GAUGE_RAILTYPE_NONE]],_xlfn.LAMBDA(_xlpm.r,OR(_xlpm.r))),FALSE)</f>
        <v>0</v>
      </c>
      <c r="AG567" s="38" t="b" cm="1">
        <f t="array" ref="AG567">IFERROR(_xlfn.BYROW(TRACK_TYPES[[#This Row],[TRACK_TYPE_BROAD_GAUGE_RAILTYPE_OHLE]:[TRACK_TYPE_BROAD_GAUGE_RAILTYPE_NONE]],_xlfn.LAMBDA(_xlpm.r,OR(_xlpm.r))),FALSE)</f>
        <v>0</v>
      </c>
      <c r="AH5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7"/>
      <c r="AQ567"/>
      <c r="AR567"/>
    </row>
    <row r="568" spans="1:44" x14ac:dyDescent="0.35">
      <c r="A568" s="2" t="s">
        <v>3200</v>
      </c>
      <c r="B568" s="40" t="str">
        <f>_xlfn.XLOOKUP(PROPERTIES[[#This Row],[VEHIDCODE]],CONTROL[VEHIDCODE],CONTROL[ENGLISH])</f>
        <v>ACME Corp. Turbobus</v>
      </c>
      <c r="AB568" t="b">
        <v>1</v>
      </c>
      <c r="AC568" s="2"/>
      <c r="AD568" s="2" t="b">
        <f>LEN(_xlfn.CONCAT(TRACK_TYPES[[#This Row],[TRACK_TYPE_STANDARD_GAUGE_RAILTYPE_OHLE]:[TRACK_TYPE_MTRO]]))&gt;0</f>
        <v>1</v>
      </c>
      <c r="AE568" s="38" t="b" cm="1">
        <f t="array" ref="AE568">IFERROR(_xlfn.BYROW(TRACK_TYPES[[#This Row],[TRACK_TYPE_STANDARD_GAUGE_RAILTYPE_OHLE]:[TRACK_TYPE_STANDARD_GAUGE_RAILTYPE_NONE]],_xlfn.LAMBDA(_xlpm.r,OR(_xlpm.r))),FALSE)</f>
        <v>0</v>
      </c>
      <c r="AF568" s="38" t="b" cm="1">
        <f t="array" ref="AF568">IFERROR(_xlfn.BYROW(TRACK_TYPES[[#This Row],[TRACK_TYPE_NARROW_GAUGE_RAILTYPE_OHLE]:[TRACK_TYPE_NARROW_GAUGE_RAILTYPE_NONE]],_xlfn.LAMBDA(_xlpm.r,OR(_xlpm.r))),FALSE)</f>
        <v>0</v>
      </c>
      <c r="AG568" s="38" t="b" cm="1">
        <f t="array" ref="AG568">IFERROR(_xlfn.BYROW(TRACK_TYPES[[#This Row],[TRACK_TYPE_BROAD_GAUGE_RAILTYPE_OHLE]:[TRACK_TYPE_BROAD_GAUGE_RAILTYPE_NONE]],_xlfn.LAMBDA(_xlpm.r,OR(_xlpm.r))),FALSE)</f>
        <v>0</v>
      </c>
      <c r="AH5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68"/>
      <c r="AQ568"/>
      <c r="AR568"/>
    </row>
    <row r="569" spans="1:44" x14ac:dyDescent="0.35">
      <c r="A569" s="2" t="s">
        <v>3201</v>
      </c>
      <c r="B569" s="40" t="str">
        <f>_xlfn.XLOOKUP(PROPERTIES[[#This Row],[VEHIDCODE]],CONTROL[VEHIDCODE],CONTROL[ENGLISH])</f>
        <v>Siemens EuroSprinter ES64U4M</v>
      </c>
      <c r="AB569" t="b">
        <v>1</v>
      </c>
      <c r="AC569" s="2"/>
      <c r="AD569" s="2" t="b">
        <f>LEN(_xlfn.CONCAT(TRACK_TYPES[[#This Row],[TRACK_TYPE_STANDARD_GAUGE_RAILTYPE_OHLE]:[TRACK_TYPE_MTRO]]))&gt;0</f>
        <v>1</v>
      </c>
      <c r="AE569" s="38" t="b" cm="1">
        <f t="array" ref="AE569">IFERROR(_xlfn.BYROW(TRACK_TYPES[[#This Row],[TRACK_TYPE_STANDARD_GAUGE_RAILTYPE_OHLE]:[TRACK_TYPE_STANDARD_GAUGE_RAILTYPE_NONE]],_xlfn.LAMBDA(_xlpm.r,OR(_xlpm.r))),FALSE)</f>
        <v>0</v>
      </c>
      <c r="AF569" s="38" t="b" cm="1">
        <f t="array" ref="AF569">IFERROR(_xlfn.BYROW(TRACK_TYPES[[#This Row],[TRACK_TYPE_NARROW_GAUGE_RAILTYPE_OHLE]:[TRACK_TYPE_NARROW_GAUGE_RAILTYPE_NONE]],_xlfn.LAMBDA(_xlpm.r,OR(_xlpm.r))),FALSE)</f>
        <v>0</v>
      </c>
      <c r="AG569" s="38" t="b" cm="1">
        <f t="array" ref="AG569">IFERROR(_xlfn.BYROW(TRACK_TYPES[[#This Row],[TRACK_TYPE_BROAD_GAUGE_RAILTYPE_OHLE]:[TRACK_TYPE_BROAD_GAUGE_RAILTYPE_NONE]],_xlfn.LAMBDA(_xlpm.r,OR(_xlpm.r))),FALSE)</f>
        <v>0</v>
      </c>
      <c r="AH5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69"/>
      <c r="AQ569"/>
      <c r="AR569"/>
    </row>
    <row r="570" spans="1:44" x14ac:dyDescent="0.35">
      <c r="A570" s="2" t="s">
        <v>3202</v>
      </c>
      <c r="B570" s="40" t="str">
        <f>_xlfn.XLOOKUP(PROPERTIES[[#This Row],[VEHIDCODE]],CONTROL[VEHIDCODE],CONTROL[ENGLISH])</f>
        <v>Siemens-Thyssenkrupp Transrapid</v>
      </c>
      <c r="AB570" t="b">
        <v>1</v>
      </c>
      <c r="AC570" s="2"/>
      <c r="AD570" s="2" t="b">
        <f>LEN(_xlfn.CONCAT(TRACK_TYPES[[#This Row],[TRACK_TYPE_STANDARD_GAUGE_RAILTYPE_OHLE]:[TRACK_TYPE_MTRO]]))&gt;0</f>
        <v>1</v>
      </c>
      <c r="AE570" s="38" t="b" cm="1">
        <f t="array" ref="AE570">IFERROR(_xlfn.BYROW(TRACK_TYPES[[#This Row],[TRACK_TYPE_STANDARD_GAUGE_RAILTYPE_OHLE]:[TRACK_TYPE_STANDARD_GAUGE_RAILTYPE_NONE]],_xlfn.LAMBDA(_xlpm.r,OR(_xlpm.r))),FALSE)</f>
        <v>0</v>
      </c>
      <c r="AF570" s="38" t="b" cm="1">
        <f t="array" ref="AF570">IFERROR(_xlfn.BYROW(TRACK_TYPES[[#This Row],[TRACK_TYPE_NARROW_GAUGE_RAILTYPE_OHLE]:[TRACK_TYPE_NARROW_GAUGE_RAILTYPE_NONE]],_xlfn.LAMBDA(_xlpm.r,OR(_xlpm.r))),FALSE)</f>
        <v>0</v>
      </c>
      <c r="AG570" s="38" t="b" cm="1">
        <f t="array" ref="AG570">IFERROR(_xlfn.BYROW(TRACK_TYPES[[#This Row],[TRACK_TYPE_BROAD_GAUGE_RAILTYPE_OHLE]:[TRACK_TYPE_BROAD_GAUGE_RAILTYPE_NONE]],_xlfn.LAMBDA(_xlpm.r,OR(_xlpm.r))),FALSE)</f>
        <v>0</v>
      </c>
      <c r="AH5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0"/>
      <c r="AQ570"/>
      <c r="AR570"/>
    </row>
    <row r="571" spans="1:44" x14ac:dyDescent="0.35">
      <c r="A571" s="2" t="s">
        <v>3203</v>
      </c>
      <c r="B571" s="40" t="str">
        <f>_xlfn.XLOOKUP(PROPERTIES[[#This Row],[VEHIDCODE]],CONTROL[VEHIDCODE],CONTROL[ENGLISH])</f>
        <v>Mistubishi/Nippon Sharyo MLX01-901</v>
      </c>
      <c r="AB571" t="b">
        <v>1</v>
      </c>
      <c r="AC571" s="2"/>
      <c r="AD571" s="2" t="b">
        <f>LEN(_xlfn.CONCAT(TRACK_TYPES[[#This Row],[TRACK_TYPE_STANDARD_GAUGE_RAILTYPE_OHLE]:[TRACK_TYPE_MTRO]]))&gt;0</f>
        <v>1</v>
      </c>
      <c r="AE571" s="38" t="b" cm="1">
        <f t="array" ref="AE571">IFERROR(_xlfn.BYROW(TRACK_TYPES[[#This Row],[TRACK_TYPE_STANDARD_GAUGE_RAILTYPE_OHLE]:[TRACK_TYPE_STANDARD_GAUGE_RAILTYPE_NONE]],_xlfn.LAMBDA(_xlpm.r,OR(_xlpm.r))),FALSE)</f>
        <v>0</v>
      </c>
      <c r="AF571" s="38" t="b" cm="1">
        <f t="array" ref="AF571">IFERROR(_xlfn.BYROW(TRACK_TYPES[[#This Row],[TRACK_TYPE_NARROW_GAUGE_RAILTYPE_OHLE]:[TRACK_TYPE_NARROW_GAUGE_RAILTYPE_NONE]],_xlfn.LAMBDA(_xlpm.r,OR(_xlpm.r))),FALSE)</f>
        <v>0</v>
      </c>
      <c r="AG571" s="38" t="b" cm="1">
        <f t="array" ref="AG571">IFERROR(_xlfn.BYROW(TRACK_TYPES[[#This Row],[TRACK_TYPE_BROAD_GAUGE_RAILTYPE_OHLE]:[TRACK_TYPE_BROAD_GAUGE_RAILTYPE_NONE]],_xlfn.LAMBDA(_xlpm.r,OR(_xlpm.r))),FALSE)</f>
        <v>0</v>
      </c>
      <c r="AH5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1"/>
      <c r="AQ571"/>
      <c r="AR571"/>
    </row>
    <row r="572" spans="1:44" x14ac:dyDescent="0.35">
      <c r="A572" s="2" t="s">
        <v>227</v>
      </c>
      <c r="B572" s="40" t="str">
        <f>_xlfn.XLOOKUP(PROPERTIES[[#This Row],[VEHIDCODE]],CONTROL[VEHIDCODE],CONTROL[ENGLISH])</f>
        <v>7th Gen Boxcar [Food]</v>
      </c>
      <c r="AB572" t="b">
        <v>1</v>
      </c>
      <c r="AC572" s="2"/>
      <c r="AD572" s="2" t="b">
        <f>LEN(_xlfn.CONCAT(TRACK_TYPES[[#This Row],[TRACK_TYPE_STANDARD_GAUGE_RAILTYPE_OHLE]:[TRACK_TYPE_MTRO]]))&gt;0</f>
        <v>1</v>
      </c>
      <c r="AE572" s="38" t="b" cm="1">
        <f t="array" ref="AE572">IFERROR(_xlfn.BYROW(TRACK_TYPES[[#This Row],[TRACK_TYPE_STANDARD_GAUGE_RAILTYPE_OHLE]:[TRACK_TYPE_STANDARD_GAUGE_RAILTYPE_NONE]],_xlfn.LAMBDA(_xlpm.r,OR(_xlpm.r))),FALSE)</f>
        <v>0</v>
      </c>
      <c r="AF572" s="38" t="b" cm="1">
        <f t="array" ref="AF572">IFERROR(_xlfn.BYROW(TRACK_TYPES[[#This Row],[TRACK_TYPE_NARROW_GAUGE_RAILTYPE_OHLE]:[TRACK_TYPE_NARROW_GAUGE_RAILTYPE_NONE]],_xlfn.LAMBDA(_xlpm.r,OR(_xlpm.r))),FALSE)</f>
        <v>0</v>
      </c>
      <c r="AG572" s="38" t="b" cm="1">
        <f t="array" ref="AG572">IFERROR(_xlfn.BYROW(TRACK_TYPES[[#This Row],[TRACK_TYPE_BROAD_GAUGE_RAILTYPE_OHLE]:[TRACK_TYPE_BROAD_GAUGE_RAILTYPE_NONE]],_xlfn.LAMBDA(_xlpm.r,OR(_xlpm.r))),FALSE)</f>
        <v>0</v>
      </c>
      <c r="AH5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2"/>
      <c r="AQ572"/>
      <c r="AR572"/>
    </row>
    <row r="573" spans="1:44" x14ac:dyDescent="0.35">
      <c r="A573" s="2" t="s">
        <v>211</v>
      </c>
      <c r="B573" s="40" t="str">
        <f>_xlfn.XLOOKUP(PROPERTIES[[#This Row],[VEHIDCODE]],CONTROL[VEHIDCODE],CONTROL[ENGLISH])</f>
        <v>7th Gen Boxcar [Non-Food]</v>
      </c>
      <c r="AB573" t="b">
        <v>1</v>
      </c>
      <c r="AC573" s="2"/>
      <c r="AD573" s="2" t="b">
        <f>LEN(_xlfn.CONCAT(TRACK_TYPES[[#This Row],[TRACK_TYPE_STANDARD_GAUGE_RAILTYPE_OHLE]:[TRACK_TYPE_MTRO]]))&gt;0</f>
        <v>1</v>
      </c>
      <c r="AE573" s="38" t="b" cm="1">
        <f t="array" ref="AE573">IFERROR(_xlfn.BYROW(TRACK_TYPES[[#This Row],[TRACK_TYPE_STANDARD_GAUGE_RAILTYPE_OHLE]:[TRACK_TYPE_STANDARD_GAUGE_RAILTYPE_NONE]],_xlfn.LAMBDA(_xlpm.r,OR(_xlpm.r))),FALSE)</f>
        <v>0</v>
      </c>
      <c r="AF573" s="38" t="b" cm="1">
        <f t="array" ref="AF573">IFERROR(_xlfn.BYROW(TRACK_TYPES[[#This Row],[TRACK_TYPE_NARROW_GAUGE_RAILTYPE_OHLE]:[TRACK_TYPE_NARROW_GAUGE_RAILTYPE_NONE]],_xlfn.LAMBDA(_xlpm.r,OR(_xlpm.r))),FALSE)</f>
        <v>0</v>
      </c>
      <c r="AG573" s="38" t="b" cm="1">
        <f t="array" ref="AG573">IFERROR(_xlfn.BYROW(TRACK_TYPES[[#This Row],[TRACK_TYPE_BROAD_GAUGE_RAILTYPE_OHLE]:[TRACK_TYPE_BROAD_GAUGE_RAILTYPE_NONE]],_xlfn.LAMBDA(_xlpm.r,OR(_xlpm.r))),FALSE)</f>
        <v>0</v>
      </c>
      <c r="AH5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3"/>
      <c r="AQ573"/>
      <c r="AR573"/>
    </row>
    <row r="574" spans="1:44" x14ac:dyDescent="0.35">
      <c r="A574" s="2" t="s">
        <v>212</v>
      </c>
      <c r="B574" s="40" t="str">
        <f>_xlfn.XLOOKUP(PROPERTIES[[#This Row],[VEHIDCODE]],CONTROL[VEHIDCODE],CONTROL[ENGLISH])</f>
        <v>7th Gen Car Transporter</v>
      </c>
      <c r="AB574" t="b">
        <v>1</v>
      </c>
      <c r="AC574" s="2"/>
      <c r="AD574" s="2" t="b">
        <f>LEN(_xlfn.CONCAT(TRACK_TYPES[[#This Row],[TRACK_TYPE_STANDARD_GAUGE_RAILTYPE_OHLE]:[TRACK_TYPE_MTRO]]))&gt;0</f>
        <v>1</v>
      </c>
      <c r="AE574" s="38" t="b" cm="1">
        <f t="array" ref="AE574">IFERROR(_xlfn.BYROW(TRACK_TYPES[[#This Row],[TRACK_TYPE_STANDARD_GAUGE_RAILTYPE_OHLE]:[TRACK_TYPE_STANDARD_GAUGE_RAILTYPE_NONE]],_xlfn.LAMBDA(_xlpm.r,OR(_xlpm.r))),FALSE)</f>
        <v>0</v>
      </c>
      <c r="AF574" s="38" t="b" cm="1">
        <f t="array" ref="AF574">IFERROR(_xlfn.BYROW(TRACK_TYPES[[#This Row],[TRACK_TYPE_NARROW_GAUGE_RAILTYPE_OHLE]:[TRACK_TYPE_NARROW_GAUGE_RAILTYPE_NONE]],_xlfn.LAMBDA(_xlpm.r,OR(_xlpm.r))),FALSE)</f>
        <v>0</v>
      </c>
      <c r="AG574" s="38" t="b" cm="1">
        <f t="array" ref="AG574">IFERROR(_xlfn.BYROW(TRACK_TYPES[[#This Row],[TRACK_TYPE_BROAD_GAUGE_RAILTYPE_OHLE]:[TRACK_TYPE_BROAD_GAUGE_RAILTYPE_NONE]],_xlfn.LAMBDA(_xlpm.r,OR(_xlpm.r))),FALSE)</f>
        <v>0</v>
      </c>
      <c r="AH5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4"/>
      <c r="AQ574"/>
      <c r="AR574"/>
    </row>
    <row r="575" spans="1:44" x14ac:dyDescent="0.35">
      <c r="A575" s="2" t="s">
        <v>213</v>
      </c>
      <c r="B575" s="40" t="str">
        <f>_xlfn.XLOOKUP(PROPERTIES[[#This Row],[VEHIDCODE]],CONTROL[VEHIDCODE],CONTROL[ENGLISH])</f>
        <v>7th Gen Centerbeam Flatcar</v>
      </c>
      <c r="AB575" t="b">
        <v>1</v>
      </c>
      <c r="AC575" s="2"/>
      <c r="AD575" s="2" t="b">
        <f>LEN(_xlfn.CONCAT(TRACK_TYPES[[#This Row],[TRACK_TYPE_STANDARD_GAUGE_RAILTYPE_OHLE]:[TRACK_TYPE_MTRO]]))&gt;0</f>
        <v>1</v>
      </c>
      <c r="AE575" s="38" t="b" cm="1">
        <f t="array" ref="AE575">IFERROR(_xlfn.BYROW(TRACK_TYPES[[#This Row],[TRACK_TYPE_STANDARD_GAUGE_RAILTYPE_OHLE]:[TRACK_TYPE_STANDARD_GAUGE_RAILTYPE_NONE]],_xlfn.LAMBDA(_xlpm.r,OR(_xlpm.r))),FALSE)</f>
        <v>0</v>
      </c>
      <c r="AF575" s="38" t="b" cm="1">
        <f t="array" ref="AF575">IFERROR(_xlfn.BYROW(TRACK_TYPES[[#This Row],[TRACK_TYPE_NARROW_GAUGE_RAILTYPE_OHLE]:[TRACK_TYPE_NARROW_GAUGE_RAILTYPE_NONE]],_xlfn.LAMBDA(_xlpm.r,OR(_xlpm.r))),FALSE)</f>
        <v>0</v>
      </c>
      <c r="AG575" s="38" t="b" cm="1">
        <f t="array" ref="AG575">IFERROR(_xlfn.BYROW(TRACK_TYPES[[#This Row],[TRACK_TYPE_BROAD_GAUGE_RAILTYPE_OHLE]:[TRACK_TYPE_BROAD_GAUGE_RAILTYPE_NONE]],_xlfn.LAMBDA(_xlpm.r,OR(_xlpm.r))),FALSE)</f>
        <v>0</v>
      </c>
      <c r="AH5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5"/>
      <c r="AQ575"/>
      <c r="AR575"/>
    </row>
    <row r="576" spans="1:44" x14ac:dyDescent="0.35">
      <c r="A576" s="2" t="s">
        <v>214</v>
      </c>
      <c r="B576" s="40" t="str">
        <f>_xlfn.XLOOKUP(PROPERTIES[[#This Row],[VEHIDCODE]],CONTROL[VEHIDCODE],CONTROL[ENGLISH])</f>
        <v>7th Gen Container Carrier</v>
      </c>
      <c r="AB576" t="b">
        <v>1</v>
      </c>
      <c r="AC576" s="2"/>
      <c r="AD576" s="2" t="b">
        <f>LEN(_xlfn.CONCAT(TRACK_TYPES[[#This Row],[TRACK_TYPE_STANDARD_GAUGE_RAILTYPE_OHLE]:[TRACK_TYPE_MTRO]]))&gt;0</f>
        <v>1</v>
      </c>
      <c r="AE576" s="38" t="b" cm="1">
        <f t="array" ref="AE576">IFERROR(_xlfn.BYROW(TRACK_TYPES[[#This Row],[TRACK_TYPE_STANDARD_GAUGE_RAILTYPE_OHLE]:[TRACK_TYPE_STANDARD_GAUGE_RAILTYPE_NONE]],_xlfn.LAMBDA(_xlpm.r,OR(_xlpm.r))),FALSE)</f>
        <v>0</v>
      </c>
      <c r="AF576" s="38" t="b" cm="1">
        <f t="array" ref="AF576">IFERROR(_xlfn.BYROW(TRACK_TYPES[[#This Row],[TRACK_TYPE_NARROW_GAUGE_RAILTYPE_OHLE]:[TRACK_TYPE_NARROW_GAUGE_RAILTYPE_NONE]],_xlfn.LAMBDA(_xlpm.r,OR(_xlpm.r))),FALSE)</f>
        <v>0</v>
      </c>
      <c r="AG576" s="38" t="b" cm="1">
        <f t="array" ref="AG576">IFERROR(_xlfn.BYROW(TRACK_TYPES[[#This Row],[TRACK_TYPE_BROAD_GAUGE_RAILTYPE_OHLE]:[TRACK_TYPE_BROAD_GAUGE_RAILTYPE_NONE]],_xlfn.LAMBDA(_xlpm.r,OR(_xlpm.r))),FALSE)</f>
        <v>0</v>
      </c>
      <c r="AH5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6"/>
      <c r="AQ576"/>
      <c r="AR576"/>
    </row>
    <row r="577" spans="1:44" x14ac:dyDescent="0.35">
      <c r="A577" s="2" t="s">
        <v>215</v>
      </c>
      <c r="B577" s="40" t="str">
        <f>_xlfn.XLOOKUP(PROPERTIES[[#This Row],[VEHIDCODE]],CONTROL[VEHIDCODE],CONTROL[ENGLISH])</f>
        <v>7th Gen Container Doublestack</v>
      </c>
      <c r="AB577" t="b">
        <v>1</v>
      </c>
      <c r="AC577" s="2"/>
      <c r="AD577" s="2" t="b">
        <f>LEN(_xlfn.CONCAT(TRACK_TYPES[[#This Row],[TRACK_TYPE_STANDARD_GAUGE_RAILTYPE_OHLE]:[TRACK_TYPE_MTRO]]))&gt;0</f>
        <v>1</v>
      </c>
      <c r="AE577" s="38" t="b" cm="1">
        <f t="array" ref="AE577">IFERROR(_xlfn.BYROW(TRACK_TYPES[[#This Row],[TRACK_TYPE_STANDARD_GAUGE_RAILTYPE_OHLE]:[TRACK_TYPE_STANDARD_GAUGE_RAILTYPE_NONE]],_xlfn.LAMBDA(_xlpm.r,OR(_xlpm.r))),FALSE)</f>
        <v>0</v>
      </c>
      <c r="AF577" s="38" t="b" cm="1">
        <f t="array" ref="AF577">IFERROR(_xlfn.BYROW(TRACK_TYPES[[#This Row],[TRACK_TYPE_NARROW_GAUGE_RAILTYPE_OHLE]:[TRACK_TYPE_NARROW_GAUGE_RAILTYPE_NONE]],_xlfn.LAMBDA(_xlpm.r,OR(_xlpm.r))),FALSE)</f>
        <v>0</v>
      </c>
      <c r="AG577" s="38" t="b" cm="1">
        <f t="array" ref="AG577">IFERROR(_xlfn.BYROW(TRACK_TYPES[[#This Row],[TRACK_TYPE_BROAD_GAUGE_RAILTYPE_OHLE]:[TRACK_TYPE_BROAD_GAUGE_RAILTYPE_NONE]],_xlfn.LAMBDA(_xlpm.r,OR(_xlpm.r))),FALSE)</f>
        <v>0</v>
      </c>
      <c r="AH5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7"/>
      <c r="AQ577"/>
      <c r="AR577"/>
    </row>
    <row r="578" spans="1:44" x14ac:dyDescent="0.35">
      <c r="A578" s="2" t="s">
        <v>216</v>
      </c>
      <c r="B578" s="40" t="str">
        <f>_xlfn.XLOOKUP(PROPERTIES[[#This Row],[VEHIDCODE]],CONTROL[VEHIDCODE],CONTROL[ENGLISH])</f>
        <v>7th Gen Flatcar</v>
      </c>
      <c r="AB578" t="b">
        <v>1</v>
      </c>
      <c r="AC578" s="2"/>
      <c r="AD578" s="2" t="b">
        <f>LEN(_xlfn.CONCAT(TRACK_TYPES[[#This Row],[TRACK_TYPE_STANDARD_GAUGE_RAILTYPE_OHLE]:[TRACK_TYPE_MTRO]]))&gt;0</f>
        <v>1</v>
      </c>
      <c r="AE578" s="38" t="b" cm="1">
        <f t="array" ref="AE578">IFERROR(_xlfn.BYROW(TRACK_TYPES[[#This Row],[TRACK_TYPE_STANDARD_GAUGE_RAILTYPE_OHLE]:[TRACK_TYPE_STANDARD_GAUGE_RAILTYPE_NONE]],_xlfn.LAMBDA(_xlpm.r,OR(_xlpm.r))),FALSE)</f>
        <v>0</v>
      </c>
      <c r="AF578" s="38" t="b" cm="1">
        <f t="array" ref="AF578">IFERROR(_xlfn.BYROW(TRACK_TYPES[[#This Row],[TRACK_TYPE_NARROW_GAUGE_RAILTYPE_OHLE]:[TRACK_TYPE_NARROW_GAUGE_RAILTYPE_NONE]],_xlfn.LAMBDA(_xlpm.r,OR(_xlpm.r))),FALSE)</f>
        <v>0</v>
      </c>
      <c r="AG578" s="38" t="b" cm="1">
        <f t="array" ref="AG578">IFERROR(_xlfn.BYROW(TRACK_TYPES[[#This Row],[TRACK_TYPE_BROAD_GAUGE_RAILTYPE_OHLE]:[TRACK_TYPE_BROAD_GAUGE_RAILTYPE_NONE]],_xlfn.LAMBDA(_xlpm.r,OR(_xlpm.r))),FALSE)</f>
        <v>0</v>
      </c>
      <c r="AH5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8"/>
      <c r="AQ578"/>
      <c r="AR578"/>
    </row>
    <row r="579" spans="1:44" x14ac:dyDescent="0.35">
      <c r="A579" s="2" t="s">
        <v>217</v>
      </c>
      <c r="B579" s="40" t="str">
        <f>_xlfn.XLOOKUP(PROPERTIES[[#This Row],[VEHIDCODE]],CONTROL[VEHIDCODE],CONTROL[ENGLISH])</f>
        <v>7th Gen Gondola</v>
      </c>
      <c r="AB579" t="b">
        <v>1</v>
      </c>
      <c r="AC579" s="2"/>
      <c r="AD579" s="2" t="b">
        <f>LEN(_xlfn.CONCAT(TRACK_TYPES[[#This Row],[TRACK_TYPE_STANDARD_GAUGE_RAILTYPE_OHLE]:[TRACK_TYPE_MTRO]]))&gt;0</f>
        <v>1</v>
      </c>
      <c r="AE579" s="38" t="b" cm="1">
        <f t="array" ref="AE579">IFERROR(_xlfn.BYROW(TRACK_TYPES[[#This Row],[TRACK_TYPE_STANDARD_GAUGE_RAILTYPE_OHLE]:[TRACK_TYPE_STANDARD_GAUGE_RAILTYPE_NONE]],_xlfn.LAMBDA(_xlpm.r,OR(_xlpm.r))),FALSE)</f>
        <v>0</v>
      </c>
      <c r="AF579" s="38" t="b" cm="1">
        <f t="array" ref="AF579">IFERROR(_xlfn.BYROW(TRACK_TYPES[[#This Row],[TRACK_TYPE_NARROW_GAUGE_RAILTYPE_OHLE]:[TRACK_TYPE_NARROW_GAUGE_RAILTYPE_NONE]],_xlfn.LAMBDA(_xlpm.r,OR(_xlpm.r))),FALSE)</f>
        <v>0</v>
      </c>
      <c r="AG579" s="38" t="b" cm="1">
        <f t="array" ref="AG579">IFERROR(_xlfn.BYROW(TRACK_TYPES[[#This Row],[TRACK_TYPE_BROAD_GAUGE_RAILTYPE_OHLE]:[TRACK_TYPE_BROAD_GAUGE_RAILTYPE_NONE]],_xlfn.LAMBDA(_xlpm.r,OR(_xlpm.r))),FALSE)</f>
        <v>0</v>
      </c>
      <c r="AH5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9"/>
      <c r="AQ579"/>
      <c r="AR579"/>
    </row>
    <row r="580" spans="1:44" x14ac:dyDescent="0.35">
      <c r="A580" s="2" t="s">
        <v>218</v>
      </c>
      <c r="B580" s="40" t="str">
        <f>_xlfn.XLOOKUP(PROPERTIES[[#This Row],[VEHIDCODE]],CONTROL[VEHIDCODE],CONTROL[ENGLISH])</f>
        <v>7th Gen Heavy Flatcar</v>
      </c>
      <c r="AB580" t="b">
        <v>1</v>
      </c>
      <c r="AC580" s="2"/>
      <c r="AD580" s="2" t="b">
        <f>LEN(_xlfn.CONCAT(TRACK_TYPES[[#This Row],[TRACK_TYPE_STANDARD_GAUGE_RAILTYPE_OHLE]:[TRACK_TYPE_MTRO]]))&gt;0</f>
        <v>1</v>
      </c>
      <c r="AE580" s="38" t="b" cm="1">
        <f t="array" ref="AE580">IFERROR(_xlfn.BYROW(TRACK_TYPES[[#This Row],[TRACK_TYPE_STANDARD_GAUGE_RAILTYPE_OHLE]:[TRACK_TYPE_STANDARD_GAUGE_RAILTYPE_NONE]],_xlfn.LAMBDA(_xlpm.r,OR(_xlpm.r))),FALSE)</f>
        <v>0</v>
      </c>
      <c r="AF580" s="38" t="b" cm="1">
        <f t="array" ref="AF580">IFERROR(_xlfn.BYROW(TRACK_TYPES[[#This Row],[TRACK_TYPE_NARROW_GAUGE_RAILTYPE_OHLE]:[TRACK_TYPE_NARROW_GAUGE_RAILTYPE_NONE]],_xlfn.LAMBDA(_xlpm.r,OR(_xlpm.r))),FALSE)</f>
        <v>0</v>
      </c>
      <c r="AG580" s="38" t="b" cm="1">
        <f t="array" ref="AG580">IFERROR(_xlfn.BYROW(TRACK_TYPES[[#This Row],[TRACK_TYPE_BROAD_GAUGE_RAILTYPE_OHLE]:[TRACK_TYPE_BROAD_GAUGE_RAILTYPE_NONE]],_xlfn.LAMBDA(_xlpm.r,OR(_xlpm.r))),FALSE)</f>
        <v>0</v>
      </c>
      <c r="AH5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0"/>
      <c r="AQ580"/>
      <c r="AR580"/>
    </row>
    <row r="581" spans="1:44" x14ac:dyDescent="0.35">
      <c r="A581" s="2" t="s">
        <v>219</v>
      </c>
      <c r="B581" s="40" t="str">
        <f>_xlfn.XLOOKUP(PROPERTIES[[#This Row],[VEHIDCODE]],CONTROL[VEHIDCODE],CONTROL[ENGLISH])</f>
        <v>7th Gen Self-discharging Hopper [Food]</v>
      </c>
      <c r="AB581" t="b">
        <v>1</v>
      </c>
      <c r="AC581" s="2"/>
      <c r="AD581" s="2" t="b">
        <f>LEN(_xlfn.CONCAT(TRACK_TYPES[[#This Row],[TRACK_TYPE_STANDARD_GAUGE_RAILTYPE_OHLE]:[TRACK_TYPE_MTRO]]))&gt;0</f>
        <v>1</v>
      </c>
      <c r="AE581" s="38" t="b" cm="1">
        <f t="array" ref="AE581">IFERROR(_xlfn.BYROW(TRACK_TYPES[[#This Row],[TRACK_TYPE_STANDARD_GAUGE_RAILTYPE_OHLE]:[TRACK_TYPE_STANDARD_GAUGE_RAILTYPE_NONE]],_xlfn.LAMBDA(_xlpm.r,OR(_xlpm.r))),FALSE)</f>
        <v>0</v>
      </c>
      <c r="AF581" s="38" t="b" cm="1">
        <f t="array" ref="AF581">IFERROR(_xlfn.BYROW(TRACK_TYPES[[#This Row],[TRACK_TYPE_NARROW_GAUGE_RAILTYPE_OHLE]:[TRACK_TYPE_NARROW_GAUGE_RAILTYPE_NONE]],_xlfn.LAMBDA(_xlpm.r,OR(_xlpm.r))),FALSE)</f>
        <v>0</v>
      </c>
      <c r="AG581" s="38" t="b" cm="1">
        <f t="array" ref="AG581">IFERROR(_xlfn.BYROW(TRACK_TYPES[[#This Row],[TRACK_TYPE_BROAD_GAUGE_RAILTYPE_OHLE]:[TRACK_TYPE_BROAD_GAUGE_RAILTYPE_NONE]],_xlfn.LAMBDA(_xlpm.r,OR(_xlpm.r))),FALSE)</f>
        <v>0</v>
      </c>
      <c r="AH5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1"/>
      <c r="AQ581"/>
      <c r="AR581"/>
    </row>
    <row r="582" spans="1:44" x14ac:dyDescent="0.35">
      <c r="A582" s="2" t="s">
        <v>220</v>
      </c>
      <c r="B582" s="40" t="str">
        <f>_xlfn.XLOOKUP(PROPERTIES[[#This Row],[VEHIDCODE]],CONTROL[VEHIDCODE],CONTROL[ENGLISH])</f>
        <v>7th Gen Self-discharging Hopper [Non-Food]</v>
      </c>
      <c r="AB582" t="b">
        <v>1</v>
      </c>
      <c r="AC582" s="2"/>
      <c r="AD582" s="2" t="b">
        <f>LEN(_xlfn.CONCAT(TRACK_TYPES[[#This Row],[TRACK_TYPE_STANDARD_GAUGE_RAILTYPE_OHLE]:[TRACK_TYPE_MTRO]]))&gt;0</f>
        <v>1</v>
      </c>
      <c r="AE582" s="38" t="b" cm="1">
        <f t="array" ref="AE582">IFERROR(_xlfn.BYROW(TRACK_TYPES[[#This Row],[TRACK_TYPE_STANDARD_GAUGE_RAILTYPE_OHLE]:[TRACK_TYPE_STANDARD_GAUGE_RAILTYPE_NONE]],_xlfn.LAMBDA(_xlpm.r,OR(_xlpm.r))),FALSE)</f>
        <v>0</v>
      </c>
      <c r="AF582" s="38" t="b" cm="1">
        <f t="array" ref="AF582">IFERROR(_xlfn.BYROW(TRACK_TYPES[[#This Row],[TRACK_TYPE_NARROW_GAUGE_RAILTYPE_OHLE]:[TRACK_TYPE_NARROW_GAUGE_RAILTYPE_NONE]],_xlfn.LAMBDA(_xlpm.r,OR(_xlpm.r))),FALSE)</f>
        <v>0</v>
      </c>
      <c r="AG582" s="38" t="b" cm="1">
        <f t="array" ref="AG582">IFERROR(_xlfn.BYROW(TRACK_TYPES[[#This Row],[TRACK_TYPE_BROAD_GAUGE_RAILTYPE_OHLE]:[TRACK_TYPE_BROAD_GAUGE_RAILTYPE_NONE]],_xlfn.LAMBDA(_xlpm.r,OR(_xlpm.r))),FALSE)</f>
        <v>0</v>
      </c>
      <c r="AH5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2"/>
      <c r="AQ582"/>
      <c r="AR582"/>
    </row>
    <row r="583" spans="1:44" x14ac:dyDescent="0.35">
      <c r="A583" s="2" t="s">
        <v>221</v>
      </c>
      <c r="B583" s="40" t="str">
        <f>_xlfn.XLOOKUP(PROPERTIES[[#This Row],[VEHIDCODE]],CONTROL[VEHIDCODE],CONTROL[ENGLISH])</f>
        <v>7th Gen Silo [Food]</v>
      </c>
      <c r="AB583" t="b">
        <v>1</v>
      </c>
      <c r="AC583" s="2"/>
      <c r="AD583" s="2" t="b">
        <f>LEN(_xlfn.CONCAT(TRACK_TYPES[[#This Row],[TRACK_TYPE_STANDARD_GAUGE_RAILTYPE_OHLE]:[TRACK_TYPE_MTRO]]))&gt;0</f>
        <v>1</v>
      </c>
      <c r="AE583" s="38" t="b" cm="1">
        <f t="array" ref="AE583">IFERROR(_xlfn.BYROW(TRACK_TYPES[[#This Row],[TRACK_TYPE_STANDARD_GAUGE_RAILTYPE_OHLE]:[TRACK_TYPE_STANDARD_GAUGE_RAILTYPE_NONE]],_xlfn.LAMBDA(_xlpm.r,OR(_xlpm.r))),FALSE)</f>
        <v>0</v>
      </c>
      <c r="AF583" s="38" t="b" cm="1">
        <f t="array" ref="AF583">IFERROR(_xlfn.BYROW(TRACK_TYPES[[#This Row],[TRACK_TYPE_NARROW_GAUGE_RAILTYPE_OHLE]:[TRACK_TYPE_NARROW_GAUGE_RAILTYPE_NONE]],_xlfn.LAMBDA(_xlpm.r,OR(_xlpm.r))),FALSE)</f>
        <v>0</v>
      </c>
      <c r="AG583" s="38" t="b" cm="1">
        <f t="array" ref="AG583">IFERROR(_xlfn.BYROW(TRACK_TYPES[[#This Row],[TRACK_TYPE_BROAD_GAUGE_RAILTYPE_OHLE]:[TRACK_TYPE_BROAD_GAUGE_RAILTYPE_NONE]],_xlfn.LAMBDA(_xlpm.r,OR(_xlpm.r))),FALSE)</f>
        <v>0</v>
      </c>
      <c r="AH5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3"/>
      <c r="AQ583"/>
      <c r="AR583"/>
    </row>
    <row r="584" spans="1:44" x14ac:dyDescent="0.35">
      <c r="A584" s="2" t="s">
        <v>222</v>
      </c>
      <c r="B584" s="40" t="str">
        <f>_xlfn.XLOOKUP(PROPERTIES[[#This Row],[VEHIDCODE]],CONTROL[VEHIDCODE],CONTROL[ENGLISH])</f>
        <v>7th Gen Silo [Non-Food]</v>
      </c>
      <c r="AB584" t="b">
        <v>1</v>
      </c>
      <c r="AC584" s="2"/>
      <c r="AD584" s="2" t="b">
        <f>LEN(_xlfn.CONCAT(TRACK_TYPES[[#This Row],[TRACK_TYPE_STANDARD_GAUGE_RAILTYPE_OHLE]:[TRACK_TYPE_MTRO]]))&gt;0</f>
        <v>1</v>
      </c>
      <c r="AE584" s="38" t="b" cm="1">
        <f t="array" ref="AE584">IFERROR(_xlfn.BYROW(TRACK_TYPES[[#This Row],[TRACK_TYPE_STANDARD_GAUGE_RAILTYPE_OHLE]:[TRACK_TYPE_STANDARD_GAUGE_RAILTYPE_NONE]],_xlfn.LAMBDA(_xlpm.r,OR(_xlpm.r))),FALSE)</f>
        <v>0</v>
      </c>
      <c r="AF584" s="38" t="b" cm="1">
        <f t="array" ref="AF584">IFERROR(_xlfn.BYROW(TRACK_TYPES[[#This Row],[TRACK_TYPE_NARROW_GAUGE_RAILTYPE_OHLE]:[TRACK_TYPE_NARROW_GAUGE_RAILTYPE_NONE]],_xlfn.LAMBDA(_xlpm.r,OR(_xlpm.r))),FALSE)</f>
        <v>0</v>
      </c>
      <c r="AG584" s="38" t="b" cm="1">
        <f t="array" ref="AG584">IFERROR(_xlfn.BYROW(TRACK_TYPES[[#This Row],[TRACK_TYPE_BROAD_GAUGE_RAILTYPE_OHLE]:[TRACK_TYPE_BROAD_GAUGE_RAILTYPE_NONE]],_xlfn.LAMBDA(_xlpm.r,OR(_xlpm.r))),FALSE)</f>
        <v>0</v>
      </c>
      <c r="AH5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4"/>
      <c r="AQ584"/>
      <c r="AR584"/>
    </row>
    <row r="585" spans="1:44" x14ac:dyDescent="0.35">
      <c r="A585" s="2" t="s">
        <v>223</v>
      </c>
      <c r="B585" s="40" t="str">
        <f>_xlfn.XLOOKUP(PROPERTIES[[#This Row],[VEHIDCODE]],CONTROL[VEHIDCODE],CONTROL[ENGLISH])</f>
        <v>7th Gen Superheavy Flatcar</v>
      </c>
      <c r="AB585" t="b">
        <v>1</v>
      </c>
      <c r="AC585" s="2"/>
      <c r="AD585" s="2" t="b">
        <f>LEN(_xlfn.CONCAT(TRACK_TYPES[[#This Row],[TRACK_TYPE_STANDARD_GAUGE_RAILTYPE_OHLE]:[TRACK_TYPE_MTRO]]))&gt;0</f>
        <v>1</v>
      </c>
      <c r="AE585" s="38" t="b" cm="1">
        <f t="array" ref="AE585">IFERROR(_xlfn.BYROW(TRACK_TYPES[[#This Row],[TRACK_TYPE_STANDARD_GAUGE_RAILTYPE_OHLE]:[TRACK_TYPE_STANDARD_GAUGE_RAILTYPE_NONE]],_xlfn.LAMBDA(_xlpm.r,OR(_xlpm.r))),FALSE)</f>
        <v>0</v>
      </c>
      <c r="AF585" s="38" t="b" cm="1">
        <f t="array" ref="AF585">IFERROR(_xlfn.BYROW(TRACK_TYPES[[#This Row],[TRACK_TYPE_NARROW_GAUGE_RAILTYPE_OHLE]:[TRACK_TYPE_NARROW_GAUGE_RAILTYPE_NONE]],_xlfn.LAMBDA(_xlpm.r,OR(_xlpm.r))),FALSE)</f>
        <v>0</v>
      </c>
      <c r="AG585" s="38" t="b" cm="1">
        <f t="array" ref="AG585">IFERROR(_xlfn.BYROW(TRACK_TYPES[[#This Row],[TRACK_TYPE_BROAD_GAUGE_RAILTYPE_OHLE]:[TRACK_TYPE_BROAD_GAUGE_RAILTYPE_NONE]],_xlfn.LAMBDA(_xlpm.r,OR(_xlpm.r))),FALSE)</f>
        <v>0</v>
      </c>
      <c r="AH5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5"/>
      <c r="AQ585"/>
      <c r="AR585"/>
    </row>
    <row r="586" spans="1:44" x14ac:dyDescent="0.35">
      <c r="A586" s="2" t="s">
        <v>224</v>
      </c>
      <c r="B586" s="40" t="str">
        <f>_xlfn.XLOOKUP(PROPERTIES[[#This Row],[VEHIDCODE]],CONTROL[VEHIDCODE],CONTROL[ENGLISH])</f>
        <v>7th Gen Tanker</v>
      </c>
      <c r="AB586" t="b">
        <v>1</v>
      </c>
      <c r="AC586" s="2"/>
      <c r="AD586" s="2" t="b">
        <f>LEN(_xlfn.CONCAT(TRACK_TYPES[[#This Row],[TRACK_TYPE_STANDARD_GAUGE_RAILTYPE_OHLE]:[TRACK_TYPE_MTRO]]))&gt;0</f>
        <v>1</v>
      </c>
      <c r="AE586" s="38" t="b" cm="1">
        <f t="array" ref="AE586">IFERROR(_xlfn.BYROW(TRACK_TYPES[[#This Row],[TRACK_TYPE_STANDARD_GAUGE_RAILTYPE_OHLE]:[TRACK_TYPE_STANDARD_GAUGE_RAILTYPE_NONE]],_xlfn.LAMBDA(_xlpm.r,OR(_xlpm.r))),FALSE)</f>
        <v>0</v>
      </c>
      <c r="AF586" s="38" t="b" cm="1">
        <f t="array" ref="AF586">IFERROR(_xlfn.BYROW(TRACK_TYPES[[#This Row],[TRACK_TYPE_NARROW_GAUGE_RAILTYPE_OHLE]:[TRACK_TYPE_NARROW_GAUGE_RAILTYPE_NONE]],_xlfn.LAMBDA(_xlpm.r,OR(_xlpm.r))),FALSE)</f>
        <v>0</v>
      </c>
      <c r="AG586" s="38" t="b" cm="1">
        <f t="array" ref="AG586">IFERROR(_xlfn.BYROW(TRACK_TYPES[[#This Row],[TRACK_TYPE_BROAD_GAUGE_RAILTYPE_OHLE]:[TRACK_TYPE_BROAD_GAUGE_RAILTYPE_NONE]],_xlfn.LAMBDA(_xlpm.r,OR(_xlpm.r))),FALSE)</f>
        <v>0</v>
      </c>
      <c r="AH5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6"/>
      <c r="AQ586"/>
      <c r="AR586"/>
    </row>
    <row r="587" spans="1:44" x14ac:dyDescent="0.35">
      <c r="A587" s="2" t="s">
        <v>3204</v>
      </c>
      <c r="B587" s="40" t="str">
        <f>_xlfn.XLOOKUP(PROPERTIES[[#This Row],[VEHIDCODE]],CONTROL[VEHIDCODE],CONTROL[ENGLISH])</f>
        <v>Niigata Transys Shikoku 1000</v>
      </c>
      <c r="R587" s="2" t="b">
        <v>1</v>
      </c>
      <c r="AC587" s="2"/>
      <c r="AD587" s="2" t="b">
        <f>LEN(_xlfn.CONCAT(TRACK_TYPES[[#This Row],[TRACK_TYPE_STANDARD_GAUGE_RAILTYPE_OHLE]:[TRACK_TYPE_MTRO]]))&gt;0</f>
        <v>1</v>
      </c>
      <c r="AE587" s="38" t="b" cm="1">
        <f t="array" ref="AE587">IFERROR(_xlfn.BYROW(TRACK_TYPES[[#This Row],[TRACK_TYPE_STANDARD_GAUGE_RAILTYPE_OHLE]:[TRACK_TYPE_STANDARD_GAUGE_RAILTYPE_NONE]],_xlfn.LAMBDA(_xlpm.r,OR(_xlpm.r))),FALSE)</f>
        <v>0</v>
      </c>
      <c r="AF587" s="38" t="b" cm="1">
        <f t="array" ref="AF587">IFERROR(_xlfn.BYROW(TRACK_TYPES[[#This Row],[TRACK_TYPE_NARROW_GAUGE_RAILTYPE_OHLE]:[TRACK_TYPE_NARROW_GAUGE_RAILTYPE_NONE]],_xlfn.LAMBDA(_xlpm.r,OR(_xlpm.r))),FALSE)</f>
        <v>1</v>
      </c>
      <c r="AG587" s="38" t="b" cm="1">
        <f t="array" ref="AG587">IFERROR(_xlfn.BYROW(TRACK_TYPES[[#This Row],[TRACK_TYPE_BROAD_GAUGE_RAILTYPE_OHLE]:[TRACK_TYPE_BROAD_GAUGE_RAILTYPE_NONE]],_xlfn.LAMBDA(_xlpm.r,OR(_xlpm.r))),FALSE)</f>
        <v>0</v>
      </c>
      <c r="AH5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87"/>
      <c r="AQ587"/>
      <c r="AR587"/>
    </row>
    <row r="588" spans="1:44" x14ac:dyDescent="0.35">
      <c r="A588" s="2" t="s">
        <v>3205</v>
      </c>
      <c r="B588" s="40" t="str">
        <f>_xlfn.XLOOKUP(PROPERTIES[[#This Row],[VEHIDCODE]],CONTROL[VEHIDCODE],CONTROL[ENGLISH])</f>
        <v>Niigata Transys KiHa E120</v>
      </c>
      <c r="R588" s="2" t="b">
        <v>1</v>
      </c>
      <c r="AC588" s="2"/>
      <c r="AD588" s="2" t="b">
        <f>LEN(_xlfn.CONCAT(TRACK_TYPES[[#This Row],[TRACK_TYPE_STANDARD_GAUGE_RAILTYPE_OHLE]:[TRACK_TYPE_MTRO]]))&gt;0</f>
        <v>1</v>
      </c>
      <c r="AE588" s="38" t="b" cm="1">
        <f t="array" ref="AE588">IFERROR(_xlfn.BYROW(TRACK_TYPES[[#This Row],[TRACK_TYPE_STANDARD_GAUGE_RAILTYPE_OHLE]:[TRACK_TYPE_STANDARD_GAUGE_RAILTYPE_NONE]],_xlfn.LAMBDA(_xlpm.r,OR(_xlpm.r))),FALSE)</f>
        <v>0</v>
      </c>
      <c r="AF588" s="38" t="b" cm="1">
        <f t="array" ref="AF588">IFERROR(_xlfn.BYROW(TRACK_TYPES[[#This Row],[TRACK_TYPE_NARROW_GAUGE_RAILTYPE_OHLE]:[TRACK_TYPE_NARROW_GAUGE_RAILTYPE_NONE]],_xlfn.LAMBDA(_xlpm.r,OR(_xlpm.r))),FALSE)</f>
        <v>1</v>
      </c>
      <c r="AG588" s="38" t="b" cm="1">
        <f t="array" ref="AG588">IFERROR(_xlfn.BYROW(TRACK_TYPES[[#This Row],[TRACK_TYPE_BROAD_GAUGE_RAILTYPE_OHLE]:[TRACK_TYPE_BROAD_GAUGE_RAILTYPE_NONE]],_xlfn.LAMBDA(_xlpm.r,OR(_xlpm.r))),FALSE)</f>
        <v>0</v>
      </c>
      <c r="AH5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88"/>
      <c r="AQ588"/>
      <c r="AR588"/>
    </row>
    <row r="589" spans="1:44" x14ac:dyDescent="0.35">
      <c r="A589" s="2" t="s">
        <v>3206</v>
      </c>
      <c r="B589" s="40" t="str">
        <f>_xlfn.XLOOKUP(PROPERTIES[[#This Row],[VEHIDCODE]],CONTROL[VEHIDCODE],CONTROL[ENGLISH])</f>
        <v>Ferrostaal SB-56</v>
      </c>
      <c r="R589" s="2" t="b">
        <v>1</v>
      </c>
      <c r="AC589" s="2"/>
      <c r="AD589" s="2" t="b">
        <f>LEN(_xlfn.CONCAT(TRACK_TYPES[[#This Row],[TRACK_TYPE_STANDARD_GAUGE_RAILTYPE_OHLE]:[TRACK_TYPE_MTRO]]))&gt;0</f>
        <v>1</v>
      </c>
      <c r="AE589" s="38" t="b" cm="1">
        <f t="array" ref="AE589">IFERROR(_xlfn.BYROW(TRACK_TYPES[[#This Row],[TRACK_TYPE_STANDARD_GAUGE_RAILTYPE_OHLE]:[TRACK_TYPE_STANDARD_GAUGE_RAILTYPE_NONE]],_xlfn.LAMBDA(_xlpm.r,OR(_xlpm.r))),FALSE)</f>
        <v>0</v>
      </c>
      <c r="AF589" s="38" t="b" cm="1">
        <f t="array" ref="AF589">IFERROR(_xlfn.BYROW(TRACK_TYPES[[#This Row],[TRACK_TYPE_NARROW_GAUGE_RAILTYPE_OHLE]:[TRACK_TYPE_NARROW_GAUGE_RAILTYPE_NONE]],_xlfn.LAMBDA(_xlpm.r,OR(_xlpm.r))),FALSE)</f>
        <v>1</v>
      </c>
      <c r="AG589" s="38" t="b" cm="1">
        <f t="array" ref="AG589">IFERROR(_xlfn.BYROW(TRACK_TYPES[[#This Row],[TRACK_TYPE_BROAD_GAUGE_RAILTYPE_OHLE]:[TRACK_TYPE_BROAD_GAUGE_RAILTYPE_NONE]],_xlfn.LAMBDA(_xlpm.r,OR(_xlpm.r))),FALSE)</f>
        <v>0</v>
      </c>
      <c r="AH5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89"/>
      <c r="AQ589"/>
      <c r="AR589"/>
    </row>
    <row r="590" spans="1:44" x14ac:dyDescent="0.35">
      <c r="A590" s="2" t="s">
        <v>3207</v>
      </c>
      <c r="B590" s="40" t="str">
        <f>_xlfn.XLOOKUP(PROPERTIES[[#This Row],[VEHIDCODE]],CONTROL[VEHIDCODE],CONTROL[ENGLISH])</f>
        <v>Sulzer M Railcar</v>
      </c>
      <c r="R590" s="2" t="b">
        <v>1</v>
      </c>
      <c r="AC590" s="2"/>
      <c r="AD590" s="2" t="b">
        <f>LEN(_xlfn.CONCAT(TRACK_TYPES[[#This Row],[TRACK_TYPE_STANDARD_GAUGE_RAILTYPE_OHLE]:[TRACK_TYPE_MTRO]]))&gt;0</f>
        <v>1</v>
      </c>
      <c r="AE590" s="38" t="b" cm="1">
        <f t="array" ref="AE590">IFERROR(_xlfn.BYROW(TRACK_TYPES[[#This Row],[TRACK_TYPE_STANDARD_GAUGE_RAILTYPE_OHLE]:[TRACK_TYPE_STANDARD_GAUGE_RAILTYPE_NONE]],_xlfn.LAMBDA(_xlpm.r,OR(_xlpm.r))),FALSE)</f>
        <v>0</v>
      </c>
      <c r="AF590" s="38" t="b" cm="1">
        <f t="array" ref="AF590">IFERROR(_xlfn.BYROW(TRACK_TYPES[[#This Row],[TRACK_TYPE_NARROW_GAUGE_RAILTYPE_OHLE]:[TRACK_TYPE_NARROW_GAUGE_RAILTYPE_NONE]],_xlfn.LAMBDA(_xlpm.r,OR(_xlpm.r))),FALSE)</f>
        <v>1</v>
      </c>
      <c r="AG590" s="38" t="b" cm="1">
        <f t="array" ref="AG590">IFERROR(_xlfn.BYROW(TRACK_TYPES[[#This Row],[TRACK_TYPE_BROAD_GAUGE_RAILTYPE_OHLE]:[TRACK_TYPE_BROAD_GAUGE_RAILTYPE_NONE]],_xlfn.LAMBDA(_xlpm.r,OR(_xlpm.r))),FALSE)</f>
        <v>0</v>
      </c>
      <c r="AH5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0"/>
      <c r="AQ590"/>
      <c r="AR590"/>
    </row>
    <row r="591" spans="1:44" x14ac:dyDescent="0.35">
      <c r="A591" s="2" t="s">
        <v>3208</v>
      </c>
      <c r="B591" s="40" t="str">
        <f>_xlfn.XLOOKUP(PROPERTIES[[#This Row],[VEHIDCODE]],CONTROL[VEHIDCODE],CONTROL[ENGLISH])</f>
        <v>Eritrean Railway A.62-70 'Littorina'</v>
      </c>
      <c r="R591" s="2" t="b">
        <v>1</v>
      </c>
      <c r="AC591" s="2"/>
      <c r="AD591" s="2" t="b">
        <f>LEN(_xlfn.CONCAT(TRACK_TYPES[[#This Row],[TRACK_TYPE_STANDARD_GAUGE_RAILTYPE_OHLE]:[TRACK_TYPE_MTRO]]))&gt;0</f>
        <v>1</v>
      </c>
      <c r="AE591" s="38" t="b" cm="1">
        <f t="array" ref="AE591">IFERROR(_xlfn.BYROW(TRACK_TYPES[[#This Row],[TRACK_TYPE_STANDARD_GAUGE_RAILTYPE_OHLE]:[TRACK_TYPE_STANDARD_GAUGE_RAILTYPE_NONE]],_xlfn.LAMBDA(_xlpm.r,OR(_xlpm.r))),FALSE)</f>
        <v>0</v>
      </c>
      <c r="AF591" s="38" t="b" cm="1">
        <f t="array" ref="AF591">IFERROR(_xlfn.BYROW(TRACK_TYPES[[#This Row],[TRACK_TYPE_NARROW_GAUGE_RAILTYPE_OHLE]:[TRACK_TYPE_NARROW_GAUGE_RAILTYPE_NONE]],_xlfn.LAMBDA(_xlpm.r,OR(_xlpm.r))),FALSE)</f>
        <v>1</v>
      </c>
      <c r="AG591" s="38" t="b" cm="1">
        <f t="array" ref="AG591">IFERROR(_xlfn.BYROW(TRACK_TYPES[[#This Row],[TRACK_TYPE_BROAD_GAUGE_RAILTYPE_OHLE]:[TRACK_TYPE_BROAD_GAUGE_RAILTYPE_NONE]],_xlfn.LAMBDA(_xlpm.r,OR(_xlpm.r))),FALSE)</f>
        <v>0</v>
      </c>
      <c r="AH5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1"/>
      <c r="AQ591"/>
      <c r="AR591"/>
    </row>
    <row r="592" spans="1:44" x14ac:dyDescent="0.35">
      <c r="A592" s="2" t="s">
        <v>3209</v>
      </c>
      <c r="B592" s="40" t="str">
        <f>_xlfn.XLOOKUP(PROPERTIES[[#This Row],[VEHIDCODE]],CONTROL[VEHIDCODE],CONTROL[ENGLISH])</f>
        <v>SLM CFe 3/3</v>
      </c>
      <c r="O592" t="b">
        <v>1</v>
      </c>
      <c r="AC592" s="2"/>
      <c r="AD592" s="2" t="b">
        <f>LEN(_xlfn.CONCAT(TRACK_TYPES[[#This Row],[TRACK_TYPE_STANDARD_GAUGE_RAILTYPE_OHLE]:[TRACK_TYPE_MTRO]]))&gt;0</f>
        <v>1</v>
      </c>
      <c r="AE592" s="38" t="b" cm="1">
        <f t="array" ref="AE592">IFERROR(_xlfn.BYROW(TRACK_TYPES[[#This Row],[TRACK_TYPE_STANDARD_GAUGE_RAILTYPE_OHLE]:[TRACK_TYPE_STANDARD_GAUGE_RAILTYPE_NONE]],_xlfn.LAMBDA(_xlpm.r,OR(_xlpm.r))),FALSE)</f>
        <v>0</v>
      </c>
      <c r="AF592" s="38" t="b" cm="1">
        <f t="array" ref="AF592">IFERROR(_xlfn.BYROW(TRACK_TYPES[[#This Row],[TRACK_TYPE_NARROW_GAUGE_RAILTYPE_OHLE]:[TRACK_TYPE_NARROW_GAUGE_RAILTYPE_NONE]],_xlfn.LAMBDA(_xlpm.r,OR(_xlpm.r))),FALSE)</f>
        <v>1</v>
      </c>
      <c r="AG592" s="38" t="b" cm="1">
        <f t="array" ref="AG592">IFERROR(_xlfn.BYROW(TRACK_TYPES[[#This Row],[TRACK_TYPE_BROAD_GAUGE_RAILTYPE_OHLE]:[TRACK_TYPE_BROAD_GAUGE_RAILTYPE_NONE]],_xlfn.LAMBDA(_xlpm.r,OR(_xlpm.r))),FALSE)</f>
        <v>0</v>
      </c>
      <c r="AH5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2"/>
      <c r="AQ592"/>
      <c r="AR592"/>
    </row>
    <row r="593" spans="1:44" x14ac:dyDescent="0.35">
      <c r="A593" s="2" t="s">
        <v>3210</v>
      </c>
      <c r="B593" s="40" t="str">
        <f>_xlfn.XLOOKUP(PROPERTIES[[#This Row],[VEHIDCODE]],CONTROL[VEHIDCODE],CONTROL[ENGLISH])</f>
        <v>TPC BVB Be 2/2</v>
      </c>
      <c r="O593" t="b">
        <v>1</v>
      </c>
      <c r="AC593" s="2"/>
      <c r="AD593" s="2" t="b">
        <f>LEN(_xlfn.CONCAT(TRACK_TYPES[[#This Row],[TRACK_TYPE_STANDARD_GAUGE_RAILTYPE_OHLE]:[TRACK_TYPE_MTRO]]))&gt;0</f>
        <v>1</v>
      </c>
      <c r="AE593" s="38" t="b" cm="1">
        <f t="array" ref="AE593">IFERROR(_xlfn.BYROW(TRACK_TYPES[[#This Row],[TRACK_TYPE_STANDARD_GAUGE_RAILTYPE_OHLE]:[TRACK_TYPE_STANDARD_GAUGE_RAILTYPE_NONE]],_xlfn.LAMBDA(_xlpm.r,OR(_xlpm.r))),FALSE)</f>
        <v>0</v>
      </c>
      <c r="AF593" s="38" t="b" cm="1">
        <f t="array" ref="AF593">IFERROR(_xlfn.BYROW(TRACK_TYPES[[#This Row],[TRACK_TYPE_NARROW_GAUGE_RAILTYPE_OHLE]:[TRACK_TYPE_NARROW_GAUGE_RAILTYPE_NONE]],_xlfn.LAMBDA(_xlpm.r,OR(_xlpm.r))),FALSE)</f>
        <v>1</v>
      </c>
      <c r="AG593" s="38" t="b" cm="1">
        <f t="array" ref="AG593">IFERROR(_xlfn.BYROW(TRACK_TYPES[[#This Row],[TRACK_TYPE_BROAD_GAUGE_RAILTYPE_OHLE]:[TRACK_TYPE_BROAD_GAUGE_RAILTYPE_NONE]],_xlfn.LAMBDA(_xlpm.r,OR(_xlpm.r))),FALSE)</f>
        <v>0</v>
      </c>
      <c r="AH5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3"/>
      <c r="AQ593"/>
      <c r="AR593"/>
    </row>
    <row r="594" spans="1:44" x14ac:dyDescent="0.35">
      <c r="A594" s="2" t="s">
        <v>3211</v>
      </c>
      <c r="B594" s="40" t="str">
        <f>_xlfn.XLOOKUP(PROPERTIES[[#This Row],[VEHIDCODE]],CONTROL[VEHIDCODE],CONTROL[ENGLISH])</f>
        <v>MVR Beh 2/4</v>
      </c>
      <c r="O594" t="b">
        <v>1</v>
      </c>
      <c r="AC594" s="2"/>
      <c r="AD594" s="2" t="b">
        <f>LEN(_xlfn.CONCAT(TRACK_TYPES[[#This Row],[TRACK_TYPE_STANDARD_GAUGE_RAILTYPE_OHLE]:[TRACK_TYPE_MTRO]]))&gt;0</f>
        <v>1</v>
      </c>
      <c r="AE594" s="38" t="b" cm="1">
        <f t="array" ref="AE594">IFERROR(_xlfn.BYROW(TRACK_TYPES[[#This Row],[TRACK_TYPE_STANDARD_GAUGE_RAILTYPE_OHLE]:[TRACK_TYPE_STANDARD_GAUGE_RAILTYPE_NONE]],_xlfn.LAMBDA(_xlpm.r,OR(_xlpm.r))),FALSE)</f>
        <v>0</v>
      </c>
      <c r="AF594" s="38" t="b" cm="1">
        <f t="array" ref="AF594">IFERROR(_xlfn.BYROW(TRACK_TYPES[[#This Row],[TRACK_TYPE_NARROW_GAUGE_RAILTYPE_OHLE]:[TRACK_TYPE_NARROW_GAUGE_RAILTYPE_NONE]],_xlfn.LAMBDA(_xlpm.r,OR(_xlpm.r))),FALSE)</f>
        <v>1</v>
      </c>
      <c r="AG594" s="38" t="b" cm="1">
        <f t="array" ref="AG594">IFERROR(_xlfn.BYROW(TRACK_TYPES[[#This Row],[TRACK_TYPE_BROAD_GAUGE_RAILTYPE_OHLE]:[TRACK_TYPE_BROAD_GAUGE_RAILTYPE_NONE]],_xlfn.LAMBDA(_xlpm.r,OR(_xlpm.r))),FALSE)</f>
        <v>0</v>
      </c>
      <c r="AH5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4"/>
      <c r="AQ594"/>
      <c r="AR594"/>
    </row>
    <row r="595" spans="1:44" x14ac:dyDescent="0.35">
      <c r="A595" s="2" t="s">
        <v>3212</v>
      </c>
      <c r="B595" s="40" t="str">
        <f>_xlfn.XLOOKUP(PROPERTIES[[#This Row],[VEHIDCODE]],CONTROL[VEHIDCODE],CONTROL[ENGLISH])</f>
        <v>Ferrocarril de Soller 1-3</v>
      </c>
      <c r="O595" t="b">
        <v>1</v>
      </c>
      <c r="AC595" s="2"/>
      <c r="AD595" s="2" t="b">
        <f>LEN(_xlfn.CONCAT(TRACK_TYPES[[#This Row],[TRACK_TYPE_STANDARD_GAUGE_RAILTYPE_OHLE]:[TRACK_TYPE_MTRO]]))&gt;0</f>
        <v>1</v>
      </c>
      <c r="AE595" s="38" t="b" cm="1">
        <f t="array" ref="AE595">IFERROR(_xlfn.BYROW(TRACK_TYPES[[#This Row],[TRACK_TYPE_STANDARD_GAUGE_RAILTYPE_OHLE]:[TRACK_TYPE_STANDARD_GAUGE_RAILTYPE_NONE]],_xlfn.LAMBDA(_xlpm.r,OR(_xlpm.r))),FALSE)</f>
        <v>0</v>
      </c>
      <c r="AF595" s="38" t="b" cm="1">
        <f t="array" ref="AF595">IFERROR(_xlfn.BYROW(TRACK_TYPES[[#This Row],[TRACK_TYPE_NARROW_GAUGE_RAILTYPE_OHLE]:[TRACK_TYPE_NARROW_GAUGE_RAILTYPE_NONE]],_xlfn.LAMBDA(_xlpm.r,OR(_xlpm.r))),FALSE)</f>
        <v>1</v>
      </c>
      <c r="AG595" s="38" t="b" cm="1">
        <f t="array" ref="AG595">IFERROR(_xlfn.BYROW(TRACK_TYPES[[#This Row],[TRACK_TYPE_BROAD_GAUGE_RAILTYPE_OHLE]:[TRACK_TYPE_BROAD_GAUGE_RAILTYPE_NONE]],_xlfn.LAMBDA(_xlpm.r,OR(_xlpm.r))),FALSE)</f>
        <v>0</v>
      </c>
      <c r="AH5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5"/>
      <c r="AQ595"/>
      <c r="AR595"/>
    </row>
    <row r="596" spans="1:44" x14ac:dyDescent="0.35">
      <c r="A596" s="2" t="s">
        <v>3213</v>
      </c>
      <c r="B596" s="40" t="str">
        <f>_xlfn.XLOOKUP(PROPERTIES[[#This Row],[VEHIDCODE]],CONTROL[VEHIDCODE],CONTROL[ENGLISH])</f>
        <v>Hitachi Choshi DeHa 1000</v>
      </c>
      <c r="O596" t="b">
        <v>1</v>
      </c>
      <c r="AC596" s="2"/>
      <c r="AD596" s="2" t="b">
        <f>LEN(_xlfn.CONCAT(TRACK_TYPES[[#This Row],[TRACK_TYPE_STANDARD_GAUGE_RAILTYPE_OHLE]:[TRACK_TYPE_MTRO]]))&gt;0</f>
        <v>1</v>
      </c>
      <c r="AE596" s="38" t="b" cm="1">
        <f t="array" ref="AE596">IFERROR(_xlfn.BYROW(TRACK_TYPES[[#This Row],[TRACK_TYPE_STANDARD_GAUGE_RAILTYPE_OHLE]:[TRACK_TYPE_STANDARD_GAUGE_RAILTYPE_NONE]],_xlfn.LAMBDA(_xlpm.r,OR(_xlpm.r))),FALSE)</f>
        <v>0</v>
      </c>
      <c r="AF596" s="38" t="b" cm="1">
        <f t="array" ref="AF596">IFERROR(_xlfn.BYROW(TRACK_TYPES[[#This Row],[TRACK_TYPE_NARROW_GAUGE_RAILTYPE_OHLE]:[TRACK_TYPE_NARROW_GAUGE_RAILTYPE_NONE]],_xlfn.LAMBDA(_xlpm.r,OR(_xlpm.r))),FALSE)</f>
        <v>1</v>
      </c>
      <c r="AG596" s="38" t="b" cm="1">
        <f t="array" ref="AG596">IFERROR(_xlfn.BYROW(TRACK_TYPES[[#This Row],[TRACK_TYPE_BROAD_GAUGE_RAILTYPE_OHLE]:[TRACK_TYPE_BROAD_GAUGE_RAILTYPE_NONE]],_xlfn.LAMBDA(_xlpm.r,OR(_xlpm.r))),FALSE)</f>
        <v>0</v>
      </c>
      <c r="AH5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6"/>
      <c r="AQ596"/>
      <c r="AR596"/>
    </row>
    <row r="597" spans="1:44" x14ac:dyDescent="0.35">
      <c r="A597" s="2" t="s">
        <v>3214</v>
      </c>
      <c r="B597" s="40" t="str">
        <f>_xlfn.XLOOKUP(PROPERTIES[[#This Row],[VEHIDCODE]],CONTROL[VEHIDCODE],CONTROL[ENGLISH])</f>
        <v>SLM G 3/4</v>
      </c>
      <c r="R597" s="2" t="b">
        <v>1</v>
      </c>
      <c r="AC597" s="2"/>
      <c r="AD597" s="2" t="b">
        <f>LEN(_xlfn.CONCAT(TRACK_TYPES[[#This Row],[TRACK_TYPE_STANDARD_GAUGE_RAILTYPE_OHLE]:[TRACK_TYPE_MTRO]]))&gt;0</f>
        <v>1</v>
      </c>
      <c r="AE597" s="38" t="b" cm="1">
        <f t="array" ref="AE597">IFERROR(_xlfn.BYROW(TRACK_TYPES[[#This Row],[TRACK_TYPE_STANDARD_GAUGE_RAILTYPE_OHLE]:[TRACK_TYPE_STANDARD_GAUGE_RAILTYPE_NONE]],_xlfn.LAMBDA(_xlpm.r,OR(_xlpm.r))),FALSE)</f>
        <v>0</v>
      </c>
      <c r="AF597" s="38" t="b" cm="1">
        <f t="array" ref="AF597">IFERROR(_xlfn.BYROW(TRACK_TYPES[[#This Row],[TRACK_TYPE_NARROW_GAUGE_RAILTYPE_OHLE]:[TRACK_TYPE_NARROW_GAUGE_RAILTYPE_NONE]],_xlfn.LAMBDA(_xlpm.r,OR(_xlpm.r))),FALSE)</f>
        <v>1</v>
      </c>
      <c r="AG597" s="38" t="b" cm="1">
        <f t="array" ref="AG597">IFERROR(_xlfn.BYROW(TRACK_TYPES[[#This Row],[TRACK_TYPE_BROAD_GAUGE_RAILTYPE_OHLE]:[TRACK_TYPE_BROAD_GAUGE_RAILTYPE_NONE]],_xlfn.LAMBDA(_xlpm.r,OR(_xlpm.r))),FALSE)</f>
        <v>0</v>
      </c>
      <c r="AH5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7"/>
      <c r="AQ597"/>
      <c r="AR597"/>
    </row>
    <row r="598" spans="1:44" x14ac:dyDescent="0.35">
      <c r="A598" s="2" t="s">
        <v>3215</v>
      </c>
      <c r="B598" s="40" t="str">
        <f>_xlfn.XLOOKUP(PROPERTIES[[#This Row],[VEHIDCODE]],CONTROL[VEHIDCODE],CONTROL[ENGLISH])</f>
        <v>Kisha Seizo 2-10-4T E10</v>
      </c>
      <c r="R598" s="2" t="b">
        <v>1</v>
      </c>
      <c r="AC598" s="2"/>
      <c r="AD598" s="2" t="b">
        <f>LEN(_xlfn.CONCAT(TRACK_TYPES[[#This Row],[TRACK_TYPE_STANDARD_GAUGE_RAILTYPE_OHLE]:[TRACK_TYPE_MTRO]]))&gt;0</f>
        <v>1</v>
      </c>
      <c r="AE598" s="38" t="b" cm="1">
        <f t="array" ref="AE598">IFERROR(_xlfn.BYROW(TRACK_TYPES[[#This Row],[TRACK_TYPE_STANDARD_GAUGE_RAILTYPE_OHLE]:[TRACK_TYPE_STANDARD_GAUGE_RAILTYPE_NONE]],_xlfn.LAMBDA(_xlpm.r,OR(_xlpm.r))),FALSE)</f>
        <v>0</v>
      </c>
      <c r="AF598" s="38" t="b" cm="1">
        <f t="array" ref="AF598">IFERROR(_xlfn.BYROW(TRACK_TYPES[[#This Row],[TRACK_TYPE_NARROW_GAUGE_RAILTYPE_OHLE]:[TRACK_TYPE_NARROW_GAUGE_RAILTYPE_NONE]],_xlfn.LAMBDA(_xlpm.r,OR(_xlpm.r))),FALSE)</f>
        <v>1</v>
      </c>
      <c r="AG598" s="38" t="b" cm="1">
        <f t="array" ref="AG598">IFERROR(_xlfn.BYROW(TRACK_TYPES[[#This Row],[TRACK_TYPE_BROAD_GAUGE_RAILTYPE_OHLE]:[TRACK_TYPE_BROAD_GAUGE_RAILTYPE_NONE]],_xlfn.LAMBDA(_xlpm.r,OR(_xlpm.r))),FALSE)</f>
        <v>0</v>
      </c>
      <c r="AH5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8"/>
      <c r="AQ598"/>
      <c r="AR598"/>
    </row>
    <row r="599" spans="1:44" x14ac:dyDescent="0.35">
      <c r="A599" s="2" t="s">
        <v>3216</v>
      </c>
      <c r="B599" s="40" t="str">
        <f>_xlfn.XLOOKUP(PROPERTIES[[#This Row],[VEHIDCODE]],CONTROL[VEHIDCODE],CONTROL[ENGLISH])</f>
        <v>H. K. Porter, Inc 2-6-0 7100</v>
      </c>
      <c r="R599" s="2" t="b">
        <v>1</v>
      </c>
      <c r="AC599" s="2"/>
      <c r="AD599" s="2" t="b">
        <f>LEN(_xlfn.CONCAT(TRACK_TYPES[[#This Row],[TRACK_TYPE_STANDARD_GAUGE_RAILTYPE_OHLE]:[TRACK_TYPE_MTRO]]))&gt;0</f>
        <v>1</v>
      </c>
      <c r="AE599" s="38" t="b" cm="1">
        <f t="array" ref="AE599">IFERROR(_xlfn.BYROW(TRACK_TYPES[[#This Row],[TRACK_TYPE_STANDARD_GAUGE_RAILTYPE_OHLE]:[TRACK_TYPE_STANDARD_GAUGE_RAILTYPE_NONE]],_xlfn.LAMBDA(_xlpm.r,OR(_xlpm.r))),FALSE)</f>
        <v>0</v>
      </c>
      <c r="AF599" s="38" t="b" cm="1">
        <f t="array" ref="AF599">IFERROR(_xlfn.BYROW(TRACK_TYPES[[#This Row],[TRACK_TYPE_NARROW_GAUGE_RAILTYPE_OHLE]:[TRACK_TYPE_NARROW_GAUGE_RAILTYPE_NONE]],_xlfn.LAMBDA(_xlpm.r,OR(_xlpm.r))),FALSE)</f>
        <v>1</v>
      </c>
      <c r="AG599" s="38" t="b" cm="1">
        <f t="array" ref="AG599">IFERROR(_xlfn.BYROW(TRACK_TYPES[[#This Row],[TRACK_TYPE_BROAD_GAUGE_RAILTYPE_OHLE]:[TRACK_TYPE_BROAD_GAUGE_RAILTYPE_NONE]],_xlfn.LAMBDA(_xlpm.r,OR(_xlpm.r))),FALSE)</f>
        <v>0</v>
      </c>
      <c r="AH5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9"/>
      <c r="AQ599"/>
      <c r="AR599"/>
    </row>
    <row r="600" spans="1:44" x14ac:dyDescent="0.35">
      <c r="A600" s="2" t="s">
        <v>3217</v>
      </c>
      <c r="B600" s="40" t="str">
        <f>_xlfn.XLOOKUP(PROPERTIES[[#This Row],[VEHIDCODE]],CONTROL[VEHIDCODE],CONTROL[ENGLISH])</f>
        <v>Richard Francis Trevithick 2-4-2T 860</v>
      </c>
      <c r="R600" s="2" t="b">
        <v>1</v>
      </c>
      <c r="AC600" s="2"/>
      <c r="AD600" s="2" t="b">
        <f>LEN(_xlfn.CONCAT(TRACK_TYPES[[#This Row],[TRACK_TYPE_STANDARD_GAUGE_RAILTYPE_OHLE]:[TRACK_TYPE_MTRO]]))&gt;0</f>
        <v>1</v>
      </c>
      <c r="AE600" s="38" t="b" cm="1">
        <f t="array" ref="AE600">IFERROR(_xlfn.BYROW(TRACK_TYPES[[#This Row],[TRACK_TYPE_STANDARD_GAUGE_RAILTYPE_OHLE]:[TRACK_TYPE_STANDARD_GAUGE_RAILTYPE_NONE]],_xlfn.LAMBDA(_xlpm.r,OR(_xlpm.r))),FALSE)</f>
        <v>0</v>
      </c>
      <c r="AF600" s="38" t="b" cm="1">
        <f t="array" ref="AF600">IFERROR(_xlfn.BYROW(TRACK_TYPES[[#This Row],[TRACK_TYPE_NARROW_GAUGE_RAILTYPE_OHLE]:[TRACK_TYPE_NARROW_GAUGE_RAILTYPE_NONE]],_xlfn.LAMBDA(_xlpm.r,OR(_xlpm.r))),FALSE)</f>
        <v>1</v>
      </c>
      <c r="AG600" s="38" t="b" cm="1">
        <f t="array" ref="AG600">IFERROR(_xlfn.BYROW(TRACK_TYPES[[#This Row],[TRACK_TYPE_BROAD_GAUGE_RAILTYPE_OHLE]:[TRACK_TYPE_BROAD_GAUGE_RAILTYPE_NONE]],_xlfn.LAMBDA(_xlpm.r,OR(_xlpm.r))),FALSE)</f>
        <v>0</v>
      </c>
      <c r="AH6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0"/>
      <c r="AQ600"/>
      <c r="AR600"/>
    </row>
    <row r="601" spans="1:44" x14ac:dyDescent="0.35">
      <c r="A601" s="2" t="s">
        <v>3218</v>
      </c>
      <c r="B601" s="40" t="str">
        <f>_xlfn.XLOOKUP(PROPERTIES[[#This Row],[VEHIDCODE]],CONTROL[VEHIDCODE],CONTROL[ENGLISH])</f>
        <v>Kawasaki 2-8-0 9600</v>
      </c>
      <c r="R601" s="2" t="b">
        <v>1</v>
      </c>
      <c r="AC601" s="2"/>
      <c r="AD601" s="2" t="b">
        <f>LEN(_xlfn.CONCAT(TRACK_TYPES[[#This Row],[TRACK_TYPE_STANDARD_GAUGE_RAILTYPE_OHLE]:[TRACK_TYPE_MTRO]]))&gt;0</f>
        <v>1</v>
      </c>
      <c r="AE601" s="38" t="b" cm="1">
        <f t="array" ref="AE601">IFERROR(_xlfn.BYROW(TRACK_TYPES[[#This Row],[TRACK_TYPE_STANDARD_GAUGE_RAILTYPE_OHLE]:[TRACK_TYPE_STANDARD_GAUGE_RAILTYPE_NONE]],_xlfn.LAMBDA(_xlpm.r,OR(_xlpm.r))),FALSE)</f>
        <v>0</v>
      </c>
      <c r="AF601" s="38" t="b" cm="1">
        <f t="array" ref="AF601">IFERROR(_xlfn.BYROW(TRACK_TYPES[[#This Row],[TRACK_TYPE_NARROW_GAUGE_RAILTYPE_OHLE]:[TRACK_TYPE_NARROW_GAUGE_RAILTYPE_NONE]],_xlfn.LAMBDA(_xlpm.r,OR(_xlpm.r))),FALSE)</f>
        <v>1</v>
      </c>
      <c r="AG601" s="38" t="b" cm="1">
        <f t="array" ref="AG601">IFERROR(_xlfn.BYROW(TRACK_TYPES[[#This Row],[TRACK_TYPE_BROAD_GAUGE_RAILTYPE_OHLE]:[TRACK_TYPE_BROAD_GAUGE_RAILTYPE_NONE]],_xlfn.LAMBDA(_xlpm.r,OR(_xlpm.r))),FALSE)</f>
        <v>0</v>
      </c>
      <c r="AH6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1"/>
      <c r="AQ601"/>
      <c r="AR601"/>
    </row>
    <row r="602" spans="1:44" x14ac:dyDescent="0.35">
      <c r="A602" s="2" t="s">
        <v>3219</v>
      </c>
      <c r="B602" s="40" t="str">
        <f>_xlfn.XLOOKUP(PROPERTIES[[#This Row],[VEHIDCODE]],CONTROL[VEHIDCODE],CONTROL[ENGLISH])</f>
        <v>Kawasaki 2-8-2 D50</v>
      </c>
      <c r="R602" s="2" t="b">
        <v>1</v>
      </c>
      <c r="AC602" s="2"/>
      <c r="AD602" s="2" t="b">
        <f>LEN(_xlfn.CONCAT(TRACK_TYPES[[#This Row],[TRACK_TYPE_STANDARD_GAUGE_RAILTYPE_OHLE]:[TRACK_TYPE_MTRO]]))&gt;0</f>
        <v>1</v>
      </c>
      <c r="AE602" s="38" t="b" cm="1">
        <f t="array" ref="AE602">IFERROR(_xlfn.BYROW(TRACK_TYPES[[#This Row],[TRACK_TYPE_STANDARD_GAUGE_RAILTYPE_OHLE]:[TRACK_TYPE_STANDARD_GAUGE_RAILTYPE_NONE]],_xlfn.LAMBDA(_xlpm.r,OR(_xlpm.r))),FALSE)</f>
        <v>0</v>
      </c>
      <c r="AF602" s="38" t="b" cm="1">
        <f t="array" ref="AF602">IFERROR(_xlfn.BYROW(TRACK_TYPES[[#This Row],[TRACK_TYPE_NARROW_GAUGE_RAILTYPE_OHLE]:[TRACK_TYPE_NARROW_GAUGE_RAILTYPE_NONE]],_xlfn.LAMBDA(_xlpm.r,OR(_xlpm.r))),FALSE)</f>
        <v>1</v>
      </c>
      <c r="AG602" s="38" t="b" cm="1">
        <f t="array" ref="AG602">IFERROR(_xlfn.BYROW(TRACK_TYPES[[#This Row],[TRACK_TYPE_BROAD_GAUGE_RAILTYPE_OHLE]:[TRACK_TYPE_BROAD_GAUGE_RAILTYPE_NONE]],_xlfn.LAMBDA(_xlpm.r,OR(_xlpm.r))),FALSE)</f>
        <v>0</v>
      </c>
      <c r="AH6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2"/>
      <c r="AQ602"/>
      <c r="AR602"/>
    </row>
    <row r="603" spans="1:44" x14ac:dyDescent="0.35">
      <c r="A603" s="2" t="s">
        <v>3220</v>
      </c>
      <c r="B603" s="40" t="str">
        <f>_xlfn.XLOOKUP(PROPERTIES[[#This Row],[VEHIDCODE]],CONTROL[VEHIDCODE],CONTROL[ENGLISH])</f>
        <v>Kisha/Mitsubishi/NS DF50</v>
      </c>
      <c r="R603" s="2" t="b">
        <v>1</v>
      </c>
      <c r="AC603" s="2"/>
      <c r="AD603" s="2" t="b">
        <f>LEN(_xlfn.CONCAT(TRACK_TYPES[[#This Row],[TRACK_TYPE_STANDARD_GAUGE_RAILTYPE_OHLE]:[TRACK_TYPE_MTRO]]))&gt;0</f>
        <v>1</v>
      </c>
      <c r="AE603" s="38" t="b" cm="1">
        <f t="array" ref="AE603">IFERROR(_xlfn.BYROW(TRACK_TYPES[[#This Row],[TRACK_TYPE_STANDARD_GAUGE_RAILTYPE_OHLE]:[TRACK_TYPE_STANDARD_GAUGE_RAILTYPE_NONE]],_xlfn.LAMBDA(_xlpm.r,OR(_xlpm.r))),FALSE)</f>
        <v>0</v>
      </c>
      <c r="AF603" s="38" t="b" cm="1">
        <f t="array" ref="AF603">IFERROR(_xlfn.BYROW(TRACK_TYPES[[#This Row],[TRACK_TYPE_NARROW_GAUGE_RAILTYPE_OHLE]:[TRACK_TYPE_NARROW_GAUGE_RAILTYPE_NONE]],_xlfn.LAMBDA(_xlpm.r,OR(_xlpm.r))),FALSE)</f>
        <v>1</v>
      </c>
      <c r="AG603" s="38" t="b" cm="1">
        <f t="array" ref="AG603">IFERROR(_xlfn.BYROW(TRACK_TYPES[[#This Row],[TRACK_TYPE_BROAD_GAUGE_RAILTYPE_OHLE]:[TRACK_TYPE_BROAD_GAUGE_RAILTYPE_NONE]],_xlfn.LAMBDA(_xlpm.r,OR(_xlpm.r))),FALSE)</f>
        <v>0</v>
      </c>
      <c r="AH6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3"/>
      <c r="AQ603"/>
      <c r="AR603"/>
    </row>
    <row r="604" spans="1:44" x14ac:dyDescent="0.35">
      <c r="A604" s="2" t="s">
        <v>3221</v>
      </c>
      <c r="B604" s="40" t="str">
        <f>_xlfn.XLOOKUP(PROPERTIES[[#This Row],[VEHIDCODE]],CONTROL[VEHIDCODE],CONTROL[ENGLISH])</f>
        <v>SIG Alioth De 2/2</v>
      </c>
      <c r="O604" t="b">
        <v>1</v>
      </c>
      <c r="AC604" s="2"/>
      <c r="AD604" s="2" t="b">
        <f>LEN(_xlfn.CONCAT(TRACK_TYPES[[#This Row],[TRACK_TYPE_STANDARD_GAUGE_RAILTYPE_OHLE]:[TRACK_TYPE_MTRO]]))&gt;0</f>
        <v>1</v>
      </c>
      <c r="AE604" s="38" t="b" cm="1">
        <f t="array" ref="AE604">IFERROR(_xlfn.BYROW(TRACK_TYPES[[#This Row],[TRACK_TYPE_STANDARD_GAUGE_RAILTYPE_OHLE]:[TRACK_TYPE_STANDARD_GAUGE_RAILTYPE_NONE]],_xlfn.LAMBDA(_xlpm.r,OR(_xlpm.r))),FALSE)</f>
        <v>0</v>
      </c>
      <c r="AF604" s="38" t="b" cm="1">
        <f t="array" ref="AF604">IFERROR(_xlfn.BYROW(TRACK_TYPES[[#This Row],[TRACK_TYPE_NARROW_GAUGE_RAILTYPE_OHLE]:[TRACK_TYPE_NARROW_GAUGE_RAILTYPE_NONE]],_xlfn.LAMBDA(_xlpm.r,OR(_xlpm.r))),FALSE)</f>
        <v>1</v>
      </c>
      <c r="AG604" s="38" t="b" cm="1">
        <f t="array" ref="AG604">IFERROR(_xlfn.BYROW(TRACK_TYPES[[#This Row],[TRACK_TYPE_BROAD_GAUGE_RAILTYPE_OHLE]:[TRACK_TYPE_BROAD_GAUGE_RAILTYPE_NONE]],_xlfn.LAMBDA(_xlpm.r,OR(_xlpm.r))),FALSE)</f>
        <v>0</v>
      </c>
      <c r="AH6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4"/>
      <c r="AQ604"/>
      <c r="AR604"/>
    </row>
    <row r="605" spans="1:44" x14ac:dyDescent="0.35">
      <c r="A605" s="2" t="s">
        <v>3222</v>
      </c>
      <c r="B605" s="40" t="str">
        <f>_xlfn.XLOOKUP(PROPERTIES[[#This Row],[VEHIDCODE]],CONTROL[VEHIDCODE],CONTROL[ENGLISH])</f>
        <v>Toshiba EH10</v>
      </c>
      <c r="O605" t="b">
        <v>1</v>
      </c>
      <c r="AC605" s="2"/>
      <c r="AD605" s="2" t="b">
        <f>LEN(_xlfn.CONCAT(TRACK_TYPES[[#This Row],[TRACK_TYPE_STANDARD_GAUGE_RAILTYPE_OHLE]:[TRACK_TYPE_MTRO]]))&gt;0</f>
        <v>1</v>
      </c>
      <c r="AE605" s="38" t="b" cm="1">
        <f t="array" ref="AE605">IFERROR(_xlfn.BYROW(TRACK_TYPES[[#This Row],[TRACK_TYPE_STANDARD_GAUGE_RAILTYPE_OHLE]:[TRACK_TYPE_STANDARD_GAUGE_RAILTYPE_NONE]],_xlfn.LAMBDA(_xlpm.r,OR(_xlpm.r))),FALSE)</f>
        <v>0</v>
      </c>
      <c r="AF605" s="38" t="b" cm="1">
        <f t="array" ref="AF605">IFERROR(_xlfn.BYROW(TRACK_TYPES[[#This Row],[TRACK_TYPE_NARROW_GAUGE_RAILTYPE_OHLE]:[TRACK_TYPE_NARROW_GAUGE_RAILTYPE_NONE]],_xlfn.LAMBDA(_xlpm.r,OR(_xlpm.r))),FALSE)</f>
        <v>1</v>
      </c>
      <c r="AG605" s="38" t="b" cm="1">
        <f t="array" ref="AG605">IFERROR(_xlfn.BYROW(TRACK_TYPES[[#This Row],[TRACK_TYPE_BROAD_GAUGE_RAILTYPE_OHLE]:[TRACK_TYPE_BROAD_GAUGE_RAILTYPE_NONE]],_xlfn.LAMBDA(_xlpm.r,OR(_xlpm.r))),FALSE)</f>
        <v>0</v>
      </c>
      <c r="AH6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5"/>
      <c r="AQ605"/>
      <c r="AR605"/>
    </row>
    <row r="606" spans="1:44" x14ac:dyDescent="0.35">
      <c r="A606" s="2" t="s">
        <v>3223</v>
      </c>
      <c r="B606" s="40" t="str">
        <f>_xlfn.XLOOKUP(PROPERTIES[[#This Row],[VEHIDCODE]],CONTROL[VEHIDCODE],CONTROL[ENGLISH])</f>
        <v>Kawasaki/Toshiba EF64</v>
      </c>
      <c r="O606" t="b">
        <v>1</v>
      </c>
      <c r="AC606" s="2"/>
      <c r="AD606" s="2" t="b">
        <f>LEN(_xlfn.CONCAT(TRACK_TYPES[[#This Row],[TRACK_TYPE_STANDARD_GAUGE_RAILTYPE_OHLE]:[TRACK_TYPE_MTRO]]))&gt;0</f>
        <v>1</v>
      </c>
      <c r="AE606" s="38" t="b" cm="1">
        <f t="array" ref="AE606">IFERROR(_xlfn.BYROW(TRACK_TYPES[[#This Row],[TRACK_TYPE_STANDARD_GAUGE_RAILTYPE_OHLE]:[TRACK_TYPE_STANDARD_GAUGE_RAILTYPE_NONE]],_xlfn.LAMBDA(_xlpm.r,OR(_xlpm.r))),FALSE)</f>
        <v>0</v>
      </c>
      <c r="AF606" s="38" t="b" cm="1">
        <f t="array" ref="AF606">IFERROR(_xlfn.BYROW(TRACK_TYPES[[#This Row],[TRACK_TYPE_NARROW_GAUGE_RAILTYPE_OHLE]:[TRACK_TYPE_NARROW_GAUGE_RAILTYPE_NONE]],_xlfn.LAMBDA(_xlpm.r,OR(_xlpm.r))),FALSE)</f>
        <v>1</v>
      </c>
      <c r="AG606" s="38" t="b" cm="1">
        <f t="array" ref="AG606">IFERROR(_xlfn.BYROW(TRACK_TYPES[[#This Row],[TRACK_TYPE_BROAD_GAUGE_RAILTYPE_OHLE]:[TRACK_TYPE_BROAD_GAUGE_RAILTYPE_NONE]],_xlfn.LAMBDA(_xlpm.r,OR(_xlpm.r))),FALSE)</f>
        <v>0</v>
      </c>
      <c r="AH6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6"/>
      <c r="AQ606"/>
      <c r="AR606"/>
    </row>
    <row r="607" spans="1:44" x14ac:dyDescent="0.35">
      <c r="A607" s="2" t="s">
        <v>3224</v>
      </c>
      <c r="B607" s="40" t="str">
        <f>_xlfn.XLOOKUP(PROPERTIES[[#This Row],[VEHIDCODE]],CONTROL[VEHIDCODE],CONTROL[ENGLISH])</f>
        <v>EEC EO Class</v>
      </c>
      <c r="O607" t="b">
        <v>1</v>
      </c>
      <c r="AC607" s="2"/>
      <c r="AD607" s="2" t="b">
        <f>LEN(_xlfn.CONCAT(TRACK_TYPES[[#This Row],[TRACK_TYPE_STANDARD_GAUGE_RAILTYPE_OHLE]:[TRACK_TYPE_MTRO]]))&gt;0</f>
        <v>1</v>
      </c>
      <c r="AE607" s="38" t="b" cm="1">
        <f t="array" ref="AE607">IFERROR(_xlfn.BYROW(TRACK_TYPES[[#This Row],[TRACK_TYPE_STANDARD_GAUGE_RAILTYPE_OHLE]:[TRACK_TYPE_STANDARD_GAUGE_RAILTYPE_NONE]],_xlfn.LAMBDA(_xlpm.r,OR(_xlpm.r))),FALSE)</f>
        <v>0</v>
      </c>
      <c r="AF607" s="38" t="b" cm="1">
        <f t="array" ref="AF607">IFERROR(_xlfn.BYROW(TRACK_TYPES[[#This Row],[TRACK_TYPE_NARROW_GAUGE_RAILTYPE_OHLE]:[TRACK_TYPE_NARROW_GAUGE_RAILTYPE_NONE]],_xlfn.LAMBDA(_xlpm.r,OR(_xlpm.r))),FALSE)</f>
        <v>1</v>
      </c>
      <c r="AG607" s="38" t="b" cm="1">
        <f t="array" ref="AG607">IFERROR(_xlfn.BYROW(TRACK_TYPES[[#This Row],[TRACK_TYPE_BROAD_GAUGE_RAILTYPE_OHLE]:[TRACK_TYPE_BROAD_GAUGE_RAILTYPE_NONE]],_xlfn.LAMBDA(_xlpm.r,OR(_xlpm.r))),FALSE)</f>
        <v>0</v>
      </c>
      <c r="AH6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7"/>
      <c r="AQ607"/>
      <c r="AR607"/>
    </row>
    <row r="608" spans="1:44" x14ac:dyDescent="0.35">
      <c r="A608" s="2" t="s">
        <v>3225</v>
      </c>
      <c r="B608" s="40" t="str">
        <f>_xlfn.XLOOKUP(PROPERTIES[[#This Row],[VEHIDCODE]],CONTROL[VEHIDCODE],CONTROL[ENGLISH])</f>
        <v>Tulloch 0-6-0DM 'W' Class DNU WRONG</v>
      </c>
      <c r="O608" t="b">
        <v>1</v>
      </c>
      <c r="AC608" s="2"/>
      <c r="AD608" s="2" t="b">
        <f>LEN(_xlfn.CONCAT(TRACK_TYPES[[#This Row],[TRACK_TYPE_STANDARD_GAUGE_RAILTYPE_OHLE]:[TRACK_TYPE_MTRO]]))&gt;0</f>
        <v>1</v>
      </c>
      <c r="AE608" s="38" t="b" cm="1">
        <f t="array" ref="AE608">IFERROR(_xlfn.BYROW(TRACK_TYPES[[#This Row],[TRACK_TYPE_STANDARD_GAUGE_RAILTYPE_OHLE]:[TRACK_TYPE_STANDARD_GAUGE_RAILTYPE_NONE]],_xlfn.LAMBDA(_xlpm.r,OR(_xlpm.r))),FALSE)</f>
        <v>0</v>
      </c>
      <c r="AF608" s="38" t="b" cm="1">
        <f t="array" ref="AF608">IFERROR(_xlfn.BYROW(TRACK_TYPES[[#This Row],[TRACK_TYPE_NARROW_GAUGE_RAILTYPE_OHLE]:[TRACK_TYPE_NARROW_GAUGE_RAILTYPE_NONE]],_xlfn.LAMBDA(_xlpm.r,OR(_xlpm.r))),FALSE)</f>
        <v>1</v>
      </c>
      <c r="AG608" s="38" t="b" cm="1">
        <f t="array" ref="AG608">IFERROR(_xlfn.BYROW(TRACK_TYPES[[#This Row],[TRACK_TYPE_BROAD_GAUGE_RAILTYPE_OHLE]:[TRACK_TYPE_BROAD_GAUGE_RAILTYPE_NONE]],_xlfn.LAMBDA(_xlpm.r,OR(_xlpm.r))),FALSE)</f>
        <v>0</v>
      </c>
      <c r="AH6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8"/>
      <c r="AQ608"/>
      <c r="AR608"/>
    </row>
    <row r="609" spans="1:44" x14ac:dyDescent="0.35">
      <c r="A609" s="2" t="s">
        <v>3226</v>
      </c>
      <c r="B609" s="40" t="str">
        <f>_xlfn.XLOOKUP(PROPERTIES[[#This Row],[VEHIDCODE]],CONTROL[VEHIDCODE],CONTROL[ENGLISH])</f>
        <v xml:space="preserve">GEC/NBLC SAR 4E </v>
      </c>
      <c r="N609" t="b">
        <v>1</v>
      </c>
      <c r="AC609" s="2"/>
      <c r="AD609" s="2" t="b">
        <f>LEN(_xlfn.CONCAT(TRACK_TYPES[[#This Row],[TRACK_TYPE_STANDARD_GAUGE_RAILTYPE_OHLE]:[TRACK_TYPE_MTRO]]))&gt;0</f>
        <v>1</v>
      </c>
      <c r="AE609" s="38" t="b" cm="1">
        <f t="array" ref="AE609">IFERROR(_xlfn.BYROW(TRACK_TYPES[[#This Row],[TRACK_TYPE_STANDARD_GAUGE_RAILTYPE_OHLE]:[TRACK_TYPE_STANDARD_GAUGE_RAILTYPE_NONE]],_xlfn.LAMBDA(_xlpm.r,OR(_xlpm.r))),FALSE)</f>
        <v>0</v>
      </c>
      <c r="AF609" s="38" t="b" cm="1">
        <f t="array" ref="AF609">IFERROR(_xlfn.BYROW(TRACK_TYPES[[#This Row],[TRACK_TYPE_NARROW_GAUGE_RAILTYPE_OHLE]:[TRACK_TYPE_NARROW_GAUGE_RAILTYPE_NONE]],_xlfn.LAMBDA(_xlpm.r,OR(_xlpm.r))),FALSE)</f>
        <v>1</v>
      </c>
      <c r="AG609" s="38" t="b" cm="1">
        <f t="array" ref="AG609">IFERROR(_xlfn.BYROW(TRACK_TYPES[[#This Row],[TRACK_TYPE_BROAD_GAUGE_RAILTYPE_OHLE]:[TRACK_TYPE_BROAD_GAUGE_RAILTYPE_NONE]],_xlfn.LAMBDA(_xlpm.r,OR(_xlpm.r))),FALSE)</f>
        <v>0</v>
      </c>
      <c r="AH6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9"/>
      <c r="AQ609"/>
      <c r="AR609"/>
    </row>
    <row r="610" spans="1:44" x14ac:dyDescent="0.35">
      <c r="A610" s="2" t="s">
        <v>3227</v>
      </c>
      <c r="B610" s="40" t="str">
        <f>_xlfn.XLOOKUP(PROPERTIES[[#This Row],[VEHIDCODE]],CONTROL[VEHIDCODE],CONTROL[ENGLISH])</f>
        <v>Metrowick MV 5E1</v>
      </c>
      <c r="N610" t="b">
        <v>1</v>
      </c>
      <c r="AC610" s="2"/>
      <c r="AD610" s="2" t="b">
        <f>LEN(_xlfn.CONCAT(TRACK_TYPES[[#This Row],[TRACK_TYPE_STANDARD_GAUGE_RAILTYPE_OHLE]:[TRACK_TYPE_MTRO]]))&gt;0</f>
        <v>1</v>
      </c>
      <c r="AE610" s="38" t="b" cm="1">
        <f t="array" ref="AE610">IFERROR(_xlfn.BYROW(TRACK_TYPES[[#This Row],[TRACK_TYPE_STANDARD_GAUGE_RAILTYPE_OHLE]:[TRACK_TYPE_STANDARD_GAUGE_RAILTYPE_NONE]],_xlfn.LAMBDA(_xlpm.r,OR(_xlpm.r))),FALSE)</f>
        <v>0</v>
      </c>
      <c r="AF610" s="38" t="b" cm="1">
        <f t="array" ref="AF610">IFERROR(_xlfn.BYROW(TRACK_TYPES[[#This Row],[TRACK_TYPE_NARROW_GAUGE_RAILTYPE_OHLE]:[TRACK_TYPE_NARROW_GAUGE_RAILTYPE_NONE]],_xlfn.LAMBDA(_xlpm.r,OR(_xlpm.r))),FALSE)</f>
        <v>1</v>
      </c>
      <c r="AG610" s="38" t="b" cm="1">
        <f t="array" ref="AG610">IFERROR(_xlfn.BYROW(TRACK_TYPES[[#This Row],[TRACK_TYPE_BROAD_GAUGE_RAILTYPE_OHLE]:[TRACK_TYPE_BROAD_GAUGE_RAILTYPE_NONE]],_xlfn.LAMBDA(_xlpm.r,OR(_xlpm.r))),FALSE)</f>
        <v>0</v>
      </c>
      <c r="AH6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0"/>
      <c r="AQ610"/>
      <c r="AR610"/>
    </row>
    <row r="611" spans="1:44" x14ac:dyDescent="0.35">
      <c r="A611" s="2" t="s">
        <v>3228</v>
      </c>
      <c r="B611" s="40" t="str">
        <f>_xlfn.XLOOKUP(PROPERTIES[[#This Row],[VEHIDCODE]],CONTROL[VEHIDCODE],CONTROL[ENGLISH])</f>
        <v>UCW 6E</v>
      </c>
      <c r="N611" t="b">
        <v>1</v>
      </c>
      <c r="AC611" s="2"/>
      <c r="AD611" s="2" t="b">
        <f>LEN(_xlfn.CONCAT(TRACK_TYPES[[#This Row],[TRACK_TYPE_STANDARD_GAUGE_RAILTYPE_OHLE]:[TRACK_TYPE_MTRO]]))&gt;0</f>
        <v>1</v>
      </c>
      <c r="AE611" s="38" t="b" cm="1">
        <f t="array" ref="AE611">IFERROR(_xlfn.BYROW(TRACK_TYPES[[#This Row],[TRACK_TYPE_STANDARD_GAUGE_RAILTYPE_OHLE]:[TRACK_TYPE_STANDARD_GAUGE_RAILTYPE_NONE]],_xlfn.LAMBDA(_xlpm.r,OR(_xlpm.r))),FALSE)</f>
        <v>0</v>
      </c>
      <c r="AF611" s="38" t="b" cm="1">
        <f t="array" ref="AF611">IFERROR(_xlfn.BYROW(TRACK_TYPES[[#This Row],[TRACK_TYPE_NARROW_GAUGE_RAILTYPE_OHLE]:[TRACK_TYPE_NARROW_GAUGE_RAILTYPE_NONE]],_xlfn.LAMBDA(_xlpm.r,OR(_xlpm.r))),FALSE)</f>
        <v>1</v>
      </c>
      <c r="AG611" s="38" t="b" cm="1">
        <f t="array" ref="AG611">IFERROR(_xlfn.BYROW(TRACK_TYPES[[#This Row],[TRACK_TYPE_BROAD_GAUGE_RAILTYPE_OHLE]:[TRACK_TYPE_BROAD_GAUGE_RAILTYPE_NONE]],_xlfn.LAMBDA(_xlpm.r,OR(_xlpm.r))),FALSE)</f>
        <v>0</v>
      </c>
      <c r="AH6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1"/>
      <c r="AQ611"/>
      <c r="AR611"/>
    </row>
    <row r="612" spans="1:44" x14ac:dyDescent="0.35">
      <c r="A612" s="2" t="s">
        <v>3229</v>
      </c>
      <c r="B612" s="40" t="str">
        <f>_xlfn.XLOOKUP(PROPERTIES[[#This Row],[VEHIDCODE]],CONTROL[VEHIDCODE],CONTROL[ENGLISH])</f>
        <v>SLM/BBC/MFO Ge 4/4 I</v>
      </c>
      <c r="O612" t="b">
        <v>1</v>
      </c>
      <c r="AC612" s="2"/>
      <c r="AD612" s="2" t="b">
        <f>LEN(_xlfn.CONCAT(TRACK_TYPES[[#This Row],[TRACK_TYPE_STANDARD_GAUGE_RAILTYPE_OHLE]:[TRACK_TYPE_MTRO]]))&gt;0</f>
        <v>1</v>
      </c>
      <c r="AE612" s="38" t="b" cm="1">
        <f t="array" ref="AE612">IFERROR(_xlfn.BYROW(TRACK_TYPES[[#This Row],[TRACK_TYPE_STANDARD_GAUGE_RAILTYPE_OHLE]:[TRACK_TYPE_STANDARD_GAUGE_RAILTYPE_NONE]],_xlfn.LAMBDA(_xlpm.r,OR(_xlpm.r))),FALSE)</f>
        <v>0</v>
      </c>
      <c r="AF612" s="38" t="b" cm="1">
        <f t="array" ref="AF612">IFERROR(_xlfn.BYROW(TRACK_TYPES[[#This Row],[TRACK_TYPE_NARROW_GAUGE_RAILTYPE_OHLE]:[TRACK_TYPE_NARROW_GAUGE_RAILTYPE_NONE]],_xlfn.LAMBDA(_xlpm.r,OR(_xlpm.r))),FALSE)</f>
        <v>1</v>
      </c>
      <c r="AG612" s="38" t="b" cm="1">
        <f t="array" ref="AG612">IFERROR(_xlfn.BYROW(TRACK_TYPES[[#This Row],[TRACK_TYPE_BROAD_GAUGE_RAILTYPE_OHLE]:[TRACK_TYPE_BROAD_GAUGE_RAILTYPE_NONE]],_xlfn.LAMBDA(_xlpm.r,OR(_xlpm.r))),FALSE)</f>
        <v>0</v>
      </c>
      <c r="AH6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2"/>
      <c r="AQ612"/>
      <c r="AR612"/>
    </row>
    <row r="613" spans="1:44" x14ac:dyDescent="0.35">
      <c r="A613" s="2" t="s">
        <v>3230</v>
      </c>
      <c r="B613" s="40" t="str">
        <f>_xlfn.XLOOKUP(PROPERTIES[[#This Row],[VEHIDCODE]],CONTROL[VEHIDCODE],CONTROL[ENGLISH])</f>
        <v>SLM/BBC/MFO Ge 6/6 'Krokodil'</v>
      </c>
      <c r="M613" t="b">
        <v>1</v>
      </c>
      <c r="AC613" s="2"/>
      <c r="AD613" s="2" t="b">
        <f>LEN(_xlfn.CONCAT(TRACK_TYPES[[#This Row],[TRACK_TYPE_STANDARD_GAUGE_RAILTYPE_OHLE]:[TRACK_TYPE_MTRO]]))&gt;0</f>
        <v>1</v>
      </c>
      <c r="AE613" s="38" t="b" cm="1">
        <f t="array" ref="AE613">IFERROR(_xlfn.BYROW(TRACK_TYPES[[#This Row],[TRACK_TYPE_STANDARD_GAUGE_RAILTYPE_OHLE]:[TRACK_TYPE_STANDARD_GAUGE_RAILTYPE_NONE]],_xlfn.LAMBDA(_xlpm.r,OR(_xlpm.r))),FALSE)</f>
        <v>0</v>
      </c>
      <c r="AF613" s="38" t="b" cm="1">
        <f t="array" ref="AF613">IFERROR(_xlfn.BYROW(TRACK_TYPES[[#This Row],[TRACK_TYPE_NARROW_GAUGE_RAILTYPE_OHLE]:[TRACK_TYPE_NARROW_GAUGE_RAILTYPE_NONE]],_xlfn.LAMBDA(_xlpm.r,OR(_xlpm.r))),FALSE)</f>
        <v>1</v>
      </c>
      <c r="AG613" s="38" t="b" cm="1">
        <f t="array" ref="AG613">IFERROR(_xlfn.BYROW(TRACK_TYPES[[#This Row],[TRACK_TYPE_BROAD_GAUGE_RAILTYPE_OHLE]:[TRACK_TYPE_BROAD_GAUGE_RAILTYPE_NONE]],_xlfn.LAMBDA(_xlpm.r,OR(_xlpm.r))),FALSE)</f>
        <v>0</v>
      </c>
      <c r="AH6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3"/>
      <c r="AQ613"/>
      <c r="AR613"/>
    </row>
    <row r="614" spans="1:44" x14ac:dyDescent="0.35">
      <c r="A614" s="2" t="s">
        <v>3231</v>
      </c>
      <c r="B614" s="40" t="str">
        <f>_xlfn.XLOOKUP(PROPERTIES[[#This Row],[VEHIDCODE]],CONTROL[VEHIDCODE],CONTROL[ENGLISH])</f>
        <v>Stadler He 4/4</v>
      </c>
      <c r="V614" t="b">
        <v>1</v>
      </c>
      <c r="AC614" s="2"/>
      <c r="AD614" s="2" t="b">
        <f>LEN(_xlfn.CONCAT(TRACK_TYPES[[#This Row],[TRACK_TYPE_STANDARD_GAUGE_RAILTYPE_OHLE]:[TRACK_TYPE_MTRO]]))&gt;0</f>
        <v>1</v>
      </c>
      <c r="AE614" s="38" t="b" cm="1">
        <f t="array" ref="AE614">IFERROR(_xlfn.BYROW(TRACK_TYPES[[#This Row],[TRACK_TYPE_STANDARD_GAUGE_RAILTYPE_OHLE]:[TRACK_TYPE_STANDARD_GAUGE_RAILTYPE_NONE]],_xlfn.LAMBDA(_xlpm.r,OR(_xlpm.r))),FALSE)</f>
        <v>0</v>
      </c>
      <c r="AF614" s="38" t="b" cm="1">
        <f t="array" ref="AF614">IFERROR(_xlfn.BYROW(TRACK_TYPES[[#This Row],[TRACK_TYPE_NARROW_GAUGE_RAILTYPE_OHLE]:[TRACK_TYPE_NARROW_GAUGE_RAILTYPE_NONE]],_xlfn.LAMBDA(_xlpm.r,OR(_xlpm.r))),FALSE)</f>
        <v>0</v>
      </c>
      <c r="AG614" s="38" t="b" cm="1">
        <f t="array" ref="AG614">IFERROR(_xlfn.BYROW(TRACK_TYPES[[#This Row],[TRACK_TYPE_BROAD_GAUGE_RAILTYPE_OHLE]:[TRACK_TYPE_BROAD_GAUGE_RAILTYPE_NONE]],_xlfn.LAMBDA(_xlpm.r,OR(_xlpm.r))),FALSE)</f>
        <v>1</v>
      </c>
      <c r="AH6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14"/>
      <c r="AQ614"/>
      <c r="AR614"/>
    </row>
    <row r="615" spans="1:44" x14ac:dyDescent="0.35">
      <c r="A615" s="2" t="s">
        <v>3232</v>
      </c>
      <c r="B615" s="40" t="str">
        <f>_xlfn.XLOOKUP(PROPERTIES[[#This Row],[VEHIDCODE]],CONTROL[VEHIDCODE],CONTROL[ENGLISH])</f>
        <v>UCW 50 c/s Group 7E</v>
      </c>
      <c r="L615" t="b">
        <v>1</v>
      </c>
      <c r="AC615" s="2"/>
      <c r="AD615" s="2" t="b">
        <f>LEN(_xlfn.CONCAT(TRACK_TYPES[[#This Row],[TRACK_TYPE_STANDARD_GAUGE_RAILTYPE_OHLE]:[TRACK_TYPE_MTRO]]))&gt;0</f>
        <v>1</v>
      </c>
      <c r="AE615" s="38" t="b" cm="1">
        <f t="array" ref="AE615">IFERROR(_xlfn.BYROW(TRACK_TYPES[[#This Row],[TRACK_TYPE_STANDARD_GAUGE_RAILTYPE_OHLE]:[TRACK_TYPE_STANDARD_GAUGE_RAILTYPE_NONE]],_xlfn.LAMBDA(_xlpm.r,OR(_xlpm.r))),FALSE)</f>
        <v>0</v>
      </c>
      <c r="AF615" s="38" t="b" cm="1">
        <f t="array" ref="AF615">IFERROR(_xlfn.BYROW(TRACK_TYPES[[#This Row],[TRACK_TYPE_NARROW_GAUGE_RAILTYPE_OHLE]:[TRACK_TYPE_NARROW_GAUGE_RAILTYPE_NONE]],_xlfn.LAMBDA(_xlpm.r,OR(_xlpm.r))),FALSE)</f>
        <v>1</v>
      </c>
      <c r="AG615" s="38" t="b" cm="1">
        <f t="array" ref="AG615">IFERROR(_xlfn.BYROW(TRACK_TYPES[[#This Row],[TRACK_TYPE_BROAD_GAUGE_RAILTYPE_OHLE]:[TRACK_TYPE_BROAD_GAUGE_RAILTYPE_NONE]],_xlfn.LAMBDA(_xlpm.r,OR(_xlpm.r))),FALSE)</f>
        <v>0</v>
      </c>
      <c r="AH6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5"/>
      <c r="AQ615"/>
      <c r="AR615"/>
    </row>
    <row r="616" spans="1:44" x14ac:dyDescent="0.35">
      <c r="A616" s="2" t="s">
        <v>3233</v>
      </c>
      <c r="B616" s="40" t="str">
        <f>_xlfn.XLOOKUP(PROPERTIES[[#This Row],[VEHIDCODE]],CONTROL[VEHIDCODE],CONTROL[ENGLISH])</f>
        <v>General Motors GM5FC</v>
      </c>
      <c r="L616" t="b">
        <v>1</v>
      </c>
      <c r="AC616" s="2"/>
      <c r="AD616" s="2" t="b">
        <f>LEN(_xlfn.CONCAT(TRACK_TYPES[[#This Row],[TRACK_TYPE_STANDARD_GAUGE_RAILTYPE_OHLE]:[TRACK_TYPE_MTRO]]))&gt;0</f>
        <v>1</v>
      </c>
      <c r="AE616" s="38" t="b" cm="1">
        <f t="array" ref="AE616">IFERROR(_xlfn.BYROW(TRACK_TYPES[[#This Row],[TRACK_TYPE_STANDARD_GAUGE_RAILTYPE_OHLE]:[TRACK_TYPE_STANDARD_GAUGE_RAILTYPE_NONE]],_xlfn.LAMBDA(_xlpm.r,OR(_xlpm.r))),FALSE)</f>
        <v>0</v>
      </c>
      <c r="AF616" s="38" t="b" cm="1">
        <f t="array" ref="AF616">IFERROR(_xlfn.BYROW(TRACK_TYPES[[#This Row],[TRACK_TYPE_NARROW_GAUGE_RAILTYPE_OHLE]:[TRACK_TYPE_NARROW_GAUGE_RAILTYPE_NONE]],_xlfn.LAMBDA(_xlpm.r,OR(_xlpm.r))),FALSE)</f>
        <v>1</v>
      </c>
      <c r="AG616" s="38" t="b" cm="1">
        <f t="array" ref="AG616">IFERROR(_xlfn.BYROW(TRACK_TYPES[[#This Row],[TRACK_TYPE_BROAD_GAUGE_RAILTYPE_OHLE]:[TRACK_TYPE_BROAD_GAUGE_RAILTYPE_NONE]],_xlfn.LAMBDA(_xlpm.r,OR(_xlpm.r))),FALSE)</f>
        <v>0</v>
      </c>
      <c r="AH6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6"/>
      <c r="AQ616"/>
      <c r="AR616"/>
    </row>
    <row r="617" spans="1:44" x14ac:dyDescent="0.35">
      <c r="A617" s="2" t="s">
        <v>3234</v>
      </c>
      <c r="B617" s="40" t="str">
        <f>_xlfn.XLOOKUP(PROPERTIES[[#This Row],[VEHIDCODE]],CONTROL[VEHIDCODE],CONTROL[ENGLISH])</f>
        <v>Brush EF Class</v>
      </c>
      <c r="L617" t="b">
        <v>1</v>
      </c>
      <c r="AC617" s="2"/>
      <c r="AD617" s="2" t="b">
        <f>LEN(_xlfn.CONCAT(TRACK_TYPES[[#This Row],[TRACK_TYPE_STANDARD_GAUGE_RAILTYPE_OHLE]:[TRACK_TYPE_MTRO]]))&gt;0</f>
        <v>1</v>
      </c>
      <c r="AE617" s="38" t="b" cm="1">
        <f t="array" ref="AE617">IFERROR(_xlfn.BYROW(TRACK_TYPES[[#This Row],[TRACK_TYPE_STANDARD_GAUGE_RAILTYPE_OHLE]:[TRACK_TYPE_STANDARD_GAUGE_RAILTYPE_NONE]],_xlfn.LAMBDA(_xlpm.r,OR(_xlpm.r))),FALSE)</f>
        <v>0</v>
      </c>
      <c r="AF617" s="38" t="b" cm="1">
        <f t="array" ref="AF617">IFERROR(_xlfn.BYROW(TRACK_TYPES[[#This Row],[TRACK_TYPE_NARROW_GAUGE_RAILTYPE_OHLE]:[TRACK_TYPE_NARROW_GAUGE_RAILTYPE_NONE]],_xlfn.LAMBDA(_xlpm.r,OR(_xlpm.r))),FALSE)</f>
        <v>1</v>
      </c>
      <c r="AG617" s="38" t="b" cm="1">
        <f t="array" ref="AG617">IFERROR(_xlfn.BYROW(TRACK_TYPES[[#This Row],[TRACK_TYPE_BROAD_GAUGE_RAILTYPE_OHLE]:[TRACK_TYPE_BROAD_GAUGE_RAILTYPE_NONE]],_xlfn.LAMBDA(_xlpm.r,OR(_xlpm.r))),FALSE)</f>
        <v>0</v>
      </c>
      <c r="AH6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7"/>
      <c r="AQ617"/>
      <c r="AR617"/>
    </row>
    <row r="618" spans="1:44" x14ac:dyDescent="0.35">
      <c r="A618" s="2" t="s">
        <v>3235</v>
      </c>
      <c r="B618" s="40" t="str">
        <f>_xlfn.XLOOKUP(PROPERTIES[[#This Row],[VEHIDCODE]],CONTROL[VEHIDCODE],CONTROL[ENGLISH])</f>
        <v>Nippon Sharyo Odakyu 3100 series NSE</v>
      </c>
      <c r="O618" t="b">
        <v>1</v>
      </c>
      <c r="AC618" s="2"/>
      <c r="AD618" s="2" t="b">
        <f>LEN(_xlfn.CONCAT(TRACK_TYPES[[#This Row],[TRACK_TYPE_STANDARD_GAUGE_RAILTYPE_OHLE]:[TRACK_TYPE_MTRO]]))&gt;0</f>
        <v>1</v>
      </c>
      <c r="AE618" s="38" t="b" cm="1">
        <f t="array" ref="AE618">IFERROR(_xlfn.BYROW(TRACK_TYPES[[#This Row],[TRACK_TYPE_STANDARD_GAUGE_RAILTYPE_OHLE]:[TRACK_TYPE_STANDARD_GAUGE_RAILTYPE_NONE]],_xlfn.LAMBDA(_xlpm.r,OR(_xlpm.r))),FALSE)</f>
        <v>0</v>
      </c>
      <c r="AF618" s="38" t="b" cm="1">
        <f t="array" ref="AF618">IFERROR(_xlfn.BYROW(TRACK_TYPES[[#This Row],[TRACK_TYPE_NARROW_GAUGE_RAILTYPE_OHLE]:[TRACK_TYPE_NARROW_GAUGE_RAILTYPE_NONE]],_xlfn.LAMBDA(_xlpm.r,OR(_xlpm.r))),FALSE)</f>
        <v>1</v>
      </c>
      <c r="AG618" s="38" t="b" cm="1">
        <f t="array" ref="AG618">IFERROR(_xlfn.BYROW(TRACK_TYPES[[#This Row],[TRACK_TYPE_BROAD_GAUGE_RAILTYPE_OHLE]:[TRACK_TYPE_BROAD_GAUGE_RAILTYPE_NONE]],_xlfn.LAMBDA(_xlpm.r,OR(_xlpm.r))),FALSE)</f>
        <v>0</v>
      </c>
      <c r="AH6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8"/>
      <c r="AQ618"/>
      <c r="AR618"/>
    </row>
    <row r="619" spans="1:44" x14ac:dyDescent="0.35">
      <c r="A619" s="2" t="s">
        <v>3236</v>
      </c>
      <c r="B619" s="40" t="str">
        <f>_xlfn.XLOOKUP(PROPERTIES[[#This Row],[VEHIDCODE]],CONTROL[VEHIDCODE],CONTROL[ENGLISH])</f>
        <v>Nippon Sharyo Odakyu 10000 series HiSE</v>
      </c>
      <c r="O619" t="b">
        <v>1</v>
      </c>
      <c r="AC619" s="2"/>
      <c r="AD619" s="2" t="b">
        <f>LEN(_xlfn.CONCAT(TRACK_TYPES[[#This Row],[TRACK_TYPE_STANDARD_GAUGE_RAILTYPE_OHLE]:[TRACK_TYPE_MTRO]]))&gt;0</f>
        <v>1</v>
      </c>
      <c r="AE619" s="38" t="b" cm="1">
        <f t="array" ref="AE619">IFERROR(_xlfn.BYROW(TRACK_TYPES[[#This Row],[TRACK_TYPE_STANDARD_GAUGE_RAILTYPE_OHLE]:[TRACK_TYPE_STANDARD_GAUGE_RAILTYPE_NONE]],_xlfn.LAMBDA(_xlpm.r,OR(_xlpm.r))),FALSE)</f>
        <v>0</v>
      </c>
      <c r="AF619" s="38" t="b" cm="1">
        <f t="array" ref="AF619">IFERROR(_xlfn.BYROW(TRACK_TYPES[[#This Row],[TRACK_TYPE_NARROW_GAUGE_RAILTYPE_OHLE]:[TRACK_TYPE_NARROW_GAUGE_RAILTYPE_NONE]],_xlfn.LAMBDA(_xlpm.r,OR(_xlpm.r))),FALSE)</f>
        <v>1</v>
      </c>
      <c r="AG619" s="38" t="b" cm="1">
        <f t="array" ref="AG619">IFERROR(_xlfn.BYROW(TRACK_TYPES[[#This Row],[TRACK_TYPE_BROAD_GAUGE_RAILTYPE_OHLE]:[TRACK_TYPE_BROAD_GAUGE_RAILTYPE_NONE]],_xlfn.LAMBDA(_xlpm.r,OR(_xlpm.r))),FALSE)</f>
        <v>0</v>
      </c>
      <c r="AH6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9"/>
      <c r="AQ619"/>
      <c r="AR619"/>
    </row>
    <row r="620" spans="1:44" x14ac:dyDescent="0.35">
      <c r="A620" s="2" t="s">
        <v>3237</v>
      </c>
      <c r="B620" s="40" t="str">
        <f>_xlfn.XLOOKUP(PROPERTIES[[#This Row],[VEHIDCODE]],CONTROL[VEHIDCODE],CONTROL[ENGLISH])</f>
        <v>Comeng/Goninan S-set</v>
      </c>
      <c r="G620" t="b">
        <v>1</v>
      </c>
      <c r="AC620" s="2"/>
      <c r="AD620" s="2" t="b">
        <f>LEN(_xlfn.CONCAT(TRACK_TYPES[[#This Row],[TRACK_TYPE_STANDARD_GAUGE_RAILTYPE_OHLE]:[TRACK_TYPE_MTRO]]))&gt;0</f>
        <v>1</v>
      </c>
      <c r="AE620" s="38" t="b" cm="1">
        <f t="array" ref="AE620">IFERROR(_xlfn.BYROW(TRACK_TYPES[[#This Row],[TRACK_TYPE_STANDARD_GAUGE_RAILTYPE_OHLE]:[TRACK_TYPE_STANDARD_GAUGE_RAILTYPE_NONE]],_xlfn.LAMBDA(_xlpm.r,OR(_xlpm.r))),FALSE)</f>
        <v>1</v>
      </c>
      <c r="AF620" s="38" t="b" cm="1">
        <f t="array" ref="AF620">IFERROR(_xlfn.BYROW(TRACK_TYPES[[#This Row],[TRACK_TYPE_NARROW_GAUGE_RAILTYPE_OHLE]:[TRACK_TYPE_NARROW_GAUGE_RAILTYPE_NONE]],_xlfn.LAMBDA(_xlpm.r,OR(_xlpm.r))),FALSE)</f>
        <v>0</v>
      </c>
      <c r="AG620" s="38" t="b" cm="1">
        <f t="array" ref="AG620">IFERROR(_xlfn.BYROW(TRACK_TYPES[[#This Row],[TRACK_TYPE_BROAD_GAUGE_RAILTYPE_OHLE]:[TRACK_TYPE_BROAD_GAUGE_RAILTYPE_NONE]],_xlfn.LAMBDA(_xlpm.r,OR(_xlpm.r))),FALSE)</f>
        <v>0</v>
      </c>
      <c r="AH6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20"/>
      <c r="AQ620"/>
      <c r="AR620"/>
    </row>
    <row r="621" spans="1:44" x14ac:dyDescent="0.35">
      <c r="A621" s="2" t="s">
        <v>3238</v>
      </c>
      <c r="B621" s="40" t="str">
        <f>_xlfn.XLOOKUP(PROPERTIES[[#This Row],[VEHIDCODE]],CONTROL[VEHIDCODE],CONTROL[ENGLISH])</f>
        <v>UGL Rail H-set 'OSCAR'</v>
      </c>
      <c r="G621" t="b">
        <v>1</v>
      </c>
      <c r="AC621" s="2"/>
      <c r="AD621" s="2" t="b">
        <f>LEN(_xlfn.CONCAT(TRACK_TYPES[[#This Row],[TRACK_TYPE_STANDARD_GAUGE_RAILTYPE_OHLE]:[TRACK_TYPE_MTRO]]))&gt;0</f>
        <v>1</v>
      </c>
      <c r="AE621" s="38" t="b" cm="1">
        <f t="array" ref="AE621">IFERROR(_xlfn.BYROW(TRACK_TYPES[[#This Row],[TRACK_TYPE_STANDARD_GAUGE_RAILTYPE_OHLE]:[TRACK_TYPE_STANDARD_GAUGE_RAILTYPE_NONE]],_xlfn.LAMBDA(_xlpm.r,OR(_xlpm.r))),FALSE)</f>
        <v>1</v>
      </c>
      <c r="AF621" s="38" t="b" cm="1">
        <f t="array" ref="AF621">IFERROR(_xlfn.BYROW(TRACK_TYPES[[#This Row],[TRACK_TYPE_NARROW_GAUGE_RAILTYPE_OHLE]:[TRACK_TYPE_NARROW_GAUGE_RAILTYPE_NONE]],_xlfn.LAMBDA(_xlpm.r,OR(_xlpm.r))),FALSE)</f>
        <v>0</v>
      </c>
      <c r="AG621" s="38" t="b" cm="1">
        <f t="array" ref="AG621">IFERROR(_xlfn.BYROW(TRACK_TYPES[[#This Row],[TRACK_TYPE_BROAD_GAUGE_RAILTYPE_OHLE]:[TRACK_TYPE_BROAD_GAUGE_RAILTYPE_NONE]],_xlfn.LAMBDA(_xlpm.r,OR(_xlpm.r))),FALSE)</f>
        <v>0</v>
      </c>
      <c r="AH6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21"/>
      <c r="AQ621"/>
      <c r="AR621"/>
    </row>
    <row r="622" spans="1:44" x14ac:dyDescent="0.35">
      <c r="A622" s="2" t="s">
        <v>3239</v>
      </c>
      <c r="B622" s="40" t="str">
        <f>_xlfn.XLOOKUP(PROPERTIES[[#This Row],[VEHIDCODE]],CONTROL[VEHIDCODE],CONTROL[ENGLISH])</f>
        <v>Victorian Railways 'Swing Door'</v>
      </c>
      <c r="W622" t="b">
        <v>1</v>
      </c>
      <c r="AC622" s="2"/>
      <c r="AD622" s="2" t="b">
        <f>LEN(_xlfn.CONCAT(TRACK_TYPES[[#This Row],[TRACK_TYPE_STANDARD_GAUGE_RAILTYPE_OHLE]:[TRACK_TYPE_MTRO]]))&gt;0</f>
        <v>1</v>
      </c>
      <c r="AE622" s="38" t="b" cm="1">
        <f t="array" ref="AE622">IFERROR(_xlfn.BYROW(TRACK_TYPES[[#This Row],[TRACK_TYPE_STANDARD_GAUGE_RAILTYPE_OHLE]:[TRACK_TYPE_STANDARD_GAUGE_RAILTYPE_NONE]],_xlfn.LAMBDA(_xlpm.r,OR(_xlpm.r))),FALSE)</f>
        <v>0</v>
      </c>
      <c r="AF622" s="38" t="b" cm="1">
        <f t="array" ref="AF622">IFERROR(_xlfn.BYROW(TRACK_TYPES[[#This Row],[TRACK_TYPE_NARROW_GAUGE_RAILTYPE_OHLE]:[TRACK_TYPE_NARROW_GAUGE_RAILTYPE_NONE]],_xlfn.LAMBDA(_xlpm.r,OR(_xlpm.r))),FALSE)</f>
        <v>0</v>
      </c>
      <c r="AG622" s="38" t="b" cm="1">
        <f t="array" ref="AG622">IFERROR(_xlfn.BYROW(TRACK_TYPES[[#This Row],[TRACK_TYPE_BROAD_GAUGE_RAILTYPE_OHLE]:[TRACK_TYPE_BROAD_GAUGE_RAILTYPE_NONE]],_xlfn.LAMBDA(_xlpm.r,OR(_xlpm.r))),FALSE)</f>
        <v>1</v>
      </c>
      <c r="AH6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22"/>
      <c r="AQ622"/>
      <c r="AR622"/>
    </row>
    <row r="623" spans="1:44" x14ac:dyDescent="0.35">
      <c r="A623" s="2" t="s">
        <v>3478</v>
      </c>
      <c r="B623" s="40" t="str">
        <f>_xlfn.XLOOKUP(PROPERTIES[[#This Row],[VEHIDCODE]],CONTROL[VEHIDCODE],CONTROL[ENGLISH])</f>
        <v>Ganz-MAVAG EM/ET</v>
      </c>
      <c r="O623" t="b">
        <v>1</v>
      </c>
      <c r="AC623" s="2"/>
      <c r="AD623" s="2" t="b">
        <f>LEN(_xlfn.CONCAT(TRACK_TYPES[[#This Row],[TRACK_TYPE_STANDARD_GAUGE_RAILTYPE_OHLE]:[TRACK_TYPE_MTRO]]))&gt;0</f>
        <v>1</v>
      </c>
      <c r="AE623" s="38" t="b" cm="1">
        <f t="array" ref="AE623">IFERROR(_xlfn.BYROW(TRACK_TYPES[[#This Row],[TRACK_TYPE_STANDARD_GAUGE_RAILTYPE_OHLE]:[TRACK_TYPE_STANDARD_GAUGE_RAILTYPE_NONE]],_xlfn.LAMBDA(_xlpm.r,OR(_xlpm.r))),FALSE)</f>
        <v>0</v>
      </c>
      <c r="AF623" s="38" t="b" cm="1">
        <f t="array" ref="AF623">IFERROR(_xlfn.BYROW(TRACK_TYPES[[#This Row],[TRACK_TYPE_NARROW_GAUGE_RAILTYPE_OHLE]:[TRACK_TYPE_NARROW_GAUGE_RAILTYPE_NONE]],_xlfn.LAMBDA(_xlpm.r,OR(_xlpm.r))),FALSE)</f>
        <v>1</v>
      </c>
      <c r="AG623" s="38" t="b" cm="1">
        <f t="array" ref="AG623">IFERROR(_xlfn.BYROW(TRACK_TYPES[[#This Row],[TRACK_TYPE_BROAD_GAUGE_RAILTYPE_OHLE]:[TRACK_TYPE_BROAD_GAUGE_RAILTYPE_NONE]],_xlfn.LAMBDA(_xlpm.r,OR(_xlpm.r))),FALSE)</f>
        <v>0</v>
      </c>
      <c r="AH6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23"/>
      <c r="AQ623"/>
      <c r="AR623"/>
    </row>
    <row r="624" spans="1:44" x14ac:dyDescent="0.35">
      <c r="A624" s="2" t="s">
        <v>3241</v>
      </c>
      <c r="B624" s="40" t="str">
        <f>_xlfn.XLOOKUP(PROPERTIES[[#This Row],[VEHIDCODE]],CONTROL[VEHIDCODE],CONTROL[ENGLISH])</f>
        <v>Metro-Cammell 5M2</v>
      </c>
      <c r="N624" t="b">
        <v>1</v>
      </c>
      <c r="AC624" s="2"/>
      <c r="AD624" s="2" t="b">
        <f>LEN(_xlfn.CONCAT(TRACK_TYPES[[#This Row],[TRACK_TYPE_STANDARD_GAUGE_RAILTYPE_OHLE]:[TRACK_TYPE_MTRO]]))&gt;0</f>
        <v>1</v>
      </c>
      <c r="AE624" s="38" t="b" cm="1">
        <f t="array" ref="AE624">IFERROR(_xlfn.BYROW(TRACK_TYPES[[#This Row],[TRACK_TYPE_STANDARD_GAUGE_RAILTYPE_OHLE]:[TRACK_TYPE_STANDARD_GAUGE_RAILTYPE_NONE]],_xlfn.LAMBDA(_xlpm.r,OR(_xlpm.r))),FALSE)</f>
        <v>0</v>
      </c>
      <c r="AF624" s="38" t="b" cm="1">
        <f t="array" ref="AF624">IFERROR(_xlfn.BYROW(TRACK_TYPES[[#This Row],[TRACK_TYPE_NARROW_GAUGE_RAILTYPE_OHLE]:[TRACK_TYPE_NARROW_GAUGE_RAILTYPE_NONE]],_xlfn.LAMBDA(_xlpm.r,OR(_xlpm.r))),FALSE)</f>
        <v>1</v>
      </c>
      <c r="AG624" s="38" t="b" cm="1">
        <f t="array" ref="AG624">IFERROR(_xlfn.BYROW(TRACK_TYPES[[#This Row],[TRACK_TYPE_BROAD_GAUGE_RAILTYPE_OHLE]:[TRACK_TYPE_BROAD_GAUGE_RAILTYPE_NONE]],_xlfn.LAMBDA(_xlpm.r,OR(_xlpm.r))),FALSE)</f>
        <v>0</v>
      </c>
      <c r="AH6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24"/>
      <c r="AQ624"/>
      <c r="AR624"/>
    </row>
    <row r="625" spans="1:44" x14ac:dyDescent="0.35">
      <c r="A625" s="2" t="s">
        <v>3242</v>
      </c>
      <c r="B625" s="40" t="str">
        <f>_xlfn.XLOOKUP(PROPERTIES[[#This Row],[VEHIDCODE]],CONTROL[VEHIDCODE],CONTROL[ENGLISH])</f>
        <v>Alstom X'Trapolis 100</v>
      </c>
      <c r="W625" t="b">
        <v>1</v>
      </c>
      <c r="AC625" s="2"/>
      <c r="AD625" s="2" t="b">
        <f>LEN(_xlfn.CONCAT(TRACK_TYPES[[#This Row],[TRACK_TYPE_STANDARD_GAUGE_RAILTYPE_OHLE]:[TRACK_TYPE_MTRO]]))&gt;0</f>
        <v>1</v>
      </c>
      <c r="AE625" s="38" t="b" cm="1">
        <f t="array" ref="AE625">IFERROR(_xlfn.BYROW(TRACK_TYPES[[#This Row],[TRACK_TYPE_STANDARD_GAUGE_RAILTYPE_OHLE]:[TRACK_TYPE_STANDARD_GAUGE_RAILTYPE_NONE]],_xlfn.LAMBDA(_xlpm.r,OR(_xlpm.r))),FALSE)</f>
        <v>0</v>
      </c>
      <c r="AF625" s="38" t="b" cm="1">
        <f t="array" ref="AF625">IFERROR(_xlfn.BYROW(TRACK_TYPES[[#This Row],[TRACK_TYPE_NARROW_GAUGE_RAILTYPE_OHLE]:[TRACK_TYPE_NARROW_GAUGE_RAILTYPE_NONE]],_xlfn.LAMBDA(_xlpm.r,OR(_xlpm.r))),FALSE)</f>
        <v>0</v>
      </c>
      <c r="AG625" s="38" t="b" cm="1">
        <f t="array" ref="AG625">IFERROR(_xlfn.BYROW(TRACK_TYPES[[#This Row],[TRACK_TYPE_BROAD_GAUGE_RAILTYPE_OHLE]:[TRACK_TYPE_BROAD_GAUGE_RAILTYPE_NONE]],_xlfn.LAMBDA(_xlpm.r,OR(_xlpm.r))),FALSE)</f>
        <v>1</v>
      </c>
      <c r="AH6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25"/>
      <c r="AQ625"/>
      <c r="AR625"/>
    </row>
    <row r="626" spans="1:44" x14ac:dyDescent="0.35">
      <c r="A626" s="2" t="s">
        <v>3243</v>
      </c>
      <c r="B626" s="40" t="str">
        <f>_xlfn.XLOOKUP(PROPERTIES[[#This Row],[VEHIDCODE]],CONTROL[VEHIDCODE],CONTROL[ENGLISH])</f>
        <v>GEC/Fiat AES Railcar</v>
      </c>
      <c r="V626" t="b">
        <v>1</v>
      </c>
      <c r="AC626" s="2"/>
      <c r="AD626" s="2" t="b">
        <f>LEN(_xlfn.CONCAT(TRACK_TYPES[[#This Row],[TRACK_TYPE_STANDARD_GAUGE_RAILTYPE_OHLE]:[TRACK_TYPE_MTRO]]))&gt;0</f>
        <v>1</v>
      </c>
      <c r="AE626" s="38" t="b" cm="1">
        <f t="array" ref="AE626">IFERROR(_xlfn.BYROW(TRACK_TYPES[[#This Row],[TRACK_TYPE_STANDARD_GAUGE_RAILTYPE_OHLE]:[TRACK_TYPE_STANDARD_GAUGE_RAILTYPE_NONE]],_xlfn.LAMBDA(_xlpm.r,OR(_xlpm.r))),FALSE)</f>
        <v>0</v>
      </c>
      <c r="AF626" s="38" t="b" cm="1">
        <f t="array" ref="AF626">IFERROR(_xlfn.BYROW(TRACK_TYPES[[#This Row],[TRACK_TYPE_NARROW_GAUGE_RAILTYPE_OHLE]:[TRACK_TYPE_NARROW_GAUGE_RAILTYPE_NONE]],_xlfn.LAMBDA(_xlpm.r,OR(_xlpm.r))),FALSE)</f>
        <v>0</v>
      </c>
      <c r="AG626" s="38" t="b" cm="1">
        <f t="array" ref="AG626">IFERROR(_xlfn.BYROW(TRACK_TYPES[[#This Row],[TRACK_TYPE_BROAD_GAUGE_RAILTYPE_OHLE]:[TRACK_TYPE_BROAD_GAUGE_RAILTYPE_NONE]],_xlfn.LAMBDA(_xlpm.r,OR(_xlpm.r))),FALSE)</f>
        <v>1</v>
      </c>
      <c r="AH6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26"/>
      <c r="AQ626"/>
      <c r="AR626"/>
    </row>
    <row r="627" spans="1:44" x14ac:dyDescent="0.35">
      <c r="A627" s="2" t="s">
        <v>3244</v>
      </c>
      <c r="B627" s="40" t="str">
        <f>_xlfn.XLOOKUP(PROPERTIES[[#This Row],[VEHIDCODE]],CONTROL[VEHIDCODE],CONTROL[ENGLISH])</f>
        <v>Ganz-MAVAG YZ-E</v>
      </c>
      <c r="L627" t="b">
        <v>1</v>
      </c>
      <c r="AC627" s="2"/>
      <c r="AD627" s="2" t="b">
        <f>LEN(_xlfn.CONCAT(TRACK_TYPES[[#This Row],[TRACK_TYPE_STANDARD_GAUGE_RAILTYPE_OHLE]:[TRACK_TYPE_MTRO]]))&gt;0</f>
        <v>1</v>
      </c>
      <c r="AE627" s="38" t="b" cm="1">
        <f t="array" ref="AE627">IFERROR(_xlfn.BYROW(TRACK_TYPES[[#This Row],[TRACK_TYPE_STANDARD_GAUGE_RAILTYPE_OHLE]:[TRACK_TYPE_STANDARD_GAUGE_RAILTYPE_NONE]],_xlfn.LAMBDA(_xlpm.r,OR(_xlpm.r))),FALSE)</f>
        <v>0</v>
      </c>
      <c r="AF627" s="38" t="b" cm="1">
        <f t="array" ref="AF627">IFERROR(_xlfn.BYROW(TRACK_TYPES[[#This Row],[TRACK_TYPE_NARROW_GAUGE_RAILTYPE_OHLE]:[TRACK_TYPE_NARROW_GAUGE_RAILTYPE_NONE]],_xlfn.LAMBDA(_xlpm.r,OR(_xlpm.r))),FALSE)</f>
        <v>1</v>
      </c>
      <c r="AG627" s="38" t="b" cm="1">
        <f t="array" ref="AG627">IFERROR(_xlfn.BYROW(TRACK_TYPES[[#This Row],[TRACK_TYPE_BROAD_GAUGE_RAILTYPE_OHLE]:[TRACK_TYPE_BROAD_GAUGE_RAILTYPE_NONE]],_xlfn.LAMBDA(_xlpm.r,OR(_xlpm.r))),FALSE)</f>
        <v>0</v>
      </c>
      <c r="AH6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27"/>
      <c r="AQ627"/>
      <c r="AR627"/>
    </row>
    <row r="628" spans="1:44" x14ac:dyDescent="0.35">
      <c r="A628" s="2" t="s">
        <v>3245</v>
      </c>
      <c r="B628" s="40" t="str">
        <f>_xlfn.XLOOKUP(PROPERTIES[[#This Row],[VEHIDCODE]],CONTROL[VEHIDCODE],CONTROL[ENGLISH])</f>
        <v>Walkers Tilt Train 'ETT'</v>
      </c>
      <c r="L628" t="b">
        <v>1</v>
      </c>
      <c r="AC628" s="2"/>
      <c r="AD628" s="2" t="b">
        <f>LEN(_xlfn.CONCAT(TRACK_TYPES[[#This Row],[TRACK_TYPE_STANDARD_GAUGE_RAILTYPE_OHLE]:[TRACK_TYPE_MTRO]]))&gt;0</f>
        <v>1</v>
      </c>
      <c r="AE628" s="38" t="b" cm="1">
        <f t="array" ref="AE628">IFERROR(_xlfn.BYROW(TRACK_TYPES[[#This Row],[TRACK_TYPE_STANDARD_GAUGE_RAILTYPE_OHLE]:[TRACK_TYPE_STANDARD_GAUGE_RAILTYPE_NONE]],_xlfn.LAMBDA(_xlpm.r,OR(_xlpm.r))),FALSE)</f>
        <v>0</v>
      </c>
      <c r="AF628" s="38" t="b" cm="1">
        <f t="array" ref="AF628">IFERROR(_xlfn.BYROW(TRACK_TYPES[[#This Row],[TRACK_TYPE_NARROW_GAUGE_RAILTYPE_OHLE]:[TRACK_TYPE_NARROW_GAUGE_RAILTYPE_NONE]],_xlfn.LAMBDA(_xlpm.r,OR(_xlpm.r))),FALSE)</f>
        <v>1</v>
      </c>
      <c r="AG628" s="38" t="b" cm="1">
        <f t="array" ref="AG628">IFERROR(_xlfn.BYROW(TRACK_TYPES[[#This Row],[TRACK_TYPE_BROAD_GAUGE_RAILTYPE_OHLE]:[TRACK_TYPE_BROAD_GAUGE_RAILTYPE_NONE]],_xlfn.LAMBDA(_xlpm.r,OR(_xlpm.r))),FALSE)</f>
        <v>0</v>
      </c>
      <c r="AH6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28"/>
      <c r="AQ628"/>
      <c r="AR628"/>
    </row>
    <row r="629" spans="1:44" x14ac:dyDescent="0.35">
      <c r="A629" s="2" t="s">
        <v>3246</v>
      </c>
      <c r="B629" s="40" t="str">
        <f>_xlfn.XLOOKUP(PROPERTIES[[#This Row],[VEHIDCODE]],CONTROL[VEHIDCODE],CONTROL[ENGLISH])</f>
        <v>NEVZ-TEVZ VL15</v>
      </c>
      <c r="V629" t="b">
        <v>1</v>
      </c>
      <c r="AC629" s="2"/>
      <c r="AD629" s="2" t="b">
        <f>LEN(_xlfn.CONCAT(TRACK_TYPES[[#This Row],[TRACK_TYPE_STANDARD_GAUGE_RAILTYPE_OHLE]:[TRACK_TYPE_MTRO]]))&gt;0</f>
        <v>1</v>
      </c>
      <c r="AE629" s="38" t="b" cm="1">
        <f t="array" ref="AE629">IFERROR(_xlfn.BYROW(TRACK_TYPES[[#This Row],[TRACK_TYPE_STANDARD_GAUGE_RAILTYPE_OHLE]:[TRACK_TYPE_STANDARD_GAUGE_RAILTYPE_NONE]],_xlfn.LAMBDA(_xlpm.r,OR(_xlpm.r))),FALSE)</f>
        <v>0</v>
      </c>
      <c r="AF629" s="38" t="b" cm="1">
        <f t="array" ref="AF629">IFERROR(_xlfn.BYROW(TRACK_TYPES[[#This Row],[TRACK_TYPE_NARROW_GAUGE_RAILTYPE_OHLE]:[TRACK_TYPE_NARROW_GAUGE_RAILTYPE_NONE]],_xlfn.LAMBDA(_xlpm.r,OR(_xlpm.r))),FALSE)</f>
        <v>0</v>
      </c>
      <c r="AG629" s="38" t="b" cm="1">
        <f t="array" ref="AG629">IFERROR(_xlfn.BYROW(TRACK_TYPES[[#This Row],[TRACK_TYPE_BROAD_GAUGE_RAILTYPE_OHLE]:[TRACK_TYPE_BROAD_GAUGE_RAILTYPE_NONE]],_xlfn.LAMBDA(_xlpm.r,OR(_xlpm.r))),FALSE)</f>
        <v>1</v>
      </c>
      <c r="AH6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29"/>
      <c r="AQ629"/>
      <c r="AR629"/>
    </row>
    <row r="630" spans="1:44" x14ac:dyDescent="0.35">
      <c r="A630" s="2" t="s">
        <v>3247</v>
      </c>
      <c r="B630" s="40" t="str">
        <f>_xlfn.XLOOKUP(PROPERTIES[[#This Row],[VEHIDCODE]],CONTROL[VEHIDCODE],CONTROL[ENGLISH])</f>
        <v>TEVZ VL11</v>
      </c>
      <c r="V630" t="b">
        <v>1</v>
      </c>
      <c r="AC630" s="2"/>
      <c r="AD630" s="2" t="b">
        <f>LEN(_xlfn.CONCAT(TRACK_TYPES[[#This Row],[TRACK_TYPE_STANDARD_GAUGE_RAILTYPE_OHLE]:[TRACK_TYPE_MTRO]]))&gt;0</f>
        <v>1</v>
      </c>
      <c r="AE630" s="38" t="b" cm="1">
        <f t="array" ref="AE630">IFERROR(_xlfn.BYROW(TRACK_TYPES[[#This Row],[TRACK_TYPE_STANDARD_GAUGE_RAILTYPE_OHLE]:[TRACK_TYPE_STANDARD_GAUGE_RAILTYPE_NONE]],_xlfn.LAMBDA(_xlpm.r,OR(_xlpm.r))),FALSE)</f>
        <v>0</v>
      </c>
      <c r="AF630" s="38" t="b" cm="1">
        <f t="array" ref="AF630">IFERROR(_xlfn.BYROW(TRACK_TYPES[[#This Row],[TRACK_TYPE_NARROW_GAUGE_RAILTYPE_OHLE]:[TRACK_TYPE_NARROW_GAUGE_RAILTYPE_NONE]],_xlfn.LAMBDA(_xlpm.r,OR(_xlpm.r))),FALSE)</f>
        <v>0</v>
      </c>
      <c r="AG630" s="38" t="b" cm="1">
        <f t="array" ref="AG630">IFERROR(_xlfn.BYROW(TRACK_TYPES[[#This Row],[TRACK_TYPE_BROAD_GAUGE_RAILTYPE_OHLE]:[TRACK_TYPE_BROAD_GAUGE_RAILTYPE_NONE]],_xlfn.LAMBDA(_xlpm.r,OR(_xlpm.r))),FALSE)</f>
        <v>1</v>
      </c>
      <c r="AH6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0"/>
      <c r="AQ630"/>
      <c r="AR630"/>
    </row>
    <row r="631" spans="1:44" x14ac:dyDescent="0.35">
      <c r="A631" s="2" t="s">
        <v>3248</v>
      </c>
      <c r="B631" s="40" t="str">
        <f>_xlfn.XLOOKUP(PROPERTIES[[#This Row],[VEHIDCODE]],CONTROL[VEHIDCODE],CONTROL[ENGLISH])</f>
        <v>NEVZ VL22M</v>
      </c>
      <c r="V631" t="b">
        <v>1</v>
      </c>
      <c r="AC631" s="2"/>
      <c r="AD631" s="2" t="b">
        <f>LEN(_xlfn.CONCAT(TRACK_TYPES[[#This Row],[TRACK_TYPE_STANDARD_GAUGE_RAILTYPE_OHLE]:[TRACK_TYPE_MTRO]]))&gt;0</f>
        <v>1</v>
      </c>
      <c r="AE631" s="38" t="b" cm="1">
        <f t="array" ref="AE631">IFERROR(_xlfn.BYROW(TRACK_TYPES[[#This Row],[TRACK_TYPE_STANDARD_GAUGE_RAILTYPE_OHLE]:[TRACK_TYPE_STANDARD_GAUGE_RAILTYPE_NONE]],_xlfn.LAMBDA(_xlpm.r,OR(_xlpm.r))),FALSE)</f>
        <v>0</v>
      </c>
      <c r="AF631" s="38" t="b" cm="1">
        <f t="array" ref="AF631">IFERROR(_xlfn.BYROW(TRACK_TYPES[[#This Row],[TRACK_TYPE_NARROW_GAUGE_RAILTYPE_OHLE]:[TRACK_TYPE_NARROW_GAUGE_RAILTYPE_NONE]],_xlfn.LAMBDA(_xlpm.r,OR(_xlpm.r))),FALSE)</f>
        <v>0</v>
      </c>
      <c r="AG631" s="38" t="b" cm="1">
        <f t="array" ref="AG631">IFERROR(_xlfn.BYROW(TRACK_TYPES[[#This Row],[TRACK_TYPE_BROAD_GAUGE_RAILTYPE_OHLE]:[TRACK_TYPE_BROAD_GAUGE_RAILTYPE_NONE]],_xlfn.LAMBDA(_xlpm.r,OR(_xlpm.r))),FALSE)</f>
        <v>1</v>
      </c>
      <c r="AH6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1"/>
      <c r="AQ631"/>
      <c r="AR631"/>
    </row>
    <row r="632" spans="1:44" x14ac:dyDescent="0.35">
      <c r="A632" s="2" t="s">
        <v>3249</v>
      </c>
      <c r="B632" s="40" t="str">
        <f>_xlfn.XLOOKUP(PROPERTIES[[#This Row],[VEHIDCODE]],CONTROL[VEHIDCODE],CONTROL[ENGLISH])</f>
        <v>DEVZ DE1</v>
      </c>
      <c r="V632" t="b">
        <v>1</v>
      </c>
      <c r="AC632" s="2"/>
      <c r="AD632" s="2" t="b">
        <f>LEN(_xlfn.CONCAT(TRACK_TYPES[[#This Row],[TRACK_TYPE_STANDARD_GAUGE_RAILTYPE_OHLE]:[TRACK_TYPE_MTRO]]))&gt;0</f>
        <v>1</v>
      </c>
      <c r="AE632" s="38" t="b" cm="1">
        <f t="array" ref="AE632">IFERROR(_xlfn.BYROW(TRACK_TYPES[[#This Row],[TRACK_TYPE_STANDARD_GAUGE_RAILTYPE_OHLE]:[TRACK_TYPE_STANDARD_GAUGE_RAILTYPE_NONE]],_xlfn.LAMBDA(_xlpm.r,OR(_xlpm.r))),FALSE)</f>
        <v>0</v>
      </c>
      <c r="AF632" s="38" t="b" cm="1">
        <f t="array" ref="AF632">IFERROR(_xlfn.BYROW(TRACK_TYPES[[#This Row],[TRACK_TYPE_NARROW_GAUGE_RAILTYPE_OHLE]:[TRACK_TYPE_NARROW_GAUGE_RAILTYPE_NONE]],_xlfn.LAMBDA(_xlpm.r,OR(_xlpm.r))),FALSE)</f>
        <v>0</v>
      </c>
      <c r="AG632" s="38" t="b" cm="1">
        <f t="array" ref="AG632">IFERROR(_xlfn.BYROW(TRACK_TYPES[[#This Row],[TRACK_TYPE_BROAD_GAUGE_RAILTYPE_OHLE]:[TRACK_TYPE_BROAD_GAUGE_RAILTYPE_NONE]],_xlfn.LAMBDA(_xlpm.r,OR(_xlpm.r))),FALSE)</f>
        <v>1</v>
      </c>
      <c r="AH6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2"/>
      <c r="AQ632"/>
      <c r="AR632"/>
    </row>
    <row r="633" spans="1:44" x14ac:dyDescent="0.35">
      <c r="A633" s="2" t="s">
        <v>3250</v>
      </c>
      <c r="B633" s="40" t="str">
        <f>_xlfn.XLOOKUP(PROPERTIES[[#This Row],[VEHIDCODE]],CONTROL[VEHIDCODE],CONTROL[ENGLISH])</f>
        <v>Skoda 12E</v>
      </c>
      <c r="F633" t="b">
        <v>1</v>
      </c>
      <c r="V633" t="b">
        <v>1</v>
      </c>
      <c r="AC633" s="2"/>
      <c r="AD633" s="2" t="b">
        <f>LEN(_xlfn.CONCAT(TRACK_TYPES[[#This Row],[TRACK_TYPE_STANDARD_GAUGE_RAILTYPE_OHLE]:[TRACK_TYPE_MTRO]]))&gt;0</f>
        <v>1</v>
      </c>
      <c r="AE633" s="38" t="b" cm="1">
        <f t="array" ref="AE633">IFERROR(_xlfn.BYROW(TRACK_TYPES[[#This Row],[TRACK_TYPE_STANDARD_GAUGE_RAILTYPE_OHLE]:[TRACK_TYPE_STANDARD_GAUGE_RAILTYPE_NONE]],_xlfn.LAMBDA(_xlpm.r,OR(_xlpm.r))),FALSE)</f>
        <v>1</v>
      </c>
      <c r="AF633" s="38" t="b" cm="1">
        <f t="array" ref="AF633">IFERROR(_xlfn.BYROW(TRACK_TYPES[[#This Row],[TRACK_TYPE_NARROW_GAUGE_RAILTYPE_OHLE]:[TRACK_TYPE_NARROW_GAUGE_RAILTYPE_NONE]],_xlfn.LAMBDA(_xlpm.r,OR(_xlpm.r))),FALSE)</f>
        <v>0</v>
      </c>
      <c r="AG633" s="38" t="b" cm="1">
        <f t="array" ref="AG633">IFERROR(_xlfn.BYROW(TRACK_TYPES[[#This Row],[TRACK_TYPE_BROAD_GAUGE_RAILTYPE_OHLE]:[TRACK_TYPE_BROAD_GAUGE_RAILTYPE_NONE]],_xlfn.LAMBDA(_xlpm.r,OR(_xlpm.r))),FALSE)</f>
        <v>1</v>
      </c>
      <c r="AH6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33"/>
      <c r="AQ633"/>
      <c r="AR633"/>
    </row>
    <row r="634" spans="1:44" x14ac:dyDescent="0.35">
      <c r="A634" s="2" t="s">
        <v>3251</v>
      </c>
      <c r="B634" s="40" t="str">
        <f>_xlfn.XLOOKUP(PROPERTIES[[#This Row],[VEHIDCODE]],CONTROL[VEHIDCODE],CONTROL[ENGLISH])</f>
        <v>Skoda 82E</v>
      </c>
      <c r="V634" t="b">
        <v>1</v>
      </c>
      <c r="AC634" s="2"/>
      <c r="AD634" s="2" t="b">
        <f>LEN(_xlfn.CONCAT(TRACK_TYPES[[#This Row],[TRACK_TYPE_STANDARD_GAUGE_RAILTYPE_OHLE]:[TRACK_TYPE_MTRO]]))&gt;0</f>
        <v>1</v>
      </c>
      <c r="AE634" s="38" t="b" cm="1">
        <f t="array" ref="AE634">IFERROR(_xlfn.BYROW(TRACK_TYPES[[#This Row],[TRACK_TYPE_STANDARD_GAUGE_RAILTYPE_OHLE]:[TRACK_TYPE_STANDARD_GAUGE_RAILTYPE_NONE]],_xlfn.LAMBDA(_xlpm.r,OR(_xlpm.r))),FALSE)</f>
        <v>0</v>
      </c>
      <c r="AF634" s="38" t="b" cm="1">
        <f t="array" ref="AF634">IFERROR(_xlfn.BYROW(TRACK_TYPES[[#This Row],[TRACK_TYPE_NARROW_GAUGE_RAILTYPE_OHLE]:[TRACK_TYPE_NARROW_GAUGE_RAILTYPE_NONE]],_xlfn.LAMBDA(_xlpm.r,OR(_xlpm.r))),FALSE)</f>
        <v>0</v>
      </c>
      <c r="AG634" s="38" t="b" cm="1">
        <f t="array" ref="AG634">IFERROR(_xlfn.BYROW(TRACK_TYPES[[#This Row],[TRACK_TYPE_BROAD_GAUGE_RAILTYPE_OHLE]:[TRACK_TYPE_BROAD_GAUGE_RAILTYPE_NONE]],_xlfn.LAMBDA(_xlpm.r,OR(_xlpm.r))),FALSE)</f>
        <v>1</v>
      </c>
      <c r="AH6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4"/>
      <c r="AQ634"/>
      <c r="AR634"/>
    </row>
    <row r="635" spans="1:44" x14ac:dyDescent="0.35">
      <c r="A635" s="2" t="s">
        <v>3252</v>
      </c>
      <c r="B635" s="40" t="str">
        <f>_xlfn.XLOOKUP(PROPERTIES[[#This Row],[VEHIDCODE]],CONTROL[VEHIDCODE],CONTROL[ENGLISH])</f>
        <v>GE C-C 4400 RFFSA</v>
      </c>
      <c r="V635" t="b">
        <v>1</v>
      </c>
      <c r="AC635" s="2"/>
      <c r="AD635" s="2" t="b">
        <f>LEN(_xlfn.CONCAT(TRACK_TYPES[[#This Row],[TRACK_TYPE_STANDARD_GAUGE_RAILTYPE_OHLE]:[TRACK_TYPE_MTRO]]))&gt;0</f>
        <v>1</v>
      </c>
      <c r="AE635" s="38" t="b" cm="1">
        <f t="array" ref="AE635">IFERROR(_xlfn.BYROW(TRACK_TYPES[[#This Row],[TRACK_TYPE_STANDARD_GAUGE_RAILTYPE_OHLE]:[TRACK_TYPE_STANDARD_GAUGE_RAILTYPE_NONE]],_xlfn.LAMBDA(_xlpm.r,OR(_xlpm.r))),FALSE)</f>
        <v>0</v>
      </c>
      <c r="AF635" s="38" t="b" cm="1">
        <f t="array" ref="AF635">IFERROR(_xlfn.BYROW(TRACK_TYPES[[#This Row],[TRACK_TYPE_NARROW_GAUGE_RAILTYPE_OHLE]:[TRACK_TYPE_NARROW_GAUGE_RAILTYPE_NONE]],_xlfn.LAMBDA(_xlpm.r,OR(_xlpm.r))),FALSE)</f>
        <v>0</v>
      </c>
      <c r="AG635" s="38" t="b" cm="1">
        <f t="array" ref="AG635">IFERROR(_xlfn.BYROW(TRACK_TYPES[[#This Row],[TRACK_TYPE_BROAD_GAUGE_RAILTYPE_OHLE]:[TRACK_TYPE_BROAD_GAUGE_RAILTYPE_NONE]],_xlfn.LAMBDA(_xlpm.r,OR(_xlpm.r))),FALSE)</f>
        <v>1</v>
      </c>
      <c r="AH6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5"/>
      <c r="AQ635"/>
      <c r="AR635"/>
    </row>
    <row r="636" spans="1:44" x14ac:dyDescent="0.35">
      <c r="A636" s="2" t="s">
        <v>3253</v>
      </c>
      <c r="B636" s="40" t="str">
        <f>_xlfn.XLOOKUP(PROPERTIES[[#This Row],[VEHIDCODE]],CONTROL[VEHIDCODE],CONTROL[ENGLISH])</f>
        <v>NEVZ VL85</v>
      </c>
      <c r="T636" t="b">
        <v>1</v>
      </c>
      <c r="AC636" s="2"/>
      <c r="AD636" s="2" t="b">
        <f>LEN(_xlfn.CONCAT(TRACK_TYPES[[#This Row],[TRACK_TYPE_STANDARD_GAUGE_RAILTYPE_OHLE]:[TRACK_TYPE_MTRO]]))&gt;0</f>
        <v>1</v>
      </c>
      <c r="AE636" s="38" t="b" cm="1">
        <f t="array" ref="AE636">IFERROR(_xlfn.BYROW(TRACK_TYPES[[#This Row],[TRACK_TYPE_STANDARD_GAUGE_RAILTYPE_OHLE]:[TRACK_TYPE_STANDARD_GAUGE_RAILTYPE_NONE]],_xlfn.LAMBDA(_xlpm.r,OR(_xlpm.r))),FALSE)</f>
        <v>0</v>
      </c>
      <c r="AF636" s="38" t="b" cm="1">
        <f t="array" ref="AF636">IFERROR(_xlfn.BYROW(TRACK_TYPES[[#This Row],[TRACK_TYPE_NARROW_GAUGE_RAILTYPE_OHLE]:[TRACK_TYPE_NARROW_GAUGE_RAILTYPE_NONE]],_xlfn.LAMBDA(_xlpm.r,OR(_xlpm.r))),FALSE)</f>
        <v>0</v>
      </c>
      <c r="AG636" s="38" t="b" cm="1">
        <f t="array" ref="AG636">IFERROR(_xlfn.BYROW(TRACK_TYPES[[#This Row],[TRACK_TYPE_BROAD_GAUGE_RAILTYPE_OHLE]:[TRACK_TYPE_BROAD_GAUGE_RAILTYPE_NONE]],_xlfn.LAMBDA(_xlpm.r,OR(_xlpm.r))),FALSE)</f>
        <v>1</v>
      </c>
      <c r="AH6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6"/>
      <c r="AQ636"/>
      <c r="AR636"/>
    </row>
    <row r="637" spans="1:44" x14ac:dyDescent="0.35">
      <c r="A637" s="2" t="s">
        <v>3254</v>
      </c>
      <c r="B637" s="40" t="str">
        <f>_xlfn.XLOOKUP(PROPERTIES[[#This Row],[VEHIDCODE]],CONTROL[VEHIDCODE],CONTROL[ENGLISH])</f>
        <v>DEVZ VL41</v>
      </c>
      <c r="T637" t="b">
        <v>1</v>
      </c>
      <c r="AC637" s="2"/>
      <c r="AD637" s="2" t="b">
        <f>LEN(_xlfn.CONCAT(TRACK_TYPES[[#This Row],[TRACK_TYPE_STANDARD_GAUGE_RAILTYPE_OHLE]:[TRACK_TYPE_MTRO]]))&gt;0</f>
        <v>1</v>
      </c>
      <c r="AE637" s="38" t="b" cm="1">
        <f t="array" ref="AE637">IFERROR(_xlfn.BYROW(TRACK_TYPES[[#This Row],[TRACK_TYPE_STANDARD_GAUGE_RAILTYPE_OHLE]:[TRACK_TYPE_STANDARD_GAUGE_RAILTYPE_NONE]],_xlfn.LAMBDA(_xlpm.r,OR(_xlpm.r))),FALSE)</f>
        <v>0</v>
      </c>
      <c r="AF637" s="38" t="b" cm="1">
        <f t="array" ref="AF637">IFERROR(_xlfn.BYROW(TRACK_TYPES[[#This Row],[TRACK_TYPE_NARROW_GAUGE_RAILTYPE_OHLE]:[TRACK_TYPE_NARROW_GAUGE_RAILTYPE_NONE]],_xlfn.LAMBDA(_xlpm.r,OR(_xlpm.r))),FALSE)</f>
        <v>0</v>
      </c>
      <c r="AG637" s="38" t="b" cm="1">
        <f t="array" ref="AG637">IFERROR(_xlfn.BYROW(TRACK_TYPES[[#This Row],[TRACK_TYPE_BROAD_GAUGE_RAILTYPE_OHLE]:[TRACK_TYPE_BROAD_GAUGE_RAILTYPE_NONE]],_xlfn.LAMBDA(_xlpm.r,OR(_xlpm.r))),FALSE)</f>
        <v>1</v>
      </c>
      <c r="AH6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7"/>
      <c r="AQ637"/>
      <c r="AR637"/>
    </row>
    <row r="638" spans="1:44" x14ac:dyDescent="0.35">
      <c r="A638" s="2" t="s">
        <v>3255</v>
      </c>
      <c r="B638" s="40" t="str">
        <f>_xlfn.XLOOKUP(PROPERTIES[[#This Row],[VEHIDCODE]],CONTROL[VEHIDCODE],CONTROL[ENGLISH])</f>
        <v>CLW WAP-4</v>
      </c>
      <c r="T638" t="b">
        <v>1</v>
      </c>
      <c r="AC638" s="2"/>
      <c r="AD638" s="2" t="b">
        <f>LEN(_xlfn.CONCAT(TRACK_TYPES[[#This Row],[TRACK_TYPE_STANDARD_GAUGE_RAILTYPE_OHLE]:[TRACK_TYPE_MTRO]]))&gt;0</f>
        <v>1</v>
      </c>
      <c r="AE638" s="38" t="b" cm="1">
        <f t="array" ref="AE638">IFERROR(_xlfn.BYROW(TRACK_TYPES[[#This Row],[TRACK_TYPE_STANDARD_GAUGE_RAILTYPE_OHLE]:[TRACK_TYPE_STANDARD_GAUGE_RAILTYPE_NONE]],_xlfn.LAMBDA(_xlpm.r,OR(_xlpm.r))),FALSE)</f>
        <v>0</v>
      </c>
      <c r="AF638" s="38" t="b" cm="1">
        <f t="array" ref="AF638">IFERROR(_xlfn.BYROW(TRACK_TYPES[[#This Row],[TRACK_TYPE_NARROW_GAUGE_RAILTYPE_OHLE]:[TRACK_TYPE_NARROW_GAUGE_RAILTYPE_NONE]],_xlfn.LAMBDA(_xlpm.r,OR(_xlpm.r))),FALSE)</f>
        <v>0</v>
      </c>
      <c r="AG638" s="38" t="b" cm="1">
        <f t="array" ref="AG638">IFERROR(_xlfn.BYROW(TRACK_TYPES[[#This Row],[TRACK_TYPE_BROAD_GAUGE_RAILTYPE_OHLE]:[TRACK_TYPE_BROAD_GAUGE_RAILTYPE_NONE]],_xlfn.LAMBDA(_xlpm.r,OR(_xlpm.r))),FALSE)</f>
        <v>1</v>
      </c>
      <c r="AH6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8"/>
      <c r="AQ638"/>
      <c r="AR638"/>
    </row>
    <row r="639" spans="1:44" x14ac:dyDescent="0.35">
      <c r="A639" s="2" t="s">
        <v>3256</v>
      </c>
      <c r="B639" s="40" t="str">
        <f>_xlfn.XLOOKUP(PROPERTIES[[#This Row],[VEHIDCODE]],CONTROL[VEHIDCODE],CONTROL[ENGLISH])</f>
        <v>NEVZ ES40</v>
      </c>
      <c r="T639" t="b">
        <v>1</v>
      </c>
      <c r="AC639" s="2"/>
      <c r="AD639" s="2" t="b">
        <f>LEN(_xlfn.CONCAT(TRACK_TYPES[[#This Row],[TRACK_TYPE_STANDARD_GAUGE_RAILTYPE_OHLE]:[TRACK_TYPE_MTRO]]))&gt;0</f>
        <v>1</v>
      </c>
      <c r="AE639" s="38" t="b" cm="1">
        <f t="array" ref="AE639">IFERROR(_xlfn.BYROW(TRACK_TYPES[[#This Row],[TRACK_TYPE_STANDARD_GAUGE_RAILTYPE_OHLE]:[TRACK_TYPE_STANDARD_GAUGE_RAILTYPE_NONE]],_xlfn.LAMBDA(_xlpm.r,OR(_xlpm.r))),FALSE)</f>
        <v>0</v>
      </c>
      <c r="AF639" s="38" t="b" cm="1">
        <f t="array" ref="AF639">IFERROR(_xlfn.BYROW(TRACK_TYPES[[#This Row],[TRACK_TYPE_NARROW_GAUGE_RAILTYPE_OHLE]:[TRACK_TYPE_NARROW_GAUGE_RAILTYPE_NONE]],_xlfn.LAMBDA(_xlpm.r,OR(_xlpm.r))),FALSE)</f>
        <v>0</v>
      </c>
      <c r="AG639" s="38" t="b" cm="1">
        <f t="array" ref="AG639">IFERROR(_xlfn.BYROW(TRACK_TYPES[[#This Row],[TRACK_TYPE_BROAD_GAUGE_RAILTYPE_OHLE]:[TRACK_TYPE_BROAD_GAUGE_RAILTYPE_NONE]],_xlfn.LAMBDA(_xlpm.r,OR(_xlpm.r))),FALSE)</f>
        <v>1</v>
      </c>
      <c r="AH6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9"/>
      <c r="AQ639"/>
      <c r="AR639"/>
    </row>
    <row r="640" spans="1:44" x14ac:dyDescent="0.35">
      <c r="A640" s="2" t="s">
        <v>3257</v>
      </c>
      <c r="B640" s="40" t="str">
        <f>_xlfn.XLOOKUP(PROPERTIES[[#This Row],[VEHIDCODE]],CONTROL[VEHIDCODE],CONTROL[ENGLISH])</f>
        <v>Zuzhou KZ4A</v>
      </c>
      <c r="T640" t="b">
        <v>1</v>
      </c>
      <c r="AC640" s="2"/>
      <c r="AD640" s="2" t="b">
        <f>LEN(_xlfn.CONCAT(TRACK_TYPES[[#This Row],[TRACK_TYPE_STANDARD_GAUGE_RAILTYPE_OHLE]:[TRACK_TYPE_MTRO]]))&gt;0</f>
        <v>1</v>
      </c>
      <c r="AE640" s="38" t="b" cm="1">
        <f t="array" ref="AE640">IFERROR(_xlfn.BYROW(TRACK_TYPES[[#This Row],[TRACK_TYPE_STANDARD_GAUGE_RAILTYPE_OHLE]:[TRACK_TYPE_STANDARD_GAUGE_RAILTYPE_NONE]],_xlfn.LAMBDA(_xlpm.r,OR(_xlpm.r))),FALSE)</f>
        <v>0</v>
      </c>
      <c r="AF640" s="38" t="b" cm="1">
        <f t="array" ref="AF640">IFERROR(_xlfn.BYROW(TRACK_TYPES[[#This Row],[TRACK_TYPE_NARROW_GAUGE_RAILTYPE_OHLE]:[TRACK_TYPE_NARROW_GAUGE_RAILTYPE_NONE]],_xlfn.LAMBDA(_xlpm.r,OR(_xlpm.r))),FALSE)</f>
        <v>0</v>
      </c>
      <c r="AG640" s="38" t="b" cm="1">
        <f t="array" ref="AG640">IFERROR(_xlfn.BYROW(TRACK_TYPES[[#This Row],[TRACK_TYPE_BROAD_GAUGE_RAILTYPE_OHLE]:[TRACK_TYPE_BROAD_GAUGE_RAILTYPE_NONE]],_xlfn.LAMBDA(_xlpm.r,OR(_xlpm.r))),FALSE)</f>
        <v>1</v>
      </c>
      <c r="AH6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0"/>
      <c r="AQ640"/>
      <c r="AR640"/>
    </row>
    <row r="641" spans="1:44" x14ac:dyDescent="0.35">
      <c r="A641" s="2" t="s">
        <v>3258</v>
      </c>
      <c r="B641" s="40" t="str">
        <f>_xlfn.XLOOKUP(PROPERTIES[[#This Row],[VEHIDCODE]],CONTROL[VEHIDCODE],CONTROL[ENGLISH])</f>
        <v>Alstom KZ8A</v>
      </c>
      <c r="T641" t="b">
        <v>1</v>
      </c>
      <c r="AC641" s="2"/>
      <c r="AD641" s="2" t="b">
        <f>LEN(_xlfn.CONCAT(TRACK_TYPES[[#This Row],[TRACK_TYPE_STANDARD_GAUGE_RAILTYPE_OHLE]:[TRACK_TYPE_MTRO]]))&gt;0</f>
        <v>1</v>
      </c>
      <c r="AE641" s="38" t="b" cm="1">
        <f t="array" ref="AE641">IFERROR(_xlfn.BYROW(TRACK_TYPES[[#This Row],[TRACK_TYPE_STANDARD_GAUGE_RAILTYPE_OHLE]:[TRACK_TYPE_STANDARD_GAUGE_RAILTYPE_NONE]],_xlfn.LAMBDA(_xlpm.r,OR(_xlpm.r))),FALSE)</f>
        <v>0</v>
      </c>
      <c r="AF641" s="38" t="b" cm="1">
        <f t="array" ref="AF641">IFERROR(_xlfn.BYROW(TRACK_TYPES[[#This Row],[TRACK_TYPE_NARROW_GAUGE_RAILTYPE_OHLE]:[TRACK_TYPE_NARROW_GAUGE_RAILTYPE_NONE]],_xlfn.LAMBDA(_xlpm.r,OR(_xlpm.r))),FALSE)</f>
        <v>0</v>
      </c>
      <c r="AG641" s="38" t="b" cm="1">
        <f t="array" ref="AG641">IFERROR(_xlfn.BYROW(TRACK_TYPES[[#This Row],[TRACK_TYPE_BROAD_GAUGE_RAILTYPE_OHLE]:[TRACK_TYPE_BROAD_GAUGE_RAILTYPE_NONE]],_xlfn.LAMBDA(_xlpm.r,OR(_xlpm.r))),FALSE)</f>
        <v>1</v>
      </c>
      <c r="AH6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1"/>
      <c r="AQ641"/>
      <c r="AR641"/>
    </row>
    <row r="642" spans="1:44" x14ac:dyDescent="0.35">
      <c r="A642" s="2" t="s">
        <v>3259</v>
      </c>
      <c r="B642" s="40" t="str">
        <f>_xlfn.XLOOKUP(PROPERTIES[[#This Row],[VEHIDCODE]],CONTROL[VEHIDCODE],CONTROL[ENGLISH])</f>
        <v>TRTrans/NEVZ EP20</v>
      </c>
      <c r="T642" t="b">
        <v>1</v>
      </c>
      <c r="V642" t="b">
        <v>1</v>
      </c>
      <c r="AC642" s="2"/>
      <c r="AD642" s="2" t="b">
        <f>LEN(_xlfn.CONCAT(TRACK_TYPES[[#This Row],[TRACK_TYPE_STANDARD_GAUGE_RAILTYPE_OHLE]:[TRACK_TYPE_MTRO]]))&gt;0</f>
        <v>1</v>
      </c>
      <c r="AE642" s="38" t="b" cm="1">
        <f t="array" ref="AE642">IFERROR(_xlfn.BYROW(TRACK_TYPES[[#This Row],[TRACK_TYPE_STANDARD_GAUGE_RAILTYPE_OHLE]:[TRACK_TYPE_STANDARD_GAUGE_RAILTYPE_NONE]],_xlfn.LAMBDA(_xlpm.r,OR(_xlpm.r))),FALSE)</f>
        <v>0</v>
      </c>
      <c r="AF642" s="38" t="b" cm="1">
        <f t="array" ref="AF642">IFERROR(_xlfn.BYROW(TRACK_TYPES[[#This Row],[TRACK_TYPE_NARROW_GAUGE_RAILTYPE_OHLE]:[TRACK_TYPE_NARROW_GAUGE_RAILTYPE_NONE]],_xlfn.LAMBDA(_xlpm.r,OR(_xlpm.r))),FALSE)</f>
        <v>0</v>
      </c>
      <c r="AG642" s="38" t="b" cm="1">
        <f t="array" ref="AG642">IFERROR(_xlfn.BYROW(TRACK_TYPES[[#This Row],[TRACK_TYPE_BROAD_GAUGE_RAILTYPE_OHLE]:[TRACK_TYPE_BROAD_GAUGE_RAILTYPE_NONE]],_xlfn.LAMBDA(_xlpm.r,OR(_xlpm.r))),FALSE)</f>
        <v>1</v>
      </c>
      <c r="AH6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2"/>
      <c r="AQ642"/>
      <c r="AR642"/>
    </row>
    <row r="643" spans="1:44" x14ac:dyDescent="0.35">
      <c r="A643" s="2" t="s">
        <v>3260</v>
      </c>
      <c r="B643" s="40" t="str">
        <f>_xlfn.XLOOKUP(PROPERTIES[[#This Row],[VEHIDCODE]],CONTROL[VEHIDCODE],CONTROL[ENGLISH])</f>
        <v>Valmet Dm7</v>
      </c>
      <c r="Z643" s="2" t="b">
        <v>1</v>
      </c>
      <c r="AC643" s="2"/>
      <c r="AD643" s="2" t="b">
        <f>LEN(_xlfn.CONCAT(TRACK_TYPES[[#This Row],[TRACK_TYPE_STANDARD_GAUGE_RAILTYPE_OHLE]:[TRACK_TYPE_MTRO]]))&gt;0</f>
        <v>1</v>
      </c>
      <c r="AE643" s="38" t="b" cm="1">
        <f t="array" ref="AE643">IFERROR(_xlfn.BYROW(TRACK_TYPES[[#This Row],[TRACK_TYPE_STANDARD_GAUGE_RAILTYPE_OHLE]:[TRACK_TYPE_STANDARD_GAUGE_RAILTYPE_NONE]],_xlfn.LAMBDA(_xlpm.r,OR(_xlpm.r))),FALSE)</f>
        <v>0</v>
      </c>
      <c r="AF643" s="38" t="b" cm="1">
        <f t="array" ref="AF643">IFERROR(_xlfn.BYROW(TRACK_TYPES[[#This Row],[TRACK_TYPE_NARROW_GAUGE_RAILTYPE_OHLE]:[TRACK_TYPE_NARROW_GAUGE_RAILTYPE_NONE]],_xlfn.LAMBDA(_xlpm.r,OR(_xlpm.r))),FALSE)</f>
        <v>0</v>
      </c>
      <c r="AG643" s="38" t="b" cm="1">
        <f t="array" ref="AG643">IFERROR(_xlfn.BYROW(TRACK_TYPES[[#This Row],[TRACK_TYPE_BROAD_GAUGE_RAILTYPE_OHLE]:[TRACK_TYPE_BROAD_GAUGE_RAILTYPE_NONE]],_xlfn.LAMBDA(_xlpm.r,OR(_xlpm.r))),FALSE)</f>
        <v>1</v>
      </c>
      <c r="AH6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3"/>
      <c r="AQ643"/>
      <c r="AR643"/>
    </row>
    <row r="644" spans="1:44" x14ac:dyDescent="0.35">
      <c r="A644" s="2" t="s">
        <v>3261</v>
      </c>
      <c r="B644" s="40" t="str">
        <f>_xlfn.XLOOKUP(PROPERTIES[[#This Row],[VEHIDCODE]],CONTROL[VEHIDCODE],CONTROL[ENGLISH])</f>
        <v xml:space="preserve">Vagonka Studenka 91M0 </v>
      </c>
      <c r="Z644" s="2" t="b">
        <v>1</v>
      </c>
      <c r="AC644" s="2"/>
      <c r="AD644" s="2" t="b">
        <f>LEN(_xlfn.CONCAT(TRACK_TYPES[[#This Row],[TRACK_TYPE_STANDARD_GAUGE_RAILTYPE_OHLE]:[TRACK_TYPE_MTRO]]))&gt;0</f>
        <v>1</v>
      </c>
      <c r="AE644" s="38" t="b" cm="1">
        <f t="array" ref="AE644">IFERROR(_xlfn.BYROW(TRACK_TYPES[[#This Row],[TRACK_TYPE_STANDARD_GAUGE_RAILTYPE_OHLE]:[TRACK_TYPE_STANDARD_GAUGE_RAILTYPE_NONE]],_xlfn.LAMBDA(_xlpm.r,OR(_xlpm.r))),FALSE)</f>
        <v>0</v>
      </c>
      <c r="AF644" s="38" t="b" cm="1">
        <f t="array" ref="AF644">IFERROR(_xlfn.BYROW(TRACK_TYPES[[#This Row],[TRACK_TYPE_NARROW_GAUGE_RAILTYPE_OHLE]:[TRACK_TYPE_NARROW_GAUGE_RAILTYPE_NONE]],_xlfn.LAMBDA(_xlpm.r,OR(_xlpm.r))),FALSE)</f>
        <v>0</v>
      </c>
      <c r="AG644" s="38" t="b" cm="1">
        <f t="array" ref="AG644">IFERROR(_xlfn.BYROW(TRACK_TYPES[[#This Row],[TRACK_TYPE_BROAD_GAUGE_RAILTYPE_OHLE]:[TRACK_TYPE_BROAD_GAUGE_RAILTYPE_NONE]],_xlfn.LAMBDA(_xlpm.r,OR(_xlpm.r))),FALSE)</f>
        <v>1</v>
      </c>
      <c r="AH6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4"/>
      <c r="AQ644"/>
      <c r="AR644"/>
    </row>
    <row r="645" spans="1:44" x14ac:dyDescent="0.35">
      <c r="A645" s="2" t="s">
        <v>3262</v>
      </c>
      <c r="B645" s="40" t="str">
        <f>_xlfn.XLOOKUP(PROPERTIES[[#This Row],[VEHIDCODE]],CONTROL[VEHIDCODE],CONTROL[ENGLISH])</f>
        <v>RVR ER200</v>
      </c>
      <c r="V645" t="b">
        <v>1</v>
      </c>
      <c r="AC645" s="2"/>
      <c r="AD645" s="2" t="b">
        <f>LEN(_xlfn.CONCAT(TRACK_TYPES[[#This Row],[TRACK_TYPE_STANDARD_GAUGE_RAILTYPE_OHLE]:[TRACK_TYPE_MTRO]]))&gt;0</f>
        <v>1</v>
      </c>
      <c r="AE645" s="38" t="b" cm="1">
        <f t="array" ref="AE645">IFERROR(_xlfn.BYROW(TRACK_TYPES[[#This Row],[TRACK_TYPE_STANDARD_GAUGE_RAILTYPE_OHLE]:[TRACK_TYPE_STANDARD_GAUGE_RAILTYPE_NONE]],_xlfn.LAMBDA(_xlpm.r,OR(_xlpm.r))),FALSE)</f>
        <v>0</v>
      </c>
      <c r="AF645" s="38" t="b" cm="1">
        <f t="array" ref="AF645">IFERROR(_xlfn.BYROW(TRACK_TYPES[[#This Row],[TRACK_TYPE_NARROW_GAUGE_RAILTYPE_OHLE]:[TRACK_TYPE_NARROW_GAUGE_RAILTYPE_NONE]],_xlfn.LAMBDA(_xlpm.r,OR(_xlpm.r))),FALSE)</f>
        <v>0</v>
      </c>
      <c r="AG645" s="38" t="b" cm="1">
        <f t="array" ref="AG645">IFERROR(_xlfn.BYROW(TRACK_TYPES[[#This Row],[TRACK_TYPE_BROAD_GAUGE_RAILTYPE_OHLE]:[TRACK_TYPE_BROAD_GAUGE_RAILTYPE_NONE]],_xlfn.LAMBDA(_xlpm.r,OR(_xlpm.r))),FALSE)</f>
        <v>1</v>
      </c>
      <c r="AH6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5"/>
      <c r="AQ645"/>
      <c r="AR645"/>
    </row>
    <row r="646" spans="1:44" x14ac:dyDescent="0.35">
      <c r="A646" s="2" t="s">
        <v>3263</v>
      </c>
      <c r="B646" s="40" t="str">
        <f>_xlfn.XLOOKUP(PROPERTIES[[#This Row],[VEHIDCODE]],CONTROL[VEHIDCODE],CONTROL[ENGLISH])</f>
        <v>MMZ 'S'</v>
      </c>
      <c r="V646" t="b">
        <v>1</v>
      </c>
      <c r="W646" t="b">
        <v>1</v>
      </c>
      <c r="AC646" s="2"/>
      <c r="AD646" s="2" t="b">
        <f>LEN(_xlfn.CONCAT(TRACK_TYPES[[#This Row],[TRACK_TYPE_STANDARD_GAUGE_RAILTYPE_OHLE]:[TRACK_TYPE_MTRO]]))&gt;0</f>
        <v>1</v>
      </c>
      <c r="AE646" s="38" t="b" cm="1">
        <f t="array" ref="AE646">IFERROR(_xlfn.BYROW(TRACK_TYPES[[#This Row],[TRACK_TYPE_STANDARD_GAUGE_RAILTYPE_OHLE]:[TRACK_TYPE_STANDARD_GAUGE_RAILTYPE_NONE]],_xlfn.LAMBDA(_xlpm.r,OR(_xlpm.r))),FALSE)</f>
        <v>0</v>
      </c>
      <c r="AF646" s="38" t="b" cm="1">
        <f t="array" ref="AF646">IFERROR(_xlfn.BYROW(TRACK_TYPES[[#This Row],[TRACK_TYPE_NARROW_GAUGE_RAILTYPE_OHLE]:[TRACK_TYPE_NARROW_GAUGE_RAILTYPE_NONE]],_xlfn.LAMBDA(_xlpm.r,OR(_xlpm.r))),FALSE)</f>
        <v>0</v>
      </c>
      <c r="AG646" s="38" t="b" cm="1">
        <f t="array" ref="AG646">IFERROR(_xlfn.BYROW(TRACK_TYPES[[#This Row],[TRACK_TYPE_BROAD_GAUGE_RAILTYPE_OHLE]:[TRACK_TYPE_BROAD_GAUGE_RAILTYPE_NONE]],_xlfn.LAMBDA(_xlpm.r,OR(_xlpm.r))),FALSE)</f>
        <v>1</v>
      </c>
      <c r="AH6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6"/>
      <c r="AQ646"/>
      <c r="AR646"/>
    </row>
    <row r="647" spans="1:44" x14ac:dyDescent="0.35">
      <c r="A647" s="2" t="s">
        <v>3264</v>
      </c>
      <c r="B647" s="40" t="str">
        <f>_xlfn.XLOOKUP(PROPERTIES[[#This Row],[VEHIDCODE]],CONTROL[VEHIDCODE],CONTROL[ENGLISH])</f>
        <v>Koncar 6112</v>
      </c>
      <c r="D647" t="b">
        <v>1</v>
      </c>
      <c r="AC647" s="2"/>
      <c r="AD647" s="2" t="b">
        <f>LEN(_xlfn.CONCAT(TRACK_TYPES[[#This Row],[TRACK_TYPE_STANDARD_GAUGE_RAILTYPE_OHLE]:[TRACK_TYPE_MTRO]]))&gt;0</f>
        <v>1</v>
      </c>
      <c r="AE647" s="38" t="b" cm="1">
        <f t="array" ref="AE647">IFERROR(_xlfn.BYROW(TRACK_TYPES[[#This Row],[TRACK_TYPE_STANDARD_GAUGE_RAILTYPE_OHLE]:[TRACK_TYPE_STANDARD_GAUGE_RAILTYPE_NONE]],_xlfn.LAMBDA(_xlpm.r,OR(_xlpm.r))),FALSE)</f>
        <v>1</v>
      </c>
      <c r="AF647" s="38" t="b" cm="1">
        <f t="array" ref="AF647">IFERROR(_xlfn.BYROW(TRACK_TYPES[[#This Row],[TRACK_TYPE_NARROW_GAUGE_RAILTYPE_OHLE]:[TRACK_TYPE_NARROW_GAUGE_RAILTYPE_NONE]],_xlfn.LAMBDA(_xlpm.r,OR(_xlpm.r))),FALSE)</f>
        <v>0</v>
      </c>
      <c r="AG647" s="38" t="b" cm="1">
        <f t="array" ref="AG647">IFERROR(_xlfn.BYROW(TRACK_TYPES[[#This Row],[TRACK_TYPE_BROAD_GAUGE_RAILTYPE_OHLE]:[TRACK_TYPE_BROAD_GAUGE_RAILTYPE_NONE]],_xlfn.LAMBDA(_xlpm.r,OR(_xlpm.r))),FALSE)</f>
        <v>0</v>
      </c>
      <c r="AH6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47"/>
      <c r="AQ647"/>
      <c r="AR647"/>
    </row>
    <row r="648" spans="1:44" x14ac:dyDescent="0.35">
      <c r="A648" s="2" t="s">
        <v>3265</v>
      </c>
      <c r="B648" s="40" t="str">
        <f>_xlfn.XLOOKUP(PROPERTIES[[#This Row],[VEHIDCODE]],CONTROL[VEHIDCODE],CONTROL[ENGLISH])</f>
        <v>Siemens Desiro ES1 'Lastochka'</v>
      </c>
      <c r="T648" t="b">
        <v>1</v>
      </c>
      <c r="V648" t="b">
        <v>1</v>
      </c>
      <c r="AC648" s="2"/>
      <c r="AD648" s="2" t="b">
        <f>LEN(_xlfn.CONCAT(TRACK_TYPES[[#This Row],[TRACK_TYPE_STANDARD_GAUGE_RAILTYPE_OHLE]:[TRACK_TYPE_MTRO]]))&gt;0</f>
        <v>1</v>
      </c>
      <c r="AE648" s="38" t="b" cm="1">
        <f t="array" ref="AE648">IFERROR(_xlfn.BYROW(TRACK_TYPES[[#This Row],[TRACK_TYPE_STANDARD_GAUGE_RAILTYPE_OHLE]:[TRACK_TYPE_STANDARD_GAUGE_RAILTYPE_NONE]],_xlfn.LAMBDA(_xlpm.r,OR(_xlpm.r))),FALSE)</f>
        <v>0</v>
      </c>
      <c r="AF648" s="38" t="b" cm="1">
        <f t="array" ref="AF648">IFERROR(_xlfn.BYROW(TRACK_TYPES[[#This Row],[TRACK_TYPE_NARROW_GAUGE_RAILTYPE_OHLE]:[TRACK_TYPE_NARROW_GAUGE_RAILTYPE_NONE]],_xlfn.LAMBDA(_xlpm.r,OR(_xlpm.r))),FALSE)</f>
        <v>0</v>
      </c>
      <c r="AG648" s="38" t="b" cm="1">
        <f t="array" ref="AG648">IFERROR(_xlfn.BYROW(TRACK_TYPES[[#This Row],[TRACK_TYPE_BROAD_GAUGE_RAILTYPE_OHLE]:[TRACK_TYPE_BROAD_GAUGE_RAILTYPE_NONE]],_xlfn.LAMBDA(_xlpm.r,OR(_xlpm.r))),FALSE)</f>
        <v>1</v>
      </c>
      <c r="AH6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8"/>
      <c r="AQ648"/>
      <c r="AR648"/>
    </row>
    <row r="649" spans="1:44" x14ac:dyDescent="0.35">
      <c r="A649" s="2" t="s">
        <v>74</v>
      </c>
      <c r="B649" s="40" t="str">
        <f>_xlfn.XLOOKUP(PROPERTIES[[#This Row],[VEHIDCODE]],CONTROL[VEHIDCODE],CONTROL[ENGLISH])</f>
        <v>Metro Unit Wagon</v>
      </c>
      <c r="H649" t="b">
        <v>1</v>
      </c>
      <c r="I649" t="b">
        <v>1</v>
      </c>
      <c r="P649" t="b">
        <v>1</v>
      </c>
      <c r="Q649" t="b">
        <v>1</v>
      </c>
      <c r="X649" t="b">
        <v>1</v>
      </c>
      <c r="Y649" t="b">
        <v>1</v>
      </c>
      <c r="AC649" s="2"/>
      <c r="AD649" s="2" t="b">
        <f>LEN(_xlfn.CONCAT(TRACK_TYPES[[#This Row],[TRACK_TYPE_STANDARD_GAUGE_RAILTYPE_OHLE]:[TRACK_TYPE_MTRO]]))&gt;0</f>
        <v>1</v>
      </c>
      <c r="AE649" s="38" t="b" cm="1">
        <f t="array" ref="AE649">IFERROR(_xlfn.BYROW(TRACK_TYPES[[#This Row],[TRACK_TYPE_STANDARD_GAUGE_RAILTYPE_OHLE]:[TRACK_TYPE_STANDARD_GAUGE_RAILTYPE_NONE]],_xlfn.LAMBDA(_xlpm.r,OR(_xlpm.r))),FALSE)</f>
        <v>1</v>
      </c>
      <c r="AF649" s="38" t="b" cm="1">
        <f t="array" ref="AF649">IFERROR(_xlfn.BYROW(TRACK_TYPES[[#This Row],[TRACK_TYPE_NARROW_GAUGE_RAILTYPE_OHLE]:[TRACK_TYPE_NARROW_GAUGE_RAILTYPE_NONE]],_xlfn.LAMBDA(_xlpm.r,OR(_xlpm.r))),FALSE)</f>
        <v>1</v>
      </c>
      <c r="AG649" s="38" t="b" cm="1">
        <f t="array" ref="AG649">IFERROR(_xlfn.BYROW(TRACK_TYPES[[#This Row],[TRACK_TYPE_BROAD_GAUGE_RAILTYPE_OHLE]:[TRACK_TYPE_BROAD_GAUGE_RAILTYPE_NONE]],_xlfn.LAMBDA(_xlpm.r,OR(_xlpm.r))),FALSE)</f>
        <v>1</v>
      </c>
      <c r="AH6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49"/>
      <c r="AQ649"/>
      <c r="AR649"/>
    </row>
    <row r="650" spans="1:44" x14ac:dyDescent="0.35">
      <c r="A650" s="2" t="s">
        <v>73</v>
      </c>
      <c r="B650" s="40" t="str">
        <f>_xlfn.XLOOKUP(PROPERTIES[[#This Row],[VEHIDCODE]],CONTROL[VEHIDCODE],CONTROL[ENGLISH])</f>
        <v>Metro Unit Wagon</v>
      </c>
      <c r="H650" t="b">
        <v>1</v>
      </c>
      <c r="I650" t="b">
        <v>1</v>
      </c>
      <c r="P650" t="b">
        <v>1</v>
      </c>
      <c r="Q650" t="b">
        <v>1</v>
      </c>
      <c r="X650" t="b">
        <v>1</v>
      </c>
      <c r="Y650" t="b">
        <v>1</v>
      </c>
      <c r="AC650" s="2"/>
      <c r="AD650" s="2" t="b">
        <f>LEN(_xlfn.CONCAT(TRACK_TYPES[[#This Row],[TRACK_TYPE_STANDARD_GAUGE_RAILTYPE_OHLE]:[TRACK_TYPE_MTRO]]))&gt;0</f>
        <v>1</v>
      </c>
      <c r="AE650" s="38" t="b" cm="1">
        <f t="array" ref="AE650">IFERROR(_xlfn.BYROW(TRACK_TYPES[[#This Row],[TRACK_TYPE_STANDARD_GAUGE_RAILTYPE_OHLE]:[TRACK_TYPE_STANDARD_GAUGE_RAILTYPE_NONE]],_xlfn.LAMBDA(_xlpm.r,OR(_xlpm.r))),FALSE)</f>
        <v>1</v>
      </c>
      <c r="AF650" s="38" t="b" cm="1">
        <f t="array" ref="AF650">IFERROR(_xlfn.BYROW(TRACK_TYPES[[#This Row],[TRACK_TYPE_NARROW_GAUGE_RAILTYPE_OHLE]:[TRACK_TYPE_NARROW_GAUGE_RAILTYPE_NONE]],_xlfn.LAMBDA(_xlpm.r,OR(_xlpm.r))),FALSE)</f>
        <v>1</v>
      </c>
      <c r="AG650" s="38" t="b" cm="1">
        <f t="array" ref="AG650">IFERROR(_xlfn.BYROW(TRACK_TYPES[[#This Row],[TRACK_TYPE_BROAD_GAUGE_RAILTYPE_OHLE]:[TRACK_TYPE_BROAD_GAUGE_RAILTYPE_NONE]],_xlfn.LAMBDA(_xlpm.r,OR(_xlpm.r))),FALSE)</f>
        <v>1</v>
      </c>
      <c r="AH6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0"/>
      <c r="AQ650"/>
      <c r="AR650"/>
    </row>
    <row r="651" spans="1:44" x14ac:dyDescent="0.35">
      <c r="A651" s="2" t="s">
        <v>75</v>
      </c>
      <c r="B651" s="40" t="str">
        <f>_xlfn.XLOOKUP(PROPERTIES[[#This Row],[VEHIDCODE]],CONTROL[VEHIDCODE],CONTROL[ENGLISH])</f>
        <v>Multiple Unit Cargo Wagon</v>
      </c>
      <c r="J651" s="2" t="b">
        <v>1</v>
      </c>
      <c r="R651" s="2" t="b">
        <v>1</v>
      </c>
      <c r="Z651" s="2" t="b">
        <v>1</v>
      </c>
      <c r="AC651" s="2"/>
      <c r="AD651" s="2" t="b">
        <f>LEN(_xlfn.CONCAT(TRACK_TYPES[[#This Row],[TRACK_TYPE_STANDARD_GAUGE_RAILTYPE_OHLE]:[TRACK_TYPE_MTRO]]))&gt;0</f>
        <v>1</v>
      </c>
      <c r="AE651" s="38" t="b" cm="1">
        <f t="array" ref="AE651">IFERROR(_xlfn.BYROW(TRACK_TYPES[[#This Row],[TRACK_TYPE_STANDARD_GAUGE_RAILTYPE_OHLE]:[TRACK_TYPE_STANDARD_GAUGE_RAILTYPE_NONE]],_xlfn.LAMBDA(_xlpm.r,OR(_xlpm.r))),FALSE)</f>
        <v>1</v>
      </c>
      <c r="AF651" s="38" t="b" cm="1">
        <f t="array" ref="AF651">IFERROR(_xlfn.BYROW(TRACK_TYPES[[#This Row],[TRACK_TYPE_NARROW_GAUGE_RAILTYPE_OHLE]:[TRACK_TYPE_NARROW_GAUGE_RAILTYPE_NONE]],_xlfn.LAMBDA(_xlpm.r,OR(_xlpm.r))),FALSE)</f>
        <v>1</v>
      </c>
      <c r="AG651" s="38" t="b" cm="1">
        <f t="array" ref="AG651">IFERROR(_xlfn.BYROW(TRACK_TYPES[[#This Row],[TRACK_TYPE_BROAD_GAUGE_RAILTYPE_OHLE]:[TRACK_TYPE_BROAD_GAUGE_RAILTYPE_NONE]],_xlfn.LAMBDA(_xlpm.r,OR(_xlpm.r))),FALSE)</f>
        <v>1</v>
      </c>
      <c r="AH6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1"/>
      <c r="AQ651"/>
      <c r="AR651"/>
    </row>
    <row r="652" spans="1:44" x14ac:dyDescent="0.35">
      <c r="A652" s="2" t="s">
        <v>76</v>
      </c>
      <c r="B652" s="40" t="str">
        <f>_xlfn.XLOOKUP(PROPERTIES[[#This Row],[VEHIDCODE]],CONTROL[VEHIDCODE],CONTROL[ENGLISH])</f>
        <v>Multiple Unit Cargo Wagon</v>
      </c>
      <c r="J652" s="2" t="b">
        <v>1</v>
      </c>
      <c r="R652" s="2" t="b">
        <v>1</v>
      </c>
      <c r="Z652" s="2" t="b">
        <v>1</v>
      </c>
      <c r="AC652" s="2"/>
      <c r="AD652" s="2" t="b">
        <f>LEN(_xlfn.CONCAT(TRACK_TYPES[[#This Row],[TRACK_TYPE_STANDARD_GAUGE_RAILTYPE_OHLE]:[TRACK_TYPE_MTRO]]))&gt;0</f>
        <v>1</v>
      </c>
      <c r="AE652" s="38" t="b" cm="1">
        <f t="array" ref="AE652">IFERROR(_xlfn.BYROW(TRACK_TYPES[[#This Row],[TRACK_TYPE_STANDARD_GAUGE_RAILTYPE_OHLE]:[TRACK_TYPE_STANDARD_GAUGE_RAILTYPE_NONE]],_xlfn.LAMBDA(_xlpm.r,OR(_xlpm.r))),FALSE)</f>
        <v>1</v>
      </c>
      <c r="AF652" s="38" t="b" cm="1">
        <f t="array" ref="AF652">IFERROR(_xlfn.BYROW(TRACK_TYPES[[#This Row],[TRACK_TYPE_NARROW_GAUGE_RAILTYPE_OHLE]:[TRACK_TYPE_NARROW_GAUGE_RAILTYPE_NONE]],_xlfn.LAMBDA(_xlpm.r,OR(_xlpm.r))),FALSE)</f>
        <v>1</v>
      </c>
      <c r="AG652" s="38" t="b" cm="1">
        <f t="array" ref="AG652">IFERROR(_xlfn.BYROW(TRACK_TYPES[[#This Row],[TRACK_TYPE_BROAD_GAUGE_RAILTYPE_OHLE]:[TRACK_TYPE_BROAD_GAUGE_RAILTYPE_NONE]],_xlfn.LAMBDA(_xlpm.r,OR(_xlpm.r))),FALSE)</f>
        <v>1</v>
      </c>
      <c r="AH6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2"/>
      <c r="AQ652"/>
      <c r="AR652"/>
    </row>
    <row r="653" spans="1:44" x14ac:dyDescent="0.35">
      <c r="A653" s="2" t="s">
        <v>77</v>
      </c>
      <c r="B653" s="40" t="str">
        <f>_xlfn.XLOOKUP(PROPERTIES[[#This Row],[VEHIDCODE]],CONTROL[VEHIDCODE],CONTROL[ENGLISH])</f>
        <v>Multiple Unit Wagon</v>
      </c>
      <c r="J653" s="2" t="b">
        <v>1</v>
      </c>
      <c r="R653" s="2" t="b">
        <v>1</v>
      </c>
      <c r="Z653" s="2" t="b">
        <v>1</v>
      </c>
      <c r="AC653" s="2"/>
      <c r="AD653" s="2" t="b">
        <f>LEN(_xlfn.CONCAT(TRACK_TYPES[[#This Row],[TRACK_TYPE_STANDARD_GAUGE_RAILTYPE_OHLE]:[TRACK_TYPE_MTRO]]))&gt;0</f>
        <v>1</v>
      </c>
      <c r="AE653" s="38" t="b" cm="1">
        <f t="array" ref="AE653">IFERROR(_xlfn.BYROW(TRACK_TYPES[[#This Row],[TRACK_TYPE_STANDARD_GAUGE_RAILTYPE_OHLE]:[TRACK_TYPE_STANDARD_GAUGE_RAILTYPE_NONE]],_xlfn.LAMBDA(_xlpm.r,OR(_xlpm.r))),FALSE)</f>
        <v>1</v>
      </c>
      <c r="AF653" s="38" t="b" cm="1">
        <f t="array" ref="AF653">IFERROR(_xlfn.BYROW(TRACK_TYPES[[#This Row],[TRACK_TYPE_NARROW_GAUGE_RAILTYPE_OHLE]:[TRACK_TYPE_NARROW_GAUGE_RAILTYPE_NONE]],_xlfn.LAMBDA(_xlpm.r,OR(_xlpm.r))),FALSE)</f>
        <v>1</v>
      </c>
      <c r="AG653" s="38" t="b" cm="1">
        <f t="array" ref="AG653">IFERROR(_xlfn.BYROW(TRACK_TYPES[[#This Row],[TRACK_TYPE_BROAD_GAUGE_RAILTYPE_OHLE]:[TRACK_TYPE_BROAD_GAUGE_RAILTYPE_NONE]],_xlfn.LAMBDA(_xlpm.r,OR(_xlpm.r))),FALSE)</f>
        <v>1</v>
      </c>
      <c r="AH6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3"/>
      <c r="AQ653"/>
      <c r="AR653"/>
    </row>
    <row r="654" spans="1:44" x14ac:dyDescent="0.35">
      <c r="A654" s="2" t="s">
        <v>78</v>
      </c>
      <c r="B654" s="40" t="str">
        <f>_xlfn.XLOOKUP(PROPERTIES[[#This Row],[VEHIDCODE]],CONTROL[VEHIDCODE],CONTROL[ENGLISH])</f>
        <v>Multiple Unit Wagon</v>
      </c>
      <c r="J654" s="2" t="b">
        <v>1</v>
      </c>
      <c r="R654" s="2" t="b">
        <v>1</v>
      </c>
      <c r="Z654" s="2" t="b">
        <v>1</v>
      </c>
      <c r="AC654" s="2"/>
      <c r="AD654" s="2" t="b">
        <f>LEN(_xlfn.CONCAT(TRACK_TYPES[[#This Row],[TRACK_TYPE_STANDARD_GAUGE_RAILTYPE_OHLE]:[TRACK_TYPE_MTRO]]))&gt;0</f>
        <v>1</v>
      </c>
      <c r="AE654" s="38" t="b" cm="1">
        <f t="array" ref="AE654">IFERROR(_xlfn.BYROW(TRACK_TYPES[[#This Row],[TRACK_TYPE_STANDARD_GAUGE_RAILTYPE_OHLE]:[TRACK_TYPE_STANDARD_GAUGE_RAILTYPE_NONE]],_xlfn.LAMBDA(_xlpm.r,OR(_xlpm.r))),FALSE)</f>
        <v>1</v>
      </c>
      <c r="AF654" s="38" t="b" cm="1">
        <f t="array" ref="AF654">IFERROR(_xlfn.BYROW(TRACK_TYPES[[#This Row],[TRACK_TYPE_NARROW_GAUGE_RAILTYPE_OHLE]:[TRACK_TYPE_NARROW_GAUGE_RAILTYPE_NONE]],_xlfn.LAMBDA(_xlpm.r,OR(_xlpm.r))),FALSE)</f>
        <v>1</v>
      </c>
      <c r="AG654" s="38" t="b" cm="1">
        <f t="array" ref="AG654">IFERROR(_xlfn.BYROW(TRACK_TYPES[[#This Row],[TRACK_TYPE_BROAD_GAUGE_RAILTYPE_OHLE]:[TRACK_TYPE_BROAD_GAUGE_RAILTYPE_NONE]],_xlfn.LAMBDA(_xlpm.r,OR(_xlpm.r))),FALSE)</f>
        <v>1</v>
      </c>
      <c r="AH6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4"/>
      <c r="AQ654"/>
      <c r="AR654"/>
    </row>
    <row r="655" spans="1:44" x14ac:dyDescent="0.35">
      <c r="A655" s="2" t="s">
        <v>79</v>
      </c>
      <c r="B655" s="40" t="str">
        <f>_xlfn.XLOOKUP(PROPERTIES[[#This Row],[VEHIDCODE]],CONTROL[VEHIDCODE],CONTROL[ENGLISH])</f>
        <v>1st Gen Flat Wagon</v>
      </c>
      <c r="J655" s="2" t="b">
        <v>1</v>
      </c>
      <c r="R655" s="2" t="b">
        <v>1</v>
      </c>
      <c r="Z655" s="2" t="b">
        <v>1</v>
      </c>
      <c r="AC655" s="2"/>
      <c r="AD655" s="2" t="b">
        <f>LEN(_xlfn.CONCAT(TRACK_TYPES[[#This Row],[TRACK_TYPE_STANDARD_GAUGE_RAILTYPE_OHLE]:[TRACK_TYPE_MTRO]]))&gt;0</f>
        <v>1</v>
      </c>
      <c r="AE655" s="38" t="b" cm="1">
        <f t="array" ref="AE655">IFERROR(_xlfn.BYROW(TRACK_TYPES[[#This Row],[TRACK_TYPE_STANDARD_GAUGE_RAILTYPE_OHLE]:[TRACK_TYPE_STANDARD_GAUGE_RAILTYPE_NONE]],_xlfn.LAMBDA(_xlpm.r,OR(_xlpm.r))),FALSE)</f>
        <v>1</v>
      </c>
      <c r="AF655" s="38" t="b" cm="1">
        <f t="array" ref="AF655">IFERROR(_xlfn.BYROW(TRACK_TYPES[[#This Row],[TRACK_TYPE_NARROW_GAUGE_RAILTYPE_OHLE]:[TRACK_TYPE_NARROW_GAUGE_RAILTYPE_NONE]],_xlfn.LAMBDA(_xlpm.r,OR(_xlpm.r))),FALSE)</f>
        <v>1</v>
      </c>
      <c r="AG655" s="38" t="b" cm="1">
        <f t="array" ref="AG655">IFERROR(_xlfn.BYROW(TRACK_TYPES[[#This Row],[TRACK_TYPE_BROAD_GAUGE_RAILTYPE_OHLE]:[TRACK_TYPE_BROAD_GAUGE_RAILTYPE_NONE]],_xlfn.LAMBDA(_xlpm.r,OR(_xlpm.r))),FALSE)</f>
        <v>1</v>
      </c>
      <c r="AH6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5"/>
      <c r="AQ655"/>
      <c r="AR655"/>
    </row>
    <row r="656" spans="1:44" x14ac:dyDescent="0.35">
      <c r="A656" s="2" t="s">
        <v>80</v>
      </c>
      <c r="B656" s="40" t="str">
        <f>_xlfn.XLOOKUP(PROPERTIES[[#This Row],[VEHIDCODE]],CONTROL[VEHIDCODE],CONTROL[ENGLISH])</f>
        <v>1st Gen Wooden Box Van</v>
      </c>
      <c r="J656" s="2" t="b">
        <v>1</v>
      </c>
      <c r="R656" s="2" t="b">
        <v>1</v>
      </c>
      <c r="Z656" s="2" t="b">
        <v>1</v>
      </c>
      <c r="AC656" s="2"/>
      <c r="AD656" s="2" t="b">
        <f>LEN(_xlfn.CONCAT(TRACK_TYPES[[#This Row],[TRACK_TYPE_STANDARD_GAUGE_RAILTYPE_OHLE]:[TRACK_TYPE_MTRO]]))&gt;0</f>
        <v>1</v>
      </c>
      <c r="AE656" s="38" t="b" cm="1">
        <f t="array" ref="AE656">IFERROR(_xlfn.BYROW(TRACK_TYPES[[#This Row],[TRACK_TYPE_STANDARD_GAUGE_RAILTYPE_OHLE]:[TRACK_TYPE_STANDARD_GAUGE_RAILTYPE_NONE]],_xlfn.LAMBDA(_xlpm.r,OR(_xlpm.r))),FALSE)</f>
        <v>1</v>
      </c>
      <c r="AF656" s="38" t="b" cm="1">
        <f t="array" ref="AF656">IFERROR(_xlfn.BYROW(TRACK_TYPES[[#This Row],[TRACK_TYPE_NARROW_GAUGE_RAILTYPE_OHLE]:[TRACK_TYPE_NARROW_GAUGE_RAILTYPE_NONE]],_xlfn.LAMBDA(_xlpm.r,OR(_xlpm.r))),FALSE)</f>
        <v>1</v>
      </c>
      <c r="AG656" s="38" t="b" cm="1">
        <f t="array" ref="AG656">IFERROR(_xlfn.BYROW(TRACK_TYPES[[#This Row],[TRACK_TYPE_BROAD_GAUGE_RAILTYPE_OHLE]:[TRACK_TYPE_BROAD_GAUGE_RAILTYPE_NONE]],_xlfn.LAMBDA(_xlpm.r,OR(_xlpm.r))),FALSE)</f>
        <v>1</v>
      </c>
      <c r="AH6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6"/>
      <c r="AQ656"/>
      <c r="AR656"/>
    </row>
    <row r="657" spans="1:44" x14ac:dyDescent="0.35">
      <c r="A657" s="2" t="s">
        <v>81</v>
      </c>
      <c r="B657" s="40" t="str">
        <f>_xlfn.XLOOKUP(PROPERTIES[[#This Row],[VEHIDCODE]],CONTROL[VEHIDCODE],CONTROL[ENGLISH])</f>
        <v>1st Gen Tanker</v>
      </c>
      <c r="J657" s="2" t="b">
        <v>1</v>
      </c>
      <c r="R657" s="2" t="b">
        <v>1</v>
      </c>
      <c r="Z657" s="2" t="b">
        <v>1</v>
      </c>
      <c r="AC657" s="2"/>
      <c r="AD657" s="2" t="b">
        <f>LEN(_xlfn.CONCAT(TRACK_TYPES[[#This Row],[TRACK_TYPE_STANDARD_GAUGE_RAILTYPE_OHLE]:[TRACK_TYPE_MTRO]]))&gt;0</f>
        <v>1</v>
      </c>
      <c r="AE657" s="38" t="b" cm="1">
        <f t="array" ref="AE657">IFERROR(_xlfn.BYROW(TRACK_TYPES[[#This Row],[TRACK_TYPE_STANDARD_GAUGE_RAILTYPE_OHLE]:[TRACK_TYPE_STANDARD_GAUGE_RAILTYPE_NONE]],_xlfn.LAMBDA(_xlpm.r,OR(_xlpm.r))),FALSE)</f>
        <v>1</v>
      </c>
      <c r="AF657" s="38" t="b" cm="1">
        <f t="array" ref="AF657">IFERROR(_xlfn.BYROW(TRACK_TYPES[[#This Row],[TRACK_TYPE_NARROW_GAUGE_RAILTYPE_OHLE]:[TRACK_TYPE_NARROW_GAUGE_RAILTYPE_NONE]],_xlfn.LAMBDA(_xlpm.r,OR(_xlpm.r))),FALSE)</f>
        <v>1</v>
      </c>
      <c r="AG657" s="38" t="b" cm="1">
        <f t="array" ref="AG657">IFERROR(_xlfn.BYROW(TRACK_TYPES[[#This Row],[TRACK_TYPE_BROAD_GAUGE_RAILTYPE_OHLE]:[TRACK_TYPE_BROAD_GAUGE_RAILTYPE_NONE]],_xlfn.LAMBDA(_xlpm.r,OR(_xlpm.r))),FALSE)</f>
        <v>1</v>
      </c>
      <c r="AH6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7"/>
      <c r="AQ657"/>
      <c r="AR657"/>
    </row>
    <row r="658" spans="1:44" x14ac:dyDescent="0.35">
      <c r="A658" s="2" t="s">
        <v>82</v>
      </c>
      <c r="B658" s="40" t="str">
        <f>_xlfn.XLOOKUP(PROPERTIES[[#This Row],[VEHIDCODE]],CONTROL[VEHIDCODE],CONTROL[ENGLISH])</f>
        <v>1st Gen Wooden Open Wagon</v>
      </c>
      <c r="J658" s="2" t="b">
        <v>1</v>
      </c>
      <c r="R658" s="2" t="b">
        <v>1</v>
      </c>
      <c r="Z658" s="2" t="b">
        <v>1</v>
      </c>
      <c r="AC658" s="2"/>
      <c r="AD658" s="2" t="b">
        <f>LEN(_xlfn.CONCAT(TRACK_TYPES[[#This Row],[TRACK_TYPE_STANDARD_GAUGE_RAILTYPE_OHLE]:[TRACK_TYPE_MTRO]]))&gt;0</f>
        <v>1</v>
      </c>
      <c r="AE658" s="38" t="b" cm="1">
        <f t="array" ref="AE658">IFERROR(_xlfn.BYROW(TRACK_TYPES[[#This Row],[TRACK_TYPE_STANDARD_GAUGE_RAILTYPE_OHLE]:[TRACK_TYPE_STANDARD_GAUGE_RAILTYPE_NONE]],_xlfn.LAMBDA(_xlpm.r,OR(_xlpm.r))),FALSE)</f>
        <v>1</v>
      </c>
      <c r="AF658" s="38" t="b" cm="1">
        <f t="array" ref="AF658">IFERROR(_xlfn.BYROW(TRACK_TYPES[[#This Row],[TRACK_TYPE_NARROW_GAUGE_RAILTYPE_OHLE]:[TRACK_TYPE_NARROW_GAUGE_RAILTYPE_NONE]],_xlfn.LAMBDA(_xlpm.r,OR(_xlpm.r))),FALSE)</f>
        <v>1</v>
      </c>
      <c r="AG658" s="38" t="b" cm="1">
        <f t="array" ref="AG658">IFERROR(_xlfn.BYROW(TRACK_TYPES[[#This Row],[TRACK_TYPE_BROAD_GAUGE_RAILTYPE_OHLE]:[TRACK_TYPE_BROAD_GAUGE_RAILTYPE_NONE]],_xlfn.LAMBDA(_xlpm.r,OR(_xlpm.r))),FALSE)</f>
        <v>1</v>
      </c>
      <c r="AH6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8"/>
      <c r="AQ658"/>
      <c r="AR658"/>
    </row>
    <row r="659" spans="1:44" x14ac:dyDescent="0.35">
      <c r="A659" s="2" t="s">
        <v>153</v>
      </c>
      <c r="B659" s="40" t="str">
        <f>_xlfn.XLOOKUP(PROPERTIES[[#This Row],[VEHIDCODE]],CONTROL[VEHIDCODE],CONTROL[ENGLISH])</f>
        <v>2nd Gen Flat Wagon</v>
      </c>
      <c r="J659" s="2" t="b">
        <v>1</v>
      </c>
      <c r="R659" s="2" t="b">
        <v>1</v>
      </c>
      <c r="Z659" s="2" t="b">
        <v>1</v>
      </c>
      <c r="AC659" s="2"/>
      <c r="AD659" s="2" t="b">
        <f>LEN(_xlfn.CONCAT(TRACK_TYPES[[#This Row],[TRACK_TYPE_STANDARD_GAUGE_RAILTYPE_OHLE]:[TRACK_TYPE_MTRO]]))&gt;0</f>
        <v>1</v>
      </c>
      <c r="AE659" s="38" t="b" cm="1">
        <f t="array" ref="AE659">IFERROR(_xlfn.BYROW(TRACK_TYPES[[#This Row],[TRACK_TYPE_STANDARD_GAUGE_RAILTYPE_OHLE]:[TRACK_TYPE_STANDARD_GAUGE_RAILTYPE_NONE]],_xlfn.LAMBDA(_xlpm.r,OR(_xlpm.r))),FALSE)</f>
        <v>1</v>
      </c>
      <c r="AF659" s="38" t="b" cm="1">
        <f t="array" ref="AF659">IFERROR(_xlfn.BYROW(TRACK_TYPES[[#This Row],[TRACK_TYPE_NARROW_GAUGE_RAILTYPE_OHLE]:[TRACK_TYPE_NARROW_GAUGE_RAILTYPE_NONE]],_xlfn.LAMBDA(_xlpm.r,OR(_xlpm.r))),FALSE)</f>
        <v>1</v>
      </c>
      <c r="AG659" s="38" t="b" cm="1">
        <f t="array" ref="AG659">IFERROR(_xlfn.BYROW(TRACK_TYPES[[#This Row],[TRACK_TYPE_BROAD_GAUGE_RAILTYPE_OHLE]:[TRACK_TYPE_BROAD_GAUGE_RAILTYPE_NONE]],_xlfn.LAMBDA(_xlpm.r,OR(_xlpm.r))),FALSE)</f>
        <v>1</v>
      </c>
      <c r="AH6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9"/>
      <c r="AQ659"/>
      <c r="AR659"/>
    </row>
    <row r="660" spans="1:44" x14ac:dyDescent="0.35">
      <c r="A660" s="2" t="s">
        <v>154</v>
      </c>
      <c r="B660" s="40" t="str">
        <f>_xlfn.XLOOKUP(PROPERTIES[[#This Row],[VEHIDCODE]],CONTROL[VEHIDCODE],CONTROL[ENGLISH])</f>
        <v>2nd Gen Wooden Box Van [Food]</v>
      </c>
      <c r="J660" s="2" t="b">
        <v>1</v>
      </c>
      <c r="R660" s="2" t="b">
        <v>1</v>
      </c>
      <c r="Z660" s="2" t="b">
        <v>1</v>
      </c>
      <c r="AC660" s="2"/>
      <c r="AD660" s="2" t="b">
        <f>LEN(_xlfn.CONCAT(TRACK_TYPES[[#This Row],[TRACK_TYPE_STANDARD_GAUGE_RAILTYPE_OHLE]:[TRACK_TYPE_MTRO]]))&gt;0</f>
        <v>1</v>
      </c>
      <c r="AE660" s="38" t="b" cm="1">
        <f t="array" ref="AE660">IFERROR(_xlfn.BYROW(TRACK_TYPES[[#This Row],[TRACK_TYPE_STANDARD_GAUGE_RAILTYPE_OHLE]:[TRACK_TYPE_STANDARD_GAUGE_RAILTYPE_NONE]],_xlfn.LAMBDA(_xlpm.r,OR(_xlpm.r))),FALSE)</f>
        <v>1</v>
      </c>
      <c r="AF660" s="38" t="b" cm="1">
        <f t="array" ref="AF660">IFERROR(_xlfn.BYROW(TRACK_TYPES[[#This Row],[TRACK_TYPE_NARROW_GAUGE_RAILTYPE_OHLE]:[TRACK_TYPE_NARROW_GAUGE_RAILTYPE_NONE]],_xlfn.LAMBDA(_xlpm.r,OR(_xlpm.r))),FALSE)</f>
        <v>1</v>
      </c>
      <c r="AG660" s="38" t="b" cm="1">
        <f t="array" ref="AG660">IFERROR(_xlfn.BYROW(TRACK_TYPES[[#This Row],[TRACK_TYPE_BROAD_GAUGE_RAILTYPE_OHLE]:[TRACK_TYPE_BROAD_GAUGE_RAILTYPE_NONE]],_xlfn.LAMBDA(_xlpm.r,OR(_xlpm.r))),FALSE)</f>
        <v>1</v>
      </c>
      <c r="AH6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0"/>
      <c r="AQ660"/>
      <c r="AR660"/>
    </row>
    <row r="661" spans="1:44" x14ac:dyDescent="0.35">
      <c r="A661" s="2" t="s">
        <v>155</v>
      </c>
      <c r="B661" s="40" t="str">
        <f>_xlfn.XLOOKUP(PROPERTIES[[#This Row],[VEHIDCODE]],CONTROL[VEHIDCODE],CONTROL[ENGLISH])</f>
        <v>2nd Gen Wooden Box Van [Non-Food]</v>
      </c>
      <c r="J661" s="2" t="b">
        <v>1</v>
      </c>
      <c r="R661" s="2" t="b">
        <v>1</v>
      </c>
      <c r="Z661" s="2" t="b">
        <v>1</v>
      </c>
      <c r="AC661" s="2"/>
      <c r="AD661" s="2" t="b">
        <f>LEN(_xlfn.CONCAT(TRACK_TYPES[[#This Row],[TRACK_TYPE_STANDARD_GAUGE_RAILTYPE_OHLE]:[TRACK_TYPE_MTRO]]))&gt;0</f>
        <v>1</v>
      </c>
      <c r="AE661" s="38" t="b" cm="1">
        <f t="array" ref="AE661">IFERROR(_xlfn.BYROW(TRACK_TYPES[[#This Row],[TRACK_TYPE_STANDARD_GAUGE_RAILTYPE_OHLE]:[TRACK_TYPE_STANDARD_GAUGE_RAILTYPE_NONE]],_xlfn.LAMBDA(_xlpm.r,OR(_xlpm.r))),FALSE)</f>
        <v>1</v>
      </c>
      <c r="AF661" s="38" t="b" cm="1">
        <f t="array" ref="AF661">IFERROR(_xlfn.BYROW(TRACK_TYPES[[#This Row],[TRACK_TYPE_NARROW_GAUGE_RAILTYPE_OHLE]:[TRACK_TYPE_NARROW_GAUGE_RAILTYPE_NONE]],_xlfn.LAMBDA(_xlpm.r,OR(_xlpm.r))),FALSE)</f>
        <v>1</v>
      </c>
      <c r="AG661" s="38" t="b" cm="1">
        <f t="array" ref="AG661">IFERROR(_xlfn.BYROW(TRACK_TYPES[[#This Row],[TRACK_TYPE_BROAD_GAUGE_RAILTYPE_OHLE]:[TRACK_TYPE_BROAD_GAUGE_RAILTYPE_NONE]],_xlfn.LAMBDA(_xlpm.r,OR(_xlpm.r))),FALSE)</f>
        <v>1</v>
      </c>
      <c r="AH6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1"/>
      <c r="AQ661"/>
      <c r="AR661"/>
    </row>
    <row r="662" spans="1:44" x14ac:dyDescent="0.35">
      <c r="A662" s="2" t="s">
        <v>156</v>
      </c>
      <c r="B662" s="40" t="str">
        <f>_xlfn.XLOOKUP(PROPERTIES[[#This Row],[VEHIDCODE]],CONTROL[VEHIDCODE],CONTROL[ENGLISH])</f>
        <v>2nd Gen Tanker</v>
      </c>
      <c r="J662" s="2" t="b">
        <v>1</v>
      </c>
      <c r="R662" s="2" t="b">
        <v>1</v>
      </c>
      <c r="Z662" s="2" t="b">
        <v>1</v>
      </c>
      <c r="AC662" s="2"/>
      <c r="AD662" s="2" t="b">
        <f>LEN(_xlfn.CONCAT(TRACK_TYPES[[#This Row],[TRACK_TYPE_STANDARD_GAUGE_RAILTYPE_OHLE]:[TRACK_TYPE_MTRO]]))&gt;0</f>
        <v>1</v>
      </c>
      <c r="AE662" s="38" t="b" cm="1">
        <f t="array" ref="AE662">IFERROR(_xlfn.BYROW(TRACK_TYPES[[#This Row],[TRACK_TYPE_STANDARD_GAUGE_RAILTYPE_OHLE]:[TRACK_TYPE_STANDARD_GAUGE_RAILTYPE_NONE]],_xlfn.LAMBDA(_xlpm.r,OR(_xlpm.r))),FALSE)</f>
        <v>1</v>
      </c>
      <c r="AF662" s="38" t="b" cm="1">
        <f t="array" ref="AF662">IFERROR(_xlfn.BYROW(TRACK_TYPES[[#This Row],[TRACK_TYPE_NARROW_GAUGE_RAILTYPE_OHLE]:[TRACK_TYPE_NARROW_GAUGE_RAILTYPE_NONE]],_xlfn.LAMBDA(_xlpm.r,OR(_xlpm.r))),FALSE)</f>
        <v>1</v>
      </c>
      <c r="AG662" s="38" t="b" cm="1">
        <f t="array" ref="AG662">IFERROR(_xlfn.BYROW(TRACK_TYPES[[#This Row],[TRACK_TYPE_BROAD_GAUGE_RAILTYPE_OHLE]:[TRACK_TYPE_BROAD_GAUGE_RAILTYPE_NONE]],_xlfn.LAMBDA(_xlpm.r,OR(_xlpm.r))),FALSE)</f>
        <v>1</v>
      </c>
      <c r="AH6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2"/>
      <c r="AQ662"/>
      <c r="AR662"/>
    </row>
    <row r="663" spans="1:44" x14ac:dyDescent="0.35">
      <c r="A663" s="2" t="s">
        <v>157</v>
      </c>
      <c r="B663" s="40" t="str">
        <f>_xlfn.XLOOKUP(PROPERTIES[[#This Row],[VEHIDCODE]],CONTROL[VEHIDCODE],CONTROL[ENGLISH])</f>
        <v>2nd Gen Wooden Open Wagon</v>
      </c>
      <c r="J663" s="2" t="b">
        <v>1</v>
      </c>
      <c r="R663" s="2" t="b">
        <v>1</v>
      </c>
      <c r="Z663" s="2" t="b">
        <v>1</v>
      </c>
      <c r="AC663" s="2"/>
      <c r="AD663" s="2" t="b">
        <f>LEN(_xlfn.CONCAT(TRACK_TYPES[[#This Row],[TRACK_TYPE_STANDARD_GAUGE_RAILTYPE_OHLE]:[TRACK_TYPE_MTRO]]))&gt;0</f>
        <v>1</v>
      </c>
      <c r="AE663" s="38" t="b" cm="1">
        <f t="array" ref="AE663">IFERROR(_xlfn.BYROW(TRACK_TYPES[[#This Row],[TRACK_TYPE_STANDARD_GAUGE_RAILTYPE_OHLE]:[TRACK_TYPE_STANDARD_GAUGE_RAILTYPE_NONE]],_xlfn.LAMBDA(_xlpm.r,OR(_xlpm.r))),FALSE)</f>
        <v>1</v>
      </c>
      <c r="AF663" s="38" t="b" cm="1">
        <f t="array" ref="AF663">IFERROR(_xlfn.BYROW(TRACK_TYPES[[#This Row],[TRACK_TYPE_NARROW_GAUGE_RAILTYPE_OHLE]:[TRACK_TYPE_NARROW_GAUGE_RAILTYPE_NONE]],_xlfn.LAMBDA(_xlpm.r,OR(_xlpm.r))),FALSE)</f>
        <v>1</v>
      </c>
      <c r="AG663" s="38" t="b" cm="1">
        <f t="array" ref="AG663">IFERROR(_xlfn.BYROW(TRACK_TYPES[[#This Row],[TRACK_TYPE_BROAD_GAUGE_RAILTYPE_OHLE]:[TRACK_TYPE_BROAD_GAUGE_RAILTYPE_NONE]],_xlfn.LAMBDA(_xlpm.r,OR(_xlpm.r))),FALSE)</f>
        <v>1</v>
      </c>
      <c r="AH6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3"/>
      <c r="AQ663"/>
      <c r="AR663"/>
    </row>
    <row r="664" spans="1:44" x14ac:dyDescent="0.35">
      <c r="A664" s="2" t="s">
        <v>158</v>
      </c>
      <c r="B664" s="40" t="str">
        <f>_xlfn.XLOOKUP(PROPERTIES[[#This Row],[VEHIDCODE]],CONTROL[VEHIDCODE],CONTROL[ENGLISH])</f>
        <v>2nd Gen Silo</v>
      </c>
      <c r="J664" s="2" t="b">
        <v>1</v>
      </c>
      <c r="R664" s="2" t="b">
        <v>1</v>
      </c>
      <c r="Z664" s="2" t="b">
        <v>1</v>
      </c>
      <c r="AC664" s="2"/>
      <c r="AD664" s="2" t="b">
        <f>LEN(_xlfn.CONCAT(TRACK_TYPES[[#This Row],[TRACK_TYPE_STANDARD_GAUGE_RAILTYPE_OHLE]:[TRACK_TYPE_MTRO]]))&gt;0</f>
        <v>1</v>
      </c>
      <c r="AE664" s="38" t="b" cm="1">
        <f t="array" ref="AE664">IFERROR(_xlfn.BYROW(TRACK_TYPES[[#This Row],[TRACK_TYPE_STANDARD_GAUGE_RAILTYPE_OHLE]:[TRACK_TYPE_STANDARD_GAUGE_RAILTYPE_NONE]],_xlfn.LAMBDA(_xlpm.r,OR(_xlpm.r))),FALSE)</f>
        <v>1</v>
      </c>
      <c r="AF664" s="38" t="b" cm="1">
        <f t="array" ref="AF664">IFERROR(_xlfn.BYROW(TRACK_TYPES[[#This Row],[TRACK_TYPE_NARROW_GAUGE_RAILTYPE_OHLE]:[TRACK_TYPE_NARROW_GAUGE_RAILTYPE_NONE]],_xlfn.LAMBDA(_xlpm.r,OR(_xlpm.r))),FALSE)</f>
        <v>1</v>
      </c>
      <c r="AG664" s="38" t="b" cm="1">
        <f t="array" ref="AG664">IFERROR(_xlfn.BYROW(TRACK_TYPES[[#This Row],[TRACK_TYPE_BROAD_GAUGE_RAILTYPE_OHLE]:[TRACK_TYPE_BROAD_GAUGE_RAILTYPE_NONE]],_xlfn.LAMBDA(_xlpm.r,OR(_xlpm.r))),FALSE)</f>
        <v>1</v>
      </c>
      <c r="AH6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4"/>
      <c r="AQ664"/>
      <c r="AR664"/>
    </row>
    <row r="665" spans="1:44" x14ac:dyDescent="0.35">
      <c r="A665" s="2" t="s">
        <v>159</v>
      </c>
      <c r="B665" s="40" t="str">
        <f>_xlfn.XLOOKUP(PROPERTIES[[#This Row],[VEHIDCODE]],CONTROL[VEHIDCODE],CONTROL[ENGLISH])</f>
        <v>2nd Gen Wooden Hopper</v>
      </c>
      <c r="J665" s="2" t="b">
        <v>1</v>
      </c>
      <c r="R665" s="2" t="b">
        <v>1</v>
      </c>
      <c r="Z665" s="2" t="b">
        <v>1</v>
      </c>
      <c r="AC665" s="2"/>
      <c r="AD665" s="2" t="b">
        <f>LEN(_xlfn.CONCAT(TRACK_TYPES[[#This Row],[TRACK_TYPE_STANDARD_GAUGE_RAILTYPE_OHLE]:[TRACK_TYPE_MTRO]]))&gt;0</f>
        <v>1</v>
      </c>
      <c r="AE665" s="38" t="b" cm="1">
        <f t="array" ref="AE665">IFERROR(_xlfn.BYROW(TRACK_TYPES[[#This Row],[TRACK_TYPE_STANDARD_GAUGE_RAILTYPE_OHLE]:[TRACK_TYPE_STANDARD_GAUGE_RAILTYPE_NONE]],_xlfn.LAMBDA(_xlpm.r,OR(_xlpm.r))),FALSE)</f>
        <v>1</v>
      </c>
      <c r="AF665" s="38" t="b" cm="1">
        <f t="array" ref="AF665">IFERROR(_xlfn.BYROW(TRACK_TYPES[[#This Row],[TRACK_TYPE_NARROW_GAUGE_RAILTYPE_OHLE]:[TRACK_TYPE_NARROW_GAUGE_RAILTYPE_NONE]],_xlfn.LAMBDA(_xlpm.r,OR(_xlpm.r))),FALSE)</f>
        <v>1</v>
      </c>
      <c r="AG665" s="38" t="b" cm="1">
        <f t="array" ref="AG665">IFERROR(_xlfn.BYROW(TRACK_TYPES[[#This Row],[TRACK_TYPE_BROAD_GAUGE_RAILTYPE_OHLE]:[TRACK_TYPE_BROAD_GAUGE_RAILTYPE_NONE]],_xlfn.LAMBDA(_xlpm.r,OR(_xlpm.r))),FALSE)</f>
        <v>1</v>
      </c>
      <c r="AH6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5"/>
      <c r="AQ665"/>
      <c r="AR665"/>
    </row>
    <row r="666" spans="1:44" x14ac:dyDescent="0.35">
      <c r="A666" s="2" t="s">
        <v>160</v>
      </c>
      <c r="B666" s="40" t="str">
        <f>_xlfn.XLOOKUP(PROPERTIES[[#This Row],[VEHIDCODE]],CONTROL[VEHIDCODE],CONTROL[ENGLISH])</f>
        <v>3rd Gen Flat Wagon</v>
      </c>
      <c r="J666" s="2" t="b">
        <v>1</v>
      </c>
      <c r="R666" s="2" t="b">
        <v>1</v>
      </c>
      <c r="Z666" s="2" t="b">
        <v>1</v>
      </c>
      <c r="AC666" s="2"/>
      <c r="AD666" s="2" t="b">
        <f>LEN(_xlfn.CONCAT(TRACK_TYPES[[#This Row],[TRACK_TYPE_STANDARD_GAUGE_RAILTYPE_OHLE]:[TRACK_TYPE_MTRO]]))&gt;0</f>
        <v>1</v>
      </c>
      <c r="AE666" s="38" t="b" cm="1">
        <f t="array" ref="AE666">IFERROR(_xlfn.BYROW(TRACK_TYPES[[#This Row],[TRACK_TYPE_STANDARD_GAUGE_RAILTYPE_OHLE]:[TRACK_TYPE_STANDARD_GAUGE_RAILTYPE_NONE]],_xlfn.LAMBDA(_xlpm.r,OR(_xlpm.r))),FALSE)</f>
        <v>1</v>
      </c>
      <c r="AF666" s="38" t="b" cm="1">
        <f t="array" ref="AF666">IFERROR(_xlfn.BYROW(TRACK_TYPES[[#This Row],[TRACK_TYPE_NARROW_GAUGE_RAILTYPE_OHLE]:[TRACK_TYPE_NARROW_GAUGE_RAILTYPE_NONE]],_xlfn.LAMBDA(_xlpm.r,OR(_xlpm.r))),FALSE)</f>
        <v>1</v>
      </c>
      <c r="AG666" s="38" t="b" cm="1">
        <f t="array" ref="AG666">IFERROR(_xlfn.BYROW(TRACK_TYPES[[#This Row],[TRACK_TYPE_BROAD_GAUGE_RAILTYPE_OHLE]:[TRACK_TYPE_BROAD_GAUGE_RAILTYPE_NONE]],_xlfn.LAMBDA(_xlpm.r,OR(_xlpm.r))),FALSE)</f>
        <v>1</v>
      </c>
      <c r="AH6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6"/>
      <c r="AQ666"/>
      <c r="AR666"/>
    </row>
    <row r="667" spans="1:44" x14ac:dyDescent="0.35">
      <c r="A667" s="2" t="s">
        <v>161</v>
      </c>
      <c r="B667" s="40" t="str">
        <f>_xlfn.XLOOKUP(PROPERTIES[[#This Row],[VEHIDCODE]],CONTROL[VEHIDCODE],CONTROL[ENGLISH])</f>
        <v>3rd Gen Wooden Boxcar [Food]</v>
      </c>
      <c r="J667" s="2" t="b">
        <v>1</v>
      </c>
      <c r="R667" s="2" t="b">
        <v>1</v>
      </c>
      <c r="Z667" s="2" t="b">
        <v>1</v>
      </c>
      <c r="AC667" s="2"/>
      <c r="AD667" s="2" t="b">
        <f>LEN(_xlfn.CONCAT(TRACK_TYPES[[#This Row],[TRACK_TYPE_STANDARD_GAUGE_RAILTYPE_OHLE]:[TRACK_TYPE_MTRO]]))&gt;0</f>
        <v>1</v>
      </c>
      <c r="AE667" s="38" t="b" cm="1">
        <f t="array" ref="AE667">IFERROR(_xlfn.BYROW(TRACK_TYPES[[#This Row],[TRACK_TYPE_STANDARD_GAUGE_RAILTYPE_OHLE]:[TRACK_TYPE_STANDARD_GAUGE_RAILTYPE_NONE]],_xlfn.LAMBDA(_xlpm.r,OR(_xlpm.r))),FALSE)</f>
        <v>1</v>
      </c>
      <c r="AF667" s="38" t="b" cm="1">
        <f t="array" ref="AF667">IFERROR(_xlfn.BYROW(TRACK_TYPES[[#This Row],[TRACK_TYPE_NARROW_GAUGE_RAILTYPE_OHLE]:[TRACK_TYPE_NARROW_GAUGE_RAILTYPE_NONE]],_xlfn.LAMBDA(_xlpm.r,OR(_xlpm.r))),FALSE)</f>
        <v>1</v>
      </c>
      <c r="AG667" s="38" t="b" cm="1">
        <f t="array" ref="AG667">IFERROR(_xlfn.BYROW(TRACK_TYPES[[#This Row],[TRACK_TYPE_BROAD_GAUGE_RAILTYPE_OHLE]:[TRACK_TYPE_BROAD_GAUGE_RAILTYPE_NONE]],_xlfn.LAMBDA(_xlpm.r,OR(_xlpm.r))),FALSE)</f>
        <v>1</v>
      </c>
      <c r="AH6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7"/>
      <c r="AQ667"/>
      <c r="AR667"/>
    </row>
    <row r="668" spans="1:44" x14ac:dyDescent="0.35">
      <c r="A668" s="2" t="s">
        <v>162</v>
      </c>
      <c r="B668" s="40" t="str">
        <f>_xlfn.XLOOKUP(PROPERTIES[[#This Row],[VEHIDCODE]],CONTROL[VEHIDCODE],CONTROL[ENGLISH])</f>
        <v>3rd Gen Wooden Boxcar [Non-Food]</v>
      </c>
      <c r="J668" s="2" t="b">
        <v>1</v>
      </c>
      <c r="R668" s="2" t="b">
        <v>1</v>
      </c>
      <c r="Z668" s="2" t="b">
        <v>1</v>
      </c>
      <c r="AC668" s="2"/>
      <c r="AD668" s="2" t="b">
        <f>LEN(_xlfn.CONCAT(TRACK_TYPES[[#This Row],[TRACK_TYPE_STANDARD_GAUGE_RAILTYPE_OHLE]:[TRACK_TYPE_MTRO]]))&gt;0</f>
        <v>1</v>
      </c>
      <c r="AE668" s="38" t="b" cm="1">
        <f t="array" ref="AE668">IFERROR(_xlfn.BYROW(TRACK_TYPES[[#This Row],[TRACK_TYPE_STANDARD_GAUGE_RAILTYPE_OHLE]:[TRACK_TYPE_STANDARD_GAUGE_RAILTYPE_NONE]],_xlfn.LAMBDA(_xlpm.r,OR(_xlpm.r))),FALSE)</f>
        <v>1</v>
      </c>
      <c r="AF668" s="38" t="b" cm="1">
        <f t="array" ref="AF668">IFERROR(_xlfn.BYROW(TRACK_TYPES[[#This Row],[TRACK_TYPE_NARROW_GAUGE_RAILTYPE_OHLE]:[TRACK_TYPE_NARROW_GAUGE_RAILTYPE_NONE]],_xlfn.LAMBDA(_xlpm.r,OR(_xlpm.r))),FALSE)</f>
        <v>1</v>
      </c>
      <c r="AG668" s="38" t="b" cm="1">
        <f t="array" ref="AG668">IFERROR(_xlfn.BYROW(TRACK_TYPES[[#This Row],[TRACK_TYPE_BROAD_GAUGE_RAILTYPE_OHLE]:[TRACK_TYPE_BROAD_GAUGE_RAILTYPE_NONE]],_xlfn.LAMBDA(_xlpm.r,OR(_xlpm.r))),FALSE)</f>
        <v>1</v>
      </c>
      <c r="AH6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8"/>
      <c r="AQ668"/>
      <c r="AR668"/>
    </row>
    <row r="669" spans="1:44" x14ac:dyDescent="0.35">
      <c r="A669" s="2" t="s">
        <v>163</v>
      </c>
      <c r="B669" s="40" t="str">
        <f>_xlfn.XLOOKUP(PROPERTIES[[#This Row],[VEHIDCODE]],CONTROL[VEHIDCODE],CONTROL[ENGLISH])</f>
        <v>3rd Gen Tanker</v>
      </c>
      <c r="J669" s="2" t="b">
        <v>1</v>
      </c>
      <c r="R669" s="2" t="b">
        <v>1</v>
      </c>
      <c r="Z669" s="2" t="b">
        <v>1</v>
      </c>
      <c r="AC669" s="2"/>
      <c r="AD669" s="2" t="b">
        <f>LEN(_xlfn.CONCAT(TRACK_TYPES[[#This Row],[TRACK_TYPE_STANDARD_GAUGE_RAILTYPE_OHLE]:[TRACK_TYPE_MTRO]]))&gt;0</f>
        <v>1</v>
      </c>
      <c r="AE669" s="38" t="b" cm="1">
        <f t="array" ref="AE669">IFERROR(_xlfn.BYROW(TRACK_TYPES[[#This Row],[TRACK_TYPE_STANDARD_GAUGE_RAILTYPE_OHLE]:[TRACK_TYPE_STANDARD_GAUGE_RAILTYPE_NONE]],_xlfn.LAMBDA(_xlpm.r,OR(_xlpm.r))),FALSE)</f>
        <v>1</v>
      </c>
      <c r="AF669" s="38" t="b" cm="1">
        <f t="array" ref="AF669">IFERROR(_xlfn.BYROW(TRACK_TYPES[[#This Row],[TRACK_TYPE_NARROW_GAUGE_RAILTYPE_OHLE]:[TRACK_TYPE_NARROW_GAUGE_RAILTYPE_NONE]],_xlfn.LAMBDA(_xlpm.r,OR(_xlpm.r))),FALSE)</f>
        <v>1</v>
      </c>
      <c r="AG669" s="38" t="b" cm="1">
        <f t="array" ref="AG669">IFERROR(_xlfn.BYROW(TRACK_TYPES[[#This Row],[TRACK_TYPE_BROAD_GAUGE_RAILTYPE_OHLE]:[TRACK_TYPE_BROAD_GAUGE_RAILTYPE_NONE]],_xlfn.LAMBDA(_xlpm.r,OR(_xlpm.r))),FALSE)</f>
        <v>1</v>
      </c>
      <c r="AH6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9"/>
      <c r="AQ669"/>
      <c r="AR669"/>
    </row>
    <row r="670" spans="1:44" x14ac:dyDescent="0.35">
      <c r="A670" s="2" t="s">
        <v>164</v>
      </c>
      <c r="B670" s="40" t="str">
        <f>_xlfn.XLOOKUP(PROPERTIES[[#This Row],[VEHIDCODE]],CONTROL[VEHIDCODE],CONTROL[ENGLISH])</f>
        <v>3rd Gen Open Wagon</v>
      </c>
      <c r="J670" s="2" t="b">
        <v>1</v>
      </c>
      <c r="R670" s="2" t="b">
        <v>1</v>
      </c>
      <c r="Z670" s="2" t="b">
        <v>1</v>
      </c>
      <c r="AC670" s="2"/>
      <c r="AD670" s="2" t="b">
        <f>LEN(_xlfn.CONCAT(TRACK_TYPES[[#This Row],[TRACK_TYPE_STANDARD_GAUGE_RAILTYPE_OHLE]:[TRACK_TYPE_MTRO]]))&gt;0</f>
        <v>1</v>
      </c>
      <c r="AE670" s="38" t="b" cm="1">
        <f t="array" ref="AE670">IFERROR(_xlfn.BYROW(TRACK_TYPES[[#This Row],[TRACK_TYPE_STANDARD_GAUGE_RAILTYPE_OHLE]:[TRACK_TYPE_STANDARD_GAUGE_RAILTYPE_NONE]],_xlfn.LAMBDA(_xlpm.r,OR(_xlpm.r))),FALSE)</f>
        <v>1</v>
      </c>
      <c r="AF670" s="38" t="b" cm="1">
        <f t="array" ref="AF670">IFERROR(_xlfn.BYROW(TRACK_TYPES[[#This Row],[TRACK_TYPE_NARROW_GAUGE_RAILTYPE_OHLE]:[TRACK_TYPE_NARROW_GAUGE_RAILTYPE_NONE]],_xlfn.LAMBDA(_xlpm.r,OR(_xlpm.r))),FALSE)</f>
        <v>1</v>
      </c>
      <c r="AG670" s="38" t="b" cm="1">
        <f t="array" ref="AG670">IFERROR(_xlfn.BYROW(TRACK_TYPES[[#This Row],[TRACK_TYPE_BROAD_GAUGE_RAILTYPE_OHLE]:[TRACK_TYPE_BROAD_GAUGE_RAILTYPE_NONE]],_xlfn.LAMBDA(_xlpm.r,OR(_xlpm.r))),FALSE)</f>
        <v>1</v>
      </c>
      <c r="AH6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0"/>
      <c r="AQ670"/>
      <c r="AR670"/>
    </row>
    <row r="671" spans="1:44" x14ac:dyDescent="0.35">
      <c r="A671" s="2" t="s">
        <v>165</v>
      </c>
      <c r="B671" s="40" t="str">
        <f>_xlfn.XLOOKUP(PROPERTIES[[#This Row],[VEHIDCODE]],CONTROL[VEHIDCODE],CONTROL[ENGLISH])</f>
        <v>3rd Gen Silo [Food]</v>
      </c>
      <c r="J671" s="2" t="b">
        <v>1</v>
      </c>
      <c r="R671" s="2" t="b">
        <v>1</v>
      </c>
      <c r="Z671" s="2" t="b">
        <v>1</v>
      </c>
      <c r="AC671" s="2"/>
      <c r="AD671" s="2" t="b">
        <f>LEN(_xlfn.CONCAT(TRACK_TYPES[[#This Row],[TRACK_TYPE_STANDARD_GAUGE_RAILTYPE_OHLE]:[TRACK_TYPE_MTRO]]))&gt;0</f>
        <v>1</v>
      </c>
      <c r="AE671" s="38" t="b" cm="1">
        <f t="array" ref="AE671">IFERROR(_xlfn.BYROW(TRACK_TYPES[[#This Row],[TRACK_TYPE_STANDARD_GAUGE_RAILTYPE_OHLE]:[TRACK_TYPE_STANDARD_GAUGE_RAILTYPE_NONE]],_xlfn.LAMBDA(_xlpm.r,OR(_xlpm.r))),FALSE)</f>
        <v>1</v>
      </c>
      <c r="AF671" s="38" t="b" cm="1">
        <f t="array" ref="AF671">IFERROR(_xlfn.BYROW(TRACK_TYPES[[#This Row],[TRACK_TYPE_NARROW_GAUGE_RAILTYPE_OHLE]:[TRACK_TYPE_NARROW_GAUGE_RAILTYPE_NONE]],_xlfn.LAMBDA(_xlpm.r,OR(_xlpm.r))),FALSE)</f>
        <v>1</v>
      </c>
      <c r="AG671" s="38" t="b" cm="1">
        <f t="array" ref="AG671">IFERROR(_xlfn.BYROW(TRACK_TYPES[[#This Row],[TRACK_TYPE_BROAD_GAUGE_RAILTYPE_OHLE]:[TRACK_TYPE_BROAD_GAUGE_RAILTYPE_NONE]],_xlfn.LAMBDA(_xlpm.r,OR(_xlpm.r))),FALSE)</f>
        <v>1</v>
      </c>
      <c r="AH6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1"/>
      <c r="AQ671"/>
      <c r="AR671"/>
    </row>
    <row r="672" spans="1:44" x14ac:dyDescent="0.35">
      <c r="A672" s="2" t="s">
        <v>166</v>
      </c>
      <c r="B672" s="40" t="str">
        <f>_xlfn.XLOOKUP(PROPERTIES[[#This Row],[VEHIDCODE]],CONTROL[VEHIDCODE],CONTROL[ENGLISH])</f>
        <v>3rd Gen Silo [Non-Food]</v>
      </c>
      <c r="J672" s="2" t="b">
        <v>1</v>
      </c>
      <c r="R672" s="2" t="b">
        <v>1</v>
      </c>
      <c r="Z672" s="2" t="b">
        <v>1</v>
      </c>
      <c r="AC672" s="2"/>
      <c r="AD672" s="2" t="b">
        <f>LEN(_xlfn.CONCAT(TRACK_TYPES[[#This Row],[TRACK_TYPE_STANDARD_GAUGE_RAILTYPE_OHLE]:[TRACK_TYPE_MTRO]]))&gt;0</f>
        <v>1</v>
      </c>
      <c r="AE672" s="38" t="b" cm="1">
        <f t="array" ref="AE672">IFERROR(_xlfn.BYROW(TRACK_TYPES[[#This Row],[TRACK_TYPE_STANDARD_GAUGE_RAILTYPE_OHLE]:[TRACK_TYPE_STANDARD_GAUGE_RAILTYPE_NONE]],_xlfn.LAMBDA(_xlpm.r,OR(_xlpm.r))),FALSE)</f>
        <v>1</v>
      </c>
      <c r="AF672" s="38" t="b" cm="1">
        <f t="array" ref="AF672">IFERROR(_xlfn.BYROW(TRACK_TYPES[[#This Row],[TRACK_TYPE_NARROW_GAUGE_RAILTYPE_OHLE]:[TRACK_TYPE_NARROW_GAUGE_RAILTYPE_NONE]],_xlfn.LAMBDA(_xlpm.r,OR(_xlpm.r))),FALSE)</f>
        <v>1</v>
      </c>
      <c r="AG672" s="38" t="b" cm="1">
        <f t="array" ref="AG672">IFERROR(_xlfn.BYROW(TRACK_TYPES[[#This Row],[TRACK_TYPE_BROAD_GAUGE_RAILTYPE_OHLE]:[TRACK_TYPE_BROAD_GAUGE_RAILTYPE_NONE]],_xlfn.LAMBDA(_xlpm.r,OR(_xlpm.r))),FALSE)</f>
        <v>1</v>
      </c>
      <c r="AH6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2"/>
      <c r="AQ672"/>
      <c r="AR672"/>
    </row>
    <row r="673" spans="1:44" x14ac:dyDescent="0.35">
      <c r="A673" s="2" t="s">
        <v>167</v>
      </c>
      <c r="B673" s="40" t="str">
        <f>_xlfn.XLOOKUP(PROPERTIES[[#This Row],[VEHIDCODE]],CONTROL[VEHIDCODE],CONTROL[ENGLISH])</f>
        <v>3rd Gen Hopper</v>
      </c>
      <c r="J673" s="2" t="b">
        <v>1</v>
      </c>
      <c r="R673" s="2" t="b">
        <v>1</v>
      </c>
      <c r="Z673" s="2" t="b">
        <v>1</v>
      </c>
      <c r="AC673" s="2"/>
      <c r="AD673" s="2" t="b">
        <f>LEN(_xlfn.CONCAT(TRACK_TYPES[[#This Row],[TRACK_TYPE_STANDARD_GAUGE_RAILTYPE_OHLE]:[TRACK_TYPE_MTRO]]))&gt;0</f>
        <v>1</v>
      </c>
      <c r="AE673" s="38" t="b" cm="1">
        <f t="array" ref="AE673">IFERROR(_xlfn.BYROW(TRACK_TYPES[[#This Row],[TRACK_TYPE_STANDARD_GAUGE_RAILTYPE_OHLE]:[TRACK_TYPE_STANDARD_GAUGE_RAILTYPE_NONE]],_xlfn.LAMBDA(_xlpm.r,OR(_xlpm.r))),FALSE)</f>
        <v>1</v>
      </c>
      <c r="AF673" s="38" t="b" cm="1">
        <f t="array" ref="AF673">IFERROR(_xlfn.BYROW(TRACK_TYPES[[#This Row],[TRACK_TYPE_NARROW_GAUGE_RAILTYPE_OHLE]:[TRACK_TYPE_NARROW_GAUGE_RAILTYPE_NONE]],_xlfn.LAMBDA(_xlpm.r,OR(_xlpm.r))),FALSE)</f>
        <v>1</v>
      </c>
      <c r="AG673" s="38" t="b" cm="1">
        <f t="array" ref="AG673">IFERROR(_xlfn.BYROW(TRACK_TYPES[[#This Row],[TRACK_TYPE_BROAD_GAUGE_RAILTYPE_OHLE]:[TRACK_TYPE_BROAD_GAUGE_RAILTYPE_NONE]],_xlfn.LAMBDA(_xlpm.r,OR(_xlpm.r))),FALSE)</f>
        <v>1</v>
      </c>
      <c r="AH6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3"/>
      <c r="AQ673"/>
      <c r="AR673"/>
    </row>
    <row r="674" spans="1:44" x14ac:dyDescent="0.35">
      <c r="A674" s="2" t="s">
        <v>168</v>
      </c>
      <c r="B674" s="40" t="str">
        <f>_xlfn.XLOOKUP(PROPERTIES[[#This Row],[VEHIDCODE]],CONTROL[VEHIDCODE],CONTROL[ENGLISH])</f>
        <v>4th Gen Flatcar</v>
      </c>
      <c r="J674" s="2" t="b">
        <v>1</v>
      </c>
      <c r="R674" s="2" t="b">
        <v>1</v>
      </c>
      <c r="Z674" s="2" t="b">
        <v>1</v>
      </c>
      <c r="AC674" s="2"/>
      <c r="AD674" s="2" t="b">
        <f>LEN(_xlfn.CONCAT(TRACK_TYPES[[#This Row],[TRACK_TYPE_STANDARD_GAUGE_RAILTYPE_OHLE]:[TRACK_TYPE_MTRO]]))&gt;0</f>
        <v>1</v>
      </c>
      <c r="AE674" s="38" t="b" cm="1">
        <f t="array" ref="AE674">IFERROR(_xlfn.BYROW(TRACK_TYPES[[#This Row],[TRACK_TYPE_STANDARD_GAUGE_RAILTYPE_OHLE]:[TRACK_TYPE_STANDARD_GAUGE_RAILTYPE_NONE]],_xlfn.LAMBDA(_xlpm.r,OR(_xlpm.r))),FALSE)</f>
        <v>1</v>
      </c>
      <c r="AF674" s="38" t="b" cm="1">
        <f t="array" ref="AF674">IFERROR(_xlfn.BYROW(TRACK_TYPES[[#This Row],[TRACK_TYPE_NARROW_GAUGE_RAILTYPE_OHLE]:[TRACK_TYPE_NARROW_GAUGE_RAILTYPE_NONE]],_xlfn.LAMBDA(_xlpm.r,OR(_xlpm.r))),FALSE)</f>
        <v>1</v>
      </c>
      <c r="AG674" s="38" t="b" cm="1">
        <f t="array" ref="AG674">IFERROR(_xlfn.BYROW(TRACK_TYPES[[#This Row],[TRACK_TYPE_BROAD_GAUGE_RAILTYPE_OHLE]:[TRACK_TYPE_BROAD_GAUGE_RAILTYPE_NONE]],_xlfn.LAMBDA(_xlpm.r,OR(_xlpm.r))),FALSE)</f>
        <v>1</v>
      </c>
      <c r="AH6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4"/>
      <c r="AQ674"/>
      <c r="AR674"/>
    </row>
    <row r="675" spans="1:44" x14ac:dyDescent="0.35">
      <c r="A675" s="2" t="s">
        <v>169</v>
      </c>
      <c r="B675" s="40" t="str">
        <f>_xlfn.XLOOKUP(PROPERTIES[[#This Row],[VEHIDCODE]],CONTROL[VEHIDCODE],CONTROL[ENGLISH])</f>
        <v>4th Gen Heavy Flatcar</v>
      </c>
      <c r="J675" s="2" t="b">
        <v>1</v>
      </c>
      <c r="R675" s="2" t="b">
        <v>1</v>
      </c>
      <c r="Z675" s="2" t="b">
        <v>1</v>
      </c>
      <c r="AC675" s="2"/>
      <c r="AD675" s="2" t="b">
        <f>LEN(_xlfn.CONCAT(TRACK_TYPES[[#This Row],[TRACK_TYPE_STANDARD_GAUGE_RAILTYPE_OHLE]:[TRACK_TYPE_MTRO]]))&gt;0</f>
        <v>1</v>
      </c>
      <c r="AE675" s="38" t="b" cm="1">
        <f t="array" ref="AE675">IFERROR(_xlfn.BYROW(TRACK_TYPES[[#This Row],[TRACK_TYPE_STANDARD_GAUGE_RAILTYPE_OHLE]:[TRACK_TYPE_STANDARD_GAUGE_RAILTYPE_NONE]],_xlfn.LAMBDA(_xlpm.r,OR(_xlpm.r))),FALSE)</f>
        <v>1</v>
      </c>
      <c r="AF675" s="38" t="b" cm="1">
        <f t="array" ref="AF675">IFERROR(_xlfn.BYROW(TRACK_TYPES[[#This Row],[TRACK_TYPE_NARROW_GAUGE_RAILTYPE_OHLE]:[TRACK_TYPE_NARROW_GAUGE_RAILTYPE_NONE]],_xlfn.LAMBDA(_xlpm.r,OR(_xlpm.r))),FALSE)</f>
        <v>1</v>
      </c>
      <c r="AG675" s="38" t="b" cm="1">
        <f t="array" ref="AG675">IFERROR(_xlfn.BYROW(TRACK_TYPES[[#This Row],[TRACK_TYPE_BROAD_GAUGE_RAILTYPE_OHLE]:[TRACK_TYPE_BROAD_GAUGE_RAILTYPE_NONE]],_xlfn.LAMBDA(_xlpm.r,OR(_xlpm.r))),FALSE)</f>
        <v>1</v>
      </c>
      <c r="AH6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5"/>
      <c r="AQ675"/>
      <c r="AR675"/>
    </row>
    <row r="676" spans="1:44" x14ac:dyDescent="0.35">
      <c r="A676" s="2" t="s">
        <v>170</v>
      </c>
      <c r="B676" s="40" t="str">
        <f>_xlfn.XLOOKUP(PROPERTIES[[#This Row],[VEHIDCODE]],CONTROL[VEHIDCODE],CONTROL[ENGLISH])</f>
        <v>4th Gen Boxcar [Food]</v>
      </c>
      <c r="J676" s="2" t="b">
        <v>1</v>
      </c>
      <c r="R676" s="2" t="b">
        <v>1</v>
      </c>
      <c r="Z676" s="2" t="b">
        <v>1</v>
      </c>
      <c r="AC676" s="2"/>
      <c r="AD676" s="2" t="b">
        <f>LEN(_xlfn.CONCAT(TRACK_TYPES[[#This Row],[TRACK_TYPE_STANDARD_GAUGE_RAILTYPE_OHLE]:[TRACK_TYPE_MTRO]]))&gt;0</f>
        <v>1</v>
      </c>
      <c r="AE676" s="38" t="b" cm="1">
        <f t="array" ref="AE676">IFERROR(_xlfn.BYROW(TRACK_TYPES[[#This Row],[TRACK_TYPE_STANDARD_GAUGE_RAILTYPE_OHLE]:[TRACK_TYPE_STANDARD_GAUGE_RAILTYPE_NONE]],_xlfn.LAMBDA(_xlpm.r,OR(_xlpm.r))),FALSE)</f>
        <v>1</v>
      </c>
      <c r="AF676" s="38" t="b" cm="1">
        <f t="array" ref="AF676">IFERROR(_xlfn.BYROW(TRACK_TYPES[[#This Row],[TRACK_TYPE_NARROW_GAUGE_RAILTYPE_OHLE]:[TRACK_TYPE_NARROW_GAUGE_RAILTYPE_NONE]],_xlfn.LAMBDA(_xlpm.r,OR(_xlpm.r))),FALSE)</f>
        <v>1</v>
      </c>
      <c r="AG676" s="38" t="b" cm="1">
        <f t="array" ref="AG676">IFERROR(_xlfn.BYROW(TRACK_TYPES[[#This Row],[TRACK_TYPE_BROAD_GAUGE_RAILTYPE_OHLE]:[TRACK_TYPE_BROAD_GAUGE_RAILTYPE_NONE]],_xlfn.LAMBDA(_xlpm.r,OR(_xlpm.r))),FALSE)</f>
        <v>1</v>
      </c>
      <c r="AH6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6"/>
      <c r="AQ676"/>
      <c r="AR676"/>
    </row>
    <row r="677" spans="1:44" x14ac:dyDescent="0.35">
      <c r="A677" s="2" t="s">
        <v>171</v>
      </c>
      <c r="B677" s="40" t="str">
        <f>_xlfn.XLOOKUP(PROPERTIES[[#This Row],[VEHIDCODE]],CONTROL[VEHIDCODE],CONTROL[ENGLISH])</f>
        <v>4th Gen Boxcar [Non-Food]</v>
      </c>
      <c r="J677" s="2" t="b">
        <v>1</v>
      </c>
      <c r="R677" s="2" t="b">
        <v>1</v>
      </c>
      <c r="Z677" s="2" t="b">
        <v>1</v>
      </c>
      <c r="AC677" s="2"/>
      <c r="AD677" s="2" t="b">
        <f>LEN(_xlfn.CONCAT(TRACK_TYPES[[#This Row],[TRACK_TYPE_STANDARD_GAUGE_RAILTYPE_OHLE]:[TRACK_TYPE_MTRO]]))&gt;0</f>
        <v>1</v>
      </c>
      <c r="AE677" s="38" t="b" cm="1">
        <f t="array" ref="AE677">IFERROR(_xlfn.BYROW(TRACK_TYPES[[#This Row],[TRACK_TYPE_STANDARD_GAUGE_RAILTYPE_OHLE]:[TRACK_TYPE_STANDARD_GAUGE_RAILTYPE_NONE]],_xlfn.LAMBDA(_xlpm.r,OR(_xlpm.r))),FALSE)</f>
        <v>1</v>
      </c>
      <c r="AF677" s="38" t="b" cm="1">
        <f t="array" ref="AF677">IFERROR(_xlfn.BYROW(TRACK_TYPES[[#This Row],[TRACK_TYPE_NARROW_GAUGE_RAILTYPE_OHLE]:[TRACK_TYPE_NARROW_GAUGE_RAILTYPE_NONE]],_xlfn.LAMBDA(_xlpm.r,OR(_xlpm.r))),FALSE)</f>
        <v>1</v>
      </c>
      <c r="AG677" s="38" t="b" cm="1">
        <f t="array" ref="AG677">IFERROR(_xlfn.BYROW(TRACK_TYPES[[#This Row],[TRACK_TYPE_BROAD_GAUGE_RAILTYPE_OHLE]:[TRACK_TYPE_BROAD_GAUGE_RAILTYPE_NONE]],_xlfn.LAMBDA(_xlpm.r,OR(_xlpm.r))),FALSE)</f>
        <v>1</v>
      </c>
      <c r="AH6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7"/>
      <c r="AQ677"/>
      <c r="AR677"/>
    </row>
    <row r="678" spans="1:44" x14ac:dyDescent="0.35">
      <c r="A678" s="2" t="s">
        <v>172</v>
      </c>
      <c r="B678" s="40" t="str">
        <f>_xlfn.XLOOKUP(PROPERTIES[[#This Row],[VEHIDCODE]],CONTROL[VEHIDCODE],CONTROL[ENGLISH])</f>
        <v>4th Gen Tanker</v>
      </c>
      <c r="J678" s="2" t="b">
        <v>1</v>
      </c>
      <c r="R678" s="2" t="b">
        <v>1</v>
      </c>
      <c r="Z678" s="2" t="b">
        <v>1</v>
      </c>
      <c r="AC678" s="2"/>
      <c r="AD678" s="2" t="b">
        <f>LEN(_xlfn.CONCAT(TRACK_TYPES[[#This Row],[TRACK_TYPE_STANDARD_GAUGE_RAILTYPE_OHLE]:[TRACK_TYPE_MTRO]]))&gt;0</f>
        <v>1</v>
      </c>
      <c r="AE678" s="38" t="b" cm="1">
        <f t="array" ref="AE678">IFERROR(_xlfn.BYROW(TRACK_TYPES[[#This Row],[TRACK_TYPE_STANDARD_GAUGE_RAILTYPE_OHLE]:[TRACK_TYPE_STANDARD_GAUGE_RAILTYPE_NONE]],_xlfn.LAMBDA(_xlpm.r,OR(_xlpm.r))),FALSE)</f>
        <v>1</v>
      </c>
      <c r="AF678" s="38" t="b" cm="1">
        <f t="array" ref="AF678">IFERROR(_xlfn.BYROW(TRACK_TYPES[[#This Row],[TRACK_TYPE_NARROW_GAUGE_RAILTYPE_OHLE]:[TRACK_TYPE_NARROW_GAUGE_RAILTYPE_NONE]],_xlfn.LAMBDA(_xlpm.r,OR(_xlpm.r))),FALSE)</f>
        <v>1</v>
      </c>
      <c r="AG678" s="38" t="b" cm="1">
        <f t="array" ref="AG678">IFERROR(_xlfn.BYROW(TRACK_TYPES[[#This Row],[TRACK_TYPE_BROAD_GAUGE_RAILTYPE_OHLE]:[TRACK_TYPE_BROAD_GAUGE_RAILTYPE_NONE]],_xlfn.LAMBDA(_xlpm.r,OR(_xlpm.r))),FALSE)</f>
        <v>1</v>
      </c>
      <c r="AH6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8"/>
      <c r="AQ678"/>
      <c r="AR678"/>
    </row>
    <row r="679" spans="1:44" x14ac:dyDescent="0.35">
      <c r="A679" s="2" t="s">
        <v>173</v>
      </c>
      <c r="B679" s="40" t="str">
        <f>_xlfn.XLOOKUP(PROPERTIES[[#This Row],[VEHIDCODE]],CONTROL[VEHIDCODE],CONTROL[ENGLISH])</f>
        <v>4th Gen Gondola</v>
      </c>
      <c r="J679" s="2" t="b">
        <v>1</v>
      </c>
      <c r="R679" s="2" t="b">
        <v>1</v>
      </c>
      <c r="Z679" s="2" t="b">
        <v>1</v>
      </c>
      <c r="AC679" s="2"/>
      <c r="AD679" s="2" t="b">
        <f>LEN(_xlfn.CONCAT(TRACK_TYPES[[#This Row],[TRACK_TYPE_STANDARD_GAUGE_RAILTYPE_OHLE]:[TRACK_TYPE_MTRO]]))&gt;0</f>
        <v>1</v>
      </c>
      <c r="AE679" s="38" t="b" cm="1">
        <f t="array" ref="AE679">IFERROR(_xlfn.BYROW(TRACK_TYPES[[#This Row],[TRACK_TYPE_STANDARD_GAUGE_RAILTYPE_OHLE]:[TRACK_TYPE_STANDARD_GAUGE_RAILTYPE_NONE]],_xlfn.LAMBDA(_xlpm.r,OR(_xlpm.r))),FALSE)</f>
        <v>1</v>
      </c>
      <c r="AF679" s="38" t="b" cm="1">
        <f t="array" ref="AF679">IFERROR(_xlfn.BYROW(TRACK_TYPES[[#This Row],[TRACK_TYPE_NARROW_GAUGE_RAILTYPE_OHLE]:[TRACK_TYPE_NARROW_GAUGE_RAILTYPE_NONE]],_xlfn.LAMBDA(_xlpm.r,OR(_xlpm.r))),FALSE)</f>
        <v>1</v>
      </c>
      <c r="AG679" s="38" t="b" cm="1">
        <f t="array" ref="AG679">IFERROR(_xlfn.BYROW(TRACK_TYPES[[#This Row],[TRACK_TYPE_BROAD_GAUGE_RAILTYPE_OHLE]:[TRACK_TYPE_BROAD_GAUGE_RAILTYPE_NONE]],_xlfn.LAMBDA(_xlpm.r,OR(_xlpm.r))),FALSE)</f>
        <v>1</v>
      </c>
      <c r="AH6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9"/>
      <c r="AQ679"/>
      <c r="AR679"/>
    </row>
    <row r="680" spans="1:44" x14ac:dyDescent="0.35">
      <c r="A680" s="2" t="s">
        <v>174</v>
      </c>
      <c r="B680" s="40" t="str">
        <f>_xlfn.XLOOKUP(PROPERTIES[[#This Row],[VEHIDCODE]],CONTROL[VEHIDCODE],CONTROL[ENGLISH])</f>
        <v>4th Gen Silo [Food]</v>
      </c>
      <c r="J680" s="2" t="b">
        <v>1</v>
      </c>
      <c r="R680" s="2" t="b">
        <v>1</v>
      </c>
      <c r="Z680" s="2" t="b">
        <v>1</v>
      </c>
      <c r="AC680" s="2"/>
      <c r="AD680" s="2" t="b">
        <f>LEN(_xlfn.CONCAT(TRACK_TYPES[[#This Row],[TRACK_TYPE_STANDARD_GAUGE_RAILTYPE_OHLE]:[TRACK_TYPE_MTRO]]))&gt;0</f>
        <v>1</v>
      </c>
      <c r="AE680" s="38" t="b" cm="1">
        <f t="array" ref="AE680">IFERROR(_xlfn.BYROW(TRACK_TYPES[[#This Row],[TRACK_TYPE_STANDARD_GAUGE_RAILTYPE_OHLE]:[TRACK_TYPE_STANDARD_GAUGE_RAILTYPE_NONE]],_xlfn.LAMBDA(_xlpm.r,OR(_xlpm.r))),FALSE)</f>
        <v>1</v>
      </c>
      <c r="AF680" s="38" t="b" cm="1">
        <f t="array" ref="AF680">IFERROR(_xlfn.BYROW(TRACK_TYPES[[#This Row],[TRACK_TYPE_NARROW_GAUGE_RAILTYPE_OHLE]:[TRACK_TYPE_NARROW_GAUGE_RAILTYPE_NONE]],_xlfn.LAMBDA(_xlpm.r,OR(_xlpm.r))),FALSE)</f>
        <v>1</v>
      </c>
      <c r="AG680" s="38" t="b" cm="1">
        <f t="array" ref="AG680">IFERROR(_xlfn.BYROW(TRACK_TYPES[[#This Row],[TRACK_TYPE_BROAD_GAUGE_RAILTYPE_OHLE]:[TRACK_TYPE_BROAD_GAUGE_RAILTYPE_NONE]],_xlfn.LAMBDA(_xlpm.r,OR(_xlpm.r))),FALSE)</f>
        <v>1</v>
      </c>
      <c r="AH6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0"/>
      <c r="AQ680"/>
      <c r="AR680"/>
    </row>
    <row r="681" spans="1:44" x14ac:dyDescent="0.35">
      <c r="A681" s="2" t="s">
        <v>175</v>
      </c>
      <c r="B681" s="40" t="str">
        <f>_xlfn.XLOOKUP(PROPERTIES[[#This Row],[VEHIDCODE]],CONTROL[VEHIDCODE],CONTROL[ENGLISH])</f>
        <v>4th Gen Silo [Non-Food]</v>
      </c>
      <c r="J681" s="2" t="b">
        <v>1</v>
      </c>
      <c r="R681" s="2" t="b">
        <v>1</v>
      </c>
      <c r="Z681" s="2" t="b">
        <v>1</v>
      </c>
      <c r="AC681" s="2"/>
      <c r="AD681" s="2" t="b">
        <f>LEN(_xlfn.CONCAT(TRACK_TYPES[[#This Row],[TRACK_TYPE_STANDARD_GAUGE_RAILTYPE_OHLE]:[TRACK_TYPE_MTRO]]))&gt;0</f>
        <v>1</v>
      </c>
      <c r="AE681" s="38" t="b" cm="1">
        <f t="array" ref="AE681">IFERROR(_xlfn.BYROW(TRACK_TYPES[[#This Row],[TRACK_TYPE_STANDARD_GAUGE_RAILTYPE_OHLE]:[TRACK_TYPE_STANDARD_GAUGE_RAILTYPE_NONE]],_xlfn.LAMBDA(_xlpm.r,OR(_xlpm.r))),FALSE)</f>
        <v>1</v>
      </c>
      <c r="AF681" s="38" t="b" cm="1">
        <f t="array" ref="AF681">IFERROR(_xlfn.BYROW(TRACK_TYPES[[#This Row],[TRACK_TYPE_NARROW_GAUGE_RAILTYPE_OHLE]:[TRACK_TYPE_NARROW_GAUGE_RAILTYPE_NONE]],_xlfn.LAMBDA(_xlpm.r,OR(_xlpm.r))),FALSE)</f>
        <v>1</v>
      </c>
      <c r="AG681" s="38" t="b" cm="1">
        <f t="array" ref="AG681">IFERROR(_xlfn.BYROW(TRACK_TYPES[[#This Row],[TRACK_TYPE_BROAD_GAUGE_RAILTYPE_OHLE]:[TRACK_TYPE_BROAD_GAUGE_RAILTYPE_NONE]],_xlfn.LAMBDA(_xlpm.r,OR(_xlpm.r))),FALSE)</f>
        <v>1</v>
      </c>
      <c r="AH6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1"/>
      <c r="AQ681"/>
      <c r="AR681"/>
    </row>
    <row r="682" spans="1:44" x14ac:dyDescent="0.35">
      <c r="A682" s="2" t="s">
        <v>176</v>
      </c>
      <c r="B682" s="40" t="str">
        <f>_xlfn.XLOOKUP(PROPERTIES[[#This Row],[VEHIDCODE]],CONTROL[VEHIDCODE],CONTROL[ENGLISH])</f>
        <v>4th Gen Self-discharging Hopper [Food]</v>
      </c>
      <c r="J682" s="2" t="b">
        <v>1</v>
      </c>
      <c r="R682" s="2" t="b">
        <v>1</v>
      </c>
      <c r="Z682" s="2" t="b">
        <v>1</v>
      </c>
      <c r="AC682" s="2"/>
      <c r="AD682" s="2" t="b">
        <f>LEN(_xlfn.CONCAT(TRACK_TYPES[[#This Row],[TRACK_TYPE_STANDARD_GAUGE_RAILTYPE_OHLE]:[TRACK_TYPE_MTRO]]))&gt;0</f>
        <v>1</v>
      </c>
      <c r="AE682" s="38" t="b" cm="1">
        <f t="array" ref="AE682">IFERROR(_xlfn.BYROW(TRACK_TYPES[[#This Row],[TRACK_TYPE_STANDARD_GAUGE_RAILTYPE_OHLE]:[TRACK_TYPE_STANDARD_GAUGE_RAILTYPE_NONE]],_xlfn.LAMBDA(_xlpm.r,OR(_xlpm.r))),FALSE)</f>
        <v>1</v>
      </c>
      <c r="AF682" s="38" t="b" cm="1">
        <f t="array" ref="AF682">IFERROR(_xlfn.BYROW(TRACK_TYPES[[#This Row],[TRACK_TYPE_NARROW_GAUGE_RAILTYPE_OHLE]:[TRACK_TYPE_NARROW_GAUGE_RAILTYPE_NONE]],_xlfn.LAMBDA(_xlpm.r,OR(_xlpm.r))),FALSE)</f>
        <v>1</v>
      </c>
      <c r="AG682" s="38" t="b" cm="1">
        <f t="array" ref="AG682">IFERROR(_xlfn.BYROW(TRACK_TYPES[[#This Row],[TRACK_TYPE_BROAD_GAUGE_RAILTYPE_OHLE]:[TRACK_TYPE_BROAD_GAUGE_RAILTYPE_NONE]],_xlfn.LAMBDA(_xlpm.r,OR(_xlpm.r))),FALSE)</f>
        <v>1</v>
      </c>
      <c r="AH6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2"/>
      <c r="AQ682"/>
      <c r="AR682"/>
    </row>
    <row r="683" spans="1:44" x14ac:dyDescent="0.35">
      <c r="A683" s="2" t="s">
        <v>177</v>
      </c>
      <c r="B683" s="40" t="str">
        <f>_xlfn.XLOOKUP(PROPERTIES[[#This Row],[VEHIDCODE]],CONTROL[VEHIDCODE],CONTROL[ENGLISH])</f>
        <v>4th Gen Self-discharging Hopper [Non-Food]</v>
      </c>
      <c r="J683" s="2" t="b">
        <v>1</v>
      </c>
      <c r="R683" s="2" t="b">
        <v>1</v>
      </c>
      <c r="Z683" s="2" t="b">
        <v>1</v>
      </c>
      <c r="AC683" s="2"/>
      <c r="AD683" s="2" t="b">
        <f>LEN(_xlfn.CONCAT(TRACK_TYPES[[#This Row],[TRACK_TYPE_STANDARD_GAUGE_RAILTYPE_OHLE]:[TRACK_TYPE_MTRO]]))&gt;0</f>
        <v>1</v>
      </c>
      <c r="AE683" s="38" t="b" cm="1">
        <f t="array" ref="AE683">IFERROR(_xlfn.BYROW(TRACK_TYPES[[#This Row],[TRACK_TYPE_STANDARD_GAUGE_RAILTYPE_OHLE]:[TRACK_TYPE_STANDARD_GAUGE_RAILTYPE_NONE]],_xlfn.LAMBDA(_xlpm.r,OR(_xlpm.r))),FALSE)</f>
        <v>1</v>
      </c>
      <c r="AF683" s="38" t="b" cm="1">
        <f t="array" ref="AF683">IFERROR(_xlfn.BYROW(TRACK_TYPES[[#This Row],[TRACK_TYPE_NARROW_GAUGE_RAILTYPE_OHLE]:[TRACK_TYPE_NARROW_GAUGE_RAILTYPE_NONE]],_xlfn.LAMBDA(_xlpm.r,OR(_xlpm.r))),FALSE)</f>
        <v>1</v>
      </c>
      <c r="AG683" s="38" t="b" cm="1">
        <f t="array" ref="AG683">IFERROR(_xlfn.BYROW(TRACK_TYPES[[#This Row],[TRACK_TYPE_BROAD_GAUGE_RAILTYPE_OHLE]:[TRACK_TYPE_BROAD_GAUGE_RAILTYPE_NONE]],_xlfn.LAMBDA(_xlpm.r,OR(_xlpm.r))),FALSE)</f>
        <v>1</v>
      </c>
      <c r="AH6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3"/>
      <c r="AQ683"/>
      <c r="AR683"/>
    </row>
    <row r="684" spans="1:44" x14ac:dyDescent="0.35">
      <c r="A684" s="2" t="s">
        <v>178</v>
      </c>
      <c r="B684" s="40" t="str">
        <f>_xlfn.XLOOKUP(PROPERTIES[[#This Row],[VEHIDCODE]],CONTROL[VEHIDCODE],CONTROL[ENGLISH])</f>
        <v>4th Gen Car Transporter</v>
      </c>
      <c r="J684" s="2" t="b">
        <v>1</v>
      </c>
      <c r="R684" s="2" t="b">
        <v>1</v>
      </c>
      <c r="Z684" s="2" t="b">
        <v>1</v>
      </c>
      <c r="AC684" s="2"/>
      <c r="AD684" s="2" t="b">
        <f>LEN(_xlfn.CONCAT(TRACK_TYPES[[#This Row],[TRACK_TYPE_STANDARD_GAUGE_RAILTYPE_OHLE]:[TRACK_TYPE_MTRO]]))&gt;0</f>
        <v>1</v>
      </c>
      <c r="AE684" s="38" t="b" cm="1">
        <f t="array" ref="AE684">IFERROR(_xlfn.BYROW(TRACK_TYPES[[#This Row],[TRACK_TYPE_STANDARD_GAUGE_RAILTYPE_OHLE]:[TRACK_TYPE_STANDARD_GAUGE_RAILTYPE_NONE]],_xlfn.LAMBDA(_xlpm.r,OR(_xlpm.r))),FALSE)</f>
        <v>1</v>
      </c>
      <c r="AF684" s="38" t="b" cm="1">
        <f t="array" ref="AF684">IFERROR(_xlfn.BYROW(TRACK_TYPES[[#This Row],[TRACK_TYPE_NARROW_GAUGE_RAILTYPE_OHLE]:[TRACK_TYPE_NARROW_GAUGE_RAILTYPE_NONE]],_xlfn.LAMBDA(_xlpm.r,OR(_xlpm.r))),FALSE)</f>
        <v>1</v>
      </c>
      <c r="AG684" s="38" t="b" cm="1">
        <f t="array" ref="AG684">IFERROR(_xlfn.BYROW(TRACK_TYPES[[#This Row],[TRACK_TYPE_BROAD_GAUGE_RAILTYPE_OHLE]:[TRACK_TYPE_BROAD_GAUGE_RAILTYPE_NONE]],_xlfn.LAMBDA(_xlpm.r,OR(_xlpm.r))),FALSE)</f>
        <v>1</v>
      </c>
      <c r="AH6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4"/>
      <c r="AQ684"/>
      <c r="AR684"/>
    </row>
    <row r="685" spans="1:44" x14ac:dyDescent="0.35">
      <c r="A685" s="2" t="s">
        <v>179</v>
      </c>
      <c r="B685" s="40" t="str">
        <f>_xlfn.XLOOKUP(PROPERTIES[[#This Row],[VEHIDCODE]],CONTROL[VEHIDCODE],CONTROL[ENGLISH])</f>
        <v>4th Gen Container Carrier</v>
      </c>
      <c r="J685" s="2" t="b">
        <v>1</v>
      </c>
      <c r="R685" s="2" t="b">
        <v>1</v>
      </c>
      <c r="Z685" s="2" t="b">
        <v>1</v>
      </c>
      <c r="AC685" s="2"/>
      <c r="AD685" s="2" t="b">
        <f>LEN(_xlfn.CONCAT(TRACK_TYPES[[#This Row],[TRACK_TYPE_STANDARD_GAUGE_RAILTYPE_OHLE]:[TRACK_TYPE_MTRO]]))&gt;0</f>
        <v>1</v>
      </c>
      <c r="AE685" s="38" t="b" cm="1">
        <f t="array" ref="AE685">IFERROR(_xlfn.BYROW(TRACK_TYPES[[#This Row],[TRACK_TYPE_STANDARD_GAUGE_RAILTYPE_OHLE]:[TRACK_TYPE_STANDARD_GAUGE_RAILTYPE_NONE]],_xlfn.LAMBDA(_xlpm.r,OR(_xlpm.r))),FALSE)</f>
        <v>1</v>
      </c>
      <c r="AF685" s="38" t="b" cm="1">
        <f t="array" ref="AF685">IFERROR(_xlfn.BYROW(TRACK_TYPES[[#This Row],[TRACK_TYPE_NARROW_GAUGE_RAILTYPE_OHLE]:[TRACK_TYPE_NARROW_GAUGE_RAILTYPE_NONE]],_xlfn.LAMBDA(_xlpm.r,OR(_xlpm.r))),FALSE)</f>
        <v>1</v>
      </c>
      <c r="AG685" s="38" t="b" cm="1">
        <f t="array" ref="AG685">IFERROR(_xlfn.BYROW(TRACK_TYPES[[#This Row],[TRACK_TYPE_BROAD_GAUGE_RAILTYPE_OHLE]:[TRACK_TYPE_BROAD_GAUGE_RAILTYPE_NONE]],_xlfn.LAMBDA(_xlpm.r,OR(_xlpm.r))),FALSE)</f>
        <v>1</v>
      </c>
      <c r="AH6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5"/>
      <c r="AQ685"/>
      <c r="AR685"/>
    </row>
    <row r="686" spans="1:44" x14ac:dyDescent="0.35">
      <c r="A686" s="2" t="s">
        <v>180</v>
      </c>
      <c r="B686" s="40" t="str">
        <f>_xlfn.XLOOKUP(PROPERTIES[[#This Row],[VEHIDCODE]],CONTROL[VEHIDCODE],CONTROL[ENGLISH])</f>
        <v>4th Gen Centerbeam Flatcar</v>
      </c>
      <c r="J686" s="2" t="b">
        <v>1</v>
      </c>
      <c r="R686" s="2" t="b">
        <v>1</v>
      </c>
      <c r="Z686" s="2" t="b">
        <v>1</v>
      </c>
      <c r="AC686" s="2"/>
      <c r="AD686" s="2" t="b">
        <f>LEN(_xlfn.CONCAT(TRACK_TYPES[[#This Row],[TRACK_TYPE_STANDARD_GAUGE_RAILTYPE_OHLE]:[TRACK_TYPE_MTRO]]))&gt;0</f>
        <v>1</v>
      </c>
      <c r="AE686" s="38" t="b" cm="1">
        <f t="array" ref="AE686">IFERROR(_xlfn.BYROW(TRACK_TYPES[[#This Row],[TRACK_TYPE_STANDARD_GAUGE_RAILTYPE_OHLE]:[TRACK_TYPE_STANDARD_GAUGE_RAILTYPE_NONE]],_xlfn.LAMBDA(_xlpm.r,OR(_xlpm.r))),FALSE)</f>
        <v>1</v>
      </c>
      <c r="AF686" s="38" t="b" cm="1">
        <f t="array" ref="AF686">IFERROR(_xlfn.BYROW(TRACK_TYPES[[#This Row],[TRACK_TYPE_NARROW_GAUGE_RAILTYPE_OHLE]:[TRACK_TYPE_NARROW_GAUGE_RAILTYPE_NONE]],_xlfn.LAMBDA(_xlpm.r,OR(_xlpm.r))),FALSE)</f>
        <v>1</v>
      </c>
      <c r="AG686" s="38" t="b" cm="1">
        <f t="array" ref="AG686">IFERROR(_xlfn.BYROW(TRACK_TYPES[[#This Row],[TRACK_TYPE_BROAD_GAUGE_RAILTYPE_OHLE]:[TRACK_TYPE_BROAD_GAUGE_RAILTYPE_NONE]],_xlfn.LAMBDA(_xlpm.r,OR(_xlpm.r))),FALSE)</f>
        <v>1</v>
      </c>
      <c r="AH6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6"/>
      <c r="AQ686"/>
      <c r="AR686"/>
    </row>
    <row r="687" spans="1:44" x14ac:dyDescent="0.35">
      <c r="A687" s="2" t="s">
        <v>181</v>
      </c>
      <c r="B687" s="40" t="str">
        <f>_xlfn.XLOOKUP(PROPERTIES[[#This Row],[VEHIDCODE]],CONTROL[VEHIDCODE],CONTROL[ENGLISH])</f>
        <v>5th Gen Flatcar</v>
      </c>
      <c r="J687" s="2" t="b">
        <v>1</v>
      </c>
      <c r="R687" s="2" t="b">
        <v>1</v>
      </c>
      <c r="Z687" s="2" t="b">
        <v>1</v>
      </c>
      <c r="AC687" s="2"/>
      <c r="AD687" s="2" t="b">
        <f>LEN(_xlfn.CONCAT(TRACK_TYPES[[#This Row],[TRACK_TYPE_STANDARD_GAUGE_RAILTYPE_OHLE]:[TRACK_TYPE_MTRO]]))&gt;0</f>
        <v>1</v>
      </c>
      <c r="AE687" s="38" t="b" cm="1">
        <f t="array" ref="AE687">IFERROR(_xlfn.BYROW(TRACK_TYPES[[#This Row],[TRACK_TYPE_STANDARD_GAUGE_RAILTYPE_OHLE]:[TRACK_TYPE_STANDARD_GAUGE_RAILTYPE_NONE]],_xlfn.LAMBDA(_xlpm.r,OR(_xlpm.r))),FALSE)</f>
        <v>1</v>
      </c>
      <c r="AF687" s="38" t="b" cm="1">
        <f t="array" ref="AF687">IFERROR(_xlfn.BYROW(TRACK_TYPES[[#This Row],[TRACK_TYPE_NARROW_GAUGE_RAILTYPE_OHLE]:[TRACK_TYPE_NARROW_GAUGE_RAILTYPE_NONE]],_xlfn.LAMBDA(_xlpm.r,OR(_xlpm.r))),FALSE)</f>
        <v>1</v>
      </c>
      <c r="AG687" s="38" t="b" cm="1">
        <f t="array" ref="AG687">IFERROR(_xlfn.BYROW(TRACK_TYPES[[#This Row],[TRACK_TYPE_BROAD_GAUGE_RAILTYPE_OHLE]:[TRACK_TYPE_BROAD_GAUGE_RAILTYPE_NONE]],_xlfn.LAMBDA(_xlpm.r,OR(_xlpm.r))),FALSE)</f>
        <v>1</v>
      </c>
      <c r="AH6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7"/>
      <c r="AQ687"/>
      <c r="AR687"/>
    </row>
    <row r="688" spans="1:44" x14ac:dyDescent="0.35">
      <c r="A688" s="2" t="s">
        <v>182</v>
      </c>
      <c r="B688" s="40" t="str">
        <f>_xlfn.XLOOKUP(PROPERTIES[[#This Row],[VEHIDCODE]],CONTROL[VEHIDCODE],CONTROL[ENGLISH])</f>
        <v>5th Gen Heavy Flatcar</v>
      </c>
      <c r="J688" s="2" t="b">
        <v>1</v>
      </c>
      <c r="R688" s="2" t="b">
        <v>1</v>
      </c>
      <c r="Z688" s="2" t="b">
        <v>1</v>
      </c>
      <c r="AC688" s="2"/>
      <c r="AD688" s="2" t="b">
        <f>LEN(_xlfn.CONCAT(TRACK_TYPES[[#This Row],[TRACK_TYPE_STANDARD_GAUGE_RAILTYPE_OHLE]:[TRACK_TYPE_MTRO]]))&gt;0</f>
        <v>1</v>
      </c>
      <c r="AE688" s="38" t="b" cm="1">
        <f t="array" ref="AE688">IFERROR(_xlfn.BYROW(TRACK_TYPES[[#This Row],[TRACK_TYPE_STANDARD_GAUGE_RAILTYPE_OHLE]:[TRACK_TYPE_STANDARD_GAUGE_RAILTYPE_NONE]],_xlfn.LAMBDA(_xlpm.r,OR(_xlpm.r))),FALSE)</f>
        <v>1</v>
      </c>
      <c r="AF688" s="38" t="b" cm="1">
        <f t="array" ref="AF688">IFERROR(_xlfn.BYROW(TRACK_TYPES[[#This Row],[TRACK_TYPE_NARROW_GAUGE_RAILTYPE_OHLE]:[TRACK_TYPE_NARROW_GAUGE_RAILTYPE_NONE]],_xlfn.LAMBDA(_xlpm.r,OR(_xlpm.r))),FALSE)</f>
        <v>1</v>
      </c>
      <c r="AG688" s="38" t="b" cm="1">
        <f t="array" ref="AG688">IFERROR(_xlfn.BYROW(TRACK_TYPES[[#This Row],[TRACK_TYPE_BROAD_GAUGE_RAILTYPE_OHLE]:[TRACK_TYPE_BROAD_GAUGE_RAILTYPE_NONE]],_xlfn.LAMBDA(_xlpm.r,OR(_xlpm.r))),FALSE)</f>
        <v>1</v>
      </c>
      <c r="AH6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8"/>
      <c r="AQ688"/>
      <c r="AR688"/>
    </row>
    <row r="689" spans="1:44" x14ac:dyDescent="0.35">
      <c r="A689" s="2" t="s">
        <v>183</v>
      </c>
      <c r="B689" s="40" t="str">
        <f>_xlfn.XLOOKUP(PROPERTIES[[#This Row],[VEHIDCODE]],CONTROL[VEHIDCODE],CONTROL[ENGLISH])</f>
        <v>5th Gen Boxcar [Food]</v>
      </c>
      <c r="J689" s="2" t="b">
        <v>1</v>
      </c>
      <c r="R689" s="2" t="b">
        <v>1</v>
      </c>
      <c r="Z689" s="2" t="b">
        <v>1</v>
      </c>
      <c r="AC689" s="2"/>
      <c r="AD689" s="2" t="b">
        <f>LEN(_xlfn.CONCAT(TRACK_TYPES[[#This Row],[TRACK_TYPE_STANDARD_GAUGE_RAILTYPE_OHLE]:[TRACK_TYPE_MTRO]]))&gt;0</f>
        <v>1</v>
      </c>
      <c r="AE689" s="38" t="b" cm="1">
        <f t="array" ref="AE689">IFERROR(_xlfn.BYROW(TRACK_TYPES[[#This Row],[TRACK_TYPE_STANDARD_GAUGE_RAILTYPE_OHLE]:[TRACK_TYPE_STANDARD_GAUGE_RAILTYPE_NONE]],_xlfn.LAMBDA(_xlpm.r,OR(_xlpm.r))),FALSE)</f>
        <v>1</v>
      </c>
      <c r="AF689" s="38" t="b" cm="1">
        <f t="array" ref="AF689">IFERROR(_xlfn.BYROW(TRACK_TYPES[[#This Row],[TRACK_TYPE_NARROW_GAUGE_RAILTYPE_OHLE]:[TRACK_TYPE_NARROW_GAUGE_RAILTYPE_NONE]],_xlfn.LAMBDA(_xlpm.r,OR(_xlpm.r))),FALSE)</f>
        <v>1</v>
      </c>
      <c r="AG689" s="38" t="b" cm="1">
        <f t="array" ref="AG689">IFERROR(_xlfn.BYROW(TRACK_TYPES[[#This Row],[TRACK_TYPE_BROAD_GAUGE_RAILTYPE_OHLE]:[TRACK_TYPE_BROAD_GAUGE_RAILTYPE_NONE]],_xlfn.LAMBDA(_xlpm.r,OR(_xlpm.r))),FALSE)</f>
        <v>1</v>
      </c>
      <c r="AH6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9"/>
      <c r="AQ689"/>
      <c r="AR689"/>
    </row>
    <row r="690" spans="1:44" x14ac:dyDescent="0.35">
      <c r="A690" s="2" t="s">
        <v>184</v>
      </c>
      <c r="B690" s="40" t="str">
        <f>_xlfn.XLOOKUP(PROPERTIES[[#This Row],[VEHIDCODE]],CONTROL[VEHIDCODE],CONTROL[ENGLISH])</f>
        <v>5th Gen Boxcar [Non-Food]</v>
      </c>
      <c r="J690" s="2" t="b">
        <v>1</v>
      </c>
      <c r="R690" s="2" t="b">
        <v>1</v>
      </c>
      <c r="Z690" s="2" t="b">
        <v>1</v>
      </c>
      <c r="AC690" s="2"/>
      <c r="AD690" s="2" t="b">
        <f>LEN(_xlfn.CONCAT(TRACK_TYPES[[#This Row],[TRACK_TYPE_STANDARD_GAUGE_RAILTYPE_OHLE]:[TRACK_TYPE_MTRO]]))&gt;0</f>
        <v>1</v>
      </c>
      <c r="AE690" s="38" t="b" cm="1">
        <f t="array" ref="AE690">IFERROR(_xlfn.BYROW(TRACK_TYPES[[#This Row],[TRACK_TYPE_STANDARD_GAUGE_RAILTYPE_OHLE]:[TRACK_TYPE_STANDARD_GAUGE_RAILTYPE_NONE]],_xlfn.LAMBDA(_xlpm.r,OR(_xlpm.r))),FALSE)</f>
        <v>1</v>
      </c>
      <c r="AF690" s="38" t="b" cm="1">
        <f t="array" ref="AF690">IFERROR(_xlfn.BYROW(TRACK_TYPES[[#This Row],[TRACK_TYPE_NARROW_GAUGE_RAILTYPE_OHLE]:[TRACK_TYPE_NARROW_GAUGE_RAILTYPE_NONE]],_xlfn.LAMBDA(_xlpm.r,OR(_xlpm.r))),FALSE)</f>
        <v>1</v>
      </c>
      <c r="AG690" s="38" t="b" cm="1">
        <f t="array" ref="AG690">IFERROR(_xlfn.BYROW(TRACK_TYPES[[#This Row],[TRACK_TYPE_BROAD_GAUGE_RAILTYPE_OHLE]:[TRACK_TYPE_BROAD_GAUGE_RAILTYPE_NONE]],_xlfn.LAMBDA(_xlpm.r,OR(_xlpm.r))),FALSE)</f>
        <v>1</v>
      </c>
      <c r="AH6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0"/>
      <c r="AQ690"/>
      <c r="AR690"/>
    </row>
    <row r="691" spans="1:44" x14ac:dyDescent="0.35">
      <c r="A691" s="2" t="s">
        <v>185</v>
      </c>
      <c r="B691" s="40" t="str">
        <f>_xlfn.XLOOKUP(PROPERTIES[[#This Row],[VEHIDCODE]],CONTROL[VEHIDCODE],CONTROL[ENGLISH])</f>
        <v>5th Gen Tanker</v>
      </c>
      <c r="J691" s="2" t="b">
        <v>1</v>
      </c>
      <c r="R691" s="2" t="b">
        <v>1</v>
      </c>
      <c r="Z691" s="2" t="b">
        <v>1</v>
      </c>
      <c r="AC691" s="2"/>
      <c r="AD691" s="2" t="b">
        <f>LEN(_xlfn.CONCAT(TRACK_TYPES[[#This Row],[TRACK_TYPE_STANDARD_GAUGE_RAILTYPE_OHLE]:[TRACK_TYPE_MTRO]]))&gt;0</f>
        <v>1</v>
      </c>
      <c r="AE691" s="38" t="b" cm="1">
        <f t="array" ref="AE691">IFERROR(_xlfn.BYROW(TRACK_TYPES[[#This Row],[TRACK_TYPE_STANDARD_GAUGE_RAILTYPE_OHLE]:[TRACK_TYPE_STANDARD_GAUGE_RAILTYPE_NONE]],_xlfn.LAMBDA(_xlpm.r,OR(_xlpm.r))),FALSE)</f>
        <v>1</v>
      </c>
      <c r="AF691" s="38" t="b" cm="1">
        <f t="array" ref="AF691">IFERROR(_xlfn.BYROW(TRACK_TYPES[[#This Row],[TRACK_TYPE_NARROW_GAUGE_RAILTYPE_OHLE]:[TRACK_TYPE_NARROW_GAUGE_RAILTYPE_NONE]],_xlfn.LAMBDA(_xlpm.r,OR(_xlpm.r))),FALSE)</f>
        <v>1</v>
      </c>
      <c r="AG691" s="38" t="b" cm="1">
        <f t="array" ref="AG691">IFERROR(_xlfn.BYROW(TRACK_TYPES[[#This Row],[TRACK_TYPE_BROAD_GAUGE_RAILTYPE_OHLE]:[TRACK_TYPE_BROAD_GAUGE_RAILTYPE_NONE]],_xlfn.LAMBDA(_xlpm.r,OR(_xlpm.r))),FALSE)</f>
        <v>1</v>
      </c>
      <c r="AH6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1"/>
      <c r="AQ691"/>
      <c r="AR691"/>
    </row>
    <row r="692" spans="1:44" x14ac:dyDescent="0.35">
      <c r="A692" s="2" t="s">
        <v>186</v>
      </c>
      <c r="B692" s="40" t="str">
        <f>_xlfn.XLOOKUP(PROPERTIES[[#This Row],[VEHIDCODE]],CONTROL[VEHIDCODE],CONTROL[ENGLISH])</f>
        <v>5th Gen Gondola</v>
      </c>
      <c r="J692" s="2" t="b">
        <v>1</v>
      </c>
      <c r="R692" s="2" t="b">
        <v>1</v>
      </c>
      <c r="Z692" s="2" t="b">
        <v>1</v>
      </c>
      <c r="AC692" s="2"/>
      <c r="AD692" s="2" t="b">
        <f>LEN(_xlfn.CONCAT(TRACK_TYPES[[#This Row],[TRACK_TYPE_STANDARD_GAUGE_RAILTYPE_OHLE]:[TRACK_TYPE_MTRO]]))&gt;0</f>
        <v>1</v>
      </c>
      <c r="AE692" s="38" t="b" cm="1">
        <f t="array" ref="AE692">IFERROR(_xlfn.BYROW(TRACK_TYPES[[#This Row],[TRACK_TYPE_STANDARD_GAUGE_RAILTYPE_OHLE]:[TRACK_TYPE_STANDARD_GAUGE_RAILTYPE_NONE]],_xlfn.LAMBDA(_xlpm.r,OR(_xlpm.r))),FALSE)</f>
        <v>1</v>
      </c>
      <c r="AF692" s="38" t="b" cm="1">
        <f t="array" ref="AF692">IFERROR(_xlfn.BYROW(TRACK_TYPES[[#This Row],[TRACK_TYPE_NARROW_GAUGE_RAILTYPE_OHLE]:[TRACK_TYPE_NARROW_GAUGE_RAILTYPE_NONE]],_xlfn.LAMBDA(_xlpm.r,OR(_xlpm.r))),FALSE)</f>
        <v>1</v>
      </c>
      <c r="AG692" s="38" t="b" cm="1">
        <f t="array" ref="AG692">IFERROR(_xlfn.BYROW(TRACK_TYPES[[#This Row],[TRACK_TYPE_BROAD_GAUGE_RAILTYPE_OHLE]:[TRACK_TYPE_BROAD_GAUGE_RAILTYPE_NONE]],_xlfn.LAMBDA(_xlpm.r,OR(_xlpm.r))),FALSE)</f>
        <v>1</v>
      </c>
      <c r="AH6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2"/>
      <c r="AQ692"/>
      <c r="AR692"/>
    </row>
    <row r="693" spans="1:44" x14ac:dyDescent="0.35">
      <c r="A693" s="2" t="s">
        <v>187</v>
      </c>
      <c r="B693" s="40" t="str">
        <f>_xlfn.XLOOKUP(PROPERTIES[[#This Row],[VEHIDCODE]],CONTROL[VEHIDCODE],CONTROL[ENGLISH])</f>
        <v>5th Gen Silo [Food]</v>
      </c>
      <c r="J693" s="2" t="b">
        <v>1</v>
      </c>
      <c r="R693" s="2" t="b">
        <v>1</v>
      </c>
      <c r="Z693" s="2" t="b">
        <v>1</v>
      </c>
      <c r="AC693" s="2"/>
      <c r="AD693" s="2" t="b">
        <f>LEN(_xlfn.CONCAT(TRACK_TYPES[[#This Row],[TRACK_TYPE_STANDARD_GAUGE_RAILTYPE_OHLE]:[TRACK_TYPE_MTRO]]))&gt;0</f>
        <v>1</v>
      </c>
      <c r="AE693" s="38" t="b" cm="1">
        <f t="array" ref="AE693">IFERROR(_xlfn.BYROW(TRACK_TYPES[[#This Row],[TRACK_TYPE_STANDARD_GAUGE_RAILTYPE_OHLE]:[TRACK_TYPE_STANDARD_GAUGE_RAILTYPE_NONE]],_xlfn.LAMBDA(_xlpm.r,OR(_xlpm.r))),FALSE)</f>
        <v>1</v>
      </c>
      <c r="AF693" s="38" t="b" cm="1">
        <f t="array" ref="AF693">IFERROR(_xlfn.BYROW(TRACK_TYPES[[#This Row],[TRACK_TYPE_NARROW_GAUGE_RAILTYPE_OHLE]:[TRACK_TYPE_NARROW_GAUGE_RAILTYPE_NONE]],_xlfn.LAMBDA(_xlpm.r,OR(_xlpm.r))),FALSE)</f>
        <v>1</v>
      </c>
      <c r="AG693" s="38" t="b" cm="1">
        <f t="array" ref="AG693">IFERROR(_xlfn.BYROW(TRACK_TYPES[[#This Row],[TRACK_TYPE_BROAD_GAUGE_RAILTYPE_OHLE]:[TRACK_TYPE_BROAD_GAUGE_RAILTYPE_NONE]],_xlfn.LAMBDA(_xlpm.r,OR(_xlpm.r))),FALSE)</f>
        <v>1</v>
      </c>
      <c r="AH6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3"/>
      <c r="AQ693"/>
      <c r="AR693"/>
    </row>
    <row r="694" spans="1:44" x14ac:dyDescent="0.35">
      <c r="A694" s="2" t="s">
        <v>188</v>
      </c>
      <c r="B694" s="40" t="str">
        <f>_xlfn.XLOOKUP(PROPERTIES[[#This Row],[VEHIDCODE]],CONTROL[VEHIDCODE],CONTROL[ENGLISH])</f>
        <v>5th Gen Silo [Non-Food]</v>
      </c>
      <c r="J694" s="2" t="b">
        <v>1</v>
      </c>
      <c r="R694" s="2" t="b">
        <v>1</v>
      </c>
      <c r="Z694" s="2" t="b">
        <v>1</v>
      </c>
      <c r="AC694" s="2"/>
      <c r="AD694" s="2" t="b">
        <f>LEN(_xlfn.CONCAT(TRACK_TYPES[[#This Row],[TRACK_TYPE_STANDARD_GAUGE_RAILTYPE_OHLE]:[TRACK_TYPE_MTRO]]))&gt;0</f>
        <v>1</v>
      </c>
      <c r="AE694" s="38" t="b" cm="1">
        <f t="array" ref="AE694">IFERROR(_xlfn.BYROW(TRACK_TYPES[[#This Row],[TRACK_TYPE_STANDARD_GAUGE_RAILTYPE_OHLE]:[TRACK_TYPE_STANDARD_GAUGE_RAILTYPE_NONE]],_xlfn.LAMBDA(_xlpm.r,OR(_xlpm.r))),FALSE)</f>
        <v>1</v>
      </c>
      <c r="AF694" s="38" t="b" cm="1">
        <f t="array" ref="AF694">IFERROR(_xlfn.BYROW(TRACK_TYPES[[#This Row],[TRACK_TYPE_NARROW_GAUGE_RAILTYPE_OHLE]:[TRACK_TYPE_NARROW_GAUGE_RAILTYPE_NONE]],_xlfn.LAMBDA(_xlpm.r,OR(_xlpm.r))),FALSE)</f>
        <v>1</v>
      </c>
      <c r="AG694" s="38" t="b" cm="1">
        <f t="array" ref="AG694">IFERROR(_xlfn.BYROW(TRACK_TYPES[[#This Row],[TRACK_TYPE_BROAD_GAUGE_RAILTYPE_OHLE]:[TRACK_TYPE_BROAD_GAUGE_RAILTYPE_NONE]],_xlfn.LAMBDA(_xlpm.r,OR(_xlpm.r))),FALSE)</f>
        <v>1</v>
      </c>
      <c r="AH6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4"/>
      <c r="AQ694"/>
      <c r="AR694"/>
    </row>
    <row r="695" spans="1:44" x14ac:dyDescent="0.35">
      <c r="A695" s="2" t="s">
        <v>189</v>
      </c>
      <c r="B695" s="40" t="str">
        <f>_xlfn.XLOOKUP(PROPERTIES[[#This Row],[VEHIDCODE]],CONTROL[VEHIDCODE],CONTROL[ENGLISH])</f>
        <v>5th Gen Self-discharging Hopper [Food]</v>
      </c>
      <c r="J695" s="2" t="b">
        <v>1</v>
      </c>
      <c r="R695" s="2" t="b">
        <v>1</v>
      </c>
      <c r="Z695" s="2" t="b">
        <v>1</v>
      </c>
      <c r="AC695" s="2"/>
      <c r="AD695" s="2" t="b">
        <f>LEN(_xlfn.CONCAT(TRACK_TYPES[[#This Row],[TRACK_TYPE_STANDARD_GAUGE_RAILTYPE_OHLE]:[TRACK_TYPE_MTRO]]))&gt;0</f>
        <v>1</v>
      </c>
      <c r="AE695" s="38" t="b" cm="1">
        <f t="array" ref="AE695">IFERROR(_xlfn.BYROW(TRACK_TYPES[[#This Row],[TRACK_TYPE_STANDARD_GAUGE_RAILTYPE_OHLE]:[TRACK_TYPE_STANDARD_GAUGE_RAILTYPE_NONE]],_xlfn.LAMBDA(_xlpm.r,OR(_xlpm.r))),FALSE)</f>
        <v>1</v>
      </c>
      <c r="AF695" s="38" t="b" cm="1">
        <f t="array" ref="AF695">IFERROR(_xlfn.BYROW(TRACK_TYPES[[#This Row],[TRACK_TYPE_NARROW_GAUGE_RAILTYPE_OHLE]:[TRACK_TYPE_NARROW_GAUGE_RAILTYPE_NONE]],_xlfn.LAMBDA(_xlpm.r,OR(_xlpm.r))),FALSE)</f>
        <v>1</v>
      </c>
      <c r="AG695" s="38" t="b" cm="1">
        <f t="array" ref="AG695">IFERROR(_xlfn.BYROW(TRACK_TYPES[[#This Row],[TRACK_TYPE_BROAD_GAUGE_RAILTYPE_OHLE]:[TRACK_TYPE_BROAD_GAUGE_RAILTYPE_NONE]],_xlfn.LAMBDA(_xlpm.r,OR(_xlpm.r))),FALSE)</f>
        <v>1</v>
      </c>
      <c r="AH6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5"/>
      <c r="AQ695"/>
      <c r="AR695"/>
    </row>
    <row r="696" spans="1:44" x14ac:dyDescent="0.35">
      <c r="A696" s="2" t="s">
        <v>190</v>
      </c>
      <c r="B696" s="40" t="str">
        <f>_xlfn.XLOOKUP(PROPERTIES[[#This Row],[VEHIDCODE]],CONTROL[VEHIDCODE],CONTROL[ENGLISH])</f>
        <v>5th Gen Self-discharging Hopper [Non-Food]</v>
      </c>
      <c r="J696" s="2" t="b">
        <v>1</v>
      </c>
      <c r="R696" s="2" t="b">
        <v>1</v>
      </c>
      <c r="Z696" s="2" t="b">
        <v>1</v>
      </c>
      <c r="AC696" s="2"/>
      <c r="AD696" s="2" t="b">
        <f>LEN(_xlfn.CONCAT(TRACK_TYPES[[#This Row],[TRACK_TYPE_STANDARD_GAUGE_RAILTYPE_OHLE]:[TRACK_TYPE_MTRO]]))&gt;0</f>
        <v>1</v>
      </c>
      <c r="AE696" s="38" t="b" cm="1">
        <f t="array" ref="AE696">IFERROR(_xlfn.BYROW(TRACK_TYPES[[#This Row],[TRACK_TYPE_STANDARD_GAUGE_RAILTYPE_OHLE]:[TRACK_TYPE_STANDARD_GAUGE_RAILTYPE_NONE]],_xlfn.LAMBDA(_xlpm.r,OR(_xlpm.r))),FALSE)</f>
        <v>1</v>
      </c>
      <c r="AF696" s="38" t="b" cm="1">
        <f t="array" ref="AF696">IFERROR(_xlfn.BYROW(TRACK_TYPES[[#This Row],[TRACK_TYPE_NARROW_GAUGE_RAILTYPE_OHLE]:[TRACK_TYPE_NARROW_GAUGE_RAILTYPE_NONE]],_xlfn.LAMBDA(_xlpm.r,OR(_xlpm.r))),FALSE)</f>
        <v>1</v>
      </c>
      <c r="AG696" s="38" t="b" cm="1">
        <f t="array" ref="AG696">IFERROR(_xlfn.BYROW(TRACK_TYPES[[#This Row],[TRACK_TYPE_BROAD_GAUGE_RAILTYPE_OHLE]:[TRACK_TYPE_BROAD_GAUGE_RAILTYPE_NONE]],_xlfn.LAMBDA(_xlpm.r,OR(_xlpm.r))),FALSE)</f>
        <v>1</v>
      </c>
      <c r="AH6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6"/>
      <c r="AQ696"/>
      <c r="AR696"/>
    </row>
    <row r="697" spans="1:44" x14ac:dyDescent="0.35">
      <c r="A697" s="2" t="s">
        <v>191</v>
      </c>
      <c r="B697" s="40" t="str">
        <f>_xlfn.XLOOKUP(PROPERTIES[[#This Row],[VEHIDCODE]],CONTROL[VEHIDCODE],CONTROL[ENGLISH])</f>
        <v>5th Gen Car Transporter</v>
      </c>
      <c r="J697" s="2" t="b">
        <v>1</v>
      </c>
      <c r="R697" s="2" t="b">
        <v>1</v>
      </c>
      <c r="Z697" s="2" t="b">
        <v>1</v>
      </c>
      <c r="AC697" s="2"/>
      <c r="AD697" s="2" t="b">
        <f>LEN(_xlfn.CONCAT(TRACK_TYPES[[#This Row],[TRACK_TYPE_STANDARD_GAUGE_RAILTYPE_OHLE]:[TRACK_TYPE_MTRO]]))&gt;0</f>
        <v>1</v>
      </c>
      <c r="AE697" s="38" t="b" cm="1">
        <f t="array" ref="AE697">IFERROR(_xlfn.BYROW(TRACK_TYPES[[#This Row],[TRACK_TYPE_STANDARD_GAUGE_RAILTYPE_OHLE]:[TRACK_TYPE_STANDARD_GAUGE_RAILTYPE_NONE]],_xlfn.LAMBDA(_xlpm.r,OR(_xlpm.r))),FALSE)</f>
        <v>1</v>
      </c>
      <c r="AF697" s="38" t="b" cm="1">
        <f t="array" ref="AF697">IFERROR(_xlfn.BYROW(TRACK_TYPES[[#This Row],[TRACK_TYPE_NARROW_GAUGE_RAILTYPE_OHLE]:[TRACK_TYPE_NARROW_GAUGE_RAILTYPE_NONE]],_xlfn.LAMBDA(_xlpm.r,OR(_xlpm.r))),FALSE)</f>
        <v>1</v>
      </c>
      <c r="AG697" s="38" t="b" cm="1">
        <f t="array" ref="AG697">IFERROR(_xlfn.BYROW(TRACK_TYPES[[#This Row],[TRACK_TYPE_BROAD_GAUGE_RAILTYPE_OHLE]:[TRACK_TYPE_BROAD_GAUGE_RAILTYPE_NONE]],_xlfn.LAMBDA(_xlpm.r,OR(_xlpm.r))),FALSE)</f>
        <v>1</v>
      </c>
      <c r="AH6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7"/>
      <c r="AQ697"/>
      <c r="AR697"/>
    </row>
    <row r="698" spans="1:44" x14ac:dyDescent="0.35">
      <c r="A698" s="2" t="s">
        <v>192</v>
      </c>
      <c r="B698" s="40" t="str">
        <f>_xlfn.XLOOKUP(PROPERTIES[[#This Row],[VEHIDCODE]],CONTROL[VEHIDCODE],CONTROL[ENGLISH])</f>
        <v>5th Gen Container Carrier</v>
      </c>
      <c r="J698" s="2" t="b">
        <v>1</v>
      </c>
      <c r="R698" s="2" t="b">
        <v>1</v>
      </c>
      <c r="Z698" s="2" t="b">
        <v>1</v>
      </c>
      <c r="AC698" s="2"/>
      <c r="AD698" s="2" t="b">
        <f>LEN(_xlfn.CONCAT(TRACK_TYPES[[#This Row],[TRACK_TYPE_STANDARD_GAUGE_RAILTYPE_OHLE]:[TRACK_TYPE_MTRO]]))&gt;0</f>
        <v>1</v>
      </c>
      <c r="AE698" s="38" t="b" cm="1">
        <f t="array" ref="AE698">IFERROR(_xlfn.BYROW(TRACK_TYPES[[#This Row],[TRACK_TYPE_STANDARD_GAUGE_RAILTYPE_OHLE]:[TRACK_TYPE_STANDARD_GAUGE_RAILTYPE_NONE]],_xlfn.LAMBDA(_xlpm.r,OR(_xlpm.r))),FALSE)</f>
        <v>1</v>
      </c>
      <c r="AF698" s="38" t="b" cm="1">
        <f t="array" ref="AF698">IFERROR(_xlfn.BYROW(TRACK_TYPES[[#This Row],[TRACK_TYPE_NARROW_GAUGE_RAILTYPE_OHLE]:[TRACK_TYPE_NARROW_GAUGE_RAILTYPE_NONE]],_xlfn.LAMBDA(_xlpm.r,OR(_xlpm.r))),FALSE)</f>
        <v>1</v>
      </c>
      <c r="AG698" s="38" t="b" cm="1">
        <f t="array" ref="AG698">IFERROR(_xlfn.BYROW(TRACK_TYPES[[#This Row],[TRACK_TYPE_BROAD_GAUGE_RAILTYPE_OHLE]:[TRACK_TYPE_BROAD_GAUGE_RAILTYPE_NONE]],_xlfn.LAMBDA(_xlpm.r,OR(_xlpm.r))),FALSE)</f>
        <v>1</v>
      </c>
      <c r="AH6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8"/>
      <c r="AQ698"/>
      <c r="AR698"/>
    </row>
    <row r="699" spans="1:44" x14ac:dyDescent="0.35">
      <c r="A699" s="2" t="s">
        <v>193</v>
      </c>
      <c r="B699" s="40" t="str">
        <f>_xlfn.XLOOKUP(PROPERTIES[[#This Row],[VEHIDCODE]],CONTROL[VEHIDCODE],CONTROL[ENGLISH])</f>
        <v>5th Gen Centerbeam Flatcar</v>
      </c>
      <c r="J699" s="2" t="b">
        <v>1</v>
      </c>
      <c r="R699" s="2" t="b">
        <v>1</v>
      </c>
      <c r="Z699" s="2" t="b">
        <v>1</v>
      </c>
      <c r="AC699" s="2"/>
      <c r="AD699" s="2" t="b">
        <f>LEN(_xlfn.CONCAT(TRACK_TYPES[[#This Row],[TRACK_TYPE_STANDARD_GAUGE_RAILTYPE_OHLE]:[TRACK_TYPE_MTRO]]))&gt;0</f>
        <v>1</v>
      </c>
      <c r="AE699" s="38" t="b" cm="1">
        <f t="array" ref="AE699">IFERROR(_xlfn.BYROW(TRACK_TYPES[[#This Row],[TRACK_TYPE_STANDARD_GAUGE_RAILTYPE_OHLE]:[TRACK_TYPE_STANDARD_GAUGE_RAILTYPE_NONE]],_xlfn.LAMBDA(_xlpm.r,OR(_xlpm.r))),FALSE)</f>
        <v>1</v>
      </c>
      <c r="AF699" s="38" t="b" cm="1">
        <f t="array" ref="AF699">IFERROR(_xlfn.BYROW(TRACK_TYPES[[#This Row],[TRACK_TYPE_NARROW_GAUGE_RAILTYPE_OHLE]:[TRACK_TYPE_NARROW_GAUGE_RAILTYPE_NONE]],_xlfn.LAMBDA(_xlpm.r,OR(_xlpm.r))),FALSE)</f>
        <v>1</v>
      </c>
      <c r="AG699" s="38" t="b" cm="1">
        <f t="array" ref="AG699">IFERROR(_xlfn.BYROW(TRACK_TYPES[[#This Row],[TRACK_TYPE_BROAD_GAUGE_RAILTYPE_OHLE]:[TRACK_TYPE_BROAD_GAUGE_RAILTYPE_NONE]],_xlfn.LAMBDA(_xlpm.r,OR(_xlpm.r))),FALSE)</f>
        <v>1</v>
      </c>
      <c r="AH6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9"/>
      <c r="AQ699"/>
      <c r="AR699"/>
    </row>
    <row r="700" spans="1:44" x14ac:dyDescent="0.35">
      <c r="A700" s="2" t="s">
        <v>194</v>
      </c>
      <c r="B700" s="40" t="str">
        <f>_xlfn.XLOOKUP(PROPERTIES[[#This Row],[VEHIDCODE]],CONTROL[VEHIDCODE],CONTROL[ENGLISH])</f>
        <v>5th Gen Container Doublestack</v>
      </c>
      <c r="J700" s="2" t="b">
        <v>1</v>
      </c>
      <c r="R700" s="2" t="b">
        <v>1</v>
      </c>
      <c r="Z700" s="2" t="b">
        <v>1</v>
      </c>
      <c r="AC700" s="2"/>
      <c r="AD700" s="2" t="b">
        <f>LEN(_xlfn.CONCAT(TRACK_TYPES[[#This Row],[TRACK_TYPE_STANDARD_GAUGE_RAILTYPE_OHLE]:[TRACK_TYPE_MTRO]]))&gt;0</f>
        <v>1</v>
      </c>
      <c r="AE700" s="38" t="b" cm="1">
        <f t="array" ref="AE700">IFERROR(_xlfn.BYROW(TRACK_TYPES[[#This Row],[TRACK_TYPE_STANDARD_GAUGE_RAILTYPE_OHLE]:[TRACK_TYPE_STANDARD_GAUGE_RAILTYPE_NONE]],_xlfn.LAMBDA(_xlpm.r,OR(_xlpm.r))),FALSE)</f>
        <v>1</v>
      </c>
      <c r="AF700" s="38" t="b" cm="1">
        <f t="array" ref="AF700">IFERROR(_xlfn.BYROW(TRACK_TYPES[[#This Row],[TRACK_TYPE_NARROW_GAUGE_RAILTYPE_OHLE]:[TRACK_TYPE_NARROW_GAUGE_RAILTYPE_NONE]],_xlfn.LAMBDA(_xlpm.r,OR(_xlpm.r))),FALSE)</f>
        <v>1</v>
      </c>
      <c r="AG700" s="38" t="b" cm="1">
        <f t="array" ref="AG700">IFERROR(_xlfn.BYROW(TRACK_TYPES[[#This Row],[TRACK_TYPE_BROAD_GAUGE_RAILTYPE_OHLE]:[TRACK_TYPE_BROAD_GAUGE_RAILTYPE_NONE]],_xlfn.LAMBDA(_xlpm.r,OR(_xlpm.r))),FALSE)</f>
        <v>1</v>
      </c>
      <c r="AH7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0"/>
      <c r="AQ700"/>
      <c r="AR700"/>
    </row>
    <row r="701" spans="1:44" x14ac:dyDescent="0.35">
      <c r="A701" s="2" t="s">
        <v>195</v>
      </c>
      <c r="B701" s="40" t="str">
        <f>_xlfn.XLOOKUP(PROPERTIES[[#This Row],[VEHIDCODE]],CONTROL[VEHIDCODE],CONTROL[ENGLISH])</f>
        <v>5th Gen Superheavy Flatcar</v>
      </c>
      <c r="J701" s="2" t="b">
        <v>1</v>
      </c>
      <c r="R701" s="2" t="b">
        <v>1</v>
      </c>
      <c r="Z701" s="2" t="b">
        <v>1</v>
      </c>
      <c r="AC701" s="2"/>
      <c r="AD701" s="2" t="b">
        <f>LEN(_xlfn.CONCAT(TRACK_TYPES[[#This Row],[TRACK_TYPE_STANDARD_GAUGE_RAILTYPE_OHLE]:[TRACK_TYPE_MTRO]]))&gt;0</f>
        <v>1</v>
      </c>
      <c r="AE701" s="38" t="b" cm="1">
        <f t="array" ref="AE701">IFERROR(_xlfn.BYROW(TRACK_TYPES[[#This Row],[TRACK_TYPE_STANDARD_GAUGE_RAILTYPE_OHLE]:[TRACK_TYPE_STANDARD_GAUGE_RAILTYPE_NONE]],_xlfn.LAMBDA(_xlpm.r,OR(_xlpm.r))),FALSE)</f>
        <v>1</v>
      </c>
      <c r="AF701" s="38" t="b" cm="1">
        <f t="array" ref="AF701">IFERROR(_xlfn.BYROW(TRACK_TYPES[[#This Row],[TRACK_TYPE_NARROW_GAUGE_RAILTYPE_OHLE]:[TRACK_TYPE_NARROW_GAUGE_RAILTYPE_NONE]],_xlfn.LAMBDA(_xlpm.r,OR(_xlpm.r))),FALSE)</f>
        <v>1</v>
      </c>
      <c r="AG701" s="38" t="b" cm="1">
        <f t="array" ref="AG701">IFERROR(_xlfn.BYROW(TRACK_TYPES[[#This Row],[TRACK_TYPE_BROAD_GAUGE_RAILTYPE_OHLE]:[TRACK_TYPE_BROAD_GAUGE_RAILTYPE_NONE]],_xlfn.LAMBDA(_xlpm.r,OR(_xlpm.r))),FALSE)</f>
        <v>1</v>
      </c>
      <c r="AH7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1"/>
      <c r="AQ701"/>
      <c r="AR701"/>
    </row>
    <row r="702" spans="1:44" x14ac:dyDescent="0.35">
      <c r="A702" s="2" t="s">
        <v>196</v>
      </c>
      <c r="B702" s="40" t="str">
        <f>_xlfn.XLOOKUP(PROPERTIES[[#This Row],[VEHIDCODE]],CONTROL[VEHIDCODE],CONTROL[ENGLISH])</f>
        <v>6th Gen Flatcar</v>
      </c>
      <c r="J702" s="2" t="b">
        <v>1</v>
      </c>
      <c r="R702" s="2" t="b">
        <v>1</v>
      </c>
      <c r="Z702" s="2" t="b">
        <v>1</v>
      </c>
      <c r="AC702" s="2"/>
      <c r="AD702" s="2" t="b">
        <f>LEN(_xlfn.CONCAT(TRACK_TYPES[[#This Row],[TRACK_TYPE_STANDARD_GAUGE_RAILTYPE_OHLE]:[TRACK_TYPE_MTRO]]))&gt;0</f>
        <v>1</v>
      </c>
      <c r="AE702" s="38" t="b" cm="1">
        <f t="array" ref="AE702">IFERROR(_xlfn.BYROW(TRACK_TYPES[[#This Row],[TRACK_TYPE_STANDARD_GAUGE_RAILTYPE_OHLE]:[TRACK_TYPE_STANDARD_GAUGE_RAILTYPE_NONE]],_xlfn.LAMBDA(_xlpm.r,OR(_xlpm.r))),FALSE)</f>
        <v>1</v>
      </c>
      <c r="AF702" s="38" t="b" cm="1">
        <f t="array" ref="AF702">IFERROR(_xlfn.BYROW(TRACK_TYPES[[#This Row],[TRACK_TYPE_NARROW_GAUGE_RAILTYPE_OHLE]:[TRACK_TYPE_NARROW_GAUGE_RAILTYPE_NONE]],_xlfn.LAMBDA(_xlpm.r,OR(_xlpm.r))),FALSE)</f>
        <v>1</v>
      </c>
      <c r="AG702" s="38" t="b" cm="1">
        <f t="array" ref="AG702">IFERROR(_xlfn.BYROW(TRACK_TYPES[[#This Row],[TRACK_TYPE_BROAD_GAUGE_RAILTYPE_OHLE]:[TRACK_TYPE_BROAD_GAUGE_RAILTYPE_NONE]],_xlfn.LAMBDA(_xlpm.r,OR(_xlpm.r))),FALSE)</f>
        <v>1</v>
      </c>
      <c r="AH7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2"/>
      <c r="AQ702"/>
      <c r="AR702"/>
    </row>
    <row r="703" spans="1:44" x14ac:dyDescent="0.35">
      <c r="A703" s="2" t="s">
        <v>197</v>
      </c>
      <c r="B703" s="40" t="str">
        <f>_xlfn.XLOOKUP(PROPERTIES[[#This Row],[VEHIDCODE]],CONTROL[VEHIDCODE],CONTROL[ENGLISH])</f>
        <v>6th Gen Heavy Flatcar</v>
      </c>
      <c r="J703" s="2" t="b">
        <v>1</v>
      </c>
      <c r="R703" s="2" t="b">
        <v>1</v>
      </c>
      <c r="Z703" s="2" t="b">
        <v>1</v>
      </c>
      <c r="AC703" s="2"/>
      <c r="AD703" s="2" t="b">
        <f>LEN(_xlfn.CONCAT(TRACK_TYPES[[#This Row],[TRACK_TYPE_STANDARD_GAUGE_RAILTYPE_OHLE]:[TRACK_TYPE_MTRO]]))&gt;0</f>
        <v>1</v>
      </c>
      <c r="AE703" s="38" t="b" cm="1">
        <f t="array" ref="AE703">IFERROR(_xlfn.BYROW(TRACK_TYPES[[#This Row],[TRACK_TYPE_STANDARD_GAUGE_RAILTYPE_OHLE]:[TRACK_TYPE_STANDARD_GAUGE_RAILTYPE_NONE]],_xlfn.LAMBDA(_xlpm.r,OR(_xlpm.r))),FALSE)</f>
        <v>1</v>
      </c>
      <c r="AF703" s="38" t="b" cm="1">
        <f t="array" ref="AF703">IFERROR(_xlfn.BYROW(TRACK_TYPES[[#This Row],[TRACK_TYPE_NARROW_GAUGE_RAILTYPE_OHLE]:[TRACK_TYPE_NARROW_GAUGE_RAILTYPE_NONE]],_xlfn.LAMBDA(_xlpm.r,OR(_xlpm.r))),FALSE)</f>
        <v>1</v>
      </c>
      <c r="AG703" s="38" t="b" cm="1">
        <f t="array" ref="AG703">IFERROR(_xlfn.BYROW(TRACK_TYPES[[#This Row],[TRACK_TYPE_BROAD_GAUGE_RAILTYPE_OHLE]:[TRACK_TYPE_BROAD_GAUGE_RAILTYPE_NONE]],_xlfn.LAMBDA(_xlpm.r,OR(_xlpm.r))),FALSE)</f>
        <v>1</v>
      </c>
      <c r="AH7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3"/>
      <c r="AQ703"/>
      <c r="AR703"/>
    </row>
    <row r="704" spans="1:44" x14ac:dyDescent="0.35">
      <c r="A704" s="2" t="s">
        <v>198</v>
      </c>
      <c r="B704" s="40" t="str">
        <f>_xlfn.XLOOKUP(PROPERTIES[[#This Row],[VEHIDCODE]],CONTROL[VEHIDCODE],CONTROL[ENGLISH])</f>
        <v>6th Gen Boxcar [Food]</v>
      </c>
      <c r="J704" s="2" t="b">
        <v>1</v>
      </c>
      <c r="R704" s="2" t="b">
        <v>1</v>
      </c>
      <c r="Z704" s="2" t="b">
        <v>1</v>
      </c>
      <c r="AC704" s="2"/>
      <c r="AD704" s="2" t="b">
        <f>LEN(_xlfn.CONCAT(TRACK_TYPES[[#This Row],[TRACK_TYPE_STANDARD_GAUGE_RAILTYPE_OHLE]:[TRACK_TYPE_MTRO]]))&gt;0</f>
        <v>1</v>
      </c>
      <c r="AE704" s="38" t="b" cm="1">
        <f t="array" ref="AE704">IFERROR(_xlfn.BYROW(TRACK_TYPES[[#This Row],[TRACK_TYPE_STANDARD_GAUGE_RAILTYPE_OHLE]:[TRACK_TYPE_STANDARD_GAUGE_RAILTYPE_NONE]],_xlfn.LAMBDA(_xlpm.r,OR(_xlpm.r))),FALSE)</f>
        <v>1</v>
      </c>
      <c r="AF704" s="38" t="b" cm="1">
        <f t="array" ref="AF704">IFERROR(_xlfn.BYROW(TRACK_TYPES[[#This Row],[TRACK_TYPE_NARROW_GAUGE_RAILTYPE_OHLE]:[TRACK_TYPE_NARROW_GAUGE_RAILTYPE_NONE]],_xlfn.LAMBDA(_xlpm.r,OR(_xlpm.r))),FALSE)</f>
        <v>1</v>
      </c>
      <c r="AG704" s="38" t="b" cm="1">
        <f t="array" ref="AG704">IFERROR(_xlfn.BYROW(TRACK_TYPES[[#This Row],[TRACK_TYPE_BROAD_GAUGE_RAILTYPE_OHLE]:[TRACK_TYPE_BROAD_GAUGE_RAILTYPE_NONE]],_xlfn.LAMBDA(_xlpm.r,OR(_xlpm.r))),FALSE)</f>
        <v>1</v>
      </c>
      <c r="AH7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4"/>
      <c r="AQ704"/>
      <c r="AR704"/>
    </row>
    <row r="705" spans="1:44" x14ac:dyDescent="0.35">
      <c r="A705" s="2" t="s">
        <v>199</v>
      </c>
      <c r="B705" s="40" t="str">
        <f>_xlfn.XLOOKUP(PROPERTIES[[#This Row],[VEHIDCODE]],CONTROL[VEHIDCODE],CONTROL[ENGLISH])</f>
        <v>6th Gen Boxcar [Non-Food]</v>
      </c>
      <c r="J705" s="2" t="b">
        <v>1</v>
      </c>
      <c r="R705" s="2" t="b">
        <v>1</v>
      </c>
      <c r="Z705" s="2" t="b">
        <v>1</v>
      </c>
      <c r="AC705" s="2"/>
      <c r="AD705" s="2" t="b">
        <f>LEN(_xlfn.CONCAT(TRACK_TYPES[[#This Row],[TRACK_TYPE_STANDARD_GAUGE_RAILTYPE_OHLE]:[TRACK_TYPE_MTRO]]))&gt;0</f>
        <v>1</v>
      </c>
      <c r="AE705" s="38" t="b" cm="1">
        <f t="array" ref="AE705">IFERROR(_xlfn.BYROW(TRACK_TYPES[[#This Row],[TRACK_TYPE_STANDARD_GAUGE_RAILTYPE_OHLE]:[TRACK_TYPE_STANDARD_GAUGE_RAILTYPE_NONE]],_xlfn.LAMBDA(_xlpm.r,OR(_xlpm.r))),FALSE)</f>
        <v>1</v>
      </c>
      <c r="AF705" s="38" t="b" cm="1">
        <f t="array" ref="AF705">IFERROR(_xlfn.BYROW(TRACK_TYPES[[#This Row],[TRACK_TYPE_NARROW_GAUGE_RAILTYPE_OHLE]:[TRACK_TYPE_NARROW_GAUGE_RAILTYPE_NONE]],_xlfn.LAMBDA(_xlpm.r,OR(_xlpm.r))),FALSE)</f>
        <v>1</v>
      </c>
      <c r="AG705" s="38" t="b" cm="1">
        <f t="array" ref="AG705">IFERROR(_xlfn.BYROW(TRACK_TYPES[[#This Row],[TRACK_TYPE_BROAD_GAUGE_RAILTYPE_OHLE]:[TRACK_TYPE_BROAD_GAUGE_RAILTYPE_NONE]],_xlfn.LAMBDA(_xlpm.r,OR(_xlpm.r))),FALSE)</f>
        <v>1</v>
      </c>
      <c r="AH7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5"/>
      <c r="AQ705"/>
      <c r="AR705"/>
    </row>
    <row r="706" spans="1:44" x14ac:dyDescent="0.35">
      <c r="A706" s="2" t="s">
        <v>200</v>
      </c>
      <c r="B706" s="40" t="str">
        <f>_xlfn.XLOOKUP(PROPERTIES[[#This Row],[VEHIDCODE]],CONTROL[VEHIDCODE],CONTROL[ENGLISH])</f>
        <v>6th Gen Tanker</v>
      </c>
      <c r="J706" s="2" t="b">
        <v>1</v>
      </c>
      <c r="R706" s="2" t="b">
        <v>1</v>
      </c>
      <c r="Z706" s="2" t="b">
        <v>1</v>
      </c>
      <c r="AC706" s="2"/>
      <c r="AD706" s="2" t="b">
        <f>LEN(_xlfn.CONCAT(TRACK_TYPES[[#This Row],[TRACK_TYPE_STANDARD_GAUGE_RAILTYPE_OHLE]:[TRACK_TYPE_MTRO]]))&gt;0</f>
        <v>1</v>
      </c>
      <c r="AE706" s="38" t="b" cm="1">
        <f t="array" ref="AE706">IFERROR(_xlfn.BYROW(TRACK_TYPES[[#This Row],[TRACK_TYPE_STANDARD_GAUGE_RAILTYPE_OHLE]:[TRACK_TYPE_STANDARD_GAUGE_RAILTYPE_NONE]],_xlfn.LAMBDA(_xlpm.r,OR(_xlpm.r))),FALSE)</f>
        <v>1</v>
      </c>
      <c r="AF706" s="38" t="b" cm="1">
        <f t="array" ref="AF706">IFERROR(_xlfn.BYROW(TRACK_TYPES[[#This Row],[TRACK_TYPE_NARROW_GAUGE_RAILTYPE_OHLE]:[TRACK_TYPE_NARROW_GAUGE_RAILTYPE_NONE]],_xlfn.LAMBDA(_xlpm.r,OR(_xlpm.r))),FALSE)</f>
        <v>1</v>
      </c>
      <c r="AG706" s="38" t="b" cm="1">
        <f t="array" ref="AG706">IFERROR(_xlfn.BYROW(TRACK_TYPES[[#This Row],[TRACK_TYPE_BROAD_GAUGE_RAILTYPE_OHLE]:[TRACK_TYPE_BROAD_GAUGE_RAILTYPE_NONE]],_xlfn.LAMBDA(_xlpm.r,OR(_xlpm.r))),FALSE)</f>
        <v>1</v>
      </c>
      <c r="AH7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6"/>
      <c r="AQ706"/>
      <c r="AR706"/>
    </row>
    <row r="707" spans="1:44" x14ac:dyDescent="0.35">
      <c r="A707" s="2" t="s">
        <v>201</v>
      </c>
      <c r="B707" s="40" t="str">
        <f>_xlfn.XLOOKUP(PROPERTIES[[#This Row],[VEHIDCODE]],CONTROL[VEHIDCODE],CONTROL[ENGLISH])</f>
        <v>6th Gen Gondola</v>
      </c>
      <c r="J707" s="2" t="b">
        <v>1</v>
      </c>
      <c r="R707" s="2" t="b">
        <v>1</v>
      </c>
      <c r="Z707" s="2" t="b">
        <v>1</v>
      </c>
      <c r="AC707" s="2"/>
      <c r="AD707" s="2" t="b">
        <f>LEN(_xlfn.CONCAT(TRACK_TYPES[[#This Row],[TRACK_TYPE_STANDARD_GAUGE_RAILTYPE_OHLE]:[TRACK_TYPE_MTRO]]))&gt;0</f>
        <v>1</v>
      </c>
      <c r="AE707" s="38" t="b" cm="1">
        <f t="array" ref="AE707">IFERROR(_xlfn.BYROW(TRACK_TYPES[[#This Row],[TRACK_TYPE_STANDARD_GAUGE_RAILTYPE_OHLE]:[TRACK_TYPE_STANDARD_GAUGE_RAILTYPE_NONE]],_xlfn.LAMBDA(_xlpm.r,OR(_xlpm.r))),FALSE)</f>
        <v>1</v>
      </c>
      <c r="AF707" s="38" t="b" cm="1">
        <f t="array" ref="AF707">IFERROR(_xlfn.BYROW(TRACK_TYPES[[#This Row],[TRACK_TYPE_NARROW_GAUGE_RAILTYPE_OHLE]:[TRACK_TYPE_NARROW_GAUGE_RAILTYPE_NONE]],_xlfn.LAMBDA(_xlpm.r,OR(_xlpm.r))),FALSE)</f>
        <v>1</v>
      </c>
      <c r="AG707" s="38" t="b" cm="1">
        <f t="array" ref="AG707">IFERROR(_xlfn.BYROW(TRACK_TYPES[[#This Row],[TRACK_TYPE_BROAD_GAUGE_RAILTYPE_OHLE]:[TRACK_TYPE_BROAD_GAUGE_RAILTYPE_NONE]],_xlfn.LAMBDA(_xlpm.r,OR(_xlpm.r))),FALSE)</f>
        <v>1</v>
      </c>
      <c r="AH7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7"/>
      <c r="AQ707"/>
      <c r="AR707"/>
    </row>
    <row r="708" spans="1:44" x14ac:dyDescent="0.35">
      <c r="A708" s="2" t="s">
        <v>202</v>
      </c>
      <c r="B708" s="40" t="str">
        <f>_xlfn.XLOOKUP(PROPERTIES[[#This Row],[VEHIDCODE]],CONTROL[VEHIDCODE],CONTROL[ENGLISH])</f>
        <v>6th Gen Silo [Food]</v>
      </c>
      <c r="J708" s="2" t="b">
        <v>1</v>
      </c>
      <c r="R708" s="2" t="b">
        <v>1</v>
      </c>
      <c r="Z708" s="2" t="b">
        <v>1</v>
      </c>
      <c r="AC708" s="2"/>
      <c r="AD708" s="2" t="b">
        <f>LEN(_xlfn.CONCAT(TRACK_TYPES[[#This Row],[TRACK_TYPE_STANDARD_GAUGE_RAILTYPE_OHLE]:[TRACK_TYPE_MTRO]]))&gt;0</f>
        <v>1</v>
      </c>
      <c r="AE708" s="38" t="b" cm="1">
        <f t="array" ref="AE708">IFERROR(_xlfn.BYROW(TRACK_TYPES[[#This Row],[TRACK_TYPE_STANDARD_GAUGE_RAILTYPE_OHLE]:[TRACK_TYPE_STANDARD_GAUGE_RAILTYPE_NONE]],_xlfn.LAMBDA(_xlpm.r,OR(_xlpm.r))),FALSE)</f>
        <v>1</v>
      </c>
      <c r="AF708" s="38" t="b" cm="1">
        <f t="array" ref="AF708">IFERROR(_xlfn.BYROW(TRACK_TYPES[[#This Row],[TRACK_TYPE_NARROW_GAUGE_RAILTYPE_OHLE]:[TRACK_TYPE_NARROW_GAUGE_RAILTYPE_NONE]],_xlfn.LAMBDA(_xlpm.r,OR(_xlpm.r))),FALSE)</f>
        <v>1</v>
      </c>
      <c r="AG708" s="38" t="b" cm="1">
        <f t="array" ref="AG708">IFERROR(_xlfn.BYROW(TRACK_TYPES[[#This Row],[TRACK_TYPE_BROAD_GAUGE_RAILTYPE_OHLE]:[TRACK_TYPE_BROAD_GAUGE_RAILTYPE_NONE]],_xlfn.LAMBDA(_xlpm.r,OR(_xlpm.r))),FALSE)</f>
        <v>1</v>
      </c>
      <c r="AH7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8"/>
      <c r="AQ708"/>
      <c r="AR708"/>
    </row>
    <row r="709" spans="1:44" x14ac:dyDescent="0.35">
      <c r="A709" s="2" t="s">
        <v>203</v>
      </c>
      <c r="B709" s="40" t="str">
        <f>_xlfn.XLOOKUP(PROPERTIES[[#This Row],[VEHIDCODE]],CONTROL[VEHIDCODE],CONTROL[ENGLISH])</f>
        <v>6th Gen Silo [Non-Food]</v>
      </c>
      <c r="J709" s="2" t="b">
        <v>1</v>
      </c>
      <c r="R709" s="2" t="b">
        <v>1</v>
      </c>
      <c r="Z709" s="2" t="b">
        <v>1</v>
      </c>
      <c r="AC709" s="2"/>
      <c r="AD709" s="2" t="b">
        <f>LEN(_xlfn.CONCAT(TRACK_TYPES[[#This Row],[TRACK_TYPE_STANDARD_GAUGE_RAILTYPE_OHLE]:[TRACK_TYPE_MTRO]]))&gt;0</f>
        <v>1</v>
      </c>
      <c r="AE709" s="38" t="b" cm="1">
        <f t="array" ref="AE709">IFERROR(_xlfn.BYROW(TRACK_TYPES[[#This Row],[TRACK_TYPE_STANDARD_GAUGE_RAILTYPE_OHLE]:[TRACK_TYPE_STANDARD_GAUGE_RAILTYPE_NONE]],_xlfn.LAMBDA(_xlpm.r,OR(_xlpm.r))),FALSE)</f>
        <v>1</v>
      </c>
      <c r="AF709" s="38" t="b" cm="1">
        <f t="array" ref="AF709">IFERROR(_xlfn.BYROW(TRACK_TYPES[[#This Row],[TRACK_TYPE_NARROW_GAUGE_RAILTYPE_OHLE]:[TRACK_TYPE_NARROW_GAUGE_RAILTYPE_NONE]],_xlfn.LAMBDA(_xlpm.r,OR(_xlpm.r))),FALSE)</f>
        <v>1</v>
      </c>
      <c r="AG709" s="38" t="b" cm="1">
        <f t="array" ref="AG709">IFERROR(_xlfn.BYROW(TRACK_TYPES[[#This Row],[TRACK_TYPE_BROAD_GAUGE_RAILTYPE_OHLE]:[TRACK_TYPE_BROAD_GAUGE_RAILTYPE_NONE]],_xlfn.LAMBDA(_xlpm.r,OR(_xlpm.r))),FALSE)</f>
        <v>1</v>
      </c>
      <c r="AH7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9"/>
      <c r="AQ709"/>
      <c r="AR709"/>
    </row>
    <row r="710" spans="1:44" x14ac:dyDescent="0.35">
      <c r="A710" s="2" t="s">
        <v>204</v>
      </c>
      <c r="B710" s="40" t="str">
        <f>_xlfn.XLOOKUP(PROPERTIES[[#This Row],[VEHIDCODE]],CONTROL[VEHIDCODE],CONTROL[ENGLISH])</f>
        <v>6th Gen Self-discharging Hopper [Food]</v>
      </c>
      <c r="J710" s="2" t="b">
        <v>1</v>
      </c>
      <c r="R710" s="2" t="b">
        <v>1</v>
      </c>
      <c r="Z710" s="2" t="b">
        <v>1</v>
      </c>
      <c r="AC710" s="2"/>
      <c r="AD710" s="2" t="b">
        <f>LEN(_xlfn.CONCAT(TRACK_TYPES[[#This Row],[TRACK_TYPE_STANDARD_GAUGE_RAILTYPE_OHLE]:[TRACK_TYPE_MTRO]]))&gt;0</f>
        <v>1</v>
      </c>
      <c r="AE710" s="38" t="b" cm="1">
        <f t="array" ref="AE710">IFERROR(_xlfn.BYROW(TRACK_TYPES[[#This Row],[TRACK_TYPE_STANDARD_GAUGE_RAILTYPE_OHLE]:[TRACK_TYPE_STANDARD_GAUGE_RAILTYPE_NONE]],_xlfn.LAMBDA(_xlpm.r,OR(_xlpm.r))),FALSE)</f>
        <v>1</v>
      </c>
      <c r="AF710" s="38" t="b" cm="1">
        <f t="array" ref="AF710">IFERROR(_xlfn.BYROW(TRACK_TYPES[[#This Row],[TRACK_TYPE_NARROW_GAUGE_RAILTYPE_OHLE]:[TRACK_TYPE_NARROW_GAUGE_RAILTYPE_NONE]],_xlfn.LAMBDA(_xlpm.r,OR(_xlpm.r))),FALSE)</f>
        <v>1</v>
      </c>
      <c r="AG710" s="38" t="b" cm="1">
        <f t="array" ref="AG710">IFERROR(_xlfn.BYROW(TRACK_TYPES[[#This Row],[TRACK_TYPE_BROAD_GAUGE_RAILTYPE_OHLE]:[TRACK_TYPE_BROAD_GAUGE_RAILTYPE_NONE]],_xlfn.LAMBDA(_xlpm.r,OR(_xlpm.r))),FALSE)</f>
        <v>1</v>
      </c>
      <c r="AH7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0"/>
      <c r="AQ710"/>
      <c r="AR710"/>
    </row>
    <row r="711" spans="1:44" x14ac:dyDescent="0.35">
      <c r="A711" s="2" t="s">
        <v>205</v>
      </c>
      <c r="B711" s="40" t="str">
        <f>_xlfn.XLOOKUP(PROPERTIES[[#This Row],[VEHIDCODE]],CONTROL[VEHIDCODE],CONTROL[ENGLISH])</f>
        <v>6th Gen Self-discharging Hopper [Non-Food]</v>
      </c>
      <c r="J711" s="2" t="b">
        <v>1</v>
      </c>
      <c r="R711" s="2" t="b">
        <v>1</v>
      </c>
      <c r="Z711" s="2" t="b">
        <v>1</v>
      </c>
      <c r="AC711" s="2"/>
      <c r="AD711" s="2" t="b">
        <f>LEN(_xlfn.CONCAT(TRACK_TYPES[[#This Row],[TRACK_TYPE_STANDARD_GAUGE_RAILTYPE_OHLE]:[TRACK_TYPE_MTRO]]))&gt;0</f>
        <v>1</v>
      </c>
      <c r="AE711" s="38" t="b" cm="1">
        <f t="array" ref="AE711">IFERROR(_xlfn.BYROW(TRACK_TYPES[[#This Row],[TRACK_TYPE_STANDARD_GAUGE_RAILTYPE_OHLE]:[TRACK_TYPE_STANDARD_GAUGE_RAILTYPE_NONE]],_xlfn.LAMBDA(_xlpm.r,OR(_xlpm.r))),FALSE)</f>
        <v>1</v>
      </c>
      <c r="AF711" s="38" t="b" cm="1">
        <f t="array" ref="AF711">IFERROR(_xlfn.BYROW(TRACK_TYPES[[#This Row],[TRACK_TYPE_NARROW_GAUGE_RAILTYPE_OHLE]:[TRACK_TYPE_NARROW_GAUGE_RAILTYPE_NONE]],_xlfn.LAMBDA(_xlpm.r,OR(_xlpm.r))),FALSE)</f>
        <v>1</v>
      </c>
      <c r="AG711" s="38" t="b" cm="1">
        <f t="array" ref="AG711">IFERROR(_xlfn.BYROW(TRACK_TYPES[[#This Row],[TRACK_TYPE_BROAD_GAUGE_RAILTYPE_OHLE]:[TRACK_TYPE_BROAD_GAUGE_RAILTYPE_NONE]],_xlfn.LAMBDA(_xlpm.r,OR(_xlpm.r))),FALSE)</f>
        <v>1</v>
      </c>
      <c r="AH7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1"/>
      <c r="AQ711"/>
      <c r="AR711"/>
    </row>
    <row r="712" spans="1:44" x14ac:dyDescent="0.35">
      <c r="A712" s="2" t="s">
        <v>206</v>
      </c>
      <c r="B712" s="40" t="str">
        <f>_xlfn.XLOOKUP(PROPERTIES[[#This Row],[VEHIDCODE]],CONTROL[VEHIDCODE],CONTROL[ENGLISH])</f>
        <v>6th Gen Car Transporter</v>
      </c>
      <c r="J712" s="2" t="b">
        <v>1</v>
      </c>
      <c r="R712" s="2" t="b">
        <v>1</v>
      </c>
      <c r="Z712" s="2" t="b">
        <v>1</v>
      </c>
      <c r="AC712" s="2"/>
      <c r="AD712" s="2" t="b">
        <f>LEN(_xlfn.CONCAT(TRACK_TYPES[[#This Row],[TRACK_TYPE_STANDARD_GAUGE_RAILTYPE_OHLE]:[TRACK_TYPE_MTRO]]))&gt;0</f>
        <v>1</v>
      </c>
      <c r="AE712" s="38" t="b" cm="1">
        <f t="array" ref="AE712">IFERROR(_xlfn.BYROW(TRACK_TYPES[[#This Row],[TRACK_TYPE_STANDARD_GAUGE_RAILTYPE_OHLE]:[TRACK_TYPE_STANDARD_GAUGE_RAILTYPE_NONE]],_xlfn.LAMBDA(_xlpm.r,OR(_xlpm.r))),FALSE)</f>
        <v>1</v>
      </c>
      <c r="AF712" s="38" t="b" cm="1">
        <f t="array" ref="AF712">IFERROR(_xlfn.BYROW(TRACK_TYPES[[#This Row],[TRACK_TYPE_NARROW_GAUGE_RAILTYPE_OHLE]:[TRACK_TYPE_NARROW_GAUGE_RAILTYPE_NONE]],_xlfn.LAMBDA(_xlpm.r,OR(_xlpm.r))),FALSE)</f>
        <v>1</v>
      </c>
      <c r="AG712" s="38" t="b" cm="1">
        <f t="array" ref="AG712">IFERROR(_xlfn.BYROW(TRACK_TYPES[[#This Row],[TRACK_TYPE_BROAD_GAUGE_RAILTYPE_OHLE]:[TRACK_TYPE_BROAD_GAUGE_RAILTYPE_NONE]],_xlfn.LAMBDA(_xlpm.r,OR(_xlpm.r))),FALSE)</f>
        <v>1</v>
      </c>
      <c r="AH7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2"/>
      <c r="AQ712"/>
      <c r="AR712"/>
    </row>
    <row r="713" spans="1:44" x14ac:dyDescent="0.35">
      <c r="A713" s="2" t="s">
        <v>207</v>
      </c>
      <c r="B713" s="40" t="str">
        <f>_xlfn.XLOOKUP(PROPERTIES[[#This Row],[VEHIDCODE]],CONTROL[VEHIDCODE],CONTROL[ENGLISH])</f>
        <v>6th Gen Container Carrier</v>
      </c>
      <c r="J713" s="2" t="b">
        <v>1</v>
      </c>
      <c r="R713" s="2" t="b">
        <v>1</v>
      </c>
      <c r="Z713" s="2" t="b">
        <v>1</v>
      </c>
      <c r="AC713" s="2"/>
      <c r="AD713" s="2" t="b">
        <f>LEN(_xlfn.CONCAT(TRACK_TYPES[[#This Row],[TRACK_TYPE_STANDARD_GAUGE_RAILTYPE_OHLE]:[TRACK_TYPE_MTRO]]))&gt;0</f>
        <v>1</v>
      </c>
      <c r="AE713" s="38" t="b" cm="1">
        <f t="array" ref="AE713">IFERROR(_xlfn.BYROW(TRACK_TYPES[[#This Row],[TRACK_TYPE_STANDARD_GAUGE_RAILTYPE_OHLE]:[TRACK_TYPE_STANDARD_GAUGE_RAILTYPE_NONE]],_xlfn.LAMBDA(_xlpm.r,OR(_xlpm.r))),FALSE)</f>
        <v>1</v>
      </c>
      <c r="AF713" s="38" t="b" cm="1">
        <f t="array" ref="AF713">IFERROR(_xlfn.BYROW(TRACK_TYPES[[#This Row],[TRACK_TYPE_NARROW_GAUGE_RAILTYPE_OHLE]:[TRACK_TYPE_NARROW_GAUGE_RAILTYPE_NONE]],_xlfn.LAMBDA(_xlpm.r,OR(_xlpm.r))),FALSE)</f>
        <v>1</v>
      </c>
      <c r="AG713" s="38" t="b" cm="1">
        <f t="array" ref="AG713">IFERROR(_xlfn.BYROW(TRACK_TYPES[[#This Row],[TRACK_TYPE_BROAD_GAUGE_RAILTYPE_OHLE]:[TRACK_TYPE_BROAD_GAUGE_RAILTYPE_NONE]],_xlfn.LAMBDA(_xlpm.r,OR(_xlpm.r))),FALSE)</f>
        <v>1</v>
      </c>
      <c r="AH7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3"/>
      <c r="AQ713"/>
      <c r="AR713"/>
    </row>
    <row r="714" spans="1:44" x14ac:dyDescent="0.35">
      <c r="A714" s="2" t="s">
        <v>208</v>
      </c>
      <c r="B714" s="40" t="str">
        <f>_xlfn.XLOOKUP(PROPERTIES[[#This Row],[VEHIDCODE]],CONTROL[VEHIDCODE],CONTROL[ENGLISH])</f>
        <v>6th Gen Centerbeam Flatcar</v>
      </c>
      <c r="J714" s="2" t="b">
        <v>1</v>
      </c>
      <c r="R714" s="2" t="b">
        <v>1</v>
      </c>
      <c r="Z714" s="2" t="b">
        <v>1</v>
      </c>
      <c r="AC714" s="2"/>
      <c r="AD714" s="2" t="b">
        <f>LEN(_xlfn.CONCAT(TRACK_TYPES[[#This Row],[TRACK_TYPE_STANDARD_GAUGE_RAILTYPE_OHLE]:[TRACK_TYPE_MTRO]]))&gt;0</f>
        <v>1</v>
      </c>
      <c r="AE714" s="38" t="b" cm="1">
        <f t="array" ref="AE714">IFERROR(_xlfn.BYROW(TRACK_TYPES[[#This Row],[TRACK_TYPE_STANDARD_GAUGE_RAILTYPE_OHLE]:[TRACK_TYPE_STANDARD_GAUGE_RAILTYPE_NONE]],_xlfn.LAMBDA(_xlpm.r,OR(_xlpm.r))),FALSE)</f>
        <v>1</v>
      </c>
      <c r="AF714" s="38" t="b" cm="1">
        <f t="array" ref="AF714">IFERROR(_xlfn.BYROW(TRACK_TYPES[[#This Row],[TRACK_TYPE_NARROW_GAUGE_RAILTYPE_OHLE]:[TRACK_TYPE_NARROW_GAUGE_RAILTYPE_NONE]],_xlfn.LAMBDA(_xlpm.r,OR(_xlpm.r))),FALSE)</f>
        <v>1</v>
      </c>
      <c r="AG714" s="38" t="b" cm="1">
        <f t="array" ref="AG714">IFERROR(_xlfn.BYROW(TRACK_TYPES[[#This Row],[TRACK_TYPE_BROAD_GAUGE_RAILTYPE_OHLE]:[TRACK_TYPE_BROAD_GAUGE_RAILTYPE_NONE]],_xlfn.LAMBDA(_xlpm.r,OR(_xlpm.r))),FALSE)</f>
        <v>1</v>
      </c>
      <c r="AH7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4"/>
      <c r="AQ714"/>
      <c r="AR714"/>
    </row>
    <row r="715" spans="1:44" x14ac:dyDescent="0.35">
      <c r="A715" s="2" t="s">
        <v>209</v>
      </c>
      <c r="B715" s="40" t="str">
        <f>_xlfn.XLOOKUP(PROPERTIES[[#This Row],[VEHIDCODE]],CONTROL[VEHIDCODE],CONTROL[ENGLISH])</f>
        <v>6th Gen Container Doublestack</v>
      </c>
      <c r="J715" s="2" t="b">
        <v>1</v>
      </c>
      <c r="R715" s="2" t="b">
        <v>1</v>
      </c>
      <c r="Z715" s="2" t="b">
        <v>1</v>
      </c>
      <c r="AC715" s="2"/>
      <c r="AD715" s="2" t="b">
        <f>LEN(_xlfn.CONCAT(TRACK_TYPES[[#This Row],[TRACK_TYPE_STANDARD_GAUGE_RAILTYPE_OHLE]:[TRACK_TYPE_MTRO]]))&gt;0</f>
        <v>1</v>
      </c>
      <c r="AE715" s="38" t="b" cm="1">
        <f t="array" ref="AE715">IFERROR(_xlfn.BYROW(TRACK_TYPES[[#This Row],[TRACK_TYPE_STANDARD_GAUGE_RAILTYPE_OHLE]:[TRACK_TYPE_STANDARD_GAUGE_RAILTYPE_NONE]],_xlfn.LAMBDA(_xlpm.r,OR(_xlpm.r))),FALSE)</f>
        <v>1</v>
      </c>
      <c r="AF715" s="38" t="b" cm="1">
        <f t="array" ref="AF715">IFERROR(_xlfn.BYROW(TRACK_TYPES[[#This Row],[TRACK_TYPE_NARROW_GAUGE_RAILTYPE_OHLE]:[TRACK_TYPE_NARROW_GAUGE_RAILTYPE_NONE]],_xlfn.LAMBDA(_xlpm.r,OR(_xlpm.r))),FALSE)</f>
        <v>1</v>
      </c>
      <c r="AG715" s="38" t="b" cm="1">
        <f t="array" ref="AG715">IFERROR(_xlfn.BYROW(TRACK_TYPES[[#This Row],[TRACK_TYPE_BROAD_GAUGE_RAILTYPE_OHLE]:[TRACK_TYPE_BROAD_GAUGE_RAILTYPE_NONE]],_xlfn.LAMBDA(_xlpm.r,OR(_xlpm.r))),FALSE)</f>
        <v>1</v>
      </c>
      <c r="AH7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5"/>
      <c r="AQ715"/>
      <c r="AR715"/>
    </row>
    <row r="716" spans="1:44" x14ac:dyDescent="0.35">
      <c r="A716" s="2" t="s">
        <v>210</v>
      </c>
      <c r="B716" s="40" t="str">
        <f>_xlfn.XLOOKUP(PROPERTIES[[#This Row],[VEHIDCODE]],CONTROL[VEHIDCODE],CONTROL[ENGLISH])</f>
        <v>6th Gen Superheavy Flatcar</v>
      </c>
      <c r="J716" s="2" t="b">
        <v>1</v>
      </c>
      <c r="R716" s="2" t="b">
        <v>1</v>
      </c>
      <c r="Z716" s="2" t="b">
        <v>1</v>
      </c>
      <c r="AC716" s="2"/>
      <c r="AD716" s="2" t="b">
        <f>LEN(_xlfn.CONCAT(TRACK_TYPES[[#This Row],[TRACK_TYPE_STANDARD_GAUGE_RAILTYPE_OHLE]:[TRACK_TYPE_MTRO]]))&gt;0</f>
        <v>1</v>
      </c>
      <c r="AE716" s="38" t="b" cm="1">
        <f t="array" ref="AE716">IFERROR(_xlfn.BYROW(TRACK_TYPES[[#This Row],[TRACK_TYPE_STANDARD_GAUGE_RAILTYPE_OHLE]:[TRACK_TYPE_STANDARD_GAUGE_RAILTYPE_NONE]],_xlfn.LAMBDA(_xlpm.r,OR(_xlpm.r))),FALSE)</f>
        <v>1</v>
      </c>
      <c r="AF716" s="38" t="b" cm="1">
        <f t="array" ref="AF716">IFERROR(_xlfn.BYROW(TRACK_TYPES[[#This Row],[TRACK_TYPE_NARROW_GAUGE_RAILTYPE_OHLE]:[TRACK_TYPE_NARROW_GAUGE_RAILTYPE_NONE]],_xlfn.LAMBDA(_xlpm.r,OR(_xlpm.r))),FALSE)</f>
        <v>1</v>
      </c>
      <c r="AG716" s="38" t="b" cm="1">
        <f t="array" ref="AG716">IFERROR(_xlfn.BYROW(TRACK_TYPES[[#This Row],[TRACK_TYPE_BROAD_GAUGE_RAILTYPE_OHLE]:[TRACK_TYPE_BROAD_GAUGE_RAILTYPE_NONE]],_xlfn.LAMBDA(_xlpm.r,OR(_xlpm.r))),FALSE)</f>
        <v>1</v>
      </c>
      <c r="AH7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6"/>
      <c r="AQ716"/>
      <c r="AR716"/>
    </row>
    <row r="717" spans="1:44" x14ac:dyDescent="0.35">
      <c r="A717" s="2" t="s">
        <v>225</v>
      </c>
      <c r="B717" s="40" t="str">
        <f>_xlfn.XLOOKUP(PROPERTIES[[#This Row],[VEHIDCODE]],CONTROL[VEHIDCODE],CONTROL[ENGLISH])</f>
        <v>Service Car [European Style]</v>
      </c>
      <c r="J717" s="2" t="b">
        <v>1</v>
      </c>
      <c r="R717" s="2" t="b">
        <v>1</v>
      </c>
      <c r="Z717" s="2" t="b">
        <v>1</v>
      </c>
      <c r="AC717" s="2"/>
      <c r="AD717" s="2" t="b">
        <f>LEN(_xlfn.CONCAT(TRACK_TYPES[[#This Row],[TRACK_TYPE_STANDARD_GAUGE_RAILTYPE_OHLE]:[TRACK_TYPE_MTRO]]))&gt;0</f>
        <v>1</v>
      </c>
      <c r="AE717" s="38" t="b" cm="1">
        <f t="array" ref="AE717">IFERROR(_xlfn.BYROW(TRACK_TYPES[[#This Row],[TRACK_TYPE_STANDARD_GAUGE_RAILTYPE_OHLE]:[TRACK_TYPE_STANDARD_GAUGE_RAILTYPE_NONE]],_xlfn.LAMBDA(_xlpm.r,OR(_xlpm.r))),FALSE)</f>
        <v>1</v>
      </c>
      <c r="AF717" s="38" t="b" cm="1">
        <f t="array" ref="AF717">IFERROR(_xlfn.BYROW(TRACK_TYPES[[#This Row],[TRACK_TYPE_NARROW_GAUGE_RAILTYPE_OHLE]:[TRACK_TYPE_NARROW_GAUGE_RAILTYPE_NONE]],_xlfn.LAMBDA(_xlpm.r,OR(_xlpm.r))),FALSE)</f>
        <v>1</v>
      </c>
      <c r="AG717" s="38" t="b" cm="1">
        <f t="array" ref="AG717">IFERROR(_xlfn.BYROW(TRACK_TYPES[[#This Row],[TRACK_TYPE_BROAD_GAUGE_RAILTYPE_OHLE]:[TRACK_TYPE_BROAD_GAUGE_RAILTYPE_NONE]],_xlfn.LAMBDA(_xlpm.r,OR(_xlpm.r))),FALSE)</f>
        <v>1</v>
      </c>
      <c r="AH7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7"/>
      <c r="AQ717"/>
      <c r="AR717"/>
    </row>
    <row r="718" spans="1:44" x14ac:dyDescent="0.35">
      <c r="A718" s="2" t="s">
        <v>226</v>
      </c>
      <c r="B718" s="40" t="str">
        <f>_xlfn.XLOOKUP(PROPERTIES[[#This Row],[VEHIDCODE]],CONTROL[VEHIDCODE],CONTROL[ENGLISH])</f>
        <v>Service Car [American Style]</v>
      </c>
      <c r="J718" s="2" t="b">
        <v>1</v>
      </c>
      <c r="R718" s="2" t="b">
        <v>1</v>
      </c>
      <c r="Z718" s="2" t="b">
        <v>1</v>
      </c>
      <c r="AC718" s="2"/>
      <c r="AD718" s="2" t="b">
        <f>LEN(_xlfn.CONCAT(TRACK_TYPES[[#This Row],[TRACK_TYPE_STANDARD_GAUGE_RAILTYPE_OHLE]:[TRACK_TYPE_MTRO]]))&gt;0</f>
        <v>1</v>
      </c>
      <c r="AE718" s="38" t="b" cm="1">
        <f t="array" ref="AE718">IFERROR(_xlfn.BYROW(TRACK_TYPES[[#This Row],[TRACK_TYPE_STANDARD_GAUGE_RAILTYPE_OHLE]:[TRACK_TYPE_STANDARD_GAUGE_RAILTYPE_NONE]],_xlfn.LAMBDA(_xlpm.r,OR(_xlpm.r))),FALSE)</f>
        <v>1</v>
      </c>
      <c r="AF718" s="38" t="b" cm="1">
        <f t="array" ref="AF718">IFERROR(_xlfn.BYROW(TRACK_TYPES[[#This Row],[TRACK_TYPE_NARROW_GAUGE_RAILTYPE_OHLE]:[TRACK_TYPE_NARROW_GAUGE_RAILTYPE_NONE]],_xlfn.LAMBDA(_xlpm.r,OR(_xlpm.r))),FALSE)</f>
        <v>1</v>
      </c>
      <c r="AG718" s="38" t="b" cm="1">
        <f t="array" ref="AG718">IFERROR(_xlfn.BYROW(TRACK_TYPES[[#This Row],[TRACK_TYPE_BROAD_GAUGE_RAILTYPE_OHLE]:[TRACK_TYPE_BROAD_GAUGE_RAILTYPE_NONE]],_xlfn.LAMBDA(_xlpm.r,OR(_xlpm.r))),FALSE)</f>
        <v>1</v>
      </c>
      <c r="AH7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8"/>
      <c r="AQ718"/>
      <c r="AR718"/>
    </row>
    <row r="719" spans="1:44" x14ac:dyDescent="0.35">
      <c r="A719" s="2" t="s">
        <v>83</v>
      </c>
      <c r="B719" s="40" t="str">
        <f>_xlfn.XLOOKUP(PROPERTIES[[#This Row],[VEHIDCODE]],CONTROL[VEHIDCODE],CONTROL[ENGLISH])</f>
        <v>Wooden 2-axle Compartment Coach</v>
      </c>
      <c r="J719" s="2" t="b">
        <v>1</v>
      </c>
      <c r="R719" s="2" t="b">
        <v>1</v>
      </c>
      <c r="Z719" s="2" t="b">
        <v>1</v>
      </c>
      <c r="AC719" s="2"/>
      <c r="AD719" s="2" t="b">
        <f>LEN(_xlfn.CONCAT(TRACK_TYPES[[#This Row],[TRACK_TYPE_STANDARD_GAUGE_RAILTYPE_OHLE]:[TRACK_TYPE_MTRO]]))&gt;0</f>
        <v>1</v>
      </c>
      <c r="AE719" s="38" t="b" cm="1">
        <f t="array" ref="AE719">IFERROR(_xlfn.BYROW(TRACK_TYPES[[#This Row],[TRACK_TYPE_STANDARD_GAUGE_RAILTYPE_OHLE]:[TRACK_TYPE_STANDARD_GAUGE_RAILTYPE_NONE]],_xlfn.LAMBDA(_xlpm.r,OR(_xlpm.r))),FALSE)</f>
        <v>1</v>
      </c>
      <c r="AF719" s="38" t="b" cm="1">
        <f t="array" ref="AF719">IFERROR(_xlfn.BYROW(TRACK_TYPES[[#This Row],[TRACK_TYPE_NARROW_GAUGE_RAILTYPE_OHLE]:[TRACK_TYPE_NARROW_GAUGE_RAILTYPE_NONE]],_xlfn.LAMBDA(_xlpm.r,OR(_xlpm.r))),FALSE)</f>
        <v>1</v>
      </c>
      <c r="AG719" s="38" t="b" cm="1">
        <f t="array" ref="AG719">IFERROR(_xlfn.BYROW(TRACK_TYPES[[#This Row],[TRACK_TYPE_BROAD_GAUGE_RAILTYPE_OHLE]:[TRACK_TYPE_BROAD_GAUGE_RAILTYPE_NONE]],_xlfn.LAMBDA(_xlpm.r,OR(_xlpm.r))),FALSE)</f>
        <v>1</v>
      </c>
      <c r="AH7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9"/>
      <c r="AQ719"/>
      <c r="AR719"/>
    </row>
    <row r="720" spans="1:44" x14ac:dyDescent="0.35">
      <c r="A720" s="2" t="s">
        <v>84</v>
      </c>
      <c r="B720" s="40" t="str">
        <f>_xlfn.XLOOKUP(PROPERTIES[[#This Row],[VEHIDCODE]],CONTROL[VEHIDCODE],CONTROL[ENGLISH])</f>
        <v>Wooden 2-axle Regional Coach</v>
      </c>
      <c r="J720" s="2" t="b">
        <v>1</v>
      </c>
      <c r="R720" s="2" t="b">
        <v>1</v>
      </c>
      <c r="Z720" s="2" t="b">
        <v>1</v>
      </c>
      <c r="AC720" s="2"/>
      <c r="AD720" s="2" t="b">
        <f>LEN(_xlfn.CONCAT(TRACK_TYPES[[#This Row],[TRACK_TYPE_STANDARD_GAUGE_RAILTYPE_OHLE]:[TRACK_TYPE_MTRO]]))&gt;0</f>
        <v>1</v>
      </c>
      <c r="AE720" s="38" t="b" cm="1">
        <f t="array" ref="AE720">IFERROR(_xlfn.BYROW(TRACK_TYPES[[#This Row],[TRACK_TYPE_STANDARD_GAUGE_RAILTYPE_OHLE]:[TRACK_TYPE_STANDARD_GAUGE_RAILTYPE_NONE]],_xlfn.LAMBDA(_xlpm.r,OR(_xlpm.r))),FALSE)</f>
        <v>1</v>
      </c>
      <c r="AF720" s="38" t="b" cm="1">
        <f t="array" ref="AF720">IFERROR(_xlfn.BYROW(TRACK_TYPES[[#This Row],[TRACK_TYPE_NARROW_GAUGE_RAILTYPE_OHLE]:[TRACK_TYPE_NARROW_GAUGE_RAILTYPE_NONE]],_xlfn.LAMBDA(_xlpm.r,OR(_xlpm.r))),FALSE)</f>
        <v>1</v>
      </c>
      <c r="AG720" s="38" t="b" cm="1">
        <f t="array" ref="AG720">IFERROR(_xlfn.BYROW(TRACK_TYPES[[#This Row],[TRACK_TYPE_BROAD_GAUGE_RAILTYPE_OHLE]:[TRACK_TYPE_BROAD_GAUGE_RAILTYPE_NONE]],_xlfn.LAMBDA(_xlpm.r,OR(_xlpm.r))),FALSE)</f>
        <v>1</v>
      </c>
      <c r="AH7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0"/>
      <c r="AQ720"/>
      <c r="AR720"/>
    </row>
    <row r="721" spans="1:44" x14ac:dyDescent="0.35">
      <c r="A721" s="2" t="s">
        <v>85</v>
      </c>
      <c r="B721" s="40" t="str">
        <f>_xlfn.XLOOKUP(PROPERTIES[[#This Row],[VEHIDCODE]],CONTROL[VEHIDCODE],CONTROL[ENGLISH])</f>
        <v>Wooden 2-axle Mail Coach</v>
      </c>
      <c r="J721" s="2" t="b">
        <v>1</v>
      </c>
      <c r="R721" s="2" t="b">
        <v>1</v>
      </c>
      <c r="Z721" s="2" t="b">
        <v>1</v>
      </c>
      <c r="AC721" s="2"/>
      <c r="AD721" s="2" t="b">
        <f>LEN(_xlfn.CONCAT(TRACK_TYPES[[#This Row],[TRACK_TYPE_STANDARD_GAUGE_RAILTYPE_OHLE]:[TRACK_TYPE_MTRO]]))&gt;0</f>
        <v>1</v>
      </c>
      <c r="AE721" s="38" t="b" cm="1">
        <f t="array" ref="AE721">IFERROR(_xlfn.BYROW(TRACK_TYPES[[#This Row],[TRACK_TYPE_STANDARD_GAUGE_RAILTYPE_OHLE]:[TRACK_TYPE_STANDARD_GAUGE_RAILTYPE_NONE]],_xlfn.LAMBDA(_xlpm.r,OR(_xlpm.r))),FALSE)</f>
        <v>1</v>
      </c>
      <c r="AF721" s="38" t="b" cm="1">
        <f t="array" ref="AF721">IFERROR(_xlfn.BYROW(TRACK_TYPES[[#This Row],[TRACK_TYPE_NARROW_GAUGE_RAILTYPE_OHLE]:[TRACK_TYPE_NARROW_GAUGE_RAILTYPE_NONE]],_xlfn.LAMBDA(_xlpm.r,OR(_xlpm.r))),FALSE)</f>
        <v>1</v>
      </c>
      <c r="AG721" s="38" t="b" cm="1">
        <f t="array" ref="AG721">IFERROR(_xlfn.BYROW(TRACK_TYPES[[#This Row],[TRACK_TYPE_BROAD_GAUGE_RAILTYPE_OHLE]:[TRACK_TYPE_BROAD_GAUGE_RAILTYPE_NONE]],_xlfn.LAMBDA(_xlpm.r,OR(_xlpm.r))),FALSE)</f>
        <v>1</v>
      </c>
      <c r="AH7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1"/>
      <c r="AQ721"/>
      <c r="AR721"/>
    </row>
    <row r="722" spans="1:44" x14ac:dyDescent="0.35">
      <c r="A722" s="2" t="s">
        <v>86</v>
      </c>
      <c r="B722" s="40" t="str">
        <f>_xlfn.XLOOKUP(PROPERTIES[[#This Row],[VEHIDCODE]],CONTROL[VEHIDCODE],CONTROL[ENGLISH])</f>
        <v>Clerestory Compartment Coach</v>
      </c>
      <c r="J722" s="2" t="b">
        <v>1</v>
      </c>
      <c r="R722" s="2" t="b">
        <v>1</v>
      </c>
      <c r="Z722" s="2" t="b">
        <v>1</v>
      </c>
      <c r="AC722" s="2"/>
      <c r="AD722" s="2" t="b">
        <f>LEN(_xlfn.CONCAT(TRACK_TYPES[[#This Row],[TRACK_TYPE_STANDARD_GAUGE_RAILTYPE_OHLE]:[TRACK_TYPE_MTRO]]))&gt;0</f>
        <v>1</v>
      </c>
      <c r="AE722" s="38" t="b" cm="1">
        <f t="array" ref="AE722">IFERROR(_xlfn.BYROW(TRACK_TYPES[[#This Row],[TRACK_TYPE_STANDARD_GAUGE_RAILTYPE_OHLE]:[TRACK_TYPE_STANDARD_GAUGE_RAILTYPE_NONE]],_xlfn.LAMBDA(_xlpm.r,OR(_xlpm.r))),FALSE)</f>
        <v>1</v>
      </c>
      <c r="AF722" s="38" t="b" cm="1">
        <f t="array" ref="AF722">IFERROR(_xlfn.BYROW(TRACK_TYPES[[#This Row],[TRACK_TYPE_NARROW_GAUGE_RAILTYPE_OHLE]:[TRACK_TYPE_NARROW_GAUGE_RAILTYPE_NONE]],_xlfn.LAMBDA(_xlpm.r,OR(_xlpm.r))),FALSE)</f>
        <v>1</v>
      </c>
      <c r="AG722" s="38" t="b" cm="1">
        <f t="array" ref="AG722">IFERROR(_xlfn.BYROW(TRACK_TYPES[[#This Row],[TRACK_TYPE_BROAD_GAUGE_RAILTYPE_OHLE]:[TRACK_TYPE_BROAD_GAUGE_RAILTYPE_NONE]],_xlfn.LAMBDA(_xlpm.r,OR(_xlpm.r))),FALSE)</f>
        <v>1</v>
      </c>
      <c r="AH7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2"/>
      <c r="AQ722"/>
      <c r="AR722"/>
    </row>
    <row r="723" spans="1:44" x14ac:dyDescent="0.35">
      <c r="A723" s="2" t="s">
        <v>87</v>
      </c>
      <c r="B723" s="40" t="str">
        <f>_xlfn.XLOOKUP(PROPERTIES[[#This Row],[VEHIDCODE]],CONTROL[VEHIDCODE],CONTROL[ENGLISH])</f>
        <v>Clerestory Regional Coach</v>
      </c>
      <c r="J723" s="2" t="b">
        <v>1</v>
      </c>
      <c r="R723" s="2" t="b">
        <v>1</v>
      </c>
      <c r="Z723" s="2" t="b">
        <v>1</v>
      </c>
      <c r="AC723" s="2"/>
      <c r="AD723" s="2" t="b">
        <f>LEN(_xlfn.CONCAT(TRACK_TYPES[[#This Row],[TRACK_TYPE_STANDARD_GAUGE_RAILTYPE_OHLE]:[TRACK_TYPE_MTRO]]))&gt;0</f>
        <v>1</v>
      </c>
      <c r="AE723" s="38" t="b" cm="1">
        <f t="array" ref="AE723">IFERROR(_xlfn.BYROW(TRACK_TYPES[[#This Row],[TRACK_TYPE_STANDARD_GAUGE_RAILTYPE_OHLE]:[TRACK_TYPE_STANDARD_GAUGE_RAILTYPE_NONE]],_xlfn.LAMBDA(_xlpm.r,OR(_xlpm.r))),FALSE)</f>
        <v>1</v>
      </c>
      <c r="AF723" s="38" t="b" cm="1">
        <f t="array" ref="AF723">IFERROR(_xlfn.BYROW(TRACK_TYPES[[#This Row],[TRACK_TYPE_NARROW_GAUGE_RAILTYPE_OHLE]:[TRACK_TYPE_NARROW_GAUGE_RAILTYPE_NONE]],_xlfn.LAMBDA(_xlpm.r,OR(_xlpm.r))),FALSE)</f>
        <v>1</v>
      </c>
      <c r="AG723" s="38" t="b" cm="1">
        <f t="array" ref="AG723">IFERROR(_xlfn.BYROW(TRACK_TYPES[[#This Row],[TRACK_TYPE_BROAD_GAUGE_RAILTYPE_OHLE]:[TRACK_TYPE_BROAD_GAUGE_RAILTYPE_NONE]],_xlfn.LAMBDA(_xlpm.r,OR(_xlpm.r))),FALSE)</f>
        <v>1</v>
      </c>
      <c r="AH7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3"/>
      <c r="AQ723"/>
      <c r="AR723"/>
    </row>
    <row r="724" spans="1:44" x14ac:dyDescent="0.35">
      <c r="A724" s="2" t="s">
        <v>88</v>
      </c>
      <c r="B724" s="40" t="str">
        <f>_xlfn.XLOOKUP(PROPERTIES[[#This Row],[VEHIDCODE]],CONTROL[VEHIDCODE],CONTROL[ENGLISH])</f>
        <v>Clerestory Mail Coach</v>
      </c>
      <c r="J724" s="2" t="b">
        <v>1</v>
      </c>
      <c r="R724" s="2" t="b">
        <v>1</v>
      </c>
      <c r="Z724" s="2" t="b">
        <v>1</v>
      </c>
      <c r="AC724" s="2"/>
      <c r="AD724" s="2" t="b">
        <f>LEN(_xlfn.CONCAT(TRACK_TYPES[[#This Row],[TRACK_TYPE_STANDARD_GAUGE_RAILTYPE_OHLE]:[TRACK_TYPE_MTRO]]))&gt;0</f>
        <v>1</v>
      </c>
      <c r="AE724" s="38" t="b" cm="1">
        <f t="array" ref="AE724">IFERROR(_xlfn.BYROW(TRACK_TYPES[[#This Row],[TRACK_TYPE_STANDARD_GAUGE_RAILTYPE_OHLE]:[TRACK_TYPE_STANDARD_GAUGE_RAILTYPE_NONE]],_xlfn.LAMBDA(_xlpm.r,OR(_xlpm.r))),FALSE)</f>
        <v>1</v>
      </c>
      <c r="AF724" s="38" t="b" cm="1">
        <f t="array" ref="AF724">IFERROR(_xlfn.BYROW(TRACK_TYPES[[#This Row],[TRACK_TYPE_NARROW_GAUGE_RAILTYPE_OHLE]:[TRACK_TYPE_NARROW_GAUGE_RAILTYPE_NONE]],_xlfn.LAMBDA(_xlpm.r,OR(_xlpm.r))),FALSE)</f>
        <v>1</v>
      </c>
      <c r="AG724" s="38" t="b" cm="1">
        <f t="array" ref="AG724">IFERROR(_xlfn.BYROW(TRACK_TYPES[[#This Row],[TRACK_TYPE_BROAD_GAUGE_RAILTYPE_OHLE]:[TRACK_TYPE_BROAD_GAUGE_RAILTYPE_NONE]],_xlfn.LAMBDA(_xlpm.r,OR(_xlpm.r))),FALSE)</f>
        <v>1</v>
      </c>
      <c r="AH7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4"/>
      <c r="AQ724"/>
      <c r="AR724"/>
    </row>
    <row r="725" spans="1:44" x14ac:dyDescent="0.35">
      <c r="A725" s="2" t="s">
        <v>89</v>
      </c>
      <c r="B725" s="40" t="str">
        <f>_xlfn.XLOOKUP(PROPERTIES[[#This Row],[VEHIDCODE]],CONTROL[VEHIDCODE],CONTROL[ENGLISH])</f>
        <v>Wooden 3-axle Compartment Coach</v>
      </c>
      <c r="J725" s="2" t="b">
        <v>1</v>
      </c>
      <c r="R725" s="2" t="b">
        <v>1</v>
      </c>
      <c r="Z725" s="2" t="b">
        <v>1</v>
      </c>
      <c r="AC725" s="2"/>
      <c r="AD725" s="2" t="b">
        <f>LEN(_xlfn.CONCAT(TRACK_TYPES[[#This Row],[TRACK_TYPE_STANDARD_GAUGE_RAILTYPE_OHLE]:[TRACK_TYPE_MTRO]]))&gt;0</f>
        <v>1</v>
      </c>
      <c r="AE725" s="38" t="b" cm="1">
        <f t="array" ref="AE725">IFERROR(_xlfn.BYROW(TRACK_TYPES[[#This Row],[TRACK_TYPE_STANDARD_GAUGE_RAILTYPE_OHLE]:[TRACK_TYPE_STANDARD_GAUGE_RAILTYPE_NONE]],_xlfn.LAMBDA(_xlpm.r,OR(_xlpm.r))),FALSE)</f>
        <v>1</v>
      </c>
      <c r="AF725" s="38" t="b" cm="1">
        <f t="array" ref="AF725">IFERROR(_xlfn.BYROW(TRACK_TYPES[[#This Row],[TRACK_TYPE_NARROW_GAUGE_RAILTYPE_OHLE]:[TRACK_TYPE_NARROW_GAUGE_RAILTYPE_NONE]],_xlfn.LAMBDA(_xlpm.r,OR(_xlpm.r))),FALSE)</f>
        <v>1</v>
      </c>
      <c r="AG725" s="38" t="b" cm="1">
        <f t="array" ref="AG725">IFERROR(_xlfn.BYROW(TRACK_TYPES[[#This Row],[TRACK_TYPE_BROAD_GAUGE_RAILTYPE_OHLE]:[TRACK_TYPE_BROAD_GAUGE_RAILTYPE_NONE]],_xlfn.LAMBDA(_xlpm.r,OR(_xlpm.r))),FALSE)</f>
        <v>1</v>
      </c>
      <c r="AH7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5"/>
      <c r="AQ725"/>
      <c r="AR725"/>
    </row>
    <row r="726" spans="1:44" x14ac:dyDescent="0.35">
      <c r="A726" s="2" t="s">
        <v>90</v>
      </c>
      <c r="B726" s="40" t="str">
        <f>_xlfn.XLOOKUP(PROPERTIES[[#This Row],[VEHIDCODE]],CONTROL[VEHIDCODE],CONTROL[ENGLISH])</f>
        <v>Wooden 3-axle Regional Coach</v>
      </c>
      <c r="J726" s="2" t="b">
        <v>1</v>
      </c>
      <c r="R726" s="2" t="b">
        <v>1</v>
      </c>
      <c r="Z726" s="2" t="b">
        <v>1</v>
      </c>
      <c r="AC726" s="2"/>
      <c r="AD726" s="2" t="b">
        <f>LEN(_xlfn.CONCAT(TRACK_TYPES[[#This Row],[TRACK_TYPE_STANDARD_GAUGE_RAILTYPE_OHLE]:[TRACK_TYPE_MTRO]]))&gt;0</f>
        <v>1</v>
      </c>
      <c r="AE726" s="38" t="b" cm="1">
        <f t="array" ref="AE726">IFERROR(_xlfn.BYROW(TRACK_TYPES[[#This Row],[TRACK_TYPE_STANDARD_GAUGE_RAILTYPE_OHLE]:[TRACK_TYPE_STANDARD_GAUGE_RAILTYPE_NONE]],_xlfn.LAMBDA(_xlpm.r,OR(_xlpm.r))),FALSE)</f>
        <v>1</v>
      </c>
      <c r="AF726" s="38" t="b" cm="1">
        <f t="array" ref="AF726">IFERROR(_xlfn.BYROW(TRACK_TYPES[[#This Row],[TRACK_TYPE_NARROW_GAUGE_RAILTYPE_OHLE]:[TRACK_TYPE_NARROW_GAUGE_RAILTYPE_NONE]],_xlfn.LAMBDA(_xlpm.r,OR(_xlpm.r))),FALSE)</f>
        <v>1</v>
      </c>
      <c r="AG726" s="38" t="b" cm="1">
        <f t="array" ref="AG726">IFERROR(_xlfn.BYROW(TRACK_TYPES[[#This Row],[TRACK_TYPE_BROAD_GAUGE_RAILTYPE_OHLE]:[TRACK_TYPE_BROAD_GAUGE_RAILTYPE_NONE]],_xlfn.LAMBDA(_xlpm.r,OR(_xlpm.r))),FALSE)</f>
        <v>1</v>
      </c>
      <c r="AH7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6"/>
      <c r="AQ726"/>
      <c r="AR726"/>
    </row>
    <row r="727" spans="1:44" x14ac:dyDescent="0.35">
      <c r="A727" s="2" t="s">
        <v>91</v>
      </c>
      <c r="B727" s="40" t="str">
        <f>_xlfn.XLOOKUP(PROPERTIES[[#This Row],[VEHIDCODE]],CONTROL[VEHIDCODE],CONTROL[ENGLISH])</f>
        <v>Wooden 3-axle Mail Coach</v>
      </c>
      <c r="J727" s="2" t="b">
        <v>1</v>
      </c>
      <c r="R727" s="2" t="b">
        <v>1</v>
      </c>
      <c r="Z727" s="2" t="b">
        <v>1</v>
      </c>
      <c r="AC727" s="2"/>
      <c r="AD727" s="2" t="b">
        <f>LEN(_xlfn.CONCAT(TRACK_TYPES[[#This Row],[TRACK_TYPE_STANDARD_GAUGE_RAILTYPE_OHLE]:[TRACK_TYPE_MTRO]]))&gt;0</f>
        <v>1</v>
      </c>
      <c r="AE727" s="38" t="b" cm="1">
        <f t="array" ref="AE727">IFERROR(_xlfn.BYROW(TRACK_TYPES[[#This Row],[TRACK_TYPE_STANDARD_GAUGE_RAILTYPE_OHLE]:[TRACK_TYPE_STANDARD_GAUGE_RAILTYPE_NONE]],_xlfn.LAMBDA(_xlpm.r,OR(_xlpm.r))),FALSE)</f>
        <v>1</v>
      </c>
      <c r="AF727" s="38" t="b" cm="1">
        <f t="array" ref="AF727">IFERROR(_xlfn.BYROW(TRACK_TYPES[[#This Row],[TRACK_TYPE_NARROW_GAUGE_RAILTYPE_OHLE]:[TRACK_TYPE_NARROW_GAUGE_RAILTYPE_NONE]],_xlfn.LAMBDA(_xlpm.r,OR(_xlpm.r))),FALSE)</f>
        <v>1</v>
      </c>
      <c r="AG727" s="38" t="b" cm="1">
        <f t="array" ref="AG727">IFERROR(_xlfn.BYROW(TRACK_TYPES[[#This Row],[TRACK_TYPE_BROAD_GAUGE_RAILTYPE_OHLE]:[TRACK_TYPE_BROAD_GAUGE_RAILTYPE_NONE]],_xlfn.LAMBDA(_xlpm.r,OR(_xlpm.r))),FALSE)</f>
        <v>1</v>
      </c>
      <c r="AH7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7"/>
      <c r="AQ727"/>
      <c r="AR727"/>
    </row>
    <row r="728" spans="1:44" x14ac:dyDescent="0.35">
      <c r="A728" s="2" t="s">
        <v>92</v>
      </c>
      <c r="B728" s="40" t="str">
        <f>_xlfn.XLOOKUP(PROPERTIES[[#This Row],[VEHIDCODE]],CONTROL[VEHIDCODE],CONTROL[ENGLISH])</f>
        <v>Heavyweight Intercity Coach</v>
      </c>
      <c r="J728" s="2" t="b">
        <v>1</v>
      </c>
      <c r="R728" s="2" t="b">
        <v>1</v>
      </c>
      <c r="Z728" s="2" t="b">
        <v>1</v>
      </c>
      <c r="AC728" s="2"/>
      <c r="AD728" s="2" t="b">
        <f>LEN(_xlfn.CONCAT(TRACK_TYPES[[#This Row],[TRACK_TYPE_STANDARD_GAUGE_RAILTYPE_OHLE]:[TRACK_TYPE_MTRO]]))&gt;0</f>
        <v>1</v>
      </c>
      <c r="AE728" s="38" t="b" cm="1">
        <f t="array" ref="AE728">IFERROR(_xlfn.BYROW(TRACK_TYPES[[#This Row],[TRACK_TYPE_STANDARD_GAUGE_RAILTYPE_OHLE]:[TRACK_TYPE_STANDARD_GAUGE_RAILTYPE_NONE]],_xlfn.LAMBDA(_xlpm.r,OR(_xlpm.r))),FALSE)</f>
        <v>1</v>
      </c>
      <c r="AF728" s="38" t="b" cm="1">
        <f t="array" ref="AF728">IFERROR(_xlfn.BYROW(TRACK_TYPES[[#This Row],[TRACK_TYPE_NARROW_GAUGE_RAILTYPE_OHLE]:[TRACK_TYPE_NARROW_GAUGE_RAILTYPE_NONE]],_xlfn.LAMBDA(_xlpm.r,OR(_xlpm.r))),FALSE)</f>
        <v>1</v>
      </c>
      <c r="AG728" s="38" t="b" cm="1">
        <f t="array" ref="AG728">IFERROR(_xlfn.BYROW(TRACK_TYPES[[#This Row],[TRACK_TYPE_BROAD_GAUGE_RAILTYPE_OHLE]:[TRACK_TYPE_BROAD_GAUGE_RAILTYPE_NONE]],_xlfn.LAMBDA(_xlpm.r,OR(_xlpm.r))),FALSE)</f>
        <v>1</v>
      </c>
      <c r="AH7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8"/>
      <c r="AQ728"/>
      <c r="AR728"/>
    </row>
    <row r="729" spans="1:44" x14ac:dyDescent="0.35">
      <c r="A729" s="2" t="s">
        <v>93</v>
      </c>
      <c r="B729" s="40" t="str">
        <f>_xlfn.XLOOKUP(PROPERTIES[[#This Row],[VEHIDCODE]],CONTROL[VEHIDCODE],CONTROL[ENGLISH])</f>
        <v>Heavyweight Mail Coach</v>
      </c>
      <c r="J729" s="2" t="b">
        <v>1</v>
      </c>
      <c r="R729" s="2" t="b">
        <v>1</v>
      </c>
      <c r="Z729" s="2" t="b">
        <v>1</v>
      </c>
      <c r="AC729" s="2"/>
      <c r="AD729" s="2" t="b">
        <f>LEN(_xlfn.CONCAT(TRACK_TYPES[[#This Row],[TRACK_TYPE_STANDARD_GAUGE_RAILTYPE_OHLE]:[TRACK_TYPE_MTRO]]))&gt;0</f>
        <v>1</v>
      </c>
      <c r="AE729" s="38" t="b" cm="1">
        <f t="array" ref="AE729">IFERROR(_xlfn.BYROW(TRACK_TYPES[[#This Row],[TRACK_TYPE_STANDARD_GAUGE_RAILTYPE_OHLE]:[TRACK_TYPE_STANDARD_GAUGE_RAILTYPE_NONE]],_xlfn.LAMBDA(_xlpm.r,OR(_xlpm.r))),FALSE)</f>
        <v>1</v>
      </c>
      <c r="AF729" s="38" t="b" cm="1">
        <f t="array" ref="AF729">IFERROR(_xlfn.BYROW(TRACK_TYPES[[#This Row],[TRACK_TYPE_NARROW_GAUGE_RAILTYPE_OHLE]:[TRACK_TYPE_NARROW_GAUGE_RAILTYPE_NONE]],_xlfn.LAMBDA(_xlpm.r,OR(_xlpm.r))),FALSE)</f>
        <v>1</v>
      </c>
      <c r="AG729" s="38" t="b" cm="1">
        <f t="array" ref="AG729">IFERROR(_xlfn.BYROW(TRACK_TYPES[[#This Row],[TRACK_TYPE_BROAD_GAUGE_RAILTYPE_OHLE]:[TRACK_TYPE_BROAD_GAUGE_RAILTYPE_NONE]],_xlfn.LAMBDA(_xlpm.r,OR(_xlpm.r))),FALSE)</f>
        <v>1</v>
      </c>
      <c r="AH7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9"/>
      <c r="AQ729"/>
      <c r="AR729"/>
    </row>
    <row r="730" spans="1:44" x14ac:dyDescent="0.35">
      <c r="A730" s="2" t="s">
        <v>94</v>
      </c>
      <c r="B730" s="40" t="str">
        <f>_xlfn.XLOOKUP(PROPERTIES[[#This Row],[VEHIDCODE]],CONTROL[VEHIDCODE],CONTROL[ENGLISH])</f>
        <v>Steel Intercity Coach</v>
      </c>
      <c r="J730" s="2" t="b">
        <v>1</v>
      </c>
      <c r="R730" s="2" t="b">
        <v>1</v>
      </c>
      <c r="Z730" s="2" t="b">
        <v>1</v>
      </c>
      <c r="AC730" s="2"/>
      <c r="AD730" s="2" t="b">
        <f>LEN(_xlfn.CONCAT(TRACK_TYPES[[#This Row],[TRACK_TYPE_STANDARD_GAUGE_RAILTYPE_OHLE]:[TRACK_TYPE_MTRO]]))&gt;0</f>
        <v>1</v>
      </c>
      <c r="AE730" s="38" t="b" cm="1">
        <f t="array" ref="AE730">IFERROR(_xlfn.BYROW(TRACK_TYPES[[#This Row],[TRACK_TYPE_STANDARD_GAUGE_RAILTYPE_OHLE]:[TRACK_TYPE_STANDARD_GAUGE_RAILTYPE_NONE]],_xlfn.LAMBDA(_xlpm.r,OR(_xlpm.r))),FALSE)</f>
        <v>1</v>
      </c>
      <c r="AF730" s="38" t="b" cm="1">
        <f t="array" ref="AF730">IFERROR(_xlfn.BYROW(TRACK_TYPES[[#This Row],[TRACK_TYPE_NARROW_GAUGE_RAILTYPE_OHLE]:[TRACK_TYPE_NARROW_GAUGE_RAILTYPE_NONE]],_xlfn.LAMBDA(_xlpm.r,OR(_xlpm.r))),FALSE)</f>
        <v>1</v>
      </c>
      <c r="AG730" s="38" t="b" cm="1">
        <f t="array" ref="AG730">IFERROR(_xlfn.BYROW(TRACK_TYPES[[#This Row],[TRACK_TYPE_BROAD_GAUGE_RAILTYPE_OHLE]:[TRACK_TYPE_BROAD_GAUGE_RAILTYPE_NONE]],_xlfn.LAMBDA(_xlpm.r,OR(_xlpm.r))),FALSE)</f>
        <v>1</v>
      </c>
      <c r="AH7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0"/>
      <c r="AQ730"/>
      <c r="AR730"/>
    </row>
    <row r="731" spans="1:44" x14ac:dyDescent="0.35">
      <c r="A731" s="2" t="s">
        <v>95</v>
      </c>
      <c r="B731" s="40" t="str">
        <f>_xlfn.XLOOKUP(PROPERTIES[[#This Row],[VEHIDCODE]],CONTROL[VEHIDCODE],CONTROL[ENGLISH])</f>
        <v>Steel Compartment Coach</v>
      </c>
      <c r="J731" s="2" t="b">
        <v>1</v>
      </c>
      <c r="R731" s="2" t="b">
        <v>1</v>
      </c>
      <c r="Z731" s="2" t="b">
        <v>1</v>
      </c>
      <c r="AC731" s="2"/>
      <c r="AD731" s="2" t="b">
        <f>LEN(_xlfn.CONCAT(TRACK_TYPES[[#This Row],[TRACK_TYPE_STANDARD_GAUGE_RAILTYPE_OHLE]:[TRACK_TYPE_MTRO]]))&gt;0</f>
        <v>1</v>
      </c>
      <c r="AE731" s="38" t="b" cm="1">
        <f t="array" ref="AE731">IFERROR(_xlfn.BYROW(TRACK_TYPES[[#This Row],[TRACK_TYPE_STANDARD_GAUGE_RAILTYPE_OHLE]:[TRACK_TYPE_STANDARD_GAUGE_RAILTYPE_NONE]],_xlfn.LAMBDA(_xlpm.r,OR(_xlpm.r))),FALSE)</f>
        <v>1</v>
      </c>
      <c r="AF731" s="38" t="b" cm="1">
        <f t="array" ref="AF731">IFERROR(_xlfn.BYROW(TRACK_TYPES[[#This Row],[TRACK_TYPE_NARROW_GAUGE_RAILTYPE_OHLE]:[TRACK_TYPE_NARROW_GAUGE_RAILTYPE_NONE]],_xlfn.LAMBDA(_xlpm.r,OR(_xlpm.r))),FALSE)</f>
        <v>1</v>
      </c>
      <c r="AG731" s="38" t="b" cm="1">
        <f t="array" ref="AG731">IFERROR(_xlfn.BYROW(TRACK_TYPES[[#This Row],[TRACK_TYPE_BROAD_GAUGE_RAILTYPE_OHLE]:[TRACK_TYPE_BROAD_GAUGE_RAILTYPE_NONE]],_xlfn.LAMBDA(_xlpm.r,OR(_xlpm.r))),FALSE)</f>
        <v>1</v>
      </c>
      <c r="AH7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1"/>
      <c r="AQ731"/>
      <c r="AR731"/>
    </row>
    <row r="732" spans="1:44" x14ac:dyDescent="0.35">
      <c r="A732" s="2" t="s">
        <v>96</v>
      </c>
      <c r="B732" s="40" t="str">
        <f>_xlfn.XLOOKUP(PROPERTIES[[#This Row],[VEHIDCODE]],CONTROL[VEHIDCODE],CONTROL[ENGLISH])</f>
        <v>Steel Regional Coach</v>
      </c>
      <c r="J732" s="2" t="b">
        <v>1</v>
      </c>
      <c r="R732" s="2" t="b">
        <v>1</v>
      </c>
      <c r="Z732" s="2" t="b">
        <v>1</v>
      </c>
      <c r="AC732" s="2"/>
      <c r="AD732" s="2" t="b">
        <f>LEN(_xlfn.CONCAT(TRACK_TYPES[[#This Row],[TRACK_TYPE_STANDARD_GAUGE_RAILTYPE_OHLE]:[TRACK_TYPE_MTRO]]))&gt;0</f>
        <v>1</v>
      </c>
      <c r="AE732" s="38" t="b" cm="1">
        <f t="array" ref="AE732">IFERROR(_xlfn.BYROW(TRACK_TYPES[[#This Row],[TRACK_TYPE_STANDARD_GAUGE_RAILTYPE_OHLE]:[TRACK_TYPE_STANDARD_GAUGE_RAILTYPE_NONE]],_xlfn.LAMBDA(_xlpm.r,OR(_xlpm.r))),FALSE)</f>
        <v>1</v>
      </c>
      <c r="AF732" s="38" t="b" cm="1">
        <f t="array" ref="AF732">IFERROR(_xlfn.BYROW(TRACK_TYPES[[#This Row],[TRACK_TYPE_NARROW_GAUGE_RAILTYPE_OHLE]:[TRACK_TYPE_NARROW_GAUGE_RAILTYPE_NONE]],_xlfn.LAMBDA(_xlpm.r,OR(_xlpm.r))),FALSE)</f>
        <v>1</v>
      </c>
      <c r="AG732" s="38" t="b" cm="1">
        <f t="array" ref="AG732">IFERROR(_xlfn.BYROW(TRACK_TYPES[[#This Row],[TRACK_TYPE_BROAD_GAUGE_RAILTYPE_OHLE]:[TRACK_TYPE_BROAD_GAUGE_RAILTYPE_NONE]],_xlfn.LAMBDA(_xlpm.r,OR(_xlpm.r))),FALSE)</f>
        <v>1</v>
      </c>
      <c r="AH7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2"/>
      <c r="AQ732"/>
      <c r="AR732"/>
    </row>
    <row r="733" spans="1:44" x14ac:dyDescent="0.35">
      <c r="A733" s="2" t="s">
        <v>97</v>
      </c>
      <c r="B733" s="40" t="str">
        <f>_xlfn.XLOOKUP(PROPERTIES[[#This Row],[VEHIDCODE]],CONTROL[VEHIDCODE],CONTROL[ENGLISH])</f>
        <v>Steel Mail Coach</v>
      </c>
      <c r="J733" s="2" t="b">
        <v>1</v>
      </c>
      <c r="R733" s="2" t="b">
        <v>1</v>
      </c>
      <c r="Z733" s="2" t="b">
        <v>1</v>
      </c>
      <c r="AC733" s="2"/>
      <c r="AD733" s="2" t="b">
        <f>LEN(_xlfn.CONCAT(TRACK_TYPES[[#This Row],[TRACK_TYPE_STANDARD_GAUGE_RAILTYPE_OHLE]:[TRACK_TYPE_MTRO]]))&gt;0</f>
        <v>1</v>
      </c>
      <c r="AE733" s="38" t="b" cm="1">
        <f t="array" ref="AE733">IFERROR(_xlfn.BYROW(TRACK_TYPES[[#This Row],[TRACK_TYPE_STANDARD_GAUGE_RAILTYPE_OHLE]:[TRACK_TYPE_STANDARD_GAUGE_RAILTYPE_NONE]],_xlfn.LAMBDA(_xlpm.r,OR(_xlpm.r))),FALSE)</f>
        <v>1</v>
      </c>
      <c r="AF733" s="38" t="b" cm="1">
        <f t="array" ref="AF733">IFERROR(_xlfn.BYROW(TRACK_TYPES[[#This Row],[TRACK_TYPE_NARROW_GAUGE_RAILTYPE_OHLE]:[TRACK_TYPE_NARROW_GAUGE_RAILTYPE_NONE]],_xlfn.LAMBDA(_xlpm.r,OR(_xlpm.r))),FALSE)</f>
        <v>1</v>
      </c>
      <c r="AG733" s="38" t="b" cm="1">
        <f t="array" ref="AG733">IFERROR(_xlfn.BYROW(TRACK_TYPES[[#This Row],[TRACK_TYPE_BROAD_GAUGE_RAILTYPE_OHLE]:[TRACK_TYPE_BROAD_GAUGE_RAILTYPE_NONE]],_xlfn.LAMBDA(_xlpm.r,OR(_xlpm.r))),FALSE)</f>
        <v>1</v>
      </c>
      <c r="AH7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3"/>
      <c r="AQ733"/>
      <c r="AR733"/>
    </row>
    <row r="734" spans="1:44" x14ac:dyDescent="0.35">
      <c r="A734" s="2" t="s">
        <v>98</v>
      </c>
      <c r="B734" s="40" t="str">
        <f>_xlfn.XLOOKUP(PROPERTIES[[#This Row],[VEHIDCODE]],CONTROL[VEHIDCODE],CONTROL[ENGLISH])</f>
        <v>Steel 2-axle Compartment Coach</v>
      </c>
      <c r="J734" s="2" t="b">
        <v>1</v>
      </c>
      <c r="R734" s="2" t="b">
        <v>1</v>
      </c>
      <c r="Z734" s="2" t="b">
        <v>1</v>
      </c>
      <c r="AC734" s="2"/>
      <c r="AD734" s="2" t="b">
        <f>LEN(_xlfn.CONCAT(TRACK_TYPES[[#This Row],[TRACK_TYPE_STANDARD_GAUGE_RAILTYPE_OHLE]:[TRACK_TYPE_MTRO]]))&gt;0</f>
        <v>1</v>
      </c>
      <c r="AE734" s="38" t="b" cm="1">
        <f t="array" ref="AE734">IFERROR(_xlfn.BYROW(TRACK_TYPES[[#This Row],[TRACK_TYPE_STANDARD_GAUGE_RAILTYPE_OHLE]:[TRACK_TYPE_STANDARD_GAUGE_RAILTYPE_NONE]],_xlfn.LAMBDA(_xlpm.r,OR(_xlpm.r))),FALSE)</f>
        <v>1</v>
      </c>
      <c r="AF734" s="38" t="b" cm="1">
        <f t="array" ref="AF734">IFERROR(_xlfn.BYROW(TRACK_TYPES[[#This Row],[TRACK_TYPE_NARROW_GAUGE_RAILTYPE_OHLE]:[TRACK_TYPE_NARROW_GAUGE_RAILTYPE_NONE]],_xlfn.LAMBDA(_xlpm.r,OR(_xlpm.r))),FALSE)</f>
        <v>1</v>
      </c>
      <c r="AG734" s="38" t="b" cm="1">
        <f t="array" ref="AG734">IFERROR(_xlfn.BYROW(TRACK_TYPES[[#This Row],[TRACK_TYPE_BROAD_GAUGE_RAILTYPE_OHLE]:[TRACK_TYPE_BROAD_GAUGE_RAILTYPE_NONE]],_xlfn.LAMBDA(_xlpm.r,OR(_xlpm.r))),FALSE)</f>
        <v>1</v>
      </c>
      <c r="AH7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4"/>
      <c r="AQ734"/>
      <c r="AR734"/>
    </row>
    <row r="735" spans="1:44" x14ac:dyDescent="0.35">
      <c r="A735" s="2" t="s">
        <v>99</v>
      </c>
      <c r="B735" s="40" t="str">
        <f>_xlfn.XLOOKUP(PROPERTIES[[#This Row],[VEHIDCODE]],CONTROL[VEHIDCODE],CONTROL[ENGLISH])</f>
        <v>Steel 2-axle Regional Coach</v>
      </c>
      <c r="J735" s="2" t="b">
        <v>1</v>
      </c>
      <c r="R735" s="2" t="b">
        <v>1</v>
      </c>
      <c r="Z735" s="2" t="b">
        <v>1</v>
      </c>
      <c r="AC735" s="2"/>
      <c r="AD735" s="2" t="b">
        <f>LEN(_xlfn.CONCAT(TRACK_TYPES[[#This Row],[TRACK_TYPE_STANDARD_GAUGE_RAILTYPE_OHLE]:[TRACK_TYPE_MTRO]]))&gt;0</f>
        <v>1</v>
      </c>
      <c r="AE735" s="38" t="b" cm="1">
        <f t="array" ref="AE735">IFERROR(_xlfn.BYROW(TRACK_TYPES[[#This Row],[TRACK_TYPE_STANDARD_GAUGE_RAILTYPE_OHLE]:[TRACK_TYPE_STANDARD_GAUGE_RAILTYPE_NONE]],_xlfn.LAMBDA(_xlpm.r,OR(_xlpm.r))),FALSE)</f>
        <v>1</v>
      </c>
      <c r="AF735" s="38" t="b" cm="1">
        <f t="array" ref="AF735">IFERROR(_xlfn.BYROW(TRACK_TYPES[[#This Row],[TRACK_TYPE_NARROW_GAUGE_RAILTYPE_OHLE]:[TRACK_TYPE_NARROW_GAUGE_RAILTYPE_NONE]],_xlfn.LAMBDA(_xlpm.r,OR(_xlpm.r))),FALSE)</f>
        <v>1</v>
      </c>
      <c r="AG735" s="38" t="b" cm="1">
        <f t="array" ref="AG735">IFERROR(_xlfn.BYROW(TRACK_TYPES[[#This Row],[TRACK_TYPE_BROAD_GAUGE_RAILTYPE_OHLE]:[TRACK_TYPE_BROAD_GAUGE_RAILTYPE_NONE]],_xlfn.LAMBDA(_xlpm.r,OR(_xlpm.r))),FALSE)</f>
        <v>1</v>
      </c>
      <c r="AH7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5"/>
      <c r="AQ735"/>
      <c r="AR735"/>
    </row>
    <row r="736" spans="1:44" x14ac:dyDescent="0.35">
      <c r="A736" s="2" t="s">
        <v>100</v>
      </c>
      <c r="B736" s="40" t="str">
        <f>_xlfn.XLOOKUP(PROPERTIES[[#This Row],[VEHIDCODE]],CONTROL[VEHIDCODE],CONTROL[ENGLISH])</f>
        <v>Steel 2-axle Mail Coach</v>
      </c>
      <c r="J736" s="2" t="b">
        <v>1</v>
      </c>
      <c r="R736" s="2" t="b">
        <v>1</v>
      </c>
      <c r="Z736" s="2" t="b">
        <v>1</v>
      </c>
      <c r="AC736" s="2"/>
      <c r="AD736" s="2" t="b">
        <f>LEN(_xlfn.CONCAT(TRACK_TYPES[[#This Row],[TRACK_TYPE_STANDARD_GAUGE_RAILTYPE_OHLE]:[TRACK_TYPE_MTRO]]))&gt;0</f>
        <v>1</v>
      </c>
      <c r="AE736" s="38" t="b" cm="1">
        <f t="array" ref="AE736">IFERROR(_xlfn.BYROW(TRACK_TYPES[[#This Row],[TRACK_TYPE_STANDARD_GAUGE_RAILTYPE_OHLE]:[TRACK_TYPE_STANDARD_GAUGE_RAILTYPE_NONE]],_xlfn.LAMBDA(_xlpm.r,OR(_xlpm.r))),FALSE)</f>
        <v>1</v>
      </c>
      <c r="AF736" s="38" t="b" cm="1">
        <f t="array" ref="AF736">IFERROR(_xlfn.BYROW(TRACK_TYPES[[#This Row],[TRACK_TYPE_NARROW_GAUGE_RAILTYPE_OHLE]:[TRACK_TYPE_NARROW_GAUGE_RAILTYPE_NONE]],_xlfn.LAMBDA(_xlpm.r,OR(_xlpm.r))),FALSE)</f>
        <v>1</v>
      </c>
      <c r="AG736" s="38" t="b" cm="1">
        <f t="array" ref="AG736">IFERROR(_xlfn.BYROW(TRACK_TYPES[[#This Row],[TRACK_TYPE_BROAD_GAUGE_RAILTYPE_OHLE]:[TRACK_TYPE_BROAD_GAUGE_RAILTYPE_NONE]],_xlfn.LAMBDA(_xlpm.r,OR(_xlpm.r))),FALSE)</f>
        <v>1</v>
      </c>
      <c r="AH7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6"/>
      <c r="AQ736"/>
      <c r="AR736"/>
    </row>
    <row r="737" spans="1:44" x14ac:dyDescent="0.35">
      <c r="A737" s="2" t="s">
        <v>101</v>
      </c>
      <c r="B737" s="40" t="str">
        <f>_xlfn.XLOOKUP(PROPERTIES[[#This Row],[VEHIDCODE]],CONTROL[VEHIDCODE],CONTROL[ENGLISH])</f>
        <v>Steel 3-axle Compartment Coach</v>
      </c>
      <c r="J737" s="2" t="b">
        <v>1</v>
      </c>
      <c r="R737" s="2" t="b">
        <v>1</v>
      </c>
      <c r="Z737" s="2" t="b">
        <v>1</v>
      </c>
      <c r="AC737" s="2"/>
      <c r="AD737" s="2" t="b">
        <f>LEN(_xlfn.CONCAT(TRACK_TYPES[[#This Row],[TRACK_TYPE_STANDARD_GAUGE_RAILTYPE_OHLE]:[TRACK_TYPE_MTRO]]))&gt;0</f>
        <v>1</v>
      </c>
      <c r="AE737" s="38" t="b" cm="1">
        <f t="array" ref="AE737">IFERROR(_xlfn.BYROW(TRACK_TYPES[[#This Row],[TRACK_TYPE_STANDARD_GAUGE_RAILTYPE_OHLE]:[TRACK_TYPE_STANDARD_GAUGE_RAILTYPE_NONE]],_xlfn.LAMBDA(_xlpm.r,OR(_xlpm.r))),FALSE)</f>
        <v>1</v>
      </c>
      <c r="AF737" s="38" t="b" cm="1">
        <f t="array" ref="AF737">IFERROR(_xlfn.BYROW(TRACK_TYPES[[#This Row],[TRACK_TYPE_NARROW_GAUGE_RAILTYPE_OHLE]:[TRACK_TYPE_NARROW_GAUGE_RAILTYPE_NONE]],_xlfn.LAMBDA(_xlpm.r,OR(_xlpm.r))),FALSE)</f>
        <v>1</v>
      </c>
      <c r="AG737" s="38" t="b" cm="1">
        <f t="array" ref="AG737">IFERROR(_xlfn.BYROW(TRACK_TYPES[[#This Row],[TRACK_TYPE_BROAD_GAUGE_RAILTYPE_OHLE]:[TRACK_TYPE_BROAD_GAUGE_RAILTYPE_NONE]],_xlfn.LAMBDA(_xlpm.r,OR(_xlpm.r))),FALSE)</f>
        <v>1</v>
      </c>
      <c r="AH7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7"/>
      <c r="AQ737"/>
      <c r="AR737"/>
    </row>
    <row r="738" spans="1:44" x14ac:dyDescent="0.35">
      <c r="A738" s="2" t="s">
        <v>102</v>
      </c>
      <c r="B738" s="40" t="str">
        <f>_xlfn.XLOOKUP(PROPERTIES[[#This Row],[VEHIDCODE]],CONTROL[VEHIDCODE],CONTROL[ENGLISH])</f>
        <v>Steel 3-axle Regional Coach</v>
      </c>
      <c r="J738" s="2" t="b">
        <v>1</v>
      </c>
      <c r="R738" s="2" t="b">
        <v>1</v>
      </c>
      <c r="Z738" s="2" t="b">
        <v>1</v>
      </c>
      <c r="AC738" s="2"/>
      <c r="AD738" s="2" t="b">
        <f>LEN(_xlfn.CONCAT(TRACK_TYPES[[#This Row],[TRACK_TYPE_STANDARD_GAUGE_RAILTYPE_OHLE]:[TRACK_TYPE_MTRO]]))&gt;0</f>
        <v>1</v>
      </c>
      <c r="AE738" s="38" t="b" cm="1">
        <f t="array" ref="AE738">IFERROR(_xlfn.BYROW(TRACK_TYPES[[#This Row],[TRACK_TYPE_STANDARD_GAUGE_RAILTYPE_OHLE]:[TRACK_TYPE_STANDARD_GAUGE_RAILTYPE_NONE]],_xlfn.LAMBDA(_xlpm.r,OR(_xlpm.r))),FALSE)</f>
        <v>1</v>
      </c>
      <c r="AF738" s="38" t="b" cm="1">
        <f t="array" ref="AF738">IFERROR(_xlfn.BYROW(TRACK_TYPES[[#This Row],[TRACK_TYPE_NARROW_GAUGE_RAILTYPE_OHLE]:[TRACK_TYPE_NARROW_GAUGE_RAILTYPE_NONE]],_xlfn.LAMBDA(_xlpm.r,OR(_xlpm.r))),FALSE)</f>
        <v>1</v>
      </c>
      <c r="AG738" s="38" t="b" cm="1">
        <f t="array" ref="AG738">IFERROR(_xlfn.BYROW(TRACK_TYPES[[#This Row],[TRACK_TYPE_BROAD_GAUGE_RAILTYPE_OHLE]:[TRACK_TYPE_BROAD_GAUGE_RAILTYPE_NONE]],_xlfn.LAMBDA(_xlpm.r,OR(_xlpm.r))),FALSE)</f>
        <v>1</v>
      </c>
      <c r="AH7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8"/>
      <c r="AQ738"/>
      <c r="AR738"/>
    </row>
    <row r="739" spans="1:44" x14ac:dyDescent="0.35">
      <c r="A739" s="2" t="s">
        <v>103</v>
      </c>
      <c r="B739" s="40" t="str">
        <f>_xlfn.XLOOKUP(PROPERTIES[[#This Row],[VEHIDCODE]],CONTROL[VEHIDCODE],CONTROL[ENGLISH])</f>
        <v>Steel 3-axle Mail Coach</v>
      </c>
      <c r="J739" s="2" t="b">
        <v>1</v>
      </c>
      <c r="R739" s="2" t="b">
        <v>1</v>
      </c>
      <c r="Z739" s="2" t="b">
        <v>1</v>
      </c>
      <c r="AC739" s="2"/>
      <c r="AD739" s="2" t="b">
        <f>LEN(_xlfn.CONCAT(TRACK_TYPES[[#This Row],[TRACK_TYPE_STANDARD_GAUGE_RAILTYPE_OHLE]:[TRACK_TYPE_MTRO]]))&gt;0</f>
        <v>1</v>
      </c>
      <c r="AE739" s="38" t="b" cm="1">
        <f t="array" ref="AE739">IFERROR(_xlfn.BYROW(TRACK_TYPES[[#This Row],[TRACK_TYPE_STANDARD_GAUGE_RAILTYPE_OHLE]:[TRACK_TYPE_STANDARD_GAUGE_RAILTYPE_NONE]],_xlfn.LAMBDA(_xlpm.r,OR(_xlpm.r))),FALSE)</f>
        <v>1</v>
      </c>
      <c r="AF739" s="38" t="b" cm="1">
        <f t="array" ref="AF739">IFERROR(_xlfn.BYROW(TRACK_TYPES[[#This Row],[TRACK_TYPE_NARROW_GAUGE_RAILTYPE_OHLE]:[TRACK_TYPE_NARROW_GAUGE_RAILTYPE_NONE]],_xlfn.LAMBDA(_xlpm.r,OR(_xlpm.r))),FALSE)</f>
        <v>1</v>
      </c>
      <c r="AG739" s="38" t="b" cm="1">
        <f t="array" ref="AG739">IFERROR(_xlfn.BYROW(TRACK_TYPES[[#This Row],[TRACK_TYPE_BROAD_GAUGE_RAILTYPE_OHLE]:[TRACK_TYPE_BROAD_GAUGE_RAILTYPE_NONE]],_xlfn.LAMBDA(_xlpm.r,OR(_xlpm.r))),FALSE)</f>
        <v>1</v>
      </c>
      <c r="AH7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9"/>
      <c r="AQ739"/>
      <c r="AR739"/>
    </row>
    <row r="740" spans="1:44" x14ac:dyDescent="0.35">
      <c r="A740" s="2" t="s">
        <v>104</v>
      </c>
      <c r="B740" s="40" t="str">
        <f>_xlfn.XLOOKUP(PROPERTIES[[#This Row],[VEHIDCODE]],CONTROL[VEHIDCODE],CONTROL[ENGLISH])</f>
        <v>Lightweight Intercity Coach</v>
      </c>
      <c r="J740" s="2" t="b">
        <v>1</v>
      </c>
      <c r="R740" s="2" t="b">
        <v>1</v>
      </c>
      <c r="Z740" s="2" t="b">
        <v>1</v>
      </c>
      <c r="AC740" s="2"/>
      <c r="AD740" s="2" t="b">
        <f>LEN(_xlfn.CONCAT(TRACK_TYPES[[#This Row],[TRACK_TYPE_STANDARD_GAUGE_RAILTYPE_OHLE]:[TRACK_TYPE_MTRO]]))&gt;0</f>
        <v>1</v>
      </c>
      <c r="AE740" s="38" t="b" cm="1">
        <f t="array" ref="AE740">IFERROR(_xlfn.BYROW(TRACK_TYPES[[#This Row],[TRACK_TYPE_STANDARD_GAUGE_RAILTYPE_OHLE]:[TRACK_TYPE_STANDARD_GAUGE_RAILTYPE_NONE]],_xlfn.LAMBDA(_xlpm.r,OR(_xlpm.r))),FALSE)</f>
        <v>1</v>
      </c>
      <c r="AF740" s="38" t="b" cm="1">
        <f t="array" ref="AF740">IFERROR(_xlfn.BYROW(TRACK_TYPES[[#This Row],[TRACK_TYPE_NARROW_GAUGE_RAILTYPE_OHLE]:[TRACK_TYPE_NARROW_GAUGE_RAILTYPE_NONE]],_xlfn.LAMBDA(_xlpm.r,OR(_xlpm.r))),FALSE)</f>
        <v>1</v>
      </c>
      <c r="AG740" s="38" t="b" cm="1">
        <f t="array" ref="AG740">IFERROR(_xlfn.BYROW(TRACK_TYPES[[#This Row],[TRACK_TYPE_BROAD_GAUGE_RAILTYPE_OHLE]:[TRACK_TYPE_BROAD_GAUGE_RAILTYPE_NONE]],_xlfn.LAMBDA(_xlpm.r,OR(_xlpm.r))),FALSE)</f>
        <v>1</v>
      </c>
      <c r="AH7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0"/>
      <c r="AQ740"/>
      <c r="AR740"/>
    </row>
    <row r="741" spans="1:44" x14ac:dyDescent="0.35">
      <c r="A741" s="2" t="s">
        <v>105</v>
      </c>
      <c r="B741" s="40" t="str">
        <f>_xlfn.XLOOKUP(PROPERTIES[[#This Row],[VEHIDCODE]],CONTROL[VEHIDCODE],CONTROL[ENGLISH])</f>
        <v>Lightweight Regional Coach</v>
      </c>
      <c r="J741" s="2" t="b">
        <v>1</v>
      </c>
      <c r="R741" s="2" t="b">
        <v>1</v>
      </c>
      <c r="Z741" s="2" t="b">
        <v>1</v>
      </c>
      <c r="AC741" s="2"/>
      <c r="AD741" s="2" t="b">
        <f>LEN(_xlfn.CONCAT(TRACK_TYPES[[#This Row],[TRACK_TYPE_STANDARD_GAUGE_RAILTYPE_OHLE]:[TRACK_TYPE_MTRO]]))&gt;0</f>
        <v>1</v>
      </c>
      <c r="AE741" s="38" t="b" cm="1">
        <f t="array" ref="AE741">IFERROR(_xlfn.BYROW(TRACK_TYPES[[#This Row],[TRACK_TYPE_STANDARD_GAUGE_RAILTYPE_OHLE]:[TRACK_TYPE_STANDARD_GAUGE_RAILTYPE_NONE]],_xlfn.LAMBDA(_xlpm.r,OR(_xlpm.r))),FALSE)</f>
        <v>1</v>
      </c>
      <c r="AF741" s="38" t="b" cm="1">
        <f t="array" ref="AF741">IFERROR(_xlfn.BYROW(TRACK_TYPES[[#This Row],[TRACK_TYPE_NARROW_GAUGE_RAILTYPE_OHLE]:[TRACK_TYPE_NARROW_GAUGE_RAILTYPE_NONE]],_xlfn.LAMBDA(_xlpm.r,OR(_xlpm.r))),FALSE)</f>
        <v>1</v>
      </c>
      <c r="AG741" s="38" t="b" cm="1">
        <f t="array" ref="AG741">IFERROR(_xlfn.BYROW(TRACK_TYPES[[#This Row],[TRACK_TYPE_BROAD_GAUGE_RAILTYPE_OHLE]:[TRACK_TYPE_BROAD_GAUGE_RAILTYPE_NONE]],_xlfn.LAMBDA(_xlpm.r,OR(_xlpm.r))),FALSE)</f>
        <v>1</v>
      </c>
      <c r="AH7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1"/>
      <c r="AQ741"/>
      <c r="AR741"/>
    </row>
    <row r="742" spans="1:44" x14ac:dyDescent="0.35">
      <c r="A742" s="2" t="s">
        <v>106</v>
      </c>
      <c r="B742" s="40" t="str">
        <f>_xlfn.XLOOKUP(PROPERTIES[[#This Row],[VEHIDCODE]],CONTROL[VEHIDCODE],CONTROL[ENGLISH])</f>
        <v>Lightweight Mail Coach</v>
      </c>
      <c r="J742" s="2" t="b">
        <v>1</v>
      </c>
      <c r="R742" s="2" t="b">
        <v>1</v>
      </c>
      <c r="Z742" s="2" t="b">
        <v>1</v>
      </c>
      <c r="AC742" s="2"/>
      <c r="AD742" s="2" t="b">
        <f>LEN(_xlfn.CONCAT(TRACK_TYPES[[#This Row],[TRACK_TYPE_STANDARD_GAUGE_RAILTYPE_OHLE]:[TRACK_TYPE_MTRO]]))&gt;0</f>
        <v>1</v>
      </c>
      <c r="AE742" s="38" t="b" cm="1">
        <f t="array" ref="AE742">IFERROR(_xlfn.BYROW(TRACK_TYPES[[#This Row],[TRACK_TYPE_STANDARD_GAUGE_RAILTYPE_OHLE]:[TRACK_TYPE_STANDARD_GAUGE_RAILTYPE_NONE]],_xlfn.LAMBDA(_xlpm.r,OR(_xlpm.r))),FALSE)</f>
        <v>1</v>
      </c>
      <c r="AF742" s="38" t="b" cm="1">
        <f t="array" ref="AF742">IFERROR(_xlfn.BYROW(TRACK_TYPES[[#This Row],[TRACK_TYPE_NARROW_GAUGE_RAILTYPE_OHLE]:[TRACK_TYPE_NARROW_GAUGE_RAILTYPE_NONE]],_xlfn.LAMBDA(_xlpm.r,OR(_xlpm.r))),FALSE)</f>
        <v>1</v>
      </c>
      <c r="AG742" s="38" t="b" cm="1">
        <f t="array" ref="AG742">IFERROR(_xlfn.BYROW(TRACK_TYPES[[#This Row],[TRACK_TYPE_BROAD_GAUGE_RAILTYPE_OHLE]:[TRACK_TYPE_BROAD_GAUGE_RAILTYPE_NONE]],_xlfn.LAMBDA(_xlpm.r,OR(_xlpm.r))),FALSE)</f>
        <v>1</v>
      </c>
      <c r="AH7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2"/>
      <c r="AQ742"/>
      <c r="AR742"/>
    </row>
    <row r="743" spans="1:44" x14ac:dyDescent="0.35">
      <c r="A743" s="2" t="s">
        <v>107</v>
      </c>
      <c r="B743" s="40" t="str">
        <f>_xlfn.XLOOKUP(PROPERTIES[[#This Row],[VEHIDCODE]],CONTROL[VEHIDCODE],CONTROL[ENGLISH])</f>
        <v>Streamlined Intercity Coach</v>
      </c>
      <c r="J743" s="2" t="b">
        <v>1</v>
      </c>
      <c r="R743" s="2" t="b">
        <v>1</v>
      </c>
      <c r="Z743" s="2" t="b">
        <v>1</v>
      </c>
      <c r="AC743" s="2"/>
      <c r="AD743" s="2" t="b">
        <f>LEN(_xlfn.CONCAT(TRACK_TYPES[[#This Row],[TRACK_TYPE_STANDARD_GAUGE_RAILTYPE_OHLE]:[TRACK_TYPE_MTRO]]))&gt;0</f>
        <v>1</v>
      </c>
      <c r="AE743" s="38" t="b" cm="1">
        <f t="array" ref="AE743">IFERROR(_xlfn.BYROW(TRACK_TYPES[[#This Row],[TRACK_TYPE_STANDARD_GAUGE_RAILTYPE_OHLE]:[TRACK_TYPE_STANDARD_GAUGE_RAILTYPE_NONE]],_xlfn.LAMBDA(_xlpm.r,OR(_xlpm.r))),FALSE)</f>
        <v>1</v>
      </c>
      <c r="AF743" s="38" t="b" cm="1">
        <f t="array" ref="AF743">IFERROR(_xlfn.BYROW(TRACK_TYPES[[#This Row],[TRACK_TYPE_NARROW_GAUGE_RAILTYPE_OHLE]:[TRACK_TYPE_NARROW_GAUGE_RAILTYPE_NONE]],_xlfn.LAMBDA(_xlpm.r,OR(_xlpm.r))),FALSE)</f>
        <v>1</v>
      </c>
      <c r="AG743" s="38" t="b" cm="1">
        <f t="array" ref="AG743">IFERROR(_xlfn.BYROW(TRACK_TYPES[[#This Row],[TRACK_TYPE_BROAD_GAUGE_RAILTYPE_OHLE]:[TRACK_TYPE_BROAD_GAUGE_RAILTYPE_NONE]],_xlfn.LAMBDA(_xlpm.r,OR(_xlpm.r))),FALSE)</f>
        <v>1</v>
      </c>
      <c r="AH7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3"/>
      <c r="AQ743"/>
      <c r="AR743"/>
    </row>
    <row r="744" spans="1:44" x14ac:dyDescent="0.35">
      <c r="A744" s="2" t="s">
        <v>108</v>
      </c>
      <c r="B744" s="40" t="str">
        <f>_xlfn.XLOOKUP(PROPERTIES[[#This Row],[VEHIDCODE]],CONTROL[VEHIDCODE],CONTROL[ENGLISH])</f>
        <v>Streamlined Regional Coach</v>
      </c>
      <c r="J744" s="2" t="b">
        <v>1</v>
      </c>
      <c r="R744" s="2" t="b">
        <v>1</v>
      </c>
      <c r="Z744" s="2" t="b">
        <v>1</v>
      </c>
      <c r="AC744" s="2"/>
      <c r="AD744" s="2" t="b">
        <f>LEN(_xlfn.CONCAT(TRACK_TYPES[[#This Row],[TRACK_TYPE_STANDARD_GAUGE_RAILTYPE_OHLE]:[TRACK_TYPE_MTRO]]))&gt;0</f>
        <v>1</v>
      </c>
      <c r="AE744" s="38" t="b" cm="1">
        <f t="array" ref="AE744">IFERROR(_xlfn.BYROW(TRACK_TYPES[[#This Row],[TRACK_TYPE_STANDARD_GAUGE_RAILTYPE_OHLE]:[TRACK_TYPE_STANDARD_GAUGE_RAILTYPE_NONE]],_xlfn.LAMBDA(_xlpm.r,OR(_xlpm.r))),FALSE)</f>
        <v>1</v>
      </c>
      <c r="AF744" s="38" t="b" cm="1">
        <f t="array" ref="AF744">IFERROR(_xlfn.BYROW(TRACK_TYPES[[#This Row],[TRACK_TYPE_NARROW_GAUGE_RAILTYPE_OHLE]:[TRACK_TYPE_NARROW_GAUGE_RAILTYPE_NONE]],_xlfn.LAMBDA(_xlpm.r,OR(_xlpm.r))),FALSE)</f>
        <v>1</v>
      </c>
      <c r="AG744" s="38" t="b" cm="1">
        <f t="array" ref="AG744">IFERROR(_xlfn.BYROW(TRACK_TYPES[[#This Row],[TRACK_TYPE_BROAD_GAUGE_RAILTYPE_OHLE]:[TRACK_TYPE_BROAD_GAUGE_RAILTYPE_NONE]],_xlfn.LAMBDA(_xlpm.r,OR(_xlpm.r))),FALSE)</f>
        <v>1</v>
      </c>
      <c r="AH7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4"/>
      <c r="AQ744"/>
      <c r="AR744"/>
    </row>
    <row r="745" spans="1:44" x14ac:dyDescent="0.35">
      <c r="A745" s="2" t="s">
        <v>109</v>
      </c>
      <c r="B745" s="40" t="str">
        <f>_xlfn.XLOOKUP(PROPERTIES[[#This Row],[VEHIDCODE]],CONTROL[VEHIDCODE],CONTROL[ENGLISH])</f>
        <v>Streamlined Mail Coach</v>
      </c>
      <c r="J745" s="2" t="b">
        <v>1</v>
      </c>
      <c r="R745" s="2" t="b">
        <v>1</v>
      </c>
      <c r="Z745" s="2" t="b">
        <v>1</v>
      </c>
      <c r="AC745" s="2"/>
      <c r="AD745" s="2" t="b">
        <f>LEN(_xlfn.CONCAT(TRACK_TYPES[[#This Row],[TRACK_TYPE_STANDARD_GAUGE_RAILTYPE_OHLE]:[TRACK_TYPE_MTRO]]))&gt;0</f>
        <v>1</v>
      </c>
      <c r="AE745" s="38" t="b" cm="1">
        <f t="array" ref="AE745">IFERROR(_xlfn.BYROW(TRACK_TYPES[[#This Row],[TRACK_TYPE_STANDARD_GAUGE_RAILTYPE_OHLE]:[TRACK_TYPE_STANDARD_GAUGE_RAILTYPE_NONE]],_xlfn.LAMBDA(_xlpm.r,OR(_xlpm.r))),FALSE)</f>
        <v>1</v>
      </c>
      <c r="AF745" s="38" t="b" cm="1">
        <f t="array" ref="AF745">IFERROR(_xlfn.BYROW(TRACK_TYPES[[#This Row],[TRACK_TYPE_NARROW_GAUGE_RAILTYPE_OHLE]:[TRACK_TYPE_NARROW_GAUGE_RAILTYPE_NONE]],_xlfn.LAMBDA(_xlpm.r,OR(_xlpm.r))),FALSE)</f>
        <v>1</v>
      </c>
      <c r="AG745" s="38" t="b" cm="1">
        <f t="array" ref="AG745">IFERROR(_xlfn.BYROW(TRACK_TYPES[[#This Row],[TRACK_TYPE_BROAD_GAUGE_RAILTYPE_OHLE]:[TRACK_TYPE_BROAD_GAUGE_RAILTYPE_NONE]],_xlfn.LAMBDA(_xlpm.r,OR(_xlpm.r))),FALSE)</f>
        <v>1</v>
      </c>
      <c r="AH7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5"/>
      <c r="AQ745"/>
      <c r="AR745"/>
    </row>
    <row r="746" spans="1:44" x14ac:dyDescent="0.35">
      <c r="A746" s="2" t="s">
        <v>110</v>
      </c>
      <c r="B746" s="40" t="str">
        <f>_xlfn.XLOOKUP(PROPERTIES[[#This Row],[VEHIDCODE]],CONTROL[VEHIDCODE],CONTROL[ENGLISH])</f>
        <v>Gallery Car</v>
      </c>
      <c r="J746" s="2" t="b">
        <v>1</v>
      </c>
      <c r="R746" s="2" t="b">
        <v>1</v>
      </c>
      <c r="Z746" s="2" t="b">
        <v>1</v>
      </c>
      <c r="AC746" s="2"/>
      <c r="AD746" s="2" t="b">
        <f>LEN(_xlfn.CONCAT(TRACK_TYPES[[#This Row],[TRACK_TYPE_STANDARD_GAUGE_RAILTYPE_OHLE]:[TRACK_TYPE_MTRO]]))&gt;0</f>
        <v>1</v>
      </c>
      <c r="AE746" s="38" t="b" cm="1">
        <f t="array" ref="AE746">IFERROR(_xlfn.BYROW(TRACK_TYPES[[#This Row],[TRACK_TYPE_STANDARD_GAUGE_RAILTYPE_OHLE]:[TRACK_TYPE_STANDARD_GAUGE_RAILTYPE_NONE]],_xlfn.LAMBDA(_xlpm.r,OR(_xlpm.r))),FALSE)</f>
        <v>1</v>
      </c>
      <c r="AF746" s="38" t="b" cm="1">
        <f t="array" ref="AF746">IFERROR(_xlfn.BYROW(TRACK_TYPES[[#This Row],[TRACK_TYPE_NARROW_GAUGE_RAILTYPE_OHLE]:[TRACK_TYPE_NARROW_GAUGE_RAILTYPE_NONE]],_xlfn.LAMBDA(_xlpm.r,OR(_xlpm.r))),FALSE)</f>
        <v>1</v>
      </c>
      <c r="AG746" s="38" t="b" cm="1">
        <f t="array" ref="AG746">IFERROR(_xlfn.BYROW(TRACK_TYPES[[#This Row],[TRACK_TYPE_BROAD_GAUGE_RAILTYPE_OHLE]:[TRACK_TYPE_BROAD_GAUGE_RAILTYPE_NONE]],_xlfn.LAMBDA(_xlpm.r,OR(_xlpm.r))),FALSE)</f>
        <v>1</v>
      </c>
      <c r="AH7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6"/>
      <c r="AQ746"/>
      <c r="AR746"/>
    </row>
    <row r="747" spans="1:44" x14ac:dyDescent="0.35">
      <c r="A747" s="2" t="s">
        <v>111</v>
      </c>
      <c r="B747" s="40" t="str">
        <f>_xlfn.XLOOKUP(PROPERTIES[[#This Row],[VEHIDCODE]],CONTROL[VEHIDCODE],CONTROL[ENGLISH])</f>
        <v>Mk1 Intercity Coach</v>
      </c>
      <c r="J747" s="2" t="b">
        <v>1</v>
      </c>
      <c r="R747" s="2" t="b">
        <v>1</v>
      </c>
      <c r="Z747" s="2" t="b">
        <v>1</v>
      </c>
      <c r="AC747" s="2"/>
      <c r="AD747" s="2" t="b">
        <f>LEN(_xlfn.CONCAT(TRACK_TYPES[[#This Row],[TRACK_TYPE_STANDARD_GAUGE_RAILTYPE_OHLE]:[TRACK_TYPE_MTRO]]))&gt;0</f>
        <v>1</v>
      </c>
      <c r="AE747" s="38" t="b" cm="1">
        <f t="array" ref="AE747">IFERROR(_xlfn.BYROW(TRACK_TYPES[[#This Row],[TRACK_TYPE_STANDARD_GAUGE_RAILTYPE_OHLE]:[TRACK_TYPE_STANDARD_GAUGE_RAILTYPE_NONE]],_xlfn.LAMBDA(_xlpm.r,OR(_xlpm.r))),FALSE)</f>
        <v>1</v>
      </c>
      <c r="AF747" s="38" t="b" cm="1">
        <f t="array" ref="AF747">IFERROR(_xlfn.BYROW(TRACK_TYPES[[#This Row],[TRACK_TYPE_NARROW_GAUGE_RAILTYPE_OHLE]:[TRACK_TYPE_NARROW_GAUGE_RAILTYPE_NONE]],_xlfn.LAMBDA(_xlpm.r,OR(_xlpm.r))),FALSE)</f>
        <v>1</v>
      </c>
      <c r="AG747" s="38" t="b" cm="1">
        <f t="array" ref="AG747">IFERROR(_xlfn.BYROW(TRACK_TYPES[[#This Row],[TRACK_TYPE_BROAD_GAUGE_RAILTYPE_OHLE]:[TRACK_TYPE_BROAD_GAUGE_RAILTYPE_NONE]],_xlfn.LAMBDA(_xlpm.r,OR(_xlpm.r))),FALSE)</f>
        <v>1</v>
      </c>
      <c r="AH7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7"/>
      <c r="AQ747"/>
      <c r="AR747"/>
    </row>
    <row r="748" spans="1:44" x14ac:dyDescent="0.35">
      <c r="A748" s="2" t="s">
        <v>112</v>
      </c>
      <c r="B748" s="40" t="str">
        <f>_xlfn.XLOOKUP(PROPERTIES[[#This Row],[VEHIDCODE]],CONTROL[VEHIDCODE],CONTROL[ENGLISH])</f>
        <v>Mk1 Regional Coach</v>
      </c>
      <c r="J748" s="2" t="b">
        <v>1</v>
      </c>
      <c r="R748" s="2" t="b">
        <v>1</v>
      </c>
      <c r="Z748" s="2" t="b">
        <v>1</v>
      </c>
      <c r="AC748" s="2"/>
      <c r="AD748" s="2" t="b">
        <f>LEN(_xlfn.CONCAT(TRACK_TYPES[[#This Row],[TRACK_TYPE_STANDARD_GAUGE_RAILTYPE_OHLE]:[TRACK_TYPE_MTRO]]))&gt;0</f>
        <v>1</v>
      </c>
      <c r="AE748" s="38" t="b" cm="1">
        <f t="array" ref="AE748">IFERROR(_xlfn.BYROW(TRACK_TYPES[[#This Row],[TRACK_TYPE_STANDARD_GAUGE_RAILTYPE_OHLE]:[TRACK_TYPE_STANDARD_GAUGE_RAILTYPE_NONE]],_xlfn.LAMBDA(_xlpm.r,OR(_xlpm.r))),FALSE)</f>
        <v>1</v>
      </c>
      <c r="AF748" s="38" t="b" cm="1">
        <f t="array" ref="AF748">IFERROR(_xlfn.BYROW(TRACK_TYPES[[#This Row],[TRACK_TYPE_NARROW_GAUGE_RAILTYPE_OHLE]:[TRACK_TYPE_NARROW_GAUGE_RAILTYPE_NONE]],_xlfn.LAMBDA(_xlpm.r,OR(_xlpm.r))),FALSE)</f>
        <v>1</v>
      </c>
      <c r="AG748" s="38" t="b" cm="1">
        <f t="array" ref="AG748">IFERROR(_xlfn.BYROW(TRACK_TYPES[[#This Row],[TRACK_TYPE_BROAD_GAUGE_RAILTYPE_OHLE]:[TRACK_TYPE_BROAD_GAUGE_RAILTYPE_NONE]],_xlfn.LAMBDA(_xlpm.r,OR(_xlpm.r))),FALSE)</f>
        <v>1</v>
      </c>
      <c r="AH7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8"/>
      <c r="AQ748"/>
      <c r="AR748"/>
    </row>
    <row r="749" spans="1:44" x14ac:dyDescent="0.35">
      <c r="A749" s="2" t="s">
        <v>113</v>
      </c>
      <c r="B749" s="40" t="str">
        <f>_xlfn.XLOOKUP(PROPERTIES[[#This Row],[VEHIDCODE]],CONTROL[VEHIDCODE],CONTROL[ENGLISH])</f>
        <v>Mk1 Mail Coach</v>
      </c>
      <c r="J749" s="2" t="b">
        <v>1</v>
      </c>
      <c r="R749" s="2" t="b">
        <v>1</v>
      </c>
      <c r="Z749" s="2" t="b">
        <v>1</v>
      </c>
      <c r="AC749" s="2"/>
      <c r="AD749" s="2" t="b">
        <f>LEN(_xlfn.CONCAT(TRACK_TYPES[[#This Row],[TRACK_TYPE_STANDARD_GAUGE_RAILTYPE_OHLE]:[TRACK_TYPE_MTRO]]))&gt;0</f>
        <v>1</v>
      </c>
      <c r="AE749" s="38" t="b" cm="1">
        <f t="array" ref="AE749">IFERROR(_xlfn.BYROW(TRACK_TYPES[[#This Row],[TRACK_TYPE_STANDARD_GAUGE_RAILTYPE_OHLE]:[TRACK_TYPE_STANDARD_GAUGE_RAILTYPE_NONE]],_xlfn.LAMBDA(_xlpm.r,OR(_xlpm.r))),FALSE)</f>
        <v>1</v>
      </c>
      <c r="AF749" s="38" t="b" cm="1">
        <f t="array" ref="AF749">IFERROR(_xlfn.BYROW(TRACK_TYPES[[#This Row],[TRACK_TYPE_NARROW_GAUGE_RAILTYPE_OHLE]:[TRACK_TYPE_NARROW_GAUGE_RAILTYPE_NONE]],_xlfn.LAMBDA(_xlpm.r,OR(_xlpm.r))),FALSE)</f>
        <v>1</v>
      </c>
      <c r="AG749" s="38" t="b" cm="1">
        <f t="array" ref="AG749">IFERROR(_xlfn.BYROW(TRACK_TYPES[[#This Row],[TRACK_TYPE_BROAD_GAUGE_RAILTYPE_OHLE]:[TRACK_TYPE_BROAD_GAUGE_RAILTYPE_NONE]],_xlfn.LAMBDA(_xlpm.r,OR(_xlpm.r))),FALSE)</f>
        <v>1</v>
      </c>
      <c r="AH7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9"/>
      <c r="AQ749"/>
      <c r="AR749"/>
    </row>
    <row r="750" spans="1:44" x14ac:dyDescent="0.35">
      <c r="A750" s="2" t="s">
        <v>114</v>
      </c>
      <c r="B750" s="40" t="str">
        <f>_xlfn.XLOOKUP(PROPERTIES[[#This Row],[VEHIDCODE]],CONTROL[VEHIDCODE],CONTROL[ENGLISH])</f>
        <v>UIC-X Intercity Coach</v>
      </c>
      <c r="J750" s="2" t="b">
        <v>1</v>
      </c>
      <c r="R750" s="2" t="b">
        <v>1</v>
      </c>
      <c r="Z750" s="2" t="b">
        <v>1</v>
      </c>
      <c r="AC750" s="2"/>
      <c r="AD750" s="2" t="b">
        <f>LEN(_xlfn.CONCAT(TRACK_TYPES[[#This Row],[TRACK_TYPE_STANDARD_GAUGE_RAILTYPE_OHLE]:[TRACK_TYPE_MTRO]]))&gt;0</f>
        <v>1</v>
      </c>
      <c r="AE750" s="38" t="b" cm="1">
        <f t="array" ref="AE750">IFERROR(_xlfn.BYROW(TRACK_TYPES[[#This Row],[TRACK_TYPE_STANDARD_GAUGE_RAILTYPE_OHLE]:[TRACK_TYPE_STANDARD_GAUGE_RAILTYPE_NONE]],_xlfn.LAMBDA(_xlpm.r,OR(_xlpm.r))),FALSE)</f>
        <v>1</v>
      </c>
      <c r="AF750" s="38" t="b" cm="1">
        <f t="array" ref="AF750">IFERROR(_xlfn.BYROW(TRACK_TYPES[[#This Row],[TRACK_TYPE_NARROW_GAUGE_RAILTYPE_OHLE]:[TRACK_TYPE_NARROW_GAUGE_RAILTYPE_NONE]],_xlfn.LAMBDA(_xlpm.r,OR(_xlpm.r))),FALSE)</f>
        <v>1</v>
      </c>
      <c r="AG750" s="38" t="b" cm="1">
        <f t="array" ref="AG750">IFERROR(_xlfn.BYROW(TRACK_TYPES[[#This Row],[TRACK_TYPE_BROAD_GAUGE_RAILTYPE_OHLE]:[TRACK_TYPE_BROAD_GAUGE_RAILTYPE_NONE]],_xlfn.LAMBDA(_xlpm.r,OR(_xlpm.r))),FALSE)</f>
        <v>1</v>
      </c>
      <c r="AH7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0"/>
      <c r="AQ750"/>
      <c r="AR750"/>
    </row>
    <row r="751" spans="1:44" x14ac:dyDescent="0.35">
      <c r="A751" s="2" t="s">
        <v>115</v>
      </c>
      <c r="B751" s="40" t="str">
        <f>_xlfn.XLOOKUP(PROPERTIES[[#This Row],[VEHIDCODE]],CONTROL[VEHIDCODE],CONTROL[ENGLISH])</f>
        <v>TEE Intercity Coach</v>
      </c>
      <c r="J751" s="2" t="b">
        <v>1</v>
      </c>
      <c r="R751" s="2" t="b">
        <v>1</v>
      </c>
      <c r="Z751" s="2" t="b">
        <v>1</v>
      </c>
      <c r="AC751" s="2"/>
      <c r="AD751" s="2" t="b">
        <f>LEN(_xlfn.CONCAT(TRACK_TYPES[[#This Row],[TRACK_TYPE_STANDARD_GAUGE_RAILTYPE_OHLE]:[TRACK_TYPE_MTRO]]))&gt;0</f>
        <v>1</v>
      </c>
      <c r="AE751" s="38" t="b" cm="1">
        <f t="array" ref="AE751">IFERROR(_xlfn.BYROW(TRACK_TYPES[[#This Row],[TRACK_TYPE_STANDARD_GAUGE_RAILTYPE_OHLE]:[TRACK_TYPE_STANDARD_GAUGE_RAILTYPE_NONE]],_xlfn.LAMBDA(_xlpm.r,OR(_xlpm.r))),FALSE)</f>
        <v>1</v>
      </c>
      <c r="AF751" s="38" t="b" cm="1">
        <f t="array" ref="AF751">IFERROR(_xlfn.BYROW(TRACK_TYPES[[#This Row],[TRACK_TYPE_NARROW_GAUGE_RAILTYPE_OHLE]:[TRACK_TYPE_NARROW_GAUGE_RAILTYPE_NONE]],_xlfn.LAMBDA(_xlpm.r,OR(_xlpm.r))),FALSE)</f>
        <v>1</v>
      </c>
      <c r="AG751" s="38" t="b" cm="1">
        <f t="array" ref="AG751">IFERROR(_xlfn.BYROW(TRACK_TYPES[[#This Row],[TRACK_TYPE_BROAD_GAUGE_RAILTYPE_OHLE]:[TRACK_TYPE_BROAD_GAUGE_RAILTYPE_NONE]],_xlfn.LAMBDA(_xlpm.r,OR(_xlpm.r))),FALSE)</f>
        <v>1</v>
      </c>
      <c r="AH7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1"/>
      <c r="AQ751"/>
      <c r="AR751"/>
    </row>
    <row r="752" spans="1:44" x14ac:dyDescent="0.35">
      <c r="A752" s="2" t="s">
        <v>116</v>
      </c>
      <c r="B752" s="40" t="str">
        <f>_xlfn.XLOOKUP(PROPERTIES[[#This Row],[VEHIDCODE]],CONTROL[VEHIDCODE],CONTROL[ENGLISH])</f>
        <v>UIC-X Regional Coach</v>
      </c>
      <c r="J752" s="2" t="b">
        <v>1</v>
      </c>
      <c r="R752" s="2" t="b">
        <v>1</v>
      </c>
      <c r="Z752" s="2" t="b">
        <v>1</v>
      </c>
      <c r="AC752" s="2"/>
      <c r="AD752" s="2" t="b">
        <f>LEN(_xlfn.CONCAT(TRACK_TYPES[[#This Row],[TRACK_TYPE_STANDARD_GAUGE_RAILTYPE_OHLE]:[TRACK_TYPE_MTRO]]))&gt;0</f>
        <v>1</v>
      </c>
      <c r="AE752" s="38" t="b" cm="1">
        <f t="array" ref="AE752">IFERROR(_xlfn.BYROW(TRACK_TYPES[[#This Row],[TRACK_TYPE_STANDARD_GAUGE_RAILTYPE_OHLE]:[TRACK_TYPE_STANDARD_GAUGE_RAILTYPE_NONE]],_xlfn.LAMBDA(_xlpm.r,OR(_xlpm.r))),FALSE)</f>
        <v>1</v>
      </c>
      <c r="AF752" s="38" t="b" cm="1">
        <f t="array" ref="AF752">IFERROR(_xlfn.BYROW(TRACK_TYPES[[#This Row],[TRACK_TYPE_NARROW_GAUGE_RAILTYPE_OHLE]:[TRACK_TYPE_NARROW_GAUGE_RAILTYPE_NONE]],_xlfn.LAMBDA(_xlpm.r,OR(_xlpm.r))),FALSE)</f>
        <v>1</v>
      </c>
      <c r="AG752" s="38" t="b" cm="1">
        <f t="array" ref="AG752">IFERROR(_xlfn.BYROW(TRACK_TYPES[[#This Row],[TRACK_TYPE_BROAD_GAUGE_RAILTYPE_OHLE]:[TRACK_TYPE_BROAD_GAUGE_RAILTYPE_NONE]],_xlfn.LAMBDA(_xlpm.r,OR(_xlpm.r))),FALSE)</f>
        <v>1</v>
      </c>
      <c r="AH7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2"/>
      <c r="AQ752"/>
      <c r="AR752"/>
    </row>
    <row r="753" spans="1:44" x14ac:dyDescent="0.35">
      <c r="A753" s="2" t="s">
        <v>117</v>
      </c>
      <c r="B753" s="40" t="str">
        <f>_xlfn.XLOOKUP(PROPERTIES[[#This Row],[VEHIDCODE]],CONTROL[VEHIDCODE],CONTROL[ENGLISH])</f>
        <v>'Umbauwagen' Local Coach</v>
      </c>
      <c r="J753" s="2" t="b">
        <v>1</v>
      </c>
      <c r="R753" s="2" t="b">
        <v>1</v>
      </c>
      <c r="Z753" s="2" t="b">
        <v>1</v>
      </c>
      <c r="AC753" s="2"/>
      <c r="AD753" s="2" t="b">
        <f>LEN(_xlfn.CONCAT(TRACK_TYPES[[#This Row],[TRACK_TYPE_STANDARD_GAUGE_RAILTYPE_OHLE]:[TRACK_TYPE_MTRO]]))&gt;0</f>
        <v>1</v>
      </c>
      <c r="AE753" s="38" t="b" cm="1">
        <f t="array" ref="AE753">IFERROR(_xlfn.BYROW(TRACK_TYPES[[#This Row],[TRACK_TYPE_STANDARD_GAUGE_RAILTYPE_OHLE]:[TRACK_TYPE_STANDARD_GAUGE_RAILTYPE_NONE]],_xlfn.LAMBDA(_xlpm.r,OR(_xlpm.r))),FALSE)</f>
        <v>1</v>
      </c>
      <c r="AF753" s="38" t="b" cm="1">
        <f t="array" ref="AF753">IFERROR(_xlfn.BYROW(TRACK_TYPES[[#This Row],[TRACK_TYPE_NARROW_GAUGE_RAILTYPE_OHLE]:[TRACK_TYPE_NARROW_GAUGE_RAILTYPE_NONE]],_xlfn.LAMBDA(_xlpm.r,OR(_xlpm.r))),FALSE)</f>
        <v>1</v>
      </c>
      <c r="AG753" s="38" t="b" cm="1">
        <f t="array" ref="AG753">IFERROR(_xlfn.BYROW(TRACK_TYPES[[#This Row],[TRACK_TYPE_BROAD_GAUGE_RAILTYPE_OHLE]:[TRACK_TYPE_BROAD_GAUGE_RAILTYPE_NONE]],_xlfn.LAMBDA(_xlpm.r,OR(_xlpm.r))),FALSE)</f>
        <v>1</v>
      </c>
      <c r="AH7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3"/>
      <c r="AQ753"/>
      <c r="AR753"/>
    </row>
    <row r="754" spans="1:44" x14ac:dyDescent="0.35">
      <c r="A754" s="2" t="s">
        <v>3601</v>
      </c>
      <c r="B754" s="40" t="str">
        <f>_xlfn.XLOOKUP(PROPERTIES[[#This Row],[VEHIDCODE]],CONTROL[VEHIDCODE],CONTROL[ENGLISH])</f>
        <v>Goerlitz Double Decker Coach</v>
      </c>
      <c r="J754" s="2" t="b">
        <v>1</v>
      </c>
      <c r="R754" s="2" t="b">
        <v>1</v>
      </c>
      <c r="Z754" s="2" t="b">
        <v>1</v>
      </c>
      <c r="AC754" s="2"/>
      <c r="AD754" s="2" t="b">
        <f>LEN(_xlfn.CONCAT(TRACK_TYPES[[#This Row],[TRACK_TYPE_STANDARD_GAUGE_RAILTYPE_OHLE]:[TRACK_TYPE_MTRO]]))&gt;0</f>
        <v>1</v>
      </c>
      <c r="AE754" s="38" t="b" cm="1">
        <f t="array" ref="AE754">IFERROR(_xlfn.BYROW(TRACK_TYPES[[#This Row],[TRACK_TYPE_STANDARD_GAUGE_RAILTYPE_OHLE]:[TRACK_TYPE_STANDARD_GAUGE_RAILTYPE_NONE]],_xlfn.LAMBDA(_xlpm.r,OR(_xlpm.r))),FALSE)</f>
        <v>1</v>
      </c>
      <c r="AF754" s="38" t="b" cm="1">
        <f t="array" ref="AF754">IFERROR(_xlfn.BYROW(TRACK_TYPES[[#This Row],[TRACK_TYPE_NARROW_GAUGE_RAILTYPE_OHLE]:[TRACK_TYPE_NARROW_GAUGE_RAILTYPE_NONE]],_xlfn.LAMBDA(_xlpm.r,OR(_xlpm.r))),FALSE)</f>
        <v>1</v>
      </c>
      <c r="AG754" s="38" t="b" cm="1">
        <f t="array" ref="AG754">IFERROR(_xlfn.BYROW(TRACK_TYPES[[#This Row],[TRACK_TYPE_BROAD_GAUGE_RAILTYPE_OHLE]:[TRACK_TYPE_BROAD_GAUGE_RAILTYPE_NONE]],_xlfn.LAMBDA(_xlpm.r,OR(_xlpm.r))),FALSE)</f>
        <v>1</v>
      </c>
      <c r="AH7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4"/>
      <c r="AQ754"/>
      <c r="AR754"/>
    </row>
    <row r="755" spans="1:44" x14ac:dyDescent="0.35">
      <c r="A755" s="2" t="s">
        <v>118</v>
      </c>
      <c r="B755" s="40" t="str">
        <f>_xlfn.XLOOKUP(PROPERTIES[[#This Row],[VEHIDCODE]],CONTROL[VEHIDCODE],CONTROL[ENGLISH])</f>
        <v>UIC-X Mail Coach</v>
      </c>
      <c r="J755" s="2" t="b">
        <v>1</v>
      </c>
      <c r="R755" s="2" t="b">
        <v>1</v>
      </c>
      <c r="Z755" s="2" t="b">
        <v>1</v>
      </c>
      <c r="AC755" s="2"/>
      <c r="AD755" s="2" t="b">
        <f>LEN(_xlfn.CONCAT(TRACK_TYPES[[#This Row],[TRACK_TYPE_STANDARD_GAUGE_RAILTYPE_OHLE]:[TRACK_TYPE_MTRO]]))&gt;0</f>
        <v>1</v>
      </c>
      <c r="AE755" s="38" t="b" cm="1">
        <f t="array" ref="AE755">IFERROR(_xlfn.BYROW(TRACK_TYPES[[#This Row],[TRACK_TYPE_STANDARD_GAUGE_RAILTYPE_OHLE]:[TRACK_TYPE_STANDARD_GAUGE_RAILTYPE_NONE]],_xlfn.LAMBDA(_xlpm.r,OR(_xlpm.r))),FALSE)</f>
        <v>1</v>
      </c>
      <c r="AF755" s="38" t="b" cm="1">
        <f t="array" ref="AF755">IFERROR(_xlfn.BYROW(TRACK_TYPES[[#This Row],[TRACK_TYPE_NARROW_GAUGE_RAILTYPE_OHLE]:[TRACK_TYPE_NARROW_GAUGE_RAILTYPE_NONE]],_xlfn.LAMBDA(_xlpm.r,OR(_xlpm.r))),FALSE)</f>
        <v>1</v>
      </c>
      <c r="AG755" s="38" t="b" cm="1">
        <f t="array" ref="AG755">IFERROR(_xlfn.BYROW(TRACK_TYPES[[#This Row],[TRACK_TYPE_BROAD_GAUGE_RAILTYPE_OHLE]:[TRACK_TYPE_BROAD_GAUGE_RAILTYPE_NONE]],_xlfn.LAMBDA(_xlpm.r,OR(_xlpm.r))),FALSE)</f>
        <v>1</v>
      </c>
      <c r="AH7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5"/>
      <c r="AQ755"/>
      <c r="AR755"/>
    </row>
    <row r="756" spans="1:44" x14ac:dyDescent="0.35">
      <c r="A756" s="2" t="s">
        <v>119</v>
      </c>
      <c r="B756" s="40" t="str">
        <f>_xlfn.XLOOKUP(PROPERTIES[[#This Row],[VEHIDCODE]],CONTROL[VEHIDCODE],CONTROL[ENGLISH])</f>
        <v>Indian Intercity Coach</v>
      </c>
      <c r="Z756" s="2" t="b">
        <v>1</v>
      </c>
      <c r="AC756" s="2"/>
      <c r="AD756" s="2" t="b">
        <f>LEN(_xlfn.CONCAT(TRACK_TYPES[[#This Row],[TRACK_TYPE_STANDARD_GAUGE_RAILTYPE_OHLE]:[TRACK_TYPE_MTRO]]))&gt;0</f>
        <v>1</v>
      </c>
      <c r="AE756" s="38" t="b" cm="1">
        <f t="array" ref="AE756">IFERROR(_xlfn.BYROW(TRACK_TYPES[[#This Row],[TRACK_TYPE_STANDARD_GAUGE_RAILTYPE_OHLE]:[TRACK_TYPE_STANDARD_GAUGE_RAILTYPE_NONE]],_xlfn.LAMBDA(_xlpm.r,OR(_xlpm.r))),FALSE)</f>
        <v>0</v>
      </c>
      <c r="AF756" s="38" t="b" cm="1">
        <f t="array" ref="AF756">IFERROR(_xlfn.BYROW(TRACK_TYPES[[#This Row],[TRACK_TYPE_NARROW_GAUGE_RAILTYPE_OHLE]:[TRACK_TYPE_NARROW_GAUGE_RAILTYPE_NONE]],_xlfn.LAMBDA(_xlpm.r,OR(_xlpm.r))),FALSE)</f>
        <v>0</v>
      </c>
      <c r="AG756" s="38" t="b" cm="1">
        <f t="array" ref="AG756">IFERROR(_xlfn.BYROW(TRACK_TYPES[[#This Row],[TRACK_TYPE_BROAD_GAUGE_RAILTYPE_OHLE]:[TRACK_TYPE_BROAD_GAUGE_RAILTYPE_NONE]],_xlfn.LAMBDA(_xlpm.r,OR(_xlpm.r))),FALSE)</f>
        <v>1</v>
      </c>
      <c r="AH7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56"/>
      <c r="AQ756"/>
      <c r="AR756"/>
    </row>
    <row r="757" spans="1:44" x14ac:dyDescent="0.35">
      <c r="A757" s="2" t="s">
        <v>120</v>
      </c>
      <c r="B757" s="40" t="str">
        <f>_xlfn.XLOOKUP(PROPERTIES[[#This Row],[VEHIDCODE]],CONTROL[VEHIDCODE],CONTROL[ENGLISH])</f>
        <v>Indian Local Coach</v>
      </c>
      <c r="Z757" s="2" t="b">
        <v>1</v>
      </c>
      <c r="AC757" s="2"/>
      <c r="AD757" s="2" t="b">
        <f>LEN(_xlfn.CONCAT(TRACK_TYPES[[#This Row],[TRACK_TYPE_STANDARD_GAUGE_RAILTYPE_OHLE]:[TRACK_TYPE_MTRO]]))&gt;0</f>
        <v>1</v>
      </c>
      <c r="AE757" s="38" t="b" cm="1">
        <f t="array" ref="AE757">IFERROR(_xlfn.BYROW(TRACK_TYPES[[#This Row],[TRACK_TYPE_STANDARD_GAUGE_RAILTYPE_OHLE]:[TRACK_TYPE_STANDARD_GAUGE_RAILTYPE_NONE]],_xlfn.LAMBDA(_xlpm.r,OR(_xlpm.r))),FALSE)</f>
        <v>0</v>
      </c>
      <c r="AF757" s="38" t="b" cm="1">
        <f t="array" ref="AF757">IFERROR(_xlfn.BYROW(TRACK_TYPES[[#This Row],[TRACK_TYPE_NARROW_GAUGE_RAILTYPE_OHLE]:[TRACK_TYPE_NARROW_GAUGE_RAILTYPE_NONE]],_xlfn.LAMBDA(_xlpm.r,OR(_xlpm.r))),FALSE)</f>
        <v>0</v>
      </c>
      <c r="AG757" s="38" t="b" cm="1">
        <f t="array" ref="AG757">IFERROR(_xlfn.BYROW(TRACK_TYPES[[#This Row],[TRACK_TYPE_BROAD_GAUGE_RAILTYPE_OHLE]:[TRACK_TYPE_BROAD_GAUGE_RAILTYPE_NONE]],_xlfn.LAMBDA(_xlpm.r,OR(_xlpm.r))),FALSE)</f>
        <v>1</v>
      </c>
      <c r="AH7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57"/>
      <c r="AQ757"/>
      <c r="AR757"/>
    </row>
    <row r="758" spans="1:44" x14ac:dyDescent="0.35">
      <c r="A758" s="2" t="s">
        <v>121</v>
      </c>
      <c r="B758" s="40" t="str">
        <f>_xlfn.XLOOKUP(PROPERTIES[[#This Row],[VEHIDCODE]],CONTROL[VEHIDCODE],CONTROL[ENGLISH])</f>
        <v>Indian Regional Coach</v>
      </c>
      <c r="Z758" s="2" t="b">
        <v>1</v>
      </c>
      <c r="AC758" s="2"/>
      <c r="AD758" s="2" t="b">
        <f>LEN(_xlfn.CONCAT(TRACK_TYPES[[#This Row],[TRACK_TYPE_STANDARD_GAUGE_RAILTYPE_OHLE]:[TRACK_TYPE_MTRO]]))&gt;0</f>
        <v>1</v>
      </c>
      <c r="AE758" s="38" t="b" cm="1">
        <f t="array" ref="AE758">IFERROR(_xlfn.BYROW(TRACK_TYPES[[#This Row],[TRACK_TYPE_STANDARD_GAUGE_RAILTYPE_OHLE]:[TRACK_TYPE_STANDARD_GAUGE_RAILTYPE_NONE]],_xlfn.LAMBDA(_xlpm.r,OR(_xlpm.r))),FALSE)</f>
        <v>0</v>
      </c>
      <c r="AF758" s="38" t="b" cm="1">
        <f t="array" ref="AF758">IFERROR(_xlfn.BYROW(TRACK_TYPES[[#This Row],[TRACK_TYPE_NARROW_GAUGE_RAILTYPE_OHLE]:[TRACK_TYPE_NARROW_GAUGE_RAILTYPE_NONE]],_xlfn.LAMBDA(_xlpm.r,OR(_xlpm.r))),FALSE)</f>
        <v>0</v>
      </c>
      <c r="AG758" s="38" t="b" cm="1">
        <f t="array" ref="AG758">IFERROR(_xlfn.BYROW(TRACK_TYPES[[#This Row],[TRACK_TYPE_BROAD_GAUGE_RAILTYPE_OHLE]:[TRACK_TYPE_BROAD_GAUGE_RAILTYPE_NONE]],_xlfn.LAMBDA(_xlpm.r,OR(_xlpm.r))),FALSE)</f>
        <v>1</v>
      </c>
      <c r="AH7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58"/>
      <c r="AQ758"/>
      <c r="AR758"/>
    </row>
    <row r="759" spans="1:44" x14ac:dyDescent="0.35">
      <c r="A759" s="2" t="s">
        <v>122</v>
      </c>
      <c r="B759" s="40" t="str">
        <f>_xlfn.XLOOKUP(PROPERTIES[[#This Row],[VEHIDCODE]],CONTROL[VEHIDCODE],CONTROL[ENGLISH])</f>
        <v>Indian Mail Coach</v>
      </c>
      <c r="Z759" s="2" t="b">
        <v>1</v>
      </c>
      <c r="AC759" s="2"/>
      <c r="AD759" s="2" t="b">
        <f>LEN(_xlfn.CONCAT(TRACK_TYPES[[#This Row],[TRACK_TYPE_STANDARD_GAUGE_RAILTYPE_OHLE]:[TRACK_TYPE_MTRO]]))&gt;0</f>
        <v>1</v>
      </c>
      <c r="AE759" s="38" t="b" cm="1">
        <f t="array" ref="AE759">IFERROR(_xlfn.BYROW(TRACK_TYPES[[#This Row],[TRACK_TYPE_STANDARD_GAUGE_RAILTYPE_OHLE]:[TRACK_TYPE_STANDARD_GAUGE_RAILTYPE_NONE]],_xlfn.LAMBDA(_xlpm.r,OR(_xlpm.r))),FALSE)</f>
        <v>0</v>
      </c>
      <c r="AF759" s="38" t="b" cm="1">
        <f t="array" ref="AF759">IFERROR(_xlfn.BYROW(TRACK_TYPES[[#This Row],[TRACK_TYPE_NARROW_GAUGE_RAILTYPE_OHLE]:[TRACK_TYPE_NARROW_GAUGE_RAILTYPE_NONE]],_xlfn.LAMBDA(_xlpm.r,OR(_xlpm.r))),FALSE)</f>
        <v>0</v>
      </c>
      <c r="AG759" s="38" t="b" cm="1">
        <f t="array" ref="AG759">IFERROR(_xlfn.BYROW(TRACK_TYPES[[#This Row],[TRACK_TYPE_BROAD_GAUGE_RAILTYPE_OHLE]:[TRACK_TYPE_BROAD_GAUGE_RAILTYPE_NONE]],_xlfn.LAMBDA(_xlpm.r,OR(_xlpm.r))),FALSE)</f>
        <v>1</v>
      </c>
      <c r="AH7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59"/>
      <c r="AQ759"/>
      <c r="AR759"/>
    </row>
    <row r="760" spans="1:44" x14ac:dyDescent="0.35">
      <c r="A760" s="2" t="s">
        <v>123</v>
      </c>
      <c r="B760" s="40" t="str">
        <f>_xlfn.XLOOKUP(PROPERTIES[[#This Row],[VEHIDCODE]],CONTROL[VEHIDCODE],CONTROL[ENGLISH])</f>
        <v>Eurofima Coach</v>
      </c>
      <c r="J760" s="2" t="b">
        <v>1</v>
      </c>
      <c r="R760" s="2" t="b">
        <v>1</v>
      </c>
      <c r="Z760" s="2" t="b">
        <v>1</v>
      </c>
      <c r="AC760" s="2"/>
      <c r="AD760" s="2" t="b">
        <f>LEN(_xlfn.CONCAT(TRACK_TYPES[[#This Row],[TRACK_TYPE_STANDARD_GAUGE_RAILTYPE_OHLE]:[TRACK_TYPE_MTRO]]))&gt;0</f>
        <v>1</v>
      </c>
      <c r="AE760" s="38" t="b" cm="1">
        <f t="array" ref="AE760">IFERROR(_xlfn.BYROW(TRACK_TYPES[[#This Row],[TRACK_TYPE_STANDARD_GAUGE_RAILTYPE_OHLE]:[TRACK_TYPE_STANDARD_GAUGE_RAILTYPE_NONE]],_xlfn.LAMBDA(_xlpm.r,OR(_xlpm.r))),FALSE)</f>
        <v>1</v>
      </c>
      <c r="AF760" s="38" t="b" cm="1">
        <f t="array" ref="AF760">IFERROR(_xlfn.BYROW(TRACK_TYPES[[#This Row],[TRACK_TYPE_NARROW_GAUGE_RAILTYPE_OHLE]:[TRACK_TYPE_NARROW_GAUGE_RAILTYPE_NONE]],_xlfn.LAMBDA(_xlpm.r,OR(_xlpm.r))),FALSE)</f>
        <v>1</v>
      </c>
      <c r="AG760" s="38" t="b" cm="1">
        <f t="array" ref="AG760">IFERROR(_xlfn.BYROW(TRACK_TYPES[[#This Row],[TRACK_TYPE_BROAD_GAUGE_RAILTYPE_OHLE]:[TRACK_TYPE_BROAD_GAUGE_RAILTYPE_NONE]],_xlfn.LAMBDA(_xlpm.r,OR(_xlpm.r))),FALSE)</f>
        <v>1</v>
      </c>
      <c r="AH7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0"/>
      <c r="AQ760"/>
      <c r="AR760"/>
    </row>
    <row r="761" spans="1:44" x14ac:dyDescent="0.35">
      <c r="A761" s="2" t="s">
        <v>124</v>
      </c>
      <c r="B761" s="40" t="str">
        <f>_xlfn.XLOOKUP(PROPERTIES[[#This Row],[VEHIDCODE]],CONTROL[VEHIDCODE],CONTROL[ENGLISH])</f>
        <v>InterRegio Coach</v>
      </c>
      <c r="J761" s="2" t="b">
        <v>1</v>
      </c>
      <c r="R761" s="2" t="b">
        <v>1</v>
      </c>
      <c r="Z761" s="2" t="b">
        <v>1</v>
      </c>
      <c r="AC761" s="2"/>
      <c r="AD761" s="2" t="b">
        <f>LEN(_xlfn.CONCAT(TRACK_TYPES[[#This Row],[TRACK_TYPE_STANDARD_GAUGE_RAILTYPE_OHLE]:[TRACK_TYPE_MTRO]]))&gt;0</f>
        <v>1</v>
      </c>
      <c r="AE761" s="38" t="b" cm="1">
        <f t="array" ref="AE761">IFERROR(_xlfn.BYROW(TRACK_TYPES[[#This Row],[TRACK_TYPE_STANDARD_GAUGE_RAILTYPE_OHLE]:[TRACK_TYPE_STANDARD_GAUGE_RAILTYPE_NONE]],_xlfn.LAMBDA(_xlpm.r,OR(_xlpm.r))),FALSE)</f>
        <v>1</v>
      </c>
      <c r="AF761" s="38" t="b" cm="1">
        <f t="array" ref="AF761">IFERROR(_xlfn.BYROW(TRACK_TYPES[[#This Row],[TRACK_TYPE_NARROW_GAUGE_RAILTYPE_OHLE]:[TRACK_TYPE_NARROW_GAUGE_RAILTYPE_NONE]],_xlfn.LAMBDA(_xlpm.r,OR(_xlpm.r))),FALSE)</f>
        <v>1</v>
      </c>
      <c r="AG761" s="38" t="b" cm="1">
        <f t="array" ref="AG761">IFERROR(_xlfn.BYROW(TRACK_TYPES[[#This Row],[TRACK_TYPE_BROAD_GAUGE_RAILTYPE_OHLE]:[TRACK_TYPE_BROAD_GAUGE_RAILTYPE_NONE]],_xlfn.LAMBDA(_xlpm.r,OR(_xlpm.r))),FALSE)</f>
        <v>1</v>
      </c>
      <c r="AH7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1"/>
      <c r="AQ761"/>
      <c r="AR761"/>
    </row>
    <row r="762" spans="1:44" x14ac:dyDescent="0.35">
      <c r="A762" s="2" t="s">
        <v>125</v>
      </c>
      <c r="B762" s="40" t="str">
        <f>_xlfn.XLOOKUP(PROPERTIES[[#This Row],[VEHIDCODE]],CONTROL[VEHIDCODE],CONTROL[ENGLISH])</f>
        <v>'Silberling' Commuter Coach</v>
      </c>
      <c r="J762" s="2" t="b">
        <v>1</v>
      </c>
      <c r="R762" s="2" t="b">
        <v>1</v>
      </c>
      <c r="Z762" s="2" t="b">
        <v>1</v>
      </c>
      <c r="AC762" s="2"/>
      <c r="AD762" s="2" t="b">
        <f>LEN(_xlfn.CONCAT(TRACK_TYPES[[#This Row],[TRACK_TYPE_STANDARD_GAUGE_RAILTYPE_OHLE]:[TRACK_TYPE_MTRO]]))&gt;0</f>
        <v>1</v>
      </c>
      <c r="AE762" s="38" t="b" cm="1">
        <f t="array" ref="AE762">IFERROR(_xlfn.BYROW(TRACK_TYPES[[#This Row],[TRACK_TYPE_STANDARD_GAUGE_RAILTYPE_OHLE]:[TRACK_TYPE_STANDARD_GAUGE_RAILTYPE_NONE]],_xlfn.LAMBDA(_xlpm.r,OR(_xlpm.r))),FALSE)</f>
        <v>1</v>
      </c>
      <c r="AF762" s="38" t="b" cm="1">
        <f t="array" ref="AF762">IFERROR(_xlfn.BYROW(TRACK_TYPES[[#This Row],[TRACK_TYPE_NARROW_GAUGE_RAILTYPE_OHLE]:[TRACK_TYPE_NARROW_GAUGE_RAILTYPE_NONE]],_xlfn.LAMBDA(_xlpm.r,OR(_xlpm.r))),FALSE)</f>
        <v>1</v>
      </c>
      <c r="AG762" s="38" t="b" cm="1">
        <f t="array" ref="AG762">IFERROR(_xlfn.BYROW(TRACK_TYPES[[#This Row],[TRACK_TYPE_BROAD_GAUGE_RAILTYPE_OHLE]:[TRACK_TYPE_BROAD_GAUGE_RAILTYPE_NONE]],_xlfn.LAMBDA(_xlpm.r,OR(_xlpm.r))),FALSE)</f>
        <v>1</v>
      </c>
      <c r="AH7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2"/>
      <c r="AQ762"/>
      <c r="AR762"/>
    </row>
    <row r="763" spans="1:44" x14ac:dyDescent="0.35">
      <c r="A763" s="2" t="s">
        <v>126</v>
      </c>
      <c r="B763" s="40" t="str">
        <f>_xlfn.XLOOKUP(PROPERTIES[[#This Row],[VEHIDCODE]],CONTROL[VEHIDCODE],CONTROL[ENGLISH])</f>
        <v>Eurofima Mail Coach</v>
      </c>
      <c r="J763" s="2" t="b">
        <v>1</v>
      </c>
      <c r="R763" s="2" t="b">
        <v>1</v>
      </c>
      <c r="Z763" s="2" t="b">
        <v>1</v>
      </c>
      <c r="AC763" s="2"/>
      <c r="AD763" s="2" t="b">
        <f>LEN(_xlfn.CONCAT(TRACK_TYPES[[#This Row],[TRACK_TYPE_STANDARD_GAUGE_RAILTYPE_OHLE]:[TRACK_TYPE_MTRO]]))&gt;0</f>
        <v>1</v>
      </c>
      <c r="AE763" s="38" t="b" cm="1">
        <f t="array" ref="AE763">IFERROR(_xlfn.BYROW(TRACK_TYPES[[#This Row],[TRACK_TYPE_STANDARD_GAUGE_RAILTYPE_OHLE]:[TRACK_TYPE_STANDARD_GAUGE_RAILTYPE_NONE]],_xlfn.LAMBDA(_xlpm.r,OR(_xlpm.r))),FALSE)</f>
        <v>1</v>
      </c>
      <c r="AF763" s="38" t="b" cm="1">
        <f t="array" ref="AF763">IFERROR(_xlfn.BYROW(TRACK_TYPES[[#This Row],[TRACK_TYPE_NARROW_GAUGE_RAILTYPE_OHLE]:[TRACK_TYPE_NARROW_GAUGE_RAILTYPE_NONE]],_xlfn.LAMBDA(_xlpm.r,OR(_xlpm.r))),FALSE)</f>
        <v>1</v>
      </c>
      <c r="AG763" s="38" t="b" cm="1">
        <f t="array" ref="AG763">IFERROR(_xlfn.BYROW(TRACK_TYPES[[#This Row],[TRACK_TYPE_BROAD_GAUGE_RAILTYPE_OHLE]:[TRACK_TYPE_BROAD_GAUGE_RAILTYPE_NONE]],_xlfn.LAMBDA(_xlpm.r,OR(_xlpm.r))),FALSE)</f>
        <v>1</v>
      </c>
      <c r="AH7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3"/>
      <c r="AQ763"/>
      <c r="AR763"/>
    </row>
    <row r="764" spans="1:44" x14ac:dyDescent="0.35">
      <c r="A764" s="2" t="s">
        <v>127</v>
      </c>
      <c r="B764" s="40" t="str">
        <f>_xlfn.XLOOKUP(PROPERTIES[[#This Row],[VEHIDCODE]],CONTROL[VEHIDCODE],CONTROL[ENGLISH])</f>
        <v>Double Decker Coach</v>
      </c>
      <c r="J764" s="2" t="b">
        <v>1</v>
      </c>
      <c r="R764" s="2" t="b">
        <v>1</v>
      </c>
      <c r="Z764" s="2" t="b">
        <v>1</v>
      </c>
      <c r="AC764" s="2"/>
      <c r="AD764" s="2" t="b">
        <f>LEN(_xlfn.CONCAT(TRACK_TYPES[[#This Row],[TRACK_TYPE_STANDARD_GAUGE_RAILTYPE_OHLE]:[TRACK_TYPE_MTRO]]))&gt;0</f>
        <v>1</v>
      </c>
      <c r="AE764" s="38" t="b" cm="1">
        <f t="array" ref="AE764">IFERROR(_xlfn.BYROW(TRACK_TYPES[[#This Row],[TRACK_TYPE_STANDARD_GAUGE_RAILTYPE_OHLE]:[TRACK_TYPE_STANDARD_GAUGE_RAILTYPE_NONE]],_xlfn.LAMBDA(_xlpm.r,OR(_xlpm.r))),FALSE)</f>
        <v>1</v>
      </c>
      <c r="AF764" s="38" t="b" cm="1">
        <f t="array" ref="AF764">IFERROR(_xlfn.BYROW(TRACK_TYPES[[#This Row],[TRACK_TYPE_NARROW_GAUGE_RAILTYPE_OHLE]:[TRACK_TYPE_NARROW_GAUGE_RAILTYPE_NONE]],_xlfn.LAMBDA(_xlpm.r,OR(_xlpm.r))),FALSE)</f>
        <v>1</v>
      </c>
      <c r="AG764" s="38" t="b" cm="1">
        <f t="array" ref="AG764">IFERROR(_xlfn.BYROW(TRACK_TYPES[[#This Row],[TRACK_TYPE_BROAD_GAUGE_RAILTYPE_OHLE]:[TRACK_TYPE_BROAD_GAUGE_RAILTYPE_NONE]],_xlfn.LAMBDA(_xlpm.r,OR(_xlpm.r))),FALSE)</f>
        <v>1</v>
      </c>
      <c r="AH7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4"/>
      <c r="AQ764"/>
      <c r="AR764"/>
    </row>
    <row r="765" spans="1:44" x14ac:dyDescent="0.35">
      <c r="A765" s="2" t="s">
        <v>128</v>
      </c>
      <c r="B765" s="40" t="str">
        <f>_xlfn.XLOOKUP(PROPERTIES[[#This Row],[VEHIDCODE]],CONTROL[VEHIDCODE],CONTROL[ENGLISH])</f>
        <v>Russian Intercity Sleeper Coach</v>
      </c>
      <c r="Z765" s="2" t="b">
        <v>1</v>
      </c>
      <c r="AC765" s="2"/>
      <c r="AD765" s="2" t="b">
        <f>LEN(_xlfn.CONCAT(TRACK_TYPES[[#This Row],[TRACK_TYPE_STANDARD_GAUGE_RAILTYPE_OHLE]:[TRACK_TYPE_MTRO]]))&gt;0</f>
        <v>1</v>
      </c>
      <c r="AE765" s="38" t="b" cm="1">
        <f t="array" ref="AE765">IFERROR(_xlfn.BYROW(TRACK_TYPES[[#This Row],[TRACK_TYPE_STANDARD_GAUGE_RAILTYPE_OHLE]:[TRACK_TYPE_STANDARD_GAUGE_RAILTYPE_NONE]],_xlfn.LAMBDA(_xlpm.r,OR(_xlpm.r))),FALSE)</f>
        <v>0</v>
      </c>
      <c r="AF765" s="38" t="b" cm="1">
        <f t="array" ref="AF765">IFERROR(_xlfn.BYROW(TRACK_TYPES[[#This Row],[TRACK_TYPE_NARROW_GAUGE_RAILTYPE_OHLE]:[TRACK_TYPE_NARROW_GAUGE_RAILTYPE_NONE]],_xlfn.LAMBDA(_xlpm.r,OR(_xlpm.r))),FALSE)</f>
        <v>0</v>
      </c>
      <c r="AG765" s="38" t="b" cm="1">
        <f t="array" ref="AG765">IFERROR(_xlfn.BYROW(TRACK_TYPES[[#This Row],[TRACK_TYPE_BROAD_GAUGE_RAILTYPE_OHLE]:[TRACK_TYPE_BROAD_GAUGE_RAILTYPE_NONE]],_xlfn.LAMBDA(_xlpm.r,OR(_xlpm.r))),FALSE)</f>
        <v>1</v>
      </c>
      <c r="AH7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65"/>
      <c r="AQ765"/>
      <c r="AR765"/>
    </row>
    <row r="766" spans="1:44" x14ac:dyDescent="0.35">
      <c r="A766" s="2" t="s">
        <v>129</v>
      </c>
      <c r="B766" s="40" t="str">
        <f>_xlfn.XLOOKUP(PROPERTIES[[#This Row],[VEHIDCODE]],CONTROL[VEHIDCODE],CONTROL[ENGLISH])</f>
        <v>Russian Regional Coach</v>
      </c>
      <c r="Z766" s="2" t="b">
        <v>1</v>
      </c>
      <c r="AC766" s="2"/>
      <c r="AD766" s="2" t="b">
        <f>LEN(_xlfn.CONCAT(TRACK_TYPES[[#This Row],[TRACK_TYPE_STANDARD_GAUGE_RAILTYPE_OHLE]:[TRACK_TYPE_MTRO]]))&gt;0</f>
        <v>1</v>
      </c>
      <c r="AE766" s="38" t="b" cm="1">
        <f t="array" ref="AE766">IFERROR(_xlfn.BYROW(TRACK_TYPES[[#This Row],[TRACK_TYPE_STANDARD_GAUGE_RAILTYPE_OHLE]:[TRACK_TYPE_STANDARD_GAUGE_RAILTYPE_NONE]],_xlfn.LAMBDA(_xlpm.r,OR(_xlpm.r))),FALSE)</f>
        <v>0</v>
      </c>
      <c r="AF766" s="38" t="b" cm="1">
        <f t="array" ref="AF766">IFERROR(_xlfn.BYROW(TRACK_TYPES[[#This Row],[TRACK_TYPE_NARROW_GAUGE_RAILTYPE_OHLE]:[TRACK_TYPE_NARROW_GAUGE_RAILTYPE_NONE]],_xlfn.LAMBDA(_xlpm.r,OR(_xlpm.r))),FALSE)</f>
        <v>0</v>
      </c>
      <c r="AG766" s="38" t="b" cm="1">
        <f t="array" ref="AG766">IFERROR(_xlfn.BYROW(TRACK_TYPES[[#This Row],[TRACK_TYPE_BROAD_GAUGE_RAILTYPE_OHLE]:[TRACK_TYPE_BROAD_GAUGE_RAILTYPE_NONE]],_xlfn.LAMBDA(_xlpm.r,OR(_xlpm.r))),FALSE)</f>
        <v>1</v>
      </c>
      <c r="AH7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66"/>
      <c r="AQ766"/>
      <c r="AR766"/>
    </row>
    <row r="767" spans="1:44" x14ac:dyDescent="0.35">
      <c r="A767" s="2" t="s">
        <v>130</v>
      </c>
      <c r="B767" s="40" t="str">
        <f>_xlfn.XLOOKUP(PROPERTIES[[#This Row],[VEHIDCODE]],CONTROL[VEHIDCODE],CONTROL[ENGLISH])</f>
        <v>Russian Mail Coach</v>
      </c>
      <c r="Z767" s="2" t="b">
        <v>1</v>
      </c>
      <c r="AC767" s="2"/>
      <c r="AD767" s="2" t="b">
        <f>LEN(_xlfn.CONCAT(TRACK_TYPES[[#This Row],[TRACK_TYPE_STANDARD_GAUGE_RAILTYPE_OHLE]:[TRACK_TYPE_MTRO]]))&gt;0</f>
        <v>1</v>
      </c>
      <c r="AE767" s="38" t="b" cm="1">
        <f t="array" ref="AE767">IFERROR(_xlfn.BYROW(TRACK_TYPES[[#This Row],[TRACK_TYPE_STANDARD_GAUGE_RAILTYPE_OHLE]:[TRACK_TYPE_STANDARD_GAUGE_RAILTYPE_NONE]],_xlfn.LAMBDA(_xlpm.r,OR(_xlpm.r))),FALSE)</f>
        <v>0</v>
      </c>
      <c r="AF767" s="38" t="b" cm="1">
        <f t="array" ref="AF767">IFERROR(_xlfn.BYROW(TRACK_TYPES[[#This Row],[TRACK_TYPE_NARROW_GAUGE_RAILTYPE_OHLE]:[TRACK_TYPE_NARROW_GAUGE_RAILTYPE_NONE]],_xlfn.LAMBDA(_xlpm.r,OR(_xlpm.r))),FALSE)</f>
        <v>0</v>
      </c>
      <c r="AG767" s="38" t="b" cm="1">
        <f t="array" ref="AG767">IFERROR(_xlfn.BYROW(TRACK_TYPES[[#This Row],[TRACK_TYPE_BROAD_GAUGE_RAILTYPE_OHLE]:[TRACK_TYPE_BROAD_GAUGE_RAILTYPE_NONE]],_xlfn.LAMBDA(_xlpm.r,OR(_xlpm.r))),FALSE)</f>
        <v>1</v>
      </c>
      <c r="AH7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67"/>
      <c r="AQ767"/>
      <c r="AR767"/>
    </row>
    <row r="768" spans="1:44" x14ac:dyDescent="0.35">
      <c r="A768" s="2" t="s">
        <v>131</v>
      </c>
      <c r="B768" s="40" t="str">
        <f>_xlfn.XLOOKUP(PROPERTIES[[#This Row],[VEHIDCODE]],CONTROL[VEHIDCODE],CONTROL[ENGLISH])</f>
        <v>Superliner Coach</v>
      </c>
      <c r="J768" s="2" t="b">
        <v>1</v>
      </c>
      <c r="R768" s="2" t="b">
        <v>1</v>
      </c>
      <c r="Z768" s="2" t="b">
        <v>1</v>
      </c>
      <c r="AC768" s="2"/>
      <c r="AD768" s="2" t="b">
        <f>LEN(_xlfn.CONCAT(TRACK_TYPES[[#This Row],[TRACK_TYPE_STANDARD_GAUGE_RAILTYPE_OHLE]:[TRACK_TYPE_MTRO]]))&gt;0</f>
        <v>1</v>
      </c>
      <c r="AE768" s="38" t="b" cm="1">
        <f t="array" ref="AE768">IFERROR(_xlfn.BYROW(TRACK_TYPES[[#This Row],[TRACK_TYPE_STANDARD_GAUGE_RAILTYPE_OHLE]:[TRACK_TYPE_STANDARD_GAUGE_RAILTYPE_NONE]],_xlfn.LAMBDA(_xlpm.r,OR(_xlpm.r))),FALSE)</f>
        <v>1</v>
      </c>
      <c r="AF768" s="38" t="b" cm="1">
        <f t="array" ref="AF768">IFERROR(_xlfn.BYROW(TRACK_TYPES[[#This Row],[TRACK_TYPE_NARROW_GAUGE_RAILTYPE_OHLE]:[TRACK_TYPE_NARROW_GAUGE_RAILTYPE_NONE]],_xlfn.LAMBDA(_xlpm.r,OR(_xlpm.r))),FALSE)</f>
        <v>1</v>
      </c>
      <c r="AG768" s="38" t="b" cm="1">
        <f t="array" ref="AG768">IFERROR(_xlfn.BYROW(TRACK_TYPES[[#This Row],[TRACK_TYPE_BROAD_GAUGE_RAILTYPE_OHLE]:[TRACK_TYPE_BROAD_GAUGE_RAILTYPE_NONE]],_xlfn.LAMBDA(_xlpm.r,OR(_xlpm.r))),FALSE)</f>
        <v>1</v>
      </c>
      <c r="AH7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8"/>
      <c r="AQ768"/>
      <c r="AR768"/>
    </row>
    <row r="769" spans="1:44" x14ac:dyDescent="0.35">
      <c r="A769" s="2" t="s">
        <v>132</v>
      </c>
      <c r="B769" s="40" t="str">
        <f>_xlfn.XLOOKUP(PROPERTIES[[#This Row],[VEHIDCODE]],CONTROL[VEHIDCODE],CONTROL[ENGLISH])</f>
        <v>Superliner California</v>
      </c>
      <c r="J769" s="2" t="b">
        <v>1</v>
      </c>
      <c r="R769" s="2" t="b">
        <v>1</v>
      </c>
      <c r="Z769" s="2" t="b">
        <v>1</v>
      </c>
      <c r="AC769" s="2"/>
      <c r="AD769" s="2" t="b">
        <f>LEN(_xlfn.CONCAT(TRACK_TYPES[[#This Row],[TRACK_TYPE_STANDARD_GAUGE_RAILTYPE_OHLE]:[TRACK_TYPE_MTRO]]))&gt;0</f>
        <v>1</v>
      </c>
      <c r="AE769" s="38" t="b" cm="1">
        <f t="array" ref="AE769">IFERROR(_xlfn.BYROW(TRACK_TYPES[[#This Row],[TRACK_TYPE_STANDARD_GAUGE_RAILTYPE_OHLE]:[TRACK_TYPE_STANDARD_GAUGE_RAILTYPE_NONE]],_xlfn.LAMBDA(_xlpm.r,OR(_xlpm.r))),FALSE)</f>
        <v>1</v>
      </c>
      <c r="AF769" s="38" t="b" cm="1">
        <f t="array" ref="AF769">IFERROR(_xlfn.BYROW(TRACK_TYPES[[#This Row],[TRACK_TYPE_NARROW_GAUGE_RAILTYPE_OHLE]:[TRACK_TYPE_NARROW_GAUGE_RAILTYPE_NONE]],_xlfn.LAMBDA(_xlpm.r,OR(_xlpm.r))),FALSE)</f>
        <v>1</v>
      </c>
      <c r="AG769" s="38" t="b" cm="1">
        <f t="array" ref="AG769">IFERROR(_xlfn.BYROW(TRACK_TYPES[[#This Row],[TRACK_TYPE_BROAD_GAUGE_RAILTYPE_OHLE]:[TRACK_TYPE_BROAD_GAUGE_RAILTYPE_NONE]],_xlfn.LAMBDA(_xlpm.r,OR(_xlpm.r))),FALSE)</f>
        <v>1</v>
      </c>
      <c r="AH7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9"/>
      <c r="AQ769"/>
      <c r="AR769"/>
    </row>
    <row r="770" spans="1:44" x14ac:dyDescent="0.35">
      <c r="A770" s="2" t="s">
        <v>133</v>
      </c>
      <c r="B770" s="40" t="str">
        <f>_xlfn.XLOOKUP(PROPERTIES[[#This Row],[VEHIDCODE]],CONTROL[VEHIDCODE],CONTROL[ENGLISH])</f>
        <v>Amfleet Regional Coach</v>
      </c>
      <c r="J770" s="2" t="b">
        <v>1</v>
      </c>
      <c r="R770" s="2" t="b">
        <v>1</v>
      </c>
      <c r="Z770" s="2" t="b">
        <v>1</v>
      </c>
      <c r="AC770" s="2"/>
      <c r="AD770" s="2" t="b">
        <f>LEN(_xlfn.CONCAT(TRACK_TYPES[[#This Row],[TRACK_TYPE_STANDARD_GAUGE_RAILTYPE_OHLE]:[TRACK_TYPE_MTRO]]))&gt;0</f>
        <v>1</v>
      </c>
      <c r="AE770" s="38" t="b" cm="1">
        <f t="array" ref="AE770">IFERROR(_xlfn.BYROW(TRACK_TYPES[[#This Row],[TRACK_TYPE_STANDARD_GAUGE_RAILTYPE_OHLE]:[TRACK_TYPE_STANDARD_GAUGE_RAILTYPE_NONE]],_xlfn.LAMBDA(_xlpm.r,OR(_xlpm.r))),FALSE)</f>
        <v>1</v>
      </c>
      <c r="AF770" s="38" t="b" cm="1">
        <f t="array" ref="AF770">IFERROR(_xlfn.BYROW(TRACK_TYPES[[#This Row],[TRACK_TYPE_NARROW_GAUGE_RAILTYPE_OHLE]:[TRACK_TYPE_NARROW_GAUGE_RAILTYPE_NONE]],_xlfn.LAMBDA(_xlpm.r,OR(_xlpm.r))),FALSE)</f>
        <v>1</v>
      </c>
      <c r="AG770" s="38" t="b" cm="1">
        <f t="array" ref="AG770">IFERROR(_xlfn.BYROW(TRACK_TYPES[[#This Row],[TRACK_TYPE_BROAD_GAUGE_RAILTYPE_OHLE]:[TRACK_TYPE_BROAD_GAUGE_RAILTYPE_NONE]],_xlfn.LAMBDA(_xlpm.r,OR(_xlpm.r))),FALSE)</f>
        <v>1</v>
      </c>
      <c r="AH7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0"/>
      <c r="AQ770"/>
      <c r="AR770"/>
    </row>
    <row r="771" spans="1:44" x14ac:dyDescent="0.35">
      <c r="A771" s="2" t="s">
        <v>134</v>
      </c>
      <c r="B771" s="40" t="str">
        <f>_xlfn.XLOOKUP(PROPERTIES[[#This Row],[VEHIDCODE]],CONTROL[VEHIDCODE],CONTROL[ENGLISH])</f>
        <v>Amfleet Intercity Coach</v>
      </c>
      <c r="J771" s="2" t="b">
        <v>1</v>
      </c>
      <c r="R771" s="2" t="b">
        <v>1</v>
      </c>
      <c r="Z771" s="2" t="b">
        <v>1</v>
      </c>
      <c r="AC771" s="2"/>
      <c r="AD771" s="2" t="b">
        <f>LEN(_xlfn.CONCAT(TRACK_TYPES[[#This Row],[TRACK_TYPE_STANDARD_GAUGE_RAILTYPE_OHLE]:[TRACK_TYPE_MTRO]]))&gt;0</f>
        <v>1</v>
      </c>
      <c r="AE771" s="38" t="b" cm="1">
        <f t="array" ref="AE771">IFERROR(_xlfn.BYROW(TRACK_TYPES[[#This Row],[TRACK_TYPE_STANDARD_GAUGE_RAILTYPE_OHLE]:[TRACK_TYPE_STANDARD_GAUGE_RAILTYPE_NONE]],_xlfn.LAMBDA(_xlpm.r,OR(_xlpm.r))),FALSE)</f>
        <v>1</v>
      </c>
      <c r="AF771" s="38" t="b" cm="1">
        <f t="array" ref="AF771">IFERROR(_xlfn.BYROW(TRACK_TYPES[[#This Row],[TRACK_TYPE_NARROW_GAUGE_RAILTYPE_OHLE]:[TRACK_TYPE_NARROW_GAUGE_RAILTYPE_NONE]],_xlfn.LAMBDA(_xlpm.r,OR(_xlpm.r))),FALSE)</f>
        <v>1</v>
      </c>
      <c r="AG771" s="38" t="b" cm="1">
        <f t="array" ref="AG771">IFERROR(_xlfn.BYROW(TRACK_TYPES[[#This Row],[TRACK_TYPE_BROAD_GAUGE_RAILTYPE_OHLE]:[TRACK_TYPE_BROAD_GAUGE_RAILTYPE_NONE]],_xlfn.LAMBDA(_xlpm.r,OR(_xlpm.r))),FALSE)</f>
        <v>1</v>
      </c>
      <c r="AH7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1"/>
      <c r="AQ771"/>
      <c r="AR771"/>
    </row>
    <row r="772" spans="1:44" x14ac:dyDescent="0.35">
      <c r="A772" s="2" t="s">
        <v>135</v>
      </c>
      <c r="B772" s="40" t="str">
        <f>_xlfn.XLOOKUP(PROPERTIES[[#This Row],[VEHIDCODE]],CONTROL[VEHIDCODE],CONTROL[ENGLISH])</f>
        <v>Comet Commuter Coach</v>
      </c>
      <c r="J772" s="2" t="b">
        <v>1</v>
      </c>
      <c r="R772" s="2" t="b">
        <v>1</v>
      </c>
      <c r="Z772" s="2" t="b">
        <v>1</v>
      </c>
      <c r="AC772" s="2"/>
      <c r="AD772" s="2" t="b">
        <f>LEN(_xlfn.CONCAT(TRACK_TYPES[[#This Row],[TRACK_TYPE_STANDARD_GAUGE_RAILTYPE_OHLE]:[TRACK_TYPE_MTRO]]))&gt;0</f>
        <v>1</v>
      </c>
      <c r="AE772" s="38" t="b" cm="1">
        <f t="array" ref="AE772">IFERROR(_xlfn.BYROW(TRACK_TYPES[[#This Row],[TRACK_TYPE_STANDARD_GAUGE_RAILTYPE_OHLE]:[TRACK_TYPE_STANDARD_GAUGE_RAILTYPE_NONE]],_xlfn.LAMBDA(_xlpm.r,OR(_xlpm.r))),FALSE)</f>
        <v>1</v>
      </c>
      <c r="AF772" s="38" t="b" cm="1">
        <f t="array" ref="AF772">IFERROR(_xlfn.BYROW(TRACK_TYPES[[#This Row],[TRACK_TYPE_NARROW_GAUGE_RAILTYPE_OHLE]:[TRACK_TYPE_NARROW_GAUGE_RAILTYPE_NONE]],_xlfn.LAMBDA(_xlpm.r,OR(_xlpm.r))),FALSE)</f>
        <v>1</v>
      </c>
      <c r="AG772" s="38" t="b" cm="1">
        <f t="array" ref="AG772">IFERROR(_xlfn.BYROW(TRACK_TYPES[[#This Row],[TRACK_TYPE_BROAD_GAUGE_RAILTYPE_OHLE]:[TRACK_TYPE_BROAD_GAUGE_RAILTYPE_NONE]],_xlfn.LAMBDA(_xlpm.r,OR(_xlpm.r))),FALSE)</f>
        <v>1</v>
      </c>
      <c r="AH7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2"/>
      <c r="AQ772"/>
      <c r="AR772"/>
    </row>
    <row r="773" spans="1:44" x14ac:dyDescent="0.35">
      <c r="A773" s="2" t="s">
        <v>136</v>
      </c>
      <c r="B773" s="40" t="str">
        <f>_xlfn.XLOOKUP(PROPERTIES[[#This Row],[VEHIDCODE]],CONTROL[VEHIDCODE],CONTROL[ENGLISH])</f>
        <v>Horizon Regional Coach</v>
      </c>
      <c r="J773" s="2" t="b">
        <v>1</v>
      </c>
      <c r="R773" s="2" t="b">
        <v>1</v>
      </c>
      <c r="Z773" s="2" t="b">
        <v>1</v>
      </c>
      <c r="AC773" s="2"/>
      <c r="AD773" s="2" t="b">
        <f>LEN(_xlfn.CONCAT(TRACK_TYPES[[#This Row],[TRACK_TYPE_STANDARD_GAUGE_RAILTYPE_OHLE]:[TRACK_TYPE_MTRO]]))&gt;0</f>
        <v>1</v>
      </c>
      <c r="AE773" s="38" t="b" cm="1">
        <f t="array" ref="AE773">IFERROR(_xlfn.BYROW(TRACK_TYPES[[#This Row],[TRACK_TYPE_STANDARD_GAUGE_RAILTYPE_OHLE]:[TRACK_TYPE_STANDARD_GAUGE_RAILTYPE_NONE]],_xlfn.LAMBDA(_xlpm.r,OR(_xlpm.r))),FALSE)</f>
        <v>1</v>
      </c>
      <c r="AF773" s="38" t="b" cm="1">
        <f t="array" ref="AF773">IFERROR(_xlfn.BYROW(TRACK_TYPES[[#This Row],[TRACK_TYPE_NARROW_GAUGE_RAILTYPE_OHLE]:[TRACK_TYPE_NARROW_GAUGE_RAILTYPE_NONE]],_xlfn.LAMBDA(_xlpm.r,OR(_xlpm.r))),FALSE)</f>
        <v>1</v>
      </c>
      <c r="AG773" s="38" t="b" cm="1">
        <f t="array" ref="AG773">IFERROR(_xlfn.BYROW(TRACK_TYPES[[#This Row],[TRACK_TYPE_BROAD_GAUGE_RAILTYPE_OHLE]:[TRACK_TYPE_BROAD_GAUGE_RAILTYPE_NONE]],_xlfn.LAMBDA(_xlpm.r,OR(_xlpm.r))),FALSE)</f>
        <v>1</v>
      </c>
      <c r="AH7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3"/>
      <c r="AQ773"/>
      <c r="AR773"/>
    </row>
    <row r="774" spans="1:44" x14ac:dyDescent="0.35">
      <c r="A774" s="2" t="s">
        <v>137</v>
      </c>
      <c r="B774" s="40" t="str">
        <f>_xlfn.XLOOKUP(PROPERTIES[[#This Row],[VEHIDCODE]],CONTROL[VEHIDCODE],CONTROL[ENGLISH])</f>
        <v>Horizon Baggage Coach</v>
      </c>
      <c r="J774" s="2" t="b">
        <v>1</v>
      </c>
      <c r="R774" s="2" t="b">
        <v>1</v>
      </c>
      <c r="Z774" s="2" t="b">
        <v>1</v>
      </c>
      <c r="AC774" s="2"/>
      <c r="AD774" s="2" t="b">
        <f>LEN(_xlfn.CONCAT(TRACK_TYPES[[#This Row],[TRACK_TYPE_STANDARD_GAUGE_RAILTYPE_OHLE]:[TRACK_TYPE_MTRO]]))&gt;0</f>
        <v>1</v>
      </c>
      <c r="AE774" s="38" t="b" cm="1">
        <f t="array" ref="AE774">IFERROR(_xlfn.BYROW(TRACK_TYPES[[#This Row],[TRACK_TYPE_STANDARD_GAUGE_RAILTYPE_OHLE]:[TRACK_TYPE_STANDARD_GAUGE_RAILTYPE_NONE]],_xlfn.LAMBDA(_xlpm.r,OR(_xlpm.r))),FALSE)</f>
        <v>1</v>
      </c>
      <c r="AF774" s="38" t="b" cm="1">
        <f t="array" ref="AF774">IFERROR(_xlfn.BYROW(TRACK_TYPES[[#This Row],[TRACK_TYPE_NARROW_GAUGE_RAILTYPE_OHLE]:[TRACK_TYPE_NARROW_GAUGE_RAILTYPE_NONE]],_xlfn.LAMBDA(_xlpm.r,OR(_xlpm.r))),FALSE)</f>
        <v>1</v>
      </c>
      <c r="AG774" s="38" t="b" cm="1">
        <f t="array" ref="AG774">IFERROR(_xlfn.BYROW(TRACK_TYPES[[#This Row],[TRACK_TYPE_BROAD_GAUGE_RAILTYPE_OHLE]:[TRACK_TYPE_BROAD_GAUGE_RAILTYPE_NONE]],_xlfn.LAMBDA(_xlpm.r,OR(_xlpm.r))),FALSE)</f>
        <v>1</v>
      </c>
      <c r="AH7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4"/>
      <c r="AQ774"/>
      <c r="AR774"/>
    </row>
    <row r="775" spans="1:44" x14ac:dyDescent="0.35">
      <c r="A775" s="2" t="s">
        <v>138</v>
      </c>
      <c r="B775" s="40" t="str">
        <f>_xlfn.XLOOKUP(PROPERTIES[[#This Row],[VEHIDCODE]],CONTROL[VEHIDCODE],CONTROL[ENGLISH])</f>
        <v>Bombardier Bi-level</v>
      </c>
      <c r="J775" s="2" t="b">
        <v>1</v>
      </c>
      <c r="R775" s="2" t="b">
        <v>1</v>
      </c>
      <c r="Z775" s="2" t="b">
        <v>1</v>
      </c>
      <c r="AC775" s="2"/>
      <c r="AD775" s="2" t="b">
        <f>LEN(_xlfn.CONCAT(TRACK_TYPES[[#This Row],[TRACK_TYPE_STANDARD_GAUGE_RAILTYPE_OHLE]:[TRACK_TYPE_MTRO]]))&gt;0</f>
        <v>1</v>
      </c>
      <c r="AE775" s="38" t="b" cm="1">
        <f t="array" ref="AE775">IFERROR(_xlfn.BYROW(TRACK_TYPES[[#This Row],[TRACK_TYPE_STANDARD_GAUGE_RAILTYPE_OHLE]:[TRACK_TYPE_STANDARD_GAUGE_RAILTYPE_NONE]],_xlfn.LAMBDA(_xlpm.r,OR(_xlpm.r))),FALSE)</f>
        <v>1</v>
      </c>
      <c r="AF775" s="38" t="b" cm="1">
        <f t="array" ref="AF775">IFERROR(_xlfn.BYROW(TRACK_TYPES[[#This Row],[TRACK_TYPE_NARROW_GAUGE_RAILTYPE_OHLE]:[TRACK_TYPE_NARROW_GAUGE_RAILTYPE_NONE]],_xlfn.LAMBDA(_xlpm.r,OR(_xlpm.r))),FALSE)</f>
        <v>1</v>
      </c>
      <c r="AG775" s="38" t="b" cm="1">
        <f t="array" ref="AG775">IFERROR(_xlfn.BYROW(TRACK_TYPES[[#This Row],[TRACK_TYPE_BROAD_GAUGE_RAILTYPE_OHLE]:[TRACK_TYPE_BROAD_GAUGE_RAILTYPE_NONE]],_xlfn.LAMBDA(_xlpm.r,OR(_xlpm.r))),FALSE)</f>
        <v>1</v>
      </c>
      <c r="AH7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5"/>
      <c r="AQ775"/>
      <c r="AR775"/>
    </row>
    <row r="776" spans="1:44" x14ac:dyDescent="0.35">
      <c r="A776" s="2" t="s">
        <v>139</v>
      </c>
      <c r="B776" s="40" t="str">
        <f>_xlfn.XLOOKUP(PROPERTIES[[#This Row],[VEHIDCODE]],CONTROL[VEHIDCODE],CONTROL[ENGLISH])</f>
        <v>High Speed Coach</v>
      </c>
      <c r="J776" s="2" t="b">
        <v>1</v>
      </c>
      <c r="R776" s="2" t="b">
        <v>1</v>
      </c>
      <c r="Z776" s="2" t="b">
        <v>1</v>
      </c>
      <c r="AC776" s="2"/>
      <c r="AD776" s="2" t="b">
        <f>LEN(_xlfn.CONCAT(TRACK_TYPES[[#This Row],[TRACK_TYPE_STANDARD_GAUGE_RAILTYPE_OHLE]:[TRACK_TYPE_MTRO]]))&gt;0</f>
        <v>1</v>
      </c>
      <c r="AE776" s="38" t="b" cm="1">
        <f t="array" ref="AE776">IFERROR(_xlfn.BYROW(TRACK_TYPES[[#This Row],[TRACK_TYPE_STANDARD_GAUGE_RAILTYPE_OHLE]:[TRACK_TYPE_STANDARD_GAUGE_RAILTYPE_NONE]],_xlfn.LAMBDA(_xlpm.r,OR(_xlpm.r))),FALSE)</f>
        <v>1</v>
      </c>
      <c r="AF776" s="38" t="b" cm="1">
        <f t="array" ref="AF776">IFERROR(_xlfn.BYROW(TRACK_TYPES[[#This Row],[TRACK_TYPE_NARROW_GAUGE_RAILTYPE_OHLE]:[TRACK_TYPE_NARROW_GAUGE_RAILTYPE_NONE]],_xlfn.LAMBDA(_xlpm.r,OR(_xlpm.r))),FALSE)</f>
        <v>1</v>
      </c>
      <c r="AG776" s="38" t="b" cm="1">
        <f t="array" ref="AG776">IFERROR(_xlfn.BYROW(TRACK_TYPES[[#This Row],[TRACK_TYPE_BROAD_GAUGE_RAILTYPE_OHLE]:[TRACK_TYPE_BROAD_GAUGE_RAILTYPE_NONE]],_xlfn.LAMBDA(_xlpm.r,OR(_xlpm.r))),FALSE)</f>
        <v>1</v>
      </c>
      <c r="AH7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6"/>
      <c r="AQ776"/>
      <c r="AR776"/>
    </row>
    <row r="777" spans="1:44" x14ac:dyDescent="0.35">
      <c r="A777" s="2" t="s">
        <v>140</v>
      </c>
      <c r="B777" s="40" t="str">
        <f>_xlfn.XLOOKUP(PROPERTIES[[#This Row],[VEHIDCODE]],CONTROL[VEHIDCODE],CONTROL[ENGLISH])</f>
        <v>Modern Regional Coach</v>
      </c>
      <c r="J777" s="2" t="b">
        <v>1</v>
      </c>
      <c r="R777" s="2" t="b">
        <v>1</v>
      </c>
      <c r="Z777" s="2" t="b">
        <v>1</v>
      </c>
      <c r="AC777" s="2"/>
      <c r="AD777" s="2" t="b">
        <f>LEN(_xlfn.CONCAT(TRACK_TYPES[[#This Row],[TRACK_TYPE_STANDARD_GAUGE_RAILTYPE_OHLE]:[TRACK_TYPE_MTRO]]))&gt;0</f>
        <v>1</v>
      </c>
      <c r="AE777" s="38" t="b" cm="1">
        <f t="array" ref="AE777">IFERROR(_xlfn.BYROW(TRACK_TYPES[[#This Row],[TRACK_TYPE_STANDARD_GAUGE_RAILTYPE_OHLE]:[TRACK_TYPE_STANDARD_GAUGE_RAILTYPE_NONE]],_xlfn.LAMBDA(_xlpm.r,OR(_xlpm.r))),FALSE)</f>
        <v>1</v>
      </c>
      <c r="AF777" s="38" t="b" cm="1">
        <f t="array" ref="AF777">IFERROR(_xlfn.BYROW(TRACK_TYPES[[#This Row],[TRACK_TYPE_NARROW_GAUGE_RAILTYPE_OHLE]:[TRACK_TYPE_NARROW_GAUGE_RAILTYPE_NONE]],_xlfn.LAMBDA(_xlpm.r,OR(_xlpm.r))),FALSE)</f>
        <v>1</v>
      </c>
      <c r="AG777" s="38" t="b" cm="1">
        <f t="array" ref="AG777">IFERROR(_xlfn.BYROW(TRACK_TYPES[[#This Row],[TRACK_TYPE_BROAD_GAUGE_RAILTYPE_OHLE]:[TRACK_TYPE_BROAD_GAUGE_RAILTYPE_NONE]],_xlfn.LAMBDA(_xlpm.r,OR(_xlpm.r))),FALSE)</f>
        <v>1</v>
      </c>
      <c r="AH7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7"/>
      <c r="AQ777"/>
      <c r="AR777"/>
    </row>
    <row r="778" spans="1:44" x14ac:dyDescent="0.35">
      <c r="A778" s="2" t="s">
        <v>141</v>
      </c>
      <c r="B778" s="40" t="str">
        <f>_xlfn.XLOOKUP(PROPERTIES[[#This Row],[VEHIDCODE]],CONTROL[VEHIDCODE],CONTROL[ENGLISH])</f>
        <v>Modern Commuter Coach</v>
      </c>
      <c r="J778" s="2" t="b">
        <v>1</v>
      </c>
      <c r="R778" s="2" t="b">
        <v>1</v>
      </c>
      <c r="Z778" s="2" t="b">
        <v>1</v>
      </c>
      <c r="AC778" s="2"/>
      <c r="AD778" s="2" t="b">
        <f>LEN(_xlfn.CONCAT(TRACK_TYPES[[#This Row],[TRACK_TYPE_STANDARD_GAUGE_RAILTYPE_OHLE]:[TRACK_TYPE_MTRO]]))&gt;0</f>
        <v>1</v>
      </c>
      <c r="AE778" s="38" t="b" cm="1">
        <f t="array" ref="AE778">IFERROR(_xlfn.BYROW(TRACK_TYPES[[#This Row],[TRACK_TYPE_STANDARD_GAUGE_RAILTYPE_OHLE]:[TRACK_TYPE_STANDARD_GAUGE_RAILTYPE_NONE]],_xlfn.LAMBDA(_xlpm.r,OR(_xlpm.r))),FALSE)</f>
        <v>1</v>
      </c>
      <c r="AF778" s="38" t="b" cm="1">
        <f t="array" ref="AF778">IFERROR(_xlfn.BYROW(TRACK_TYPES[[#This Row],[TRACK_TYPE_NARROW_GAUGE_RAILTYPE_OHLE]:[TRACK_TYPE_NARROW_GAUGE_RAILTYPE_NONE]],_xlfn.LAMBDA(_xlpm.r,OR(_xlpm.r))),FALSE)</f>
        <v>1</v>
      </c>
      <c r="AG778" s="38" t="b" cm="1">
        <f t="array" ref="AG778">IFERROR(_xlfn.BYROW(TRACK_TYPES[[#This Row],[TRACK_TYPE_BROAD_GAUGE_RAILTYPE_OHLE]:[TRACK_TYPE_BROAD_GAUGE_RAILTYPE_NONE]],_xlfn.LAMBDA(_xlpm.r,OR(_xlpm.r))),FALSE)</f>
        <v>1</v>
      </c>
      <c r="AH7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8"/>
      <c r="AQ778"/>
      <c r="AR778"/>
    </row>
    <row r="779" spans="1:44" x14ac:dyDescent="0.35">
      <c r="A779" s="2" t="s">
        <v>142</v>
      </c>
      <c r="B779" s="40" t="str">
        <f>_xlfn.XLOOKUP(PROPERTIES[[#This Row],[VEHIDCODE]],CONTROL[VEHIDCODE],CONTROL[ENGLISH])</f>
        <v xml:space="preserve">Modern Double Decker Coach </v>
      </c>
      <c r="J779" s="2" t="b">
        <v>1</v>
      </c>
      <c r="R779" s="2" t="b">
        <v>1</v>
      </c>
      <c r="Z779" s="2" t="b">
        <v>1</v>
      </c>
      <c r="AC779" s="2"/>
      <c r="AD779" s="2" t="b">
        <f>LEN(_xlfn.CONCAT(TRACK_TYPES[[#This Row],[TRACK_TYPE_STANDARD_GAUGE_RAILTYPE_OHLE]:[TRACK_TYPE_MTRO]]))&gt;0</f>
        <v>1</v>
      </c>
      <c r="AE779" s="38" t="b" cm="1">
        <f t="array" ref="AE779">IFERROR(_xlfn.BYROW(TRACK_TYPES[[#This Row],[TRACK_TYPE_STANDARD_GAUGE_RAILTYPE_OHLE]:[TRACK_TYPE_STANDARD_GAUGE_RAILTYPE_NONE]],_xlfn.LAMBDA(_xlpm.r,OR(_xlpm.r))),FALSE)</f>
        <v>1</v>
      </c>
      <c r="AF779" s="38" t="b" cm="1">
        <f t="array" ref="AF779">IFERROR(_xlfn.BYROW(TRACK_TYPES[[#This Row],[TRACK_TYPE_NARROW_GAUGE_RAILTYPE_OHLE]:[TRACK_TYPE_NARROW_GAUGE_RAILTYPE_NONE]],_xlfn.LAMBDA(_xlpm.r,OR(_xlpm.r))),FALSE)</f>
        <v>1</v>
      </c>
      <c r="AG779" s="38" t="b" cm="1">
        <f t="array" ref="AG779">IFERROR(_xlfn.BYROW(TRACK_TYPES[[#This Row],[TRACK_TYPE_BROAD_GAUGE_RAILTYPE_OHLE]:[TRACK_TYPE_BROAD_GAUGE_RAILTYPE_NONE]],_xlfn.LAMBDA(_xlpm.r,OR(_xlpm.r))),FALSE)</f>
        <v>1</v>
      </c>
      <c r="AH7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9"/>
      <c r="AQ779"/>
      <c r="AR779"/>
    </row>
    <row r="780" spans="1:44" x14ac:dyDescent="0.35">
      <c r="A780" s="2" t="s">
        <v>143</v>
      </c>
      <c r="B780" s="40" t="str">
        <f>_xlfn.XLOOKUP(PROPERTIES[[#This Row],[VEHIDCODE]],CONTROL[VEHIDCODE],CONTROL[ENGLISH])</f>
        <v>High Speed Double Decker</v>
      </c>
      <c r="J780" s="2" t="b">
        <v>1</v>
      </c>
      <c r="R780" s="2" t="b">
        <v>1</v>
      </c>
      <c r="Z780" s="2" t="b">
        <v>1</v>
      </c>
      <c r="AC780" s="2"/>
      <c r="AD780" s="2" t="b">
        <f>LEN(_xlfn.CONCAT(TRACK_TYPES[[#This Row],[TRACK_TYPE_STANDARD_GAUGE_RAILTYPE_OHLE]:[TRACK_TYPE_MTRO]]))&gt;0</f>
        <v>1</v>
      </c>
      <c r="AE780" s="38" t="b" cm="1">
        <f t="array" ref="AE780">IFERROR(_xlfn.BYROW(TRACK_TYPES[[#This Row],[TRACK_TYPE_STANDARD_GAUGE_RAILTYPE_OHLE]:[TRACK_TYPE_STANDARD_GAUGE_RAILTYPE_NONE]],_xlfn.LAMBDA(_xlpm.r,OR(_xlpm.r))),FALSE)</f>
        <v>1</v>
      </c>
      <c r="AF780" s="38" t="b" cm="1">
        <f t="array" ref="AF780">IFERROR(_xlfn.BYROW(TRACK_TYPES[[#This Row],[TRACK_TYPE_NARROW_GAUGE_RAILTYPE_OHLE]:[TRACK_TYPE_NARROW_GAUGE_RAILTYPE_NONE]],_xlfn.LAMBDA(_xlpm.r,OR(_xlpm.r))),FALSE)</f>
        <v>1</v>
      </c>
      <c r="AG780" s="38" t="b" cm="1">
        <f t="array" ref="AG780">IFERROR(_xlfn.BYROW(TRACK_TYPES[[#This Row],[TRACK_TYPE_BROAD_GAUGE_RAILTYPE_OHLE]:[TRACK_TYPE_BROAD_GAUGE_RAILTYPE_NONE]],_xlfn.LAMBDA(_xlpm.r,OR(_xlpm.r))),FALSE)</f>
        <v>1</v>
      </c>
      <c r="AH7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0"/>
      <c r="AQ780"/>
      <c r="AR780"/>
    </row>
    <row r="781" spans="1:44" x14ac:dyDescent="0.35">
      <c r="A781" s="2" t="s">
        <v>144</v>
      </c>
      <c r="B781" s="40" t="str">
        <f>_xlfn.XLOOKUP(PROPERTIES[[#This Row],[VEHIDCODE]],CONTROL[VEHIDCODE],CONTROL[ENGLISH])</f>
        <v>High Speed Mail Coach</v>
      </c>
      <c r="J781" s="2" t="b">
        <v>1</v>
      </c>
      <c r="R781" s="2" t="b">
        <v>1</v>
      </c>
      <c r="Z781" s="2" t="b">
        <v>1</v>
      </c>
      <c r="AC781" s="2"/>
      <c r="AD781" s="2" t="b">
        <f>LEN(_xlfn.CONCAT(TRACK_TYPES[[#This Row],[TRACK_TYPE_STANDARD_GAUGE_RAILTYPE_OHLE]:[TRACK_TYPE_MTRO]]))&gt;0</f>
        <v>1</v>
      </c>
      <c r="AE781" s="38" t="b" cm="1">
        <f t="array" ref="AE781">IFERROR(_xlfn.BYROW(TRACK_TYPES[[#This Row],[TRACK_TYPE_STANDARD_GAUGE_RAILTYPE_OHLE]:[TRACK_TYPE_STANDARD_GAUGE_RAILTYPE_NONE]],_xlfn.LAMBDA(_xlpm.r,OR(_xlpm.r))),FALSE)</f>
        <v>1</v>
      </c>
      <c r="AF781" s="38" t="b" cm="1">
        <f t="array" ref="AF781">IFERROR(_xlfn.BYROW(TRACK_TYPES[[#This Row],[TRACK_TYPE_NARROW_GAUGE_RAILTYPE_OHLE]:[TRACK_TYPE_NARROW_GAUGE_RAILTYPE_NONE]],_xlfn.LAMBDA(_xlpm.r,OR(_xlpm.r))),FALSE)</f>
        <v>1</v>
      </c>
      <c r="AG781" s="38" t="b" cm="1">
        <f t="array" ref="AG781">IFERROR(_xlfn.BYROW(TRACK_TYPES[[#This Row],[TRACK_TYPE_BROAD_GAUGE_RAILTYPE_OHLE]:[TRACK_TYPE_BROAD_GAUGE_RAILTYPE_NONE]],_xlfn.LAMBDA(_xlpm.r,OR(_xlpm.r))),FALSE)</f>
        <v>1</v>
      </c>
      <c r="AH7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1"/>
      <c r="AQ781"/>
      <c r="AR781"/>
    </row>
    <row r="782" spans="1:44" x14ac:dyDescent="0.35">
      <c r="A782" s="2" t="s">
        <v>145</v>
      </c>
      <c r="B782" s="40" t="str">
        <f>_xlfn.XLOOKUP(PROPERTIES[[#This Row],[VEHIDCODE]],CONTROL[VEHIDCODE],CONTROL[ENGLISH])</f>
        <v>Talgo Pendular</v>
      </c>
      <c r="J782" s="2" t="b">
        <v>1</v>
      </c>
      <c r="R782" s="2" t="b">
        <v>1</v>
      </c>
      <c r="Z782" s="2" t="b">
        <v>1</v>
      </c>
      <c r="AC782" s="2"/>
      <c r="AD782" s="2" t="b">
        <f>LEN(_xlfn.CONCAT(TRACK_TYPES[[#This Row],[TRACK_TYPE_STANDARD_GAUGE_RAILTYPE_OHLE]:[TRACK_TYPE_MTRO]]))&gt;0</f>
        <v>1</v>
      </c>
      <c r="AE782" s="38" t="b" cm="1">
        <f t="array" ref="AE782">IFERROR(_xlfn.BYROW(TRACK_TYPES[[#This Row],[TRACK_TYPE_STANDARD_GAUGE_RAILTYPE_OHLE]:[TRACK_TYPE_STANDARD_GAUGE_RAILTYPE_NONE]],_xlfn.LAMBDA(_xlpm.r,OR(_xlpm.r))),FALSE)</f>
        <v>1</v>
      </c>
      <c r="AF782" s="38" t="b" cm="1">
        <f t="array" ref="AF782">IFERROR(_xlfn.BYROW(TRACK_TYPES[[#This Row],[TRACK_TYPE_NARROW_GAUGE_RAILTYPE_OHLE]:[TRACK_TYPE_NARROW_GAUGE_RAILTYPE_NONE]],_xlfn.LAMBDA(_xlpm.r,OR(_xlpm.r))),FALSE)</f>
        <v>1</v>
      </c>
      <c r="AG782" s="38" t="b" cm="1">
        <f t="array" ref="AG782">IFERROR(_xlfn.BYROW(TRACK_TYPES[[#This Row],[TRACK_TYPE_BROAD_GAUGE_RAILTYPE_OHLE]:[TRACK_TYPE_BROAD_GAUGE_RAILTYPE_NONE]],_xlfn.LAMBDA(_xlpm.r,OR(_xlpm.r))),FALSE)</f>
        <v>1</v>
      </c>
      <c r="AH7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2"/>
      <c r="AQ782"/>
      <c r="AR782"/>
    </row>
    <row r="783" spans="1:44" x14ac:dyDescent="0.35">
      <c r="A783" s="2" t="s">
        <v>146</v>
      </c>
      <c r="B783" s="40" t="str">
        <f>_xlfn.XLOOKUP(PROPERTIES[[#This Row],[VEHIDCODE]],CONTROL[VEHIDCODE],CONTROL[ENGLISH])</f>
        <v>Talgo Pendular Mail</v>
      </c>
      <c r="J783" s="2" t="b">
        <v>1</v>
      </c>
      <c r="R783" s="2" t="b">
        <v>1</v>
      </c>
      <c r="Z783" s="2" t="b">
        <v>1</v>
      </c>
      <c r="AC783" s="2"/>
      <c r="AD783" s="2" t="b">
        <f>LEN(_xlfn.CONCAT(TRACK_TYPES[[#This Row],[TRACK_TYPE_STANDARD_GAUGE_RAILTYPE_OHLE]:[TRACK_TYPE_MTRO]]))&gt;0</f>
        <v>1</v>
      </c>
      <c r="AE783" s="38" t="b" cm="1">
        <f t="array" ref="AE783">IFERROR(_xlfn.BYROW(TRACK_TYPES[[#This Row],[TRACK_TYPE_STANDARD_GAUGE_RAILTYPE_OHLE]:[TRACK_TYPE_STANDARD_GAUGE_RAILTYPE_NONE]],_xlfn.LAMBDA(_xlpm.r,OR(_xlpm.r))),FALSE)</f>
        <v>1</v>
      </c>
      <c r="AF783" s="38" t="b" cm="1">
        <f t="array" ref="AF783">IFERROR(_xlfn.BYROW(TRACK_TYPES[[#This Row],[TRACK_TYPE_NARROW_GAUGE_RAILTYPE_OHLE]:[TRACK_TYPE_NARROW_GAUGE_RAILTYPE_NONE]],_xlfn.LAMBDA(_xlpm.r,OR(_xlpm.r))),FALSE)</f>
        <v>1</v>
      </c>
      <c r="AG783" s="38" t="b" cm="1">
        <f t="array" ref="AG783">IFERROR(_xlfn.BYROW(TRACK_TYPES[[#This Row],[TRACK_TYPE_BROAD_GAUGE_RAILTYPE_OHLE]:[TRACK_TYPE_BROAD_GAUGE_RAILTYPE_NONE]],_xlfn.LAMBDA(_xlpm.r,OR(_xlpm.r))),FALSE)</f>
        <v>1</v>
      </c>
      <c r="AH7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3"/>
      <c r="AQ783"/>
      <c r="AR783"/>
    </row>
    <row r="784" spans="1:44" x14ac:dyDescent="0.35">
      <c r="A784" s="2" t="s">
        <v>147</v>
      </c>
      <c r="B784" s="40" t="str">
        <f>_xlfn.XLOOKUP(PROPERTIES[[#This Row],[VEHIDCODE]],CONTROL[VEHIDCODE],CONTROL[ENGLISH])</f>
        <v>Grand Voyager Coach</v>
      </c>
      <c r="J784" s="2" t="b">
        <v>1</v>
      </c>
      <c r="R784" s="2" t="b">
        <v>1</v>
      </c>
      <c r="Z784" s="2" t="b">
        <v>1</v>
      </c>
      <c r="AC784" s="2"/>
      <c r="AD784" s="2" t="b">
        <f>LEN(_xlfn.CONCAT(TRACK_TYPES[[#This Row],[TRACK_TYPE_STANDARD_GAUGE_RAILTYPE_OHLE]:[TRACK_TYPE_MTRO]]))&gt;0</f>
        <v>1</v>
      </c>
      <c r="AE784" s="38" t="b" cm="1">
        <f t="array" ref="AE784">IFERROR(_xlfn.BYROW(TRACK_TYPES[[#This Row],[TRACK_TYPE_STANDARD_GAUGE_RAILTYPE_OHLE]:[TRACK_TYPE_STANDARD_GAUGE_RAILTYPE_NONE]],_xlfn.LAMBDA(_xlpm.r,OR(_xlpm.r))),FALSE)</f>
        <v>1</v>
      </c>
      <c r="AF784" s="38" t="b" cm="1">
        <f t="array" ref="AF784">IFERROR(_xlfn.BYROW(TRACK_TYPES[[#This Row],[TRACK_TYPE_NARROW_GAUGE_RAILTYPE_OHLE]:[TRACK_TYPE_NARROW_GAUGE_RAILTYPE_NONE]],_xlfn.LAMBDA(_xlpm.r,OR(_xlpm.r))),FALSE)</f>
        <v>1</v>
      </c>
      <c r="AG784" s="38" t="b" cm="1">
        <f t="array" ref="AG784">IFERROR(_xlfn.BYROW(TRACK_TYPES[[#This Row],[TRACK_TYPE_BROAD_GAUGE_RAILTYPE_OHLE]:[TRACK_TYPE_BROAD_GAUGE_RAILTYPE_NONE]],_xlfn.LAMBDA(_xlpm.r,OR(_xlpm.r))),FALSE)</f>
        <v>1</v>
      </c>
      <c r="AH7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4"/>
      <c r="AQ784"/>
      <c r="AR784"/>
    </row>
    <row r="785" spans="1:44" x14ac:dyDescent="0.35">
      <c r="A785" s="2" t="s">
        <v>148</v>
      </c>
      <c r="B785" s="40" t="str">
        <f>_xlfn.XLOOKUP(PROPERTIES[[#This Row],[VEHIDCODE]],CONTROL[VEHIDCODE],CONTROL[ENGLISH])</f>
        <v>Grand Regio Coach</v>
      </c>
      <c r="J785" s="2" t="b">
        <v>1</v>
      </c>
      <c r="R785" s="2" t="b">
        <v>1</v>
      </c>
      <c r="Z785" s="2" t="b">
        <v>1</v>
      </c>
      <c r="AC785" s="2"/>
      <c r="AD785" s="2" t="b">
        <f>LEN(_xlfn.CONCAT(TRACK_TYPES[[#This Row],[TRACK_TYPE_STANDARD_GAUGE_RAILTYPE_OHLE]:[TRACK_TYPE_MTRO]]))&gt;0</f>
        <v>1</v>
      </c>
      <c r="AE785" s="38" t="b" cm="1">
        <f t="array" ref="AE785">IFERROR(_xlfn.BYROW(TRACK_TYPES[[#This Row],[TRACK_TYPE_STANDARD_GAUGE_RAILTYPE_OHLE]:[TRACK_TYPE_STANDARD_GAUGE_RAILTYPE_NONE]],_xlfn.LAMBDA(_xlpm.r,OR(_xlpm.r))),FALSE)</f>
        <v>1</v>
      </c>
      <c r="AF785" s="38" t="b" cm="1">
        <f t="array" ref="AF785">IFERROR(_xlfn.BYROW(TRACK_TYPES[[#This Row],[TRACK_TYPE_NARROW_GAUGE_RAILTYPE_OHLE]:[TRACK_TYPE_NARROW_GAUGE_RAILTYPE_NONE]],_xlfn.LAMBDA(_xlpm.r,OR(_xlpm.r))),FALSE)</f>
        <v>1</v>
      </c>
      <c r="AG785" s="38" t="b" cm="1">
        <f t="array" ref="AG785">IFERROR(_xlfn.BYROW(TRACK_TYPES[[#This Row],[TRACK_TYPE_BROAD_GAUGE_RAILTYPE_OHLE]:[TRACK_TYPE_BROAD_GAUGE_RAILTYPE_NONE]],_xlfn.LAMBDA(_xlpm.r,OR(_xlpm.r))),FALSE)</f>
        <v>1</v>
      </c>
      <c r="AH7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5"/>
      <c r="AQ785"/>
      <c r="AR785"/>
    </row>
    <row r="786" spans="1:44" x14ac:dyDescent="0.35">
      <c r="A786" s="2" t="s">
        <v>149</v>
      </c>
      <c r="B786" s="40" t="str">
        <f>_xlfn.XLOOKUP(PROPERTIES[[#This Row],[VEHIDCODE]],CONTROL[VEHIDCODE],CONTROL[ENGLISH])</f>
        <v>Metropolis Coach</v>
      </c>
      <c r="J786" s="2" t="b">
        <v>1</v>
      </c>
      <c r="R786" s="2" t="b">
        <v>1</v>
      </c>
      <c r="Z786" s="2" t="b">
        <v>1</v>
      </c>
      <c r="AC786" s="2"/>
      <c r="AD786" s="2" t="b">
        <f>LEN(_xlfn.CONCAT(TRACK_TYPES[[#This Row],[TRACK_TYPE_STANDARD_GAUGE_RAILTYPE_OHLE]:[TRACK_TYPE_MTRO]]))&gt;0</f>
        <v>1</v>
      </c>
      <c r="AE786" s="38" t="b" cm="1">
        <f t="array" ref="AE786">IFERROR(_xlfn.BYROW(TRACK_TYPES[[#This Row],[TRACK_TYPE_STANDARD_GAUGE_RAILTYPE_OHLE]:[TRACK_TYPE_STANDARD_GAUGE_RAILTYPE_NONE]],_xlfn.LAMBDA(_xlpm.r,OR(_xlpm.r))),FALSE)</f>
        <v>1</v>
      </c>
      <c r="AF786" s="38" t="b" cm="1">
        <f t="array" ref="AF786">IFERROR(_xlfn.BYROW(TRACK_TYPES[[#This Row],[TRACK_TYPE_NARROW_GAUGE_RAILTYPE_OHLE]:[TRACK_TYPE_NARROW_GAUGE_RAILTYPE_NONE]],_xlfn.LAMBDA(_xlpm.r,OR(_xlpm.r))),FALSE)</f>
        <v>1</v>
      </c>
      <c r="AG786" s="38" t="b" cm="1">
        <f t="array" ref="AG786">IFERROR(_xlfn.BYROW(TRACK_TYPES[[#This Row],[TRACK_TYPE_BROAD_GAUGE_RAILTYPE_OHLE]:[TRACK_TYPE_BROAD_GAUGE_RAILTYPE_NONE]],_xlfn.LAMBDA(_xlpm.r,OR(_xlpm.r))),FALSE)</f>
        <v>1</v>
      </c>
      <c r="AH7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6"/>
      <c r="AQ786"/>
      <c r="AR786"/>
    </row>
    <row r="787" spans="1:44" x14ac:dyDescent="0.35">
      <c r="A787" s="2" t="s">
        <v>150</v>
      </c>
      <c r="B787" s="40" t="str">
        <f>_xlfn.XLOOKUP(PROPERTIES[[#This Row],[VEHIDCODE]],CONTROL[VEHIDCODE],CONTROL[ENGLISH])</f>
        <v>Speedmail Coach</v>
      </c>
      <c r="J787" s="2" t="b">
        <v>1</v>
      </c>
      <c r="R787" s="2" t="b">
        <v>1</v>
      </c>
      <c r="Z787" s="2" t="b">
        <v>1</v>
      </c>
      <c r="AC787" s="2"/>
      <c r="AD787" s="2" t="b">
        <f>LEN(_xlfn.CONCAT(TRACK_TYPES[[#This Row],[TRACK_TYPE_STANDARD_GAUGE_RAILTYPE_OHLE]:[TRACK_TYPE_MTRO]]))&gt;0</f>
        <v>1</v>
      </c>
      <c r="AE787" s="38" t="b" cm="1">
        <f t="array" ref="AE787">IFERROR(_xlfn.BYROW(TRACK_TYPES[[#This Row],[TRACK_TYPE_STANDARD_GAUGE_RAILTYPE_OHLE]:[TRACK_TYPE_STANDARD_GAUGE_RAILTYPE_NONE]],_xlfn.LAMBDA(_xlpm.r,OR(_xlpm.r))),FALSE)</f>
        <v>1</v>
      </c>
      <c r="AF787" s="38" t="b" cm="1">
        <f t="array" ref="AF787">IFERROR(_xlfn.BYROW(TRACK_TYPES[[#This Row],[TRACK_TYPE_NARROW_GAUGE_RAILTYPE_OHLE]:[TRACK_TYPE_NARROW_GAUGE_RAILTYPE_NONE]],_xlfn.LAMBDA(_xlpm.r,OR(_xlpm.r))),FALSE)</f>
        <v>1</v>
      </c>
      <c r="AG787" s="38" t="b" cm="1">
        <f t="array" ref="AG787">IFERROR(_xlfn.BYROW(TRACK_TYPES[[#This Row],[TRACK_TYPE_BROAD_GAUGE_RAILTYPE_OHLE]:[TRACK_TYPE_BROAD_GAUGE_RAILTYPE_NONE]],_xlfn.LAMBDA(_xlpm.r,OR(_xlpm.r))),FALSE)</f>
        <v>1</v>
      </c>
      <c r="AH7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7"/>
      <c r="AQ787"/>
      <c r="AR787"/>
    </row>
    <row r="788" spans="1:44" x14ac:dyDescent="0.35">
      <c r="A788" s="2" t="s">
        <v>151</v>
      </c>
      <c r="B788" s="40" t="str">
        <f>_xlfn.XLOOKUP(PROPERTIES[[#This Row],[VEHIDCODE]],CONTROL[VEHIDCODE],CONTROL[ENGLISH])</f>
        <v>Super Regio Coach</v>
      </c>
      <c r="J788" s="2" t="b">
        <v>1</v>
      </c>
      <c r="R788" s="2" t="b">
        <v>1</v>
      </c>
      <c r="Z788" s="2" t="b">
        <v>1</v>
      </c>
      <c r="AC788" s="2"/>
      <c r="AD788" s="2" t="b">
        <f>LEN(_xlfn.CONCAT(TRACK_TYPES[[#This Row],[TRACK_TYPE_STANDARD_GAUGE_RAILTYPE_OHLE]:[TRACK_TYPE_MTRO]]))&gt;0</f>
        <v>1</v>
      </c>
      <c r="AE788" s="38" t="b" cm="1">
        <f t="array" ref="AE788">IFERROR(_xlfn.BYROW(TRACK_TYPES[[#This Row],[TRACK_TYPE_STANDARD_GAUGE_RAILTYPE_OHLE]:[TRACK_TYPE_STANDARD_GAUGE_RAILTYPE_NONE]],_xlfn.LAMBDA(_xlpm.r,OR(_xlpm.r))),FALSE)</f>
        <v>1</v>
      </c>
      <c r="AF788" s="38" t="b" cm="1">
        <f t="array" ref="AF788">IFERROR(_xlfn.BYROW(TRACK_TYPES[[#This Row],[TRACK_TYPE_NARROW_GAUGE_RAILTYPE_OHLE]:[TRACK_TYPE_NARROW_GAUGE_RAILTYPE_NONE]],_xlfn.LAMBDA(_xlpm.r,OR(_xlpm.r))),FALSE)</f>
        <v>1</v>
      </c>
      <c r="AG788" s="38" t="b" cm="1">
        <f t="array" ref="AG788">IFERROR(_xlfn.BYROW(TRACK_TYPES[[#This Row],[TRACK_TYPE_BROAD_GAUGE_RAILTYPE_OHLE]:[TRACK_TYPE_BROAD_GAUGE_RAILTYPE_NONE]],_xlfn.LAMBDA(_xlpm.r,OR(_xlpm.r))),FALSE)</f>
        <v>1</v>
      </c>
      <c r="AH7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8"/>
      <c r="AQ788"/>
      <c r="AR788"/>
    </row>
    <row r="789" spans="1:44" x14ac:dyDescent="0.35">
      <c r="A789" s="2" t="s">
        <v>152</v>
      </c>
      <c r="B789" s="40" t="str">
        <f>_xlfn.XLOOKUP(PROPERTIES[[#This Row],[VEHIDCODE]],CONTROL[VEHIDCODE],CONTROL[ENGLISH])</f>
        <v>Super Voyager Coach</v>
      </c>
      <c r="J789" s="2" t="b">
        <v>1</v>
      </c>
      <c r="R789" s="2" t="b">
        <v>1</v>
      </c>
      <c r="Z789" s="2" t="b">
        <v>1</v>
      </c>
      <c r="AC789" s="2"/>
      <c r="AD789" s="2" t="b">
        <f>LEN(_xlfn.CONCAT(TRACK_TYPES[[#This Row],[TRACK_TYPE_STANDARD_GAUGE_RAILTYPE_OHLE]:[TRACK_TYPE_MTRO]]))&gt;0</f>
        <v>1</v>
      </c>
      <c r="AE789" s="38" t="b" cm="1">
        <f t="array" ref="AE789">IFERROR(_xlfn.BYROW(TRACK_TYPES[[#This Row],[TRACK_TYPE_STANDARD_GAUGE_RAILTYPE_OHLE]:[TRACK_TYPE_STANDARD_GAUGE_RAILTYPE_NONE]],_xlfn.LAMBDA(_xlpm.r,OR(_xlpm.r))),FALSE)</f>
        <v>1</v>
      </c>
      <c r="AF789" s="38" t="b" cm="1">
        <f t="array" ref="AF789">IFERROR(_xlfn.BYROW(TRACK_TYPES[[#This Row],[TRACK_TYPE_NARROW_GAUGE_RAILTYPE_OHLE]:[TRACK_TYPE_NARROW_GAUGE_RAILTYPE_NONE]],_xlfn.LAMBDA(_xlpm.r,OR(_xlpm.r))),FALSE)</f>
        <v>1</v>
      </c>
      <c r="AG789" s="38" t="b" cm="1">
        <f t="array" ref="AG789">IFERROR(_xlfn.BYROW(TRACK_TYPES[[#This Row],[TRACK_TYPE_BROAD_GAUGE_RAILTYPE_OHLE]:[TRACK_TYPE_BROAD_GAUGE_RAILTYPE_NONE]],_xlfn.LAMBDA(_xlpm.r,OR(_xlpm.r))),FALSE)</f>
        <v>1</v>
      </c>
      <c r="AH7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9"/>
      <c r="AQ789"/>
      <c r="AR789"/>
    </row>
    <row r="790" spans="1:44" x14ac:dyDescent="0.35">
      <c r="A790" s="2" t="s">
        <v>3266</v>
      </c>
      <c r="B790" s="40" t="str">
        <f>_xlfn.XLOOKUP(PROPERTIES[[#This Row],[VEHIDCODE]],CONTROL[VEHIDCODE],CONTROL[ENGLISH])</f>
        <v>Alsthom AD30B</v>
      </c>
      <c r="J790" s="2" t="b">
        <v>1</v>
      </c>
      <c r="AC790" s="2"/>
      <c r="AD790" s="2" t="b">
        <f>LEN(_xlfn.CONCAT(TRACK_TYPES[[#This Row],[TRACK_TYPE_STANDARD_GAUGE_RAILTYPE_OHLE]:[TRACK_TYPE_MTRO]]))&gt;0</f>
        <v>1</v>
      </c>
      <c r="AE790" s="38" t="b" cm="1">
        <f t="array" ref="AE790">IFERROR(_xlfn.BYROW(TRACK_TYPES[[#This Row],[TRACK_TYPE_STANDARD_GAUGE_RAILTYPE_OHLE]:[TRACK_TYPE_STANDARD_GAUGE_RAILTYPE_NONE]],_xlfn.LAMBDA(_xlpm.r,OR(_xlpm.r))),FALSE)</f>
        <v>1</v>
      </c>
      <c r="AF790" s="38" t="b" cm="1">
        <f t="array" ref="AF790">IFERROR(_xlfn.BYROW(TRACK_TYPES[[#This Row],[TRACK_TYPE_NARROW_GAUGE_RAILTYPE_OHLE]:[TRACK_TYPE_NARROW_GAUGE_RAILTYPE_NONE]],_xlfn.LAMBDA(_xlpm.r,OR(_xlpm.r))),FALSE)</f>
        <v>0</v>
      </c>
      <c r="AG790" s="38" t="b" cm="1">
        <f t="array" ref="AG790">IFERROR(_xlfn.BYROW(TRACK_TYPES[[#This Row],[TRACK_TYPE_BROAD_GAUGE_RAILTYPE_OHLE]:[TRACK_TYPE_BROAD_GAUGE_RAILTYPE_NONE]],_xlfn.LAMBDA(_xlpm.r,OR(_xlpm.r))),FALSE)</f>
        <v>0</v>
      </c>
      <c r="AH7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791" spans="1:44" x14ac:dyDescent="0.35">
      <c r="A791" s="2" t="s">
        <v>3267</v>
      </c>
      <c r="B791" s="40" t="str">
        <f>_xlfn.XLOOKUP(PROPERTIES[[#This Row],[VEHIDCODE]],CONTROL[VEHIDCODE],CONTROL[ENGLISH])</f>
        <v>Porter 2-8-2 Class 200 'Katanga Mikado'</v>
      </c>
      <c r="R791" s="2" t="b">
        <v>1</v>
      </c>
      <c r="AC791" s="2"/>
      <c r="AD791" s="2" t="b">
        <f>LEN(_xlfn.CONCAT(TRACK_TYPES[[#This Row],[TRACK_TYPE_STANDARD_GAUGE_RAILTYPE_OHLE]:[TRACK_TYPE_MTRO]]))&gt;0</f>
        <v>1</v>
      </c>
      <c r="AE791" s="38" t="b" cm="1">
        <f t="array" ref="AE791">IFERROR(_xlfn.BYROW(TRACK_TYPES[[#This Row],[TRACK_TYPE_STANDARD_GAUGE_RAILTYPE_OHLE]:[TRACK_TYPE_STANDARD_GAUGE_RAILTYPE_NONE]],_xlfn.LAMBDA(_xlpm.r,OR(_xlpm.r))),FALSE)</f>
        <v>0</v>
      </c>
      <c r="AF791" s="38" t="b" cm="1">
        <f t="array" ref="AF791">IFERROR(_xlfn.BYROW(TRACK_TYPES[[#This Row],[TRACK_TYPE_NARROW_GAUGE_RAILTYPE_OHLE]:[TRACK_TYPE_NARROW_GAUGE_RAILTYPE_NONE]],_xlfn.LAMBDA(_xlpm.r,OR(_xlpm.r))),FALSE)</f>
        <v>1</v>
      </c>
      <c r="AG791" s="38" t="b" cm="1">
        <f t="array" ref="AG791">IFERROR(_xlfn.BYROW(TRACK_TYPES[[#This Row],[TRACK_TYPE_BROAD_GAUGE_RAILTYPE_OHLE]:[TRACK_TYPE_BROAD_GAUGE_RAILTYPE_NONE]],_xlfn.LAMBDA(_xlpm.r,OR(_xlpm.r))),FALSE)</f>
        <v>0</v>
      </c>
      <c r="AH7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2" spans="1:44" x14ac:dyDescent="0.35">
      <c r="A792" s="2" t="s">
        <v>3268</v>
      </c>
      <c r="B792" s="40" t="str">
        <f>_xlfn.XLOOKUP(PROPERTIES[[#This Row],[VEHIDCODE]],CONTROL[VEHIDCODE],CONTROL[ENGLISH])</f>
        <v>Kawasaki/Nippon Sharyo/Toshiba M250</v>
      </c>
      <c r="O792" t="b">
        <v>1</v>
      </c>
      <c r="AC792" s="2"/>
      <c r="AD792" s="2" t="b">
        <f>LEN(_xlfn.CONCAT(TRACK_TYPES[[#This Row],[TRACK_TYPE_STANDARD_GAUGE_RAILTYPE_OHLE]:[TRACK_TYPE_MTRO]]))&gt;0</f>
        <v>1</v>
      </c>
      <c r="AE792" s="38" t="b" cm="1">
        <f t="array" ref="AE792">IFERROR(_xlfn.BYROW(TRACK_TYPES[[#This Row],[TRACK_TYPE_STANDARD_GAUGE_RAILTYPE_OHLE]:[TRACK_TYPE_STANDARD_GAUGE_RAILTYPE_NONE]],_xlfn.LAMBDA(_xlpm.r,OR(_xlpm.r))),FALSE)</f>
        <v>0</v>
      </c>
      <c r="AF792" s="38" t="b" cm="1">
        <f t="array" ref="AF792">IFERROR(_xlfn.BYROW(TRACK_TYPES[[#This Row],[TRACK_TYPE_NARROW_GAUGE_RAILTYPE_OHLE]:[TRACK_TYPE_NARROW_GAUGE_RAILTYPE_NONE]],_xlfn.LAMBDA(_xlpm.r,OR(_xlpm.r))),FALSE)</f>
        <v>1</v>
      </c>
      <c r="AG792" s="38" t="b" cm="1">
        <f t="array" ref="AG792">IFERROR(_xlfn.BYROW(TRACK_TYPES[[#This Row],[TRACK_TYPE_BROAD_GAUGE_RAILTYPE_OHLE]:[TRACK_TYPE_BROAD_GAUGE_RAILTYPE_NONE]],_xlfn.LAMBDA(_xlpm.r,OR(_xlpm.r))),FALSE)</f>
        <v>0</v>
      </c>
      <c r="AH7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3" spans="1:44" x14ac:dyDescent="0.35">
      <c r="A793" s="2" t="s">
        <v>3269</v>
      </c>
      <c r="B793" s="40" t="str">
        <f>_xlfn.XLOOKUP(PROPERTIES[[#This Row],[VEHIDCODE]],CONTROL[VEHIDCODE],CONTROL[ENGLISH])</f>
        <v>Esslingen/MAN/Hohenzollern 'Thomas'</v>
      </c>
      <c r="J793" s="2" t="b">
        <v>1</v>
      </c>
      <c r="AC793" s="2"/>
      <c r="AD793" s="2" t="b">
        <f>LEN(_xlfn.CONCAT(TRACK_TYPES[[#This Row],[TRACK_TYPE_STANDARD_GAUGE_RAILTYPE_OHLE]:[TRACK_TYPE_MTRO]]))&gt;0</f>
        <v>1</v>
      </c>
      <c r="AE793" s="38" t="b" cm="1">
        <f t="array" ref="AE793">IFERROR(_xlfn.BYROW(TRACK_TYPES[[#This Row],[TRACK_TYPE_STANDARD_GAUGE_RAILTYPE_OHLE]:[TRACK_TYPE_STANDARD_GAUGE_RAILTYPE_NONE]],_xlfn.LAMBDA(_xlpm.r,OR(_xlpm.r))),FALSE)</f>
        <v>1</v>
      </c>
      <c r="AF793" s="38" t="b" cm="1">
        <f t="array" ref="AF793">IFERROR(_xlfn.BYROW(TRACK_TYPES[[#This Row],[TRACK_TYPE_NARROW_GAUGE_RAILTYPE_OHLE]:[TRACK_TYPE_NARROW_GAUGE_RAILTYPE_NONE]],_xlfn.LAMBDA(_xlpm.r,OR(_xlpm.r))),FALSE)</f>
        <v>0</v>
      </c>
      <c r="AG793" s="38" t="b" cm="1">
        <f t="array" ref="AG793">IFERROR(_xlfn.BYROW(TRACK_TYPES[[#This Row],[TRACK_TYPE_BROAD_GAUGE_RAILTYPE_OHLE]:[TRACK_TYPE_BROAD_GAUGE_RAILTYPE_NONE]],_xlfn.LAMBDA(_xlpm.r,OR(_xlpm.r))),FALSE)</f>
        <v>0</v>
      </c>
      <c r="AH7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794" spans="1:44" x14ac:dyDescent="0.35">
      <c r="A794" s="2" t="s">
        <v>3270</v>
      </c>
      <c r="B794" s="40" t="str">
        <f>_xlfn.XLOOKUP(PROPERTIES[[#This Row],[VEHIDCODE]],CONTROL[VEHIDCODE],CONTROL[ENGLISH])</f>
        <v>Komarek NOLB 30-33</v>
      </c>
      <c r="J794" s="2" t="b">
        <v>1</v>
      </c>
      <c r="AC794" s="2"/>
      <c r="AD794" s="2" t="b">
        <f>LEN(_xlfn.CONCAT(TRACK_TYPES[[#This Row],[TRACK_TYPE_STANDARD_GAUGE_RAILTYPE_OHLE]:[TRACK_TYPE_MTRO]]))&gt;0</f>
        <v>1</v>
      </c>
      <c r="AE794" s="38" t="b" cm="1">
        <f t="array" ref="AE794">IFERROR(_xlfn.BYROW(TRACK_TYPES[[#This Row],[TRACK_TYPE_STANDARD_GAUGE_RAILTYPE_OHLE]:[TRACK_TYPE_STANDARD_GAUGE_RAILTYPE_NONE]],_xlfn.LAMBDA(_xlpm.r,OR(_xlpm.r))),FALSE)</f>
        <v>1</v>
      </c>
      <c r="AF794" s="38" t="b" cm="1">
        <f t="array" ref="AF794">IFERROR(_xlfn.BYROW(TRACK_TYPES[[#This Row],[TRACK_TYPE_NARROW_GAUGE_RAILTYPE_OHLE]:[TRACK_TYPE_NARROW_GAUGE_RAILTYPE_NONE]],_xlfn.LAMBDA(_xlpm.r,OR(_xlpm.r))),FALSE)</f>
        <v>0</v>
      </c>
      <c r="AG794" s="38" t="b" cm="1">
        <f t="array" ref="AG794">IFERROR(_xlfn.BYROW(TRACK_TYPES[[#This Row],[TRACK_TYPE_BROAD_GAUGE_RAILTYPE_OHLE]:[TRACK_TYPE_BROAD_GAUGE_RAILTYPE_NONE]],_xlfn.LAMBDA(_xlpm.r,OR(_xlpm.r))),FALSE)</f>
        <v>0</v>
      </c>
      <c r="AH7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795" spans="1:44" x14ac:dyDescent="0.35">
      <c r="A795" t="s">
        <v>3271</v>
      </c>
      <c r="B795" s="40" t="str">
        <f>_xlfn.XLOOKUP(PROPERTIES[[#This Row],[VEHIDCODE]],CONTROL[VEHIDCODE],CONTROL[ENGLISH])</f>
        <v>Henschel 4-4-2 19906</v>
      </c>
      <c r="R795" s="2" t="b">
        <v>1</v>
      </c>
      <c r="AC795" s="2"/>
      <c r="AD795" s="2" t="b">
        <f>LEN(_xlfn.CONCAT(TRACK_TYPES[[#This Row],[TRACK_TYPE_STANDARD_GAUGE_RAILTYPE_OHLE]:[TRACK_TYPE_MTRO]]))&gt;0</f>
        <v>1</v>
      </c>
      <c r="AE795" s="38" t="b" cm="1">
        <f t="array" ref="AE795">IFERROR(_xlfn.BYROW(TRACK_TYPES[[#This Row],[TRACK_TYPE_STANDARD_GAUGE_RAILTYPE_OHLE]:[TRACK_TYPE_STANDARD_GAUGE_RAILTYPE_NONE]],_xlfn.LAMBDA(_xlpm.r,OR(_xlpm.r))),FALSE)</f>
        <v>0</v>
      </c>
      <c r="AF795" s="38" t="b" cm="1">
        <f t="array" ref="AF795">IFERROR(_xlfn.BYROW(TRACK_TYPES[[#This Row],[TRACK_TYPE_NARROW_GAUGE_RAILTYPE_OHLE]:[TRACK_TYPE_NARROW_GAUGE_RAILTYPE_NONE]],_xlfn.LAMBDA(_xlpm.r,OR(_xlpm.r))),FALSE)</f>
        <v>1</v>
      </c>
      <c r="AG795" s="38" t="b" cm="1">
        <f t="array" ref="AG795">IFERROR(_xlfn.BYROW(TRACK_TYPES[[#This Row],[TRACK_TYPE_BROAD_GAUGE_RAILTYPE_OHLE]:[TRACK_TYPE_BROAD_GAUGE_RAILTYPE_NONE]],_xlfn.LAMBDA(_xlpm.r,OR(_xlpm.r))),FALSE)</f>
        <v>0</v>
      </c>
      <c r="AH7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6" spans="1:44" x14ac:dyDescent="0.35">
      <c r="A796" t="s">
        <v>3446</v>
      </c>
      <c r="B796" s="40" t="str">
        <f>_xlfn.XLOOKUP(PROPERTIES[[#This Row],[VEHIDCODE]],CONTROL[VEHIDCODE],CONTROL[ENGLISH])</f>
        <v>Haine-Saint-Pierre 2-6-0+0-6-2T 'Golwe'</v>
      </c>
      <c r="R796" s="2" t="b">
        <v>1</v>
      </c>
      <c r="AC796" s="2"/>
      <c r="AD796" s="2" t="b">
        <f>LEN(_xlfn.CONCAT(TRACK_TYPES[[#This Row],[TRACK_TYPE_STANDARD_GAUGE_RAILTYPE_OHLE]:[TRACK_TYPE_MTRO]]))&gt;0</f>
        <v>1</v>
      </c>
      <c r="AE796" s="38" t="b" cm="1">
        <f t="array" ref="AE796">IFERROR(_xlfn.BYROW(TRACK_TYPES[[#This Row],[TRACK_TYPE_STANDARD_GAUGE_RAILTYPE_OHLE]:[TRACK_TYPE_STANDARD_GAUGE_RAILTYPE_NONE]],_xlfn.LAMBDA(_xlpm.r,OR(_xlpm.r))),FALSE)</f>
        <v>0</v>
      </c>
      <c r="AF796" s="38" t="b" cm="1">
        <f t="array" ref="AF796">IFERROR(_xlfn.BYROW(TRACK_TYPES[[#This Row],[TRACK_TYPE_NARROW_GAUGE_RAILTYPE_OHLE]:[TRACK_TYPE_NARROW_GAUGE_RAILTYPE_NONE]],_xlfn.LAMBDA(_xlpm.r,OR(_xlpm.r))),FALSE)</f>
        <v>1</v>
      </c>
      <c r="AG796" s="38" t="b" cm="1">
        <f t="array" ref="AG796">IFERROR(_xlfn.BYROW(TRACK_TYPES[[#This Row],[TRACK_TYPE_BROAD_GAUGE_RAILTYPE_OHLE]:[TRACK_TYPE_BROAD_GAUGE_RAILTYPE_NONE]],_xlfn.LAMBDA(_xlpm.r,OR(_xlpm.r))),FALSE)</f>
        <v>0</v>
      </c>
      <c r="AH7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7" spans="1:44" x14ac:dyDescent="0.35">
      <c r="A797" t="s">
        <v>3272</v>
      </c>
      <c r="B797" s="40" t="str">
        <f>_xlfn.XLOOKUP(PROPERTIES[[#This Row],[VEHIDCODE]],CONTROL[VEHIDCODE],CONTROL[ENGLISH])</f>
        <v>Henschel EMD TT12</v>
      </c>
      <c r="R797" s="2" t="b">
        <v>1</v>
      </c>
      <c r="AC797" s="2"/>
      <c r="AD797" s="2" t="b">
        <f>LEN(_xlfn.CONCAT(TRACK_TYPES[[#This Row],[TRACK_TYPE_STANDARD_GAUGE_RAILTYPE_OHLE]:[TRACK_TYPE_MTRO]]))&gt;0</f>
        <v>1</v>
      </c>
      <c r="AE797" s="38" t="b" cm="1">
        <f t="array" ref="AE797">IFERROR(_xlfn.BYROW(TRACK_TYPES[[#This Row],[TRACK_TYPE_STANDARD_GAUGE_RAILTYPE_OHLE]:[TRACK_TYPE_STANDARD_GAUGE_RAILTYPE_NONE]],_xlfn.LAMBDA(_xlpm.r,OR(_xlpm.r))),FALSE)</f>
        <v>0</v>
      </c>
      <c r="AF797" s="38" t="b" cm="1">
        <f t="array" ref="AF797">IFERROR(_xlfn.BYROW(TRACK_TYPES[[#This Row],[TRACK_TYPE_NARROW_GAUGE_RAILTYPE_OHLE]:[TRACK_TYPE_NARROW_GAUGE_RAILTYPE_NONE]],_xlfn.LAMBDA(_xlpm.r,OR(_xlpm.r))),FALSE)</f>
        <v>1</v>
      </c>
      <c r="AG797" s="38" t="b" cm="1">
        <f t="array" ref="AG797">IFERROR(_xlfn.BYROW(TRACK_TYPES[[#This Row],[TRACK_TYPE_BROAD_GAUGE_RAILTYPE_OHLE]:[TRACK_TYPE_BROAD_GAUGE_RAILTYPE_NONE]],_xlfn.LAMBDA(_xlpm.r,OR(_xlpm.r))),FALSE)</f>
        <v>0</v>
      </c>
      <c r="AH7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8" spans="1:44" x14ac:dyDescent="0.35">
      <c r="A798" s="2" t="s">
        <v>3273</v>
      </c>
      <c r="B798" s="40" t="str">
        <f>_xlfn.XLOOKUP(PROPERTIES[[#This Row],[VEHIDCODE]],CONTROL[VEHIDCODE],CONTROL[ENGLISH])</f>
        <v>Henschel GE G16</v>
      </c>
      <c r="R798" s="2" t="b">
        <v>1</v>
      </c>
      <c r="AC798" s="2"/>
      <c r="AD798" s="2" t="b">
        <f>LEN(_xlfn.CONCAT(TRACK_TYPES[[#This Row],[TRACK_TYPE_STANDARD_GAUGE_RAILTYPE_OHLE]:[TRACK_TYPE_MTRO]]))&gt;0</f>
        <v>1</v>
      </c>
      <c r="AE798" s="38" t="b" cm="1">
        <f t="array" ref="AE798">IFERROR(_xlfn.BYROW(TRACK_TYPES[[#This Row],[TRACK_TYPE_STANDARD_GAUGE_RAILTYPE_OHLE]:[TRACK_TYPE_STANDARD_GAUGE_RAILTYPE_NONE]],_xlfn.LAMBDA(_xlpm.r,OR(_xlpm.r))),FALSE)</f>
        <v>0</v>
      </c>
      <c r="AF798" s="38" t="b" cm="1">
        <f t="array" ref="AF798">IFERROR(_xlfn.BYROW(TRACK_TYPES[[#This Row],[TRACK_TYPE_NARROW_GAUGE_RAILTYPE_OHLE]:[TRACK_TYPE_NARROW_GAUGE_RAILTYPE_NONE]],_xlfn.LAMBDA(_xlpm.r,OR(_xlpm.r))),FALSE)</f>
        <v>1</v>
      </c>
      <c r="AG798" s="38" t="b" cm="1">
        <f t="array" ref="AG798">IFERROR(_xlfn.BYROW(TRACK_TYPES[[#This Row],[TRACK_TYPE_BROAD_GAUGE_RAILTYPE_OHLE]:[TRACK_TYPE_BROAD_GAUGE_RAILTYPE_NONE]],_xlfn.LAMBDA(_xlpm.r,OR(_xlpm.r))),FALSE)</f>
        <v>0</v>
      </c>
      <c r="AH7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9" spans="1:44" x14ac:dyDescent="0.35">
      <c r="A799" s="2" t="s">
        <v>3274</v>
      </c>
      <c r="B799" s="40" t="str">
        <f>_xlfn.XLOOKUP(PROPERTIES[[#This Row],[VEHIDCODE]],CONTROL[VEHIDCODE],CONTROL[ENGLISH])</f>
        <v>ACEC/BN Type 2450</v>
      </c>
      <c r="L799" t="b">
        <v>1</v>
      </c>
      <c r="AC799" s="2"/>
      <c r="AD799" s="2" t="b">
        <f>LEN(_xlfn.CONCAT(TRACK_TYPES[[#This Row],[TRACK_TYPE_STANDARD_GAUGE_RAILTYPE_OHLE]:[TRACK_TYPE_MTRO]]))&gt;0</f>
        <v>1</v>
      </c>
      <c r="AE799" s="38" t="b" cm="1">
        <f t="array" ref="AE799">IFERROR(_xlfn.BYROW(TRACK_TYPES[[#This Row],[TRACK_TYPE_STANDARD_GAUGE_RAILTYPE_OHLE]:[TRACK_TYPE_STANDARD_GAUGE_RAILTYPE_NONE]],_xlfn.LAMBDA(_xlpm.r,OR(_xlpm.r))),FALSE)</f>
        <v>0</v>
      </c>
      <c r="AF799" s="38" t="b" cm="1">
        <f t="array" ref="AF799">IFERROR(_xlfn.BYROW(TRACK_TYPES[[#This Row],[TRACK_TYPE_NARROW_GAUGE_RAILTYPE_OHLE]:[TRACK_TYPE_NARROW_GAUGE_RAILTYPE_NONE]],_xlfn.LAMBDA(_xlpm.r,OR(_xlpm.r))),FALSE)</f>
        <v>1</v>
      </c>
      <c r="AG799" s="38" t="b" cm="1">
        <f t="array" ref="AG799">IFERROR(_xlfn.BYROW(TRACK_TYPES[[#This Row],[TRACK_TYPE_BROAD_GAUGE_RAILTYPE_OHLE]:[TRACK_TYPE_BROAD_GAUGE_RAILTYPE_NONE]],_xlfn.LAMBDA(_xlpm.r,OR(_xlpm.r))),FALSE)</f>
        <v>0</v>
      </c>
      <c r="AH7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00" spans="1:44" x14ac:dyDescent="0.35">
      <c r="A800" s="2" t="s">
        <v>3275</v>
      </c>
      <c r="B800" s="40" t="str">
        <f>_xlfn.XLOOKUP(PROPERTIES[[#This Row],[VEHIDCODE]],CONTROL[VEHIDCODE],CONTROL[ENGLISH])</f>
        <v>Alsthom BB-BB 300</v>
      </c>
      <c r="R800" s="2" t="b">
        <v>1</v>
      </c>
      <c r="AC800" s="2"/>
      <c r="AD800" s="2" t="b">
        <f>LEN(_xlfn.CONCAT(TRACK_TYPES[[#This Row],[TRACK_TYPE_STANDARD_GAUGE_RAILTYPE_OHLE]:[TRACK_TYPE_MTRO]]))&gt;0</f>
        <v>1</v>
      </c>
      <c r="AE800" s="38" t="b" cm="1">
        <f t="array" ref="AE800">IFERROR(_xlfn.BYROW(TRACK_TYPES[[#This Row],[TRACK_TYPE_STANDARD_GAUGE_RAILTYPE_OHLE]:[TRACK_TYPE_STANDARD_GAUGE_RAILTYPE_NONE]],_xlfn.LAMBDA(_xlpm.r,OR(_xlpm.r))),FALSE)</f>
        <v>0</v>
      </c>
      <c r="AF800" s="38" t="b" cm="1">
        <f t="array" ref="AF800">IFERROR(_xlfn.BYROW(TRACK_TYPES[[#This Row],[TRACK_TYPE_NARROW_GAUGE_RAILTYPE_OHLE]:[TRACK_TYPE_NARROW_GAUGE_RAILTYPE_NONE]],_xlfn.LAMBDA(_xlpm.r,OR(_xlpm.r))),FALSE)</f>
        <v>1</v>
      </c>
      <c r="AG800" s="38" t="b" cm="1">
        <f t="array" ref="AG800">IFERROR(_xlfn.BYROW(TRACK_TYPES[[#This Row],[TRACK_TYPE_BROAD_GAUGE_RAILTYPE_OHLE]:[TRACK_TYPE_BROAD_GAUGE_RAILTYPE_NONE]],_xlfn.LAMBDA(_xlpm.r,OR(_xlpm.r))),FALSE)</f>
        <v>0</v>
      </c>
      <c r="AH8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01" spans="1:34" x14ac:dyDescent="0.35">
      <c r="A801" s="2" t="s">
        <v>3276</v>
      </c>
      <c r="B801" s="40" t="str">
        <f>_xlfn.XLOOKUP(PROPERTIES[[#This Row],[VEHIDCODE]],CONTROL[VEHIDCODE],CONTROL[ENGLISH])</f>
        <v>Alsthom CC 200</v>
      </c>
      <c r="R801" s="2" t="b">
        <v>1</v>
      </c>
      <c r="AC801" s="2"/>
      <c r="AD801" s="2" t="b">
        <f>LEN(_xlfn.CONCAT(TRACK_TYPES[[#This Row],[TRACK_TYPE_STANDARD_GAUGE_RAILTYPE_OHLE]:[TRACK_TYPE_MTRO]]))&gt;0</f>
        <v>1</v>
      </c>
      <c r="AE801" s="38" t="b" cm="1">
        <f t="array" ref="AE801">IFERROR(_xlfn.BYROW(TRACK_TYPES[[#This Row],[TRACK_TYPE_STANDARD_GAUGE_RAILTYPE_OHLE]:[TRACK_TYPE_STANDARD_GAUGE_RAILTYPE_NONE]],_xlfn.LAMBDA(_xlpm.r,OR(_xlpm.r))),FALSE)</f>
        <v>0</v>
      </c>
      <c r="AF801" s="38" t="b" cm="1">
        <f t="array" ref="AF801">IFERROR(_xlfn.BYROW(TRACK_TYPES[[#This Row],[TRACK_TYPE_NARROW_GAUGE_RAILTYPE_OHLE]:[TRACK_TYPE_NARROW_GAUGE_RAILTYPE_NONE]],_xlfn.LAMBDA(_xlpm.r,OR(_xlpm.r))),FALSE)</f>
        <v>1</v>
      </c>
      <c r="AG801" s="38" t="b" cm="1">
        <f t="array" ref="AG801">IFERROR(_xlfn.BYROW(TRACK_TYPES[[#This Row],[TRACK_TYPE_BROAD_GAUGE_RAILTYPE_OHLE]:[TRACK_TYPE_BROAD_GAUGE_RAILTYPE_NONE]],_xlfn.LAMBDA(_xlpm.r,OR(_xlpm.r))),FALSE)</f>
        <v>0</v>
      </c>
      <c r="AH8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02" spans="1:34" x14ac:dyDescent="0.35">
      <c r="A802" s="2" t="s">
        <v>3277</v>
      </c>
      <c r="B802" s="40" t="str">
        <f>_xlfn.XLOOKUP(PROPERTIES[[#This Row],[VEHIDCODE]],CONTROL[VEHIDCODE],CONTROL[ENGLISH])</f>
        <v>GMD GT22LC-2</v>
      </c>
      <c r="R802" s="2" t="b">
        <v>1</v>
      </c>
      <c r="AC802" s="2"/>
      <c r="AD802" s="2" t="b">
        <f>LEN(_xlfn.CONCAT(TRACK_TYPES[[#This Row],[TRACK_TYPE_STANDARD_GAUGE_RAILTYPE_OHLE]:[TRACK_TYPE_MTRO]]))&gt;0</f>
        <v>1</v>
      </c>
      <c r="AE802" s="38" t="b" cm="1">
        <f t="array" ref="AE802">IFERROR(_xlfn.BYROW(TRACK_TYPES[[#This Row],[TRACK_TYPE_STANDARD_GAUGE_RAILTYPE_OHLE]:[TRACK_TYPE_STANDARD_GAUGE_RAILTYPE_NONE]],_xlfn.LAMBDA(_xlpm.r,OR(_xlpm.r))),FALSE)</f>
        <v>0</v>
      </c>
      <c r="AF802" s="38" t="b" cm="1">
        <f t="array" ref="AF802">IFERROR(_xlfn.BYROW(TRACK_TYPES[[#This Row],[TRACK_TYPE_NARROW_GAUGE_RAILTYPE_OHLE]:[TRACK_TYPE_NARROW_GAUGE_RAILTYPE_NONE]],_xlfn.LAMBDA(_xlpm.r,OR(_xlpm.r))),FALSE)</f>
        <v>1</v>
      </c>
      <c r="AG802" s="38" t="b" cm="1">
        <f t="array" ref="AG802">IFERROR(_xlfn.BYROW(TRACK_TYPES[[#This Row],[TRACK_TYPE_BROAD_GAUGE_RAILTYPE_OHLE]:[TRACK_TYPE_BROAD_GAUGE_RAILTYPE_NONE]],_xlfn.LAMBDA(_xlpm.r,OR(_xlpm.r))),FALSE)</f>
        <v>0</v>
      </c>
      <c r="AH8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03" spans="1:34" x14ac:dyDescent="0.35">
      <c r="A803" s="2" t="s">
        <v>3278</v>
      </c>
      <c r="B803" s="40" t="str">
        <f>_xlfn.XLOOKUP(PROPERTIES[[#This Row],[VEHIDCODE]],CONTROL[VEHIDCODE],CONTROL[ENGLISH])</f>
        <v>TRC E6800</v>
      </c>
      <c r="D803" t="b">
        <v>1</v>
      </c>
      <c r="AC803" s="2"/>
      <c r="AD803" s="2" t="b">
        <f>LEN(_xlfn.CONCAT(TRACK_TYPES[[#This Row],[TRACK_TYPE_STANDARD_GAUGE_RAILTYPE_OHLE]:[TRACK_TYPE_MTRO]]))&gt;0</f>
        <v>1</v>
      </c>
      <c r="AE803" s="38" t="b" cm="1">
        <f t="array" ref="AE803">IFERROR(_xlfn.BYROW(TRACK_TYPES[[#This Row],[TRACK_TYPE_STANDARD_GAUGE_RAILTYPE_OHLE]:[TRACK_TYPE_STANDARD_GAUGE_RAILTYPE_NONE]],_xlfn.LAMBDA(_xlpm.r,OR(_xlpm.r))),FALSE)</f>
        <v>1</v>
      </c>
      <c r="AF803" s="38" t="b" cm="1">
        <f t="array" ref="AF803">IFERROR(_xlfn.BYROW(TRACK_TYPES[[#This Row],[TRACK_TYPE_NARROW_GAUGE_RAILTYPE_OHLE]:[TRACK_TYPE_NARROW_GAUGE_RAILTYPE_NONE]],_xlfn.LAMBDA(_xlpm.r,OR(_xlpm.r))),FALSE)</f>
        <v>0</v>
      </c>
      <c r="AG803" s="38" t="b" cm="1">
        <f t="array" ref="AG803">IFERROR(_xlfn.BYROW(TRACK_TYPES[[#This Row],[TRACK_TYPE_BROAD_GAUGE_RAILTYPE_OHLE]:[TRACK_TYPE_BROAD_GAUGE_RAILTYPE_NONE]],_xlfn.LAMBDA(_xlpm.r,OR(_xlpm.r))),FALSE)</f>
        <v>0</v>
      </c>
      <c r="AH8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4" spans="1:34" x14ac:dyDescent="0.35">
      <c r="A804" s="2" t="s">
        <v>3279</v>
      </c>
      <c r="B804" s="40" t="str">
        <f>_xlfn.XLOOKUP(PROPERTIES[[#This Row],[VEHIDCODE]],CONTROL[VEHIDCODE],CONTROL[ENGLISH])</f>
        <v>Brooklyn Union Gate Elevated</v>
      </c>
      <c r="H804" t="b">
        <v>1</v>
      </c>
      <c r="AC804" s="2"/>
      <c r="AD804" s="2" t="b">
        <f>LEN(_xlfn.CONCAT(TRACK_TYPES[[#This Row],[TRACK_TYPE_STANDARD_GAUGE_RAILTYPE_OHLE]:[TRACK_TYPE_MTRO]]))&gt;0</f>
        <v>1</v>
      </c>
      <c r="AE804" s="38" t="b" cm="1">
        <f t="array" ref="AE804">IFERROR(_xlfn.BYROW(TRACK_TYPES[[#This Row],[TRACK_TYPE_STANDARD_GAUGE_RAILTYPE_OHLE]:[TRACK_TYPE_STANDARD_GAUGE_RAILTYPE_NONE]],_xlfn.LAMBDA(_xlpm.r,OR(_xlpm.r))),FALSE)</f>
        <v>1</v>
      </c>
      <c r="AF804" s="38" t="b" cm="1">
        <f t="array" ref="AF804">IFERROR(_xlfn.BYROW(TRACK_TYPES[[#This Row],[TRACK_TYPE_NARROW_GAUGE_RAILTYPE_OHLE]:[TRACK_TYPE_NARROW_GAUGE_RAILTYPE_NONE]],_xlfn.LAMBDA(_xlpm.r,OR(_xlpm.r))),FALSE)</f>
        <v>0</v>
      </c>
      <c r="AG804" s="38" t="b" cm="1">
        <f t="array" ref="AG804">IFERROR(_xlfn.BYROW(TRACK_TYPES[[#This Row],[TRACK_TYPE_BROAD_GAUGE_RAILTYPE_OHLE]:[TRACK_TYPE_BROAD_GAUGE_RAILTYPE_NONE]],_xlfn.LAMBDA(_xlpm.r,OR(_xlpm.r))),FALSE)</f>
        <v>0</v>
      </c>
      <c r="AH8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5" spans="1:34" x14ac:dyDescent="0.35">
      <c r="A805" s="2" t="s">
        <v>1729</v>
      </c>
      <c r="B805" s="40" t="str">
        <f>_xlfn.XLOOKUP(PROPERTIES[[#This Row],[VEHIDCODE]],CONTROL[VEHIDCODE],CONTROL[ENGLISH])</f>
        <v>'CityNightLine' Sleeper</v>
      </c>
      <c r="J805" s="2" t="b">
        <v>1</v>
      </c>
      <c r="R805" s="2" t="b">
        <v>1</v>
      </c>
      <c r="Z805" s="2" t="b">
        <v>1</v>
      </c>
      <c r="AC805" s="2"/>
      <c r="AD805" s="2" t="b">
        <f>LEN(_xlfn.CONCAT(TRACK_TYPES[[#This Row],[TRACK_TYPE_STANDARD_GAUGE_RAILTYPE_OHLE]:[TRACK_TYPE_MTRO]]))&gt;0</f>
        <v>1</v>
      </c>
      <c r="AE805" s="38" t="b" cm="1">
        <f t="array" ref="AE805">IFERROR(_xlfn.BYROW(TRACK_TYPES[[#This Row],[TRACK_TYPE_STANDARD_GAUGE_RAILTYPE_OHLE]:[TRACK_TYPE_STANDARD_GAUGE_RAILTYPE_NONE]],_xlfn.LAMBDA(_xlpm.r,OR(_xlpm.r))),FALSE)</f>
        <v>1</v>
      </c>
      <c r="AF805" s="38" t="b" cm="1">
        <f t="array" ref="AF805">IFERROR(_xlfn.BYROW(TRACK_TYPES[[#This Row],[TRACK_TYPE_NARROW_GAUGE_RAILTYPE_OHLE]:[TRACK_TYPE_NARROW_GAUGE_RAILTYPE_NONE]],_xlfn.LAMBDA(_xlpm.r,OR(_xlpm.r))),FALSE)</f>
        <v>1</v>
      </c>
      <c r="AG805" s="38" t="b" cm="1">
        <f t="array" ref="AG805">IFERROR(_xlfn.BYROW(TRACK_TYPES[[#This Row],[TRACK_TYPE_BROAD_GAUGE_RAILTYPE_OHLE]:[TRACK_TYPE_BROAD_GAUGE_RAILTYPE_NONE]],_xlfn.LAMBDA(_xlpm.r,OR(_xlpm.r))),FALSE)</f>
        <v>1</v>
      </c>
      <c r="AH8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6" spans="1:34" x14ac:dyDescent="0.35">
      <c r="A806" s="2" t="s">
        <v>1730</v>
      </c>
      <c r="B806" s="40" t="str">
        <f>_xlfn.XLOOKUP(PROPERTIES[[#This Row],[VEHIDCODE]],CONTROL[VEHIDCODE],CONTROL[ENGLISH])</f>
        <v>'Trans Euro Night' Sleeper</v>
      </c>
      <c r="J806" s="2" t="b">
        <v>1</v>
      </c>
      <c r="R806" s="2" t="b">
        <v>1</v>
      </c>
      <c r="Z806" s="2" t="b">
        <v>1</v>
      </c>
      <c r="AC806" s="2"/>
      <c r="AD806" s="2" t="b">
        <f>LEN(_xlfn.CONCAT(TRACK_TYPES[[#This Row],[TRACK_TYPE_STANDARD_GAUGE_RAILTYPE_OHLE]:[TRACK_TYPE_MTRO]]))&gt;0</f>
        <v>1</v>
      </c>
      <c r="AE806" s="38" t="b" cm="1">
        <f t="array" ref="AE806">IFERROR(_xlfn.BYROW(TRACK_TYPES[[#This Row],[TRACK_TYPE_STANDARD_GAUGE_RAILTYPE_OHLE]:[TRACK_TYPE_STANDARD_GAUGE_RAILTYPE_NONE]],_xlfn.LAMBDA(_xlpm.r,OR(_xlpm.r))),FALSE)</f>
        <v>1</v>
      </c>
      <c r="AF806" s="38" t="b" cm="1">
        <f t="array" ref="AF806">IFERROR(_xlfn.BYROW(TRACK_TYPES[[#This Row],[TRACK_TYPE_NARROW_GAUGE_RAILTYPE_OHLE]:[TRACK_TYPE_NARROW_GAUGE_RAILTYPE_NONE]],_xlfn.LAMBDA(_xlpm.r,OR(_xlpm.r))),FALSE)</f>
        <v>1</v>
      </c>
      <c r="AG806" s="38" t="b" cm="1">
        <f t="array" ref="AG806">IFERROR(_xlfn.BYROW(TRACK_TYPES[[#This Row],[TRACK_TYPE_BROAD_GAUGE_RAILTYPE_OHLE]:[TRACK_TYPE_BROAD_GAUGE_RAILTYPE_NONE]],_xlfn.LAMBDA(_xlpm.r,OR(_xlpm.r))),FALSE)</f>
        <v>1</v>
      </c>
      <c r="AH8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7" spans="1:34" x14ac:dyDescent="0.35">
      <c r="A807" s="2" t="s">
        <v>1715</v>
      </c>
      <c r="B807" s="40" t="str">
        <f>_xlfn.XLOOKUP(PROPERTIES[[#This Row],[VEHIDCODE]],CONTROL[VEHIDCODE],CONTROL[ENGLISH])</f>
        <v>1st Gen Livestock Van</v>
      </c>
      <c r="J807" s="2" t="b">
        <v>1</v>
      </c>
      <c r="R807" s="2" t="b">
        <v>1</v>
      </c>
      <c r="Z807" s="2" t="b">
        <v>1</v>
      </c>
      <c r="AC807" s="2"/>
      <c r="AD807" s="2" t="b">
        <f>LEN(_xlfn.CONCAT(TRACK_TYPES[[#This Row],[TRACK_TYPE_STANDARD_GAUGE_RAILTYPE_OHLE]:[TRACK_TYPE_MTRO]]))&gt;0</f>
        <v>1</v>
      </c>
      <c r="AE807" s="38" t="b" cm="1">
        <f t="array" ref="AE807">IFERROR(_xlfn.BYROW(TRACK_TYPES[[#This Row],[TRACK_TYPE_STANDARD_GAUGE_RAILTYPE_OHLE]:[TRACK_TYPE_STANDARD_GAUGE_RAILTYPE_NONE]],_xlfn.LAMBDA(_xlpm.r,OR(_xlpm.r))),FALSE)</f>
        <v>1</v>
      </c>
      <c r="AF807" s="38" t="b" cm="1">
        <f t="array" ref="AF807">IFERROR(_xlfn.BYROW(TRACK_TYPES[[#This Row],[TRACK_TYPE_NARROW_GAUGE_RAILTYPE_OHLE]:[TRACK_TYPE_NARROW_GAUGE_RAILTYPE_NONE]],_xlfn.LAMBDA(_xlpm.r,OR(_xlpm.r))),FALSE)</f>
        <v>1</v>
      </c>
      <c r="AG807" s="38" t="b" cm="1">
        <f t="array" ref="AG807">IFERROR(_xlfn.BYROW(TRACK_TYPES[[#This Row],[TRACK_TYPE_BROAD_GAUGE_RAILTYPE_OHLE]:[TRACK_TYPE_BROAD_GAUGE_RAILTYPE_NONE]],_xlfn.LAMBDA(_xlpm.r,OR(_xlpm.r))),FALSE)</f>
        <v>1</v>
      </c>
      <c r="AH8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8" spans="1:34" x14ac:dyDescent="0.35">
      <c r="A808" s="2" t="s">
        <v>1710</v>
      </c>
      <c r="B808" s="40" t="str">
        <f>_xlfn.XLOOKUP(PROPERTIES[[#This Row],[VEHIDCODE]],CONTROL[VEHIDCODE],CONTROL[ENGLISH])</f>
        <v>2nd Gen Livestock Van</v>
      </c>
      <c r="J808" s="2" t="b">
        <v>1</v>
      </c>
      <c r="R808" s="2" t="b">
        <v>1</v>
      </c>
      <c r="Z808" s="2" t="b">
        <v>1</v>
      </c>
      <c r="AC808" s="2"/>
      <c r="AD808" s="2" t="b">
        <f>LEN(_xlfn.CONCAT(TRACK_TYPES[[#This Row],[TRACK_TYPE_STANDARD_GAUGE_RAILTYPE_OHLE]:[TRACK_TYPE_MTRO]]))&gt;0</f>
        <v>1</v>
      </c>
      <c r="AE808" s="38" t="b" cm="1">
        <f t="array" ref="AE808">IFERROR(_xlfn.BYROW(TRACK_TYPES[[#This Row],[TRACK_TYPE_STANDARD_GAUGE_RAILTYPE_OHLE]:[TRACK_TYPE_STANDARD_GAUGE_RAILTYPE_NONE]],_xlfn.LAMBDA(_xlpm.r,OR(_xlpm.r))),FALSE)</f>
        <v>1</v>
      </c>
      <c r="AF808" s="38" t="b" cm="1">
        <f t="array" ref="AF808">IFERROR(_xlfn.BYROW(TRACK_TYPES[[#This Row],[TRACK_TYPE_NARROW_GAUGE_RAILTYPE_OHLE]:[TRACK_TYPE_NARROW_GAUGE_RAILTYPE_NONE]],_xlfn.LAMBDA(_xlpm.r,OR(_xlpm.r))),FALSE)</f>
        <v>1</v>
      </c>
      <c r="AG808" s="38" t="b" cm="1">
        <f t="array" ref="AG808">IFERROR(_xlfn.BYROW(TRACK_TYPES[[#This Row],[TRACK_TYPE_BROAD_GAUGE_RAILTYPE_OHLE]:[TRACK_TYPE_BROAD_GAUGE_RAILTYPE_NONE]],_xlfn.LAMBDA(_xlpm.r,OR(_xlpm.r))),FALSE)</f>
        <v>1</v>
      </c>
      <c r="AH8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9" spans="1:34" x14ac:dyDescent="0.35">
      <c r="A809" s="2" t="s">
        <v>1711</v>
      </c>
      <c r="B809" s="40" t="str">
        <f>_xlfn.XLOOKUP(PROPERTIES[[#This Row],[VEHIDCODE]],CONTROL[VEHIDCODE],CONTROL[ENGLISH])</f>
        <v>3rd Gen Livestock Van</v>
      </c>
      <c r="J809" s="2" t="b">
        <v>1</v>
      </c>
      <c r="R809" s="2" t="b">
        <v>1</v>
      </c>
      <c r="Z809" s="2" t="b">
        <v>1</v>
      </c>
      <c r="AC809" s="2"/>
      <c r="AD809" s="2" t="b">
        <f>LEN(_xlfn.CONCAT(TRACK_TYPES[[#This Row],[TRACK_TYPE_STANDARD_GAUGE_RAILTYPE_OHLE]:[TRACK_TYPE_MTRO]]))&gt;0</f>
        <v>1</v>
      </c>
      <c r="AE809" s="38" t="b" cm="1">
        <f t="array" ref="AE809">IFERROR(_xlfn.BYROW(TRACK_TYPES[[#This Row],[TRACK_TYPE_STANDARD_GAUGE_RAILTYPE_OHLE]:[TRACK_TYPE_STANDARD_GAUGE_RAILTYPE_NONE]],_xlfn.LAMBDA(_xlpm.r,OR(_xlpm.r))),FALSE)</f>
        <v>1</v>
      </c>
      <c r="AF809" s="38" t="b" cm="1">
        <f t="array" ref="AF809">IFERROR(_xlfn.BYROW(TRACK_TYPES[[#This Row],[TRACK_TYPE_NARROW_GAUGE_RAILTYPE_OHLE]:[TRACK_TYPE_NARROW_GAUGE_RAILTYPE_NONE]],_xlfn.LAMBDA(_xlpm.r,OR(_xlpm.r))),FALSE)</f>
        <v>1</v>
      </c>
      <c r="AG809" s="38" t="b" cm="1">
        <f t="array" ref="AG809">IFERROR(_xlfn.BYROW(TRACK_TYPES[[#This Row],[TRACK_TYPE_BROAD_GAUGE_RAILTYPE_OHLE]:[TRACK_TYPE_BROAD_GAUGE_RAILTYPE_NONE]],_xlfn.LAMBDA(_xlpm.r,OR(_xlpm.r))),FALSE)</f>
        <v>1</v>
      </c>
      <c r="AH8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0" spans="1:34" x14ac:dyDescent="0.35">
      <c r="A810" s="2" t="s">
        <v>1712</v>
      </c>
      <c r="B810" s="40" t="str">
        <f>_xlfn.XLOOKUP(PROPERTIES[[#This Row],[VEHIDCODE]],CONTROL[VEHIDCODE],CONTROL[ENGLISH])</f>
        <v>4th Gen Livestock Van</v>
      </c>
      <c r="J810" s="2" t="b">
        <v>1</v>
      </c>
      <c r="R810" s="2" t="b">
        <v>1</v>
      </c>
      <c r="Z810" s="2" t="b">
        <v>1</v>
      </c>
      <c r="AC810" s="2"/>
      <c r="AD810" s="2" t="b">
        <f>LEN(_xlfn.CONCAT(TRACK_TYPES[[#This Row],[TRACK_TYPE_STANDARD_GAUGE_RAILTYPE_OHLE]:[TRACK_TYPE_MTRO]]))&gt;0</f>
        <v>1</v>
      </c>
      <c r="AE810" s="38" t="b" cm="1">
        <f t="array" ref="AE810">IFERROR(_xlfn.BYROW(TRACK_TYPES[[#This Row],[TRACK_TYPE_STANDARD_GAUGE_RAILTYPE_OHLE]:[TRACK_TYPE_STANDARD_GAUGE_RAILTYPE_NONE]],_xlfn.LAMBDA(_xlpm.r,OR(_xlpm.r))),FALSE)</f>
        <v>1</v>
      </c>
      <c r="AF810" s="38" t="b" cm="1">
        <f t="array" ref="AF810">IFERROR(_xlfn.BYROW(TRACK_TYPES[[#This Row],[TRACK_TYPE_NARROW_GAUGE_RAILTYPE_OHLE]:[TRACK_TYPE_NARROW_GAUGE_RAILTYPE_NONE]],_xlfn.LAMBDA(_xlpm.r,OR(_xlpm.r))),FALSE)</f>
        <v>1</v>
      </c>
      <c r="AG810" s="38" t="b" cm="1">
        <f t="array" ref="AG810">IFERROR(_xlfn.BYROW(TRACK_TYPES[[#This Row],[TRACK_TYPE_BROAD_GAUGE_RAILTYPE_OHLE]:[TRACK_TYPE_BROAD_GAUGE_RAILTYPE_NONE]],_xlfn.LAMBDA(_xlpm.r,OR(_xlpm.r))),FALSE)</f>
        <v>1</v>
      </c>
      <c r="AH8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1" spans="1:34" x14ac:dyDescent="0.35">
      <c r="A811" s="2" t="s">
        <v>1713</v>
      </c>
      <c r="B811" s="40" t="str">
        <f>_xlfn.XLOOKUP(PROPERTIES[[#This Row],[VEHIDCODE]],CONTROL[VEHIDCODE],CONTROL[ENGLISH])</f>
        <v>5th Gen Livestock Van</v>
      </c>
      <c r="J811" s="2" t="b">
        <v>1</v>
      </c>
      <c r="R811" s="2" t="b">
        <v>1</v>
      </c>
      <c r="Z811" s="2" t="b">
        <v>1</v>
      </c>
      <c r="AC811" s="2"/>
      <c r="AD811" s="2" t="b">
        <f>LEN(_xlfn.CONCAT(TRACK_TYPES[[#This Row],[TRACK_TYPE_STANDARD_GAUGE_RAILTYPE_OHLE]:[TRACK_TYPE_MTRO]]))&gt;0</f>
        <v>1</v>
      </c>
      <c r="AE811" s="38" t="b" cm="1">
        <f t="array" ref="AE811">IFERROR(_xlfn.BYROW(TRACK_TYPES[[#This Row],[TRACK_TYPE_STANDARD_GAUGE_RAILTYPE_OHLE]:[TRACK_TYPE_STANDARD_GAUGE_RAILTYPE_NONE]],_xlfn.LAMBDA(_xlpm.r,OR(_xlpm.r))),FALSE)</f>
        <v>1</v>
      </c>
      <c r="AF811" s="38" t="b" cm="1">
        <f t="array" ref="AF811">IFERROR(_xlfn.BYROW(TRACK_TYPES[[#This Row],[TRACK_TYPE_NARROW_GAUGE_RAILTYPE_OHLE]:[TRACK_TYPE_NARROW_GAUGE_RAILTYPE_NONE]],_xlfn.LAMBDA(_xlpm.r,OR(_xlpm.r))),FALSE)</f>
        <v>1</v>
      </c>
      <c r="AG811" s="38" t="b" cm="1">
        <f t="array" ref="AG811">IFERROR(_xlfn.BYROW(TRACK_TYPES[[#This Row],[TRACK_TYPE_BROAD_GAUGE_RAILTYPE_OHLE]:[TRACK_TYPE_BROAD_GAUGE_RAILTYPE_NONE]],_xlfn.LAMBDA(_xlpm.r,OR(_xlpm.r))),FALSE)</f>
        <v>1</v>
      </c>
      <c r="AH8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2" spans="1:34" x14ac:dyDescent="0.35">
      <c r="A812" s="2" t="s">
        <v>1714</v>
      </c>
      <c r="B812" s="40" t="str">
        <f>_xlfn.XLOOKUP(PROPERTIES[[#This Row],[VEHIDCODE]],CONTROL[VEHIDCODE],CONTROL[ENGLISH])</f>
        <v>6th Gen Livestock Van</v>
      </c>
      <c r="J812" s="2" t="b">
        <v>1</v>
      </c>
      <c r="R812" s="2" t="b">
        <v>1</v>
      </c>
      <c r="Z812" s="2" t="b">
        <v>1</v>
      </c>
      <c r="AC812" s="2"/>
      <c r="AD812" s="2" t="b">
        <f>LEN(_xlfn.CONCAT(TRACK_TYPES[[#This Row],[TRACK_TYPE_STANDARD_GAUGE_RAILTYPE_OHLE]:[TRACK_TYPE_MTRO]]))&gt;0</f>
        <v>1</v>
      </c>
      <c r="AE812" s="38" t="b" cm="1">
        <f t="array" ref="AE812">IFERROR(_xlfn.BYROW(TRACK_TYPES[[#This Row],[TRACK_TYPE_STANDARD_GAUGE_RAILTYPE_OHLE]:[TRACK_TYPE_STANDARD_GAUGE_RAILTYPE_NONE]],_xlfn.LAMBDA(_xlpm.r,OR(_xlpm.r))),FALSE)</f>
        <v>1</v>
      </c>
      <c r="AF812" s="38" t="b" cm="1">
        <f t="array" ref="AF812">IFERROR(_xlfn.BYROW(TRACK_TYPES[[#This Row],[TRACK_TYPE_NARROW_GAUGE_RAILTYPE_OHLE]:[TRACK_TYPE_NARROW_GAUGE_RAILTYPE_NONE]],_xlfn.LAMBDA(_xlpm.r,OR(_xlpm.r))),FALSE)</f>
        <v>1</v>
      </c>
      <c r="AG812" s="38" t="b" cm="1">
        <f t="array" ref="AG812">IFERROR(_xlfn.BYROW(TRACK_TYPES[[#This Row],[TRACK_TYPE_BROAD_GAUGE_RAILTYPE_OHLE]:[TRACK_TYPE_BROAD_GAUGE_RAILTYPE_NONE]],_xlfn.LAMBDA(_xlpm.r,OR(_xlpm.r))),FALSE)</f>
        <v>1</v>
      </c>
      <c r="AH8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3" spans="1:34" x14ac:dyDescent="0.35">
      <c r="A813" s="2" t="s">
        <v>1733</v>
      </c>
      <c r="B813" s="40" t="str">
        <f>_xlfn.XLOOKUP(PROPERTIES[[#This Row],[VEHIDCODE]],CONTROL[VEHIDCODE],CONTROL[ENGLISH])</f>
        <v>7th Gen Livestock Van</v>
      </c>
      <c r="AB813" t="b">
        <v>1</v>
      </c>
      <c r="AC813" s="2"/>
      <c r="AD813" s="2" t="b">
        <f>LEN(_xlfn.CONCAT(TRACK_TYPES[[#This Row],[TRACK_TYPE_STANDARD_GAUGE_RAILTYPE_OHLE]:[TRACK_TYPE_MTRO]]))&gt;0</f>
        <v>1</v>
      </c>
      <c r="AE813" s="38" t="b" cm="1">
        <f t="array" ref="AE813">IFERROR(_xlfn.BYROW(TRACK_TYPES[[#This Row],[TRACK_TYPE_STANDARD_GAUGE_RAILTYPE_OHLE]:[TRACK_TYPE_STANDARD_GAUGE_RAILTYPE_NONE]],_xlfn.LAMBDA(_xlpm.r,OR(_xlpm.r))),FALSE)</f>
        <v>0</v>
      </c>
      <c r="AF813" s="38" t="b" cm="1">
        <f t="array" ref="AF813">IFERROR(_xlfn.BYROW(TRACK_TYPES[[#This Row],[TRACK_TYPE_NARROW_GAUGE_RAILTYPE_OHLE]:[TRACK_TYPE_NARROW_GAUGE_RAILTYPE_NONE]],_xlfn.LAMBDA(_xlpm.r,OR(_xlpm.r))),FALSE)</f>
        <v>0</v>
      </c>
      <c r="AG813" s="38" t="b" cm="1">
        <f t="array" ref="AG813">IFERROR(_xlfn.BYROW(TRACK_TYPES[[#This Row],[TRACK_TYPE_BROAD_GAUGE_RAILTYPE_OHLE]:[TRACK_TYPE_BROAD_GAUGE_RAILTYPE_NONE]],_xlfn.LAMBDA(_xlpm.r,OR(_xlpm.r))),FALSE)</f>
        <v>0</v>
      </c>
      <c r="AH8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</row>
    <row r="814" spans="1:34" x14ac:dyDescent="0.35">
      <c r="A814" s="2" t="s">
        <v>3280</v>
      </c>
      <c r="B814" s="40" t="str">
        <f>_xlfn.XLOOKUP(PROPERTIES[[#This Row],[VEHIDCODE]],CONTROL[VEHIDCODE],CONTROL[ENGLISH])</f>
        <v>Ganz-MAVAG VM15 'V63'</v>
      </c>
      <c r="D814" t="b">
        <v>1</v>
      </c>
      <c r="AC814" s="2"/>
      <c r="AD814" s="2" t="b">
        <f>LEN(_xlfn.CONCAT(TRACK_TYPES[[#This Row],[TRACK_TYPE_STANDARD_GAUGE_RAILTYPE_OHLE]:[TRACK_TYPE_MTRO]]))&gt;0</f>
        <v>1</v>
      </c>
      <c r="AE814" s="38" t="b" cm="1">
        <f t="array" ref="AE814">IFERROR(_xlfn.BYROW(TRACK_TYPES[[#This Row],[TRACK_TYPE_STANDARD_GAUGE_RAILTYPE_OHLE]:[TRACK_TYPE_STANDARD_GAUGE_RAILTYPE_NONE]],_xlfn.LAMBDA(_xlpm.r,OR(_xlpm.r))),FALSE)</f>
        <v>1</v>
      </c>
      <c r="AF814" s="38" t="b" cm="1">
        <f t="array" ref="AF814">IFERROR(_xlfn.BYROW(TRACK_TYPES[[#This Row],[TRACK_TYPE_NARROW_GAUGE_RAILTYPE_OHLE]:[TRACK_TYPE_NARROW_GAUGE_RAILTYPE_NONE]],_xlfn.LAMBDA(_xlpm.r,OR(_xlpm.r))),FALSE)</f>
        <v>0</v>
      </c>
      <c r="AG814" s="38" t="b" cm="1">
        <f t="array" ref="AG814">IFERROR(_xlfn.BYROW(TRACK_TYPES[[#This Row],[TRACK_TYPE_BROAD_GAUGE_RAILTYPE_OHLE]:[TRACK_TYPE_BROAD_GAUGE_RAILTYPE_NONE]],_xlfn.LAMBDA(_xlpm.r,OR(_xlpm.r))),FALSE)</f>
        <v>0</v>
      </c>
      <c r="AH8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5" spans="1:34" x14ac:dyDescent="0.35">
      <c r="A815" s="2" t="s">
        <v>3281</v>
      </c>
      <c r="B815" s="40" t="str">
        <f>_xlfn.XLOOKUP(PROPERTIES[[#This Row],[VEHIDCODE]],CONTROL[VEHIDCODE],CONTROL[ENGLISH])</f>
        <v>BREL/ABB London 1992 Stock</v>
      </c>
      <c r="I815" t="b">
        <v>1</v>
      </c>
      <c r="AC815" s="2"/>
      <c r="AD815" s="2" t="b">
        <f>LEN(_xlfn.CONCAT(TRACK_TYPES[[#This Row],[TRACK_TYPE_STANDARD_GAUGE_RAILTYPE_OHLE]:[TRACK_TYPE_MTRO]]))&gt;0</f>
        <v>1</v>
      </c>
      <c r="AE815" s="38" t="b" cm="1">
        <f t="array" ref="AE815">IFERROR(_xlfn.BYROW(TRACK_TYPES[[#This Row],[TRACK_TYPE_STANDARD_GAUGE_RAILTYPE_OHLE]:[TRACK_TYPE_STANDARD_GAUGE_RAILTYPE_NONE]],_xlfn.LAMBDA(_xlpm.r,OR(_xlpm.r))),FALSE)</f>
        <v>1</v>
      </c>
      <c r="AF815" s="38" t="b" cm="1">
        <f t="array" ref="AF815">IFERROR(_xlfn.BYROW(TRACK_TYPES[[#This Row],[TRACK_TYPE_NARROW_GAUGE_RAILTYPE_OHLE]:[TRACK_TYPE_NARROW_GAUGE_RAILTYPE_NONE]],_xlfn.LAMBDA(_xlpm.r,OR(_xlpm.r))),FALSE)</f>
        <v>0</v>
      </c>
      <c r="AG815" s="38" t="b" cm="1">
        <f t="array" ref="AG815">IFERROR(_xlfn.BYROW(TRACK_TYPES[[#This Row],[TRACK_TYPE_BROAD_GAUGE_RAILTYPE_OHLE]:[TRACK_TYPE_BROAD_GAUGE_RAILTYPE_NONE]],_xlfn.LAMBDA(_xlpm.r,OR(_xlpm.r))),FALSE)</f>
        <v>0</v>
      </c>
      <c r="AH8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6" spans="1:34" x14ac:dyDescent="0.35">
      <c r="A816" s="2" t="s">
        <v>3282</v>
      </c>
      <c r="B816" s="40" t="str">
        <f>_xlfn.XLOOKUP(PROPERTIES[[#This Row],[VEHIDCODE]],CONTROL[VEHIDCODE],CONTROL[ENGLISH])</f>
        <v>Bombardier Movia London S Stock</v>
      </c>
      <c r="I816" t="b">
        <v>1</v>
      </c>
      <c r="AC816" s="2"/>
      <c r="AD816" s="2" t="b">
        <f>LEN(_xlfn.CONCAT(TRACK_TYPES[[#This Row],[TRACK_TYPE_STANDARD_GAUGE_RAILTYPE_OHLE]:[TRACK_TYPE_MTRO]]))&gt;0</f>
        <v>1</v>
      </c>
      <c r="AE816" s="38" t="b" cm="1">
        <f t="array" ref="AE816">IFERROR(_xlfn.BYROW(TRACK_TYPES[[#This Row],[TRACK_TYPE_STANDARD_GAUGE_RAILTYPE_OHLE]:[TRACK_TYPE_STANDARD_GAUGE_RAILTYPE_NONE]],_xlfn.LAMBDA(_xlpm.r,OR(_xlpm.r))),FALSE)</f>
        <v>1</v>
      </c>
      <c r="AF816" s="38" t="b" cm="1">
        <f t="array" ref="AF816">IFERROR(_xlfn.BYROW(TRACK_TYPES[[#This Row],[TRACK_TYPE_NARROW_GAUGE_RAILTYPE_OHLE]:[TRACK_TYPE_NARROW_GAUGE_RAILTYPE_NONE]],_xlfn.LAMBDA(_xlpm.r,OR(_xlpm.r))),FALSE)</f>
        <v>0</v>
      </c>
      <c r="AG816" s="38" t="b" cm="1">
        <f t="array" ref="AG816">IFERROR(_xlfn.BYROW(TRACK_TYPES[[#This Row],[TRACK_TYPE_BROAD_GAUGE_RAILTYPE_OHLE]:[TRACK_TYPE_BROAD_GAUGE_RAILTYPE_NONE]],_xlfn.LAMBDA(_xlpm.r,OR(_xlpm.r))),FALSE)</f>
        <v>0</v>
      </c>
      <c r="AH8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7" spans="1:34" x14ac:dyDescent="0.35">
      <c r="A817" s="2" t="s">
        <v>3283</v>
      </c>
      <c r="B817" s="40" t="str">
        <f>_xlfn.XLOOKUP(PROPERTIES[[#This Row],[VEHIDCODE]],CONTROL[VEHIDCODE],CONTROL[ENGLISH])</f>
        <v>Metro-Cammell London 1972 Stock</v>
      </c>
      <c r="I817" t="b">
        <v>1</v>
      </c>
      <c r="AC817" s="2"/>
      <c r="AD817" s="2" t="b">
        <f>LEN(_xlfn.CONCAT(TRACK_TYPES[[#This Row],[TRACK_TYPE_STANDARD_GAUGE_RAILTYPE_OHLE]:[TRACK_TYPE_MTRO]]))&gt;0</f>
        <v>1</v>
      </c>
      <c r="AE817" s="38" t="b" cm="1">
        <f t="array" ref="AE817">IFERROR(_xlfn.BYROW(TRACK_TYPES[[#This Row],[TRACK_TYPE_STANDARD_GAUGE_RAILTYPE_OHLE]:[TRACK_TYPE_STANDARD_GAUGE_RAILTYPE_NONE]],_xlfn.LAMBDA(_xlpm.r,OR(_xlpm.r))),FALSE)</f>
        <v>1</v>
      </c>
      <c r="AF817" s="38" t="b" cm="1">
        <f t="array" ref="AF817">IFERROR(_xlfn.BYROW(TRACK_TYPES[[#This Row],[TRACK_TYPE_NARROW_GAUGE_RAILTYPE_OHLE]:[TRACK_TYPE_NARROW_GAUGE_RAILTYPE_NONE]],_xlfn.LAMBDA(_xlpm.r,OR(_xlpm.r))),FALSE)</f>
        <v>0</v>
      </c>
      <c r="AG817" s="38" t="b" cm="1">
        <f t="array" ref="AG817">IFERROR(_xlfn.BYROW(TRACK_TYPES[[#This Row],[TRACK_TYPE_BROAD_GAUGE_RAILTYPE_OHLE]:[TRACK_TYPE_BROAD_GAUGE_RAILTYPE_NONE]],_xlfn.LAMBDA(_xlpm.r,OR(_xlpm.r))),FALSE)</f>
        <v>0</v>
      </c>
      <c r="AH8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8" spans="1:34" x14ac:dyDescent="0.35">
      <c r="A818" s="2" t="s">
        <v>3284</v>
      </c>
      <c r="B818" s="40" t="str">
        <f>_xlfn.XLOOKUP(PROPERTIES[[#This Row],[VEHIDCODE]],CONTROL[VEHIDCODE],CONTROL[ENGLISH])</f>
        <v>Metro-Cammell London 1959 Stock</v>
      </c>
      <c r="I818" t="b">
        <v>1</v>
      </c>
      <c r="AC818" s="2"/>
      <c r="AD818" s="2" t="b">
        <f>LEN(_xlfn.CONCAT(TRACK_TYPES[[#This Row],[TRACK_TYPE_STANDARD_GAUGE_RAILTYPE_OHLE]:[TRACK_TYPE_MTRO]]))&gt;0</f>
        <v>1</v>
      </c>
      <c r="AE818" s="38" t="b" cm="1">
        <f t="array" ref="AE818">IFERROR(_xlfn.BYROW(TRACK_TYPES[[#This Row],[TRACK_TYPE_STANDARD_GAUGE_RAILTYPE_OHLE]:[TRACK_TYPE_STANDARD_GAUGE_RAILTYPE_NONE]],_xlfn.LAMBDA(_xlpm.r,OR(_xlpm.r))),FALSE)</f>
        <v>1</v>
      </c>
      <c r="AF818" s="38" t="b" cm="1">
        <f t="array" ref="AF818">IFERROR(_xlfn.BYROW(TRACK_TYPES[[#This Row],[TRACK_TYPE_NARROW_GAUGE_RAILTYPE_OHLE]:[TRACK_TYPE_NARROW_GAUGE_RAILTYPE_NONE]],_xlfn.LAMBDA(_xlpm.r,OR(_xlpm.r))),FALSE)</f>
        <v>0</v>
      </c>
      <c r="AG818" s="38" t="b" cm="1">
        <f t="array" ref="AG818">IFERROR(_xlfn.BYROW(TRACK_TYPES[[#This Row],[TRACK_TYPE_BROAD_GAUGE_RAILTYPE_OHLE]:[TRACK_TYPE_BROAD_GAUGE_RAILTYPE_NONE]],_xlfn.LAMBDA(_xlpm.r,OR(_xlpm.r))),FALSE)</f>
        <v>0</v>
      </c>
      <c r="AH8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9" spans="1:34" x14ac:dyDescent="0.35">
      <c r="A819" s="2" t="s">
        <v>3285</v>
      </c>
      <c r="B819" s="40" t="str">
        <f>_xlfn.XLOOKUP(PROPERTIES[[#This Row],[VEHIDCODE]],CONTROL[VEHIDCODE],CONTROL[ENGLISH])</f>
        <v>Kawasaki HI C151</v>
      </c>
      <c r="H819" t="b">
        <v>1</v>
      </c>
      <c r="AC819" s="2"/>
      <c r="AD819" s="2" t="b">
        <f>LEN(_xlfn.CONCAT(TRACK_TYPES[[#This Row],[TRACK_TYPE_STANDARD_GAUGE_RAILTYPE_OHLE]:[TRACK_TYPE_MTRO]]))&gt;0</f>
        <v>1</v>
      </c>
      <c r="AE819" s="38" t="b" cm="1">
        <f t="array" ref="AE819">IFERROR(_xlfn.BYROW(TRACK_TYPES[[#This Row],[TRACK_TYPE_STANDARD_GAUGE_RAILTYPE_OHLE]:[TRACK_TYPE_STANDARD_GAUGE_RAILTYPE_NONE]],_xlfn.LAMBDA(_xlpm.r,OR(_xlpm.r))),FALSE)</f>
        <v>1</v>
      </c>
      <c r="AF819" s="38" t="b" cm="1">
        <f t="array" ref="AF819">IFERROR(_xlfn.BYROW(TRACK_TYPES[[#This Row],[TRACK_TYPE_NARROW_GAUGE_RAILTYPE_OHLE]:[TRACK_TYPE_NARROW_GAUGE_RAILTYPE_NONE]],_xlfn.LAMBDA(_xlpm.r,OR(_xlpm.r))),FALSE)</f>
        <v>0</v>
      </c>
      <c r="AG819" s="38" t="b" cm="1">
        <f t="array" ref="AG819">IFERROR(_xlfn.BYROW(TRACK_TYPES[[#This Row],[TRACK_TYPE_BROAD_GAUGE_RAILTYPE_OHLE]:[TRACK_TYPE_BROAD_GAUGE_RAILTYPE_NONE]],_xlfn.LAMBDA(_xlpm.r,OR(_xlpm.r))),FALSE)</f>
        <v>0</v>
      </c>
      <c r="AH8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0" spans="1:34" x14ac:dyDescent="0.35">
      <c r="A820" s="2" t="s">
        <v>3286</v>
      </c>
      <c r="B820" s="40" t="str">
        <f>_xlfn.XLOOKUP(PROPERTIES[[#This Row],[VEHIDCODE]],CONTROL[VEHIDCODE],CONTROL[ENGLISH])</f>
        <v>Kawasaki HI &amp; Nippon Sharyo C751B</v>
      </c>
      <c r="H820" t="b">
        <v>1</v>
      </c>
      <c r="AC820" s="2"/>
      <c r="AD820" s="2" t="b">
        <f>LEN(_xlfn.CONCAT(TRACK_TYPES[[#This Row],[TRACK_TYPE_STANDARD_GAUGE_RAILTYPE_OHLE]:[TRACK_TYPE_MTRO]]))&gt;0</f>
        <v>1</v>
      </c>
      <c r="AE820" s="38" t="b" cm="1">
        <f t="array" ref="AE820">IFERROR(_xlfn.BYROW(TRACK_TYPES[[#This Row],[TRACK_TYPE_STANDARD_GAUGE_RAILTYPE_OHLE]:[TRACK_TYPE_STANDARD_GAUGE_RAILTYPE_NONE]],_xlfn.LAMBDA(_xlpm.r,OR(_xlpm.r))),FALSE)</f>
        <v>1</v>
      </c>
      <c r="AF820" s="38" t="b" cm="1">
        <f t="array" ref="AF820">IFERROR(_xlfn.BYROW(TRACK_TYPES[[#This Row],[TRACK_TYPE_NARROW_GAUGE_RAILTYPE_OHLE]:[TRACK_TYPE_NARROW_GAUGE_RAILTYPE_NONE]],_xlfn.LAMBDA(_xlpm.r,OR(_xlpm.r))),FALSE)</f>
        <v>0</v>
      </c>
      <c r="AG820" s="38" t="b" cm="1">
        <f t="array" ref="AG820">IFERROR(_xlfn.BYROW(TRACK_TYPES[[#This Row],[TRACK_TYPE_BROAD_GAUGE_RAILTYPE_OHLE]:[TRACK_TYPE_BROAD_GAUGE_RAILTYPE_NONE]],_xlfn.LAMBDA(_xlpm.r,OR(_xlpm.r))),FALSE)</f>
        <v>0</v>
      </c>
      <c r="AH8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1" spans="1:34" x14ac:dyDescent="0.35">
      <c r="A821" s="2" t="s">
        <v>3287</v>
      </c>
      <c r="B821" s="40" t="str">
        <f>_xlfn.XLOOKUP(PROPERTIES[[#This Row],[VEHIDCODE]],CONTROL[VEHIDCODE],CONTROL[ENGLISH])</f>
        <v>Comeng Light Metro Prototype</v>
      </c>
      <c r="X821" t="b">
        <v>1</v>
      </c>
      <c r="AC821" s="2"/>
      <c r="AD821" s="2" t="b">
        <f>LEN(_xlfn.CONCAT(TRACK_TYPES[[#This Row],[TRACK_TYPE_STANDARD_GAUGE_RAILTYPE_OHLE]:[TRACK_TYPE_MTRO]]))&gt;0</f>
        <v>1</v>
      </c>
      <c r="AE821" s="38" t="b" cm="1">
        <f t="array" ref="AE821">IFERROR(_xlfn.BYROW(TRACK_TYPES[[#This Row],[TRACK_TYPE_STANDARD_GAUGE_RAILTYPE_OHLE]:[TRACK_TYPE_STANDARD_GAUGE_RAILTYPE_NONE]],_xlfn.LAMBDA(_xlpm.r,OR(_xlpm.r))),FALSE)</f>
        <v>0</v>
      </c>
      <c r="AF821" s="38" t="b" cm="1">
        <f t="array" ref="AF821">IFERROR(_xlfn.BYROW(TRACK_TYPES[[#This Row],[TRACK_TYPE_NARROW_GAUGE_RAILTYPE_OHLE]:[TRACK_TYPE_NARROW_GAUGE_RAILTYPE_NONE]],_xlfn.LAMBDA(_xlpm.r,OR(_xlpm.r))),FALSE)</f>
        <v>0</v>
      </c>
      <c r="AG821" s="38" t="b" cm="1">
        <f t="array" ref="AG821">IFERROR(_xlfn.BYROW(TRACK_TYPES[[#This Row],[TRACK_TYPE_BROAD_GAUGE_RAILTYPE_OHLE]:[TRACK_TYPE_BROAD_GAUGE_RAILTYPE_NONE]],_xlfn.LAMBDA(_xlpm.r,OR(_xlpm.r))),FALSE)</f>
        <v>1</v>
      </c>
      <c r="AH8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22" spans="1:34" x14ac:dyDescent="0.35">
      <c r="A822" t="s">
        <v>3288</v>
      </c>
      <c r="B822" s="40" t="str">
        <f>_xlfn.XLOOKUP(PROPERTIES[[#This Row],[VEHIDCODE]],CONTROL[VEHIDCODE],CONTROL[ENGLISH])</f>
        <v>Comeng EMU</v>
      </c>
      <c r="W822" t="b">
        <v>1</v>
      </c>
      <c r="AC822" s="2"/>
      <c r="AD822" s="2" t="b">
        <f>LEN(_xlfn.CONCAT(TRACK_TYPES[[#This Row],[TRACK_TYPE_STANDARD_GAUGE_RAILTYPE_OHLE]:[TRACK_TYPE_MTRO]]))&gt;0</f>
        <v>1</v>
      </c>
      <c r="AE822" s="38" t="b" cm="1">
        <f t="array" ref="AE822">IFERROR(_xlfn.BYROW(TRACK_TYPES[[#This Row],[TRACK_TYPE_STANDARD_GAUGE_RAILTYPE_OHLE]:[TRACK_TYPE_STANDARD_GAUGE_RAILTYPE_NONE]],_xlfn.LAMBDA(_xlpm.r,OR(_xlpm.r))),FALSE)</f>
        <v>0</v>
      </c>
      <c r="AF822" s="38" t="b" cm="1">
        <f t="array" ref="AF822">IFERROR(_xlfn.BYROW(TRACK_TYPES[[#This Row],[TRACK_TYPE_NARROW_GAUGE_RAILTYPE_OHLE]:[TRACK_TYPE_NARROW_GAUGE_RAILTYPE_NONE]],_xlfn.LAMBDA(_xlpm.r,OR(_xlpm.r))),FALSE)</f>
        <v>0</v>
      </c>
      <c r="AG822" s="38" t="b" cm="1">
        <f t="array" ref="AG822">IFERROR(_xlfn.BYROW(TRACK_TYPES[[#This Row],[TRACK_TYPE_BROAD_GAUGE_RAILTYPE_OHLE]:[TRACK_TYPE_BROAD_GAUGE_RAILTYPE_NONE]],_xlfn.LAMBDA(_xlpm.r,OR(_xlpm.r))),FALSE)</f>
        <v>1</v>
      </c>
      <c r="AH8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23" spans="1:34" x14ac:dyDescent="0.35">
      <c r="A823" s="2" t="s">
        <v>3289</v>
      </c>
      <c r="B823" s="40" t="str">
        <f>_xlfn.XLOOKUP(PROPERTIES[[#This Row],[VEHIDCODE]],CONTROL[VEHIDCODE],CONTROL[ENGLISH])</f>
        <v>Evolution Rail HCMT Munnel</v>
      </c>
      <c r="W823" t="b">
        <v>1</v>
      </c>
      <c r="AC823" s="2"/>
      <c r="AD823" s="2" t="b">
        <f>LEN(_xlfn.CONCAT(TRACK_TYPES[[#This Row],[TRACK_TYPE_STANDARD_GAUGE_RAILTYPE_OHLE]:[TRACK_TYPE_MTRO]]))&gt;0</f>
        <v>1</v>
      </c>
      <c r="AE823" s="38" t="b" cm="1">
        <f t="array" ref="AE823">IFERROR(_xlfn.BYROW(TRACK_TYPES[[#This Row],[TRACK_TYPE_STANDARD_GAUGE_RAILTYPE_OHLE]:[TRACK_TYPE_STANDARD_GAUGE_RAILTYPE_NONE]],_xlfn.LAMBDA(_xlpm.r,OR(_xlpm.r))),FALSE)</f>
        <v>0</v>
      </c>
      <c r="AF823" s="38" t="b" cm="1">
        <f t="array" ref="AF823">IFERROR(_xlfn.BYROW(TRACK_TYPES[[#This Row],[TRACK_TYPE_NARROW_GAUGE_RAILTYPE_OHLE]:[TRACK_TYPE_NARROW_GAUGE_RAILTYPE_NONE]],_xlfn.LAMBDA(_xlpm.r,OR(_xlpm.r))),FALSE)</f>
        <v>0</v>
      </c>
      <c r="AG823" s="38" t="b" cm="1">
        <f t="array" ref="AG823">IFERROR(_xlfn.BYROW(TRACK_TYPES[[#This Row],[TRACK_TYPE_BROAD_GAUGE_RAILTYPE_OHLE]:[TRACK_TYPE_BROAD_GAUGE_RAILTYPE_NONE]],_xlfn.LAMBDA(_xlpm.r,OR(_xlpm.r))),FALSE)</f>
        <v>1</v>
      </c>
      <c r="AH8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24" spans="1:34" x14ac:dyDescent="0.35">
      <c r="A824" s="2" t="s">
        <v>3290</v>
      </c>
      <c r="B824" s="40" t="str">
        <f>_xlfn.XLOOKUP(PROPERTIES[[#This Row],[VEHIDCODE]],CONTROL[VEHIDCODE],CONTROL[ENGLISH])</f>
        <v>LTZ DR 130</v>
      </c>
      <c r="J824" s="2" t="b">
        <v>1</v>
      </c>
      <c r="Z824" s="2" t="b">
        <v>1</v>
      </c>
      <c r="AC824" s="2"/>
      <c r="AD824" s="2" t="b">
        <f>LEN(_xlfn.CONCAT(TRACK_TYPES[[#This Row],[TRACK_TYPE_STANDARD_GAUGE_RAILTYPE_OHLE]:[TRACK_TYPE_MTRO]]))&gt;0</f>
        <v>1</v>
      </c>
      <c r="AE824" s="38" t="b" cm="1">
        <f t="array" ref="AE824">IFERROR(_xlfn.BYROW(TRACK_TYPES[[#This Row],[TRACK_TYPE_STANDARD_GAUGE_RAILTYPE_OHLE]:[TRACK_TYPE_STANDARD_GAUGE_RAILTYPE_NONE]],_xlfn.LAMBDA(_xlpm.r,OR(_xlpm.r))),FALSE)</f>
        <v>1</v>
      </c>
      <c r="AF824" s="38" t="b" cm="1">
        <f t="array" ref="AF824">IFERROR(_xlfn.BYROW(TRACK_TYPES[[#This Row],[TRACK_TYPE_NARROW_GAUGE_RAILTYPE_OHLE]:[TRACK_TYPE_NARROW_GAUGE_RAILTYPE_NONE]],_xlfn.LAMBDA(_xlpm.r,OR(_xlpm.r))),FALSE)</f>
        <v>0</v>
      </c>
      <c r="AG824" s="38" t="b" cm="1">
        <f t="array" ref="AG824">IFERROR(_xlfn.BYROW(TRACK_TYPES[[#This Row],[TRACK_TYPE_BROAD_GAUGE_RAILTYPE_OHLE]:[TRACK_TYPE_BROAD_GAUGE_RAILTYPE_NONE]],_xlfn.LAMBDA(_xlpm.r,OR(_xlpm.r))),FALSE)</f>
        <v>1</v>
      </c>
      <c r="AH8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5" spans="1:34" x14ac:dyDescent="0.35">
      <c r="A825" t="s">
        <v>3291</v>
      </c>
      <c r="B825" s="40" t="str">
        <f>_xlfn.XLOOKUP(PROPERTIES[[#This Row],[VEHIDCODE]],CONTROL[VEHIDCODE],CONTROL[ENGLISH])</f>
        <v>GE AC6044CW</v>
      </c>
      <c r="J825" s="2" t="b">
        <v>1</v>
      </c>
      <c r="Z825" s="2" t="b">
        <v>1</v>
      </c>
      <c r="AC825" s="2"/>
      <c r="AD825" s="2" t="b">
        <f>LEN(_xlfn.CONCAT(TRACK_TYPES[[#This Row],[TRACK_TYPE_STANDARD_GAUGE_RAILTYPE_OHLE]:[TRACK_TYPE_MTRO]]))&gt;0</f>
        <v>1</v>
      </c>
      <c r="AE825" s="38" t="b" cm="1">
        <f t="array" ref="AE825">IFERROR(_xlfn.BYROW(TRACK_TYPES[[#This Row],[TRACK_TYPE_STANDARD_GAUGE_RAILTYPE_OHLE]:[TRACK_TYPE_STANDARD_GAUGE_RAILTYPE_NONE]],_xlfn.LAMBDA(_xlpm.r,OR(_xlpm.r))),FALSE)</f>
        <v>1</v>
      </c>
      <c r="AF825" s="38" t="b" cm="1">
        <f t="array" ref="AF825">IFERROR(_xlfn.BYROW(TRACK_TYPES[[#This Row],[TRACK_TYPE_NARROW_GAUGE_RAILTYPE_OHLE]:[TRACK_TYPE_NARROW_GAUGE_RAILTYPE_NONE]],_xlfn.LAMBDA(_xlpm.r,OR(_xlpm.r))),FALSE)</f>
        <v>0</v>
      </c>
      <c r="AG825" s="38" t="b" cm="1">
        <f t="array" ref="AG825">IFERROR(_xlfn.BYROW(TRACK_TYPES[[#This Row],[TRACK_TYPE_BROAD_GAUGE_RAILTYPE_OHLE]:[TRACK_TYPE_BROAD_GAUGE_RAILTYPE_NONE]],_xlfn.LAMBDA(_xlpm.r,OR(_xlpm.r))),FALSE)</f>
        <v>1</v>
      </c>
      <c r="AH8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6" spans="1:34" x14ac:dyDescent="0.35">
      <c r="A826" s="2" t="s">
        <v>3609</v>
      </c>
      <c r="B826" s="40" t="str">
        <f>_xlfn.XLOOKUP(PROPERTIES[[#This Row],[VEHIDCODE]],CONTROL[VEHIDCODE],CONTROL[ENGLISH])</f>
        <v>GE AC6000CW</v>
      </c>
      <c r="J826" s="2" t="b">
        <v>1</v>
      </c>
      <c r="Z826" s="2" t="b">
        <v>1</v>
      </c>
      <c r="AC826" s="2"/>
      <c r="AD826" s="2" t="b">
        <f>LEN(_xlfn.CONCAT(TRACK_TYPES[[#This Row],[TRACK_TYPE_STANDARD_GAUGE_RAILTYPE_OHLE]:[TRACK_TYPE_MTRO]]))&gt;0</f>
        <v>1</v>
      </c>
      <c r="AE826" s="38" t="b" cm="1">
        <f t="array" ref="AE826">IFERROR(_xlfn.BYROW(TRACK_TYPES[[#This Row],[TRACK_TYPE_STANDARD_GAUGE_RAILTYPE_OHLE]:[TRACK_TYPE_STANDARD_GAUGE_RAILTYPE_NONE]],_xlfn.LAMBDA(_xlpm.r,OR(_xlpm.r))),FALSE)</f>
        <v>1</v>
      </c>
      <c r="AF826" s="38" t="b" cm="1">
        <f t="array" ref="AF826">IFERROR(_xlfn.BYROW(TRACK_TYPES[[#This Row],[TRACK_TYPE_NARROW_GAUGE_RAILTYPE_OHLE]:[TRACK_TYPE_NARROW_GAUGE_RAILTYPE_NONE]],_xlfn.LAMBDA(_xlpm.r,OR(_xlpm.r))),FALSE)</f>
        <v>0</v>
      </c>
      <c r="AG826" s="38" t="b" cm="1">
        <f t="array" ref="AG826">IFERROR(_xlfn.BYROW(TRACK_TYPES[[#This Row],[TRACK_TYPE_BROAD_GAUGE_RAILTYPE_OHLE]:[TRACK_TYPE_BROAD_GAUGE_RAILTYPE_NONE]],_xlfn.LAMBDA(_xlpm.r,OR(_xlpm.r))),FALSE)</f>
        <v>1</v>
      </c>
      <c r="AH8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7" spans="1:34" x14ac:dyDescent="0.35">
      <c r="A827" s="2" t="s">
        <v>3292</v>
      </c>
      <c r="B827" s="40" t="str">
        <f>_xlfn.XLOOKUP(PROPERTIES[[#This Row],[VEHIDCODE]],CONTROL[VEHIDCODE],CONTROL[ENGLISH])</f>
        <v>Robert Stephenson and Co 2-2-2 192</v>
      </c>
      <c r="J827" s="2" t="b">
        <v>1</v>
      </c>
      <c r="AC827" s="2"/>
      <c r="AD827" s="2" t="b">
        <f>LEN(_xlfn.CONCAT(TRACK_TYPES[[#This Row],[TRACK_TYPE_STANDARD_GAUGE_RAILTYPE_OHLE]:[TRACK_TYPE_MTRO]]))&gt;0</f>
        <v>1</v>
      </c>
      <c r="AE827" s="38" t="b" cm="1">
        <f t="array" ref="AE827">IFERROR(_xlfn.BYROW(TRACK_TYPES[[#This Row],[TRACK_TYPE_STANDARD_GAUGE_RAILTYPE_OHLE]:[TRACK_TYPE_STANDARD_GAUGE_RAILTYPE_NONE]],_xlfn.LAMBDA(_xlpm.r,OR(_xlpm.r))),FALSE)</f>
        <v>1</v>
      </c>
      <c r="AF827" s="38" t="b" cm="1">
        <f t="array" ref="AF827">IFERROR(_xlfn.BYROW(TRACK_TYPES[[#This Row],[TRACK_TYPE_NARROW_GAUGE_RAILTYPE_OHLE]:[TRACK_TYPE_NARROW_GAUGE_RAILTYPE_NONE]],_xlfn.LAMBDA(_xlpm.r,OR(_xlpm.r))),FALSE)</f>
        <v>0</v>
      </c>
      <c r="AG827" s="38" t="b" cm="1">
        <f t="array" ref="AG827">IFERROR(_xlfn.BYROW(TRACK_TYPES[[#This Row],[TRACK_TYPE_BROAD_GAUGE_RAILTYPE_OHLE]:[TRACK_TYPE_BROAD_GAUGE_RAILTYPE_NONE]],_xlfn.LAMBDA(_xlpm.r,OR(_xlpm.r))),FALSE)</f>
        <v>0</v>
      </c>
      <c r="AH8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8" spans="1:34" x14ac:dyDescent="0.35">
      <c r="A828" s="2" t="s">
        <v>3293</v>
      </c>
      <c r="B828" s="40" t="str">
        <f>_xlfn.XLOOKUP(PROPERTIES[[#This Row],[VEHIDCODE]],CONTROL[VEHIDCODE],CONTROL[ENGLISH])</f>
        <v>Comeng/MK Hitachi Trains</v>
      </c>
      <c r="W828" t="b">
        <v>1</v>
      </c>
      <c r="AC828" s="2"/>
      <c r="AD828" s="2" t="b">
        <f>LEN(_xlfn.CONCAT(TRACK_TYPES[[#This Row],[TRACK_TYPE_STANDARD_GAUGE_RAILTYPE_OHLE]:[TRACK_TYPE_MTRO]]))&gt;0</f>
        <v>1</v>
      </c>
      <c r="AE828" s="38" t="b" cm="1">
        <f t="array" ref="AE828">IFERROR(_xlfn.BYROW(TRACK_TYPES[[#This Row],[TRACK_TYPE_STANDARD_GAUGE_RAILTYPE_OHLE]:[TRACK_TYPE_STANDARD_GAUGE_RAILTYPE_NONE]],_xlfn.LAMBDA(_xlpm.r,OR(_xlpm.r))),FALSE)</f>
        <v>0</v>
      </c>
      <c r="AF828" s="38" t="b" cm="1">
        <f t="array" ref="AF828">IFERROR(_xlfn.BYROW(TRACK_TYPES[[#This Row],[TRACK_TYPE_NARROW_GAUGE_RAILTYPE_OHLE]:[TRACK_TYPE_NARROW_GAUGE_RAILTYPE_NONE]],_xlfn.LAMBDA(_xlpm.r,OR(_xlpm.r))),FALSE)</f>
        <v>0</v>
      </c>
      <c r="AG828" s="38" t="b" cm="1">
        <f t="array" ref="AG828">IFERROR(_xlfn.BYROW(TRACK_TYPES[[#This Row],[TRACK_TYPE_BROAD_GAUGE_RAILTYPE_OHLE]:[TRACK_TYPE_BROAD_GAUGE_RAILTYPE_NONE]],_xlfn.LAMBDA(_xlpm.r,OR(_xlpm.r))),FALSE)</f>
        <v>1</v>
      </c>
      <c r="AH8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29" spans="1:34" x14ac:dyDescent="0.35">
      <c r="A829" s="2" t="s">
        <v>3294</v>
      </c>
      <c r="B829" s="40" t="str">
        <f>_xlfn.XLOOKUP(PROPERTIES[[#This Row],[VEHIDCODE]],CONTROL[VEHIDCODE],CONTROL[ENGLISH])</f>
        <v>GRC&amp;W Harris Trains</v>
      </c>
      <c r="W829" t="b">
        <v>1</v>
      </c>
      <c r="AC829" s="2"/>
      <c r="AD829" s="2" t="b">
        <f>LEN(_xlfn.CONCAT(TRACK_TYPES[[#This Row],[TRACK_TYPE_STANDARD_GAUGE_RAILTYPE_OHLE]:[TRACK_TYPE_MTRO]]))&gt;0</f>
        <v>1</v>
      </c>
      <c r="AE829" s="38" t="b" cm="1">
        <f t="array" ref="AE829">IFERROR(_xlfn.BYROW(TRACK_TYPES[[#This Row],[TRACK_TYPE_STANDARD_GAUGE_RAILTYPE_OHLE]:[TRACK_TYPE_STANDARD_GAUGE_RAILTYPE_NONE]],_xlfn.LAMBDA(_xlpm.r,OR(_xlpm.r))),FALSE)</f>
        <v>0</v>
      </c>
      <c r="AF829" s="38" t="b" cm="1">
        <f t="array" ref="AF829">IFERROR(_xlfn.BYROW(TRACK_TYPES[[#This Row],[TRACK_TYPE_NARROW_GAUGE_RAILTYPE_OHLE]:[TRACK_TYPE_NARROW_GAUGE_RAILTYPE_NONE]],_xlfn.LAMBDA(_xlpm.r,OR(_xlpm.r))),FALSE)</f>
        <v>0</v>
      </c>
      <c r="AG829" s="38" t="b" cm="1">
        <f t="array" ref="AG829">IFERROR(_xlfn.BYROW(TRACK_TYPES[[#This Row],[TRACK_TYPE_BROAD_GAUGE_RAILTYPE_OHLE]:[TRACK_TYPE_BROAD_GAUGE_RAILTYPE_NONE]],_xlfn.LAMBDA(_xlpm.r,OR(_xlpm.r))),FALSE)</f>
        <v>1</v>
      </c>
      <c r="AH8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30" spans="1:34" x14ac:dyDescent="0.35">
      <c r="A830" s="2" t="s">
        <v>3295</v>
      </c>
      <c r="B830" s="40" t="str">
        <f>_xlfn.XLOOKUP(PROPERTIES[[#This Row],[VEHIDCODE]],CONTROL[VEHIDCODE],CONTROL[ENGLISH])</f>
        <v>Siemens Nexas</v>
      </c>
      <c r="W830" t="b">
        <v>1</v>
      </c>
      <c r="AC830" s="2"/>
      <c r="AD830" s="2" t="b">
        <f>LEN(_xlfn.CONCAT(TRACK_TYPES[[#This Row],[TRACK_TYPE_STANDARD_GAUGE_RAILTYPE_OHLE]:[TRACK_TYPE_MTRO]]))&gt;0</f>
        <v>1</v>
      </c>
      <c r="AE830" s="38" t="b" cm="1">
        <f t="array" ref="AE830">IFERROR(_xlfn.BYROW(TRACK_TYPES[[#This Row],[TRACK_TYPE_STANDARD_GAUGE_RAILTYPE_OHLE]:[TRACK_TYPE_STANDARD_GAUGE_RAILTYPE_NONE]],_xlfn.LAMBDA(_xlpm.r,OR(_xlpm.r))),FALSE)</f>
        <v>0</v>
      </c>
      <c r="AF830" s="38" t="b" cm="1">
        <f t="array" ref="AF830">IFERROR(_xlfn.BYROW(TRACK_TYPES[[#This Row],[TRACK_TYPE_NARROW_GAUGE_RAILTYPE_OHLE]:[TRACK_TYPE_NARROW_GAUGE_RAILTYPE_NONE]],_xlfn.LAMBDA(_xlpm.r,OR(_xlpm.r))),FALSE)</f>
        <v>0</v>
      </c>
      <c r="AG830" s="38" t="b" cm="1">
        <f t="array" ref="AG830">IFERROR(_xlfn.BYROW(TRACK_TYPES[[#This Row],[TRACK_TYPE_BROAD_GAUGE_RAILTYPE_OHLE]:[TRACK_TYPE_BROAD_GAUGE_RAILTYPE_NONE]],_xlfn.LAMBDA(_xlpm.r,OR(_xlpm.r))),FALSE)</f>
        <v>1</v>
      </c>
      <c r="AH8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31" spans="1:34" x14ac:dyDescent="0.35">
      <c r="A831" s="2" t="s">
        <v>3296</v>
      </c>
      <c r="B831" s="40" t="str">
        <f>_xlfn.XLOOKUP(PROPERTIES[[#This Row],[VEHIDCODE]],CONTROL[VEHIDCODE],CONTROL[ENGLISH])</f>
        <v>Victorian Railways Tait Trains</v>
      </c>
      <c r="W831" t="b">
        <v>1</v>
      </c>
      <c r="AC831" s="2"/>
      <c r="AD831" s="2" t="b">
        <f>LEN(_xlfn.CONCAT(TRACK_TYPES[[#This Row],[TRACK_TYPE_STANDARD_GAUGE_RAILTYPE_OHLE]:[TRACK_TYPE_MTRO]]))&gt;0</f>
        <v>1</v>
      </c>
      <c r="AE831" s="38" t="b" cm="1">
        <f t="array" ref="AE831">IFERROR(_xlfn.BYROW(TRACK_TYPES[[#This Row],[TRACK_TYPE_STANDARD_GAUGE_RAILTYPE_OHLE]:[TRACK_TYPE_STANDARD_GAUGE_RAILTYPE_NONE]],_xlfn.LAMBDA(_xlpm.r,OR(_xlpm.r))),FALSE)</f>
        <v>0</v>
      </c>
      <c r="AF831" s="38" t="b" cm="1">
        <f t="array" ref="AF831">IFERROR(_xlfn.BYROW(TRACK_TYPES[[#This Row],[TRACK_TYPE_NARROW_GAUGE_RAILTYPE_OHLE]:[TRACK_TYPE_NARROW_GAUGE_RAILTYPE_NONE]],_xlfn.LAMBDA(_xlpm.r,OR(_xlpm.r))),FALSE)</f>
        <v>0</v>
      </c>
      <c r="AG831" s="38" t="b" cm="1">
        <f t="array" ref="AG831">IFERROR(_xlfn.BYROW(TRACK_TYPES[[#This Row],[TRACK_TYPE_BROAD_GAUGE_RAILTYPE_OHLE]:[TRACK_TYPE_BROAD_GAUGE_RAILTYPE_NONE]],_xlfn.LAMBDA(_xlpm.r,OR(_xlpm.r))),FALSE)</f>
        <v>1</v>
      </c>
      <c r="AH8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32" spans="1:34" x14ac:dyDescent="0.35">
      <c r="A832" s="2" t="s">
        <v>3297</v>
      </c>
      <c r="B832" s="40" t="str">
        <f>_xlfn.XLOOKUP(PROPERTIES[[#This Row],[VEHIDCODE]],CONTROL[VEHIDCODE],CONTROL[ENGLISH])</f>
        <v>ABB Henschel Berlin BVG F74</v>
      </c>
      <c r="H832" t="b">
        <v>1</v>
      </c>
      <c r="AC832" s="2"/>
      <c r="AD832" s="2" t="b">
        <f>LEN(_xlfn.CONCAT(TRACK_TYPES[[#This Row],[TRACK_TYPE_STANDARD_GAUGE_RAILTYPE_OHLE]:[TRACK_TYPE_MTRO]]))&gt;0</f>
        <v>1</v>
      </c>
      <c r="AE832" s="38" t="b" cm="1">
        <f t="array" ref="AE832">IFERROR(_xlfn.BYROW(TRACK_TYPES[[#This Row],[TRACK_TYPE_STANDARD_GAUGE_RAILTYPE_OHLE]:[TRACK_TYPE_STANDARD_GAUGE_RAILTYPE_NONE]],_xlfn.LAMBDA(_xlpm.r,OR(_xlpm.r))),FALSE)</f>
        <v>1</v>
      </c>
      <c r="AF832" s="38" t="b" cm="1">
        <f t="array" ref="AF832">IFERROR(_xlfn.BYROW(TRACK_TYPES[[#This Row],[TRACK_TYPE_NARROW_GAUGE_RAILTYPE_OHLE]:[TRACK_TYPE_NARROW_GAUGE_RAILTYPE_NONE]],_xlfn.LAMBDA(_xlpm.r,OR(_xlpm.r))),FALSE)</f>
        <v>0</v>
      </c>
      <c r="AG832" s="38" t="b" cm="1">
        <f t="array" ref="AG832">IFERROR(_xlfn.BYROW(TRACK_TYPES[[#This Row],[TRACK_TYPE_BROAD_GAUGE_RAILTYPE_OHLE]:[TRACK_TYPE_BROAD_GAUGE_RAILTYPE_NONE]],_xlfn.LAMBDA(_xlpm.r,OR(_xlpm.r))),FALSE)</f>
        <v>0</v>
      </c>
      <c r="AH8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3" spans="1:34" x14ac:dyDescent="0.35">
      <c r="A833" s="2" t="s">
        <v>3298</v>
      </c>
      <c r="B833" s="40" t="str">
        <f>_xlfn.XLOOKUP(PROPERTIES[[#This Row],[VEHIDCODE]],CONTROL[VEHIDCODE],CONTROL[ENGLISH])</f>
        <v>Adtranz Berlin BVG H</v>
      </c>
      <c r="H833" t="b">
        <v>1</v>
      </c>
      <c r="AC833" s="2"/>
      <c r="AD833" s="2" t="b">
        <f>LEN(_xlfn.CONCAT(TRACK_TYPES[[#This Row],[TRACK_TYPE_STANDARD_GAUGE_RAILTYPE_OHLE]:[TRACK_TYPE_MTRO]]))&gt;0</f>
        <v>1</v>
      </c>
      <c r="AE833" s="38" t="b" cm="1">
        <f t="array" ref="AE833">IFERROR(_xlfn.BYROW(TRACK_TYPES[[#This Row],[TRACK_TYPE_STANDARD_GAUGE_RAILTYPE_OHLE]:[TRACK_TYPE_STANDARD_GAUGE_RAILTYPE_NONE]],_xlfn.LAMBDA(_xlpm.r,OR(_xlpm.r))),FALSE)</f>
        <v>1</v>
      </c>
      <c r="AF833" s="38" t="b" cm="1">
        <f t="array" ref="AF833">IFERROR(_xlfn.BYROW(TRACK_TYPES[[#This Row],[TRACK_TYPE_NARROW_GAUGE_RAILTYPE_OHLE]:[TRACK_TYPE_NARROW_GAUGE_RAILTYPE_NONE]],_xlfn.LAMBDA(_xlpm.r,OR(_xlpm.r))),FALSE)</f>
        <v>0</v>
      </c>
      <c r="AG833" s="38" t="b" cm="1">
        <f t="array" ref="AG833">IFERROR(_xlfn.BYROW(TRACK_TYPES[[#This Row],[TRACK_TYPE_BROAD_GAUGE_RAILTYPE_OHLE]:[TRACK_TYPE_BROAD_GAUGE_RAILTYPE_NONE]],_xlfn.LAMBDA(_xlpm.r,OR(_xlpm.r))),FALSE)</f>
        <v>0</v>
      </c>
      <c r="AH8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4" spans="1:34" x14ac:dyDescent="0.35">
      <c r="A834" s="2" t="s">
        <v>3299</v>
      </c>
      <c r="B834" s="40" t="str">
        <f>_xlfn.XLOOKUP(PROPERTIES[[#This Row],[VEHIDCODE]],CONTROL[VEHIDCODE],CONTROL[ENGLISH])</f>
        <v>LB&amp;SCR BRW 0-6-0T 'A1'</v>
      </c>
      <c r="J834" s="2" t="b">
        <v>1</v>
      </c>
      <c r="AC834" s="2"/>
      <c r="AD834" s="2" t="b">
        <f>LEN(_xlfn.CONCAT(TRACK_TYPES[[#This Row],[TRACK_TYPE_STANDARD_GAUGE_RAILTYPE_OHLE]:[TRACK_TYPE_MTRO]]))&gt;0</f>
        <v>1</v>
      </c>
      <c r="AE834" s="38" t="b" cm="1">
        <f t="array" ref="AE834">IFERROR(_xlfn.BYROW(TRACK_TYPES[[#This Row],[TRACK_TYPE_STANDARD_GAUGE_RAILTYPE_OHLE]:[TRACK_TYPE_STANDARD_GAUGE_RAILTYPE_NONE]],_xlfn.LAMBDA(_xlpm.r,OR(_xlpm.r))),FALSE)</f>
        <v>1</v>
      </c>
      <c r="AF834" s="38" t="b" cm="1">
        <f t="array" ref="AF834">IFERROR(_xlfn.BYROW(TRACK_TYPES[[#This Row],[TRACK_TYPE_NARROW_GAUGE_RAILTYPE_OHLE]:[TRACK_TYPE_NARROW_GAUGE_RAILTYPE_NONE]],_xlfn.LAMBDA(_xlpm.r,OR(_xlpm.r))),FALSE)</f>
        <v>0</v>
      </c>
      <c r="AG834" s="38" t="b" cm="1">
        <f t="array" ref="AG834">IFERROR(_xlfn.BYROW(TRACK_TYPES[[#This Row],[TRACK_TYPE_BROAD_GAUGE_RAILTYPE_OHLE]:[TRACK_TYPE_BROAD_GAUGE_RAILTYPE_NONE]],_xlfn.LAMBDA(_xlpm.r,OR(_xlpm.r))),FALSE)</f>
        <v>0</v>
      </c>
      <c r="AH8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5" spans="1:34" x14ac:dyDescent="0.35">
      <c r="A835" s="2" t="s">
        <v>3300</v>
      </c>
      <c r="B835" s="40" t="str">
        <f>_xlfn.XLOOKUP(PROPERTIES[[#This Row],[VEHIDCODE]],CONTROL[VEHIDCODE],CONTROL[ENGLISH])</f>
        <v>BP 4-6-4T 4444-4478 'C30'</v>
      </c>
      <c r="J835" s="2" t="b">
        <v>1</v>
      </c>
      <c r="R835" s="2" t="b">
        <v>1</v>
      </c>
      <c r="Z835" s="2" t="b">
        <v>1</v>
      </c>
      <c r="AC835" s="2"/>
      <c r="AD835" s="2" t="b">
        <f>LEN(_xlfn.CONCAT(TRACK_TYPES[[#This Row],[TRACK_TYPE_STANDARD_GAUGE_RAILTYPE_OHLE]:[TRACK_TYPE_MTRO]]))&gt;0</f>
        <v>1</v>
      </c>
      <c r="AE835" s="38" t="b" cm="1">
        <f t="array" ref="AE835">IFERROR(_xlfn.BYROW(TRACK_TYPES[[#This Row],[TRACK_TYPE_STANDARD_GAUGE_RAILTYPE_OHLE]:[TRACK_TYPE_STANDARD_GAUGE_RAILTYPE_NONE]],_xlfn.LAMBDA(_xlpm.r,OR(_xlpm.r))),FALSE)</f>
        <v>1</v>
      </c>
      <c r="AF835" s="38" t="b" cm="1">
        <f t="array" ref="AF835">IFERROR(_xlfn.BYROW(TRACK_TYPES[[#This Row],[TRACK_TYPE_NARROW_GAUGE_RAILTYPE_OHLE]:[TRACK_TYPE_NARROW_GAUGE_RAILTYPE_NONE]],_xlfn.LAMBDA(_xlpm.r,OR(_xlpm.r))),FALSE)</f>
        <v>1</v>
      </c>
      <c r="AG835" s="38" t="b" cm="1">
        <f t="array" ref="AG835">IFERROR(_xlfn.BYROW(TRACK_TYPES[[#This Row],[TRACK_TYPE_BROAD_GAUGE_RAILTYPE_OHLE]:[TRACK_TYPE_BROAD_GAUGE_RAILTYPE_NONE]],_xlfn.LAMBDA(_xlpm.r,OR(_xlpm.r))),FALSE)</f>
        <v>1</v>
      </c>
      <c r="AH8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6" spans="1:34" x14ac:dyDescent="0.35">
      <c r="A836" s="2" t="s">
        <v>3301</v>
      </c>
      <c r="B836" s="40" t="str">
        <f>_xlfn.XLOOKUP(PROPERTIES[[#This Row],[VEHIDCODE]],CONTROL[VEHIDCODE],CONTROL[ENGLISH])</f>
        <v>BP/Baldwin/Clyde 4-6-0 'C32'</v>
      </c>
      <c r="J836" s="2" t="b">
        <v>1</v>
      </c>
      <c r="AC836" s="2"/>
      <c r="AD836" s="2" t="b">
        <f>LEN(_xlfn.CONCAT(TRACK_TYPES[[#This Row],[TRACK_TYPE_STANDARD_GAUGE_RAILTYPE_OHLE]:[TRACK_TYPE_MTRO]]))&gt;0</f>
        <v>1</v>
      </c>
      <c r="AE836" s="38" t="b" cm="1">
        <f t="array" ref="AE836">IFERROR(_xlfn.BYROW(TRACK_TYPES[[#This Row],[TRACK_TYPE_STANDARD_GAUGE_RAILTYPE_OHLE]:[TRACK_TYPE_STANDARD_GAUGE_RAILTYPE_NONE]],_xlfn.LAMBDA(_xlpm.r,OR(_xlpm.r))),FALSE)</f>
        <v>1</v>
      </c>
      <c r="AF836" s="38" t="b" cm="1">
        <f t="array" ref="AF836">IFERROR(_xlfn.BYROW(TRACK_TYPES[[#This Row],[TRACK_TYPE_NARROW_GAUGE_RAILTYPE_OHLE]:[TRACK_TYPE_NARROW_GAUGE_RAILTYPE_NONE]],_xlfn.LAMBDA(_xlpm.r,OR(_xlpm.r))),FALSE)</f>
        <v>0</v>
      </c>
      <c r="AG836" s="38" t="b" cm="1">
        <f t="array" ref="AG836">IFERROR(_xlfn.BYROW(TRACK_TYPES[[#This Row],[TRACK_TYPE_BROAD_GAUGE_RAILTYPE_OHLE]:[TRACK_TYPE_BROAD_GAUGE_RAILTYPE_NONE]],_xlfn.LAMBDA(_xlpm.r,OR(_xlpm.r))),FALSE)</f>
        <v>0</v>
      </c>
      <c r="AH8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7" spans="1:34" x14ac:dyDescent="0.35">
      <c r="A837" s="2" t="s">
        <v>3302</v>
      </c>
      <c r="B837" s="40" t="str">
        <f>_xlfn.XLOOKUP(PROPERTIES[[#This Row],[VEHIDCODE]],CONTROL[VEHIDCODE],CONTROL[ENGLISH])</f>
        <v>BP/NBLC 2-8-0 'D50'</v>
      </c>
      <c r="J837" s="2" t="b">
        <v>1</v>
      </c>
      <c r="AC837" s="2"/>
      <c r="AD837" s="2" t="b">
        <f>LEN(_xlfn.CONCAT(TRACK_TYPES[[#This Row],[TRACK_TYPE_STANDARD_GAUGE_RAILTYPE_OHLE]:[TRACK_TYPE_MTRO]]))&gt;0</f>
        <v>1</v>
      </c>
      <c r="AE837" s="38" t="b" cm="1">
        <f t="array" ref="AE837">IFERROR(_xlfn.BYROW(TRACK_TYPES[[#This Row],[TRACK_TYPE_STANDARD_GAUGE_RAILTYPE_OHLE]:[TRACK_TYPE_STANDARD_GAUGE_RAILTYPE_NONE]],_xlfn.LAMBDA(_xlpm.r,OR(_xlpm.r))),FALSE)</f>
        <v>1</v>
      </c>
      <c r="AF837" s="38" t="b" cm="1">
        <f t="array" ref="AF837">IFERROR(_xlfn.BYROW(TRACK_TYPES[[#This Row],[TRACK_TYPE_NARROW_GAUGE_RAILTYPE_OHLE]:[TRACK_TYPE_NARROW_GAUGE_RAILTYPE_NONE]],_xlfn.LAMBDA(_xlpm.r,OR(_xlpm.r))),FALSE)</f>
        <v>0</v>
      </c>
      <c r="AG837" s="38" t="b" cm="1">
        <f t="array" ref="AG837">IFERROR(_xlfn.BYROW(TRACK_TYPES[[#This Row],[TRACK_TYPE_BROAD_GAUGE_RAILTYPE_OHLE]:[TRACK_TYPE_BROAD_GAUGE_RAILTYPE_NONE]],_xlfn.LAMBDA(_xlpm.r,OR(_xlpm.r))),FALSE)</f>
        <v>0</v>
      </c>
      <c r="AH8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8" spans="1:34" x14ac:dyDescent="0.35">
      <c r="A838" s="2" t="s">
        <v>3303</v>
      </c>
      <c r="B838" s="40" t="str">
        <f>_xlfn.XLOOKUP(PROPERTIES[[#This Row],[VEHIDCODE]],CONTROL[VEHIDCODE],CONTROL[ENGLISH])</f>
        <v>BP/Dubs 4-4-0 'Z12'</v>
      </c>
      <c r="J838" s="2" t="b">
        <v>1</v>
      </c>
      <c r="AC838" s="2"/>
      <c r="AD838" s="2" t="b">
        <f>LEN(_xlfn.CONCAT(TRACK_TYPES[[#This Row],[TRACK_TYPE_STANDARD_GAUGE_RAILTYPE_OHLE]:[TRACK_TYPE_MTRO]]))&gt;0</f>
        <v>1</v>
      </c>
      <c r="AE838" s="38" t="b" cm="1">
        <f t="array" ref="AE838">IFERROR(_xlfn.BYROW(TRACK_TYPES[[#This Row],[TRACK_TYPE_STANDARD_GAUGE_RAILTYPE_OHLE]:[TRACK_TYPE_STANDARD_GAUGE_RAILTYPE_NONE]],_xlfn.LAMBDA(_xlpm.r,OR(_xlpm.r))),FALSE)</f>
        <v>1</v>
      </c>
      <c r="AF838" s="38" t="b" cm="1">
        <f t="array" ref="AF838">IFERROR(_xlfn.BYROW(TRACK_TYPES[[#This Row],[TRACK_TYPE_NARROW_GAUGE_RAILTYPE_OHLE]:[TRACK_TYPE_NARROW_GAUGE_RAILTYPE_NONE]],_xlfn.LAMBDA(_xlpm.r,OR(_xlpm.r))),FALSE)</f>
        <v>0</v>
      </c>
      <c r="AG838" s="38" t="b" cm="1">
        <f t="array" ref="AG838">IFERROR(_xlfn.BYROW(TRACK_TYPES[[#This Row],[TRACK_TYPE_BROAD_GAUGE_RAILTYPE_OHLE]:[TRACK_TYPE_BROAD_GAUGE_RAILTYPE_NONE]],_xlfn.LAMBDA(_xlpm.r,OR(_xlpm.r))),FALSE)</f>
        <v>0</v>
      </c>
      <c r="AH8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9" spans="1:34" x14ac:dyDescent="0.35">
      <c r="A839" s="2" t="s">
        <v>3304</v>
      </c>
      <c r="B839" s="40" t="str">
        <f>_xlfn.XLOOKUP(PROPERTIES[[#This Row],[VEHIDCODE]],CONTROL[VEHIDCODE],CONTROL[ENGLISH])</f>
        <v>BP 0-6-0 'Z19'</v>
      </c>
      <c r="J839" s="2" t="b">
        <v>1</v>
      </c>
      <c r="AC839" s="2"/>
      <c r="AD839" s="2" t="b">
        <f>LEN(_xlfn.CONCAT(TRACK_TYPES[[#This Row],[TRACK_TYPE_STANDARD_GAUGE_RAILTYPE_OHLE]:[TRACK_TYPE_MTRO]]))&gt;0</f>
        <v>1</v>
      </c>
      <c r="AE839" s="38" t="b" cm="1">
        <f t="array" ref="AE839">IFERROR(_xlfn.BYROW(TRACK_TYPES[[#This Row],[TRACK_TYPE_STANDARD_GAUGE_RAILTYPE_OHLE]:[TRACK_TYPE_STANDARD_GAUGE_RAILTYPE_NONE]],_xlfn.LAMBDA(_xlpm.r,OR(_xlpm.r))),FALSE)</f>
        <v>1</v>
      </c>
      <c r="AF839" s="38" t="b" cm="1">
        <f t="array" ref="AF839">IFERROR(_xlfn.BYROW(TRACK_TYPES[[#This Row],[TRACK_TYPE_NARROW_GAUGE_RAILTYPE_OHLE]:[TRACK_TYPE_NARROW_GAUGE_RAILTYPE_NONE]],_xlfn.LAMBDA(_xlpm.r,OR(_xlpm.r))),FALSE)</f>
        <v>0</v>
      </c>
      <c r="AG839" s="38" t="b" cm="1">
        <f t="array" ref="AG839">IFERROR(_xlfn.BYROW(TRACK_TYPES[[#This Row],[TRACK_TYPE_BROAD_GAUGE_RAILTYPE_OHLE]:[TRACK_TYPE_BROAD_GAUGE_RAILTYPE_NONE]],_xlfn.LAMBDA(_xlpm.r,OR(_xlpm.r))),FALSE)</f>
        <v>0</v>
      </c>
      <c r="AH8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0" spans="1:34" x14ac:dyDescent="0.35">
      <c r="A840" s="2" t="s">
        <v>3305</v>
      </c>
      <c r="B840" s="40" t="str">
        <f>_xlfn.XLOOKUP(PROPERTIES[[#This Row],[VEHIDCODE]],CONTROL[VEHIDCODE],CONTROL[ENGLISH])</f>
        <v>Dubs 2-6-2ST 'Z26'</v>
      </c>
      <c r="J840" s="2" t="b">
        <v>1</v>
      </c>
      <c r="AC840" s="2"/>
      <c r="AD840" s="2" t="b">
        <f>LEN(_xlfn.CONCAT(TRACK_TYPES[[#This Row],[TRACK_TYPE_STANDARD_GAUGE_RAILTYPE_OHLE]:[TRACK_TYPE_MTRO]]))&gt;0</f>
        <v>1</v>
      </c>
      <c r="AE840" s="38" t="b" cm="1">
        <f t="array" ref="AE840">IFERROR(_xlfn.BYROW(TRACK_TYPES[[#This Row],[TRACK_TYPE_STANDARD_GAUGE_RAILTYPE_OHLE]:[TRACK_TYPE_STANDARD_GAUGE_RAILTYPE_NONE]],_xlfn.LAMBDA(_xlpm.r,OR(_xlpm.r))),FALSE)</f>
        <v>1</v>
      </c>
      <c r="AF840" s="38" t="b" cm="1">
        <f t="array" ref="AF840">IFERROR(_xlfn.BYROW(TRACK_TYPES[[#This Row],[TRACK_TYPE_NARROW_GAUGE_RAILTYPE_OHLE]:[TRACK_TYPE_NARROW_GAUGE_RAILTYPE_NONE]],_xlfn.LAMBDA(_xlpm.r,OR(_xlpm.r))),FALSE)</f>
        <v>0</v>
      </c>
      <c r="AG840" s="38" t="b" cm="1">
        <f t="array" ref="AG840">IFERROR(_xlfn.BYROW(TRACK_TYPES[[#This Row],[TRACK_TYPE_BROAD_GAUGE_RAILTYPE_OHLE]:[TRACK_TYPE_BROAD_GAUGE_RAILTYPE_NONE]],_xlfn.LAMBDA(_xlpm.r,OR(_xlpm.r))),FALSE)</f>
        <v>0</v>
      </c>
      <c r="AH8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1" spans="1:34" x14ac:dyDescent="0.35">
      <c r="A841" s="2" t="s">
        <v>3306</v>
      </c>
      <c r="B841" s="40" t="str">
        <f>_xlfn.XLOOKUP(PROPERTIES[[#This Row],[VEHIDCODE]],CONTROL[VEHIDCODE],CONTROL[ENGLISH])</f>
        <v>GCR/Kitson/NBLC ROD 2-8-0 '8K'</v>
      </c>
      <c r="J841" s="2" t="b">
        <v>1</v>
      </c>
      <c r="AC841" s="2"/>
      <c r="AD841" s="2" t="b">
        <f>LEN(_xlfn.CONCAT(TRACK_TYPES[[#This Row],[TRACK_TYPE_STANDARD_GAUGE_RAILTYPE_OHLE]:[TRACK_TYPE_MTRO]]))&gt;0</f>
        <v>1</v>
      </c>
      <c r="AE841" s="38" t="b" cm="1">
        <f t="array" ref="AE841">IFERROR(_xlfn.BYROW(TRACK_TYPES[[#This Row],[TRACK_TYPE_STANDARD_GAUGE_RAILTYPE_OHLE]:[TRACK_TYPE_STANDARD_GAUGE_RAILTYPE_NONE]],_xlfn.LAMBDA(_xlpm.r,OR(_xlpm.r))),FALSE)</f>
        <v>1</v>
      </c>
      <c r="AF841" s="38" t="b" cm="1">
        <f t="array" ref="AF841">IFERROR(_xlfn.BYROW(TRACK_TYPES[[#This Row],[TRACK_TYPE_NARROW_GAUGE_RAILTYPE_OHLE]:[TRACK_TYPE_NARROW_GAUGE_RAILTYPE_NONE]],_xlfn.LAMBDA(_xlpm.r,OR(_xlpm.r))),FALSE)</f>
        <v>0</v>
      </c>
      <c r="AG841" s="38" t="b" cm="1">
        <f t="array" ref="AG841">IFERROR(_xlfn.BYROW(TRACK_TYPES[[#This Row],[TRACK_TYPE_BROAD_GAUGE_RAILTYPE_OHLE]:[TRACK_TYPE_BROAD_GAUGE_RAILTYPE_NONE]],_xlfn.LAMBDA(_xlpm.r,OR(_xlpm.r))),FALSE)</f>
        <v>0</v>
      </c>
      <c r="AH8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2" spans="1:34" x14ac:dyDescent="0.35">
      <c r="A842" s="2" t="s">
        <v>3307</v>
      </c>
      <c r="B842" s="40" t="str">
        <f>_xlfn.XLOOKUP(PROPERTIES[[#This Row],[VEHIDCODE]],CONTROL[VEHIDCODE],CONTROL[ENGLISH])</f>
        <v>ALCO 4-6-2 SAR 600</v>
      </c>
      <c r="Z842" s="2" t="b">
        <v>1</v>
      </c>
      <c r="AC842" s="2"/>
      <c r="AD842" s="2" t="b">
        <f>LEN(_xlfn.CONCAT(TRACK_TYPES[[#This Row],[TRACK_TYPE_STANDARD_GAUGE_RAILTYPE_OHLE]:[TRACK_TYPE_MTRO]]))&gt;0</f>
        <v>1</v>
      </c>
      <c r="AE842" s="38" t="b" cm="1">
        <f t="array" ref="AE842">IFERROR(_xlfn.BYROW(TRACK_TYPES[[#This Row],[TRACK_TYPE_STANDARD_GAUGE_RAILTYPE_OHLE]:[TRACK_TYPE_STANDARD_GAUGE_RAILTYPE_NONE]],_xlfn.LAMBDA(_xlpm.r,OR(_xlpm.r))),FALSE)</f>
        <v>0</v>
      </c>
      <c r="AF842" s="38" t="b" cm="1">
        <f t="array" ref="AF842">IFERROR(_xlfn.BYROW(TRACK_TYPES[[#This Row],[TRACK_TYPE_NARROW_GAUGE_RAILTYPE_OHLE]:[TRACK_TYPE_NARROW_GAUGE_RAILTYPE_NONE]],_xlfn.LAMBDA(_xlpm.r,OR(_xlpm.r))),FALSE)</f>
        <v>0</v>
      </c>
      <c r="AG842" s="38" t="b" cm="1">
        <f t="array" ref="AG842">IFERROR(_xlfn.BYROW(TRACK_TYPES[[#This Row],[TRACK_TYPE_BROAD_GAUGE_RAILTYPE_OHLE]:[TRACK_TYPE_BROAD_GAUGE_RAILTYPE_NONE]],_xlfn.LAMBDA(_xlpm.r,OR(_xlpm.r))),FALSE)</f>
        <v>1</v>
      </c>
      <c r="AH8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43" spans="1:34" x14ac:dyDescent="0.35">
      <c r="A843" s="2" t="s">
        <v>3308</v>
      </c>
      <c r="B843" s="40" t="str">
        <f>_xlfn.XLOOKUP(PROPERTIES[[#This Row],[VEHIDCODE]],CONTROL[VEHIDCODE],CONTROL[ENGLISH])</f>
        <v>BP 2-8-2T South Maitland 10</v>
      </c>
      <c r="J843" s="2" t="b">
        <v>1</v>
      </c>
      <c r="AC843" s="2"/>
      <c r="AD843" s="2" t="b">
        <f>LEN(_xlfn.CONCAT(TRACK_TYPES[[#This Row],[TRACK_TYPE_STANDARD_GAUGE_RAILTYPE_OHLE]:[TRACK_TYPE_MTRO]]))&gt;0</f>
        <v>1</v>
      </c>
      <c r="AE843" s="38" t="b" cm="1">
        <f t="array" ref="AE843">IFERROR(_xlfn.BYROW(TRACK_TYPES[[#This Row],[TRACK_TYPE_STANDARD_GAUGE_RAILTYPE_OHLE]:[TRACK_TYPE_STANDARD_GAUGE_RAILTYPE_NONE]],_xlfn.LAMBDA(_xlpm.r,OR(_xlpm.r))),FALSE)</f>
        <v>1</v>
      </c>
      <c r="AF843" s="38" t="b" cm="1">
        <f t="array" ref="AF843">IFERROR(_xlfn.BYROW(TRACK_TYPES[[#This Row],[TRACK_TYPE_NARROW_GAUGE_RAILTYPE_OHLE]:[TRACK_TYPE_NARROW_GAUGE_RAILTYPE_NONE]],_xlfn.LAMBDA(_xlpm.r,OR(_xlpm.r))),FALSE)</f>
        <v>0</v>
      </c>
      <c r="AG843" s="38" t="b" cm="1">
        <f t="array" ref="AG843">IFERROR(_xlfn.BYROW(TRACK_TYPES[[#This Row],[TRACK_TYPE_BROAD_GAUGE_RAILTYPE_OHLE]:[TRACK_TYPE_BROAD_GAUGE_RAILTYPE_NONE]],_xlfn.LAMBDA(_xlpm.r,OR(_xlpm.r))),FALSE)</f>
        <v>0</v>
      </c>
      <c r="AH8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4" spans="1:34" x14ac:dyDescent="0.35">
      <c r="A844" s="2" t="s">
        <v>3309</v>
      </c>
      <c r="B844" s="40" t="str">
        <f>_xlfn.XLOOKUP(PROPERTIES[[#This Row],[VEHIDCODE]],CONTROL[VEHIDCODE],CONTROL[ENGLISH])</f>
        <v>Victorian Railways H</v>
      </c>
      <c r="Z844" s="2" t="b">
        <v>1</v>
      </c>
      <c r="AC844" s="2"/>
      <c r="AD844" s="2" t="b">
        <f>LEN(_xlfn.CONCAT(TRACK_TYPES[[#This Row],[TRACK_TYPE_STANDARD_GAUGE_RAILTYPE_OHLE]:[TRACK_TYPE_MTRO]]))&gt;0</f>
        <v>1</v>
      </c>
      <c r="AE844" s="38" t="b" cm="1">
        <f t="array" ref="AE844">IFERROR(_xlfn.BYROW(TRACK_TYPES[[#This Row],[TRACK_TYPE_STANDARD_GAUGE_RAILTYPE_OHLE]:[TRACK_TYPE_STANDARD_GAUGE_RAILTYPE_NONE]],_xlfn.LAMBDA(_xlpm.r,OR(_xlpm.r))),FALSE)</f>
        <v>0</v>
      </c>
      <c r="AF844" s="38" t="b" cm="1">
        <f t="array" ref="AF844">IFERROR(_xlfn.BYROW(TRACK_TYPES[[#This Row],[TRACK_TYPE_NARROW_GAUGE_RAILTYPE_OHLE]:[TRACK_TYPE_NARROW_GAUGE_RAILTYPE_NONE]],_xlfn.LAMBDA(_xlpm.r,OR(_xlpm.r))),FALSE)</f>
        <v>0</v>
      </c>
      <c r="AG844" s="38" t="b" cm="1">
        <f t="array" ref="AG844">IFERROR(_xlfn.BYROW(TRACK_TYPES[[#This Row],[TRACK_TYPE_BROAD_GAUGE_RAILTYPE_OHLE]:[TRACK_TYPE_BROAD_GAUGE_RAILTYPE_NONE]],_xlfn.LAMBDA(_xlpm.r,OR(_xlpm.r))),FALSE)</f>
        <v>1</v>
      </c>
      <c r="AH8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45" spans="1:34" x14ac:dyDescent="0.35">
      <c r="A845" s="2" t="s">
        <v>3310</v>
      </c>
      <c r="B845" s="40" t="str">
        <f>_xlfn.XLOOKUP(PROPERTIES[[#This Row],[VEHIDCODE]],CONTROL[VEHIDCODE],CONTROL[ENGLISH])</f>
        <v>BTH 41 Class</v>
      </c>
      <c r="J845" s="2" t="b">
        <v>1</v>
      </c>
      <c r="AC845" s="2"/>
      <c r="AD845" s="2" t="b">
        <f>LEN(_xlfn.CONCAT(TRACK_TYPES[[#This Row],[TRACK_TYPE_STANDARD_GAUGE_RAILTYPE_OHLE]:[TRACK_TYPE_MTRO]]))&gt;0</f>
        <v>1</v>
      </c>
      <c r="AE845" s="38" t="b" cm="1">
        <f t="array" ref="AE845">IFERROR(_xlfn.BYROW(TRACK_TYPES[[#This Row],[TRACK_TYPE_STANDARD_GAUGE_RAILTYPE_OHLE]:[TRACK_TYPE_STANDARD_GAUGE_RAILTYPE_NONE]],_xlfn.LAMBDA(_xlpm.r,OR(_xlpm.r))),FALSE)</f>
        <v>1</v>
      </c>
      <c r="AF845" s="38" t="b" cm="1">
        <f t="array" ref="AF845">IFERROR(_xlfn.BYROW(TRACK_TYPES[[#This Row],[TRACK_TYPE_NARROW_GAUGE_RAILTYPE_OHLE]:[TRACK_TYPE_NARROW_GAUGE_RAILTYPE_NONE]],_xlfn.LAMBDA(_xlpm.r,OR(_xlpm.r))),FALSE)</f>
        <v>0</v>
      </c>
      <c r="AG845" s="38" t="b" cm="1">
        <f t="array" ref="AG845">IFERROR(_xlfn.BYROW(TRACK_TYPES[[#This Row],[TRACK_TYPE_BROAD_GAUGE_RAILTYPE_OHLE]:[TRACK_TYPE_BROAD_GAUGE_RAILTYPE_NONE]],_xlfn.LAMBDA(_xlpm.r,OR(_xlpm.r))),FALSE)</f>
        <v>0</v>
      </c>
      <c r="AH8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6" spans="1:34" x14ac:dyDescent="0.35">
      <c r="A846" s="2" t="s">
        <v>3311</v>
      </c>
      <c r="B846" s="40" t="str">
        <f>_xlfn.XLOOKUP(PROPERTIES[[#This Row],[VEHIDCODE]],CONTROL[VEHIDCODE],CONTROL[ENGLISH])</f>
        <v>ALCO/AE Goodwin DL531/532</v>
      </c>
      <c r="J846" s="2" t="b">
        <v>1</v>
      </c>
      <c r="R846" s="2" t="b">
        <v>1</v>
      </c>
      <c r="Z846" s="2" t="b">
        <v>1</v>
      </c>
      <c r="AC846" s="2"/>
      <c r="AD846" s="2" t="b">
        <f>LEN(_xlfn.CONCAT(TRACK_TYPES[[#This Row],[TRACK_TYPE_STANDARD_GAUGE_RAILTYPE_OHLE]:[TRACK_TYPE_MTRO]]))&gt;0</f>
        <v>1</v>
      </c>
      <c r="AE846" s="38" t="b" cm="1">
        <f t="array" ref="AE846">IFERROR(_xlfn.BYROW(TRACK_TYPES[[#This Row],[TRACK_TYPE_STANDARD_GAUGE_RAILTYPE_OHLE]:[TRACK_TYPE_STANDARD_GAUGE_RAILTYPE_NONE]],_xlfn.LAMBDA(_xlpm.r,OR(_xlpm.r))),FALSE)</f>
        <v>1</v>
      </c>
      <c r="AF846" s="38" t="b" cm="1">
        <f t="array" ref="AF846">IFERROR(_xlfn.BYROW(TRACK_TYPES[[#This Row],[TRACK_TYPE_NARROW_GAUGE_RAILTYPE_OHLE]:[TRACK_TYPE_NARROW_GAUGE_RAILTYPE_NONE]],_xlfn.LAMBDA(_xlpm.r,OR(_xlpm.r))),FALSE)</f>
        <v>1</v>
      </c>
      <c r="AG846" s="38" t="b" cm="1">
        <f t="array" ref="AG846">IFERROR(_xlfn.BYROW(TRACK_TYPES[[#This Row],[TRACK_TYPE_BROAD_GAUGE_RAILTYPE_OHLE]:[TRACK_TYPE_BROAD_GAUGE_RAILTYPE_NONE]],_xlfn.LAMBDA(_xlpm.r,OR(_xlpm.r))),FALSE)</f>
        <v>1</v>
      </c>
      <c r="AH8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7" spans="1:34" x14ac:dyDescent="0.35">
      <c r="A847" s="2" t="s">
        <v>3312</v>
      </c>
      <c r="B847" s="40" t="str">
        <f>_xlfn.XLOOKUP(PROPERTIES[[#This Row],[VEHIDCODE]],CONTROL[VEHIDCODE],CONTROL[ENGLISH])</f>
        <v>ALCO/AE Goodwin DL500</v>
      </c>
      <c r="J847" s="2" t="b">
        <v>1</v>
      </c>
      <c r="R847" s="2" t="b">
        <v>1</v>
      </c>
      <c r="Z847" s="2" t="b">
        <v>1</v>
      </c>
      <c r="AC847" s="2"/>
      <c r="AD847" s="2" t="b">
        <f>LEN(_xlfn.CONCAT(TRACK_TYPES[[#This Row],[TRACK_TYPE_STANDARD_GAUGE_RAILTYPE_OHLE]:[TRACK_TYPE_MTRO]]))&gt;0</f>
        <v>1</v>
      </c>
      <c r="AE847" s="38" t="b" cm="1">
        <f t="array" ref="AE847">IFERROR(_xlfn.BYROW(TRACK_TYPES[[#This Row],[TRACK_TYPE_STANDARD_GAUGE_RAILTYPE_OHLE]:[TRACK_TYPE_STANDARD_GAUGE_RAILTYPE_NONE]],_xlfn.LAMBDA(_xlpm.r,OR(_xlpm.r))),FALSE)</f>
        <v>1</v>
      </c>
      <c r="AF847" s="38" t="b" cm="1">
        <f t="array" ref="AF847">IFERROR(_xlfn.BYROW(TRACK_TYPES[[#This Row],[TRACK_TYPE_NARROW_GAUGE_RAILTYPE_OHLE]:[TRACK_TYPE_NARROW_GAUGE_RAILTYPE_NONE]],_xlfn.LAMBDA(_xlpm.r,OR(_xlpm.r))),FALSE)</f>
        <v>1</v>
      </c>
      <c r="AG847" s="38" t="b" cm="1">
        <f t="array" ref="AG847">IFERROR(_xlfn.BYROW(TRACK_TYPES[[#This Row],[TRACK_TYPE_BROAD_GAUGE_RAILTYPE_OHLE]:[TRACK_TYPE_BROAD_GAUGE_RAILTYPE_NONE]],_xlfn.LAMBDA(_xlpm.r,OR(_xlpm.r))),FALSE)</f>
        <v>1</v>
      </c>
      <c r="AH8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8" spans="1:34" x14ac:dyDescent="0.35">
      <c r="A848" s="2" t="s">
        <v>3313</v>
      </c>
      <c r="B848" s="40" t="str">
        <f>_xlfn.XLOOKUP(PROPERTIES[[#This Row],[VEHIDCODE]],CONTROL[VEHIDCODE],CONTROL[ENGLISH])</f>
        <v>EMD/Clyde A16C</v>
      </c>
      <c r="J848" s="2" t="b">
        <v>1</v>
      </c>
      <c r="AC848" s="2"/>
      <c r="AD848" s="2" t="b">
        <f>LEN(_xlfn.CONCAT(TRACK_TYPES[[#This Row],[TRACK_TYPE_STANDARD_GAUGE_RAILTYPE_OHLE]:[TRACK_TYPE_MTRO]]))&gt;0</f>
        <v>1</v>
      </c>
      <c r="AE848" s="38" t="b" cm="1">
        <f t="array" ref="AE848">IFERROR(_xlfn.BYROW(TRACK_TYPES[[#This Row],[TRACK_TYPE_STANDARD_GAUGE_RAILTYPE_OHLE]:[TRACK_TYPE_STANDARD_GAUGE_RAILTYPE_NONE]],_xlfn.LAMBDA(_xlpm.r,OR(_xlpm.r))),FALSE)</f>
        <v>1</v>
      </c>
      <c r="AF848" s="38" t="b" cm="1">
        <f t="array" ref="AF848">IFERROR(_xlfn.BYROW(TRACK_TYPES[[#This Row],[TRACK_TYPE_NARROW_GAUGE_RAILTYPE_OHLE]:[TRACK_TYPE_NARROW_GAUGE_RAILTYPE_NONE]],_xlfn.LAMBDA(_xlpm.r,OR(_xlpm.r))),FALSE)</f>
        <v>0</v>
      </c>
      <c r="AG848" s="38" t="b" cm="1">
        <f t="array" ref="AG848">IFERROR(_xlfn.BYROW(TRACK_TYPES[[#This Row],[TRACK_TYPE_BROAD_GAUGE_RAILTYPE_OHLE]:[TRACK_TYPE_BROAD_GAUGE_RAILTYPE_NONE]],_xlfn.LAMBDA(_xlpm.r,OR(_xlpm.r))),FALSE)</f>
        <v>0</v>
      </c>
      <c r="AH8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9" spans="1:34" x14ac:dyDescent="0.35">
      <c r="A849" s="2" t="s">
        <v>3457</v>
      </c>
      <c r="B849" s="40" t="str">
        <f>_xlfn.XLOOKUP(PROPERTIES[[#This Row],[VEHIDCODE]],CONTROL[VEHIDCODE],CONTROL[ENGLISH])</f>
        <v>EMD/Clyde AAT22C-2R</v>
      </c>
      <c r="Z849" s="2" t="b">
        <v>1</v>
      </c>
      <c r="AC849" s="2"/>
      <c r="AD849" s="2" t="b">
        <f>LEN(_xlfn.CONCAT(TRACK_TYPES[[#This Row],[TRACK_TYPE_STANDARD_GAUGE_RAILTYPE_OHLE]:[TRACK_TYPE_MTRO]]))&gt;0</f>
        <v>1</v>
      </c>
      <c r="AE849" s="38" t="b" cm="1">
        <f t="array" ref="AE849">IFERROR(_xlfn.BYROW(TRACK_TYPES[[#This Row],[TRACK_TYPE_STANDARD_GAUGE_RAILTYPE_OHLE]:[TRACK_TYPE_STANDARD_GAUGE_RAILTYPE_NONE]],_xlfn.LAMBDA(_xlpm.r,OR(_xlpm.r))),FALSE)</f>
        <v>0</v>
      </c>
      <c r="AF849" s="38" t="b" cm="1">
        <f t="array" ref="AF849">IFERROR(_xlfn.BYROW(TRACK_TYPES[[#This Row],[TRACK_TYPE_NARROW_GAUGE_RAILTYPE_OHLE]:[TRACK_TYPE_NARROW_GAUGE_RAILTYPE_NONE]],_xlfn.LAMBDA(_xlpm.r,OR(_xlpm.r))),FALSE)</f>
        <v>0</v>
      </c>
      <c r="AG849" s="38" t="b" cm="1">
        <f t="array" ref="AG849">IFERROR(_xlfn.BYROW(TRACK_TYPES[[#This Row],[TRACK_TYPE_BROAD_GAUGE_RAILTYPE_OHLE]:[TRACK_TYPE_BROAD_GAUGE_RAILTYPE_NONE]],_xlfn.LAMBDA(_xlpm.r,OR(_xlpm.r))),FALSE)</f>
        <v>1</v>
      </c>
      <c r="AH8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50" spans="1:34" x14ac:dyDescent="0.35">
      <c r="A850" s="2" t="s">
        <v>3314</v>
      </c>
      <c r="B850" s="40" t="str">
        <f>_xlfn.XLOOKUP(PROPERTIES[[#This Row],[VEHIDCODE]],CONTROL[VEHIDCODE],CONTROL[ENGLISH])</f>
        <v>EMD/Clyde A7</v>
      </c>
      <c r="J850" s="2" t="b">
        <v>1</v>
      </c>
      <c r="AC850" s="2"/>
      <c r="AD850" s="2" t="b">
        <f>LEN(_xlfn.CONCAT(TRACK_TYPES[[#This Row],[TRACK_TYPE_STANDARD_GAUGE_RAILTYPE_OHLE]:[TRACK_TYPE_MTRO]]))&gt;0</f>
        <v>1</v>
      </c>
      <c r="AE850" s="38" t="b" cm="1">
        <f t="array" ref="AE850">IFERROR(_xlfn.BYROW(TRACK_TYPES[[#This Row],[TRACK_TYPE_STANDARD_GAUGE_RAILTYPE_OHLE]:[TRACK_TYPE_STANDARD_GAUGE_RAILTYPE_NONE]],_xlfn.LAMBDA(_xlpm.r,OR(_xlpm.r))),FALSE)</f>
        <v>1</v>
      </c>
      <c r="AF850" s="38" t="b" cm="1">
        <f t="array" ref="AF850">IFERROR(_xlfn.BYROW(TRACK_TYPES[[#This Row],[TRACK_TYPE_NARROW_GAUGE_RAILTYPE_OHLE]:[TRACK_TYPE_NARROW_GAUGE_RAILTYPE_NONE]],_xlfn.LAMBDA(_xlpm.r,OR(_xlpm.r))),FALSE)</f>
        <v>0</v>
      </c>
      <c r="AG850" s="38" t="b" cm="1">
        <f t="array" ref="AG850">IFERROR(_xlfn.BYROW(TRACK_TYPES[[#This Row],[TRACK_TYPE_BROAD_GAUGE_RAILTYPE_OHLE]:[TRACK_TYPE_BROAD_GAUGE_RAILTYPE_NONE]],_xlfn.LAMBDA(_xlpm.r,OR(_xlpm.r))),FALSE)</f>
        <v>0</v>
      </c>
      <c r="AH8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1" spans="1:34" x14ac:dyDescent="0.35">
      <c r="A851" s="2" t="s">
        <v>3315</v>
      </c>
      <c r="B851" s="40" t="str">
        <f>_xlfn.XLOOKUP(PROPERTIES[[#This Row],[VEHIDCODE]],CONTROL[VEHIDCODE],CONTROL[ENGLISH])</f>
        <v xml:space="preserve">EMD/Clyde AT42C </v>
      </c>
      <c r="J851" s="2" t="b">
        <v>1</v>
      </c>
      <c r="AC851" s="2"/>
      <c r="AD851" s="2" t="b">
        <f>LEN(_xlfn.CONCAT(TRACK_TYPES[[#This Row],[TRACK_TYPE_STANDARD_GAUGE_RAILTYPE_OHLE]:[TRACK_TYPE_MTRO]]))&gt;0</f>
        <v>1</v>
      </c>
      <c r="AE851" s="38" t="b" cm="1">
        <f t="array" ref="AE851">IFERROR(_xlfn.BYROW(TRACK_TYPES[[#This Row],[TRACK_TYPE_STANDARD_GAUGE_RAILTYPE_OHLE]:[TRACK_TYPE_STANDARD_GAUGE_RAILTYPE_NONE]],_xlfn.LAMBDA(_xlpm.r,OR(_xlpm.r))),FALSE)</f>
        <v>1</v>
      </c>
      <c r="AF851" s="38" t="b" cm="1">
        <f t="array" ref="AF851">IFERROR(_xlfn.BYROW(TRACK_TYPES[[#This Row],[TRACK_TYPE_NARROW_GAUGE_RAILTYPE_OHLE]:[TRACK_TYPE_NARROW_GAUGE_RAILTYPE_NONE]],_xlfn.LAMBDA(_xlpm.r,OR(_xlpm.r))),FALSE)</f>
        <v>0</v>
      </c>
      <c r="AG851" s="38" t="b" cm="1">
        <f t="array" ref="AG851">IFERROR(_xlfn.BYROW(TRACK_TYPES[[#This Row],[TRACK_TYPE_BROAD_GAUGE_RAILTYPE_OHLE]:[TRACK_TYPE_BROAD_GAUGE_RAILTYPE_NONE]],_xlfn.LAMBDA(_xlpm.r,OR(_xlpm.r))),FALSE)</f>
        <v>0</v>
      </c>
      <c r="AH8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2" spans="1:34" x14ac:dyDescent="0.35">
      <c r="A852" s="2" t="s">
        <v>3316</v>
      </c>
      <c r="B852" s="40" t="str">
        <f>_xlfn.XLOOKUP(PROPERTIES[[#This Row],[VEHIDCODE]],CONTROL[VEHIDCODE],CONTROL[ENGLISH])</f>
        <v>Clyde-ASEA CF48</v>
      </c>
      <c r="D852" t="b">
        <v>1</v>
      </c>
      <c r="AC852" s="2"/>
      <c r="AD852" s="2" t="b">
        <f>LEN(_xlfn.CONCAT(TRACK_TYPES[[#This Row],[TRACK_TYPE_STANDARD_GAUGE_RAILTYPE_OHLE]:[TRACK_TYPE_MTRO]]))&gt;0</f>
        <v>1</v>
      </c>
      <c r="AE852" s="38" t="b" cm="1">
        <f t="array" ref="AE852">IFERROR(_xlfn.BYROW(TRACK_TYPES[[#This Row],[TRACK_TYPE_STANDARD_GAUGE_RAILTYPE_OHLE]:[TRACK_TYPE_STANDARD_GAUGE_RAILTYPE_NONE]],_xlfn.LAMBDA(_xlpm.r,OR(_xlpm.r))),FALSE)</f>
        <v>1</v>
      </c>
      <c r="AF852" s="38" t="b" cm="1">
        <f t="array" ref="AF852">IFERROR(_xlfn.BYROW(TRACK_TYPES[[#This Row],[TRACK_TYPE_NARROW_GAUGE_RAILTYPE_OHLE]:[TRACK_TYPE_NARROW_GAUGE_RAILTYPE_NONE]],_xlfn.LAMBDA(_xlpm.r,OR(_xlpm.r))),FALSE)</f>
        <v>0</v>
      </c>
      <c r="AG852" s="38" t="b" cm="1">
        <f t="array" ref="AG852">IFERROR(_xlfn.BYROW(TRACK_TYPES[[#This Row],[TRACK_TYPE_BROAD_GAUGE_RAILTYPE_OHLE]:[TRACK_TYPE_BROAD_GAUGE_RAILTYPE_NONE]],_xlfn.LAMBDA(_xlpm.r,OR(_xlpm.r))),FALSE)</f>
        <v>0</v>
      </c>
      <c r="AH8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3" spans="1:34" x14ac:dyDescent="0.35">
      <c r="A853" s="2" t="s">
        <v>3317</v>
      </c>
      <c r="B853" s="40" t="str">
        <f>_xlfn.XLOOKUP(PROPERTIES[[#This Row],[VEHIDCODE]],CONTROL[VEHIDCODE],CONTROL[ENGLISH])</f>
        <v>EMD GT46CWM</v>
      </c>
      <c r="J853" s="2" t="b">
        <v>1</v>
      </c>
      <c r="AC853" s="2"/>
      <c r="AD853" s="2" t="b">
        <f>LEN(_xlfn.CONCAT(TRACK_TYPES[[#This Row],[TRACK_TYPE_STANDARD_GAUGE_RAILTYPE_OHLE]:[TRACK_TYPE_MTRO]]))&gt;0</f>
        <v>1</v>
      </c>
      <c r="AE853" s="38" t="b" cm="1">
        <f t="array" ref="AE853">IFERROR(_xlfn.BYROW(TRACK_TYPES[[#This Row],[TRACK_TYPE_STANDARD_GAUGE_RAILTYPE_OHLE]:[TRACK_TYPE_STANDARD_GAUGE_RAILTYPE_NONE]],_xlfn.LAMBDA(_xlpm.r,OR(_xlpm.r))),FALSE)</f>
        <v>1</v>
      </c>
      <c r="AF853" s="38" t="b" cm="1">
        <f t="array" ref="AF853">IFERROR(_xlfn.BYROW(TRACK_TYPES[[#This Row],[TRACK_TYPE_NARROW_GAUGE_RAILTYPE_OHLE]:[TRACK_TYPE_NARROW_GAUGE_RAILTYPE_NONE]],_xlfn.LAMBDA(_xlpm.r,OR(_xlpm.r))),FALSE)</f>
        <v>0</v>
      </c>
      <c r="AG853" s="38" t="b" cm="1">
        <f t="array" ref="AG853">IFERROR(_xlfn.BYROW(TRACK_TYPES[[#This Row],[TRACK_TYPE_BROAD_GAUGE_RAILTYPE_OHLE]:[TRACK_TYPE_BROAD_GAUGE_RAILTYPE_NONE]],_xlfn.LAMBDA(_xlpm.r,OR(_xlpm.r))),FALSE)</f>
        <v>0</v>
      </c>
      <c r="AH8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4" spans="1:34" x14ac:dyDescent="0.35">
      <c r="A854" s="2" t="s">
        <v>3318</v>
      </c>
      <c r="B854" s="40" t="str">
        <f>_xlfn.XLOOKUP(PROPERTIES[[#This Row],[VEHIDCODE]],CONTROL[VEHIDCODE],CONTROL[ENGLISH])</f>
        <v>Clyde-EMD GT46CW NR Concept</v>
      </c>
      <c r="J854" s="2" t="b">
        <v>1</v>
      </c>
      <c r="AC854" s="2"/>
      <c r="AD854" s="2" t="b">
        <f>LEN(_xlfn.CONCAT(TRACK_TYPES[[#This Row],[TRACK_TYPE_STANDARD_GAUGE_RAILTYPE_OHLE]:[TRACK_TYPE_MTRO]]))&gt;0</f>
        <v>1</v>
      </c>
      <c r="AE854" s="38" t="b" cm="1">
        <f t="array" ref="AE854">IFERROR(_xlfn.BYROW(TRACK_TYPES[[#This Row],[TRACK_TYPE_STANDARD_GAUGE_RAILTYPE_OHLE]:[TRACK_TYPE_STANDARD_GAUGE_RAILTYPE_NONE]],_xlfn.LAMBDA(_xlpm.r,OR(_xlpm.r))),FALSE)</f>
        <v>1</v>
      </c>
      <c r="AF854" s="38" t="b" cm="1">
        <f t="array" ref="AF854">IFERROR(_xlfn.BYROW(TRACK_TYPES[[#This Row],[TRACK_TYPE_NARROW_GAUGE_RAILTYPE_OHLE]:[TRACK_TYPE_NARROW_GAUGE_RAILTYPE_NONE]],_xlfn.LAMBDA(_xlpm.r,OR(_xlpm.r))),FALSE)</f>
        <v>0</v>
      </c>
      <c r="AG854" s="38" t="b" cm="1">
        <f t="array" ref="AG854">IFERROR(_xlfn.BYROW(TRACK_TYPES[[#This Row],[TRACK_TYPE_BROAD_GAUGE_RAILTYPE_OHLE]:[TRACK_TYPE_BROAD_GAUGE_RAILTYPE_NONE]],_xlfn.LAMBDA(_xlpm.r,OR(_xlpm.r))),FALSE)</f>
        <v>0</v>
      </c>
      <c r="AH8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5" spans="1:34" x14ac:dyDescent="0.35">
      <c r="A855" s="2" t="s">
        <v>3319</v>
      </c>
      <c r="B855" s="40" t="str">
        <f>_xlfn.XLOOKUP(PROPERTIES[[#This Row],[VEHIDCODE]],CONTROL[VEHIDCODE],CONTROL[ENGLISH])</f>
        <v>Clyde JE28C PTC 73 Class Concept</v>
      </c>
      <c r="J855" s="2" t="b">
        <v>1</v>
      </c>
      <c r="AC855" s="2"/>
      <c r="AD855" s="2" t="b">
        <f>LEN(_xlfn.CONCAT(TRACK_TYPES[[#This Row],[TRACK_TYPE_STANDARD_GAUGE_RAILTYPE_OHLE]:[TRACK_TYPE_MTRO]]))&gt;0</f>
        <v>1</v>
      </c>
      <c r="AE855" s="38" t="b" cm="1">
        <f t="array" ref="AE855">IFERROR(_xlfn.BYROW(TRACK_TYPES[[#This Row],[TRACK_TYPE_STANDARD_GAUGE_RAILTYPE_OHLE]:[TRACK_TYPE_STANDARD_GAUGE_RAILTYPE_NONE]],_xlfn.LAMBDA(_xlpm.r,OR(_xlpm.r))),FALSE)</f>
        <v>1</v>
      </c>
      <c r="AF855" s="38" t="b" cm="1">
        <f t="array" ref="AF855">IFERROR(_xlfn.BYROW(TRACK_TYPES[[#This Row],[TRACK_TYPE_NARROW_GAUGE_RAILTYPE_OHLE]:[TRACK_TYPE_NARROW_GAUGE_RAILTYPE_NONE]],_xlfn.LAMBDA(_xlpm.r,OR(_xlpm.r))),FALSE)</f>
        <v>0</v>
      </c>
      <c r="AG855" s="38" t="b" cm="1">
        <f t="array" ref="AG855">IFERROR(_xlfn.BYROW(TRACK_TYPES[[#This Row],[TRACK_TYPE_BROAD_GAUGE_RAILTYPE_OHLE]:[TRACK_TYPE_BROAD_GAUGE_RAILTYPE_NONE]],_xlfn.LAMBDA(_xlpm.r,OR(_xlpm.r))),FALSE)</f>
        <v>0</v>
      </c>
      <c r="AH8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6" spans="1:34" x14ac:dyDescent="0.35">
      <c r="A856" s="2" t="s">
        <v>3320</v>
      </c>
      <c r="B856" s="40" t="str">
        <f>_xlfn.XLOOKUP(PROPERTIES[[#This Row],[VEHIDCODE]],CONTROL[VEHIDCODE],CONTROL[ENGLISH])</f>
        <v>EMD/Clyde JT22HC-2</v>
      </c>
      <c r="J856" s="2" t="b">
        <v>1</v>
      </c>
      <c r="Z856" s="2" t="b">
        <v>1</v>
      </c>
      <c r="AC856" s="2"/>
      <c r="AD856" s="2" t="b">
        <f>LEN(_xlfn.CONCAT(TRACK_TYPES[[#This Row],[TRACK_TYPE_STANDARD_GAUGE_RAILTYPE_OHLE]:[TRACK_TYPE_MTRO]]))&gt;0</f>
        <v>1</v>
      </c>
      <c r="AE856" s="38" t="b" cm="1">
        <f t="array" ref="AE856">IFERROR(_xlfn.BYROW(TRACK_TYPES[[#This Row],[TRACK_TYPE_STANDARD_GAUGE_RAILTYPE_OHLE]:[TRACK_TYPE_STANDARD_GAUGE_RAILTYPE_NONE]],_xlfn.LAMBDA(_xlpm.r,OR(_xlpm.r))),FALSE)</f>
        <v>1</v>
      </c>
      <c r="AF856" s="38" t="b" cm="1">
        <f t="array" ref="AF856">IFERROR(_xlfn.BYROW(TRACK_TYPES[[#This Row],[TRACK_TYPE_NARROW_GAUGE_RAILTYPE_OHLE]:[TRACK_TYPE_NARROW_GAUGE_RAILTYPE_NONE]],_xlfn.LAMBDA(_xlpm.r,OR(_xlpm.r))),FALSE)</f>
        <v>0</v>
      </c>
      <c r="AG856" s="38" t="b" cm="1">
        <f t="array" ref="AG856">IFERROR(_xlfn.BYROW(TRACK_TYPES[[#This Row],[TRACK_TYPE_BROAD_GAUGE_RAILTYPE_OHLE]:[TRACK_TYPE_BROAD_GAUGE_RAILTYPE_NONE]],_xlfn.LAMBDA(_xlpm.r,OR(_xlpm.r))),FALSE)</f>
        <v>1</v>
      </c>
      <c r="AH8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7" spans="1:34" x14ac:dyDescent="0.35">
      <c r="A857" s="2" t="s">
        <v>3452</v>
      </c>
      <c r="B857" s="40" t="str">
        <f>_xlfn.XLOOKUP(PROPERTIES[[#This Row],[VEHIDCODE]],CONTROL[VEHIDCODE],CONTROL[ENGLISH])</f>
        <v>EMD/Clyde JT26C-2SS NSW 81</v>
      </c>
      <c r="J857" s="2" t="b">
        <v>1</v>
      </c>
      <c r="AC857" s="2"/>
      <c r="AD857" s="2" t="b">
        <f>LEN(_xlfn.CONCAT(TRACK_TYPES[[#This Row],[TRACK_TYPE_STANDARD_GAUGE_RAILTYPE_OHLE]:[TRACK_TYPE_MTRO]]))&gt;0</f>
        <v>1</v>
      </c>
      <c r="AE857" s="38" t="b" cm="1">
        <f t="array" ref="AE857">IFERROR(_xlfn.BYROW(TRACK_TYPES[[#This Row],[TRACK_TYPE_STANDARD_GAUGE_RAILTYPE_OHLE]:[TRACK_TYPE_STANDARD_GAUGE_RAILTYPE_NONE]],_xlfn.LAMBDA(_xlpm.r,OR(_xlpm.r))),FALSE)</f>
        <v>1</v>
      </c>
      <c r="AF857" s="38" t="b" cm="1">
        <f t="array" ref="AF857">IFERROR(_xlfn.BYROW(TRACK_TYPES[[#This Row],[TRACK_TYPE_NARROW_GAUGE_RAILTYPE_OHLE]:[TRACK_TYPE_NARROW_GAUGE_RAILTYPE_NONE]],_xlfn.LAMBDA(_xlpm.r,OR(_xlpm.r))),FALSE)</f>
        <v>0</v>
      </c>
      <c r="AG857" s="38" t="b" cm="1">
        <f t="array" ref="AG857">IFERROR(_xlfn.BYROW(TRACK_TYPES[[#This Row],[TRACK_TYPE_BROAD_GAUGE_RAILTYPE_OHLE]:[TRACK_TYPE_BROAD_GAUGE_RAILTYPE_NONE]],_xlfn.LAMBDA(_xlpm.r,OR(_xlpm.r))),FALSE)</f>
        <v>0</v>
      </c>
      <c r="AH8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8" spans="1:34" x14ac:dyDescent="0.35">
      <c r="A858" s="2" t="s">
        <v>3453</v>
      </c>
      <c r="B858" s="40" t="str">
        <f>_xlfn.XLOOKUP(PROPERTIES[[#This Row],[VEHIDCODE]],CONTROL[VEHIDCODE],CONTROL[ENGLISH])</f>
        <v>EMD/Clyde JT26C-2SS V-line G</v>
      </c>
      <c r="J858" s="2" t="b">
        <v>1</v>
      </c>
      <c r="AC858" s="2"/>
      <c r="AD858" s="2" t="b">
        <f>LEN(_xlfn.CONCAT(TRACK_TYPES[[#This Row],[TRACK_TYPE_STANDARD_GAUGE_RAILTYPE_OHLE]:[TRACK_TYPE_MTRO]]))&gt;0</f>
        <v>1</v>
      </c>
      <c r="AE858" s="38" t="b" cm="1">
        <f t="array" ref="AE858">IFERROR(_xlfn.BYROW(TRACK_TYPES[[#This Row],[TRACK_TYPE_STANDARD_GAUGE_RAILTYPE_OHLE]:[TRACK_TYPE_STANDARD_GAUGE_RAILTYPE_NONE]],_xlfn.LAMBDA(_xlpm.r,OR(_xlpm.r))),FALSE)</f>
        <v>1</v>
      </c>
      <c r="AF858" s="38" t="b" cm="1">
        <f t="array" ref="AF858">IFERROR(_xlfn.BYROW(TRACK_TYPES[[#This Row],[TRACK_TYPE_NARROW_GAUGE_RAILTYPE_OHLE]:[TRACK_TYPE_NARROW_GAUGE_RAILTYPE_NONE]],_xlfn.LAMBDA(_xlpm.r,OR(_xlpm.r))),FALSE)</f>
        <v>0</v>
      </c>
      <c r="AG858" s="38" t="b" cm="1">
        <f t="array" ref="AG858">IFERROR(_xlfn.BYROW(TRACK_TYPES[[#This Row],[TRACK_TYPE_BROAD_GAUGE_RAILTYPE_OHLE]:[TRACK_TYPE_BROAD_GAUGE_RAILTYPE_NONE]],_xlfn.LAMBDA(_xlpm.r,OR(_xlpm.r))),FALSE)</f>
        <v>0</v>
      </c>
      <c r="AH8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9" spans="1:34" x14ac:dyDescent="0.35">
      <c r="A859" s="2" t="s">
        <v>3476</v>
      </c>
      <c r="B859" s="40" t="str">
        <f>_xlfn.XLOOKUP(PROPERTIES[[#This Row],[VEHIDCODE]],CONTROL[VEHIDCODE],CONTROL[ENGLISH])</f>
        <v>EMD/Clyde JT42C</v>
      </c>
      <c r="J859" s="2" t="b">
        <v>1</v>
      </c>
      <c r="AC859" s="2"/>
      <c r="AD859" s="2" t="b">
        <f>LEN(_xlfn.CONCAT(TRACK_TYPES[[#This Row],[TRACK_TYPE_STANDARD_GAUGE_RAILTYPE_OHLE]:[TRACK_TYPE_MTRO]]))&gt;0</f>
        <v>1</v>
      </c>
      <c r="AE859" s="38" t="b" cm="1">
        <f t="array" ref="AE859">IFERROR(_xlfn.BYROW(TRACK_TYPES[[#This Row],[TRACK_TYPE_STANDARD_GAUGE_RAILTYPE_OHLE]:[TRACK_TYPE_STANDARD_GAUGE_RAILTYPE_NONE]],_xlfn.LAMBDA(_xlpm.r,OR(_xlpm.r))),FALSE)</f>
        <v>1</v>
      </c>
      <c r="AF859" s="38" t="b" cm="1">
        <f t="array" ref="AF859">IFERROR(_xlfn.BYROW(TRACK_TYPES[[#This Row],[TRACK_TYPE_NARROW_GAUGE_RAILTYPE_OHLE]:[TRACK_TYPE_NARROW_GAUGE_RAILTYPE_NONE]],_xlfn.LAMBDA(_xlpm.r,OR(_xlpm.r))),FALSE)</f>
        <v>0</v>
      </c>
      <c r="AG859" s="38" t="b" cm="1">
        <f t="array" ref="AG859">IFERROR(_xlfn.BYROW(TRACK_TYPES[[#This Row],[TRACK_TYPE_BROAD_GAUGE_RAILTYPE_OHLE]:[TRACK_TYPE_BROAD_GAUGE_RAILTYPE_NONE]],_xlfn.LAMBDA(_xlpm.r,OR(_xlpm.r))),FALSE)</f>
        <v>0</v>
      </c>
      <c r="AH8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0" spans="1:34" x14ac:dyDescent="0.35">
      <c r="A860" s="2" t="s">
        <v>3458</v>
      </c>
      <c r="B860" s="40" t="str">
        <f>_xlfn.XLOOKUP(PROPERTIES[[#This Row],[VEHIDCODE]],CONTROL[VEHIDCODE],CONTROL[ENGLISH])</f>
        <v>EMD JT42C 90-1277</v>
      </c>
      <c r="R860" s="2" t="b">
        <v>1</v>
      </c>
      <c r="AC860" s="2"/>
      <c r="AD860" s="2" t="b">
        <f>LEN(_xlfn.CONCAT(TRACK_TYPES[[#This Row],[TRACK_TYPE_STANDARD_GAUGE_RAILTYPE_OHLE]:[TRACK_TYPE_MTRO]]))&gt;0</f>
        <v>1</v>
      </c>
      <c r="AE860" s="38" t="b" cm="1">
        <f t="array" ref="AE860">IFERROR(_xlfn.BYROW(TRACK_TYPES[[#This Row],[TRACK_TYPE_STANDARD_GAUGE_RAILTYPE_OHLE]:[TRACK_TYPE_STANDARD_GAUGE_RAILTYPE_NONE]],_xlfn.LAMBDA(_xlpm.r,OR(_xlpm.r))),FALSE)</f>
        <v>0</v>
      </c>
      <c r="AF860" s="38" t="b" cm="1">
        <f t="array" ref="AF860">IFERROR(_xlfn.BYROW(TRACK_TYPES[[#This Row],[TRACK_TYPE_NARROW_GAUGE_RAILTYPE_OHLE]:[TRACK_TYPE_NARROW_GAUGE_RAILTYPE_NONE]],_xlfn.LAMBDA(_xlpm.r,OR(_xlpm.r))),FALSE)</f>
        <v>1</v>
      </c>
      <c r="AG860" s="38" t="b" cm="1">
        <f t="array" ref="AG860">IFERROR(_xlfn.BYROW(TRACK_TYPES[[#This Row],[TRACK_TYPE_BROAD_GAUGE_RAILTYPE_OHLE]:[TRACK_TYPE_BROAD_GAUGE_RAILTYPE_NONE]],_xlfn.LAMBDA(_xlpm.r,OR(_xlpm.r))),FALSE)</f>
        <v>0</v>
      </c>
      <c r="AH8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61" spans="1:34" x14ac:dyDescent="0.35">
      <c r="A861" s="2" t="s">
        <v>3321</v>
      </c>
      <c r="B861" s="40" t="str">
        <f>_xlfn.XLOOKUP(PROPERTIES[[#This Row],[VEHIDCODE]],CONTROL[VEHIDCODE],CONTROL[ENGLISH])</f>
        <v>EMD/Clyde JT42C</v>
      </c>
      <c r="J861" s="2" t="b">
        <v>1</v>
      </c>
      <c r="Z861" s="2" t="b">
        <v>1</v>
      </c>
      <c r="AC861" s="2"/>
      <c r="AD861" s="2" t="b">
        <f>LEN(_xlfn.CONCAT(TRACK_TYPES[[#This Row],[TRACK_TYPE_STANDARD_GAUGE_RAILTYPE_OHLE]:[TRACK_TYPE_MTRO]]))&gt;0</f>
        <v>1</v>
      </c>
      <c r="AE861" s="38" t="b" cm="1">
        <f t="array" ref="AE861">IFERROR(_xlfn.BYROW(TRACK_TYPES[[#This Row],[TRACK_TYPE_STANDARD_GAUGE_RAILTYPE_OHLE]:[TRACK_TYPE_STANDARD_GAUGE_RAILTYPE_NONE]],_xlfn.LAMBDA(_xlpm.r,OR(_xlpm.r))),FALSE)</f>
        <v>1</v>
      </c>
      <c r="AF861" s="38" t="b" cm="1">
        <f t="array" ref="AF861">IFERROR(_xlfn.BYROW(TRACK_TYPES[[#This Row],[TRACK_TYPE_NARROW_GAUGE_RAILTYPE_OHLE]:[TRACK_TYPE_NARROW_GAUGE_RAILTYPE_NONE]],_xlfn.LAMBDA(_xlpm.r,OR(_xlpm.r))),FALSE)</f>
        <v>0</v>
      </c>
      <c r="AG861" s="38" t="b" cm="1">
        <f t="array" ref="AG861">IFERROR(_xlfn.BYROW(TRACK_TYPES[[#This Row],[TRACK_TYPE_BROAD_GAUGE_RAILTYPE_OHLE]:[TRACK_TYPE_BROAD_GAUGE_RAILTYPE_NONE]],_xlfn.LAMBDA(_xlpm.r,OR(_xlpm.r))),FALSE)</f>
        <v>1</v>
      </c>
      <c r="AH8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2" spans="1:34" x14ac:dyDescent="0.35">
      <c r="A862" s="2" t="s">
        <v>3459</v>
      </c>
      <c r="B862" s="40" t="str">
        <f>_xlfn.XLOOKUP(PROPERTIES[[#This Row],[VEHIDCODE]],CONTROL[VEHIDCODE],CONTROL[ENGLISH])</f>
        <v>EMD/Clyde ML2</v>
      </c>
      <c r="J862" s="2" t="b">
        <v>1</v>
      </c>
      <c r="AC862" s="2"/>
      <c r="AD862" s="2" t="b">
        <f>LEN(_xlfn.CONCAT(TRACK_TYPES[[#This Row],[TRACK_TYPE_STANDARD_GAUGE_RAILTYPE_OHLE]:[TRACK_TYPE_MTRO]]))&gt;0</f>
        <v>1</v>
      </c>
      <c r="AE862" s="38" t="b" cm="1">
        <f t="array" ref="AE862">IFERROR(_xlfn.BYROW(TRACK_TYPES[[#This Row],[TRACK_TYPE_STANDARD_GAUGE_RAILTYPE_OHLE]:[TRACK_TYPE_STANDARD_GAUGE_RAILTYPE_NONE]],_xlfn.LAMBDA(_xlpm.r,OR(_xlpm.r))),FALSE)</f>
        <v>1</v>
      </c>
      <c r="AF862" s="38" t="b" cm="1">
        <f t="array" ref="AF862">IFERROR(_xlfn.BYROW(TRACK_TYPES[[#This Row],[TRACK_TYPE_NARROW_GAUGE_RAILTYPE_OHLE]:[TRACK_TYPE_NARROW_GAUGE_RAILTYPE_NONE]],_xlfn.LAMBDA(_xlpm.r,OR(_xlpm.r))),FALSE)</f>
        <v>0</v>
      </c>
      <c r="AG862" s="38" t="b" cm="1">
        <f t="array" ref="AG862">IFERROR(_xlfn.BYROW(TRACK_TYPES[[#This Row],[TRACK_TYPE_BROAD_GAUGE_RAILTYPE_OHLE]:[TRACK_TYPE_BROAD_GAUGE_RAILTYPE_NONE]],_xlfn.LAMBDA(_xlpm.r,OR(_xlpm.r))),FALSE)</f>
        <v>0</v>
      </c>
      <c r="AH8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3" spans="1:34" x14ac:dyDescent="0.35">
      <c r="A863" s="2" t="s">
        <v>3322</v>
      </c>
      <c r="B863" s="40" t="str">
        <f>_xlfn.XLOOKUP(PROPERTIES[[#This Row],[VEHIDCODE]],CONTROL[VEHIDCODE],CONTROL[ENGLISH])</f>
        <v>EMD/Clyde G16C X1</v>
      </c>
      <c r="J863" s="2" t="b">
        <v>1</v>
      </c>
      <c r="Z863" s="2" t="b">
        <v>1</v>
      </c>
      <c r="AC863" s="2"/>
      <c r="AD863" s="2" t="b">
        <f>LEN(_xlfn.CONCAT(TRACK_TYPES[[#This Row],[TRACK_TYPE_STANDARD_GAUGE_RAILTYPE_OHLE]:[TRACK_TYPE_MTRO]]))&gt;0</f>
        <v>1</v>
      </c>
      <c r="AE863" s="38" t="b" cm="1">
        <f t="array" ref="AE863">IFERROR(_xlfn.BYROW(TRACK_TYPES[[#This Row],[TRACK_TYPE_STANDARD_GAUGE_RAILTYPE_OHLE]:[TRACK_TYPE_STANDARD_GAUGE_RAILTYPE_NONE]],_xlfn.LAMBDA(_xlpm.r,OR(_xlpm.r))),FALSE)</f>
        <v>1</v>
      </c>
      <c r="AF863" s="38" t="b" cm="1">
        <f t="array" ref="AF863">IFERROR(_xlfn.BYROW(TRACK_TYPES[[#This Row],[TRACK_TYPE_NARROW_GAUGE_RAILTYPE_OHLE]:[TRACK_TYPE_NARROW_GAUGE_RAILTYPE_NONE]],_xlfn.LAMBDA(_xlpm.r,OR(_xlpm.r))),FALSE)</f>
        <v>0</v>
      </c>
      <c r="AG863" s="38" t="b" cm="1">
        <f t="array" ref="AG863">IFERROR(_xlfn.BYROW(TRACK_TYPES[[#This Row],[TRACK_TYPE_BROAD_GAUGE_RAILTYPE_OHLE]:[TRACK_TYPE_BROAD_GAUGE_RAILTYPE_NONE]],_xlfn.LAMBDA(_xlpm.r,OR(_xlpm.r))),FALSE)</f>
        <v>1</v>
      </c>
      <c r="AH8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4" spans="1:34" x14ac:dyDescent="0.35">
      <c r="A864" s="2" t="s">
        <v>3323</v>
      </c>
      <c r="B864" s="40" t="str">
        <f>_xlfn.XLOOKUP(PROPERTIES[[#This Row],[VEHIDCODE]],CONTROL[VEHIDCODE],CONTROL[ENGLISH])</f>
        <v>EMD/Clyde G26C X2</v>
      </c>
      <c r="J864" s="2" t="b">
        <v>1</v>
      </c>
      <c r="Z864" s="2" t="b">
        <v>1</v>
      </c>
      <c r="AC864" s="2"/>
      <c r="AD864" s="2" t="b">
        <f>LEN(_xlfn.CONCAT(TRACK_TYPES[[#This Row],[TRACK_TYPE_STANDARD_GAUGE_RAILTYPE_OHLE]:[TRACK_TYPE_MTRO]]))&gt;0</f>
        <v>1</v>
      </c>
      <c r="AE864" s="38" t="b" cm="1">
        <f t="array" ref="AE864">IFERROR(_xlfn.BYROW(TRACK_TYPES[[#This Row],[TRACK_TYPE_STANDARD_GAUGE_RAILTYPE_OHLE]:[TRACK_TYPE_STANDARD_GAUGE_RAILTYPE_NONE]],_xlfn.LAMBDA(_xlpm.r,OR(_xlpm.r))),FALSE)</f>
        <v>1</v>
      </c>
      <c r="AF864" s="38" t="b" cm="1">
        <f t="array" ref="AF864">IFERROR(_xlfn.BYROW(TRACK_TYPES[[#This Row],[TRACK_TYPE_NARROW_GAUGE_RAILTYPE_OHLE]:[TRACK_TYPE_NARROW_GAUGE_RAILTYPE_NONE]],_xlfn.LAMBDA(_xlpm.r,OR(_xlpm.r))),FALSE)</f>
        <v>0</v>
      </c>
      <c r="AG864" s="38" t="b" cm="1">
        <f t="array" ref="AG864">IFERROR(_xlfn.BYROW(TRACK_TYPES[[#This Row],[TRACK_TYPE_BROAD_GAUGE_RAILTYPE_OHLE]:[TRACK_TYPE_BROAD_GAUGE_RAILTYPE_NONE]],_xlfn.LAMBDA(_xlpm.r,OR(_xlpm.r))),FALSE)</f>
        <v>1</v>
      </c>
      <c r="AH8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5" spans="1:34" x14ac:dyDescent="0.35">
      <c r="A865" s="2" t="s">
        <v>3324</v>
      </c>
      <c r="B865" s="40" t="str">
        <f>_xlfn.XLOOKUP(PROPERTIES[[#This Row],[VEHIDCODE]],CONTROL[VEHIDCODE],CONTROL[ENGLISH])</f>
        <v>EMD/Clyde G26C X3</v>
      </c>
      <c r="J865" s="2" t="b">
        <v>1</v>
      </c>
      <c r="Z865" s="2" t="b">
        <v>1</v>
      </c>
      <c r="AC865" s="2"/>
      <c r="AD865" s="2" t="b">
        <f>LEN(_xlfn.CONCAT(TRACK_TYPES[[#This Row],[TRACK_TYPE_STANDARD_GAUGE_RAILTYPE_OHLE]:[TRACK_TYPE_MTRO]]))&gt;0</f>
        <v>1</v>
      </c>
      <c r="AE865" s="38" t="b" cm="1">
        <f t="array" ref="AE865">IFERROR(_xlfn.BYROW(TRACK_TYPES[[#This Row],[TRACK_TYPE_STANDARD_GAUGE_RAILTYPE_OHLE]:[TRACK_TYPE_STANDARD_GAUGE_RAILTYPE_NONE]],_xlfn.LAMBDA(_xlpm.r,OR(_xlpm.r))),FALSE)</f>
        <v>1</v>
      </c>
      <c r="AF865" s="38" t="b" cm="1">
        <f t="array" ref="AF865">IFERROR(_xlfn.BYROW(TRACK_TYPES[[#This Row],[TRACK_TYPE_NARROW_GAUGE_RAILTYPE_OHLE]:[TRACK_TYPE_NARROW_GAUGE_RAILTYPE_NONE]],_xlfn.LAMBDA(_xlpm.r,OR(_xlpm.r))),FALSE)</f>
        <v>0</v>
      </c>
      <c r="AG865" s="38" t="b" cm="1">
        <f t="array" ref="AG865">IFERROR(_xlfn.BYROW(TRACK_TYPES[[#This Row],[TRACK_TYPE_BROAD_GAUGE_RAILTYPE_OHLE]:[TRACK_TYPE_BROAD_GAUGE_RAILTYPE_NONE]],_xlfn.LAMBDA(_xlpm.r,OR(_xlpm.r))),FALSE)</f>
        <v>1</v>
      </c>
      <c r="AH8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6" spans="1:34" x14ac:dyDescent="0.35">
      <c r="A866" s="2" t="s">
        <v>3325</v>
      </c>
      <c r="B866" s="40" t="str">
        <f>_xlfn.XLOOKUP(PROPERTIES[[#This Row],[VEHIDCODE]],CONTROL[VEHIDCODE],CONTROL[ENGLISH])</f>
        <v>ALCO/Comeng CE615A</v>
      </c>
      <c r="J866" s="2" t="b">
        <v>1</v>
      </c>
      <c r="AC866" s="2"/>
      <c r="AD866" s="2" t="b">
        <f>LEN(_xlfn.CONCAT(TRACK_TYPES[[#This Row],[TRACK_TYPE_STANDARD_GAUGE_RAILTYPE_OHLE]:[TRACK_TYPE_MTRO]]))&gt;0</f>
        <v>1</v>
      </c>
      <c r="AE866" s="38" t="b" cm="1">
        <f t="array" ref="AE866">IFERROR(_xlfn.BYROW(TRACK_TYPES[[#This Row],[TRACK_TYPE_STANDARD_GAUGE_RAILTYPE_OHLE]:[TRACK_TYPE_STANDARD_GAUGE_RAILTYPE_NONE]],_xlfn.LAMBDA(_xlpm.r,OR(_xlpm.r))),FALSE)</f>
        <v>1</v>
      </c>
      <c r="AF866" s="38" t="b" cm="1">
        <f t="array" ref="AF866">IFERROR(_xlfn.BYROW(TRACK_TYPES[[#This Row],[TRACK_TYPE_NARROW_GAUGE_RAILTYPE_OHLE]:[TRACK_TYPE_NARROW_GAUGE_RAILTYPE_NONE]],_xlfn.LAMBDA(_xlpm.r,OR(_xlpm.r))),FALSE)</f>
        <v>0</v>
      </c>
      <c r="AG866" s="38" t="b" cm="1">
        <f t="array" ref="AG866">IFERROR(_xlfn.BYROW(TRACK_TYPES[[#This Row],[TRACK_TYPE_BROAD_GAUGE_RAILTYPE_OHLE]:[TRACK_TYPE_BROAD_GAUGE_RAILTYPE_NONE]],_xlfn.LAMBDA(_xlpm.r,OR(_xlpm.r))),FALSE)</f>
        <v>0</v>
      </c>
      <c r="AH8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7" spans="1:34" x14ac:dyDescent="0.35">
      <c r="A867" t="s">
        <v>3326</v>
      </c>
      <c r="B867" s="40" t="str">
        <f>_xlfn.XLOOKUP(PROPERTIES[[#This Row],[VEHIDCODE]],CONTROL[VEHIDCODE],CONTROL[ENGLISH])</f>
        <v>Comeng Class 85</v>
      </c>
      <c r="G867" t="b">
        <v>1</v>
      </c>
      <c r="AC867" s="2"/>
      <c r="AD867" s="2" t="b">
        <f>LEN(_xlfn.CONCAT(TRACK_TYPES[[#This Row],[TRACK_TYPE_STANDARD_GAUGE_RAILTYPE_OHLE]:[TRACK_TYPE_MTRO]]))&gt;0</f>
        <v>1</v>
      </c>
      <c r="AE867" s="38" t="b" cm="1">
        <f t="array" ref="AE867">IFERROR(_xlfn.BYROW(TRACK_TYPES[[#This Row],[TRACK_TYPE_STANDARD_GAUGE_RAILTYPE_OHLE]:[TRACK_TYPE_STANDARD_GAUGE_RAILTYPE_NONE]],_xlfn.LAMBDA(_xlpm.r,OR(_xlpm.r))),FALSE)</f>
        <v>1</v>
      </c>
      <c r="AF867" s="38" t="b" cm="1">
        <f t="array" ref="AF867">IFERROR(_xlfn.BYROW(TRACK_TYPES[[#This Row],[TRACK_TYPE_NARROW_GAUGE_RAILTYPE_OHLE]:[TRACK_TYPE_NARROW_GAUGE_RAILTYPE_NONE]],_xlfn.LAMBDA(_xlpm.r,OR(_xlpm.r))),FALSE)</f>
        <v>0</v>
      </c>
      <c r="AG867" s="38" t="b" cm="1">
        <f t="array" ref="AG867">IFERROR(_xlfn.BYROW(TRACK_TYPES[[#This Row],[TRACK_TYPE_BROAD_GAUGE_RAILTYPE_OHLE]:[TRACK_TYPE_BROAD_GAUGE_RAILTYPE_NONE]],_xlfn.LAMBDA(_xlpm.r,OR(_xlpm.r))),FALSE)</f>
        <v>0</v>
      </c>
      <c r="AH8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8" spans="1:34" x14ac:dyDescent="0.35">
      <c r="A868" s="2" t="s">
        <v>3327</v>
      </c>
      <c r="B868" s="40" t="str">
        <f>_xlfn.XLOOKUP(PROPERTIES[[#This Row],[VEHIDCODE]],CONTROL[VEHIDCODE],CONTROL[ENGLISH])</f>
        <v>Comeng Maldon-Dombarton '8650'</v>
      </c>
      <c r="D868" t="b">
        <v>1</v>
      </c>
      <c r="AC868" s="2"/>
      <c r="AD868" s="2" t="b">
        <f>LEN(_xlfn.CONCAT(TRACK_TYPES[[#This Row],[TRACK_TYPE_STANDARD_GAUGE_RAILTYPE_OHLE]:[TRACK_TYPE_MTRO]]))&gt;0</f>
        <v>1</v>
      </c>
      <c r="AE868" s="38" t="b" cm="1">
        <f t="array" ref="AE868">IFERROR(_xlfn.BYROW(TRACK_TYPES[[#This Row],[TRACK_TYPE_STANDARD_GAUGE_RAILTYPE_OHLE]:[TRACK_TYPE_STANDARD_GAUGE_RAILTYPE_NONE]],_xlfn.LAMBDA(_xlpm.r,OR(_xlpm.r))),FALSE)</f>
        <v>1</v>
      </c>
      <c r="AF868" s="38" t="b" cm="1">
        <f t="array" ref="AF868">IFERROR(_xlfn.BYROW(TRACK_TYPES[[#This Row],[TRACK_TYPE_NARROW_GAUGE_RAILTYPE_OHLE]:[TRACK_TYPE_NARROW_GAUGE_RAILTYPE_NONE]],_xlfn.LAMBDA(_xlpm.r,OR(_xlpm.r))),FALSE)</f>
        <v>0</v>
      </c>
      <c r="AG868" s="38" t="b" cm="1">
        <f t="array" ref="AG868">IFERROR(_xlfn.BYROW(TRACK_TYPES[[#This Row],[TRACK_TYPE_BROAD_GAUGE_RAILTYPE_OHLE]:[TRACK_TYPE_BROAD_GAUGE_RAILTYPE_NONE]],_xlfn.LAMBDA(_xlpm.r,OR(_xlpm.r))),FALSE)</f>
        <v>0</v>
      </c>
      <c r="AH8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9" spans="1:34" x14ac:dyDescent="0.35">
      <c r="A869" s="2" t="s">
        <v>3328</v>
      </c>
      <c r="B869" s="40" t="str">
        <f>_xlfn.XLOOKUP(PROPERTIES[[#This Row],[VEHIDCODE]],CONTROL[VEHIDCODE],CONTROL[ENGLISH])</f>
        <v>EMD/NOHAB J30C-2DSB MZ III</v>
      </c>
      <c r="J869" s="2" t="b">
        <v>1</v>
      </c>
      <c r="AC869" s="2"/>
      <c r="AD869" s="2" t="b">
        <f>LEN(_xlfn.CONCAT(TRACK_TYPES[[#This Row],[TRACK_TYPE_STANDARD_GAUGE_RAILTYPE_OHLE]:[TRACK_TYPE_MTRO]]))&gt;0</f>
        <v>1</v>
      </c>
      <c r="AE869" s="38" t="b" cm="1">
        <f t="array" ref="AE869">IFERROR(_xlfn.BYROW(TRACK_TYPES[[#This Row],[TRACK_TYPE_STANDARD_GAUGE_RAILTYPE_OHLE]:[TRACK_TYPE_STANDARD_GAUGE_RAILTYPE_NONE]],_xlfn.LAMBDA(_xlpm.r,OR(_xlpm.r))),FALSE)</f>
        <v>1</v>
      </c>
      <c r="AF869" s="38" t="b" cm="1">
        <f t="array" ref="AF869">IFERROR(_xlfn.BYROW(TRACK_TYPES[[#This Row],[TRACK_TYPE_NARROW_GAUGE_RAILTYPE_OHLE]:[TRACK_TYPE_NARROW_GAUGE_RAILTYPE_NONE]],_xlfn.LAMBDA(_xlpm.r,OR(_xlpm.r))),FALSE)</f>
        <v>0</v>
      </c>
      <c r="AG869" s="38" t="b" cm="1">
        <f t="array" ref="AG869">IFERROR(_xlfn.BYROW(TRACK_TYPES[[#This Row],[TRACK_TYPE_BROAD_GAUGE_RAILTYPE_OHLE]:[TRACK_TYPE_BROAD_GAUGE_RAILTYPE_NONE]],_xlfn.LAMBDA(_xlpm.r,OR(_xlpm.r))),FALSE)</f>
        <v>0</v>
      </c>
      <c r="AH8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0" spans="1:34" x14ac:dyDescent="0.35">
      <c r="A870" s="2" t="s">
        <v>3329</v>
      </c>
      <c r="B870" s="40" t="str">
        <f>_xlfn.XLOOKUP(PROPERTIES[[#This Row],[VEHIDCODE]],CONTROL[VEHIDCODE],CONTROL[ENGLISH])</f>
        <v>EMD/Clyde AT26C 'Twin 16-645'</v>
      </c>
      <c r="J870" s="2" t="b">
        <v>1</v>
      </c>
      <c r="AC870" s="2"/>
      <c r="AD870" s="2" t="b">
        <f>LEN(_xlfn.CONCAT(TRACK_TYPES[[#This Row],[TRACK_TYPE_STANDARD_GAUGE_RAILTYPE_OHLE]:[TRACK_TYPE_MTRO]]))&gt;0</f>
        <v>1</v>
      </c>
      <c r="AE870" s="38" t="b" cm="1">
        <f t="array" ref="AE870">IFERROR(_xlfn.BYROW(TRACK_TYPES[[#This Row],[TRACK_TYPE_STANDARD_GAUGE_RAILTYPE_OHLE]:[TRACK_TYPE_STANDARD_GAUGE_RAILTYPE_NONE]],_xlfn.LAMBDA(_xlpm.r,OR(_xlpm.r))),FALSE)</f>
        <v>1</v>
      </c>
      <c r="AF870" s="38" t="b" cm="1">
        <f t="array" ref="AF870">IFERROR(_xlfn.BYROW(TRACK_TYPES[[#This Row],[TRACK_TYPE_NARROW_GAUGE_RAILTYPE_OHLE]:[TRACK_TYPE_NARROW_GAUGE_RAILTYPE_NONE]],_xlfn.LAMBDA(_xlpm.r,OR(_xlpm.r))),FALSE)</f>
        <v>0</v>
      </c>
      <c r="AG870" s="38" t="b" cm="1">
        <f t="array" ref="AG870">IFERROR(_xlfn.BYROW(TRACK_TYPES[[#This Row],[TRACK_TYPE_BROAD_GAUGE_RAILTYPE_OHLE]:[TRACK_TYPE_BROAD_GAUGE_RAILTYPE_NONE]],_xlfn.LAMBDA(_xlpm.r,OR(_xlpm.r))),FALSE)</f>
        <v>0</v>
      </c>
      <c r="AH8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1" spans="1:34" x14ac:dyDescent="0.35">
      <c r="A871" s="2" t="s">
        <v>3460</v>
      </c>
      <c r="B871" s="40" t="str">
        <f>_xlfn.XLOOKUP(PROPERTIES[[#This Row],[VEHIDCODE]],CONTROL[VEHIDCODE],CONTROL[ENGLISH])</f>
        <v>EMD/Clyde GL26C-2</v>
      </c>
      <c r="R871" s="2" t="b">
        <v>1</v>
      </c>
      <c r="AC871" s="2"/>
      <c r="AD871" s="2" t="b">
        <f>LEN(_xlfn.CONCAT(TRACK_TYPES[[#This Row],[TRACK_TYPE_STANDARD_GAUGE_RAILTYPE_OHLE]:[TRACK_TYPE_MTRO]]))&gt;0</f>
        <v>1</v>
      </c>
      <c r="AE871" s="38" t="b" cm="1">
        <f t="array" ref="AE871">IFERROR(_xlfn.BYROW(TRACK_TYPES[[#This Row],[TRACK_TYPE_STANDARD_GAUGE_RAILTYPE_OHLE]:[TRACK_TYPE_STANDARD_GAUGE_RAILTYPE_NONE]],_xlfn.LAMBDA(_xlpm.r,OR(_xlpm.r))),FALSE)</f>
        <v>0</v>
      </c>
      <c r="AF871" s="38" t="b" cm="1">
        <f t="array" ref="AF871">IFERROR(_xlfn.BYROW(TRACK_TYPES[[#This Row],[TRACK_TYPE_NARROW_GAUGE_RAILTYPE_OHLE]:[TRACK_TYPE_NARROW_GAUGE_RAILTYPE_NONE]],_xlfn.LAMBDA(_xlpm.r,OR(_xlpm.r))),FALSE)</f>
        <v>1</v>
      </c>
      <c r="AG871" s="38" t="b" cm="1">
        <f t="array" ref="AG871">IFERROR(_xlfn.BYROW(TRACK_TYPES[[#This Row],[TRACK_TYPE_BROAD_GAUGE_RAILTYPE_OHLE]:[TRACK_TYPE_BROAD_GAUGE_RAILTYPE_NONE]],_xlfn.LAMBDA(_xlpm.r,OR(_xlpm.r))),FALSE)</f>
        <v>0</v>
      </c>
      <c r="AH8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72" spans="1:34" x14ac:dyDescent="0.35">
      <c r="A872" s="2" t="s">
        <v>3330</v>
      </c>
      <c r="B872" s="40" t="str">
        <f>_xlfn.XLOOKUP(PROPERTIES[[#This Row],[VEHIDCODE]],CONTROL[VEHIDCODE],CONTROL[ENGLISH])</f>
        <v xml:space="preserve">EEC A.249 </v>
      </c>
      <c r="R872" s="2" t="b">
        <v>1</v>
      </c>
      <c r="AC872" s="2"/>
      <c r="AD872" s="2" t="b">
        <f>LEN(_xlfn.CONCAT(TRACK_TYPES[[#This Row],[TRACK_TYPE_STANDARD_GAUGE_RAILTYPE_OHLE]:[TRACK_TYPE_MTRO]]))&gt;0</f>
        <v>1</v>
      </c>
      <c r="AE872" s="38" t="b" cm="1">
        <f t="array" ref="AE872">IFERROR(_xlfn.BYROW(TRACK_TYPES[[#This Row],[TRACK_TYPE_STANDARD_GAUGE_RAILTYPE_OHLE]:[TRACK_TYPE_STANDARD_GAUGE_RAILTYPE_NONE]],_xlfn.LAMBDA(_xlpm.r,OR(_xlpm.r))),FALSE)</f>
        <v>0</v>
      </c>
      <c r="AF872" s="38" t="b" cm="1">
        <f t="array" ref="AF872">IFERROR(_xlfn.BYROW(TRACK_TYPES[[#This Row],[TRACK_TYPE_NARROW_GAUGE_RAILTYPE_OHLE]:[TRACK_TYPE_NARROW_GAUGE_RAILTYPE_NONE]],_xlfn.LAMBDA(_xlpm.r,OR(_xlpm.r))),FALSE)</f>
        <v>1</v>
      </c>
      <c r="AG872" s="38" t="b" cm="1">
        <f t="array" ref="AG872">IFERROR(_xlfn.BYROW(TRACK_TYPES[[#This Row],[TRACK_TYPE_BROAD_GAUGE_RAILTYPE_OHLE]:[TRACK_TYPE_BROAD_GAUGE_RAILTYPE_NONE]],_xlfn.LAMBDA(_xlpm.r,OR(_xlpm.r))),FALSE)</f>
        <v>0</v>
      </c>
      <c r="AH8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73" spans="1:34" x14ac:dyDescent="0.35">
      <c r="A873" s="2" t="s">
        <v>3331</v>
      </c>
      <c r="B873" s="40" t="str">
        <f>_xlfn.XLOOKUP(PROPERTIES[[#This Row],[VEHIDCODE]],CONTROL[VEHIDCODE],CONTROL[ENGLISH])</f>
        <v>EEC A.253</v>
      </c>
      <c r="R873" s="2" t="b">
        <v>1</v>
      </c>
      <c r="AC873" s="2"/>
      <c r="AD873" s="2" t="b">
        <f>LEN(_xlfn.CONCAT(TRACK_TYPES[[#This Row],[TRACK_TYPE_STANDARD_GAUGE_RAILTYPE_OHLE]:[TRACK_TYPE_MTRO]]))&gt;0</f>
        <v>1</v>
      </c>
      <c r="AE873" s="38" t="b" cm="1">
        <f t="array" ref="AE873">IFERROR(_xlfn.BYROW(TRACK_TYPES[[#This Row],[TRACK_TYPE_STANDARD_GAUGE_RAILTYPE_OHLE]:[TRACK_TYPE_STANDARD_GAUGE_RAILTYPE_NONE]],_xlfn.LAMBDA(_xlpm.r,OR(_xlpm.r))),FALSE)</f>
        <v>0</v>
      </c>
      <c r="AF873" s="38" t="b" cm="1">
        <f t="array" ref="AF873">IFERROR(_xlfn.BYROW(TRACK_TYPES[[#This Row],[TRACK_TYPE_NARROW_GAUGE_RAILTYPE_OHLE]:[TRACK_TYPE_NARROW_GAUGE_RAILTYPE_NONE]],_xlfn.LAMBDA(_xlpm.r,OR(_xlpm.r))),FALSE)</f>
        <v>1</v>
      </c>
      <c r="AG873" s="38" t="b" cm="1">
        <f t="array" ref="AG873">IFERROR(_xlfn.BYROW(TRACK_TYPES[[#This Row],[TRACK_TYPE_BROAD_GAUGE_RAILTYPE_OHLE]:[TRACK_TYPE_BROAD_GAUGE_RAILTYPE_NONE]],_xlfn.LAMBDA(_xlpm.r,OR(_xlpm.r))),FALSE)</f>
        <v>0</v>
      </c>
      <c r="AH8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74" spans="1:34" x14ac:dyDescent="0.35">
      <c r="A874" s="2" t="s">
        <v>3332</v>
      </c>
      <c r="B874" s="40" t="str">
        <f>_xlfn.XLOOKUP(PROPERTIES[[#This Row],[VEHIDCODE]],CONTROL[VEHIDCODE],CONTROL[ENGLISH])</f>
        <v>GE U26C</v>
      </c>
      <c r="J874" s="2" t="b">
        <v>1</v>
      </c>
      <c r="R874" s="2" t="b">
        <v>1</v>
      </c>
      <c r="AC874" s="2"/>
      <c r="AD874" s="2" t="b">
        <f>LEN(_xlfn.CONCAT(TRACK_TYPES[[#This Row],[TRACK_TYPE_STANDARD_GAUGE_RAILTYPE_OHLE]:[TRACK_TYPE_MTRO]]))&gt;0</f>
        <v>1</v>
      </c>
      <c r="AE874" s="38" t="b" cm="1">
        <f t="array" ref="AE874">IFERROR(_xlfn.BYROW(TRACK_TYPES[[#This Row],[TRACK_TYPE_STANDARD_GAUGE_RAILTYPE_OHLE]:[TRACK_TYPE_STANDARD_GAUGE_RAILTYPE_NONE]],_xlfn.LAMBDA(_xlpm.r,OR(_xlpm.r))),FALSE)</f>
        <v>1</v>
      </c>
      <c r="AF874" s="38" t="b" cm="1">
        <f t="array" ref="AF874">IFERROR(_xlfn.BYROW(TRACK_TYPES[[#This Row],[TRACK_TYPE_NARROW_GAUGE_RAILTYPE_OHLE]:[TRACK_TYPE_NARROW_GAUGE_RAILTYPE_NONE]],_xlfn.LAMBDA(_xlpm.r,OR(_xlpm.r))),FALSE)</f>
        <v>1</v>
      </c>
      <c r="AG874" s="38" t="b" cm="1">
        <f t="array" ref="AG874">IFERROR(_xlfn.BYROW(TRACK_TYPES[[#This Row],[TRACK_TYPE_BROAD_GAUGE_RAILTYPE_OHLE]:[TRACK_TYPE_BROAD_GAUGE_RAILTYPE_NONE]],_xlfn.LAMBDA(_xlpm.r,OR(_xlpm.r))),FALSE)</f>
        <v>0</v>
      </c>
      <c r="AH8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5" spans="1:34" x14ac:dyDescent="0.35">
      <c r="A875" s="2" t="s">
        <v>3333</v>
      </c>
      <c r="B875" s="40" t="str">
        <f>_xlfn.XLOOKUP(PROPERTIES[[#This Row],[VEHIDCODE]],CONTROL[VEHIDCODE],CONTROL[ENGLISH])</f>
        <v>Metrowick/BP 786</v>
      </c>
      <c r="D875" t="b">
        <v>1</v>
      </c>
      <c r="AC875" s="2"/>
      <c r="AD875" s="2" t="b">
        <f>LEN(_xlfn.CONCAT(TRACK_TYPES[[#This Row],[TRACK_TYPE_STANDARD_GAUGE_RAILTYPE_OHLE]:[TRACK_TYPE_MTRO]]))&gt;0</f>
        <v>1</v>
      </c>
      <c r="AE875" s="38" t="b" cm="1">
        <f t="array" ref="AE875">IFERROR(_xlfn.BYROW(TRACK_TYPES[[#This Row],[TRACK_TYPE_STANDARD_GAUGE_RAILTYPE_OHLE]:[TRACK_TYPE_STANDARD_GAUGE_RAILTYPE_NONE]],_xlfn.LAMBDA(_xlpm.r,OR(_xlpm.r))),FALSE)</f>
        <v>1</v>
      </c>
      <c r="AF875" s="38" t="b" cm="1">
        <f t="array" ref="AF875">IFERROR(_xlfn.BYROW(TRACK_TYPES[[#This Row],[TRACK_TYPE_NARROW_GAUGE_RAILTYPE_OHLE]:[TRACK_TYPE_NARROW_GAUGE_RAILTYPE_NONE]],_xlfn.LAMBDA(_xlpm.r,OR(_xlpm.r))),FALSE)</f>
        <v>0</v>
      </c>
      <c r="AG875" s="38" t="b" cm="1">
        <f t="array" ref="AG875">IFERROR(_xlfn.BYROW(TRACK_TYPES[[#This Row],[TRACK_TYPE_BROAD_GAUGE_RAILTYPE_OHLE]:[TRACK_TYPE_BROAD_GAUGE_RAILTYPE_NONE]],_xlfn.LAMBDA(_xlpm.r,OR(_xlpm.r))),FALSE)</f>
        <v>0</v>
      </c>
      <c r="AH8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6" spans="1:34" x14ac:dyDescent="0.35">
      <c r="A876" s="2" t="s">
        <v>3334</v>
      </c>
      <c r="B876" s="40" t="str">
        <f>_xlfn.XLOOKUP(PROPERTIES[[#This Row],[VEHIDCODE]],CONTROL[VEHIDCODE],CONTROL[ENGLISH])</f>
        <v>ALCO RSC-3 77732</v>
      </c>
      <c r="J876" s="2" t="b">
        <v>1</v>
      </c>
      <c r="AC876" s="2"/>
      <c r="AD876" s="2" t="b">
        <f>LEN(_xlfn.CONCAT(TRACK_TYPES[[#This Row],[TRACK_TYPE_STANDARD_GAUGE_RAILTYPE_OHLE]:[TRACK_TYPE_MTRO]]))&gt;0</f>
        <v>1</v>
      </c>
      <c r="AE876" s="38" t="b" cm="1">
        <f t="array" ref="AE876">IFERROR(_xlfn.BYROW(TRACK_TYPES[[#This Row],[TRACK_TYPE_STANDARD_GAUGE_RAILTYPE_OHLE]:[TRACK_TYPE_STANDARD_GAUGE_RAILTYPE_NONE]],_xlfn.LAMBDA(_xlpm.r,OR(_xlpm.r))),FALSE)</f>
        <v>1</v>
      </c>
      <c r="AF876" s="38" t="b" cm="1">
        <f t="array" ref="AF876">IFERROR(_xlfn.BYROW(TRACK_TYPES[[#This Row],[TRACK_TYPE_NARROW_GAUGE_RAILTYPE_OHLE]:[TRACK_TYPE_NARROW_GAUGE_RAILTYPE_NONE]],_xlfn.LAMBDA(_xlpm.r,OR(_xlpm.r))),FALSE)</f>
        <v>0</v>
      </c>
      <c r="AG876" s="38" t="b" cm="1">
        <f t="array" ref="AG876">IFERROR(_xlfn.BYROW(TRACK_TYPES[[#This Row],[TRACK_TYPE_BROAD_GAUGE_RAILTYPE_OHLE]:[TRACK_TYPE_BROAD_GAUGE_RAILTYPE_NONE]],_xlfn.LAMBDA(_xlpm.r,OR(_xlpm.r))),FALSE)</f>
        <v>0</v>
      </c>
      <c r="AH8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7" spans="1:34" x14ac:dyDescent="0.35">
      <c r="A877" s="2" t="s">
        <v>3335</v>
      </c>
      <c r="B877" s="40" t="str">
        <f>_xlfn.XLOOKUP(PROPERTIES[[#This Row],[VEHIDCODE]],CONTROL[VEHIDCODE],CONTROL[ENGLISH])</f>
        <v>EMD/Clyde G8C</v>
      </c>
      <c r="J877" s="2" t="b">
        <v>1</v>
      </c>
      <c r="AC877" s="2"/>
      <c r="AD877" s="2" t="b">
        <f>LEN(_xlfn.CONCAT(TRACK_TYPES[[#This Row],[TRACK_TYPE_STANDARD_GAUGE_RAILTYPE_OHLE]:[TRACK_TYPE_MTRO]]))&gt;0</f>
        <v>1</v>
      </c>
      <c r="AE877" s="38" t="b" cm="1">
        <f t="array" ref="AE877">IFERROR(_xlfn.BYROW(TRACK_TYPES[[#This Row],[TRACK_TYPE_STANDARD_GAUGE_RAILTYPE_OHLE]:[TRACK_TYPE_STANDARD_GAUGE_RAILTYPE_NONE]],_xlfn.LAMBDA(_xlpm.r,OR(_xlpm.r))),FALSE)</f>
        <v>1</v>
      </c>
      <c r="AF877" s="38" t="b" cm="1">
        <f t="array" ref="AF877">IFERROR(_xlfn.BYROW(TRACK_TYPES[[#This Row],[TRACK_TYPE_NARROW_GAUGE_RAILTYPE_OHLE]:[TRACK_TYPE_NARROW_GAUGE_RAILTYPE_NONE]],_xlfn.LAMBDA(_xlpm.r,OR(_xlpm.r))),FALSE)</f>
        <v>0</v>
      </c>
      <c r="AG877" s="38" t="b" cm="1">
        <f t="array" ref="AG877">IFERROR(_xlfn.BYROW(TRACK_TYPES[[#This Row],[TRACK_TYPE_BROAD_GAUGE_RAILTYPE_OHLE]:[TRACK_TYPE_BROAD_GAUGE_RAILTYPE_NONE]],_xlfn.LAMBDA(_xlpm.r,OR(_xlpm.r))),FALSE)</f>
        <v>0</v>
      </c>
      <c r="AH8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8" spans="1:34" x14ac:dyDescent="0.35">
      <c r="A878" s="2" t="s">
        <v>3336</v>
      </c>
      <c r="B878" s="40" t="str">
        <f>_xlfn.XLOOKUP(PROPERTIES[[#This Row],[VEHIDCODE]],CONTROL[VEHIDCODE],CONTROL[ENGLISH])</f>
        <v>EMD/Clyde G12</v>
      </c>
      <c r="R878" s="2" t="b">
        <v>1</v>
      </c>
      <c r="AC878" s="2"/>
      <c r="AD878" s="2" t="b">
        <f>LEN(_xlfn.CONCAT(TRACK_TYPES[[#This Row],[TRACK_TYPE_STANDARD_GAUGE_RAILTYPE_OHLE]:[TRACK_TYPE_MTRO]]))&gt;0</f>
        <v>1</v>
      </c>
      <c r="AE878" s="38" t="b" cm="1">
        <f t="array" ref="AE878">IFERROR(_xlfn.BYROW(TRACK_TYPES[[#This Row],[TRACK_TYPE_STANDARD_GAUGE_RAILTYPE_OHLE]:[TRACK_TYPE_STANDARD_GAUGE_RAILTYPE_NONE]],_xlfn.LAMBDA(_xlpm.r,OR(_xlpm.r))),FALSE)</f>
        <v>0</v>
      </c>
      <c r="AF878" s="38" t="b" cm="1">
        <f t="array" ref="AF878">IFERROR(_xlfn.BYROW(TRACK_TYPES[[#This Row],[TRACK_TYPE_NARROW_GAUGE_RAILTYPE_OHLE]:[TRACK_TYPE_NARROW_GAUGE_RAILTYPE_NONE]],_xlfn.LAMBDA(_xlpm.r,OR(_xlpm.r))),FALSE)</f>
        <v>1</v>
      </c>
      <c r="AG878" s="38" t="b" cm="1">
        <f t="array" ref="AG878">IFERROR(_xlfn.BYROW(TRACK_TYPES[[#This Row],[TRACK_TYPE_BROAD_GAUGE_RAILTYPE_OHLE]:[TRACK_TYPE_BROAD_GAUGE_RAILTYPE_NONE]],_xlfn.LAMBDA(_xlpm.r,OR(_xlpm.r))),FALSE)</f>
        <v>0</v>
      </c>
      <c r="AH8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79" spans="1:34" x14ac:dyDescent="0.35">
      <c r="A879" s="2" t="s">
        <v>3337</v>
      </c>
      <c r="B879" s="40" t="str">
        <f>_xlfn.XLOOKUP(PROPERTIES[[#This Row],[VEHIDCODE]],CONTROL[VEHIDCODE],CONTROL[ENGLISH])</f>
        <v>EMD/Clyde G8</v>
      </c>
      <c r="R879" s="2" t="b">
        <v>1</v>
      </c>
      <c r="AC879" s="2"/>
      <c r="AD879" s="2" t="b">
        <f>LEN(_xlfn.CONCAT(TRACK_TYPES[[#This Row],[TRACK_TYPE_STANDARD_GAUGE_RAILTYPE_OHLE]:[TRACK_TYPE_MTRO]]))&gt;0</f>
        <v>1</v>
      </c>
      <c r="AE879" s="38" t="b" cm="1">
        <f t="array" ref="AE879">IFERROR(_xlfn.BYROW(TRACK_TYPES[[#This Row],[TRACK_TYPE_STANDARD_GAUGE_RAILTYPE_OHLE]:[TRACK_TYPE_STANDARD_GAUGE_RAILTYPE_NONE]],_xlfn.LAMBDA(_xlpm.r,OR(_xlpm.r))),FALSE)</f>
        <v>0</v>
      </c>
      <c r="AF879" s="38" t="b" cm="1">
        <f t="array" ref="AF879">IFERROR(_xlfn.BYROW(TRACK_TYPES[[#This Row],[TRACK_TYPE_NARROW_GAUGE_RAILTYPE_OHLE]:[TRACK_TYPE_NARROW_GAUGE_RAILTYPE_NONE]],_xlfn.LAMBDA(_xlpm.r,OR(_xlpm.r))),FALSE)</f>
        <v>1</v>
      </c>
      <c r="AG879" s="38" t="b" cm="1">
        <f t="array" ref="AG879">IFERROR(_xlfn.BYROW(TRACK_TYPES[[#This Row],[TRACK_TYPE_BROAD_GAUGE_RAILTYPE_OHLE]:[TRACK_TYPE_BROAD_GAUGE_RAILTYPE_NONE]],_xlfn.LAMBDA(_xlpm.r,OR(_xlpm.r))),FALSE)</f>
        <v>0</v>
      </c>
      <c r="AH8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80" spans="1:34" x14ac:dyDescent="0.35">
      <c r="A880" s="2" t="s">
        <v>3338</v>
      </c>
      <c r="B880" s="40" t="str">
        <f>_xlfn.XLOOKUP(PROPERTIES[[#This Row],[VEHIDCODE]],CONTROL[VEHIDCODE],CONTROL[ENGLISH])</f>
        <v>Goninan 47 Class</v>
      </c>
      <c r="J880" s="2" t="b">
        <v>1</v>
      </c>
      <c r="AC880" s="2"/>
      <c r="AD880" s="2" t="b">
        <f>LEN(_xlfn.CONCAT(TRACK_TYPES[[#This Row],[TRACK_TYPE_STANDARD_GAUGE_RAILTYPE_OHLE]:[TRACK_TYPE_MTRO]]))&gt;0</f>
        <v>1</v>
      </c>
      <c r="AE880" s="38" t="b" cm="1">
        <f t="array" ref="AE880">IFERROR(_xlfn.BYROW(TRACK_TYPES[[#This Row],[TRACK_TYPE_STANDARD_GAUGE_RAILTYPE_OHLE]:[TRACK_TYPE_STANDARD_GAUGE_RAILTYPE_NONE]],_xlfn.LAMBDA(_xlpm.r,OR(_xlpm.r))),FALSE)</f>
        <v>1</v>
      </c>
      <c r="AF880" s="38" t="b" cm="1">
        <f t="array" ref="AF880">IFERROR(_xlfn.BYROW(TRACK_TYPES[[#This Row],[TRACK_TYPE_NARROW_GAUGE_RAILTYPE_OHLE]:[TRACK_TYPE_NARROW_GAUGE_RAILTYPE_NONE]],_xlfn.LAMBDA(_xlpm.r,OR(_xlpm.r))),FALSE)</f>
        <v>0</v>
      </c>
      <c r="AG880" s="38" t="b" cm="1">
        <f t="array" ref="AG880">IFERROR(_xlfn.BYROW(TRACK_TYPES[[#This Row],[TRACK_TYPE_BROAD_GAUGE_RAILTYPE_OHLE]:[TRACK_TYPE_BROAD_GAUGE_RAILTYPE_NONE]],_xlfn.LAMBDA(_xlpm.r,OR(_xlpm.r))),FALSE)</f>
        <v>0</v>
      </c>
      <c r="AH8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81" spans="1:34" x14ac:dyDescent="0.35">
      <c r="A881" s="2" t="s">
        <v>3339</v>
      </c>
      <c r="B881" s="40" t="str">
        <f>_xlfn.XLOOKUP(PROPERTIES[[#This Row],[VEHIDCODE]],CONTROL[VEHIDCODE],CONTROL[ENGLISH])</f>
        <v>William Fairbairn 2-2-2 'Baroneza'</v>
      </c>
      <c r="Z881" s="2" t="b">
        <v>1</v>
      </c>
      <c r="AC881" s="2"/>
      <c r="AD881" s="2" t="b">
        <f>LEN(_xlfn.CONCAT(TRACK_TYPES[[#This Row],[TRACK_TYPE_STANDARD_GAUGE_RAILTYPE_OHLE]:[TRACK_TYPE_MTRO]]))&gt;0</f>
        <v>1</v>
      </c>
      <c r="AE881" s="38" t="b" cm="1">
        <f t="array" ref="AE881">IFERROR(_xlfn.BYROW(TRACK_TYPES[[#This Row],[TRACK_TYPE_STANDARD_GAUGE_RAILTYPE_OHLE]:[TRACK_TYPE_STANDARD_GAUGE_RAILTYPE_NONE]],_xlfn.LAMBDA(_xlpm.r,OR(_xlpm.r))),FALSE)</f>
        <v>0</v>
      </c>
      <c r="AF881" s="38" t="b" cm="1">
        <f t="array" ref="AF881">IFERROR(_xlfn.BYROW(TRACK_TYPES[[#This Row],[TRACK_TYPE_NARROW_GAUGE_RAILTYPE_OHLE]:[TRACK_TYPE_NARROW_GAUGE_RAILTYPE_NONE]],_xlfn.LAMBDA(_xlpm.r,OR(_xlpm.r))),FALSE)</f>
        <v>0</v>
      </c>
      <c r="AG881" s="38" t="b" cm="1">
        <f t="array" ref="AG881">IFERROR(_xlfn.BYROW(TRACK_TYPES[[#This Row],[TRACK_TYPE_BROAD_GAUGE_RAILTYPE_OHLE]:[TRACK_TYPE_BROAD_GAUGE_RAILTYPE_NONE]],_xlfn.LAMBDA(_xlpm.r,OR(_xlpm.r))),FALSE)</f>
        <v>1</v>
      </c>
      <c r="AH8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2" spans="1:34" x14ac:dyDescent="0.35">
      <c r="A882" s="2" t="s">
        <v>3340</v>
      </c>
      <c r="B882" s="40" t="str">
        <f>_xlfn.XLOOKUP(PROPERTIES[[#This Row],[VEHIDCODE]],CONTROL[VEHIDCODE],CONTROL[ENGLISH])</f>
        <v>Hunslet 0-4-0ST 'La Portena'</v>
      </c>
      <c r="Z882" s="2" t="b">
        <v>1</v>
      </c>
      <c r="AC882" s="2"/>
      <c r="AD882" s="2" t="b">
        <f>LEN(_xlfn.CONCAT(TRACK_TYPES[[#This Row],[TRACK_TYPE_STANDARD_GAUGE_RAILTYPE_OHLE]:[TRACK_TYPE_MTRO]]))&gt;0</f>
        <v>1</v>
      </c>
      <c r="AE882" s="38" t="b" cm="1">
        <f t="array" ref="AE882">IFERROR(_xlfn.BYROW(TRACK_TYPES[[#This Row],[TRACK_TYPE_STANDARD_GAUGE_RAILTYPE_OHLE]:[TRACK_TYPE_STANDARD_GAUGE_RAILTYPE_NONE]],_xlfn.LAMBDA(_xlpm.r,OR(_xlpm.r))),FALSE)</f>
        <v>0</v>
      </c>
      <c r="AF882" s="38" t="b" cm="1">
        <f t="array" ref="AF882">IFERROR(_xlfn.BYROW(TRACK_TYPES[[#This Row],[TRACK_TYPE_NARROW_GAUGE_RAILTYPE_OHLE]:[TRACK_TYPE_NARROW_GAUGE_RAILTYPE_NONE]],_xlfn.LAMBDA(_xlpm.r,OR(_xlpm.r))),FALSE)</f>
        <v>0</v>
      </c>
      <c r="AG882" s="38" t="b" cm="1">
        <f t="array" ref="AG882">IFERROR(_xlfn.BYROW(TRACK_TYPES[[#This Row],[TRACK_TYPE_BROAD_GAUGE_RAILTYPE_OHLE]:[TRACK_TYPE_BROAD_GAUGE_RAILTYPE_NONE]],_xlfn.LAMBDA(_xlpm.r,OR(_xlpm.r))),FALSE)</f>
        <v>1</v>
      </c>
      <c r="AH8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3" spans="1:34" x14ac:dyDescent="0.35">
      <c r="A883" s="2" t="s">
        <v>3341</v>
      </c>
      <c r="B883" s="40" t="str">
        <f>_xlfn.XLOOKUP(PROPERTIES[[#This Row],[VEHIDCODE]],CONTROL[VEHIDCODE],CONTROL[ENGLISH])</f>
        <v>Burnham 2-10-0 'Dom Pedro Segundo 119'</v>
      </c>
      <c r="Z883" s="2" t="b">
        <v>1</v>
      </c>
      <c r="AC883" s="2"/>
      <c r="AD883" s="2" t="b">
        <f>LEN(_xlfn.CONCAT(TRACK_TYPES[[#This Row],[TRACK_TYPE_STANDARD_GAUGE_RAILTYPE_OHLE]:[TRACK_TYPE_MTRO]]))&gt;0</f>
        <v>1</v>
      </c>
      <c r="AE883" s="38" t="b" cm="1">
        <f t="array" ref="AE883">IFERROR(_xlfn.BYROW(TRACK_TYPES[[#This Row],[TRACK_TYPE_STANDARD_GAUGE_RAILTYPE_OHLE]:[TRACK_TYPE_STANDARD_GAUGE_RAILTYPE_NONE]],_xlfn.LAMBDA(_xlpm.r,OR(_xlpm.r))),FALSE)</f>
        <v>0</v>
      </c>
      <c r="AF883" s="38" t="b" cm="1">
        <f t="array" ref="AF883">IFERROR(_xlfn.BYROW(TRACK_TYPES[[#This Row],[TRACK_TYPE_NARROW_GAUGE_RAILTYPE_OHLE]:[TRACK_TYPE_NARROW_GAUGE_RAILTYPE_NONE]],_xlfn.LAMBDA(_xlpm.r,OR(_xlpm.r))),FALSE)</f>
        <v>0</v>
      </c>
      <c r="AG883" s="38" t="b" cm="1">
        <f t="array" ref="AG883">IFERROR(_xlfn.BYROW(TRACK_TYPES[[#This Row],[TRACK_TYPE_BROAD_GAUGE_RAILTYPE_OHLE]:[TRACK_TYPE_BROAD_GAUGE_RAILTYPE_NONE]],_xlfn.LAMBDA(_xlpm.r,OR(_xlpm.r))),FALSE)</f>
        <v>1</v>
      </c>
      <c r="AH8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4" spans="1:34" x14ac:dyDescent="0.35">
      <c r="A884" s="2" t="s">
        <v>3342</v>
      </c>
      <c r="B884" s="40" t="str">
        <f>_xlfn.XLOOKUP(PROPERTIES[[#This Row],[VEHIDCODE]],CONTROL[VEHIDCODE],CONTROL[ENGLISH])</f>
        <v>Baldwin 0-22C No8 'Monsefu'</v>
      </c>
      <c r="J884" s="2" t="b">
        <v>1</v>
      </c>
      <c r="AC884" s="2"/>
      <c r="AD884" s="2" t="b">
        <f>LEN(_xlfn.CONCAT(TRACK_TYPES[[#This Row],[TRACK_TYPE_STANDARD_GAUGE_RAILTYPE_OHLE]:[TRACK_TYPE_MTRO]]))&gt;0</f>
        <v>1</v>
      </c>
      <c r="AE884" s="38" t="b" cm="1">
        <f t="array" ref="AE884">IFERROR(_xlfn.BYROW(TRACK_TYPES[[#This Row],[TRACK_TYPE_STANDARD_GAUGE_RAILTYPE_OHLE]:[TRACK_TYPE_STANDARD_GAUGE_RAILTYPE_NONE]],_xlfn.LAMBDA(_xlpm.r,OR(_xlpm.r))),FALSE)</f>
        <v>1</v>
      </c>
      <c r="AF884" s="38" t="b" cm="1">
        <f t="array" ref="AF884">IFERROR(_xlfn.BYROW(TRACK_TYPES[[#This Row],[TRACK_TYPE_NARROW_GAUGE_RAILTYPE_OHLE]:[TRACK_TYPE_NARROW_GAUGE_RAILTYPE_NONE]],_xlfn.LAMBDA(_xlpm.r,OR(_xlpm.r))),FALSE)</f>
        <v>0</v>
      </c>
      <c r="AG884" s="38" t="b" cm="1">
        <f t="array" ref="AG884">IFERROR(_xlfn.BYROW(TRACK_TYPES[[#This Row],[TRACK_TYPE_BROAD_GAUGE_RAILTYPE_OHLE]:[TRACK_TYPE_BROAD_GAUGE_RAILTYPE_NONE]],_xlfn.LAMBDA(_xlpm.r,OR(_xlpm.r))),FALSE)</f>
        <v>0</v>
      </c>
      <c r="AH8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85" spans="1:34" x14ac:dyDescent="0.35">
      <c r="A885" s="2" t="s">
        <v>3343</v>
      </c>
      <c r="B885" s="40" t="str">
        <f>_xlfn.XLOOKUP(PROPERTIES[[#This Row],[VEHIDCODE]],CONTROL[VEHIDCODE],CONTROL[ENGLISH])</f>
        <v>North British 2-6-0 Q Class</v>
      </c>
      <c r="Z885" s="2" t="b">
        <v>1</v>
      </c>
      <c r="AC885" s="2"/>
      <c r="AD885" s="2" t="b">
        <f>LEN(_xlfn.CONCAT(TRACK_TYPES[[#This Row],[TRACK_TYPE_STANDARD_GAUGE_RAILTYPE_OHLE]:[TRACK_TYPE_MTRO]]))&gt;0</f>
        <v>1</v>
      </c>
      <c r="AE885" s="38" t="b" cm="1">
        <f t="array" ref="AE885">IFERROR(_xlfn.BYROW(TRACK_TYPES[[#This Row],[TRACK_TYPE_STANDARD_GAUGE_RAILTYPE_OHLE]:[TRACK_TYPE_STANDARD_GAUGE_RAILTYPE_NONE]],_xlfn.LAMBDA(_xlpm.r,OR(_xlpm.r))),FALSE)</f>
        <v>0</v>
      </c>
      <c r="AF885" s="38" t="b" cm="1">
        <f t="array" ref="AF885">IFERROR(_xlfn.BYROW(TRACK_TYPES[[#This Row],[TRACK_TYPE_NARROW_GAUGE_RAILTYPE_OHLE]:[TRACK_TYPE_NARROW_GAUGE_RAILTYPE_NONE]],_xlfn.LAMBDA(_xlpm.r,OR(_xlpm.r))),FALSE)</f>
        <v>0</v>
      </c>
      <c r="AG885" s="38" t="b" cm="1">
        <f t="array" ref="AG885">IFERROR(_xlfn.BYROW(TRACK_TYPES[[#This Row],[TRACK_TYPE_BROAD_GAUGE_RAILTYPE_OHLE]:[TRACK_TYPE_BROAD_GAUGE_RAILTYPE_NONE]],_xlfn.LAMBDA(_xlpm.r,OR(_xlpm.r))),FALSE)</f>
        <v>1</v>
      </c>
      <c r="AH8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6" spans="1:34" x14ac:dyDescent="0.35">
      <c r="A886" s="2" t="s">
        <v>3344</v>
      </c>
      <c r="B886" s="40" t="str">
        <f>_xlfn.XLOOKUP(PROPERTIES[[#This Row],[VEHIDCODE]],CONTROL[VEHIDCODE],CONTROL[ENGLISH])</f>
        <v>NBLC 4-6-2 PS10 Class</v>
      </c>
      <c r="Z886" s="2" t="b">
        <v>1</v>
      </c>
      <c r="AC886" s="2"/>
      <c r="AD886" s="2" t="b">
        <f>LEN(_xlfn.CONCAT(TRACK_TYPES[[#This Row],[TRACK_TYPE_STANDARD_GAUGE_RAILTYPE_OHLE]:[TRACK_TYPE_MTRO]]))&gt;0</f>
        <v>1</v>
      </c>
      <c r="AE886" s="38" t="b" cm="1">
        <f t="array" ref="AE886">IFERROR(_xlfn.BYROW(TRACK_TYPES[[#This Row],[TRACK_TYPE_STANDARD_GAUGE_RAILTYPE_OHLE]:[TRACK_TYPE_STANDARD_GAUGE_RAILTYPE_NONE]],_xlfn.LAMBDA(_xlpm.r,OR(_xlpm.r))),FALSE)</f>
        <v>0</v>
      </c>
      <c r="AF886" s="38" t="b" cm="1">
        <f t="array" ref="AF886">IFERROR(_xlfn.BYROW(TRACK_TYPES[[#This Row],[TRACK_TYPE_NARROW_GAUGE_RAILTYPE_OHLE]:[TRACK_TYPE_NARROW_GAUGE_RAILTYPE_NONE]],_xlfn.LAMBDA(_xlpm.r,OR(_xlpm.r))),FALSE)</f>
        <v>0</v>
      </c>
      <c r="AG886" s="38" t="b" cm="1">
        <f t="array" ref="AG886">IFERROR(_xlfn.BYROW(TRACK_TYPES[[#This Row],[TRACK_TYPE_BROAD_GAUGE_RAILTYPE_OHLE]:[TRACK_TYPE_BROAD_GAUGE_RAILTYPE_NONE]],_xlfn.LAMBDA(_xlpm.r,OR(_xlpm.r))),FALSE)</f>
        <v>1</v>
      </c>
      <c r="AH8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7" spans="1:34" x14ac:dyDescent="0.35">
      <c r="A887" s="2" t="s">
        <v>3345</v>
      </c>
      <c r="B887" s="40" t="str">
        <f>_xlfn.XLOOKUP(PROPERTIES[[#This Row],[VEHIDCODE]],CONTROL[VEHIDCODE],CONTROL[ENGLISH])</f>
        <v>Yorkshire Engine Co. 4-8-4T 'Nitrate 101'</v>
      </c>
      <c r="J887" s="2" t="b">
        <v>1</v>
      </c>
      <c r="AC887" s="2"/>
      <c r="AD887" s="2" t="b">
        <f>LEN(_xlfn.CONCAT(TRACK_TYPES[[#This Row],[TRACK_TYPE_STANDARD_GAUGE_RAILTYPE_OHLE]:[TRACK_TYPE_MTRO]]))&gt;0</f>
        <v>1</v>
      </c>
      <c r="AE887" s="38" t="b" cm="1">
        <f t="array" ref="AE887">IFERROR(_xlfn.BYROW(TRACK_TYPES[[#This Row],[TRACK_TYPE_STANDARD_GAUGE_RAILTYPE_OHLE]:[TRACK_TYPE_STANDARD_GAUGE_RAILTYPE_NONE]],_xlfn.LAMBDA(_xlpm.r,OR(_xlpm.r))),FALSE)</f>
        <v>1</v>
      </c>
      <c r="AF887" s="38" t="b" cm="1">
        <f t="array" ref="AF887">IFERROR(_xlfn.BYROW(TRACK_TYPES[[#This Row],[TRACK_TYPE_NARROW_GAUGE_RAILTYPE_OHLE]:[TRACK_TYPE_NARROW_GAUGE_RAILTYPE_NONE]],_xlfn.LAMBDA(_xlpm.r,OR(_xlpm.r))),FALSE)</f>
        <v>0</v>
      </c>
      <c r="AG887" s="38" t="b" cm="1">
        <f t="array" ref="AG887">IFERROR(_xlfn.BYROW(TRACK_TYPES[[#This Row],[TRACK_TYPE_BROAD_GAUGE_RAILTYPE_OHLE]:[TRACK_TYPE_BROAD_GAUGE_RAILTYPE_NONE]],_xlfn.LAMBDA(_xlpm.r,OR(_xlpm.r))),FALSE)</f>
        <v>0</v>
      </c>
      <c r="AH8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88" spans="1:34" x14ac:dyDescent="0.35">
      <c r="A888" t="s">
        <v>3346</v>
      </c>
      <c r="B888" s="40" t="str">
        <f>_xlfn.XLOOKUP(PROPERTIES[[#This Row],[VEHIDCODE]],CONTROL[VEHIDCODE],CONTROL[ENGLISH])</f>
        <v>SLM-BBC 1-D-1</v>
      </c>
      <c r="V888" t="b">
        <v>1</v>
      </c>
      <c r="AC888" s="2"/>
      <c r="AD888" s="2" t="b">
        <f>LEN(_xlfn.CONCAT(TRACK_TYPES[[#This Row],[TRACK_TYPE_STANDARD_GAUGE_RAILTYPE_OHLE]:[TRACK_TYPE_MTRO]]))&gt;0</f>
        <v>1</v>
      </c>
      <c r="AE888" s="38" t="b" cm="1">
        <f t="array" ref="AE888">IFERROR(_xlfn.BYROW(TRACK_TYPES[[#This Row],[TRACK_TYPE_STANDARD_GAUGE_RAILTYPE_OHLE]:[TRACK_TYPE_STANDARD_GAUGE_RAILTYPE_NONE]],_xlfn.LAMBDA(_xlpm.r,OR(_xlpm.r))),FALSE)</f>
        <v>0</v>
      </c>
      <c r="AF888" s="38" t="b" cm="1">
        <f t="array" ref="AF888">IFERROR(_xlfn.BYROW(TRACK_TYPES[[#This Row],[TRACK_TYPE_NARROW_GAUGE_RAILTYPE_OHLE]:[TRACK_TYPE_NARROW_GAUGE_RAILTYPE_NONE]],_xlfn.LAMBDA(_xlpm.r,OR(_xlpm.r))),FALSE)</f>
        <v>0</v>
      </c>
      <c r="AG888" s="38" t="b" cm="1">
        <f t="array" ref="AG888">IFERROR(_xlfn.BYROW(TRACK_TYPES[[#This Row],[TRACK_TYPE_BROAD_GAUGE_RAILTYPE_OHLE]:[TRACK_TYPE_BROAD_GAUGE_RAILTYPE_NONE]],_xlfn.LAMBDA(_xlpm.r,OR(_xlpm.r))),FALSE)</f>
        <v>1</v>
      </c>
      <c r="AH8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9" spans="1:34" x14ac:dyDescent="0.35">
      <c r="A889" s="2" t="s">
        <v>3347</v>
      </c>
      <c r="B889" s="40" t="str">
        <f>_xlfn.XLOOKUP(PROPERTIES[[#This Row],[VEHIDCODE]],CONTROL[VEHIDCODE],CONTROL[ENGLISH])</f>
        <v>GE 2-C+C-2</v>
      </c>
      <c r="F889" t="b">
        <v>1</v>
      </c>
      <c r="V889" t="b">
        <v>1</v>
      </c>
      <c r="AC889" s="2"/>
      <c r="AD889" s="2" t="b">
        <f>LEN(_xlfn.CONCAT(TRACK_TYPES[[#This Row],[TRACK_TYPE_STANDARD_GAUGE_RAILTYPE_OHLE]:[TRACK_TYPE_MTRO]]))&gt;0</f>
        <v>1</v>
      </c>
      <c r="AE889" s="38" t="b" cm="1">
        <f t="array" ref="AE889">IFERROR(_xlfn.BYROW(TRACK_TYPES[[#This Row],[TRACK_TYPE_STANDARD_GAUGE_RAILTYPE_OHLE]:[TRACK_TYPE_STANDARD_GAUGE_RAILTYPE_NONE]],_xlfn.LAMBDA(_xlpm.r,OR(_xlpm.r))),FALSE)</f>
        <v>1</v>
      </c>
      <c r="AF889" s="38" t="b" cm="1">
        <f t="array" ref="AF889">IFERROR(_xlfn.BYROW(TRACK_TYPES[[#This Row],[TRACK_TYPE_NARROW_GAUGE_RAILTYPE_OHLE]:[TRACK_TYPE_NARROW_GAUGE_RAILTYPE_NONE]],_xlfn.LAMBDA(_xlpm.r,OR(_xlpm.r))),FALSE)</f>
        <v>0</v>
      </c>
      <c r="AG889" s="38" t="b" cm="1">
        <f t="array" ref="AG889">IFERROR(_xlfn.BYROW(TRACK_TYPES[[#This Row],[TRACK_TYPE_BROAD_GAUGE_RAILTYPE_OHLE]:[TRACK_TYPE_BROAD_GAUGE_RAILTYPE_NONE]],_xlfn.LAMBDA(_xlpm.r,OR(_xlpm.r))),FALSE)</f>
        <v>1</v>
      </c>
      <c r="AH8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90" spans="1:34" x14ac:dyDescent="0.35">
      <c r="A890" s="2" t="s">
        <v>3348</v>
      </c>
      <c r="B890" s="40" t="str">
        <f>_xlfn.XLOOKUP(PROPERTIES[[#This Row],[VEHIDCODE]],CONTROL[VEHIDCODE],CONTROL[ENGLISH])</f>
        <v>Norris &amp; Brothers 4-4-0 'La Copiapo'</v>
      </c>
      <c r="J890" s="2" t="b">
        <v>1</v>
      </c>
      <c r="AC890" s="2"/>
      <c r="AD890" s="2" t="b">
        <f>LEN(_xlfn.CONCAT(TRACK_TYPES[[#This Row],[TRACK_TYPE_STANDARD_GAUGE_RAILTYPE_OHLE]:[TRACK_TYPE_MTRO]]))&gt;0</f>
        <v>1</v>
      </c>
      <c r="AE890" s="38" t="b" cm="1">
        <f t="array" ref="AE890">IFERROR(_xlfn.BYROW(TRACK_TYPES[[#This Row],[TRACK_TYPE_STANDARD_GAUGE_RAILTYPE_OHLE]:[TRACK_TYPE_STANDARD_GAUGE_RAILTYPE_NONE]],_xlfn.LAMBDA(_xlpm.r,OR(_xlpm.r))),FALSE)</f>
        <v>1</v>
      </c>
      <c r="AF890" s="38" t="b" cm="1">
        <f t="array" ref="AF890">IFERROR(_xlfn.BYROW(TRACK_TYPES[[#This Row],[TRACK_TYPE_NARROW_GAUGE_RAILTYPE_OHLE]:[TRACK_TYPE_NARROW_GAUGE_RAILTYPE_NONE]],_xlfn.LAMBDA(_xlpm.r,OR(_xlpm.r))),FALSE)</f>
        <v>0</v>
      </c>
      <c r="AG890" s="38" t="b" cm="1">
        <f t="array" ref="AG890">IFERROR(_xlfn.BYROW(TRACK_TYPES[[#This Row],[TRACK_TYPE_BROAD_GAUGE_RAILTYPE_OHLE]:[TRACK_TYPE_BROAD_GAUGE_RAILTYPE_NONE]],_xlfn.LAMBDA(_xlpm.r,OR(_xlpm.r))),FALSE)</f>
        <v>0</v>
      </c>
      <c r="AH8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91" spans="1:34" x14ac:dyDescent="0.35">
      <c r="A891" s="2" t="s">
        <v>3349</v>
      </c>
      <c r="B891" s="40" t="str">
        <f>_xlfn.XLOOKUP(PROPERTIES[[#This Row],[VEHIDCODE]],CONTROL[VEHIDCODE],CONTROL[ENGLISH])</f>
        <v>AEG A1A+A1A</v>
      </c>
      <c r="L891" t="b">
        <v>1</v>
      </c>
      <c r="AC891" s="2"/>
      <c r="AD891" s="2" t="b">
        <f>LEN(_xlfn.CONCAT(TRACK_TYPES[[#This Row],[TRACK_TYPE_STANDARD_GAUGE_RAILTYPE_OHLE]:[TRACK_TYPE_MTRO]]))&gt;0</f>
        <v>1</v>
      </c>
      <c r="AE891" s="38" t="b" cm="1">
        <f t="array" ref="AE891">IFERROR(_xlfn.BYROW(TRACK_TYPES[[#This Row],[TRACK_TYPE_STANDARD_GAUGE_RAILTYPE_OHLE]:[TRACK_TYPE_STANDARD_GAUGE_RAILTYPE_NONE]],_xlfn.LAMBDA(_xlpm.r,OR(_xlpm.r))),FALSE)</f>
        <v>0</v>
      </c>
      <c r="AF891" s="38" t="b" cm="1">
        <f t="array" ref="AF891">IFERROR(_xlfn.BYROW(TRACK_TYPES[[#This Row],[TRACK_TYPE_NARROW_GAUGE_RAILTYPE_OHLE]:[TRACK_TYPE_NARROW_GAUGE_RAILTYPE_NONE]],_xlfn.LAMBDA(_xlpm.r,OR(_xlpm.r))),FALSE)</f>
        <v>1</v>
      </c>
      <c r="AG891" s="38" t="b" cm="1">
        <f t="array" ref="AG891">IFERROR(_xlfn.BYROW(TRACK_TYPES[[#This Row],[TRACK_TYPE_BROAD_GAUGE_RAILTYPE_OHLE]:[TRACK_TYPE_BROAD_GAUGE_RAILTYPE_NONE]],_xlfn.LAMBDA(_xlpm.r,OR(_xlpm.r))),FALSE)</f>
        <v>0</v>
      </c>
      <c r="AH8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92" spans="1:34" x14ac:dyDescent="0.35">
      <c r="A892" t="s">
        <v>3691</v>
      </c>
      <c r="B892" s="40" t="str">
        <f>_xlfn.XLOOKUP(PROPERTIES[[#This Row],[VEHIDCODE]],CONTROL[VEHIDCODE],CONTROL[ENGLISH])</f>
        <v>Ganz 'Bariloche' DMU</v>
      </c>
      <c r="Z892" s="2" t="b">
        <v>1</v>
      </c>
      <c r="AC892" s="2"/>
      <c r="AD892" s="2" t="b">
        <f>LEN(_xlfn.CONCAT(TRACK_TYPES[[#This Row],[TRACK_TYPE_STANDARD_GAUGE_RAILTYPE_OHLE]:[TRACK_TYPE_MTRO]]))&gt;0</f>
        <v>1</v>
      </c>
      <c r="AE892" s="38" t="b" cm="1">
        <f t="array" ref="AE892">IFERROR(_xlfn.BYROW(TRACK_TYPES[[#This Row],[TRACK_TYPE_STANDARD_GAUGE_RAILTYPE_OHLE]:[TRACK_TYPE_STANDARD_GAUGE_RAILTYPE_NONE]],_xlfn.LAMBDA(_xlpm.r,OR(_xlpm.r))),FALSE)</f>
        <v>0</v>
      </c>
      <c r="AF892" s="38" t="b" cm="1">
        <f t="array" ref="AF892">IFERROR(_xlfn.BYROW(TRACK_TYPES[[#This Row],[TRACK_TYPE_NARROW_GAUGE_RAILTYPE_OHLE]:[TRACK_TYPE_NARROW_GAUGE_RAILTYPE_NONE]],_xlfn.LAMBDA(_xlpm.r,OR(_xlpm.r))),FALSE)</f>
        <v>0</v>
      </c>
      <c r="AG892" s="38" t="b" cm="1">
        <f t="array" ref="AG892">IFERROR(_xlfn.BYROW(TRACK_TYPES[[#This Row],[TRACK_TYPE_BROAD_GAUGE_RAILTYPE_OHLE]:[TRACK_TYPE_BROAD_GAUGE_RAILTYPE_NONE]],_xlfn.LAMBDA(_xlpm.r,OR(_xlpm.r))),FALSE)</f>
        <v>1</v>
      </c>
      <c r="AH8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93" spans="1:34" x14ac:dyDescent="0.35">
      <c r="A893" t="s">
        <v>3350</v>
      </c>
      <c r="B893" s="40" t="str">
        <f>_xlfn.XLOOKUP(PROPERTIES[[#This Row],[VEHIDCODE]],CONTROL[VEHIDCODE],CONTROL[ENGLISH])</f>
        <v>Avonside 0-6-0ST Sao Paulo No. 13 - 14</v>
      </c>
      <c r="Z893" s="2" t="b">
        <v>1</v>
      </c>
      <c r="AC893" s="2"/>
      <c r="AD893" s="2" t="b">
        <f>LEN(_xlfn.CONCAT(TRACK_TYPES[[#This Row],[TRACK_TYPE_STANDARD_GAUGE_RAILTYPE_OHLE]:[TRACK_TYPE_MTRO]]))&gt;0</f>
        <v>1</v>
      </c>
      <c r="AE893" s="38" t="b" cm="1">
        <f t="array" ref="AE893">IFERROR(_xlfn.BYROW(TRACK_TYPES[[#This Row],[TRACK_TYPE_STANDARD_GAUGE_RAILTYPE_OHLE]:[TRACK_TYPE_STANDARD_GAUGE_RAILTYPE_NONE]],_xlfn.LAMBDA(_xlpm.r,OR(_xlpm.r))),FALSE)</f>
        <v>0</v>
      </c>
      <c r="AF893" s="38" t="b" cm="1">
        <f t="array" ref="AF893">IFERROR(_xlfn.BYROW(TRACK_TYPES[[#This Row],[TRACK_TYPE_NARROW_GAUGE_RAILTYPE_OHLE]:[TRACK_TYPE_NARROW_GAUGE_RAILTYPE_NONE]],_xlfn.LAMBDA(_xlpm.r,OR(_xlpm.r))),FALSE)</f>
        <v>0</v>
      </c>
      <c r="AG893" s="38" t="b" cm="1">
        <f t="array" ref="AG893">IFERROR(_xlfn.BYROW(TRACK_TYPES[[#This Row],[TRACK_TYPE_BROAD_GAUGE_RAILTYPE_OHLE]:[TRACK_TYPE_BROAD_GAUGE_RAILTYPE_NONE]],_xlfn.LAMBDA(_xlpm.r,OR(_xlpm.r))),FALSE)</f>
        <v>1</v>
      </c>
      <c r="AH8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94" spans="1:34" x14ac:dyDescent="0.35">
      <c r="A894" t="s">
        <v>3690</v>
      </c>
      <c r="B894" s="40" t="str">
        <f>_xlfn.XLOOKUP(PROPERTIES[[#This Row],[VEHIDCODE]],CONTROL[VEHIDCODE],CONTROL[ENGLISH])</f>
        <v>Ganz 'Transandino' CMU 4701</v>
      </c>
      <c r="R894" s="2" t="b">
        <v>1</v>
      </c>
      <c r="AC894" s="2"/>
      <c r="AD894" s="2" t="b">
        <f>LEN(_xlfn.CONCAT(TRACK_TYPES[[#This Row],[TRACK_TYPE_STANDARD_GAUGE_RAILTYPE_OHLE]:[TRACK_TYPE_MTRO]]))&gt;0</f>
        <v>1</v>
      </c>
      <c r="AE894" s="38" t="b" cm="1">
        <f t="array" ref="AE894">IFERROR(_xlfn.BYROW(TRACK_TYPES[[#This Row],[TRACK_TYPE_STANDARD_GAUGE_RAILTYPE_OHLE]:[TRACK_TYPE_STANDARD_GAUGE_RAILTYPE_NONE]],_xlfn.LAMBDA(_xlpm.r,OR(_xlpm.r))),FALSE)</f>
        <v>0</v>
      </c>
      <c r="AF894" s="38" t="b" cm="1">
        <f t="array" ref="AF894">IFERROR(_xlfn.BYROW(TRACK_TYPES[[#This Row],[TRACK_TYPE_NARROW_GAUGE_RAILTYPE_OHLE]:[TRACK_TYPE_NARROW_GAUGE_RAILTYPE_NONE]],_xlfn.LAMBDA(_xlpm.r,OR(_xlpm.r))),FALSE)</f>
        <v>1</v>
      </c>
      <c r="AG894" s="38" t="b" cm="1">
        <f t="array" ref="AG894">IFERROR(_xlfn.BYROW(TRACK_TYPES[[#This Row],[TRACK_TYPE_BROAD_GAUGE_RAILTYPE_OHLE]:[TRACK_TYPE_BROAD_GAUGE_RAILTYPE_NONE]],_xlfn.LAMBDA(_xlpm.r,OR(_xlpm.r))),FALSE)</f>
        <v>0</v>
      </c>
      <c r="AH8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95" spans="1:34" x14ac:dyDescent="0.35">
      <c r="A895" s="2" t="s">
        <v>3351</v>
      </c>
      <c r="B895" s="40" t="str">
        <f>_xlfn.XLOOKUP(PROPERTIES[[#This Row],[VEHIDCODE]],CONTROL[VEHIDCODE],CONTROL[ENGLISH])</f>
        <v>Kawasaki/Hitachi AEZ Railcar</v>
      </c>
      <c r="V895" t="b">
        <v>1</v>
      </c>
      <c r="AC895" s="2"/>
      <c r="AD895" s="2" t="b">
        <f>LEN(_xlfn.CONCAT(TRACK_TYPES[[#This Row],[TRACK_TYPE_STANDARD_GAUGE_RAILTYPE_OHLE]:[TRACK_TYPE_MTRO]]))&gt;0</f>
        <v>1</v>
      </c>
      <c r="AE895" s="38" t="b" cm="1">
        <f t="array" ref="AE895">IFERROR(_xlfn.BYROW(TRACK_TYPES[[#This Row],[TRACK_TYPE_STANDARD_GAUGE_RAILTYPE_OHLE]:[TRACK_TYPE_STANDARD_GAUGE_RAILTYPE_NONE]],_xlfn.LAMBDA(_xlpm.r,OR(_xlpm.r))),FALSE)</f>
        <v>0</v>
      </c>
      <c r="AF895" s="38" t="b" cm="1">
        <f t="array" ref="AF895">IFERROR(_xlfn.BYROW(TRACK_TYPES[[#This Row],[TRACK_TYPE_NARROW_GAUGE_RAILTYPE_OHLE]:[TRACK_TYPE_NARROW_GAUGE_RAILTYPE_NONE]],_xlfn.LAMBDA(_xlpm.r,OR(_xlpm.r))),FALSE)</f>
        <v>0</v>
      </c>
      <c r="AG895" s="38" t="b" cm="1">
        <f t="array" ref="AG895">IFERROR(_xlfn.BYROW(TRACK_TYPES[[#This Row],[TRACK_TYPE_BROAD_GAUGE_RAILTYPE_OHLE]:[TRACK_TYPE_BROAD_GAUGE_RAILTYPE_NONE]],_xlfn.LAMBDA(_xlpm.r,OR(_xlpm.r))),FALSE)</f>
        <v>1</v>
      </c>
      <c r="AH8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96" spans="1:34" x14ac:dyDescent="0.35">
      <c r="A896" s="2" t="s">
        <v>3352</v>
      </c>
      <c r="B896" s="40" t="str">
        <f>_xlfn.XLOOKUP(PROPERTIES[[#This Row],[VEHIDCODE]],CONTROL[VEHIDCODE],CONTROL[ENGLISH])</f>
        <v>BREL GEC Auckland ART Concept</v>
      </c>
      <c r="L896" t="b">
        <v>1</v>
      </c>
      <c r="AC896" s="2"/>
      <c r="AD896" s="2" t="b">
        <f>LEN(_xlfn.CONCAT(TRACK_TYPES[[#This Row],[TRACK_TYPE_STANDARD_GAUGE_RAILTYPE_OHLE]:[TRACK_TYPE_MTRO]]))&gt;0</f>
        <v>1</v>
      </c>
      <c r="AE896" s="38" t="b" cm="1">
        <f t="array" ref="AE896">IFERROR(_xlfn.BYROW(TRACK_TYPES[[#This Row],[TRACK_TYPE_STANDARD_GAUGE_RAILTYPE_OHLE]:[TRACK_TYPE_STANDARD_GAUGE_RAILTYPE_NONE]],_xlfn.LAMBDA(_xlpm.r,OR(_xlpm.r))),FALSE)</f>
        <v>0</v>
      </c>
      <c r="AF896" s="38" t="b" cm="1">
        <f t="array" ref="AF896">IFERROR(_xlfn.BYROW(TRACK_TYPES[[#This Row],[TRACK_TYPE_NARROW_GAUGE_RAILTYPE_OHLE]:[TRACK_TYPE_NARROW_GAUGE_RAILTYPE_NONE]],_xlfn.LAMBDA(_xlpm.r,OR(_xlpm.r))),FALSE)</f>
        <v>1</v>
      </c>
      <c r="AG896" s="38" t="b" cm="1">
        <f t="array" ref="AG896">IFERROR(_xlfn.BYROW(TRACK_TYPES[[#This Row],[TRACK_TYPE_BROAD_GAUGE_RAILTYPE_OHLE]:[TRACK_TYPE_BROAD_GAUGE_RAILTYPE_NONE]],_xlfn.LAMBDA(_xlpm.r,OR(_xlpm.r))),FALSE)</f>
        <v>0</v>
      </c>
      <c r="AH8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97" spans="1:34" x14ac:dyDescent="0.35">
      <c r="A897" s="2" t="s">
        <v>3353</v>
      </c>
      <c r="B897" s="40" t="str">
        <f>_xlfn.XLOOKUP(PROPERTIES[[#This Row],[VEHIDCODE]],CONTROL[VEHIDCODE],CONTROL[ENGLISH])</f>
        <v>Comeng 1100 Railcar</v>
      </c>
      <c r="J897" s="2" t="b">
        <v>1</v>
      </c>
      <c r="AC897" s="2"/>
      <c r="AD897" s="2" t="b">
        <f>LEN(_xlfn.CONCAT(TRACK_TYPES[[#This Row],[TRACK_TYPE_STANDARD_GAUGE_RAILTYPE_OHLE]:[TRACK_TYPE_MTRO]]))&gt;0</f>
        <v>1</v>
      </c>
      <c r="AE897" s="38" t="b" cm="1">
        <f t="array" ref="AE897">IFERROR(_xlfn.BYROW(TRACK_TYPES[[#This Row],[TRACK_TYPE_STANDARD_GAUGE_RAILTYPE_OHLE]:[TRACK_TYPE_STANDARD_GAUGE_RAILTYPE_NONE]],_xlfn.LAMBDA(_xlpm.r,OR(_xlpm.r))),FALSE)</f>
        <v>1</v>
      </c>
      <c r="AF897" s="38" t="b" cm="1">
        <f t="array" ref="AF897">IFERROR(_xlfn.BYROW(TRACK_TYPES[[#This Row],[TRACK_TYPE_NARROW_GAUGE_RAILTYPE_OHLE]:[TRACK_TYPE_NARROW_GAUGE_RAILTYPE_NONE]],_xlfn.LAMBDA(_xlpm.r,OR(_xlpm.r))),FALSE)</f>
        <v>0</v>
      </c>
      <c r="AG897" s="38" t="b" cm="1">
        <f t="array" ref="AG897">IFERROR(_xlfn.BYROW(TRACK_TYPES[[#This Row],[TRACK_TYPE_BROAD_GAUGE_RAILTYPE_OHLE]:[TRACK_TYPE_BROAD_GAUGE_RAILTYPE_NONE]],_xlfn.LAMBDA(_xlpm.r,OR(_xlpm.r))),FALSE)</f>
        <v>0</v>
      </c>
      <c r="AH8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98" spans="1:34" x14ac:dyDescent="0.35">
      <c r="A898" s="2" t="s">
        <v>3354</v>
      </c>
      <c r="B898" s="40" t="str">
        <f>_xlfn.XLOOKUP(PROPERTIES[[#This Row],[VEHIDCODE]],CONTROL[VEHIDCODE],CONTROL[ENGLISH])</f>
        <v>Thai Comeng XPT Concept</v>
      </c>
      <c r="R898" s="2" t="b">
        <v>1</v>
      </c>
      <c r="AC898" s="2"/>
      <c r="AD898" s="2" t="b">
        <f>LEN(_xlfn.CONCAT(TRACK_TYPES[[#This Row],[TRACK_TYPE_STANDARD_GAUGE_RAILTYPE_OHLE]:[TRACK_TYPE_MTRO]]))&gt;0</f>
        <v>1</v>
      </c>
      <c r="AE898" s="38" t="b" cm="1">
        <f t="array" ref="AE898">IFERROR(_xlfn.BYROW(TRACK_TYPES[[#This Row],[TRACK_TYPE_STANDARD_GAUGE_RAILTYPE_OHLE]:[TRACK_TYPE_STANDARD_GAUGE_RAILTYPE_NONE]],_xlfn.LAMBDA(_xlpm.r,OR(_xlpm.r))),FALSE)</f>
        <v>0</v>
      </c>
      <c r="AF898" s="38" t="b" cm="1">
        <f t="array" ref="AF898">IFERROR(_xlfn.BYROW(TRACK_TYPES[[#This Row],[TRACK_TYPE_NARROW_GAUGE_RAILTYPE_OHLE]:[TRACK_TYPE_NARROW_GAUGE_RAILTYPE_NONE]],_xlfn.LAMBDA(_xlpm.r,OR(_xlpm.r))),FALSE)</f>
        <v>1</v>
      </c>
      <c r="AG898" s="38" t="b" cm="1">
        <f t="array" ref="AG898">IFERROR(_xlfn.BYROW(TRACK_TYPES[[#This Row],[TRACK_TYPE_BROAD_GAUGE_RAILTYPE_OHLE]:[TRACK_TYPE_BROAD_GAUGE_RAILTYPE_NONE]],_xlfn.LAMBDA(_xlpm.r,OR(_xlpm.r))),FALSE)</f>
        <v>0</v>
      </c>
      <c r="AH8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99" spans="1:34" x14ac:dyDescent="0.35">
      <c r="A899" s="2" t="s">
        <v>3355</v>
      </c>
      <c r="B899" s="40" t="str">
        <f>_xlfn.XLOOKUP(PROPERTIES[[#This Row],[VEHIDCODE]],CONTROL[VEHIDCODE],CONTROL[ENGLISH])</f>
        <v>Comeng NSW XPT</v>
      </c>
      <c r="J899" s="2" t="b">
        <v>1</v>
      </c>
      <c r="AC899" s="2"/>
      <c r="AD899" s="2" t="b">
        <f>LEN(_xlfn.CONCAT(TRACK_TYPES[[#This Row],[TRACK_TYPE_STANDARD_GAUGE_RAILTYPE_OHLE]:[TRACK_TYPE_MTRO]]))&gt;0</f>
        <v>1</v>
      </c>
      <c r="AE899" s="38" t="b" cm="1">
        <f t="array" ref="AE899">IFERROR(_xlfn.BYROW(TRACK_TYPES[[#This Row],[TRACK_TYPE_STANDARD_GAUGE_RAILTYPE_OHLE]:[TRACK_TYPE_STANDARD_GAUGE_RAILTYPE_NONE]],_xlfn.LAMBDA(_xlpm.r,OR(_xlpm.r))),FALSE)</f>
        <v>1</v>
      </c>
      <c r="AF899" s="38" t="b" cm="1">
        <f t="array" ref="AF899">IFERROR(_xlfn.BYROW(TRACK_TYPES[[#This Row],[TRACK_TYPE_NARROW_GAUGE_RAILTYPE_OHLE]:[TRACK_TYPE_NARROW_GAUGE_RAILTYPE_NONE]],_xlfn.LAMBDA(_xlpm.r,OR(_xlpm.r))),FALSE)</f>
        <v>0</v>
      </c>
      <c r="AG899" s="38" t="b" cm="1">
        <f t="array" ref="AG899">IFERROR(_xlfn.BYROW(TRACK_TYPES[[#This Row],[TRACK_TYPE_BROAD_GAUGE_RAILTYPE_OHLE]:[TRACK_TYPE_BROAD_GAUGE_RAILTYPE_NONE]],_xlfn.LAMBDA(_xlpm.r,OR(_xlpm.r))),FALSE)</f>
        <v>0</v>
      </c>
      <c r="AH8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0" spans="1:34" x14ac:dyDescent="0.35">
      <c r="A900" s="2" t="s">
        <v>3356</v>
      </c>
      <c r="B900" s="40" t="str">
        <f>_xlfn.XLOOKUP(PROPERTIES[[#This Row],[VEHIDCODE]],CONTROL[VEHIDCODE],CONTROL[ENGLISH])</f>
        <v>Tangara V-Set Hybrid Concept</v>
      </c>
      <c r="G900" t="b">
        <v>1</v>
      </c>
      <c r="AC900" s="2"/>
      <c r="AD900" s="2" t="b">
        <f>LEN(_xlfn.CONCAT(TRACK_TYPES[[#This Row],[TRACK_TYPE_STANDARD_GAUGE_RAILTYPE_OHLE]:[TRACK_TYPE_MTRO]]))&gt;0</f>
        <v>1</v>
      </c>
      <c r="AE900" s="38" t="b" cm="1">
        <f t="array" ref="AE900">IFERROR(_xlfn.BYROW(TRACK_TYPES[[#This Row],[TRACK_TYPE_STANDARD_GAUGE_RAILTYPE_OHLE]:[TRACK_TYPE_STANDARD_GAUGE_RAILTYPE_NONE]],_xlfn.LAMBDA(_xlpm.r,OR(_xlpm.r))),FALSE)</f>
        <v>1</v>
      </c>
      <c r="AF900" s="38" t="b" cm="1">
        <f t="array" ref="AF900">IFERROR(_xlfn.BYROW(TRACK_TYPES[[#This Row],[TRACK_TYPE_NARROW_GAUGE_RAILTYPE_OHLE]:[TRACK_TYPE_NARROW_GAUGE_RAILTYPE_NONE]],_xlfn.LAMBDA(_xlpm.r,OR(_xlpm.r))),FALSE)</f>
        <v>0</v>
      </c>
      <c r="AG900" s="38" t="b" cm="1">
        <f t="array" ref="AG900">IFERROR(_xlfn.BYROW(TRACK_TYPES[[#This Row],[TRACK_TYPE_BROAD_GAUGE_RAILTYPE_OHLE]:[TRACK_TYPE_BROAD_GAUGE_RAILTYPE_NONE]],_xlfn.LAMBDA(_xlpm.r,OR(_xlpm.r))),FALSE)</f>
        <v>0</v>
      </c>
      <c r="AH9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1" spans="1:34" x14ac:dyDescent="0.35">
      <c r="A901" s="2" t="s">
        <v>3357</v>
      </c>
      <c r="B901" s="40" t="str">
        <f>_xlfn.XLOOKUP(PROPERTIES[[#This Row],[VEHIDCODE]],CONTROL[VEHIDCODE],CONTROL[ENGLISH])</f>
        <v>NSWGR 800/900 'DEB'</v>
      </c>
      <c r="J901" s="2" t="b">
        <v>1</v>
      </c>
      <c r="AC901" s="2"/>
      <c r="AD901" s="2" t="b">
        <f>LEN(_xlfn.CONCAT(TRACK_TYPES[[#This Row],[TRACK_TYPE_STANDARD_GAUGE_RAILTYPE_OHLE]:[TRACK_TYPE_MTRO]]))&gt;0</f>
        <v>1</v>
      </c>
      <c r="AE901" s="38" t="b" cm="1">
        <f t="array" ref="AE901">IFERROR(_xlfn.BYROW(TRACK_TYPES[[#This Row],[TRACK_TYPE_STANDARD_GAUGE_RAILTYPE_OHLE]:[TRACK_TYPE_STANDARD_GAUGE_RAILTYPE_NONE]],_xlfn.LAMBDA(_xlpm.r,OR(_xlpm.r))),FALSE)</f>
        <v>1</v>
      </c>
      <c r="AF901" s="38" t="b" cm="1">
        <f t="array" ref="AF901">IFERROR(_xlfn.BYROW(TRACK_TYPES[[#This Row],[TRACK_TYPE_NARROW_GAUGE_RAILTYPE_OHLE]:[TRACK_TYPE_NARROW_GAUGE_RAILTYPE_NONE]],_xlfn.LAMBDA(_xlpm.r,OR(_xlpm.r))),FALSE)</f>
        <v>0</v>
      </c>
      <c r="AG901" s="38" t="b" cm="1">
        <f t="array" ref="AG901">IFERROR(_xlfn.BYROW(TRACK_TYPES[[#This Row],[TRACK_TYPE_BROAD_GAUGE_RAILTYPE_OHLE]:[TRACK_TYPE_BROAD_GAUGE_RAILTYPE_NONE]],_xlfn.LAMBDA(_xlpm.r,OR(_xlpm.r))),FALSE)</f>
        <v>0</v>
      </c>
      <c r="AH9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2" spans="1:34" x14ac:dyDescent="0.35">
      <c r="A902" s="2" t="s">
        <v>3358</v>
      </c>
      <c r="B902" s="40" t="str">
        <f>_xlfn.XLOOKUP(PROPERTIES[[#This Row],[VEHIDCODE]],CONTROL[VEHIDCODE],CONTROL[ENGLISH])</f>
        <v>Goninan Tangara 4D Prototype</v>
      </c>
      <c r="G902" t="b">
        <v>1</v>
      </c>
      <c r="W902" t="b">
        <v>1</v>
      </c>
      <c r="AC902" s="2"/>
      <c r="AD902" s="2" t="b">
        <f>LEN(_xlfn.CONCAT(TRACK_TYPES[[#This Row],[TRACK_TYPE_STANDARD_GAUGE_RAILTYPE_OHLE]:[TRACK_TYPE_MTRO]]))&gt;0</f>
        <v>1</v>
      </c>
      <c r="AE902" s="38" t="b" cm="1">
        <f t="array" ref="AE902">IFERROR(_xlfn.BYROW(TRACK_TYPES[[#This Row],[TRACK_TYPE_STANDARD_GAUGE_RAILTYPE_OHLE]:[TRACK_TYPE_STANDARD_GAUGE_RAILTYPE_NONE]],_xlfn.LAMBDA(_xlpm.r,OR(_xlpm.r))),FALSE)</f>
        <v>1</v>
      </c>
      <c r="AF902" s="38" t="b" cm="1">
        <f t="array" ref="AF902">IFERROR(_xlfn.BYROW(TRACK_TYPES[[#This Row],[TRACK_TYPE_NARROW_GAUGE_RAILTYPE_OHLE]:[TRACK_TYPE_NARROW_GAUGE_RAILTYPE_NONE]],_xlfn.LAMBDA(_xlpm.r,OR(_xlpm.r))),FALSE)</f>
        <v>0</v>
      </c>
      <c r="AG902" s="38" t="b" cm="1">
        <f t="array" ref="AG902">IFERROR(_xlfn.BYROW(TRACK_TYPES[[#This Row],[TRACK_TYPE_BROAD_GAUGE_RAILTYPE_OHLE]:[TRACK_TYPE_BROAD_GAUGE_RAILTYPE_NONE]],_xlfn.LAMBDA(_xlpm.r,OR(_xlpm.r))),FALSE)</f>
        <v>1</v>
      </c>
      <c r="AH9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3" spans="1:34" x14ac:dyDescent="0.35">
      <c r="A903" s="2" t="s">
        <v>3359</v>
      </c>
      <c r="B903" s="40" t="str">
        <f>_xlfn.XLOOKUP(PROPERTIES[[#This Row],[VEHIDCODE]],CONTROL[VEHIDCODE],CONTROL[ENGLISH])</f>
        <v>Goninan Tangara T-Set</v>
      </c>
      <c r="G903" t="b">
        <v>1</v>
      </c>
      <c r="AC903" s="2"/>
      <c r="AD903" s="2" t="b">
        <f>LEN(_xlfn.CONCAT(TRACK_TYPES[[#This Row],[TRACK_TYPE_STANDARD_GAUGE_RAILTYPE_OHLE]:[TRACK_TYPE_MTRO]]))&gt;0</f>
        <v>1</v>
      </c>
      <c r="AE903" s="38" t="b" cm="1">
        <f t="array" ref="AE903">IFERROR(_xlfn.BYROW(TRACK_TYPES[[#This Row],[TRACK_TYPE_STANDARD_GAUGE_RAILTYPE_OHLE]:[TRACK_TYPE_STANDARD_GAUGE_RAILTYPE_NONE]],_xlfn.LAMBDA(_xlpm.r,OR(_xlpm.r))),FALSE)</f>
        <v>1</v>
      </c>
      <c r="AF903" s="38" t="b" cm="1">
        <f t="array" ref="AF903">IFERROR(_xlfn.BYROW(TRACK_TYPES[[#This Row],[TRACK_TYPE_NARROW_GAUGE_RAILTYPE_OHLE]:[TRACK_TYPE_NARROW_GAUGE_RAILTYPE_NONE]],_xlfn.LAMBDA(_xlpm.r,OR(_xlpm.r))),FALSE)</f>
        <v>0</v>
      </c>
      <c r="AG903" s="38" t="b" cm="1">
        <f t="array" ref="AG903">IFERROR(_xlfn.BYROW(TRACK_TYPES[[#This Row],[TRACK_TYPE_BROAD_GAUGE_RAILTYPE_OHLE]:[TRACK_TYPE_BROAD_GAUGE_RAILTYPE_NONE]],_xlfn.LAMBDA(_xlpm.r,OR(_xlpm.r))),FALSE)</f>
        <v>0</v>
      </c>
      <c r="AH9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4" spans="1:34" x14ac:dyDescent="0.35">
      <c r="A904" s="2" t="s">
        <v>3360</v>
      </c>
      <c r="B904" s="40" t="str">
        <f>_xlfn.XLOOKUP(PROPERTIES[[#This Row],[VEHIDCODE]],CONTROL[VEHIDCODE],CONTROL[ENGLISH])</f>
        <v>NSWGR 600/700</v>
      </c>
      <c r="J904" s="2" t="b">
        <v>1</v>
      </c>
      <c r="AC904" s="2"/>
      <c r="AD904" s="2" t="b">
        <f>LEN(_xlfn.CONCAT(TRACK_TYPES[[#This Row],[TRACK_TYPE_STANDARD_GAUGE_RAILTYPE_OHLE]:[TRACK_TYPE_MTRO]]))&gt;0</f>
        <v>1</v>
      </c>
      <c r="AE904" s="38" t="b" cm="1">
        <f t="array" ref="AE904">IFERROR(_xlfn.BYROW(TRACK_TYPES[[#This Row],[TRACK_TYPE_STANDARD_GAUGE_RAILTYPE_OHLE]:[TRACK_TYPE_STANDARD_GAUGE_RAILTYPE_NONE]],_xlfn.LAMBDA(_xlpm.r,OR(_xlpm.r))),FALSE)</f>
        <v>1</v>
      </c>
      <c r="AF904" s="38" t="b" cm="1">
        <f t="array" ref="AF904">IFERROR(_xlfn.BYROW(TRACK_TYPES[[#This Row],[TRACK_TYPE_NARROW_GAUGE_RAILTYPE_OHLE]:[TRACK_TYPE_NARROW_GAUGE_RAILTYPE_NONE]],_xlfn.LAMBDA(_xlpm.r,OR(_xlpm.r))),FALSE)</f>
        <v>0</v>
      </c>
      <c r="AG904" s="38" t="b" cm="1">
        <f t="array" ref="AG904">IFERROR(_xlfn.BYROW(TRACK_TYPES[[#This Row],[TRACK_TYPE_BROAD_GAUGE_RAILTYPE_OHLE]:[TRACK_TYPE_BROAD_GAUGE_RAILTYPE_NONE]],_xlfn.LAMBDA(_xlpm.r,OR(_xlpm.r))),FALSE)</f>
        <v>0</v>
      </c>
      <c r="AH9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5" spans="1:34" x14ac:dyDescent="0.35">
      <c r="A905" s="2" t="s">
        <v>3361</v>
      </c>
      <c r="B905" s="40" t="str">
        <f>_xlfn.XLOOKUP(PROPERTIES[[#This Row],[VEHIDCODE]],CONTROL[VEHIDCODE],CONTROL[ENGLISH])</f>
        <v>Kawasaki RM 'Silver Fern'</v>
      </c>
      <c r="R905" s="2" t="b">
        <v>1</v>
      </c>
      <c r="AC905" s="2"/>
      <c r="AD905" s="2" t="b">
        <f>LEN(_xlfn.CONCAT(TRACK_TYPES[[#This Row],[TRACK_TYPE_STANDARD_GAUGE_RAILTYPE_OHLE]:[TRACK_TYPE_MTRO]]))&gt;0</f>
        <v>1</v>
      </c>
      <c r="AE905" s="38" t="b" cm="1">
        <f t="array" ref="AE905">IFERROR(_xlfn.BYROW(TRACK_TYPES[[#This Row],[TRACK_TYPE_STANDARD_GAUGE_RAILTYPE_OHLE]:[TRACK_TYPE_STANDARD_GAUGE_RAILTYPE_NONE]],_xlfn.LAMBDA(_xlpm.r,OR(_xlpm.r))),FALSE)</f>
        <v>0</v>
      </c>
      <c r="AF905" s="38" t="b" cm="1">
        <f t="array" ref="AF905">IFERROR(_xlfn.BYROW(TRACK_TYPES[[#This Row],[TRACK_TYPE_NARROW_GAUGE_RAILTYPE_OHLE]:[TRACK_TYPE_NARROW_GAUGE_RAILTYPE_NONE]],_xlfn.LAMBDA(_xlpm.r,OR(_xlpm.r))),FALSE)</f>
        <v>1</v>
      </c>
      <c r="AG905" s="38" t="b" cm="1">
        <f t="array" ref="AG905">IFERROR(_xlfn.BYROW(TRACK_TYPES[[#This Row],[TRACK_TYPE_BROAD_GAUGE_RAILTYPE_OHLE]:[TRACK_TYPE_BROAD_GAUGE_RAILTYPE_NONE]],_xlfn.LAMBDA(_xlpm.r,OR(_xlpm.r))),FALSE)</f>
        <v>0</v>
      </c>
      <c r="AH9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06" spans="1:34" x14ac:dyDescent="0.35">
      <c r="A906" s="2" t="s">
        <v>3362</v>
      </c>
      <c r="B906" s="40" t="str">
        <f>_xlfn.XLOOKUP(PROPERTIES[[#This Row],[VEHIDCODE]],CONTROL[VEHIDCODE],CONTROL[ENGLISH])</f>
        <v>Comeng W Class 'Sputnik'</v>
      </c>
      <c r="G906" t="b">
        <v>1</v>
      </c>
      <c r="AC906" s="2"/>
      <c r="AD906" s="2" t="b">
        <f>LEN(_xlfn.CONCAT(TRACK_TYPES[[#This Row],[TRACK_TYPE_STANDARD_GAUGE_RAILTYPE_OHLE]:[TRACK_TYPE_MTRO]]))&gt;0</f>
        <v>1</v>
      </c>
      <c r="AE906" s="38" t="b" cm="1">
        <f t="array" ref="AE906">IFERROR(_xlfn.BYROW(TRACK_TYPES[[#This Row],[TRACK_TYPE_STANDARD_GAUGE_RAILTYPE_OHLE]:[TRACK_TYPE_STANDARD_GAUGE_RAILTYPE_NONE]],_xlfn.LAMBDA(_xlpm.r,OR(_xlpm.r))),FALSE)</f>
        <v>1</v>
      </c>
      <c r="AF906" s="38" t="b" cm="1">
        <f t="array" ref="AF906">IFERROR(_xlfn.BYROW(TRACK_TYPES[[#This Row],[TRACK_TYPE_NARROW_GAUGE_RAILTYPE_OHLE]:[TRACK_TYPE_NARROW_GAUGE_RAILTYPE_NONE]],_xlfn.LAMBDA(_xlpm.r,OR(_xlpm.r))),FALSE)</f>
        <v>0</v>
      </c>
      <c r="AG906" s="38" t="b" cm="1">
        <f t="array" ref="AG906">IFERROR(_xlfn.BYROW(TRACK_TYPES[[#This Row],[TRACK_TYPE_BROAD_GAUGE_RAILTYPE_OHLE]:[TRACK_TYPE_BROAD_GAUGE_RAILTYPE_NONE]],_xlfn.LAMBDA(_xlpm.r,OR(_xlpm.r))),FALSE)</f>
        <v>0</v>
      </c>
      <c r="AH9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7" spans="1:34" x14ac:dyDescent="0.35">
      <c r="A907" s="2" t="s">
        <v>3363</v>
      </c>
      <c r="B907" s="40" t="str">
        <f>_xlfn.XLOOKUP(PROPERTIES[[#This Row],[VEHIDCODE]],CONTROL[VEHIDCODE],CONTROL[ENGLISH])</f>
        <v>Leeds/Clyde 'Standard' EMU</v>
      </c>
      <c r="G907" t="b">
        <v>1</v>
      </c>
      <c r="AC907" s="2"/>
      <c r="AD907" s="2" t="b">
        <f>LEN(_xlfn.CONCAT(TRACK_TYPES[[#This Row],[TRACK_TYPE_STANDARD_GAUGE_RAILTYPE_OHLE]:[TRACK_TYPE_MTRO]]))&gt;0</f>
        <v>1</v>
      </c>
      <c r="AE907" s="38" t="b" cm="1">
        <f t="array" ref="AE907">IFERROR(_xlfn.BYROW(TRACK_TYPES[[#This Row],[TRACK_TYPE_STANDARD_GAUGE_RAILTYPE_OHLE]:[TRACK_TYPE_STANDARD_GAUGE_RAILTYPE_NONE]],_xlfn.LAMBDA(_xlpm.r,OR(_xlpm.r))),FALSE)</f>
        <v>1</v>
      </c>
      <c r="AF907" s="38" t="b" cm="1">
        <f t="array" ref="AF907">IFERROR(_xlfn.BYROW(TRACK_TYPES[[#This Row],[TRACK_TYPE_NARROW_GAUGE_RAILTYPE_OHLE]:[TRACK_TYPE_NARROW_GAUGE_RAILTYPE_NONE]],_xlfn.LAMBDA(_xlpm.r,OR(_xlpm.r))),FALSE)</f>
        <v>0</v>
      </c>
      <c r="AG907" s="38" t="b" cm="1">
        <f t="array" ref="AG907">IFERROR(_xlfn.BYROW(TRACK_TYPES[[#This Row],[TRACK_TYPE_BROAD_GAUGE_RAILTYPE_OHLE]:[TRACK_TYPE_BROAD_GAUGE_RAILTYPE_NONE]],_xlfn.LAMBDA(_xlpm.r,OR(_xlpm.r))),FALSE)</f>
        <v>0</v>
      </c>
      <c r="AH9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8" spans="1:34" x14ac:dyDescent="0.35">
      <c r="A908" s="2" t="s">
        <v>3364</v>
      </c>
      <c r="B908" s="40" t="str">
        <f>_xlfn.XLOOKUP(PROPERTIES[[#This Row],[VEHIDCODE]],CONTROL[VEHIDCODE],CONTROL[ENGLISH])</f>
        <v>NSWGR 'Tulloch' EMU</v>
      </c>
      <c r="G908" t="b">
        <v>1</v>
      </c>
      <c r="AC908" s="2"/>
      <c r="AD908" s="2" t="b">
        <f>LEN(_xlfn.CONCAT(TRACK_TYPES[[#This Row],[TRACK_TYPE_STANDARD_GAUGE_RAILTYPE_OHLE]:[TRACK_TYPE_MTRO]]))&gt;0</f>
        <v>1</v>
      </c>
      <c r="AE908" s="38" t="b" cm="1">
        <f t="array" ref="AE908">IFERROR(_xlfn.BYROW(TRACK_TYPES[[#This Row],[TRACK_TYPE_STANDARD_GAUGE_RAILTYPE_OHLE]:[TRACK_TYPE_STANDARD_GAUGE_RAILTYPE_NONE]],_xlfn.LAMBDA(_xlpm.r,OR(_xlpm.r))),FALSE)</f>
        <v>1</v>
      </c>
      <c r="AF908" s="38" t="b" cm="1">
        <f t="array" ref="AF908">IFERROR(_xlfn.BYROW(TRACK_TYPES[[#This Row],[TRACK_TYPE_NARROW_GAUGE_RAILTYPE_OHLE]:[TRACK_TYPE_NARROW_GAUGE_RAILTYPE_NONE]],_xlfn.LAMBDA(_xlpm.r,OR(_xlpm.r))),FALSE)</f>
        <v>0</v>
      </c>
      <c r="AG908" s="38" t="b" cm="1">
        <f t="array" ref="AG908">IFERROR(_xlfn.BYROW(TRACK_TYPES[[#This Row],[TRACK_TYPE_BROAD_GAUGE_RAILTYPE_OHLE]:[TRACK_TYPE_BROAD_GAUGE_RAILTYPE_NONE]],_xlfn.LAMBDA(_xlpm.r,OR(_xlpm.r))),FALSE)</f>
        <v>0</v>
      </c>
      <c r="AH9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9" spans="1:34" x14ac:dyDescent="0.35">
      <c r="A909" s="2" t="s">
        <v>3365</v>
      </c>
      <c r="B909" s="40" t="str">
        <f>_xlfn.XLOOKUP(PROPERTIES[[#This Row],[VEHIDCODE]],CONTROL[VEHIDCODE],CONTROL[ENGLISH])</f>
        <v>Alstom X'Trapolis 100 Melbourne</v>
      </c>
      <c r="W909" t="b">
        <v>1</v>
      </c>
      <c r="AC909" s="2"/>
      <c r="AD909" s="2" t="b">
        <f>LEN(_xlfn.CONCAT(TRACK_TYPES[[#This Row],[TRACK_TYPE_STANDARD_GAUGE_RAILTYPE_OHLE]:[TRACK_TYPE_MTRO]]))&gt;0</f>
        <v>1</v>
      </c>
      <c r="AE909" s="38" t="b" cm="1">
        <f t="array" ref="AE909">IFERROR(_xlfn.BYROW(TRACK_TYPES[[#This Row],[TRACK_TYPE_STANDARD_GAUGE_RAILTYPE_OHLE]:[TRACK_TYPE_STANDARD_GAUGE_RAILTYPE_NONE]],_xlfn.LAMBDA(_xlpm.r,OR(_xlpm.r))),FALSE)</f>
        <v>0</v>
      </c>
      <c r="AF909" s="38" t="b" cm="1">
        <f t="array" ref="AF909">IFERROR(_xlfn.BYROW(TRACK_TYPES[[#This Row],[TRACK_TYPE_NARROW_GAUGE_RAILTYPE_OHLE]:[TRACK_TYPE_NARROW_GAUGE_RAILTYPE_NONE]],_xlfn.LAMBDA(_xlpm.r,OR(_xlpm.r))),FALSE)</f>
        <v>0</v>
      </c>
      <c r="AG909" s="38" t="b" cm="1">
        <f t="array" ref="AG909">IFERROR(_xlfn.BYROW(TRACK_TYPES[[#This Row],[TRACK_TYPE_BROAD_GAUGE_RAILTYPE_OHLE]:[TRACK_TYPE_BROAD_GAUGE_RAILTYPE_NONE]],_xlfn.LAMBDA(_xlpm.r,OR(_xlpm.r))),FALSE)</f>
        <v>1</v>
      </c>
      <c r="AH9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10" spans="1:34" x14ac:dyDescent="0.35">
      <c r="A910" s="2" t="s">
        <v>1832</v>
      </c>
      <c r="B910" s="40" t="str">
        <f>_xlfn.XLOOKUP(PROPERTIES[[#This Row],[VEHIDCODE]],CONTROL[VEHIDCODE],CONTROL[ENGLISH])</f>
        <v>Early American End-Platform Coach [Smaller]</v>
      </c>
      <c r="J910" s="2" t="b">
        <v>1</v>
      </c>
      <c r="R910" s="2" t="b">
        <v>1</v>
      </c>
      <c r="Z910" s="2" t="b">
        <v>1</v>
      </c>
      <c r="AC910" s="2"/>
      <c r="AD910" s="2" t="b">
        <f>LEN(_xlfn.CONCAT(TRACK_TYPES[[#This Row],[TRACK_TYPE_STANDARD_GAUGE_RAILTYPE_OHLE]:[TRACK_TYPE_MTRO]]))&gt;0</f>
        <v>1</v>
      </c>
      <c r="AE910" s="38" t="b" cm="1">
        <f t="array" ref="AE910">IFERROR(_xlfn.BYROW(TRACK_TYPES[[#This Row],[TRACK_TYPE_STANDARD_GAUGE_RAILTYPE_OHLE]:[TRACK_TYPE_STANDARD_GAUGE_RAILTYPE_NONE]],_xlfn.LAMBDA(_xlpm.r,OR(_xlpm.r))),FALSE)</f>
        <v>1</v>
      </c>
      <c r="AF910" s="38" t="b" cm="1">
        <f t="array" ref="AF910">IFERROR(_xlfn.BYROW(TRACK_TYPES[[#This Row],[TRACK_TYPE_NARROW_GAUGE_RAILTYPE_OHLE]:[TRACK_TYPE_NARROW_GAUGE_RAILTYPE_NONE]],_xlfn.LAMBDA(_xlpm.r,OR(_xlpm.r))),FALSE)</f>
        <v>1</v>
      </c>
      <c r="AG910" s="38" t="b" cm="1">
        <f t="array" ref="AG910">IFERROR(_xlfn.BYROW(TRACK_TYPES[[#This Row],[TRACK_TYPE_BROAD_GAUGE_RAILTYPE_OHLE]:[TRACK_TYPE_BROAD_GAUGE_RAILTYPE_NONE]],_xlfn.LAMBDA(_xlpm.r,OR(_xlpm.r))),FALSE)</f>
        <v>1</v>
      </c>
      <c r="AH9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1" spans="1:34" x14ac:dyDescent="0.35">
      <c r="A911" s="2" t="s">
        <v>1834</v>
      </c>
      <c r="B911" s="40" t="str">
        <f>_xlfn.XLOOKUP(PROPERTIES[[#This Row],[VEHIDCODE]],CONTROL[VEHIDCODE],CONTROL[ENGLISH])</f>
        <v>Early American End-Platform Mail Coach [Smaller]</v>
      </c>
      <c r="J911" s="2" t="b">
        <v>1</v>
      </c>
      <c r="R911" s="2" t="b">
        <v>1</v>
      </c>
      <c r="Z911" s="2" t="b">
        <v>1</v>
      </c>
      <c r="AC911" s="2"/>
      <c r="AD911" s="2" t="b">
        <f>LEN(_xlfn.CONCAT(TRACK_TYPES[[#This Row],[TRACK_TYPE_STANDARD_GAUGE_RAILTYPE_OHLE]:[TRACK_TYPE_MTRO]]))&gt;0</f>
        <v>1</v>
      </c>
      <c r="AE911" s="38" t="b" cm="1">
        <f t="array" ref="AE911">IFERROR(_xlfn.BYROW(TRACK_TYPES[[#This Row],[TRACK_TYPE_STANDARD_GAUGE_RAILTYPE_OHLE]:[TRACK_TYPE_STANDARD_GAUGE_RAILTYPE_NONE]],_xlfn.LAMBDA(_xlpm.r,OR(_xlpm.r))),FALSE)</f>
        <v>1</v>
      </c>
      <c r="AF911" s="38" t="b" cm="1">
        <f t="array" ref="AF911">IFERROR(_xlfn.BYROW(TRACK_TYPES[[#This Row],[TRACK_TYPE_NARROW_GAUGE_RAILTYPE_OHLE]:[TRACK_TYPE_NARROW_GAUGE_RAILTYPE_NONE]],_xlfn.LAMBDA(_xlpm.r,OR(_xlpm.r))),FALSE)</f>
        <v>1</v>
      </c>
      <c r="AG911" s="38" t="b" cm="1">
        <f t="array" ref="AG911">IFERROR(_xlfn.BYROW(TRACK_TYPES[[#This Row],[TRACK_TYPE_BROAD_GAUGE_RAILTYPE_OHLE]:[TRACK_TYPE_BROAD_GAUGE_RAILTYPE_NONE]],_xlfn.LAMBDA(_xlpm.r,OR(_xlpm.r))),FALSE)</f>
        <v>1</v>
      </c>
      <c r="AH9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2" spans="1:34" x14ac:dyDescent="0.35">
      <c r="A912" s="2" t="s">
        <v>1835</v>
      </c>
      <c r="B912" s="40" t="str">
        <f>_xlfn.XLOOKUP(PROPERTIES[[#This Row],[VEHIDCODE]],CONTROL[VEHIDCODE],CONTROL[ENGLISH])</f>
        <v>Early 2-axle Compartment Coach</v>
      </c>
      <c r="J912" s="2" t="b">
        <v>1</v>
      </c>
      <c r="R912" s="2" t="b">
        <v>1</v>
      </c>
      <c r="Z912" s="2" t="b">
        <v>1</v>
      </c>
      <c r="AC912" s="2"/>
      <c r="AD912" s="2" t="b">
        <f>LEN(_xlfn.CONCAT(TRACK_TYPES[[#This Row],[TRACK_TYPE_STANDARD_GAUGE_RAILTYPE_OHLE]:[TRACK_TYPE_MTRO]]))&gt;0</f>
        <v>1</v>
      </c>
      <c r="AE912" s="38" t="b" cm="1">
        <f t="array" ref="AE912">IFERROR(_xlfn.BYROW(TRACK_TYPES[[#This Row],[TRACK_TYPE_STANDARD_GAUGE_RAILTYPE_OHLE]:[TRACK_TYPE_STANDARD_GAUGE_RAILTYPE_NONE]],_xlfn.LAMBDA(_xlpm.r,OR(_xlpm.r))),FALSE)</f>
        <v>1</v>
      </c>
      <c r="AF912" s="38" t="b" cm="1">
        <f t="array" ref="AF912">IFERROR(_xlfn.BYROW(TRACK_TYPES[[#This Row],[TRACK_TYPE_NARROW_GAUGE_RAILTYPE_OHLE]:[TRACK_TYPE_NARROW_GAUGE_RAILTYPE_NONE]],_xlfn.LAMBDA(_xlpm.r,OR(_xlpm.r))),FALSE)</f>
        <v>1</v>
      </c>
      <c r="AG912" s="38" t="b" cm="1">
        <f t="array" ref="AG912">IFERROR(_xlfn.BYROW(TRACK_TYPES[[#This Row],[TRACK_TYPE_BROAD_GAUGE_RAILTYPE_OHLE]:[TRACK_TYPE_BROAD_GAUGE_RAILTYPE_NONE]],_xlfn.LAMBDA(_xlpm.r,OR(_xlpm.r))),FALSE)</f>
        <v>1</v>
      </c>
      <c r="AH9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3" spans="1:34" x14ac:dyDescent="0.35">
      <c r="A913" s="2" t="s">
        <v>1836</v>
      </c>
      <c r="B913" s="40" t="str">
        <f>_xlfn.XLOOKUP(PROPERTIES[[#This Row],[VEHIDCODE]],CONTROL[VEHIDCODE],CONTROL[ENGLISH])</f>
        <v>Early 2-axle Mail Coach</v>
      </c>
      <c r="J913" s="2" t="b">
        <v>1</v>
      </c>
      <c r="R913" s="2" t="b">
        <v>1</v>
      </c>
      <c r="Z913" s="2" t="b">
        <v>1</v>
      </c>
      <c r="AC913" s="2"/>
      <c r="AD913" s="2" t="b">
        <f>LEN(_xlfn.CONCAT(TRACK_TYPES[[#This Row],[TRACK_TYPE_STANDARD_GAUGE_RAILTYPE_OHLE]:[TRACK_TYPE_MTRO]]))&gt;0</f>
        <v>1</v>
      </c>
      <c r="AE913" s="38" t="b" cm="1">
        <f t="array" ref="AE913">IFERROR(_xlfn.BYROW(TRACK_TYPES[[#This Row],[TRACK_TYPE_STANDARD_GAUGE_RAILTYPE_OHLE]:[TRACK_TYPE_STANDARD_GAUGE_RAILTYPE_NONE]],_xlfn.LAMBDA(_xlpm.r,OR(_xlpm.r))),FALSE)</f>
        <v>1</v>
      </c>
      <c r="AF913" s="38" t="b" cm="1">
        <f t="array" ref="AF913">IFERROR(_xlfn.BYROW(TRACK_TYPES[[#This Row],[TRACK_TYPE_NARROW_GAUGE_RAILTYPE_OHLE]:[TRACK_TYPE_NARROW_GAUGE_RAILTYPE_NONE]],_xlfn.LAMBDA(_xlpm.r,OR(_xlpm.r))),FALSE)</f>
        <v>1</v>
      </c>
      <c r="AG913" s="38" t="b" cm="1">
        <f t="array" ref="AG913">IFERROR(_xlfn.BYROW(TRACK_TYPES[[#This Row],[TRACK_TYPE_BROAD_GAUGE_RAILTYPE_OHLE]:[TRACK_TYPE_BROAD_GAUGE_RAILTYPE_NONE]],_xlfn.LAMBDA(_xlpm.r,OR(_xlpm.r))),FALSE)</f>
        <v>1</v>
      </c>
      <c r="AH9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4" spans="1:34" x14ac:dyDescent="0.35">
      <c r="A914" s="2" t="s">
        <v>1839</v>
      </c>
      <c r="B914" s="40" t="str">
        <f>_xlfn.XLOOKUP(PROPERTIES[[#This Row],[VEHIDCODE]],CONTROL[VEHIDCODE],CONTROL[ENGLISH])</f>
        <v>Early 2-axle End-Platform Coach</v>
      </c>
      <c r="J914" s="2" t="b">
        <v>1</v>
      </c>
      <c r="R914" s="2" t="b">
        <v>1</v>
      </c>
      <c r="Z914" s="2" t="b">
        <v>1</v>
      </c>
      <c r="AC914" s="2"/>
      <c r="AD914" s="2" t="b">
        <f>LEN(_xlfn.CONCAT(TRACK_TYPES[[#This Row],[TRACK_TYPE_STANDARD_GAUGE_RAILTYPE_OHLE]:[TRACK_TYPE_MTRO]]))&gt;0</f>
        <v>1</v>
      </c>
      <c r="AE914" s="38" t="b" cm="1">
        <f t="array" ref="AE914">IFERROR(_xlfn.BYROW(TRACK_TYPES[[#This Row],[TRACK_TYPE_STANDARD_GAUGE_RAILTYPE_OHLE]:[TRACK_TYPE_STANDARD_GAUGE_RAILTYPE_NONE]],_xlfn.LAMBDA(_xlpm.r,OR(_xlpm.r))),FALSE)</f>
        <v>1</v>
      </c>
      <c r="AF914" s="38" t="b" cm="1">
        <f t="array" ref="AF914">IFERROR(_xlfn.BYROW(TRACK_TYPES[[#This Row],[TRACK_TYPE_NARROW_GAUGE_RAILTYPE_OHLE]:[TRACK_TYPE_NARROW_GAUGE_RAILTYPE_NONE]],_xlfn.LAMBDA(_xlpm.r,OR(_xlpm.r))),FALSE)</f>
        <v>1</v>
      </c>
      <c r="AG914" s="38" t="b" cm="1">
        <f t="array" ref="AG914">IFERROR(_xlfn.BYROW(TRACK_TYPES[[#This Row],[TRACK_TYPE_BROAD_GAUGE_RAILTYPE_OHLE]:[TRACK_TYPE_BROAD_GAUGE_RAILTYPE_NONE]],_xlfn.LAMBDA(_xlpm.r,OR(_xlpm.r))),FALSE)</f>
        <v>1</v>
      </c>
      <c r="AH9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5" spans="1:34" x14ac:dyDescent="0.35">
      <c r="A915" s="2" t="s">
        <v>1840</v>
      </c>
      <c r="B915" s="40" t="str">
        <f>_xlfn.XLOOKUP(PROPERTIES[[#This Row],[VEHIDCODE]],CONTROL[VEHIDCODE],CONTROL[ENGLISH])</f>
        <v>Early 2-axle Suburban Coach</v>
      </c>
      <c r="J915" s="2" t="b">
        <v>1</v>
      </c>
      <c r="R915" s="2" t="b">
        <v>1</v>
      </c>
      <c r="Z915" s="2" t="b">
        <v>1</v>
      </c>
      <c r="AC915" s="2"/>
      <c r="AD915" s="2" t="b">
        <f>LEN(_xlfn.CONCAT(TRACK_TYPES[[#This Row],[TRACK_TYPE_STANDARD_GAUGE_RAILTYPE_OHLE]:[TRACK_TYPE_MTRO]]))&gt;0</f>
        <v>1</v>
      </c>
      <c r="AE915" s="38" t="b" cm="1">
        <f t="array" ref="AE915">IFERROR(_xlfn.BYROW(TRACK_TYPES[[#This Row],[TRACK_TYPE_STANDARD_GAUGE_RAILTYPE_OHLE]:[TRACK_TYPE_STANDARD_GAUGE_RAILTYPE_NONE]],_xlfn.LAMBDA(_xlpm.r,OR(_xlpm.r))),FALSE)</f>
        <v>1</v>
      </c>
      <c r="AF915" s="38" t="b" cm="1">
        <f t="array" ref="AF915">IFERROR(_xlfn.BYROW(TRACK_TYPES[[#This Row],[TRACK_TYPE_NARROW_GAUGE_RAILTYPE_OHLE]:[TRACK_TYPE_NARROW_GAUGE_RAILTYPE_NONE]],_xlfn.LAMBDA(_xlpm.r,OR(_xlpm.r))),FALSE)</f>
        <v>1</v>
      </c>
      <c r="AG915" s="38" t="b" cm="1">
        <f t="array" ref="AG915">IFERROR(_xlfn.BYROW(TRACK_TYPES[[#This Row],[TRACK_TYPE_BROAD_GAUGE_RAILTYPE_OHLE]:[TRACK_TYPE_BROAD_GAUGE_RAILTYPE_NONE]],_xlfn.LAMBDA(_xlpm.r,OR(_xlpm.r))),FALSE)</f>
        <v>1</v>
      </c>
      <c r="AH9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6" spans="1:34" x14ac:dyDescent="0.35">
      <c r="A916" s="2" t="s">
        <v>1843</v>
      </c>
      <c r="B916" s="40" t="str">
        <f>_xlfn.XLOOKUP(PROPERTIES[[#This Row],[VEHIDCODE]],CONTROL[VEHIDCODE],CONTROL[ENGLISH])</f>
        <v>BREL Mk3 Coach</v>
      </c>
      <c r="J916" s="2" t="b">
        <v>1</v>
      </c>
      <c r="AC916" s="2"/>
      <c r="AD916" s="2" t="b">
        <f>LEN(_xlfn.CONCAT(TRACK_TYPES[[#This Row],[TRACK_TYPE_STANDARD_GAUGE_RAILTYPE_OHLE]:[TRACK_TYPE_MTRO]]))&gt;0</f>
        <v>1</v>
      </c>
      <c r="AE916" s="38" t="b" cm="1">
        <f t="array" ref="AE916">IFERROR(_xlfn.BYROW(TRACK_TYPES[[#This Row],[TRACK_TYPE_STANDARD_GAUGE_RAILTYPE_OHLE]:[TRACK_TYPE_STANDARD_GAUGE_RAILTYPE_NONE]],_xlfn.LAMBDA(_xlpm.r,OR(_xlpm.r))),FALSE)</f>
        <v>1</v>
      </c>
      <c r="AF916" s="38" t="b" cm="1">
        <f t="array" ref="AF916">IFERROR(_xlfn.BYROW(TRACK_TYPES[[#This Row],[TRACK_TYPE_NARROW_GAUGE_RAILTYPE_OHLE]:[TRACK_TYPE_NARROW_GAUGE_RAILTYPE_NONE]],_xlfn.LAMBDA(_xlpm.r,OR(_xlpm.r))),FALSE)</f>
        <v>0</v>
      </c>
      <c r="AG916" s="38" t="b" cm="1">
        <f t="array" ref="AG916">IFERROR(_xlfn.BYROW(TRACK_TYPES[[#This Row],[TRACK_TYPE_BROAD_GAUGE_RAILTYPE_OHLE]:[TRACK_TYPE_BROAD_GAUGE_RAILTYPE_NONE]],_xlfn.LAMBDA(_xlpm.r,OR(_xlpm.r))),FALSE)</f>
        <v>0</v>
      </c>
      <c r="AH9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7" spans="1:34" x14ac:dyDescent="0.35">
      <c r="A917" s="2" t="s">
        <v>1844</v>
      </c>
      <c r="B917" s="40" t="str">
        <f>_xlfn.XLOOKUP(PROPERTIES[[#This Row],[VEHIDCODE]],CONTROL[VEHIDCODE],CONTROL[ENGLISH])</f>
        <v>BREL Mk3 Mail Coach</v>
      </c>
      <c r="J917" s="2" t="b">
        <v>1</v>
      </c>
      <c r="AC917" s="2"/>
      <c r="AD917" s="2" t="b">
        <f>LEN(_xlfn.CONCAT(TRACK_TYPES[[#This Row],[TRACK_TYPE_STANDARD_GAUGE_RAILTYPE_OHLE]:[TRACK_TYPE_MTRO]]))&gt;0</f>
        <v>1</v>
      </c>
      <c r="AE917" s="38" t="b" cm="1">
        <f t="array" ref="AE917">IFERROR(_xlfn.BYROW(TRACK_TYPES[[#This Row],[TRACK_TYPE_STANDARD_GAUGE_RAILTYPE_OHLE]:[TRACK_TYPE_STANDARD_GAUGE_RAILTYPE_NONE]],_xlfn.LAMBDA(_xlpm.r,OR(_xlpm.r))),FALSE)</f>
        <v>1</v>
      </c>
      <c r="AF917" s="38" t="b" cm="1">
        <f t="array" ref="AF917">IFERROR(_xlfn.BYROW(TRACK_TYPES[[#This Row],[TRACK_TYPE_NARROW_GAUGE_RAILTYPE_OHLE]:[TRACK_TYPE_NARROW_GAUGE_RAILTYPE_NONE]],_xlfn.LAMBDA(_xlpm.r,OR(_xlpm.r))),FALSE)</f>
        <v>0</v>
      </c>
      <c r="AG917" s="38" t="b" cm="1">
        <f t="array" ref="AG917">IFERROR(_xlfn.BYROW(TRACK_TYPES[[#This Row],[TRACK_TYPE_BROAD_GAUGE_RAILTYPE_OHLE]:[TRACK_TYPE_BROAD_GAUGE_RAILTYPE_NONE]],_xlfn.LAMBDA(_xlpm.r,OR(_xlpm.r))),FALSE)</f>
        <v>0</v>
      </c>
      <c r="AH9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8" spans="1:34" x14ac:dyDescent="0.35">
      <c r="A918" s="2" t="s">
        <v>1846</v>
      </c>
      <c r="B918" s="40" t="str">
        <f>_xlfn.XLOOKUP(PROPERTIES[[#This Row],[VEHIDCODE]],CONTROL[VEHIDCODE],CONTROL[ENGLISH])</f>
        <v>Comeng SA2000 SDD Concept</v>
      </c>
      <c r="Z918" s="2" t="b">
        <v>1</v>
      </c>
      <c r="AC918" s="2"/>
      <c r="AD918" s="2" t="b">
        <f>LEN(_xlfn.CONCAT(TRACK_TYPES[[#This Row],[TRACK_TYPE_STANDARD_GAUGE_RAILTYPE_OHLE]:[TRACK_TYPE_MTRO]]))&gt;0</f>
        <v>1</v>
      </c>
      <c r="AE918" s="38" t="b" cm="1">
        <f t="array" ref="AE918">IFERROR(_xlfn.BYROW(TRACK_TYPES[[#This Row],[TRACK_TYPE_STANDARD_GAUGE_RAILTYPE_OHLE]:[TRACK_TYPE_STANDARD_GAUGE_RAILTYPE_NONE]],_xlfn.LAMBDA(_xlpm.r,OR(_xlpm.r))),FALSE)</f>
        <v>0</v>
      </c>
      <c r="AF918" s="38" t="b" cm="1">
        <f t="array" ref="AF918">IFERROR(_xlfn.BYROW(TRACK_TYPES[[#This Row],[TRACK_TYPE_NARROW_GAUGE_RAILTYPE_OHLE]:[TRACK_TYPE_NARROW_GAUGE_RAILTYPE_NONE]],_xlfn.LAMBDA(_xlpm.r,OR(_xlpm.r))),FALSE)</f>
        <v>0</v>
      </c>
      <c r="AG918" s="38" t="b" cm="1">
        <f t="array" ref="AG918">IFERROR(_xlfn.BYROW(TRACK_TYPES[[#This Row],[TRACK_TYPE_BROAD_GAUGE_RAILTYPE_OHLE]:[TRACK_TYPE_BROAD_GAUGE_RAILTYPE_NONE]],_xlfn.LAMBDA(_xlpm.r,OR(_xlpm.r))),FALSE)</f>
        <v>1</v>
      </c>
      <c r="AH9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19" spans="1:34" x14ac:dyDescent="0.35">
      <c r="A919" s="2" t="s">
        <v>1848</v>
      </c>
      <c r="B919" s="40" t="str">
        <f>_xlfn.XLOOKUP(PROPERTIES[[#This Row],[VEHIDCODE]],CONTROL[VEHIDCODE],CONTROL[ENGLISH])</f>
        <v>Melbourne/Goninan 4D Coach Concept</v>
      </c>
      <c r="J919" s="2" t="b">
        <v>1</v>
      </c>
      <c r="Z919" s="2" t="b">
        <v>1</v>
      </c>
      <c r="AC919" s="2"/>
      <c r="AD919" s="2" t="b">
        <f>LEN(_xlfn.CONCAT(TRACK_TYPES[[#This Row],[TRACK_TYPE_STANDARD_GAUGE_RAILTYPE_OHLE]:[TRACK_TYPE_MTRO]]))&gt;0</f>
        <v>1</v>
      </c>
      <c r="AE919" s="38" t="b" cm="1">
        <f t="array" ref="AE919">IFERROR(_xlfn.BYROW(TRACK_TYPES[[#This Row],[TRACK_TYPE_STANDARD_GAUGE_RAILTYPE_OHLE]:[TRACK_TYPE_STANDARD_GAUGE_RAILTYPE_NONE]],_xlfn.LAMBDA(_xlpm.r,OR(_xlpm.r))),FALSE)</f>
        <v>1</v>
      </c>
      <c r="AF919" s="38" t="b" cm="1">
        <f t="array" ref="AF919">IFERROR(_xlfn.BYROW(TRACK_TYPES[[#This Row],[TRACK_TYPE_NARROW_GAUGE_RAILTYPE_OHLE]:[TRACK_TYPE_NARROW_GAUGE_RAILTYPE_NONE]],_xlfn.LAMBDA(_xlpm.r,OR(_xlpm.r))),FALSE)</f>
        <v>0</v>
      </c>
      <c r="AG919" s="38" t="b" cm="1">
        <f t="array" ref="AG919">IFERROR(_xlfn.BYROW(TRACK_TYPES[[#This Row],[TRACK_TYPE_BROAD_GAUGE_RAILTYPE_OHLE]:[TRACK_TYPE_BROAD_GAUGE_RAILTYPE_NONE]],_xlfn.LAMBDA(_xlpm.r,OR(_xlpm.r))),FALSE)</f>
        <v>1</v>
      </c>
      <c r="AH9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0" spans="1:34" x14ac:dyDescent="0.35">
      <c r="A920" s="2" t="s">
        <v>1849</v>
      </c>
      <c r="B920" s="40" t="str">
        <f>_xlfn.XLOOKUP(PROPERTIES[[#This Row],[VEHIDCODE]],CONTROL[VEHIDCODE],CONTROL[ENGLISH])</f>
        <v>Tangara V-Set Hybrid Coach Concept</v>
      </c>
      <c r="J920" s="2" t="b">
        <v>1</v>
      </c>
      <c r="AC920" s="2"/>
      <c r="AD920" s="2" t="b">
        <f>LEN(_xlfn.CONCAT(TRACK_TYPES[[#This Row],[TRACK_TYPE_STANDARD_GAUGE_RAILTYPE_OHLE]:[TRACK_TYPE_MTRO]]))&gt;0</f>
        <v>1</v>
      </c>
      <c r="AE920" s="38" t="b" cm="1">
        <f t="array" ref="AE920">IFERROR(_xlfn.BYROW(TRACK_TYPES[[#This Row],[TRACK_TYPE_STANDARD_GAUGE_RAILTYPE_OHLE]:[TRACK_TYPE_STANDARD_GAUGE_RAILTYPE_NONE]],_xlfn.LAMBDA(_xlpm.r,OR(_xlpm.r))),FALSE)</f>
        <v>1</v>
      </c>
      <c r="AF920" s="38" t="b" cm="1">
        <f t="array" ref="AF920">IFERROR(_xlfn.BYROW(TRACK_TYPES[[#This Row],[TRACK_TYPE_NARROW_GAUGE_RAILTYPE_OHLE]:[TRACK_TYPE_NARROW_GAUGE_RAILTYPE_NONE]],_xlfn.LAMBDA(_xlpm.r,OR(_xlpm.r))),FALSE)</f>
        <v>0</v>
      </c>
      <c r="AG920" s="38" t="b" cm="1">
        <f t="array" ref="AG920">IFERROR(_xlfn.BYROW(TRACK_TYPES[[#This Row],[TRACK_TYPE_BROAD_GAUGE_RAILTYPE_OHLE]:[TRACK_TYPE_BROAD_GAUGE_RAILTYPE_NONE]],_xlfn.LAMBDA(_xlpm.r,OR(_xlpm.r))),FALSE)</f>
        <v>0</v>
      </c>
      <c r="AH9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1" spans="1:34" x14ac:dyDescent="0.35">
      <c r="A921" s="2" t="s">
        <v>1851</v>
      </c>
      <c r="B921" s="40" t="str">
        <f>_xlfn.XLOOKUP(PROPERTIES[[#This Row],[VEHIDCODE]],CONTROL[VEHIDCODE],CONTROL[ENGLISH])</f>
        <v>NZR Silver Star Coach</v>
      </c>
      <c r="R921" s="2" t="b">
        <v>1</v>
      </c>
      <c r="AC921" s="2"/>
      <c r="AD921" s="2" t="b">
        <f>LEN(_xlfn.CONCAT(TRACK_TYPES[[#This Row],[TRACK_TYPE_STANDARD_GAUGE_RAILTYPE_OHLE]:[TRACK_TYPE_MTRO]]))&gt;0</f>
        <v>1</v>
      </c>
      <c r="AE921" s="38" t="b" cm="1">
        <f t="array" ref="AE921">IFERROR(_xlfn.BYROW(TRACK_TYPES[[#This Row],[TRACK_TYPE_STANDARD_GAUGE_RAILTYPE_OHLE]:[TRACK_TYPE_STANDARD_GAUGE_RAILTYPE_NONE]],_xlfn.LAMBDA(_xlpm.r,OR(_xlpm.r))),FALSE)</f>
        <v>0</v>
      </c>
      <c r="AF921" s="38" t="b" cm="1">
        <f t="array" ref="AF921">IFERROR(_xlfn.BYROW(TRACK_TYPES[[#This Row],[TRACK_TYPE_NARROW_GAUGE_RAILTYPE_OHLE]:[TRACK_TYPE_NARROW_GAUGE_RAILTYPE_NONE]],_xlfn.LAMBDA(_xlpm.r,OR(_xlpm.r))),FALSE)</f>
        <v>1</v>
      </c>
      <c r="AG921" s="38" t="b" cm="1">
        <f t="array" ref="AG921">IFERROR(_xlfn.BYROW(TRACK_TYPES[[#This Row],[TRACK_TYPE_BROAD_GAUGE_RAILTYPE_OHLE]:[TRACK_TYPE_BROAD_GAUGE_RAILTYPE_NONE]],_xlfn.LAMBDA(_xlpm.r,OR(_xlpm.r))),FALSE)</f>
        <v>0</v>
      </c>
      <c r="AH9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22" spans="1:34" x14ac:dyDescent="0.35">
      <c r="A922" s="2" t="s">
        <v>1853</v>
      </c>
      <c r="B922" s="40" t="str">
        <f>_xlfn.XLOOKUP(PROPERTIES[[#This Row],[VEHIDCODE]],CONTROL[VEHIDCODE],CONTROL[ENGLISH])</f>
        <v>NZR Silver Star Mail Coach</v>
      </c>
      <c r="R922" s="2" t="b">
        <v>1</v>
      </c>
      <c r="AC922" s="2"/>
      <c r="AD922" s="2" t="b">
        <f>LEN(_xlfn.CONCAT(TRACK_TYPES[[#This Row],[TRACK_TYPE_STANDARD_GAUGE_RAILTYPE_OHLE]:[TRACK_TYPE_MTRO]]))&gt;0</f>
        <v>1</v>
      </c>
      <c r="AE922" s="38" t="b" cm="1">
        <f t="array" ref="AE922">IFERROR(_xlfn.BYROW(TRACK_TYPES[[#This Row],[TRACK_TYPE_STANDARD_GAUGE_RAILTYPE_OHLE]:[TRACK_TYPE_STANDARD_GAUGE_RAILTYPE_NONE]],_xlfn.LAMBDA(_xlpm.r,OR(_xlpm.r))),FALSE)</f>
        <v>0</v>
      </c>
      <c r="AF922" s="38" t="b" cm="1">
        <f t="array" ref="AF922">IFERROR(_xlfn.BYROW(TRACK_TYPES[[#This Row],[TRACK_TYPE_NARROW_GAUGE_RAILTYPE_OHLE]:[TRACK_TYPE_NARROW_GAUGE_RAILTYPE_NONE]],_xlfn.LAMBDA(_xlpm.r,OR(_xlpm.r))),FALSE)</f>
        <v>1</v>
      </c>
      <c r="AG922" s="38" t="b" cm="1">
        <f t="array" ref="AG922">IFERROR(_xlfn.BYROW(TRACK_TYPES[[#This Row],[TRACK_TYPE_BROAD_GAUGE_RAILTYPE_OHLE]:[TRACK_TYPE_BROAD_GAUGE_RAILTYPE_NONE]],_xlfn.LAMBDA(_xlpm.r,OR(_xlpm.r))),FALSE)</f>
        <v>0</v>
      </c>
      <c r="AH9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23" spans="1:34" x14ac:dyDescent="0.35">
      <c r="A923" s="2" t="s">
        <v>1855</v>
      </c>
      <c r="B923" s="40" t="str">
        <f>_xlfn.XLOOKUP(PROPERTIES[[#This Row],[VEHIDCODE]],CONTROL[VEHIDCODE],CONTROL[ENGLISH])</f>
        <v>Comeng High Speed Coach</v>
      </c>
      <c r="J923" s="2" t="b">
        <v>1</v>
      </c>
      <c r="Z923" s="2" t="b">
        <v>1</v>
      </c>
      <c r="AC923" s="2"/>
      <c r="AD923" s="2" t="b">
        <f>LEN(_xlfn.CONCAT(TRACK_TYPES[[#This Row],[TRACK_TYPE_STANDARD_GAUGE_RAILTYPE_OHLE]:[TRACK_TYPE_MTRO]]))&gt;0</f>
        <v>1</v>
      </c>
      <c r="AE923" s="38" t="b" cm="1">
        <f t="array" ref="AE923">IFERROR(_xlfn.BYROW(TRACK_TYPES[[#This Row],[TRACK_TYPE_STANDARD_GAUGE_RAILTYPE_OHLE]:[TRACK_TYPE_STANDARD_GAUGE_RAILTYPE_NONE]],_xlfn.LAMBDA(_xlpm.r,OR(_xlpm.r))),FALSE)</f>
        <v>1</v>
      </c>
      <c r="AF923" s="38" t="b" cm="1">
        <f t="array" ref="AF923">IFERROR(_xlfn.BYROW(TRACK_TYPES[[#This Row],[TRACK_TYPE_NARROW_GAUGE_RAILTYPE_OHLE]:[TRACK_TYPE_NARROW_GAUGE_RAILTYPE_NONE]],_xlfn.LAMBDA(_xlpm.r,OR(_xlpm.r))),FALSE)</f>
        <v>0</v>
      </c>
      <c r="AG923" s="38" t="b" cm="1">
        <f t="array" ref="AG923">IFERROR(_xlfn.BYROW(TRACK_TYPES[[#This Row],[TRACK_TYPE_BROAD_GAUGE_RAILTYPE_OHLE]:[TRACK_TYPE_BROAD_GAUGE_RAILTYPE_NONE]],_xlfn.LAMBDA(_xlpm.r,OR(_xlpm.r))),FALSE)</f>
        <v>1</v>
      </c>
      <c r="AH9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4" spans="1:34" x14ac:dyDescent="0.35">
      <c r="A924" s="2" t="s">
        <v>1856</v>
      </c>
      <c r="B924" s="40" t="str">
        <f>_xlfn.XLOOKUP(PROPERTIES[[#This Row],[VEHIDCODE]],CONTROL[VEHIDCODE],CONTROL[ENGLISH])</f>
        <v>Comeng High Speed Mail Coach</v>
      </c>
      <c r="J924" s="2" t="b">
        <v>1</v>
      </c>
      <c r="Z924" s="2" t="b">
        <v>1</v>
      </c>
      <c r="AC924" s="2"/>
      <c r="AD924" s="2" t="b">
        <f>LEN(_xlfn.CONCAT(TRACK_TYPES[[#This Row],[TRACK_TYPE_STANDARD_GAUGE_RAILTYPE_OHLE]:[TRACK_TYPE_MTRO]]))&gt;0</f>
        <v>1</v>
      </c>
      <c r="AE924" s="38" t="b" cm="1">
        <f t="array" ref="AE924">IFERROR(_xlfn.BYROW(TRACK_TYPES[[#This Row],[TRACK_TYPE_STANDARD_GAUGE_RAILTYPE_OHLE]:[TRACK_TYPE_STANDARD_GAUGE_RAILTYPE_NONE]],_xlfn.LAMBDA(_xlpm.r,OR(_xlpm.r))),FALSE)</f>
        <v>1</v>
      </c>
      <c r="AF924" s="38" t="b" cm="1">
        <f t="array" ref="AF924">IFERROR(_xlfn.BYROW(TRACK_TYPES[[#This Row],[TRACK_TYPE_NARROW_GAUGE_RAILTYPE_OHLE]:[TRACK_TYPE_NARROW_GAUGE_RAILTYPE_NONE]],_xlfn.LAMBDA(_xlpm.r,OR(_xlpm.r))),FALSE)</f>
        <v>0</v>
      </c>
      <c r="AG924" s="38" t="b" cm="1">
        <f t="array" ref="AG924">IFERROR(_xlfn.BYROW(TRACK_TYPES[[#This Row],[TRACK_TYPE_BROAD_GAUGE_RAILTYPE_OHLE]:[TRACK_TYPE_BROAD_GAUGE_RAILTYPE_NONE]],_xlfn.LAMBDA(_xlpm.r,OR(_xlpm.r))),FALSE)</f>
        <v>1</v>
      </c>
      <c r="AH9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5" spans="1:34" x14ac:dyDescent="0.35">
      <c r="A925" s="2" t="s">
        <v>1860</v>
      </c>
      <c r="B925" s="40" t="str">
        <f>_xlfn.XLOOKUP(PROPERTIES[[#This Row],[VEHIDCODE]],CONTROL[VEHIDCODE],CONTROL[ENGLISH])</f>
        <v>Comeng-M&amp;K H-Type Suburban Coach</v>
      </c>
      <c r="J925" s="2" t="b">
        <v>1</v>
      </c>
      <c r="Z925" s="2" t="b">
        <v>1</v>
      </c>
      <c r="AC925" s="2"/>
      <c r="AD925" s="2" t="b">
        <f>LEN(_xlfn.CONCAT(TRACK_TYPES[[#This Row],[TRACK_TYPE_STANDARD_GAUGE_RAILTYPE_OHLE]:[TRACK_TYPE_MTRO]]))&gt;0</f>
        <v>1</v>
      </c>
      <c r="AE925" s="38" t="b" cm="1">
        <f t="array" ref="AE925">IFERROR(_xlfn.BYROW(TRACK_TYPES[[#This Row],[TRACK_TYPE_STANDARD_GAUGE_RAILTYPE_OHLE]:[TRACK_TYPE_STANDARD_GAUGE_RAILTYPE_NONE]],_xlfn.LAMBDA(_xlpm.r,OR(_xlpm.r))),FALSE)</f>
        <v>1</v>
      </c>
      <c r="AF925" s="38" t="b" cm="1">
        <f t="array" ref="AF925">IFERROR(_xlfn.BYROW(TRACK_TYPES[[#This Row],[TRACK_TYPE_NARROW_GAUGE_RAILTYPE_OHLE]:[TRACK_TYPE_NARROW_GAUGE_RAILTYPE_NONE]],_xlfn.LAMBDA(_xlpm.r,OR(_xlpm.r))),FALSE)</f>
        <v>0</v>
      </c>
      <c r="AG925" s="38" t="b" cm="1">
        <f t="array" ref="AG925">IFERROR(_xlfn.BYROW(TRACK_TYPES[[#This Row],[TRACK_TYPE_BROAD_GAUGE_RAILTYPE_OHLE]:[TRACK_TYPE_BROAD_GAUGE_RAILTYPE_NONE]],_xlfn.LAMBDA(_xlpm.r,OR(_xlpm.r))),FALSE)</f>
        <v>1</v>
      </c>
      <c r="AH9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6" spans="1:34" x14ac:dyDescent="0.35">
      <c r="A926" s="2" t="s">
        <v>1862</v>
      </c>
      <c r="B926" s="40" t="str">
        <f>_xlfn.XLOOKUP(PROPERTIES[[#This Row],[VEHIDCODE]],CONTROL[VEHIDCODE],CONTROL[ENGLISH])</f>
        <v>NSWGR 'Tulloch' RUB Coach</v>
      </c>
      <c r="J926" s="2" t="b">
        <v>1</v>
      </c>
      <c r="AC926" s="2"/>
      <c r="AD926" s="2" t="b">
        <f>LEN(_xlfn.CONCAT(TRACK_TYPES[[#This Row],[TRACK_TYPE_STANDARD_GAUGE_RAILTYPE_OHLE]:[TRACK_TYPE_MTRO]]))&gt;0</f>
        <v>1</v>
      </c>
      <c r="AE926" s="38" t="b" cm="1">
        <f t="array" ref="AE926">IFERROR(_xlfn.BYROW(TRACK_TYPES[[#This Row],[TRACK_TYPE_STANDARD_GAUGE_RAILTYPE_OHLE]:[TRACK_TYPE_STANDARD_GAUGE_RAILTYPE_NONE]],_xlfn.LAMBDA(_xlpm.r,OR(_xlpm.r))),FALSE)</f>
        <v>1</v>
      </c>
      <c r="AF926" s="38" t="b" cm="1">
        <f t="array" ref="AF926">IFERROR(_xlfn.BYROW(TRACK_TYPES[[#This Row],[TRACK_TYPE_NARROW_GAUGE_RAILTYPE_OHLE]:[TRACK_TYPE_NARROW_GAUGE_RAILTYPE_NONE]],_xlfn.LAMBDA(_xlpm.r,OR(_xlpm.r))),FALSE)</f>
        <v>0</v>
      </c>
      <c r="AG926" s="38" t="b" cm="1">
        <f t="array" ref="AG926">IFERROR(_xlfn.BYROW(TRACK_TYPES[[#This Row],[TRACK_TYPE_BROAD_GAUGE_RAILTYPE_OHLE]:[TRACK_TYPE_BROAD_GAUGE_RAILTYPE_NONE]],_xlfn.LAMBDA(_xlpm.r,OR(_xlpm.r))),FALSE)</f>
        <v>0</v>
      </c>
      <c r="AH9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7" spans="1:34" x14ac:dyDescent="0.35">
      <c r="A927" s="2" t="s">
        <v>1863</v>
      </c>
      <c r="B927" s="40" t="str">
        <f>_xlfn.XLOOKUP(PROPERTIES[[#This Row],[VEHIDCODE]],CONTROL[VEHIDCODE],CONTROL[ENGLISH])</f>
        <v>NSWGR 'Tulloch' RUB Mail Coach</v>
      </c>
      <c r="J927" s="2" t="b">
        <v>1</v>
      </c>
      <c r="AC927" s="2"/>
      <c r="AD927" s="2" t="b">
        <f>LEN(_xlfn.CONCAT(TRACK_TYPES[[#This Row],[TRACK_TYPE_STANDARD_GAUGE_RAILTYPE_OHLE]:[TRACK_TYPE_MTRO]]))&gt;0</f>
        <v>1</v>
      </c>
      <c r="AE927" s="38" t="b" cm="1">
        <f t="array" ref="AE927">IFERROR(_xlfn.BYROW(TRACK_TYPES[[#This Row],[TRACK_TYPE_STANDARD_GAUGE_RAILTYPE_OHLE]:[TRACK_TYPE_STANDARD_GAUGE_RAILTYPE_NONE]],_xlfn.LAMBDA(_xlpm.r,OR(_xlpm.r))),FALSE)</f>
        <v>1</v>
      </c>
      <c r="AF927" s="38" t="b" cm="1">
        <f t="array" ref="AF927">IFERROR(_xlfn.BYROW(TRACK_TYPES[[#This Row],[TRACK_TYPE_NARROW_GAUGE_RAILTYPE_OHLE]:[TRACK_TYPE_NARROW_GAUGE_RAILTYPE_NONE]],_xlfn.LAMBDA(_xlpm.r,OR(_xlpm.r))),FALSE)</f>
        <v>0</v>
      </c>
      <c r="AG927" s="38" t="b" cm="1">
        <f t="array" ref="AG927">IFERROR(_xlfn.BYROW(TRACK_TYPES[[#This Row],[TRACK_TYPE_BROAD_GAUGE_RAILTYPE_OHLE]:[TRACK_TYPE_BROAD_GAUGE_RAILTYPE_NONE]],_xlfn.LAMBDA(_xlpm.r,OR(_xlpm.r))),FALSE)</f>
        <v>0</v>
      </c>
      <c r="AH9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8" spans="1:34" x14ac:dyDescent="0.35">
      <c r="A928" s="2" t="s">
        <v>1865</v>
      </c>
      <c r="B928" s="40" t="str">
        <f>_xlfn.XLOOKUP(PROPERTIES[[#This Row],[VEHIDCODE]],CONTROL[VEHIDCODE],CONTROL[ENGLISH])</f>
        <v>WAGR AY Suburban Coaches</v>
      </c>
      <c r="R928" s="2" t="b">
        <v>1</v>
      </c>
      <c r="AC928" s="2"/>
      <c r="AD928" s="2" t="b">
        <f>LEN(_xlfn.CONCAT(TRACK_TYPES[[#This Row],[TRACK_TYPE_STANDARD_GAUGE_RAILTYPE_OHLE]:[TRACK_TYPE_MTRO]]))&gt;0</f>
        <v>1</v>
      </c>
      <c r="AE928" s="38" t="b" cm="1">
        <f t="array" ref="AE928">IFERROR(_xlfn.BYROW(TRACK_TYPES[[#This Row],[TRACK_TYPE_STANDARD_GAUGE_RAILTYPE_OHLE]:[TRACK_TYPE_STANDARD_GAUGE_RAILTYPE_NONE]],_xlfn.LAMBDA(_xlpm.r,OR(_xlpm.r))),FALSE)</f>
        <v>0</v>
      </c>
      <c r="AF928" s="38" t="b" cm="1">
        <f t="array" ref="AF928">IFERROR(_xlfn.BYROW(TRACK_TYPES[[#This Row],[TRACK_TYPE_NARROW_GAUGE_RAILTYPE_OHLE]:[TRACK_TYPE_NARROW_GAUGE_RAILTYPE_NONE]],_xlfn.LAMBDA(_xlpm.r,OR(_xlpm.r))),FALSE)</f>
        <v>1</v>
      </c>
      <c r="AG928" s="38" t="b" cm="1">
        <f t="array" ref="AG928">IFERROR(_xlfn.BYROW(TRACK_TYPES[[#This Row],[TRACK_TYPE_BROAD_GAUGE_RAILTYPE_OHLE]:[TRACK_TYPE_BROAD_GAUGE_RAILTYPE_NONE]],_xlfn.LAMBDA(_xlpm.r,OR(_xlpm.r))),FALSE)</f>
        <v>0</v>
      </c>
      <c r="AH9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29" spans="1:34" x14ac:dyDescent="0.35">
      <c r="A929" s="2" t="s">
        <v>1867</v>
      </c>
      <c r="B929" s="40" t="str">
        <f>_xlfn.XLOOKUP(PROPERTIES[[#This Row],[VEHIDCODE]],CONTROL[VEHIDCODE],CONTROL[ENGLISH])</f>
        <v>NZR 56ft Coach</v>
      </c>
      <c r="R929" s="2" t="b">
        <v>1</v>
      </c>
      <c r="AC929" s="2"/>
      <c r="AD929" s="2" t="b">
        <f>LEN(_xlfn.CONCAT(TRACK_TYPES[[#This Row],[TRACK_TYPE_STANDARD_GAUGE_RAILTYPE_OHLE]:[TRACK_TYPE_MTRO]]))&gt;0</f>
        <v>1</v>
      </c>
      <c r="AE929" s="38" t="b" cm="1">
        <f t="array" ref="AE929">IFERROR(_xlfn.BYROW(TRACK_TYPES[[#This Row],[TRACK_TYPE_STANDARD_GAUGE_RAILTYPE_OHLE]:[TRACK_TYPE_STANDARD_GAUGE_RAILTYPE_NONE]],_xlfn.LAMBDA(_xlpm.r,OR(_xlpm.r))),FALSE)</f>
        <v>0</v>
      </c>
      <c r="AF929" s="38" t="b" cm="1">
        <f t="array" ref="AF929">IFERROR(_xlfn.BYROW(TRACK_TYPES[[#This Row],[TRACK_TYPE_NARROW_GAUGE_RAILTYPE_OHLE]:[TRACK_TYPE_NARROW_GAUGE_RAILTYPE_NONE]],_xlfn.LAMBDA(_xlpm.r,OR(_xlpm.r))),FALSE)</f>
        <v>1</v>
      </c>
      <c r="AG929" s="38" t="b" cm="1">
        <f t="array" ref="AG929">IFERROR(_xlfn.BYROW(TRACK_TYPES[[#This Row],[TRACK_TYPE_BROAD_GAUGE_RAILTYPE_OHLE]:[TRACK_TYPE_BROAD_GAUGE_RAILTYPE_NONE]],_xlfn.LAMBDA(_xlpm.r,OR(_xlpm.r))),FALSE)</f>
        <v>0</v>
      </c>
      <c r="AH9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0" spans="1:34" x14ac:dyDescent="0.35">
      <c r="A930" s="2" t="s">
        <v>1868</v>
      </c>
      <c r="B930" s="40" t="str">
        <f>_xlfn.XLOOKUP(PROPERTIES[[#This Row],[VEHIDCODE]],CONTROL[VEHIDCODE],CONTROL[ENGLISH])</f>
        <v>NZR 56ft Mail Coach</v>
      </c>
      <c r="R930" s="2" t="b">
        <v>1</v>
      </c>
      <c r="AC930" s="2"/>
      <c r="AD930" s="2" t="b">
        <f>LEN(_xlfn.CONCAT(TRACK_TYPES[[#This Row],[TRACK_TYPE_STANDARD_GAUGE_RAILTYPE_OHLE]:[TRACK_TYPE_MTRO]]))&gt;0</f>
        <v>1</v>
      </c>
      <c r="AE930" s="38" t="b" cm="1">
        <f t="array" ref="AE930">IFERROR(_xlfn.BYROW(TRACK_TYPES[[#This Row],[TRACK_TYPE_STANDARD_GAUGE_RAILTYPE_OHLE]:[TRACK_TYPE_STANDARD_GAUGE_RAILTYPE_NONE]],_xlfn.LAMBDA(_xlpm.r,OR(_xlpm.r))),FALSE)</f>
        <v>0</v>
      </c>
      <c r="AF930" s="38" t="b" cm="1">
        <f t="array" ref="AF930">IFERROR(_xlfn.BYROW(TRACK_TYPES[[#This Row],[TRACK_TYPE_NARROW_GAUGE_RAILTYPE_OHLE]:[TRACK_TYPE_NARROW_GAUGE_RAILTYPE_NONE]],_xlfn.LAMBDA(_xlpm.r,OR(_xlpm.r))),FALSE)</f>
        <v>1</v>
      </c>
      <c r="AG930" s="38" t="b" cm="1">
        <f t="array" ref="AG930">IFERROR(_xlfn.BYROW(TRACK_TYPES[[#This Row],[TRACK_TYPE_BROAD_GAUGE_RAILTYPE_OHLE]:[TRACK_TYPE_BROAD_GAUGE_RAILTYPE_NONE]],_xlfn.LAMBDA(_xlpm.r,OR(_xlpm.r))),FALSE)</f>
        <v>0</v>
      </c>
      <c r="AH9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1" spans="1:34" x14ac:dyDescent="0.35">
      <c r="A931" s="2" t="s">
        <v>1876</v>
      </c>
      <c r="B931" s="40" t="str">
        <f>_xlfn.XLOOKUP(PROPERTIES[[#This Row],[VEHIDCODE]],CONTROL[VEHIDCODE],CONTROL[ENGLISH])</f>
        <v>NZR 50ft Coach</v>
      </c>
      <c r="R931" s="2" t="b">
        <v>1</v>
      </c>
      <c r="AC931" s="2"/>
      <c r="AD931" s="2" t="b">
        <f>LEN(_xlfn.CONCAT(TRACK_TYPES[[#This Row],[TRACK_TYPE_STANDARD_GAUGE_RAILTYPE_OHLE]:[TRACK_TYPE_MTRO]]))&gt;0</f>
        <v>1</v>
      </c>
      <c r="AE931" s="38" t="b" cm="1">
        <f t="array" ref="AE931">IFERROR(_xlfn.BYROW(TRACK_TYPES[[#This Row],[TRACK_TYPE_STANDARD_GAUGE_RAILTYPE_OHLE]:[TRACK_TYPE_STANDARD_GAUGE_RAILTYPE_NONE]],_xlfn.LAMBDA(_xlpm.r,OR(_xlpm.r))),FALSE)</f>
        <v>0</v>
      </c>
      <c r="AF931" s="38" t="b" cm="1">
        <f t="array" ref="AF931">IFERROR(_xlfn.BYROW(TRACK_TYPES[[#This Row],[TRACK_TYPE_NARROW_GAUGE_RAILTYPE_OHLE]:[TRACK_TYPE_NARROW_GAUGE_RAILTYPE_NONE]],_xlfn.LAMBDA(_xlpm.r,OR(_xlpm.r))),FALSE)</f>
        <v>1</v>
      </c>
      <c r="AG931" s="38" t="b" cm="1">
        <f t="array" ref="AG931">IFERROR(_xlfn.BYROW(TRACK_TYPES[[#This Row],[TRACK_TYPE_BROAD_GAUGE_RAILTYPE_OHLE]:[TRACK_TYPE_BROAD_GAUGE_RAILTYPE_NONE]],_xlfn.LAMBDA(_xlpm.r,OR(_xlpm.r))),FALSE)</f>
        <v>0</v>
      </c>
      <c r="AH9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2" spans="1:34" x14ac:dyDescent="0.35">
      <c r="A932" s="2" t="s">
        <v>1877</v>
      </c>
      <c r="B932" s="40" t="str">
        <f>_xlfn.XLOOKUP(PROPERTIES[[#This Row],[VEHIDCODE]],CONTROL[VEHIDCODE],CONTROL[ENGLISH])</f>
        <v>NZR 50ft Mail Coach</v>
      </c>
      <c r="R932" s="2" t="b">
        <v>1</v>
      </c>
      <c r="AC932" s="2"/>
      <c r="AD932" s="2" t="b">
        <f>LEN(_xlfn.CONCAT(TRACK_TYPES[[#This Row],[TRACK_TYPE_STANDARD_GAUGE_RAILTYPE_OHLE]:[TRACK_TYPE_MTRO]]))&gt;0</f>
        <v>1</v>
      </c>
      <c r="AE932" s="38" t="b" cm="1">
        <f t="array" ref="AE932">IFERROR(_xlfn.BYROW(TRACK_TYPES[[#This Row],[TRACK_TYPE_STANDARD_GAUGE_RAILTYPE_OHLE]:[TRACK_TYPE_STANDARD_GAUGE_RAILTYPE_NONE]],_xlfn.LAMBDA(_xlpm.r,OR(_xlpm.r))),FALSE)</f>
        <v>0</v>
      </c>
      <c r="AF932" s="38" t="b" cm="1">
        <f t="array" ref="AF932">IFERROR(_xlfn.BYROW(TRACK_TYPES[[#This Row],[TRACK_TYPE_NARROW_GAUGE_RAILTYPE_OHLE]:[TRACK_TYPE_NARROW_GAUGE_RAILTYPE_NONE]],_xlfn.LAMBDA(_xlpm.r,OR(_xlpm.r))),FALSE)</f>
        <v>1</v>
      </c>
      <c r="AG932" s="38" t="b" cm="1">
        <f t="array" ref="AG932">IFERROR(_xlfn.BYROW(TRACK_TYPES[[#This Row],[TRACK_TYPE_BROAD_GAUGE_RAILTYPE_OHLE]:[TRACK_TYPE_BROAD_GAUGE_RAILTYPE_NONE]],_xlfn.LAMBDA(_xlpm.r,OR(_xlpm.r))),FALSE)</f>
        <v>0</v>
      </c>
      <c r="AH9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3" spans="1:34" x14ac:dyDescent="0.35">
      <c r="A933" s="2" t="s">
        <v>1879</v>
      </c>
      <c r="B933" s="40" t="str">
        <f>_xlfn.XLOOKUP(PROPERTIES[[#This Row],[VEHIDCODE]],CONTROL[VEHIDCODE],CONTROL[ENGLISH])</f>
        <v>KA Type Tram Car</v>
      </c>
      <c r="J933" s="2" t="b">
        <v>1</v>
      </c>
      <c r="Z933" s="2" t="b">
        <v>1</v>
      </c>
      <c r="AC933" s="2"/>
      <c r="AD933" s="2" t="b">
        <f>LEN(_xlfn.CONCAT(TRACK_TYPES[[#This Row],[TRACK_TYPE_STANDARD_GAUGE_RAILTYPE_OHLE]:[TRACK_TYPE_MTRO]]))&gt;0</f>
        <v>1</v>
      </c>
      <c r="AE933" s="38" t="b" cm="1">
        <f t="array" ref="AE933">IFERROR(_xlfn.BYROW(TRACK_TYPES[[#This Row],[TRACK_TYPE_STANDARD_GAUGE_RAILTYPE_OHLE]:[TRACK_TYPE_STANDARD_GAUGE_RAILTYPE_NONE]],_xlfn.LAMBDA(_xlpm.r,OR(_xlpm.r))),FALSE)</f>
        <v>1</v>
      </c>
      <c r="AF933" s="38" t="b" cm="1">
        <f t="array" ref="AF933">IFERROR(_xlfn.BYROW(TRACK_TYPES[[#This Row],[TRACK_TYPE_NARROW_GAUGE_RAILTYPE_OHLE]:[TRACK_TYPE_NARROW_GAUGE_RAILTYPE_NONE]],_xlfn.LAMBDA(_xlpm.r,OR(_xlpm.r))),FALSE)</f>
        <v>0</v>
      </c>
      <c r="AG933" s="38" t="b" cm="1">
        <f t="array" ref="AG933">IFERROR(_xlfn.BYROW(TRACK_TYPES[[#This Row],[TRACK_TYPE_BROAD_GAUGE_RAILTYPE_OHLE]:[TRACK_TYPE_BROAD_GAUGE_RAILTYPE_NONE]],_xlfn.LAMBDA(_xlpm.r,OR(_xlpm.r))),FALSE)</f>
        <v>1</v>
      </c>
      <c r="AH9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34" spans="1:34" x14ac:dyDescent="0.35">
      <c r="A934" s="2" t="s">
        <v>3366</v>
      </c>
      <c r="B934" s="40" t="str">
        <f>_xlfn.XLOOKUP(PROPERTIES[[#This Row],[VEHIDCODE]],CONTROL[VEHIDCODE],CONTROL[ENGLISH])</f>
        <v>Comeng 86 Class</v>
      </c>
      <c r="G934" t="b">
        <v>1</v>
      </c>
      <c r="AC934" s="2"/>
      <c r="AD934" s="2" t="b">
        <f>LEN(_xlfn.CONCAT(TRACK_TYPES[[#This Row],[TRACK_TYPE_STANDARD_GAUGE_RAILTYPE_OHLE]:[TRACK_TYPE_MTRO]]))&gt;0</f>
        <v>1</v>
      </c>
      <c r="AE934" s="38" t="b" cm="1">
        <f t="array" ref="AE934">IFERROR(_xlfn.BYROW(TRACK_TYPES[[#This Row],[TRACK_TYPE_STANDARD_GAUGE_RAILTYPE_OHLE]:[TRACK_TYPE_STANDARD_GAUGE_RAILTYPE_NONE]],_xlfn.LAMBDA(_xlpm.r,OR(_xlpm.r))),FALSE)</f>
        <v>1</v>
      </c>
      <c r="AF934" s="38" t="b" cm="1">
        <f t="array" ref="AF934">IFERROR(_xlfn.BYROW(TRACK_TYPES[[#This Row],[TRACK_TYPE_NARROW_GAUGE_RAILTYPE_OHLE]:[TRACK_TYPE_NARROW_GAUGE_RAILTYPE_NONE]],_xlfn.LAMBDA(_xlpm.r,OR(_xlpm.r))),FALSE)</f>
        <v>0</v>
      </c>
      <c r="AG934" s="38" t="b" cm="1">
        <f t="array" ref="AG934">IFERROR(_xlfn.BYROW(TRACK_TYPES[[#This Row],[TRACK_TYPE_BROAD_GAUGE_RAILTYPE_OHLE]:[TRACK_TYPE_BROAD_GAUGE_RAILTYPE_NONE]],_xlfn.LAMBDA(_xlpm.r,OR(_xlpm.r))),FALSE)</f>
        <v>0</v>
      </c>
      <c r="AH9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35" spans="1:34" x14ac:dyDescent="0.35">
      <c r="A935" s="2" t="s">
        <v>3240</v>
      </c>
      <c r="B935" s="40" t="str">
        <f>_xlfn.XLOOKUP(PROPERTIES[[#This Row],[VEHIDCODE]],CONTROL[VEHIDCODE],CONTROL[ENGLISH])</f>
        <v>Ganz-MAVAG EM/ET</v>
      </c>
      <c r="O935" t="b">
        <v>1</v>
      </c>
      <c r="AC935" s="2"/>
      <c r="AD935" s="2" t="b">
        <f>LEN(_xlfn.CONCAT(TRACK_TYPES[[#This Row],[TRACK_TYPE_STANDARD_GAUGE_RAILTYPE_OHLE]:[TRACK_TYPE_MTRO]]))&gt;0</f>
        <v>1</v>
      </c>
      <c r="AE935" s="38" t="b" cm="1">
        <f t="array" ref="AE935">IFERROR(_xlfn.BYROW(TRACK_TYPES[[#This Row],[TRACK_TYPE_STANDARD_GAUGE_RAILTYPE_OHLE]:[TRACK_TYPE_STANDARD_GAUGE_RAILTYPE_NONE]],_xlfn.LAMBDA(_xlpm.r,OR(_xlpm.r))),FALSE)</f>
        <v>0</v>
      </c>
      <c r="AF935" s="38" t="b" cm="1">
        <f t="array" ref="AF935">IFERROR(_xlfn.BYROW(TRACK_TYPES[[#This Row],[TRACK_TYPE_NARROW_GAUGE_RAILTYPE_OHLE]:[TRACK_TYPE_NARROW_GAUGE_RAILTYPE_NONE]],_xlfn.LAMBDA(_xlpm.r,OR(_xlpm.r))),FALSE)</f>
        <v>1</v>
      </c>
      <c r="AG935" s="38" t="b" cm="1">
        <f t="array" ref="AG935">IFERROR(_xlfn.BYROW(TRACK_TYPES[[#This Row],[TRACK_TYPE_BROAD_GAUGE_RAILTYPE_OHLE]:[TRACK_TYPE_BROAD_GAUGE_RAILTYPE_NONE]],_xlfn.LAMBDA(_xlpm.r,OR(_xlpm.r))),FALSE)</f>
        <v>0</v>
      </c>
      <c r="AH9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6" spans="1:34" x14ac:dyDescent="0.35">
      <c r="A936" s="2" t="s">
        <v>3367</v>
      </c>
      <c r="B936" s="40" t="str">
        <f>_xlfn.XLOOKUP(PROPERTIES[[#This Row],[VEHIDCODE]],CONTROL[VEHIDCODE],CONTROL[ENGLISH])</f>
        <v>EEC DM EMU</v>
      </c>
      <c r="O936" t="b">
        <v>1</v>
      </c>
      <c r="AC936" s="2"/>
      <c r="AD936" s="2" t="b">
        <f>LEN(_xlfn.CONCAT(TRACK_TYPES[[#This Row],[TRACK_TYPE_STANDARD_GAUGE_RAILTYPE_OHLE]:[TRACK_TYPE_MTRO]]))&gt;0</f>
        <v>1</v>
      </c>
      <c r="AE936" s="38" t="b" cm="1">
        <f t="array" ref="AE936">IFERROR(_xlfn.BYROW(TRACK_TYPES[[#This Row],[TRACK_TYPE_STANDARD_GAUGE_RAILTYPE_OHLE]:[TRACK_TYPE_STANDARD_GAUGE_RAILTYPE_NONE]],_xlfn.LAMBDA(_xlpm.r,OR(_xlpm.r))),FALSE)</f>
        <v>0</v>
      </c>
      <c r="AF936" s="38" t="b" cm="1">
        <f t="array" ref="AF936">IFERROR(_xlfn.BYROW(TRACK_TYPES[[#This Row],[TRACK_TYPE_NARROW_GAUGE_RAILTYPE_OHLE]:[TRACK_TYPE_NARROW_GAUGE_RAILTYPE_NONE]],_xlfn.LAMBDA(_xlpm.r,OR(_xlpm.r))),FALSE)</f>
        <v>1</v>
      </c>
      <c r="AG936" s="38" t="b" cm="1">
        <f t="array" ref="AG936">IFERROR(_xlfn.BYROW(TRACK_TYPES[[#This Row],[TRACK_TYPE_BROAD_GAUGE_RAILTYPE_OHLE]:[TRACK_TYPE_BROAD_GAUGE_RAILTYPE_NONE]],_xlfn.LAMBDA(_xlpm.r,OR(_xlpm.r))),FALSE)</f>
        <v>0</v>
      </c>
      <c r="AH9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7" spans="1:34" x14ac:dyDescent="0.35">
      <c r="A937" s="2" t="s">
        <v>3368</v>
      </c>
      <c r="B937" s="40" t="str">
        <f>_xlfn.XLOOKUP(PROPERTIES[[#This Row],[VEHIDCODE]],CONTROL[VEHIDCODE],CONTROL[ENGLISH])</f>
        <v>Hyundai Rotem/Mitsui 'Matangi'</v>
      </c>
      <c r="O937" t="b">
        <v>1</v>
      </c>
      <c r="AC937" s="2"/>
      <c r="AD937" s="2" t="b">
        <f>LEN(_xlfn.CONCAT(TRACK_TYPES[[#This Row],[TRACK_TYPE_STANDARD_GAUGE_RAILTYPE_OHLE]:[TRACK_TYPE_MTRO]]))&gt;0</f>
        <v>1</v>
      </c>
      <c r="AE937" s="38" t="b" cm="1">
        <f t="array" ref="AE937">IFERROR(_xlfn.BYROW(TRACK_TYPES[[#This Row],[TRACK_TYPE_STANDARD_GAUGE_RAILTYPE_OHLE]:[TRACK_TYPE_STANDARD_GAUGE_RAILTYPE_NONE]],_xlfn.LAMBDA(_xlpm.r,OR(_xlpm.r))),FALSE)</f>
        <v>0</v>
      </c>
      <c r="AF937" s="38" t="b" cm="1">
        <f t="array" ref="AF937">IFERROR(_xlfn.BYROW(TRACK_TYPES[[#This Row],[TRACK_TYPE_NARROW_GAUGE_RAILTYPE_OHLE]:[TRACK_TYPE_NARROW_GAUGE_RAILTYPE_NONE]],_xlfn.LAMBDA(_xlpm.r,OR(_xlpm.r))),FALSE)</f>
        <v>1</v>
      </c>
      <c r="AG937" s="38" t="b" cm="1">
        <f t="array" ref="AG937">IFERROR(_xlfn.BYROW(TRACK_TYPES[[#This Row],[TRACK_TYPE_BROAD_GAUGE_RAILTYPE_OHLE]:[TRACK_TYPE_BROAD_GAUGE_RAILTYPE_NONE]],_xlfn.LAMBDA(_xlpm.r,OR(_xlpm.r))),FALSE)</f>
        <v>0</v>
      </c>
      <c r="AH9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8" spans="1:34" x14ac:dyDescent="0.35">
      <c r="A938" s="2" t="s">
        <v>3369</v>
      </c>
      <c r="B938" s="40" t="str">
        <f>_xlfn.XLOOKUP(PROPERTIES[[#This Row],[VEHIDCODE]],CONTROL[VEHIDCODE],CONTROL[ENGLISH])</f>
        <v>Ganz Hunslet Budapest G2</v>
      </c>
      <c r="H938" t="b">
        <v>1</v>
      </c>
      <c r="AC938" s="2"/>
      <c r="AD938" s="2" t="b">
        <f>LEN(_xlfn.CONCAT(TRACK_TYPES[[#This Row],[TRACK_TYPE_STANDARD_GAUGE_RAILTYPE_OHLE]:[TRACK_TYPE_MTRO]]))&gt;0</f>
        <v>1</v>
      </c>
      <c r="AE938" s="38" t="b" cm="1">
        <f t="array" ref="AE938">IFERROR(_xlfn.BYROW(TRACK_TYPES[[#This Row],[TRACK_TYPE_STANDARD_GAUGE_RAILTYPE_OHLE]:[TRACK_TYPE_STANDARD_GAUGE_RAILTYPE_NONE]],_xlfn.LAMBDA(_xlpm.r,OR(_xlpm.r))),FALSE)</f>
        <v>1</v>
      </c>
      <c r="AF938" s="38" t="b" cm="1">
        <f t="array" ref="AF938">IFERROR(_xlfn.BYROW(TRACK_TYPES[[#This Row],[TRACK_TYPE_NARROW_GAUGE_RAILTYPE_OHLE]:[TRACK_TYPE_NARROW_GAUGE_RAILTYPE_NONE]],_xlfn.LAMBDA(_xlpm.r,OR(_xlpm.r))),FALSE)</f>
        <v>0</v>
      </c>
      <c r="AG938" s="38" t="b" cm="1">
        <f t="array" ref="AG938">IFERROR(_xlfn.BYROW(TRACK_TYPES[[#This Row],[TRACK_TYPE_BROAD_GAUGE_RAILTYPE_OHLE]:[TRACK_TYPE_BROAD_GAUGE_RAILTYPE_NONE]],_xlfn.LAMBDA(_xlpm.r,OR(_xlpm.r))),FALSE)</f>
        <v>0</v>
      </c>
      <c r="AH9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39" spans="1:34" x14ac:dyDescent="0.35">
      <c r="A939" s="2" t="s">
        <v>3370</v>
      </c>
      <c r="B939" s="40" t="str">
        <f>_xlfn.XLOOKUP(PROPERTIES[[#This Row],[VEHIDCODE]],CONTROL[VEHIDCODE],CONTROL[ENGLISH])</f>
        <v>BRC&amp;W NSU Class</v>
      </c>
      <c r="R939" s="2" t="b">
        <v>1</v>
      </c>
      <c r="AC939" s="2"/>
      <c r="AD939" s="2" t="b">
        <f>LEN(_xlfn.CONCAT(TRACK_TYPES[[#This Row],[TRACK_TYPE_STANDARD_GAUGE_RAILTYPE_OHLE]:[TRACK_TYPE_MTRO]]))&gt;0</f>
        <v>1</v>
      </c>
      <c r="AE939" s="38" t="b" cm="1">
        <f t="array" ref="AE939">IFERROR(_xlfn.BYROW(TRACK_TYPES[[#This Row],[TRACK_TYPE_STANDARD_GAUGE_RAILTYPE_OHLE]:[TRACK_TYPE_STANDARD_GAUGE_RAILTYPE_NONE]],_xlfn.LAMBDA(_xlpm.r,OR(_xlpm.r))),FALSE)</f>
        <v>0</v>
      </c>
      <c r="AF939" s="38" t="b" cm="1">
        <f t="array" ref="AF939">IFERROR(_xlfn.BYROW(TRACK_TYPES[[#This Row],[TRACK_TYPE_NARROW_GAUGE_RAILTYPE_OHLE]:[TRACK_TYPE_NARROW_GAUGE_RAILTYPE_NONE]],_xlfn.LAMBDA(_xlpm.r,OR(_xlpm.r))),FALSE)</f>
        <v>1</v>
      </c>
      <c r="AG939" s="38" t="b" cm="1">
        <f t="array" ref="AG939">IFERROR(_xlfn.BYROW(TRACK_TYPES[[#This Row],[TRACK_TYPE_BROAD_GAUGE_RAILTYPE_OHLE]:[TRACK_TYPE_BROAD_GAUGE_RAILTYPE_NONE]],_xlfn.LAMBDA(_xlpm.r,OR(_xlpm.r))),FALSE)</f>
        <v>0</v>
      </c>
      <c r="AH9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40" spans="1:34" x14ac:dyDescent="0.35">
      <c r="A940" s="2" t="s">
        <v>3371</v>
      </c>
      <c r="B940" s="40" t="str">
        <f>_xlfn.XLOOKUP(PROPERTIES[[#This Row],[VEHIDCODE]],CONTROL[VEHIDCODE],CONTROL[ENGLISH])</f>
        <v>Itochu/Kinki/Kawasaki SP1900</v>
      </c>
      <c r="D940" t="b">
        <v>1</v>
      </c>
      <c r="AC940" s="2"/>
      <c r="AD940" s="2" t="b">
        <f>LEN(_xlfn.CONCAT(TRACK_TYPES[[#This Row],[TRACK_TYPE_STANDARD_GAUGE_RAILTYPE_OHLE]:[TRACK_TYPE_MTRO]]))&gt;0</f>
        <v>1</v>
      </c>
      <c r="AE940" s="38" t="b" cm="1">
        <f t="array" ref="AE940">IFERROR(_xlfn.BYROW(TRACK_TYPES[[#This Row],[TRACK_TYPE_STANDARD_GAUGE_RAILTYPE_OHLE]:[TRACK_TYPE_STANDARD_GAUGE_RAILTYPE_NONE]],_xlfn.LAMBDA(_xlpm.r,OR(_xlpm.r))),FALSE)</f>
        <v>1</v>
      </c>
      <c r="AF940" s="38" t="b" cm="1">
        <f t="array" ref="AF940">IFERROR(_xlfn.BYROW(TRACK_TYPES[[#This Row],[TRACK_TYPE_NARROW_GAUGE_RAILTYPE_OHLE]:[TRACK_TYPE_NARROW_GAUGE_RAILTYPE_NONE]],_xlfn.LAMBDA(_xlpm.r,OR(_xlpm.r))),FALSE)</f>
        <v>0</v>
      </c>
      <c r="AG940" s="38" t="b" cm="1">
        <f t="array" ref="AG940">IFERROR(_xlfn.BYROW(TRACK_TYPES[[#This Row],[TRACK_TYPE_BROAD_GAUGE_RAILTYPE_OHLE]:[TRACK_TYPE_BROAD_GAUGE_RAILTYPE_NONE]],_xlfn.LAMBDA(_xlpm.r,OR(_xlpm.r))),FALSE)</f>
        <v>0</v>
      </c>
      <c r="AH9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1" spans="1:34" x14ac:dyDescent="0.35">
      <c r="A941" s="2" t="s">
        <v>3372</v>
      </c>
      <c r="B941" s="40" t="str">
        <f>_xlfn.XLOOKUP(PROPERTIES[[#This Row],[VEHIDCODE]],CONTROL[VEHIDCODE],CONTROL[ENGLISH])</f>
        <v>Alstom/CRRC Datong HXD2</v>
      </c>
      <c r="D941" t="b">
        <v>1</v>
      </c>
      <c r="AC941" s="2"/>
      <c r="AD941" s="2" t="b">
        <f>LEN(_xlfn.CONCAT(TRACK_TYPES[[#This Row],[TRACK_TYPE_STANDARD_GAUGE_RAILTYPE_OHLE]:[TRACK_TYPE_MTRO]]))&gt;0</f>
        <v>1</v>
      </c>
      <c r="AE941" s="38" t="b" cm="1">
        <f t="array" ref="AE941">IFERROR(_xlfn.BYROW(TRACK_TYPES[[#This Row],[TRACK_TYPE_STANDARD_GAUGE_RAILTYPE_OHLE]:[TRACK_TYPE_STANDARD_GAUGE_RAILTYPE_NONE]],_xlfn.LAMBDA(_xlpm.r,OR(_xlpm.r))),FALSE)</f>
        <v>1</v>
      </c>
      <c r="AF941" s="38" t="b" cm="1">
        <f t="array" ref="AF941">IFERROR(_xlfn.BYROW(TRACK_TYPES[[#This Row],[TRACK_TYPE_NARROW_GAUGE_RAILTYPE_OHLE]:[TRACK_TYPE_NARROW_GAUGE_RAILTYPE_NONE]],_xlfn.LAMBDA(_xlpm.r,OR(_xlpm.r))),FALSE)</f>
        <v>0</v>
      </c>
      <c r="AG941" s="38" t="b" cm="1">
        <f t="array" ref="AG941">IFERROR(_xlfn.BYROW(TRACK_TYPES[[#This Row],[TRACK_TYPE_BROAD_GAUGE_RAILTYPE_OHLE]:[TRACK_TYPE_BROAD_GAUGE_RAILTYPE_NONE]],_xlfn.LAMBDA(_xlpm.r,OR(_xlpm.r))),FALSE)</f>
        <v>0</v>
      </c>
      <c r="AH9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2" spans="1:34" x14ac:dyDescent="0.35">
      <c r="A942" s="2" t="s">
        <v>3373</v>
      </c>
      <c r="B942" s="40" t="str">
        <f>_xlfn.XLOOKUP(PROPERTIES[[#This Row],[VEHIDCODE]],CONTROL[VEHIDCODE],CONTROL[ENGLISH])</f>
        <v>CRRC Qishuyan DF11</v>
      </c>
      <c r="J942" s="2" t="b">
        <v>1</v>
      </c>
      <c r="AC942" s="2"/>
      <c r="AD942" s="2" t="b">
        <f>LEN(_xlfn.CONCAT(TRACK_TYPES[[#This Row],[TRACK_TYPE_STANDARD_GAUGE_RAILTYPE_OHLE]:[TRACK_TYPE_MTRO]]))&gt;0</f>
        <v>1</v>
      </c>
      <c r="AE942" s="38" t="b" cm="1">
        <f t="array" ref="AE942">IFERROR(_xlfn.BYROW(TRACK_TYPES[[#This Row],[TRACK_TYPE_STANDARD_GAUGE_RAILTYPE_OHLE]:[TRACK_TYPE_STANDARD_GAUGE_RAILTYPE_NONE]],_xlfn.LAMBDA(_xlpm.r,OR(_xlpm.r))),FALSE)</f>
        <v>1</v>
      </c>
      <c r="AF942" s="38" t="b" cm="1">
        <f t="array" ref="AF942">IFERROR(_xlfn.BYROW(TRACK_TYPES[[#This Row],[TRACK_TYPE_NARROW_GAUGE_RAILTYPE_OHLE]:[TRACK_TYPE_NARROW_GAUGE_RAILTYPE_NONE]],_xlfn.LAMBDA(_xlpm.r,OR(_xlpm.r))),FALSE)</f>
        <v>0</v>
      </c>
      <c r="AG942" s="38" t="b" cm="1">
        <f t="array" ref="AG942">IFERROR(_xlfn.BYROW(TRACK_TYPES[[#This Row],[TRACK_TYPE_BROAD_GAUGE_RAILTYPE_OHLE]:[TRACK_TYPE_BROAD_GAUGE_RAILTYPE_NONE]],_xlfn.LAMBDA(_xlpm.r,OR(_xlpm.r))),FALSE)</f>
        <v>0</v>
      </c>
      <c r="AH9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3" spans="1:34" x14ac:dyDescent="0.35">
      <c r="A943" s="2" t="s">
        <v>3374</v>
      </c>
      <c r="B943" s="40" t="str">
        <f>_xlfn.XLOOKUP(PROPERTIES[[#This Row],[VEHIDCODE]],CONTROL[VEHIDCODE],CONTROL[ENGLISH])</f>
        <v>Zhuzhou SS8</v>
      </c>
      <c r="D943" t="b">
        <v>1</v>
      </c>
      <c r="AC943" s="2"/>
      <c r="AD943" s="2" t="b">
        <f>LEN(_xlfn.CONCAT(TRACK_TYPES[[#This Row],[TRACK_TYPE_STANDARD_GAUGE_RAILTYPE_OHLE]:[TRACK_TYPE_MTRO]]))&gt;0</f>
        <v>1</v>
      </c>
      <c r="AE943" s="38" t="b" cm="1">
        <f t="array" ref="AE943">IFERROR(_xlfn.BYROW(TRACK_TYPES[[#This Row],[TRACK_TYPE_STANDARD_GAUGE_RAILTYPE_OHLE]:[TRACK_TYPE_STANDARD_GAUGE_RAILTYPE_NONE]],_xlfn.LAMBDA(_xlpm.r,OR(_xlpm.r))),FALSE)</f>
        <v>1</v>
      </c>
      <c r="AF943" s="38" t="b" cm="1">
        <f t="array" ref="AF943">IFERROR(_xlfn.BYROW(TRACK_TYPES[[#This Row],[TRACK_TYPE_NARROW_GAUGE_RAILTYPE_OHLE]:[TRACK_TYPE_NARROW_GAUGE_RAILTYPE_NONE]],_xlfn.LAMBDA(_xlpm.r,OR(_xlpm.r))),FALSE)</f>
        <v>0</v>
      </c>
      <c r="AG943" s="38" t="b" cm="1">
        <f t="array" ref="AG943">IFERROR(_xlfn.BYROW(TRACK_TYPES[[#This Row],[TRACK_TYPE_BROAD_GAUGE_RAILTYPE_OHLE]:[TRACK_TYPE_BROAD_GAUGE_RAILTYPE_NONE]],_xlfn.LAMBDA(_xlpm.r,OR(_xlpm.r))),FALSE)</f>
        <v>0</v>
      </c>
      <c r="AH9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4" spans="1:34" x14ac:dyDescent="0.35">
      <c r="A944" s="2" t="s">
        <v>3375</v>
      </c>
      <c r="B944" s="40" t="str">
        <f>_xlfn.XLOOKUP(PROPERTIES[[#This Row],[VEHIDCODE]],CONTROL[VEHIDCODE],CONTROL[ENGLISH])</f>
        <v>Alstom/CRRC Datong HXD2B</v>
      </c>
      <c r="D944" t="b">
        <v>1</v>
      </c>
      <c r="T944" t="b">
        <v>1</v>
      </c>
      <c r="AC944" s="2"/>
      <c r="AD944" s="2" t="b">
        <f>LEN(_xlfn.CONCAT(TRACK_TYPES[[#This Row],[TRACK_TYPE_STANDARD_GAUGE_RAILTYPE_OHLE]:[TRACK_TYPE_MTRO]]))&gt;0</f>
        <v>1</v>
      </c>
      <c r="AE944" s="38" t="b" cm="1">
        <f t="array" ref="AE944">IFERROR(_xlfn.BYROW(TRACK_TYPES[[#This Row],[TRACK_TYPE_STANDARD_GAUGE_RAILTYPE_OHLE]:[TRACK_TYPE_STANDARD_GAUGE_RAILTYPE_NONE]],_xlfn.LAMBDA(_xlpm.r,OR(_xlpm.r))),FALSE)</f>
        <v>1</v>
      </c>
      <c r="AF944" s="38" t="b" cm="1">
        <f t="array" ref="AF944">IFERROR(_xlfn.BYROW(TRACK_TYPES[[#This Row],[TRACK_TYPE_NARROW_GAUGE_RAILTYPE_OHLE]:[TRACK_TYPE_NARROW_GAUGE_RAILTYPE_NONE]],_xlfn.LAMBDA(_xlpm.r,OR(_xlpm.r))),FALSE)</f>
        <v>0</v>
      </c>
      <c r="AG944" s="38" t="b" cm="1">
        <f t="array" ref="AG944">IFERROR(_xlfn.BYROW(TRACK_TYPES[[#This Row],[TRACK_TYPE_BROAD_GAUGE_RAILTYPE_OHLE]:[TRACK_TYPE_BROAD_GAUGE_RAILTYPE_NONE]],_xlfn.LAMBDA(_xlpm.r,OR(_xlpm.r))),FALSE)</f>
        <v>1</v>
      </c>
      <c r="AH9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5" spans="1:34" x14ac:dyDescent="0.35">
      <c r="A945" s="2" t="s">
        <v>3376</v>
      </c>
      <c r="B945" s="40" t="str">
        <f>_xlfn.XLOOKUP(PROPERTIES[[#This Row],[VEHIDCODE]],CONTROL[VEHIDCODE],CONTROL[ENGLISH])</f>
        <v>CRRC Dalian HXD3D</v>
      </c>
      <c r="D945" t="b">
        <v>1</v>
      </c>
      <c r="AC945" s="2"/>
      <c r="AD945" s="2" t="b">
        <f>LEN(_xlfn.CONCAT(TRACK_TYPES[[#This Row],[TRACK_TYPE_STANDARD_GAUGE_RAILTYPE_OHLE]:[TRACK_TYPE_MTRO]]))&gt;0</f>
        <v>1</v>
      </c>
      <c r="AE945" s="38" t="b" cm="1">
        <f t="array" ref="AE945">IFERROR(_xlfn.BYROW(TRACK_TYPES[[#This Row],[TRACK_TYPE_STANDARD_GAUGE_RAILTYPE_OHLE]:[TRACK_TYPE_STANDARD_GAUGE_RAILTYPE_NONE]],_xlfn.LAMBDA(_xlpm.r,OR(_xlpm.r))),FALSE)</f>
        <v>1</v>
      </c>
      <c r="AF945" s="38" t="b" cm="1">
        <f t="array" ref="AF945">IFERROR(_xlfn.BYROW(TRACK_TYPES[[#This Row],[TRACK_TYPE_NARROW_GAUGE_RAILTYPE_OHLE]:[TRACK_TYPE_NARROW_GAUGE_RAILTYPE_NONE]],_xlfn.LAMBDA(_xlpm.r,OR(_xlpm.r))),FALSE)</f>
        <v>0</v>
      </c>
      <c r="AG945" s="38" t="b" cm="1">
        <f t="array" ref="AG945">IFERROR(_xlfn.BYROW(TRACK_TYPES[[#This Row],[TRACK_TYPE_BROAD_GAUGE_RAILTYPE_OHLE]:[TRACK_TYPE_BROAD_GAUGE_RAILTYPE_NONE]],_xlfn.LAMBDA(_xlpm.r,OR(_xlpm.r))),FALSE)</f>
        <v>0</v>
      </c>
      <c r="AH9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6" spans="1:34" x14ac:dyDescent="0.35">
      <c r="A946" s="2" t="s">
        <v>3377</v>
      </c>
      <c r="B946" s="40" t="str">
        <f>_xlfn.XLOOKUP(PROPERTIES[[#This Row],[VEHIDCODE]],CONTROL[VEHIDCODE],CONTROL[ENGLISH])</f>
        <v>CRRC Dalian DF4</v>
      </c>
      <c r="J946" s="2" t="b">
        <v>1</v>
      </c>
      <c r="AC946" s="2"/>
      <c r="AD946" s="2" t="b">
        <f>LEN(_xlfn.CONCAT(TRACK_TYPES[[#This Row],[TRACK_TYPE_STANDARD_GAUGE_RAILTYPE_OHLE]:[TRACK_TYPE_MTRO]]))&gt;0</f>
        <v>1</v>
      </c>
      <c r="AE946" s="38" t="b" cm="1">
        <f t="array" ref="AE946">IFERROR(_xlfn.BYROW(TRACK_TYPES[[#This Row],[TRACK_TYPE_STANDARD_GAUGE_RAILTYPE_OHLE]:[TRACK_TYPE_STANDARD_GAUGE_RAILTYPE_NONE]],_xlfn.LAMBDA(_xlpm.r,OR(_xlpm.r))),FALSE)</f>
        <v>1</v>
      </c>
      <c r="AF946" s="38" t="b" cm="1">
        <f t="array" ref="AF946">IFERROR(_xlfn.BYROW(TRACK_TYPES[[#This Row],[TRACK_TYPE_NARROW_GAUGE_RAILTYPE_OHLE]:[TRACK_TYPE_NARROW_GAUGE_RAILTYPE_NONE]],_xlfn.LAMBDA(_xlpm.r,OR(_xlpm.r))),FALSE)</f>
        <v>0</v>
      </c>
      <c r="AG946" s="38" t="b" cm="1">
        <f t="array" ref="AG946">IFERROR(_xlfn.BYROW(TRACK_TYPES[[#This Row],[TRACK_TYPE_BROAD_GAUGE_RAILTYPE_OHLE]:[TRACK_TYPE_BROAD_GAUGE_RAILTYPE_NONE]],_xlfn.LAMBDA(_xlpm.r,OR(_xlpm.r))),FALSE)</f>
        <v>0</v>
      </c>
      <c r="AH9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7" spans="1:34" x14ac:dyDescent="0.35">
      <c r="A947" s="2" t="s">
        <v>3378</v>
      </c>
      <c r="B947" s="40" t="str">
        <f>_xlfn.XLOOKUP(PROPERTIES[[#This Row],[VEHIDCODE]],CONTROL[VEHIDCODE],CONTROL[ENGLISH])</f>
        <v>Tangshan/Dalian/Sifang DF5</v>
      </c>
      <c r="J947" s="2" t="b">
        <v>1</v>
      </c>
      <c r="AC947" s="2"/>
      <c r="AD947" s="2" t="b">
        <f>LEN(_xlfn.CONCAT(TRACK_TYPES[[#This Row],[TRACK_TYPE_STANDARD_GAUGE_RAILTYPE_OHLE]:[TRACK_TYPE_MTRO]]))&gt;0</f>
        <v>1</v>
      </c>
      <c r="AE947" s="38" t="b" cm="1">
        <f t="array" ref="AE947">IFERROR(_xlfn.BYROW(TRACK_TYPES[[#This Row],[TRACK_TYPE_STANDARD_GAUGE_RAILTYPE_OHLE]:[TRACK_TYPE_STANDARD_GAUGE_RAILTYPE_NONE]],_xlfn.LAMBDA(_xlpm.r,OR(_xlpm.r))),FALSE)</f>
        <v>1</v>
      </c>
      <c r="AF947" s="38" t="b" cm="1">
        <f t="array" ref="AF947">IFERROR(_xlfn.BYROW(TRACK_TYPES[[#This Row],[TRACK_TYPE_NARROW_GAUGE_RAILTYPE_OHLE]:[TRACK_TYPE_NARROW_GAUGE_RAILTYPE_NONE]],_xlfn.LAMBDA(_xlpm.r,OR(_xlpm.r))),FALSE)</f>
        <v>0</v>
      </c>
      <c r="AG947" s="38" t="b" cm="1">
        <f t="array" ref="AG947">IFERROR(_xlfn.BYROW(TRACK_TYPES[[#This Row],[TRACK_TYPE_BROAD_GAUGE_RAILTYPE_OHLE]:[TRACK_TYPE_BROAD_GAUGE_RAILTYPE_NONE]],_xlfn.LAMBDA(_xlpm.r,OR(_xlpm.r))),FALSE)</f>
        <v>0</v>
      </c>
      <c r="AH9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8" spans="1:34" x14ac:dyDescent="0.35">
      <c r="A948" s="2" t="s">
        <v>3379</v>
      </c>
      <c r="B948" s="40" t="str">
        <f>_xlfn.XLOOKUP(PROPERTIES[[#This Row],[VEHIDCODE]],CONTROL[VEHIDCODE],CONTROL[ENGLISH])</f>
        <v>Dalian 2-8-2 JS Class</v>
      </c>
      <c r="J948" s="2" t="b">
        <v>1</v>
      </c>
      <c r="AC948" s="2"/>
      <c r="AD948" s="2" t="b">
        <f>LEN(_xlfn.CONCAT(TRACK_TYPES[[#This Row],[TRACK_TYPE_STANDARD_GAUGE_RAILTYPE_OHLE]:[TRACK_TYPE_MTRO]]))&gt;0</f>
        <v>1</v>
      </c>
      <c r="AE948" s="38" t="b" cm="1">
        <f t="array" ref="AE948">IFERROR(_xlfn.BYROW(TRACK_TYPES[[#This Row],[TRACK_TYPE_STANDARD_GAUGE_RAILTYPE_OHLE]:[TRACK_TYPE_STANDARD_GAUGE_RAILTYPE_NONE]],_xlfn.LAMBDA(_xlpm.r,OR(_xlpm.r))),FALSE)</f>
        <v>1</v>
      </c>
      <c r="AF948" s="38" t="b" cm="1">
        <f t="array" ref="AF948">IFERROR(_xlfn.BYROW(TRACK_TYPES[[#This Row],[TRACK_TYPE_NARROW_GAUGE_RAILTYPE_OHLE]:[TRACK_TYPE_NARROW_GAUGE_RAILTYPE_NONE]],_xlfn.LAMBDA(_xlpm.r,OR(_xlpm.r))),FALSE)</f>
        <v>0</v>
      </c>
      <c r="AG948" s="38" t="b" cm="1">
        <f t="array" ref="AG948">IFERROR(_xlfn.BYROW(TRACK_TYPES[[#This Row],[TRACK_TYPE_BROAD_GAUGE_RAILTYPE_OHLE]:[TRACK_TYPE_BROAD_GAUGE_RAILTYPE_NONE]],_xlfn.LAMBDA(_xlpm.r,OR(_xlpm.r))),FALSE)</f>
        <v>0</v>
      </c>
      <c r="AH9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9" spans="1:34" x14ac:dyDescent="0.35">
      <c r="A949" s="2" t="s">
        <v>3380</v>
      </c>
      <c r="B949" s="40" t="str">
        <f>_xlfn.XLOOKUP(PROPERTIES[[#This Row],[VEHIDCODE]],CONTROL[VEHIDCODE],CONTROL[ENGLISH])</f>
        <v>CSR Sifang 4-6-2 RM</v>
      </c>
      <c r="J949" s="2" t="b">
        <v>1</v>
      </c>
      <c r="AC949" s="2"/>
      <c r="AD949" s="2" t="b">
        <f>LEN(_xlfn.CONCAT(TRACK_TYPES[[#This Row],[TRACK_TYPE_STANDARD_GAUGE_RAILTYPE_OHLE]:[TRACK_TYPE_MTRO]]))&gt;0</f>
        <v>1</v>
      </c>
      <c r="AE949" s="38" t="b" cm="1">
        <f t="array" ref="AE949">IFERROR(_xlfn.BYROW(TRACK_TYPES[[#This Row],[TRACK_TYPE_STANDARD_GAUGE_RAILTYPE_OHLE]:[TRACK_TYPE_STANDARD_GAUGE_RAILTYPE_NONE]],_xlfn.LAMBDA(_xlpm.r,OR(_xlpm.r))),FALSE)</f>
        <v>1</v>
      </c>
      <c r="AF949" s="38" t="b" cm="1">
        <f t="array" ref="AF949">IFERROR(_xlfn.BYROW(TRACK_TYPES[[#This Row],[TRACK_TYPE_NARROW_GAUGE_RAILTYPE_OHLE]:[TRACK_TYPE_NARROW_GAUGE_RAILTYPE_NONE]],_xlfn.LAMBDA(_xlpm.r,OR(_xlpm.r))),FALSE)</f>
        <v>0</v>
      </c>
      <c r="AG949" s="38" t="b" cm="1">
        <f t="array" ref="AG949">IFERROR(_xlfn.BYROW(TRACK_TYPES[[#This Row],[TRACK_TYPE_BROAD_GAUGE_RAILTYPE_OHLE]:[TRACK_TYPE_BROAD_GAUGE_RAILTYPE_NONE]],_xlfn.LAMBDA(_xlpm.r,OR(_xlpm.r))),FALSE)</f>
        <v>0</v>
      </c>
      <c r="AH9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0" spans="1:34" x14ac:dyDescent="0.35">
      <c r="A950" s="2" t="s">
        <v>3381</v>
      </c>
      <c r="B950" s="40" t="str">
        <f>_xlfn.XLOOKUP(PROPERTIES[[#This Row],[VEHIDCODE]],CONTROL[VEHIDCODE],CONTROL[ENGLISH])</f>
        <v>MAV Ikarus 260</v>
      </c>
      <c r="J950" s="2" t="b">
        <v>1</v>
      </c>
      <c r="AC950" s="2"/>
      <c r="AD950" s="2" t="b">
        <f>LEN(_xlfn.CONCAT(TRACK_TYPES[[#This Row],[TRACK_TYPE_STANDARD_GAUGE_RAILTYPE_OHLE]:[TRACK_TYPE_MTRO]]))&gt;0</f>
        <v>1</v>
      </c>
      <c r="AE950" s="38" t="b" cm="1">
        <f t="array" ref="AE950">IFERROR(_xlfn.BYROW(TRACK_TYPES[[#This Row],[TRACK_TYPE_STANDARD_GAUGE_RAILTYPE_OHLE]:[TRACK_TYPE_STANDARD_GAUGE_RAILTYPE_NONE]],_xlfn.LAMBDA(_xlpm.r,OR(_xlpm.r))),FALSE)</f>
        <v>1</v>
      </c>
      <c r="AF950" s="38" t="b" cm="1">
        <f t="array" ref="AF950">IFERROR(_xlfn.BYROW(TRACK_TYPES[[#This Row],[TRACK_TYPE_NARROW_GAUGE_RAILTYPE_OHLE]:[TRACK_TYPE_NARROW_GAUGE_RAILTYPE_NONE]],_xlfn.LAMBDA(_xlpm.r,OR(_xlpm.r))),FALSE)</f>
        <v>0</v>
      </c>
      <c r="AG950" s="38" t="b" cm="1">
        <f t="array" ref="AG950">IFERROR(_xlfn.BYROW(TRACK_TYPES[[#This Row],[TRACK_TYPE_BROAD_GAUGE_RAILTYPE_OHLE]:[TRACK_TYPE_BROAD_GAUGE_RAILTYPE_NONE]],_xlfn.LAMBDA(_xlpm.r,OR(_xlpm.r))),FALSE)</f>
        <v>0</v>
      </c>
      <c r="AH9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1" spans="1:34" x14ac:dyDescent="0.35">
      <c r="A951" s="2" t="s">
        <v>3382</v>
      </c>
      <c r="B951" s="40" t="str">
        <f>_xlfn.XLOOKUP(PROPERTIES[[#This Row],[VEHIDCODE]],CONTROL[VEHIDCODE],CONTROL[ENGLISH])</f>
        <v>GE ES43ACi</v>
      </c>
      <c r="J951" s="2" t="b">
        <v>1</v>
      </c>
      <c r="R951" s="2" t="b">
        <v>1</v>
      </c>
      <c r="Z951" s="2" t="b">
        <v>1</v>
      </c>
      <c r="AC951" s="2"/>
      <c r="AD951" s="2" t="b">
        <f>LEN(_xlfn.CONCAT(TRACK_TYPES[[#This Row],[TRACK_TYPE_STANDARD_GAUGE_RAILTYPE_OHLE]:[TRACK_TYPE_MTRO]]))&gt;0</f>
        <v>1</v>
      </c>
      <c r="AE951" s="38" t="b" cm="1">
        <f t="array" ref="AE951">IFERROR(_xlfn.BYROW(TRACK_TYPES[[#This Row],[TRACK_TYPE_STANDARD_GAUGE_RAILTYPE_OHLE]:[TRACK_TYPE_STANDARD_GAUGE_RAILTYPE_NONE]],_xlfn.LAMBDA(_xlpm.r,OR(_xlpm.r))),FALSE)</f>
        <v>1</v>
      </c>
      <c r="AF951" s="38" t="b" cm="1">
        <f t="array" ref="AF951">IFERROR(_xlfn.BYROW(TRACK_TYPES[[#This Row],[TRACK_TYPE_NARROW_GAUGE_RAILTYPE_OHLE]:[TRACK_TYPE_NARROW_GAUGE_RAILTYPE_NONE]],_xlfn.LAMBDA(_xlpm.r,OR(_xlpm.r))),FALSE)</f>
        <v>1</v>
      </c>
      <c r="AG951" s="38" t="b" cm="1">
        <f t="array" ref="AG951">IFERROR(_xlfn.BYROW(TRACK_TYPES[[#This Row],[TRACK_TYPE_BROAD_GAUGE_RAILTYPE_OHLE]:[TRACK_TYPE_BROAD_GAUGE_RAILTYPE_NONE]],_xlfn.LAMBDA(_xlpm.r,OR(_xlpm.r))),FALSE)</f>
        <v>1</v>
      </c>
      <c r="AH9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2" spans="1:34" x14ac:dyDescent="0.35">
      <c r="A952" s="2" t="s">
        <v>3383</v>
      </c>
      <c r="B952" s="40" t="str">
        <f>_xlfn.XLOOKUP(PROPERTIES[[#This Row],[VEHIDCODE]],CONTROL[VEHIDCODE],CONTROL[ENGLISH])</f>
        <v>EMD GP40</v>
      </c>
      <c r="J952" s="2" t="b">
        <v>1</v>
      </c>
      <c r="Z952" s="2" t="b">
        <v>1</v>
      </c>
      <c r="AC952" s="2"/>
      <c r="AD952" s="2" t="b">
        <f>LEN(_xlfn.CONCAT(TRACK_TYPES[[#This Row],[TRACK_TYPE_STANDARD_GAUGE_RAILTYPE_OHLE]:[TRACK_TYPE_MTRO]]))&gt;0</f>
        <v>1</v>
      </c>
      <c r="AE952" s="38" t="b" cm="1">
        <f t="array" ref="AE952">IFERROR(_xlfn.BYROW(TRACK_TYPES[[#This Row],[TRACK_TYPE_STANDARD_GAUGE_RAILTYPE_OHLE]:[TRACK_TYPE_STANDARD_GAUGE_RAILTYPE_NONE]],_xlfn.LAMBDA(_xlpm.r,OR(_xlpm.r))),FALSE)</f>
        <v>1</v>
      </c>
      <c r="AF952" s="38" t="b" cm="1">
        <f t="array" ref="AF952">IFERROR(_xlfn.BYROW(TRACK_TYPES[[#This Row],[TRACK_TYPE_NARROW_GAUGE_RAILTYPE_OHLE]:[TRACK_TYPE_NARROW_GAUGE_RAILTYPE_NONE]],_xlfn.LAMBDA(_xlpm.r,OR(_xlpm.r))),FALSE)</f>
        <v>0</v>
      </c>
      <c r="AG952" s="38" t="b" cm="1">
        <f t="array" ref="AG952">IFERROR(_xlfn.BYROW(TRACK_TYPES[[#This Row],[TRACK_TYPE_BROAD_GAUGE_RAILTYPE_OHLE]:[TRACK_TYPE_BROAD_GAUGE_RAILTYPE_NONE]],_xlfn.LAMBDA(_xlpm.r,OR(_xlpm.r))),FALSE)</f>
        <v>1</v>
      </c>
      <c r="AH9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3" spans="1:34" x14ac:dyDescent="0.35">
      <c r="A953" s="2" t="s">
        <v>3384</v>
      </c>
      <c r="B953" s="40" t="str">
        <f>_xlfn.XLOOKUP(PROPERTIES[[#This Row],[VEHIDCODE]],CONTROL[VEHIDCODE],CONTROL[ENGLISH])</f>
        <v>EMD SD70</v>
      </c>
      <c r="J953" s="2" t="b">
        <v>1</v>
      </c>
      <c r="R953" s="2" t="b">
        <v>1</v>
      </c>
      <c r="Z953" s="2" t="b">
        <v>1</v>
      </c>
      <c r="AC953" s="2"/>
      <c r="AD953" s="2" t="b">
        <f>LEN(_xlfn.CONCAT(TRACK_TYPES[[#This Row],[TRACK_TYPE_STANDARD_GAUGE_RAILTYPE_OHLE]:[TRACK_TYPE_MTRO]]))&gt;0</f>
        <v>1</v>
      </c>
      <c r="AE953" s="38" t="b" cm="1">
        <f t="array" ref="AE953">IFERROR(_xlfn.BYROW(TRACK_TYPES[[#This Row],[TRACK_TYPE_STANDARD_GAUGE_RAILTYPE_OHLE]:[TRACK_TYPE_STANDARD_GAUGE_RAILTYPE_NONE]],_xlfn.LAMBDA(_xlpm.r,OR(_xlpm.r))),FALSE)</f>
        <v>1</v>
      </c>
      <c r="AF953" s="38" t="b" cm="1">
        <f t="array" ref="AF953">IFERROR(_xlfn.BYROW(TRACK_TYPES[[#This Row],[TRACK_TYPE_NARROW_GAUGE_RAILTYPE_OHLE]:[TRACK_TYPE_NARROW_GAUGE_RAILTYPE_NONE]],_xlfn.LAMBDA(_xlpm.r,OR(_xlpm.r))),FALSE)</f>
        <v>1</v>
      </c>
      <c r="AG953" s="38" t="b" cm="1">
        <f t="array" ref="AG953">IFERROR(_xlfn.BYROW(TRACK_TYPES[[#This Row],[TRACK_TYPE_BROAD_GAUGE_RAILTYPE_OHLE]:[TRACK_TYPE_BROAD_GAUGE_RAILTYPE_NONE]],_xlfn.LAMBDA(_xlpm.r,OR(_xlpm.r))),FALSE)</f>
        <v>1</v>
      </c>
      <c r="AH9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4" spans="1:34" x14ac:dyDescent="0.35">
      <c r="A954" s="2" t="s">
        <v>3385</v>
      </c>
      <c r="B954" s="40" t="str">
        <f>_xlfn.XLOOKUP(PROPERTIES[[#This Row],[VEHIDCODE]],CONTROL[VEHIDCODE],CONTROL[ENGLISH])</f>
        <v>GE C30-7 'Dash 7'</v>
      </c>
      <c r="J954" s="2" t="b">
        <v>1</v>
      </c>
      <c r="Z954" s="2" t="b">
        <v>1</v>
      </c>
      <c r="AC954" s="2"/>
      <c r="AD954" s="2" t="b">
        <f>LEN(_xlfn.CONCAT(TRACK_TYPES[[#This Row],[TRACK_TYPE_STANDARD_GAUGE_RAILTYPE_OHLE]:[TRACK_TYPE_MTRO]]))&gt;0</f>
        <v>1</v>
      </c>
      <c r="AE954" s="38" t="b" cm="1">
        <f t="array" ref="AE954">IFERROR(_xlfn.BYROW(TRACK_TYPES[[#This Row],[TRACK_TYPE_STANDARD_GAUGE_RAILTYPE_OHLE]:[TRACK_TYPE_STANDARD_GAUGE_RAILTYPE_NONE]],_xlfn.LAMBDA(_xlpm.r,OR(_xlpm.r))),FALSE)</f>
        <v>1</v>
      </c>
      <c r="AF954" s="38" t="b" cm="1">
        <f t="array" ref="AF954">IFERROR(_xlfn.BYROW(TRACK_TYPES[[#This Row],[TRACK_TYPE_NARROW_GAUGE_RAILTYPE_OHLE]:[TRACK_TYPE_NARROW_GAUGE_RAILTYPE_NONE]],_xlfn.LAMBDA(_xlpm.r,OR(_xlpm.r))),FALSE)</f>
        <v>0</v>
      </c>
      <c r="AG954" s="38" t="b" cm="1">
        <f t="array" ref="AG954">IFERROR(_xlfn.BYROW(TRACK_TYPES[[#This Row],[TRACK_TYPE_BROAD_GAUGE_RAILTYPE_OHLE]:[TRACK_TYPE_BROAD_GAUGE_RAILTYPE_NONE]],_xlfn.LAMBDA(_xlpm.r,OR(_xlpm.r))),FALSE)</f>
        <v>1</v>
      </c>
      <c r="AH9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5" spans="1:34" x14ac:dyDescent="0.35">
      <c r="A955" s="2" t="s">
        <v>3386</v>
      </c>
      <c r="B955" s="40" t="str">
        <f>_xlfn.XLOOKUP(PROPERTIES[[#This Row],[VEHIDCODE]],CONTROL[VEHIDCODE],CONTROL[ENGLISH])</f>
        <v>GE C40-8 'Dash-8'</v>
      </c>
      <c r="J955" s="2" t="b">
        <v>1</v>
      </c>
      <c r="Z955" s="2" t="b">
        <v>1</v>
      </c>
      <c r="AC955" s="2"/>
      <c r="AD955" s="2" t="b">
        <f>LEN(_xlfn.CONCAT(TRACK_TYPES[[#This Row],[TRACK_TYPE_STANDARD_GAUGE_RAILTYPE_OHLE]:[TRACK_TYPE_MTRO]]))&gt;0</f>
        <v>1</v>
      </c>
      <c r="AE955" s="38" t="b" cm="1">
        <f t="array" ref="AE955">IFERROR(_xlfn.BYROW(TRACK_TYPES[[#This Row],[TRACK_TYPE_STANDARD_GAUGE_RAILTYPE_OHLE]:[TRACK_TYPE_STANDARD_GAUGE_RAILTYPE_NONE]],_xlfn.LAMBDA(_xlpm.r,OR(_xlpm.r))),FALSE)</f>
        <v>1</v>
      </c>
      <c r="AF955" s="38" t="b" cm="1">
        <f t="array" ref="AF955">IFERROR(_xlfn.BYROW(TRACK_TYPES[[#This Row],[TRACK_TYPE_NARROW_GAUGE_RAILTYPE_OHLE]:[TRACK_TYPE_NARROW_GAUGE_RAILTYPE_NONE]],_xlfn.LAMBDA(_xlpm.r,OR(_xlpm.r))),FALSE)</f>
        <v>0</v>
      </c>
      <c r="AG955" s="38" t="b" cm="1">
        <f t="array" ref="AG955">IFERROR(_xlfn.BYROW(TRACK_TYPES[[#This Row],[TRACK_TYPE_BROAD_GAUGE_RAILTYPE_OHLE]:[TRACK_TYPE_BROAD_GAUGE_RAILTYPE_NONE]],_xlfn.LAMBDA(_xlpm.r,OR(_xlpm.r))),FALSE)</f>
        <v>1</v>
      </c>
      <c r="AH9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6" spans="1:34" x14ac:dyDescent="0.35">
      <c r="A956" s="2" t="s">
        <v>3387</v>
      </c>
      <c r="B956" s="40" t="str">
        <f>_xlfn.XLOOKUP(PROPERTIES[[#This Row],[VEHIDCODE]],CONTROL[VEHIDCODE],CONTROL[ENGLISH])</f>
        <v>GE C44-9W 'Dash 9'</v>
      </c>
      <c r="J956" s="2" t="b">
        <v>1</v>
      </c>
      <c r="Z956" s="2" t="b">
        <v>1</v>
      </c>
      <c r="AC956" s="2"/>
      <c r="AD956" s="2" t="b">
        <f>LEN(_xlfn.CONCAT(TRACK_TYPES[[#This Row],[TRACK_TYPE_STANDARD_GAUGE_RAILTYPE_OHLE]:[TRACK_TYPE_MTRO]]))&gt;0</f>
        <v>1</v>
      </c>
      <c r="AE956" s="38" t="b" cm="1">
        <f t="array" ref="AE956">IFERROR(_xlfn.BYROW(TRACK_TYPES[[#This Row],[TRACK_TYPE_STANDARD_GAUGE_RAILTYPE_OHLE]:[TRACK_TYPE_STANDARD_GAUGE_RAILTYPE_NONE]],_xlfn.LAMBDA(_xlpm.r,OR(_xlpm.r))),FALSE)</f>
        <v>1</v>
      </c>
      <c r="AF956" s="38" t="b" cm="1">
        <f t="array" ref="AF956">IFERROR(_xlfn.BYROW(TRACK_TYPES[[#This Row],[TRACK_TYPE_NARROW_GAUGE_RAILTYPE_OHLE]:[TRACK_TYPE_NARROW_GAUGE_RAILTYPE_NONE]],_xlfn.LAMBDA(_xlpm.r,OR(_xlpm.r))),FALSE)</f>
        <v>0</v>
      </c>
      <c r="AG956" s="38" t="b" cm="1">
        <f t="array" ref="AG956">IFERROR(_xlfn.BYROW(TRACK_TYPES[[#This Row],[TRACK_TYPE_BROAD_GAUGE_RAILTYPE_OHLE]:[TRACK_TYPE_BROAD_GAUGE_RAILTYPE_NONE]],_xlfn.LAMBDA(_xlpm.r,OR(_xlpm.r))),FALSE)</f>
        <v>1</v>
      </c>
      <c r="AH9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7" spans="1:34" x14ac:dyDescent="0.35">
      <c r="A957" s="2" t="s">
        <v>3477</v>
      </c>
      <c r="B957" s="40" t="str">
        <f>_xlfn.XLOOKUP(PROPERTIES[[#This Row],[VEHIDCODE]],CONTROL[VEHIDCODE],CONTROL[ENGLISH])</f>
        <v>EMD GP40</v>
      </c>
      <c r="J957" s="2" t="b">
        <v>1</v>
      </c>
      <c r="AC957" s="2"/>
      <c r="AD957" s="2" t="b">
        <f>LEN(_xlfn.CONCAT(TRACK_TYPES[[#This Row],[TRACK_TYPE_STANDARD_GAUGE_RAILTYPE_OHLE]:[TRACK_TYPE_MTRO]]))&gt;0</f>
        <v>1</v>
      </c>
      <c r="AE957" s="38" t="b" cm="1">
        <f t="array" ref="AE957">IFERROR(_xlfn.BYROW(TRACK_TYPES[[#This Row],[TRACK_TYPE_STANDARD_GAUGE_RAILTYPE_OHLE]:[TRACK_TYPE_STANDARD_GAUGE_RAILTYPE_NONE]],_xlfn.LAMBDA(_xlpm.r,OR(_xlpm.r))),FALSE)</f>
        <v>1</v>
      </c>
      <c r="AF957" s="38" t="b" cm="1">
        <f t="array" ref="AF957">IFERROR(_xlfn.BYROW(TRACK_TYPES[[#This Row],[TRACK_TYPE_NARROW_GAUGE_RAILTYPE_OHLE]:[TRACK_TYPE_NARROW_GAUGE_RAILTYPE_NONE]],_xlfn.LAMBDA(_xlpm.r,OR(_xlpm.r))),FALSE)</f>
        <v>0</v>
      </c>
      <c r="AG957" s="38" t="b" cm="1">
        <f t="array" ref="AG957">IFERROR(_xlfn.BYROW(TRACK_TYPES[[#This Row],[TRACK_TYPE_BROAD_GAUGE_RAILTYPE_OHLE]:[TRACK_TYPE_BROAD_GAUGE_RAILTYPE_NONE]],_xlfn.LAMBDA(_xlpm.r,OR(_xlpm.r))),FALSE)</f>
        <v>0</v>
      </c>
      <c r="AH9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8" spans="1:34" x14ac:dyDescent="0.35">
      <c r="A958" s="2" t="s">
        <v>3388</v>
      </c>
      <c r="B958" s="40" t="str">
        <f>_xlfn.XLOOKUP(PROPERTIES[[#This Row],[VEHIDCODE]],CONTROL[VEHIDCODE],CONTROL[ENGLISH])</f>
        <v>Kitson 2-2-2 3166-3171</v>
      </c>
      <c r="J958" s="2" t="b">
        <v>1</v>
      </c>
      <c r="AC958" s="2"/>
      <c r="AD958" s="2" t="b">
        <f>LEN(_xlfn.CONCAT(TRACK_TYPES[[#This Row],[TRACK_TYPE_STANDARD_GAUGE_RAILTYPE_OHLE]:[TRACK_TYPE_MTRO]]))&gt;0</f>
        <v>1</v>
      </c>
      <c r="AE958" s="38" t="b" cm="1">
        <f t="array" ref="AE958">IFERROR(_xlfn.BYROW(TRACK_TYPES[[#This Row],[TRACK_TYPE_STANDARD_GAUGE_RAILTYPE_OHLE]:[TRACK_TYPE_STANDARD_GAUGE_RAILTYPE_NONE]],_xlfn.LAMBDA(_xlpm.r,OR(_xlpm.r))),FALSE)</f>
        <v>1</v>
      </c>
      <c r="AF958" s="38" t="b" cm="1">
        <f t="array" ref="AF958">IFERROR(_xlfn.BYROW(TRACK_TYPES[[#This Row],[TRACK_TYPE_NARROW_GAUGE_RAILTYPE_OHLE]:[TRACK_TYPE_NARROW_GAUGE_RAILTYPE_NONE]],_xlfn.LAMBDA(_xlpm.r,OR(_xlpm.r))),FALSE)</f>
        <v>0</v>
      </c>
      <c r="AG958" s="38" t="b" cm="1">
        <f t="array" ref="AG958">IFERROR(_xlfn.BYROW(TRACK_TYPES[[#This Row],[TRACK_TYPE_BROAD_GAUGE_RAILTYPE_OHLE]:[TRACK_TYPE_BROAD_GAUGE_RAILTYPE_NONE]],_xlfn.LAMBDA(_xlpm.r,OR(_xlpm.r))),FALSE)</f>
        <v>0</v>
      </c>
      <c r="AH9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9" spans="1:34" x14ac:dyDescent="0.35">
      <c r="A959" s="2" t="s">
        <v>3389</v>
      </c>
      <c r="B959" s="40" t="str">
        <f>_xlfn.XLOOKUP(PROPERTIES[[#This Row],[VEHIDCODE]],CONTROL[VEHIDCODE],CONTROL[ENGLISH])</f>
        <v>Burnham 2-6-0 15857-15871</v>
      </c>
      <c r="J959" s="2" t="b">
        <v>1</v>
      </c>
      <c r="AC959" s="2"/>
      <c r="AD959" s="2" t="b">
        <f>LEN(_xlfn.CONCAT(TRACK_TYPES[[#This Row],[TRACK_TYPE_STANDARD_GAUGE_RAILTYPE_OHLE]:[TRACK_TYPE_MTRO]]))&gt;0</f>
        <v>1</v>
      </c>
      <c r="AE959" s="38" t="b" cm="1">
        <f t="array" ref="AE959">IFERROR(_xlfn.BYROW(TRACK_TYPES[[#This Row],[TRACK_TYPE_STANDARD_GAUGE_RAILTYPE_OHLE]:[TRACK_TYPE_STANDARD_GAUGE_RAILTYPE_NONE]],_xlfn.LAMBDA(_xlpm.r,OR(_xlpm.r))),FALSE)</f>
        <v>1</v>
      </c>
      <c r="AF959" s="38" t="b" cm="1">
        <f t="array" ref="AF959">IFERROR(_xlfn.BYROW(TRACK_TYPES[[#This Row],[TRACK_TYPE_NARROW_GAUGE_RAILTYPE_OHLE]:[TRACK_TYPE_NARROW_GAUGE_RAILTYPE_NONE]],_xlfn.LAMBDA(_xlpm.r,OR(_xlpm.r))),FALSE)</f>
        <v>0</v>
      </c>
      <c r="AG959" s="38" t="b" cm="1">
        <f t="array" ref="AG959">IFERROR(_xlfn.BYROW(TRACK_TYPES[[#This Row],[TRACK_TYPE_BROAD_GAUGE_RAILTYPE_OHLE]:[TRACK_TYPE_BROAD_GAUGE_RAILTYPE_NONE]],_xlfn.LAMBDA(_xlpm.r,OR(_xlpm.r))),FALSE)</f>
        <v>0</v>
      </c>
      <c r="AH9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0" spans="1:34" x14ac:dyDescent="0.35">
      <c r="A960" s="2" t="s">
        <v>3390</v>
      </c>
      <c r="B960" s="40" t="str">
        <f>_xlfn.XLOOKUP(PROPERTIES[[#This Row],[VEHIDCODE]],CONTROL[VEHIDCODE],CONTROL[ENGLISH])</f>
        <v>SA Franco-Belge 0-6-0 'Class 4'</v>
      </c>
      <c r="J960" s="2" t="b">
        <v>1</v>
      </c>
      <c r="AC960" s="2"/>
      <c r="AD960" s="2" t="b">
        <f>LEN(_xlfn.CONCAT(TRACK_TYPES[[#This Row],[TRACK_TYPE_STANDARD_GAUGE_RAILTYPE_OHLE]:[TRACK_TYPE_MTRO]]))&gt;0</f>
        <v>1</v>
      </c>
      <c r="AE960" s="38" t="b" cm="1">
        <f t="array" ref="AE960">IFERROR(_xlfn.BYROW(TRACK_TYPES[[#This Row],[TRACK_TYPE_STANDARD_GAUGE_RAILTYPE_OHLE]:[TRACK_TYPE_STANDARD_GAUGE_RAILTYPE_NONE]],_xlfn.LAMBDA(_xlpm.r,OR(_xlpm.r))),FALSE)</f>
        <v>1</v>
      </c>
      <c r="AF960" s="38" t="b" cm="1">
        <f t="array" ref="AF960">IFERROR(_xlfn.BYROW(TRACK_TYPES[[#This Row],[TRACK_TYPE_NARROW_GAUGE_RAILTYPE_OHLE]:[TRACK_TYPE_NARROW_GAUGE_RAILTYPE_NONE]],_xlfn.LAMBDA(_xlpm.r,OR(_xlpm.r))),FALSE)</f>
        <v>0</v>
      </c>
      <c r="AG960" s="38" t="b" cm="1">
        <f t="array" ref="AG960">IFERROR(_xlfn.BYROW(TRACK_TYPES[[#This Row],[TRACK_TYPE_BROAD_GAUGE_RAILTYPE_OHLE]:[TRACK_TYPE_BROAD_GAUGE_RAILTYPE_NONE]],_xlfn.LAMBDA(_xlpm.r,OR(_xlpm.r))),FALSE)</f>
        <v>0</v>
      </c>
      <c r="AH9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1" spans="1:34" x14ac:dyDescent="0.35">
      <c r="A961" s="2" t="s">
        <v>3391</v>
      </c>
      <c r="B961" s="40" t="str">
        <f>_xlfn.XLOOKUP(PROPERTIES[[#This Row],[VEHIDCODE]],CONTROL[VEHIDCODE],CONTROL[ENGLISH])</f>
        <v>ACME Corp. Pegasus</v>
      </c>
      <c r="AB961" t="b">
        <v>1</v>
      </c>
      <c r="AC961" s="2"/>
      <c r="AD961" s="2" t="b">
        <f>LEN(_xlfn.CONCAT(TRACK_TYPES[[#This Row],[TRACK_TYPE_STANDARD_GAUGE_RAILTYPE_OHLE]:[TRACK_TYPE_MTRO]]))&gt;0</f>
        <v>1</v>
      </c>
      <c r="AE961" s="38" t="b" cm="1">
        <f t="array" ref="AE961">IFERROR(_xlfn.BYROW(TRACK_TYPES[[#This Row],[TRACK_TYPE_STANDARD_GAUGE_RAILTYPE_OHLE]:[TRACK_TYPE_STANDARD_GAUGE_RAILTYPE_NONE]],_xlfn.LAMBDA(_xlpm.r,OR(_xlpm.r))),FALSE)</f>
        <v>0</v>
      </c>
      <c r="AF961" s="38" t="b" cm="1">
        <f t="array" ref="AF961">IFERROR(_xlfn.BYROW(TRACK_TYPES[[#This Row],[TRACK_TYPE_NARROW_GAUGE_RAILTYPE_OHLE]:[TRACK_TYPE_NARROW_GAUGE_RAILTYPE_NONE]],_xlfn.LAMBDA(_xlpm.r,OR(_xlpm.r))),FALSE)</f>
        <v>0</v>
      </c>
      <c r="AG961" s="38" t="b" cm="1">
        <f t="array" ref="AG961">IFERROR(_xlfn.BYROW(TRACK_TYPES[[#This Row],[TRACK_TYPE_BROAD_GAUGE_RAILTYPE_OHLE]:[TRACK_TYPE_BROAD_GAUGE_RAILTYPE_NONE]],_xlfn.LAMBDA(_xlpm.r,OR(_xlpm.r))),FALSE)</f>
        <v>0</v>
      </c>
      <c r="AH9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</row>
    <row r="962" spans="1:34" x14ac:dyDescent="0.35">
      <c r="A962" s="2" t="s">
        <v>3392</v>
      </c>
      <c r="B962" s="40" t="str">
        <f>_xlfn.XLOOKUP(PROPERTIES[[#This Row],[VEHIDCODE]],CONTROL[VEHIDCODE],CONTROL[ENGLISH])</f>
        <v>ACME Corp. Chimaera</v>
      </c>
      <c r="AB962" t="b">
        <v>1</v>
      </c>
      <c r="AC962" s="2"/>
      <c r="AD962" s="2" t="b">
        <f>LEN(_xlfn.CONCAT(TRACK_TYPES[[#This Row],[TRACK_TYPE_STANDARD_GAUGE_RAILTYPE_OHLE]:[TRACK_TYPE_MTRO]]))&gt;0</f>
        <v>1</v>
      </c>
      <c r="AE962" s="38" t="b" cm="1">
        <f t="array" ref="AE962">IFERROR(_xlfn.BYROW(TRACK_TYPES[[#This Row],[TRACK_TYPE_STANDARD_GAUGE_RAILTYPE_OHLE]:[TRACK_TYPE_STANDARD_GAUGE_RAILTYPE_NONE]],_xlfn.LAMBDA(_xlpm.r,OR(_xlpm.r))),FALSE)</f>
        <v>0</v>
      </c>
      <c r="AF962" s="38" t="b" cm="1">
        <f t="array" ref="AF962">IFERROR(_xlfn.BYROW(TRACK_TYPES[[#This Row],[TRACK_TYPE_NARROW_GAUGE_RAILTYPE_OHLE]:[TRACK_TYPE_NARROW_GAUGE_RAILTYPE_NONE]],_xlfn.LAMBDA(_xlpm.r,OR(_xlpm.r))),FALSE)</f>
        <v>0</v>
      </c>
      <c r="AG962" s="38" t="b" cm="1">
        <f t="array" ref="AG962">IFERROR(_xlfn.BYROW(TRACK_TYPES[[#This Row],[TRACK_TYPE_BROAD_GAUGE_RAILTYPE_OHLE]:[TRACK_TYPE_BROAD_GAUGE_RAILTYPE_NONE]],_xlfn.LAMBDA(_xlpm.r,OR(_xlpm.r))),FALSE)</f>
        <v>0</v>
      </c>
      <c r="AH9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</row>
    <row r="963" spans="1:34" x14ac:dyDescent="0.35">
      <c r="A963" s="2" t="s">
        <v>1915</v>
      </c>
      <c r="B963" s="40" t="str">
        <f>_xlfn.XLOOKUP(PROPERTIES[[#This Row],[VEHIDCODE]],CONTROL[VEHIDCODE],CONTROL[ENGLISH])</f>
        <v>ACME Corp. Chimaera Passenger Coach</v>
      </c>
      <c r="AB963" t="b">
        <v>1</v>
      </c>
      <c r="AC963" s="2"/>
      <c r="AD963" s="2" t="b">
        <f>LEN(_xlfn.CONCAT(TRACK_TYPES[[#This Row],[TRACK_TYPE_STANDARD_GAUGE_RAILTYPE_OHLE]:[TRACK_TYPE_MTRO]]))&gt;0</f>
        <v>1</v>
      </c>
      <c r="AE963" s="38" t="b" cm="1">
        <f t="array" ref="AE963">IFERROR(_xlfn.BYROW(TRACK_TYPES[[#This Row],[TRACK_TYPE_STANDARD_GAUGE_RAILTYPE_OHLE]:[TRACK_TYPE_STANDARD_GAUGE_RAILTYPE_NONE]],_xlfn.LAMBDA(_xlpm.r,OR(_xlpm.r))),FALSE)</f>
        <v>0</v>
      </c>
      <c r="AF963" s="38" t="b" cm="1">
        <f t="array" ref="AF963">IFERROR(_xlfn.BYROW(TRACK_TYPES[[#This Row],[TRACK_TYPE_NARROW_GAUGE_RAILTYPE_OHLE]:[TRACK_TYPE_NARROW_GAUGE_RAILTYPE_NONE]],_xlfn.LAMBDA(_xlpm.r,OR(_xlpm.r))),FALSE)</f>
        <v>0</v>
      </c>
      <c r="AG963" s="38" t="b" cm="1">
        <f t="array" ref="AG963">IFERROR(_xlfn.BYROW(TRACK_TYPES[[#This Row],[TRACK_TYPE_BROAD_GAUGE_RAILTYPE_OHLE]:[TRACK_TYPE_BROAD_GAUGE_RAILTYPE_NONE]],_xlfn.LAMBDA(_xlpm.r,OR(_xlpm.r))),FALSE)</f>
        <v>0</v>
      </c>
      <c r="AH9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</row>
    <row r="964" spans="1:34" x14ac:dyDescent="0.35">
      <c r="A964" s="2" t="s">
        <v>1916</v>
      </c>
      <c r="B964" s="40" t="str">
        <f>_xlfn.XLOOKUP(PROPERTIES[[#This Row],[VEHIDCODE]],CONTROL[VEHIDCODE],CONTROL[ENGLISH])</f>
        <v>ACME Corp. Chimaera Mail Coach</v>
      </c>
      <c r="AB964" t="b">
        <v>1</v>
      </c>
      <c r="AC964" s="2"/>
      <c r="AD964" s="2" t="b">
        <f>LEN(_xlfn.CONCAT(TRACK_TYPES[[#This Row],[TRACK_TYPE_STANDARD_GAUGE_RAILTYPE_OHLE]:[TRACK_TYPE_MTRO]]))&gt;0</f>
        <v>1</v>
      </c>
      <c r="AE964" s="38" t="b" cm="1">
        <f t="array" ref="AE964">IFERROR(_xlfn.BYROW(TRACK_TYPES[[#This Row],[TRACK_TYPE_STANDARD_GAUGE_RAILTYPE_OHLE]:[TRACK_TYPE_STANDARD_GAUGE_RAILTYPE_NONE]],_xlfn.LAMBDA(_xlpm.r,OR(_xlpm.r))),FALSE)</f>
        <v>0</v>
      </c>
      <c r="AF964" s="38" t="b" cm="1">
        <f t="array" ref="AF964">IFERROR(_xlfn.BYROW(TRACK_TYPES[[#This Row],[TRACK_TYPE_NARROW_GAUGE_RAILTYPE_OHLE]:[TRACK_TYPE_NARROW_GAUGE_RAILTYPE_NONE]],_xlfn.LAMBDA(_xlpm.r,OR(_xlpm.r))),FALSE)</f>
        <v>0</v>
      </c>
      <c r="AG964" s="38" t="b" cm="1">
        <f t="array" ref="AG964">IFERROR(_xlfn.BYROW(TRACK_TYPES[[#This Row],[TRACK_TYPE_BROAD_GAUGE_RAILTYPE_OHLE]:[TRACK_TYPE_BROAD_GAUGE_RAILTYPE_NONE]],_xlfn.LAMBDA(_xlpm.r,OR(_xlpm.r))),FALSE)</f>
        <v>0</v>
      </c>
      <c r="AH9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</row>
    <row r="965" spans="1:34" x14ac:dyDescent="0.35">
      <c r="A965" s="2" t="s">
        <v>3393</v>
      </c>
      <c r="B965" s="40" t="str">
        <f>_xlfn.XLOOKUP(PROPERTIES[[#This Row],[VEHIDCODE]],CONTROL[VEHIDCODE],CONTROL[ENGLISH])</f>
        <v>Sharp/BP 0-6-0 BDZ 142-150</v>
      </c>
      <c r="J965" s="2" t="b">
        <v>1</v>
      </c>
      <c r="AC965" s="2"/>
      <c r="AD965" s="2" t="b">
        <f>LEN(_xlfn.CONCAT(TRACK_TYPES[[#This Row],[TRACK_TYPE_STANDARD_GAUGE_RAILTYPE_OHLE]:[TRACK_TYPE_MTRO]]))&gt;0</f>
        <v>1</v>
      </c>
      <c r="AE965" s="38" t="b" cm="1">
        <f t="array" ref="AE965">IFERROR(_xlfn.BYROW(TRACK_TYPES[[#This Row],[TRACK_TYPE_STANDARD_GAUGE_RAILTYPE_OHLE]:[TRACK_TYPE_STANDARD_GAUGE_RAILTYPE_NONE]],_xlfn.LAMBDA(_xlpm.r,OR(_xlpm.r))),FALSE)</f>
        <v>1</v>
      </c>
      <c r="AF965" s="38" t="b" cm="1">
        <f t="array" ref="AF965">IFERROR(_xlfn.BYROW(TRACK_TYPES[[#This Row],[TRACK_TYPE_NARROW_GAUGE_RAILTYPE_OHLE]:[TRACK_TYPE_NARROW_GAUGE_RAILTYPE_NONE]],_xlfn.LAMBDA(_xlpm.r,OR(_xlpm.r))),FALSE)</f>
        <v>0</v>
      </c>
      <c r="AG965" s="38" t="b" cm="1">
        <f t="array" ref="AG965">IFERROR(_xlfn.BYROW(TRACK_TYPES[[#This Row],[TRACK_TYPE_BROAD_GAUGE_RAILTYPE_OHLE]:[TRACK_TYPE_BROAD_GAUGE_RAILTYPE_NONE]],_xlfn.LAMBDA(_xlpm.r,OR(_xlpm.r))),FALSE)</f>
        <v>0</v>
      </c>
      <c r="AH9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6" spans="1:34" x14ac:dyDescent="0.35">
      <c r="A966" s="2" t="s">
        <v>3394</v>
      </c>
      <c r="B966" s="40" t="str">
        <f>_xlfn.XLOOKUP(PROPERTIES[[#This Row],[VEHIDCODE]],CONTROL[VEHIDCODE],CONTROL[ENGLISH])</f>
        <v>MAVAG 4-4-2 Class 203</v>
      </c>
      <c r="J966" s="2" t="b">
        <v>1</v>
      </c>
      <c r="AC966" s="2"/>
      <c r="AD966" s="2" t="b">
        <f>LEN(_xlfn.CONCAT(TRACK_TYPES[[#This Row],[TRACK_TYPE_STANDARD_GAUGE_RAILTYPE_OHLE]:[TRACK_TYPE_MTRO]]))&gt;0</f>
        <v>1</v>
      </c>
      <c r="AE966" s="38" t="b" cm="1">
        <f t="array" ref="AE966">IFERROR(_xlfn.BYROW(TRACK_TYPES[[#This Row],[TRACK_TYPE_STANDARD_GAUGE_RAILTYPE_OHLE]:[TRACK_TYPE_STANDARD_GAUGE_RAILTYPE_NONE]],_xlfn.LAMBDA(_xlpm.r,OR(_xlpm.r))),FALSE)</f>
        <v>1</v>
      </c>
      <c r="AF966" s="38" t="b" cm="1">
        <f t="array" ref="AF966">IFERROR(_xlfn.BYROW(TRACK_TYPES[[#This Row],[TRACK_TYPE_NARROW_GAUGE_RAILTYPE_OHLE]:[TRACK_TYPE_NARROW_GAUGE_RAILTYPE_NONE]],_xlfn.LAMBDA(_xlpm.r,OR(_xlpm.r))),FALSE)</f>
        <v>0</v>
      </c>
      <c r="AG966" s="38" t="b" cm="1">
        <f t="array" ref="AG966">IFERROR(_xlfn.BYROW(TRACK_TYPES[[#This Row],[TRACK_TYPE_BROAD_GAUGE_RAILTYPE_OHLE]:[TRACK_TYPE_BROAD_GAUGE_RAILTYPE_NONE]],_xlfn.LAMBDA(_xlpm.r,OR(_xlpm.r))),FALSE)</f>
        <v>0</v>
      </c>
      <c r="AH9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7" spans="1:34" x14ac:dyDescent="0.35">
      <c r="A967" s="2" t="s">
        <v>3395</v>
      </c>
      <c r="B967" s="40" t="str">
        <f>_xlfn.XLOOKUP(PROPERTIES[[#This Row],[VEHIDCODE]],CONTROL[VEHIDCODE],CONTROL[ENGLISH])</f>
        <v>MAVAG 2-6-6-0 Class 601</v>
      </c>
      <c r="J967" s="2" t="b">
        <v>1</v>
      </c>
      <c r="AC967" s="2"/>
      <c r="AD967" s="2" t="b">
        <f>LEN(_xlfn.CONCAT(TRACK_TYPES[[#This Row],[TRACK_TYPE_STANDARD_GAUGE_RAILTYPE_OHLE]:[TRACK_TYPE_MTRO]]))&gt;0</f>
        <v>1</v>
      </c>
      <c r="AE967" s="38" t="b" cm="1">
        <f t="array" ref="AE967">IFERROR(_xlfn.BYROW(TRACK_TYPES[[#This Row],[TRACK_TYPE_STANDARD_GAUGE_RAILTYPE_OHLE]:[TRACK_TYPE_STANDARD_GAUGE_RAILTYPE_NONE]],_xlfn.LAMBDA(_xlpm.r,OR(_xlpm.r))),FALSE)</f>
        <v>1</v>
      </c>
      <c r="AF967" s="38" t="b" cm="1">
        <f t="array" ref="AF967">IFERROR(_xlfn.BYROW(TRACK_TYPES[[#This Row],[TRACK_TYPE_NARROW_GAUGE_RAILTYPE_OHLE]:[TRACK_TYPE_NARROW_GAUGE_RAILTYPE_NONE]],_xlfn.LAMBDA(_xlpm.r,OR(_xlpm.r))),FALSE)</f>
        <v>0</v>
      </c>
      <c r="AG967" s="38" t="b" cm="1">
        <f t="array" ref="AG967">IFERROR(_xlfn.BYROW(TRACK_TYPES[[#This Row],[TRACK_TYPE_BROAD_GAUGE_RAILTYPE_OHLE]:[TRACK_TYPE_BROAD_GAUGE_RAILTYPE_NONE]],_xlfn.LAMBDA(_xlpm.r,OR(_xlpm.r))),FALSE)</f>
        <v>0</v>
      </c>
      <c r="AH9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8" spans="1:34" x14ac:dyDescent="0.35">
      <c r="A968" s="2" t="s">
        <v>3396</v>
      </c>
      <c r="B968" s="40" t="str">
        <f>_xlfn.XLOOKUP(PROPERTIES[[#This Row],[VEHIDCODE]],CONTROL[VEHIDCODE],CONTROL[ENGLISH])</f>
        <v>Ganz-MAVAG VM7 'V40'</v>
      </c>
      <c r="E968" t="b">
        <v>1</v>
      </c>
      <c r="AC968" s="2"/>
      <c r="AD968" s="2" t="b">
        <f>LEN(_xlfn.CONCAT(TRACK_TYPES[[#This Row],[TRACK_TYPE_STANDARD_GAUGE_RAILTYPE_OHLE]:[TRACK_TYPE_MTRO]]))&gt;0</f>
        <v>1</v>
      </c>
      <c r="AE968" s="38" t="b" cm="1">
        <f t="array" ref="AE968">IFERROR(_xlfn.BYROW(TRACK_TYPES[[#This Row],[TRACK_TYPE_STANDARD_GAUGE_RAILTYPE_OHLE]:[TRACK_TYPE_STANDARD_GAUGE_RAILTYPE_NONE]],_xlfn.LAMBDA(_xlpm.r,OR(_xlpm.r))),FALSE)</f>
        <v>1</v>
      </c>
      <c r="AF968" s="38" t="b" cm="1">
        <f t="array" ref="AF968">IFERROR(_xlfn.BYROW(TRACK_TYPES[[#This Row],[TRACK_TYPE_NARROW_GAUGE_RAILTYPE_OHLE]:[TRACK_TYPE_NARROW_GAUGE_RAILTYPE_NONE]],_xlfn.LAMBDA(_xlpm.r,OR(_xlpm.r))),FALSE)</f>
        <v>0</v>
      </c>
      <c r="AG968" s="38" t="b" cm="1">
        <f t="array" ref="AG968">IFERROR(_xlfn.BYROW(TRACK_TYPES[[#This Row],[TRACK_TYPE_BROAD_GAUGE_RAILTYPE_OHLE]:[TRACK_TYPE_BROAD_GAUGE_RAILTYPE_NONE]],_xlfn.LAMBDA(_xlpm.r,OR(_xlpm.r))),FALSE)</f>
        <v>0</v>
      </c>
      <c r="AH9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9" spans="1:34" x14ac:dyDescent="0.35">
      <c r="A969" s="2" t="s">
        <v>3397</v>
      </c>
      <c r="B969" s="40" t="str">
        <f>_xlfn.XLOOKUP(PROPERTIES[[#This Row],[VEHIDCODE]],CONTROL[VEHIDCODE],CONTROL[ENGLISH])</f>
        <v>PESA 111D</v>
      </c>
      <c r="J969" s="2" t="b">
        <v>1</v>
      </c>
      <c r="AC969" s="2"/>
      <c r="AD969" s="2" t="b">
        <f>LEN(_xlfn.CONCAT(TRACK_TYPES[[#This Row],[TRACK_TYPE_STANDARD_GAUGE_RAILTYPE_OHLE]:[TRACK_TYPE_MTRO]]))&gt;0</f>
        <v>1</v>
      </c>
      <c r="AE969" s="38" t="b" cm="1">
        <f t="array" ref="AE969">IFERROR(_xlfn.BYROW(TRACK_TYPES[[#This Row],[TRACK_TYPE_STANDARD_GAUGE_RAILTYPE_OHLE]:[TRACK_TYPE_STANDARD_GAUGE_RAILTYPE_NONE]],_xlfn.LAMBDA(_xlpm.r,OR(_xlpm.r))),FALSE)</f>
        <v>1</v>
      </c>
      <c r="AF969" s="38" t="b" cm="1">
        <f t="array" ref="AF969">IFERROR(_xlfn.BYROW(TRACK_TYPES[[#This Row],[TRACK_TYPE_NARROW_GAUGE_RAILTYPE_OHLE]:[TRACK_TYPE_NARROW_GAUGE_RAILTYPE_NONE]],_xlfn.LAMBDA(_xlpm.r,OR(_xlpm.r))),FALSE)</f>
        <v>0</v>
      </c>
      <c r="AG969" s="38" t="b" cm="1">
        <f t="array" ref="AG969">IFERROR(_xlfn.BYROW(TRACK_TYPES[[#This Row],[TRACK_TYPE_BROAD_GAUGE_RAILTYPE_OHLE]:[TRACK_TYPE_BROAD_GAUGE_RAILTYPE_NONE]],_xlfn.LAMBDA(_xlpm.r,OR(_xlpm.r))),FALSE)</f>
        <v>0</v>
      </c>
      <c r="AH9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0" spans="1:34" x14ac:dyDescent="0.35">
      <c r="A970" s="2" t="s">
        <v>3398</v>
      </c>
      <c r="B970" s="40" t="str">
        <f>_xlfn.XLOOKUP(PROPERTIES[[#This Row],[VEHIDCODE]],CONTROL[VEHIDCODE],CONTROL[ENGLISH])</f>
        <v>Stephenson/BP 2-2-2 LVCI Class 1</v>
      </c>
      <c r="J970" s="2" t="b">
        <v>1</v>
      </c>
      <c r="AC970" s="2"/>
      <c r="AD970" s="2" t="b">
        <f>LEN(_xlfn.CONCAT(TRACK_TYPES[[#This Row],[TRACK_TYPE_STANDARD_GAUGE_RAILTYPE_OHLE]:[TRACK_TYPE_MTRO]]))&gt;0</f>
        <v>1</v>
      </c>
      <c r="AE970" s="38" t="b" cm="1">
        <f t="array" ref="AE970">IFERROR(_xlfn.BYROW(TRACK_TYPES[[#This Row],[TRACK_TYPE_STANDARD_GAUGE_RAILTYPE_OHLE]:[TRACK_TYPE_STANDARD_GAUGE_RAILTYPE_NONE]],_xlfn.LAMBDA(_xlpm.r,OR(_xlpm.r))),FALSE)</f>
        <v>1</v>
      </c>
      <c r="AF970" s="38" t="b" cm="1">
        <f t="array" ref="AF970">IFERROR(_xlfn.BYROW(TRACK_TYPES[[#This Row],[TRACK_TYPE_NARROW_GAUGE_RAILTYPE_OHLE]:[TRACK_TYPE_NARROW_GAUGE_RAILTYPE_NONE]],_xlfn.LAMBDA(_xlpm.r,OR(_xlpm.r))),FALSE)</f>
        <v>0</v>
      </c>
      <c r="AG970" s="38" t="b" cm="1">
        <f t="array" ref="AG970">IFERROR(_xlfn.BYROW(TRACK_TYPES[[#This Row],[TRACK_TYPE_BROAD_GAUGE_RAILTYPE_OHLE]:[TRACK_TYPE_BROAD_GAUGE_RAILTYPE_NONE]],_xlfn.LAMBDA(_xlpm.r,OR(_xlpm.r))),FALSE)</f>
        <v>0</v>
      </c>
      <c r="AH9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1" spans="1:34" x14ac:dyDescent="0.35">
      <c r="A971" t="s">
        <v>3399</v>
      </c>
      <c r="B971" s="40" t="str">
        <f>_xlfn.XLOOKUP(PROPERTIES[[#This Row],[VEHIDCODE]],CONTROL[VEHIDCODE],CONTROL[ENGLISH])</f>
        <v>Babcock 4-6-2+2-6-4T '462'</v>
      </c>
      <c r="Z971" s="2" t="b">
        <v>1</v>
      </c>
      <c r="AC971" s="2"/>
      <c r="AD971" s="2" t="b">
        <f>LEN(_xlfn.CONCAT(TRACK_TYPES[[#This Row],[TRACK_TYPE_STANDARD_GAUGE_RAILTYPE_OHLE]:[TRACK_TYPE_MTRO]]))&gt;0</f>
        <v>1</v>
      </c>
      <c r="AE971" s="38" t="b" cm="1">
        <f t="array" ref="AE971">IFERROR(_xlfn.BYROW(TRACK_TYPES[[#This Row],[TRACK_TYPE_STANDARD_GAUGE_RAILTYPE_OHLE]:[TRACK_TYPE_STANDARD_GAUGE_RAILTYPE_NONE]],_xlfn.LAMBDA(_xlpm.r,OR(_xlpm.r))),FALSE)</f>
        <v>0</v>
      </c>
      <c r="AF971" s="38" t="b" cm="1">
        <f t="array" ref="AF971">IFERROR(_xlfn.BYROW(TRACK_TYPES[[#This Row],[TRACK_TYPE_NARROW_GAUGE_RAILTYPE_OHLE]:[TRACK_TYPE_NARROW_GAUGE_RAILTYPE_NONE]],_xlfn.LAMBDA(_xlpm.r,OR(_xlpm.r))),FALSE)</f>
        <v>0</v>
      </c>
      <c r="AG971" s="38" t="b" cm="1">
        <f t="array" ref="AG971">IFERROR(_xlfn.BYROW(TRACK_TYPES[[#This Row],[TRACK_TYPE_BROAD_GAUGE_RAILTYPE_OHLE]:[TRACK_TYPE_BROAD_GAUGE_RAILTYPE_NONE]],_xlfn.LAMBDA(_xlpm.r,OR(_xlpm.r))),FALSE)</f>
        <v>1</v>
      </c>
      <c r="AH9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72" spans="1:34" x14ac:dyDescent="0.35">
      <c r="A972" s="2" t="s">
        <v>3400</v>
      </c>
      <c r="B972" s="40" t="str">
        <f>_xlfn.XLOOKUP(PROPERTIES[[#This Row],[VEHIDCODE]],CONTROL[VEHIDCODE],CONTROL[ENGLISH])</f>
        <v>Koechlin 0-6-0 '030'</v>
      </c>
      <c r="Z972" s="2" t="b">
        <v>1</v>
      </c>
      <c r="AC972" s="2"/>
      <c r="AD972" s="2" t="b">
        <f>LEN(_xlfn.CONCAT(TRACK_TYPES[[#This Row],[TRACK_TYPE_STANDARD_GAUGE_RAILTYPE_OHLE]:[TRACK_TYPE_MTRO]]))&gt;0</f>
        <v>1</v>
      </c>
      <c r="AE972" s="38" t="b" cm="1">
        <f t="array" ref="AE972">IFERROR(_xlfn.BYROW(TRACK_TYPES[[#This Row],[TRACK_TYPE_STANDARD_GAUGE_RAILTYPE_OHLE]:[TRACK_TYPE_STANDARD_GAUGE_RAILTYPE_NONE]],_xlfn.LAMBDA(_xlpm.r,OR(_xlpm.r))),FALSE)</f>
        <v>0</v>
      </c>
      <c r="AF972" s="38" t="b" cm="1">
        <f t="array" ref="AF972">IFERROR(_xlfn.BYROW(TRACK_TYPES[[#This Row],[TRACK_TYPE_NARROW_GAUGE_RAILTYPE_OHLE]:[TRACK_TYPE_NARROW_GAUGE_RAILTYPE_NONE]],_xlfn.LAMBDA(_xlpm.r,OR(_xlpm.r))),FALSE)</f>
        <v>0</v>
      </c>
      <c r="AG972" s="38" t="b" cm="1">
        <f t="array" ref="AG972">IFERROR(_xlfn.BYROW(TRACK_TYPES[[#This Row],[TRACK_TYPE_BROAD_GAUGE_RAILTYPE_OHLE]:[TRACK_TYPE_BROAD_GAUGE_RAILTYPE_NONE]],_xlfn.LAMBDA(_xlpm.r,OR(_xlpm.r))),FALSE)</f>
        <v>1</v>
      </c>
      <c r="AH9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73" spans="1:34" x14ac:dyDescent="0.35">
      <c r="A973" s="2" t="s">
        <v>3401</v>
      </c>
      <c r="B973" s="40" t="str">
        <f>_xlfn.XLOOKUP(PROPERTIES[[#This Row],[VEHIDCODE]],CONTROL[VEHIDCODE],CONTROL[ENGLISH])</f>
        <v>Hanomag/ALCO 4-8-0 '240'</v>
      </c>
      <c r="Z973" s="2" t="b">
        <v>1</v>
      </c>
      <c r="AC973" s="2"/>
      <c r="AD973" s="2" t="b">
        <f>LEN(_xlfn.CONCAT(TRACK_TYPES[[#This Row],[TRACK_TYPE_STANDARD_GAUGE_RAILTYPE_OHLE]:[TRACK_TYPE_MTRO]]))&gt;0</f>
        <v>1</v>
      </c>
      <c r="AE973" s="38" t="b" cm="1">
        <f t="array" ref="AE973">IFERROR(_xlfn.BYROW(TRACK_TYPES[[#This Row],[TRACK_TYPE_STANDARD_GAUGE_RAILTYPE_OHLE]:[TRACK_TYPE_STANDARD_GAUGE_RAILTYPE_NONE]],_xlfn.LAMBDA(_xlpm.r,OR(_xlpm.r))),FALSE)</f>
        <v>0</v>
      </c>
      <c r="AF973" s="38" t="b" cm="1">
        <f t="array" ref="AF973">IFERROR(_xlfn.BYROW(TRACK_TYPES[[#This Row],[TRACK_TYPE_NARROW_GAUGE_RAILTYPE_OHLE]:[TRACK_TYPE_NARROW_GAUGE_RAILTYPE_NONE]],_xlfn.LAMBDA(_xlpm.r,OR(_xlpm.r))),FALSE)</f>
        <v>0</v>
      </c>
      <c r="AG973" s="38" t="b" cm="1">
        <f t="array" ref="AG973">IFERROR(_xlfn.BYROW(TRACK_TYPES[[#This Row],[TRACK_TYPE_BROAD_GAUGE_RAILTYPE_OHLE]:[TRACK_TYPE_BROAD_GAUGE_RAILTYPE_NONE]],_xlfn.LAMBDA(_xlpm.r,OR(_xlpm.r))),FALSE)</f>
        <v>1</v>
      </c>
      <c r="AH9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74" spans="1:34" x14ac:dyDescent="0.35">
      <c r="A974" s="2" t="s">
        <v>3402</v>
      </c>
      <c r="B974" s="40" t="str">
        <f>_xlfn.XLOOKUP(PROPERTIES[[#This Row],[VEHIDCODE]],CONTROL[VEHIDCODE],CONTROL[ENGLISH])</f>
        <v>CRRC Sifang SFB-500</v>
      </c>
      <c r="T974" t="b">
        <v>1</v>
      </c>
      <c r="AC974" s="2"/>
      <c r="AD974" s="2" t="b">
        <f>LEN(_xlfn.CONCAT(TRACK_TYPES[[#This Row],[TRACK_TYPE_STANDARD_GAUGE_RAILTYPE_OHLE]:[TRACK_TYPE_MTRO]]))&gt;0</f>
        <v>1</v>
      </c>
      <c r="AE974" s="38" t="b" cm="1">
        <f t="array" ref="AE974">IFERROR(_xlfn.BYROW(TRACK_TYPES[[#This Row],[TRACK_TYPE_STANDARD_GAUGE_RAILTYPE_OHLE]:[TRACK_TYPE_STANDARD_GAUGE_RAILTYPE_NONE]],_xlfn.LAMBDA(_xlpm.r,OR(_xlpm.r))),FALSE)</f>
        <v>0</v>
      </c>
      <c r="AF974" s="38" t="b" cm="1">
        <f t="array" ref="AF974">IFERROR(_xlfn.BYROW(TRACK_TYPES[[#This Row],[TRACK_TYPE_NARROW_GAUGE_RAILTYPE_OHLE]:[TRACK_TYPE_NARROW_GAUGE_RAILTYPE_NONE]],_xlfn.LAMBDA(_xlpm.r,OR(_xlpm.r))),FALSE)</f>
        <v>0</v>
      </c>
      <c r="AG974" s="38" t="b" cm="1">
        <f t="array" ref="AG974">IFERROR(_xlfn.BYROW(TRACK_TYPES[[#This Row],[TRACK_TYPE_BROAD_GAUGE_RAILTYPE_OHLE]:[TRACK_TYPE_BROAD_GAUGE_RAILTYPE_NONE]],_xlfn.LAMBDA(_xlpm.r,OR(_xlpm.r))),FALSE)</f>
        <v>1</v>
      </c>
      <c r="AH9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75" spans="1:34" x14ac:dyDescent="0.35">
      <c r="A975" s="2" t="s">
        <v>3403</v>
      </c>
      <c r="B975" s="40" t="str">
        <f>_xlfn.XLOOKUP(PROPERTIES[[#This Row],[VEHIDCODE]],CONTROL[VEHIDCODE],CONTROL[ENGLISH])</f>
        <v>EMC E3</v>
      </c>
      <c r="J975" s="2" t="b">
        <v>1</v>
      </c>
      <c r="AC975" s="2"/>
      <c r="AD975" s="2" t="b">
        <f>LEN(_xlfn.CONCAT(TRACK_TYPES[[#This Row],[TRACK_TYPE_STANDARD_GAUGE_RAILTYPE_OHLE]:[TRACK_TYPE_MTRO]]))&gt;0</f>
        <v>1</v>
      </c>
      <c r="AE975" s="38" t="b" cm="1">
        <f t="array" ref="AE975">IFERROR(_xlfn.BYROW(TRACK_TYPES[[#This Row],[TRACK_TYPE_STANDARD_GAUGE_RAILTYPE_OHLE]:[TRACK_TYPE_STANDARD_GAUGE_RAILTYPE_NONE]],_xlfn.LAMBDA(_xlpm.r,OR(_xlpm.r))),FALSE)</f>
        <v>1</v>
      </c>
      <c r="AF975" s="38" t="b" cm="1">
        <f t="array" ref="AF975">IFERROR(_xlfn.BYROW(TRACK_TYPES[[#This Row],[TRACK_TYPE_NARROW_GAUGE_RAILTYPE_OHLE]:[TRACK_TYPE_NARROW_GAUGE_RAILTYPE_NONE]],_xlfn.LAMBDA(_xlpm.r,OR(_xlpm.r))),FALSE)</f>
        <v>0</v>
      </c>
      <c r="AG975" s="38" t="b" cm="1">
        <f t="array" ref="AG975">IFERROR(_xlfn.BYROW(TRACK_TYPES[[#This Row],[TRACK_TYPE_BROAD_GAUGE_RAILTYPE_OHLE]:[TRACK_TYPE_BROAD_GAUGE_RAILTYPE_NONE]],_xlfn.LAMBDA(_xlpm.r,OR(_xlpm.r))),FALSE)</f>
        <v>0</v>
      </c>
      <c r="AH9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6" spans="1:34" x14ac:dyDescent="0.35">
      <c r="A976" s="2" t="s">
        <v>3404</v>
      </c>
      <c r="B976" s="40" t="str">
        <f>_xlfn.XLOOKUP(PROPERTIES[[#This Row],[VEHIDCODE]],CONTROL[VEHIDCODE],CONTROL[ENGLISH])</f>
        <v>EMD FT</v>
      </c>
      <c r="J976" s="2" t="b">
        <v>1</v>
      </c>
      <c r="AC976" s="2"/>
      <c r="AD976" s="2" t="b">
        <f>LEN(_xlfn.CONCAT(TRACK_TYPES[[#This Row],[TRACK_TYPE_STANDARD_GAUGE_RAILTYPE_OHLE]:[TRACK_TYPE_MTRO]]))&gt;0</f>
        <v>1</v>
      </c>
      <c r="AE976" s="38" t="b" cm="1">
        <f t="array" ref="AE976">IFERROR(_xlfn.BYROW(TRACK_TYPES[[#This Row],[TRACK_TYPE_STANDARD_GAUGE_RAILTYPE_OHLE]:[TRACK_TYPE_STANDARD_GAUGE_RAILTYPE_NONE]],_xlfn.LAMBDA(_xlpm.r,OR(_xlpm.r))),FALSE)</f>
        <v>1</v>
      </c>
      <c r="AF976" s="38" t="b" cm="1">
        <f t="array" ref="AF976">IFERROR(_xlfn.BYROW(TRACK_TYPES[[#This Row],[TRACK_TYPE_NARROW_GAUGE_RAILTYPE_OHLE]:[TRACK_TYPE_NARROW_GAUGE_RAILTYPE_NONE]],_xlfn.LAMBDA(_xlpm.r,OR(_xlpm.r))),FALSE)</f>
        <v>0</v>
      </c>
      <c r="AG976" s="38" t="b" cm="1">
        <f t="array" ref="AG976">IFERROR(_xlfn.BYROW(TRACK_TYPES[[#This Row],[TRACK_TYPE_BROAD_GAUGE_RAILTYPE_OHLE]:[TRACK_TYPE_BROAD_GAUGE_RAILTYPE_NONE]],_xlfn.LAMBDA(_xlpm.r,OR(_xlpm.r))),FALSE)</f>
        <v>0</v>
      </c>
      <c r="AH9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7" spans="1:34" x14ac:dyDescent="0.35">
      <c r="A977" s="2" t="s">
        <v>3405</v>
      </c>
      <c r="B977" s="40" t="str">
        <f>_xlfn.XLOOKUP(PROPERTIES[[#This Row],[VEHIDCODE]],CONTROL[VEHIDCODE],CONTROL[ENGLISH])</f>
        <v>LTZ TE109</v>
      </c>
      <c r="J977" s="2" t="b">
        <v>1</v>
      </c>
      <c r="Z977" s="2" t="b">
        <v>1</v>
      </c>
      <c r="AC977" s="2"/>
      <c r="AD977" s="2" t="b">
        <f>LEN(_xlfn.CONCAT(TRACK_TYPES[[#This Row],[TRACK_TYPE_STANDARD_GAUGE_RAILTYPE_OHLE]:[TRACK_TYPE_MTRO]]))&gt;0</f>
        <v>1</v>
      </c>
      <c r="AE977" s="38" t="b" cm="1">
        <f t="array" ref="AE977">IFERROR(_xlfn.BYROW(TRACK_TYPES[[#This Row],[TRACK_TYPE_STANDARD_GAUGE_RAILTYPE_OHLE]:[TRACK_TYPE_STANDARD_GAUGE_RAILTYPE_NONE]],_xlfn.LAMBDA(_xlpm.r,OR(_xlpm.r))),FALSE)</f>
        <v>1</v>
      </c>
      <c r="AF977" s="38" t="b" cm="1">
        <f t="array" ref="AF977">IFERROR(_xlfn.BYROW(TRACK_TYPES[[#This Row],[TRACK_TYPE_NARROW_GAUGE_RAILTYPE_OHLE]:[TRACK_TYPE_NARROW_GAUGE_RAILTYPE_NONE]],_xlfn.LAMBDA(_xlpm.r,OR(_xlpm.r))),FALSE)</f>
        <v>0</v>
      </c>
      <c r="AG977" s="38" t="b" cm="1">
        <f t="array" ref="AG977">IFERROR(_xlfn.BYROW(TRACK_TYPES[[#This Row],[TRACK_TYPE_BROAD_GAUGE_RAILTYPE_OHLE]:[TRACK_TYPE_BROAD_GAUGE_RAILTYPE_NONE]],_xlfn.LAMBDA(_xlpm.r,OR(_xlpm.r))),FALSE)</f>
        <v>1</v>
      </c>
      <c r="AH9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8" spans="1:34" x14ac:dyDescent="0.35">
      <c r="A978" s="2" t="s">
        <v>3406</v>
      </c>
      <c r="B978" s="40" t="str">
        <f>_xlfn.XLOOKUP(PROPERTIES[[#This Row],[VEHIDCODE]],CONTROL[VEHIDCODE],CONTROL[ENGLISH])</f>
        <v>Hitachi/Kawasaki Shinkansen Series 100</v>
      </c>
      <c r="D978" t="b">
        <v>1</v>
      </c>
      <c r="AC978" s="2"/>
      <c r="AD978" s="2" t="b">
        <f>LEN(_xlfn.CONCAT(TRACK_TYPES[[#This Row],[TRACK_TYPE_STANDARD_GAUGE_RAILTYPE_OHLE]:[TRACK_TYPE_MTRO]]))&gt;0</f>
        <v>1</v>
      </c>
      <c r="AE978" s="38" t="b" cm="1">
        <f t="array" ref="AE978">IFERROR(_xlfn.BYROW(TRACK_TYPES[[#This Row],[TRACK_TYPE_STANDARD_GAUGE_RAILTYPE_OHLE]:[TRACK_TYPE_STANDARD_GAUGE_RAILTYPE_NONE]],_xlfn.LAMBDA(_xlpm.r,OR(_xlpm.r))),FALSE)</f>
        <v>1</v>
      </c>
      <c r="AF978" s="38" t="b" cm="1">
        <f t="array" ref="AF978">IFERROR(_xlfn.BYROW(TRACK_TYPES[[#This Row],[TRACK_TYPE_NARROW_GAUGE_RAILTYPE_OHLE]:[TRACK_TYPE_NARROW_GAUGE_RAILTYPE_NONE]],_xlfn.LAMBDA(_xlpm.r,OR(_xlpm.r))),FALSE)</f>
        <v>0</v>
      </c>
      <c r="AG978" s="38" t="b" cm="1">
        <f t="array" ref="AG978">IFERROR(_xlfn.BYROW(TRACK_TYPES[[#This Row],[TRACK_TYPE_BROAD_GAUGE_RAILTYPE_OHLE]:[TRACK_TYPE_BROAD_GAUGE_RAILTYPE_NONE]],_xlfn.LAMBDA(_xlpm.r,OR(_xlpm.r))),FALSE)</f>
        <v>0</v>
      </c>
      <c r="AH9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9" spans="1:34" x14ac:dyDescent="0.35">
      <c r="A979" s="2" t="s">
        <v>3407</v>
      </c>
      <c r="B979" s="40" t="str">
        <f>_xlfn.XLOOKUP(PROPERTIES[[#This Row],[VEHIDCODE]],CONTROL[VEHIDCODE],CONTROL[ENGLISH])</f>
        <v>Krauss-Maffei ML 2200</v>
      </c>
      <c r="J979" s="2" t="b">
        <v>1</v>
      </c>
      <c r="AC979" s="2"/>
      <c r="AD979" s="2" t="b">
        <f>LEN(_xlfn.CONCAT(TRACK_TYPES[[#This Row],[TRACK_TYPE_STANDARD_GAUGE_RAILTYPE_OHLE]:[TRACK_TYPE_MTRO]]))&gt;0</f>
        <v>1</v>
      </c>
      <c r="AE979" s="38" t="b" cm="1">
        <f t="array" ref="AE979">IFERROR(_xlfn.BYROW(TRACK_TYPES[[#This Row],[TRACK_TYPE_STANDARD_GAUGE_RAILTYPE_OHLE]:[TRACK_TYPE_STANDARD_GAUGE_RAILTYPE_NONE]],_xlfn.LAMBDA(_xlpm.r,OR(_xlpm.r))),FALSE)</f>
        <v>1</v>
      </c>
      <c r="AF979" s="38" t="b" cm="1">
        <f t="array" ref="AF979">IFERROR(_xlfn.BYROW(TRACK_TYPES[[#This Row],[TRACK_TYPE_NARROW_GAUGE_RAILTYPE_OHLE]:[TRACK_TYPE_NARROW_GAUGE_RAILTYPE_NONE]],_xlfn.LAMBDA(_xlpm.r,OR(_xlpm.r))),FALSE)</f>
        <v>0</v>
      </c>
      <c r="AG979" s="38" t="b" cm="1">
        <f t="array" ref="AG979">IFERROR(_xlfn.BYROW(TRACK_TYPES[[#This Row],[TRACK_TYPE_BROAD_GAUGE_RAILTYPE_OHLE]:[TRACK_TYPE_BROAD_GAUGE_RAILTYPE_NONE]],_xlfn.LAMBDA(_xlpm.r,OR(_xlpm.r))),FALSE)</f>
        <v>0</v>
      </c>
      <c r="AH9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0" spans="1:34" x14ac:dyDescent="0.35">
      <c r="A980" s="2" t="s">
        <v>3408</v>
      </c>
      <c r="B980" s="40" t="str">
        <f>_xlfn.XLOOKUP(PROPERTIES[[#This Row],[VEHIDCODE]],CONTROL[VEHIDCODE],CONTROL[ENGLISH])</f>
        <v>Ganz 'Hargita' M440</v>
      </c>
      <c r="J980" s="2" t="b">
        <v>1</v>
      </c>
      <c r="AC980" s="2"/>
      <c r="AD980" s="2" t="b">
        <f>LEN(_xlfn.CONCAT(TRACK_TYPES[[#This Row],[TRACK_TYPE_STANDARD_GAUGE_RAILTYPE_OHLE]:[TRACK_TYPE_MTRO]]))&gt;0</f>
        <v>1</v>
      </c>
      <c r="AE980" s="38" t="b" cm="1">
        <f t="array" ref="AE980">IFERROR(_xlfn.BYROW(TRACK_TYPES[[#This Row],[TRACK_TYPE_STANDARD_GAUGE_RAILTYPE_OHLE]:[TRACK_TYPE_STANDARD_GAUGE_RAILTYPE_NONE]],_xlfn.LAMBDA(_xlpm.r,OR(_xlpm.r))),FALSE)</f>
        <v>1</v>
      </c>
      <c r="AF980" s="38" t="b" cm="1">
        <f t="array" ref="AF980">IFERROR(_xlfn.BYROW(TRACK_TYPES[[#This Row],[TRACK_TYPE_NARROW_GAUGE_RAILTYPE_OHLE]:[TRACK_TYPE_NARROW_GAUGE_RAILTYPE_NONE]],_xlfn.LAMBDA(_xlpm.r,OR(_xlpm.r))),FALSE)</f>
        <v>0</v>
      </c>
      <c r="AG980" s="38" t="b" cm="1">
        <f t="array" ref="AG980">IFERROR(_xlfn.BYROW(TRACK_TYPES[[#This Row],[TRACK_TYPE_BROAD_GAUGE_RAILTYPE_OHLE]:[TRACK_TYPE_BROAD_GAUGE_RAILTYPE_NONE]],_xlfn.LAMBDA(_xlpm.r,OR(_xlpm.r))),FALSE)</f>
        <v>0</v>
      </c>
      <c r="AH9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1" spans="1:34" x14ac:dyDescent="0.35">
      <c r="A981" s="2" t="s">
        <v>3409</v>
      </c>
      <c r="B981" s="40" t="str">
        <f>_xlfn.XLOOKUP(PROPERTIES[[#This Row],[VEHIDCODE]],CONTROL[VEHIDCODE],CONTROL[ENGLISH])</f>
        <v>SSW/Krauss E44</v>
      </c>
      <c r="D981" t="b">
        <v>1</v>
      </c>
      <c r="E981" t="b">
        <v>1</v>
      </c>
      <c r="AC981" s="2"/>
      <c r="AD981" s="2" t="b">
        <f>LEN(_xlfn.CONCAT(TRACK_TYPES[[#This Row],[TRACK_TYPE_STANDARD_GAUGE_RAILTYPE_OHLE]:[TRACK_TYPE_MTRO]]))&gt;0</f>
        <v>1</v>
      </c>
      <c r="AE981" s="38" t="b" cm="1">
        <f t="array" ref="AE981">IFERROR(_xlfn.BYROW(TRACK_TYPES[[#This Row],[TRACK_TYPE_STANDARD_GAUGE_RAILTYPE_OHLE]:[TRACK_TYPE_STANDARD_GAUGE_RAILTYPE_NONE]],_xlfn.LAMBDA(_xlpm.r,OR(_xlpm.r))),FALSE)</f>
        <v>1</v>
      </c>
      <c r="AF981" s="38" t="b" cm="1">
        <f t="array" ref="AF981">IFERROR(_xlfn.BYROW(TRACK_TYPES[[#This Row],[TRACK_TYPE_NARROW_GAUGE_RAILTYPE_OHLE]:[TRACK_TYPE_NARROW_GAUGE_RAILTYPE_NONE]],_xlfn.LAMBDA(_xlpm.r,OR(_xlpm.r))),FALSE)</f>
        <v>0</v>
      </c>
      <c r="AG981" s="38" t="b" cm="1">
        <f t="array" ref="AG981">IFERROR(_xlfn.BYROW(TRACK_TYPES[[#This Row],[TRACK_TYPE_BROAD_GAUGE_RAILTYPE_OHLE]:[TRACK_TYPE_BROAD_GAUGE_RAILTYPE_NONE]],_xlfn.LAMBDA(_xlpm.r,OR(_xlpm.r))),FALSE)</f>
        <v>0</v>
      </c>
      <c r="AH9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2" spans="1:34" x14ac:dyDescent="0.35">
      <c r="A982" s="2" t="s">
        <v>3410</v>
      </c>
      <c r="B982" s="40" t="str">
        <f>_xlfn.XLOOKUP(PROPERTIES[[#This Row],[VEHIDCODE]],CONTROL[VEHIDCODE],CONTROL[ENGLISH])</f>
        <v>PESA 111MS</v>
      </c>
      <c r="C982" t="b">
        <v>1</v>
      </c>
      <c r="AC982" s="2"/>
      <c r="AD982" s="2" t="b">
        <f>LEN(_xlfn.CONCAT(TRACK_TYPES[[#This Row],[TRACK_TYPE_STANDARD_GAUGE_RAILTYPE_OHLE]:[TRACK_TYPE_MTRO]]))&gt;0</f>
        <v>1</v>
      </c>
      <c r="AE982" s="38" t="b" cm="1">
        <f t="array" ref="AE982">IFERROR(_xlfn.BYROW(TRACK_TYPES[[#This Row],[TRACK_TYPE_STANDARD_GAUGE_RAILTYPE_OHLE]:[TRACK_TYPE_STANDARD_GAUGE_RAILTYPE_NONE]],_xlfn.LAMBDA(_xlpm.r,OR(_xlpm.r))),FALSE)</f>
        <v>1</v>
      </c>
      <c r="AF982" s="38" t="b" cm="1">
        <f t="array" ref="AF982">IFERROR(_xlfn.BYROW(TRACK_TYPES[[#This Row],[TRACK_TYPE_NARROW_GAUGE_RAILTYPE_OHLE]:[TRACK_TYPE_NARROW_GAUGE_RAILTYPE_NONE]],_xlfn.LAMBDA(_xlpm.r,OR(_xlpm.r))),FALSE)</f>
        <v>0</v>
      </c>
      <c r="AG982" s="38" t="b" cm="1">
        <f t="array" ref="AG982">IFERROR(_xlfn.BYROW(TRACK_TYPES[[#This Row],[TRACK_TYPE_BROAD_GAUGE_RAILTYPE_OHLE]:[TRACK_TYPE_BROAD_GAUGE_RAILTYPE_NONE]],_xlfn.LAMBDA(_xlpm.r,OR(_xlpm.r))),FALSE)</f>
        <v>0</v>
      </c>
      <c r="AH9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3" spans="1:34" x14ac:dyDescent="0.35">
      <c r="A983" s="2" t="s">
        <v>3411</v>
      </c>
      <c r="B983" s="40" t="str">
        <f>_xlfn.XLOOKUP(PROPERTIES[[#This Row],[VEHIDCODE]],CONTROL[VEHIDCODE],CONTROL[ENGLISH])</f>
        <v>Kolomna VL19</v>
      </c>
      <c r="V983" t="b">
        <v>1</v>
      </c>
      <c r="W983" t="b">
        <v>1</v>
      </c>
      <c r="AC983" s="2"/>
      <c r="AD983" s="2" t="b">
        <f>LEN(_xlfn.CONCAT(TRACK_TYPES[[#This Row],[TRACK_TYPE_STANDARD_GAUGE_RAILTYPE_OHLE]:[TRACK_TYPE_MTRO]]))&gt;0</f>
        <v>1</v>
      </c>
      <c r="AE983" s="38" t="b" cm="1">
        <f t="array" ref="AE983">IFERROR(_xlfn.BYROW(TRACK_TYPES[[#This Row],[TRACK_TYPE_STANDARD_GAUGE_RAILTYPE_OHLE]:[TRACK_TYPE_STANDARD_GAUGE_RAILTYPE_NONE]],_xlfn.LAMBDA(_xlpm.r,OR(_xlpm.r))),FALSE)</f>
        <v>0</v>
      </c>
      <c r="AF983" s="38" t="b" cm="1">
        <f t="array" ref="AF983">IFERROR(_xlfn.BYROW(TRACK_TYPES[[#This Row],[TRACK_TYPE_NARROW_GAUGE_RAILTYPE_OHLE]:[TRACK_TYPE_NARROW_GAUGE_RAILTYPE_NONE]],_xlfn.LAMBDA(_xlpm.r,OR(_xlpm.r))),FALSE)</f>
        <v>0</v>
      </c>
      <c r="AG983" s="38" t="b" cm="1">
        <f t="array" ref="AG983">IFERROR(_xlfn.BYROW(TRACK_TYPES[[#This Row],[TRACK_TYPE_BROAD_GAUGE_RAILTYPE_OHLE]:[TRACK_TYPE_BROAD_GAUGE_RAILTYPE_NONE]],_xlfn.LAMBDA(_xlpm.r,OR(_xlpm.r))),FALSE)</f>
        <v>1</v>
      </c>
      <c r="AH9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84" spans="1:34" x14ac:dyDescent="0.35">
      <c r="A984" s="2" t="s">
        <v>3412</v>
      </c>
      <c r="B984" s="40" t="str">
        <f>_xlfn.XLOOKUP(PROPERTIES[[#This Row],[VEHIDCODE]],CONTROL[VEHIDCODE],CONTROL[ENGLISH])</f>
        <v>AEG/Krupp E18</v>
      </c>
      <c r="E984" t="b">
        <v>1</v>
      </c>
      <c r="AC984" s="2"/>
      <c r="AD984" s="2" t="b">
        <f>LEN(_xlfn.CONCAT(TRACK_TYPES[[#This Row],[TRACK_TYPE_STANDARD_GAUGE_RAILTYPE_OHLE]:[TRACK_TYPE_MTRO]]))&gt;0</f>
        <v>1</v>
      </c>
      <c r="AE984" s="38" t="b" cm="1">
        <f t="array" ref="AE984">IFERROR(_xlfn.BYROW(TRACK_TYPES[[#This Row],[TRACK_TYPE_STANDARD_GAUGE_RAILTYPE_OHLE]:[TRACK_TYPE_STANDARD_GAUGE_RAILTYPE_NONE]],_xlfn.LAMBDA(_xlpm.r,OR(_xlpm.r))),FALSE)</f>
        <v>1</v>
      </c>
      <c r="AF984" s="38" t="b" cm="1">
        <f t="array" ref="AF984">IFERROR(_xlfn.BYROW(TRACK_TYPES[[#This Row],[TRACK_TYPE_NARROW_GAUGE_RAILTYPE_OHLE]:[TRACK_TYPE_NARROW_GAUGE_RAILTYPE_NONE]],_xlfn.LAMBDA(_xlpm.r,OR(_xlpm.r))),FALSE)</f>
        <v>0</v>
      </c>
      <c r="AG984" s="38" t="b" cm="1">
        <f t="array" ref="AG984">IFERROR(_xlfn.BYROW(TRACK_TYPES[[#This Row],[TRACK_TYPE_BROAD_GAUGE_RAILTYPE_OHLE]:[TRACK_TYPE_BROAD_GAUGE_RAILTYPE_NONE]],_xlfn.LAMBDA(_xlpm.r,OR(_xlpm.r))),FALSE)</f>
        <v>0</v>
      </c>
      <c r="AH9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5" spans="1:34" x14ac:dyDescent="0.35">
      <c r="A985" s="2" t="s">
        <v>3413</v>
      </c>
      <c r="B985" s="40" t="str">
        <f>_xlfn.XLOOKUP(PROPERTIES[[#This Row],[VEHIDCODE]],CONTROL[VEHIDCODE],CONTROL[ENGLISH])</f>
        <v>Hitachi-Alstom Zefiro Class 895 'HS2'</v>
      </c>
      <c r="D985" t="b">
        <v>1</v>
      </c>
      <c r="AC985" s="2"/>
      <c r="AD985" s="2" t="b">
        <f>LEN(_xlfn.CONCAT(TRACK_TYPES[[#This Row],[TRACK_TYPE_STANDARD_GAUGE_RAILTYPE_OHLE]:[TRACK_TYPE_MTRO]]))&gt;0</f>
        <v>1</v>
      </c>
      <c r="AE985" s="38" t="b" cm="1">
        <f t="array" ref="AE985">IFERROR(_xlfn.BYROW(TRACK_TYPES[[#This Row],[TRACK_TYPE_STANDARD_GAUGE_RAILTYPE_OHLE]:[TRACK_TYPE_STANDARD_GAUGE_RAILTYPE_NONE]],_xlfn.LAMBDA(_xlpm.r,OR(_xlpm.r))),FALSE)</f>
        <v>1</v>
      </c>
      <c r="AF985" s="38" t="b" cm="1">
        <f t="array" ref="AF985">IFERROR(_xlfn.BYROW(TRACK_TYPES[[#This Row],[TRACK_TYPE_NARROW_GAUGE_RAILTYPE_OHLE]:[TRACK_TYPE_NARROW_GAUGE_RAILTYPE_NONE]],_xlfn.LAMBDA(_xlpm.r,OR(_xlpm.r))),FALSE)</f>
        <v>0</v>
      </c>
      <c r="AG985" s="38" t="b" cm="1">
        <f t="array" ref="AG985">IFERROR(_xlfn.BYROW(TRACK_TYPES[[#This Row],[TRACK_TYPE_BROAD_GAUGE_RAILTYPE_OHLE]:[TRACK_TYPE_BROAD_GAUGE_RAILTYPE_NONE]],_xlfn.LAMBDA(_xlpm.r,OR(_xlpm.r))),FALSE)</f>
        <v>0</v>
      </c>
      <c r="AH9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6" spans="1:34" x14ac:dyDescent="0.35">
      <c r="A986" s="2" t="s">
        <v>3414</v>
      </c>
      <c r="B986" s="40" t="str">
        <f>_xlfn.XLOOKUP(PROPERTIES[[#This Row],[VEHIDCODE]],CONTROL[VEHIDCODE],CONTROL[ENGLISH])</f>
        <v>EMD JT22CW</v>
      </c>
      <c r="J986" s="2" t="b">
        <v>1</v>
      </c>
      <c r="Z986" s="2" t="b">
        <v>1</v>
      </c>
      <c r="AC986" s="2"/>
      <c r="AD986" s="2" t="b">
        <f>LEN(_xlfn.CONCAT(TRACK_TYPES[[#This Row],[TRACK_TYPE_STANDARD_GAUGE_RAILTYPE_OHLE]:[TRACK_TYPE_MTRO]]))&gt;0</f>
        <v>1</v>
      </c>
      <c r="AE986" s="38" t="b" cm="1">
        <f t="array" ref="AE986">IFERROR(_xlfn.BYROW(TRACK_TYPES[[#This Row],[TRACK_TYPE_STANDARD_GAUGE_RAILTYPE_OHLE]:[TRACK_TYPE_STANDARD_GAUGE_RAILTYPE_NONE]],_xlfn.LAMBDA(_xlpm.r,OR(_xlpm.r))),FALSE)</f>
        <v>1</v>
      </c>
      <c r="AF986" s="38" t="b" cm="1">
        <f t="array" ref="AF986">IFERROR(_xlfn.BYROW(TRACK_TYPES[[#This Row],[TRACK_TYPE_NARROW_GAUGE_RAILTYPE_OHLE]:[TRACK_TYPE_NARROW_GAUGE_RAILTYPE_NONE]],_xlfn.LAMBDA(_xlpm.r,OR(_xlpm.r))),FALSE)</f>
        <v>0</v>
      </c>
      <c r="AG986" s="38" t="b" cm="1">
        <f t="array" ref="AG986">IFERROR(_xlfn.BYROW(TRACK_TYPES[[#This Row],[TRACK_TYPE_BROAD_GAUGE_RAILTYPE_OHLE]:[TRACK_TYPE_BROAD_GAUGE_RAILTYPE_NONE]],_xlfn.LAMBDA(_xlpm.r,OR(_xlpm.r))),FALSE)</f>
        <v>1</v>
      </c>
      <c r="AH9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7" spans="1:34" x14ac:dyDescent="0.35">
      <c r="A987" s="2" t="s">
        <v>3415</v>
      </c>
      <c r="B987" s="40" t="str">
        <f>_xlfn.XLOOKUP(PROPERTIES[[#This Row],[VEHIDCODE]],CONTROL[VEHIDCODE],CONTROL[ENGLISH])</f>
        <v>RVR DR1A</v>
      </c>
      <c r="Z987" s="2" t="b">
        <v>1</v>
      </c>
      <c r="AC987" s="2"/>
      <c r="AD987" s="2" t="b">
        <f>LEN(_xlfn.CONCAT(TRACK_TYPES[[#This Row],[TRACK_TYPE_STANDARD_GAUGE_RAILTYPE_OHLE]:[TRACK_TYPE_MTRO]]))&gt;0</f>
        <v>1</v>
      </c>
      <c r="AE987" s="38" t="b" cm="1">
        <f t="array" ref="AE987">IFERROR(_xlfn.BYROW(TRACK_TYPES[[#This Row],[TRACK_TYPE_STANDARD_GAUGE_RAILTYPE_OHLE]:[TRACK_TYPE_STANDARD_GAUGE_RAILTYPE_NONE]],_xlfn.LAMBDA(_xlpm.r,OR(_xlpm.r))),FALSE)</f>
        <v>0</v>
      </c>
      <c r="AF987" s="38" t="b" cm="1">
        <f t="array" ref="AF987">IFERROR(_xlfn.BYROW(TRACK_TYPES[[#This Row],[TRACK_TYPE_NARROW_GAUGE_RAILTYPE_OHLE]:[TRACK_TYPE_NARROW_GAUGE_RAILTYPE_NONE]],_xlfn.LAMBDA(_xlpm.r,OR(_xlpm.r))),FALSE)</f>
        <v>0</v>
      </c>
      <c r="AG987" s="38" t="b" cm="1">
        <f t="array" ref="AG987">IFERROR(_xlfn.BYROW(TRACK_TYPES[[#This Row],[TRACK_TYPE_BROAD_GAUGE_RAILTYPE_OHLE]:[TRACK_TYPE_BROAD_GAUGE_RAILTYPE_NONE]],_xlfn.LAMBDA(_xlpm.r,OR(_xlpm.r))),FALSE)</f>
        <v>1</v>
      </c>
      <c r="AH9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88" spans="1:34" x14ac:dyDescent="0.35">
      <c r="A988" s="2" t="s">
        <v>3416</v>
      </c>
      <c r="B988" s="40" t="str">
        <f>_xlfn.XLOOKUP(PROPERTIES[[#This Row],[VEHIDCODE]],CONTROL[VEHIDCODE],CONTROL[ENGLISH])</f>
        <v>ACME Corp. HS001</v>
      </c>
      <c r="C988" t="b">
        <v>1</v>
      </c>
      <c r="S988" t="b">
        <v>1</v>
      </c>
      <c r="AC988" s="2"/>
      <c r="AD988" s="2" t="b">
        <f>LEN(_xlfn.CONCAT(TRACK_TYPES[[#This Row],[TRACK_TYPE_STANDARD_GAUGE_RAILTYPE_OHLE]:[TRACK_TYPE_MTRO]]))&gt;0</f>
        <v>1</v>
      </c>
      <c r="AE988" s="38" t="b" cm="1">
        <f t="array" ref="AE988">IFERROR(_xlfn.BYROW(TRACK_TYPES[[#This Row],[TRACK_TYPE_STANDARD_GAUGE_RAILTYPE_OHLE]:[TRACK_TYPE_STANDARD_GAUGE_RAILTYPE_NONE]],_xlfn.LAMBDA(_xlpm.r,OR(_xlpm.r))),FALSE)</f>
        <v>1</v>
      </c>
      <c r="AF988" s="38" t="b" cm="1">
        <f t="array" ref="AF988">IFERROR(_xlfn.BYROW(TRACK_TYPES[[#This Row],[TRACK_TYPE_NARROW_GAUGE_RAILTYPE_OHLE]:[TRACK_TYPE_NARROW_GAUGE_RAILTYPE_NONE]],_xlfn.LAMBDA(_xlpm.r,OR(_xlpm.r))),FALSE)</f>
        <v>0</v>
      </c>
      <c r="AG988" s="38" t="b" cm="1">
        <f t="array" ref="AG988">IFERROR(_xlfn.BYROW(TRACK_TYPES[[#This Row],[TRACK_TYPE_BROAD_GAUGE_RAILTYPE_OHLE]:[TRACK_TYPE_BROAD_GAUGE_RAILTYPE_NONE]],_xlfn.LAMBDA(_xlpm.r,OR(_xlpm.r))),FALSE)</f>
        <v>1</v>
      </c>
      <c r="AH9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9" spans="1:34" x14ac:dyDescent="0.35">
      <c r="A989" s="2" t="s">
        <v>3417</v>
      </c>
      <c r="B989" s="40" t="str">
        <f>_xlfn.XLOOKUP(PROPERTIES[[#This Row],[VEHIDCODE]],CONTROL[VEHIDCODE],CONTROL[ENGLISH])</f>
        <v>ACME Corp. HS002</v>
      </c>
      <c r="C989" t="b">
        <v>1</v>
      </c>
      <c r="S989" t="b">
        <v>1</v>
      </c>
      <c r="AC989" s="2"/>
      <c r="AD989" s="2" t="b">
        <f>LEN(_xlfn.CONCAT(TRACK_TYPES[[#This Row],[TRACK_TYPE_STANDARD_GAUGE_RAILTYPE_OHLE]:[TRACK_TYPE_MTRO]]))&gt;0</f>
        <v>1</v>
      </c>
      <c r="AE989" s="38" t="b" cm="1">
        <f t="array" ref="AE989">IFERROR(_xlfn.BYROW(TRACK_TYPES[[#This Row],[TRACK_TYPE_STANDARD_GAUGE_RAILTYPE_OHLE]:[TRACK_TYPE_STANDARD_GAUGE_RAILTYPE_NONE]],_xlfn.LAMBDA(_xlpm.r,OR(_xlpm.r))),FALSE)</f>
        <v>1</v>
      </c>
      <c r="AF989" s="38" t="b" cm="1">
        <f t="array" ref="AF989">IFERROR(_xlfn.BYROW(TRACK_TYPES[[#This Row],[TRACK_TYPE_NARROW_GAUGE_RAILTYPE_OHLE]:[TRACK_TYPE_NARROW_GAUGE_RAILTYPE_NONE]],_xlfn.LAMBDA(_xlpm.r,OR(_xlpm.r))),FALSE)</f>
        <v>0</v>
      </c>
      <c r="AG989" s="38" t="b" cm="1">
        <f t="array" ref="AG989">IFERROR(_xlfn.BYROW(TRACK_TYPES[[#This Row],[TRACK_TYPE_BROAD_GAUGE_RAILTYPE_OHLE]:[TRACK_TYPE_BROAD_GAUGE_RAILTYPE_NONE]],_xlfn.LAMBDA(_xlpm.r,OR(_xlpm.r))),FALSE)</f>
        <v>1</v>
      </c>
      <c r="AH9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0" spans="1:34" x14ac:dyDescent="0.35">
      <c r="A990" s="2" t="s">
        <v>3418</v>
      </c>
      <c r="B990" s="40" t="str">
        <f>_xlfn.XLOOKUP(PROPERTIES[[#This Row],[VEHIDCODE]],CONTROL[VEHIDCODE],CONTROL[ENGLISH])</f>
        <v>ACME Corp. V200D DMU</v>
      </c>
      <c r="J990" s="2" t="b">
        <v>1</v>
      </c>
      <c r="AC990" s="2"/>
      <c r="AD990" s="2" t="b">
        <f>LEN(_xlfn.CONCAT(TRACK_TYPES[[#This Row],[TRACK_TYPE_STANDARD_GAUGE_RAILTYPE_OHLE]:[TRACK_TYPE_MTRO]]))&gt;0</f>
        <v>1</v>
      </c>
      <c r="AE990" s="38" t="b" cm="1">
        <f t="array" ref="AE990">IFERROR(_xlfn.BYROW(TRACK_TYPES[[#This Row],[TRACK_TYPE_STANDARD_GAUGE_RAILTYPE_OHLE]:[TRACK_TYPE_STANDARD_GAUGE_RAILTYPE_NONE]],_xlfn.LAMBDA(_xlpm.r,OR(_xlpm.r))),FALSE)</f>
        <v>1</v>
      </c>
      <c r="AF990" s="38" t="b" cm="1">
        <f t="array" ref="AF990">IFERROR(_xlfn.BYROW(TRACK_TYPES[[#This Row],[TRACK_TYPE_NARROW_GAUGE_RAILTYPE_OHLE]:[TRACK_TYPE_NARROW_GAUGE_RAILTYPE_NONE]],_xlfn.LAMBDA(_xlpm.r,OR(_xlpm.r))),FALSE)</f>
        <v>0</v>
      </c>
      <c r="AG990" s="38" t="b" cm="1">
        <f t="array" ref="AG990">IFERROR(_xlfn.BYROW(TRACK_TYPES[[#This Row],[TRACK_TYPE_BROAD_GAUGE_RAILTYPE_OHLE]:[TRACK_TYPE_BROAD_GAUGE_RAILTYPE_NONE]],_xlfn.LAMBDA(_xlpm.r,OR(_xlpm.r))),FALSE)</f>
        <v>0</v>
      </c>
      <c r="AH9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1" spans="1:34" x14ac:dyDescent="0.35">
      <c r="A991" s="2" t="s">
        <v>3419</v>
      </c>
      <c r="B991" s="40" t="str">
        <f>_xlfn.XLOOKUP(PROPERTIES[[#This Row],[VEHIDCODE]],CONTROL[VEHIDCODE],CONTROL[ENGLISH])</f>
        <v>ACME Corp. V200E EMU</v>
      </c>
      <c r="C991" t="b">
        <v>1</v>
      </c>
      <c r="S991" t="b">
        <v>1</v>
      </c>
      <c r="AC991" s="2"/>
      <c r="AD991" s="2" t="b">
        <f>LEN(_xlfn.CONCAT(TRACK_TYPES[[#This Row],[TRACK_TYPE_STANDARD_GAUGE_RAILTYPE_OHLE]:[TRACK_TYPE_MTRO]]))&gt;0</f>
        <v>1</v>
      </c>
      <c r="AE991" s="38" t="b" cm="1">
        <f t="array" ref="AE991">IFERROR(_xlfn.BYROW(TRACK_TYPES[[#This Row],[TRACK_TYPE_STANDARD_GAUGE_RAILTYPE_OHLE]:[TRACK_TYPE_STANDARD_GAUGE_RAILTYPE_NONE]],_xlfn.LAMBDA(_xlpm.r,OR(_xlpm.r))),FALSE)</f>
        <v>1</v>
      </c>
      <c r="AF991" s="38" t="b" cm="1">
        <f t="array" ref="AF991">IFERROR(_xlfn.BYROW(TRACK_TYPES[[#This Row],[TRACK_TYPE_NARROW_GAUGE_RAILTYPE_OHLE]:[TRACK_TYPE_NARROW_GAUGE_RAILTYPE_NONE]],_xlfn.LAMBDA(_xlpm.r,OR(_xlpm.r))),FALSE)</f>
        <v>0</v>
      </c>
      <c r="AG991" s="38" t="b" cm="1">
        <f t="array" ref="AG991">IFERROR(_xlfn.BYROW(TRACK_TYPES[[#This Row],[TRACK_TYPE_BROAD_GAUGE_RAILTYPE_OHLE]:[TRACK_TYPE_BROAD_GAUGE_RAILTYPE_NONE]],_xlfn.LAMBDA(_xlpm.r,OR(_xlpm.r))),FALSE)</f>
        <v>1</v>
      </c>
      <c r="AH9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2" spans="1:34" x14ac:dyDescent="0.35">
      <c r="A992" s="2" t="s">
        <v>3420</v>
      </c>
      <c r="B992" s="40" t="str">
        <f>_xlfn.XLOOKUP(PROPERTIES[[#This Row],[VEHIDCODE]],CONTROL[VEHIDCODE],CONTROL[ENGLISH])</f>
        <v>ACME Corp. DD CargoEMU</v>
      </c>
      <c r="C992" t="b">
        <v>1</v>
      </c>
      <c r="S992" t="b">
        <v>1</v>
      </c>
      <c r="AC992" s="2"/>
      <c r="AD992" s="2" t="b">
        <f>LEN(_xlfn.CONCAT(TRACK_TYPES[[#This Row],[TRACK_TYPE_STANDARD_GAUGE_RAILTYPE_OHLE]:[TRACK_TYPE_MTRO]]))&gt;0</f>
        <v>1</v>
      </c>
      <c r="AE992" s="38" t="b" cm="1">
        <f t="array" ref="AE992">IFERROR(_xlfn.BYROW(TRACK_TYPES[[#This Row],[TRACK_TYPE_STANDARD_GAUGE_RAILTYPE_OHLE]:[TRACK_TYPE_STANDARD_GAUGE_RAILTYPE_NONE]],_xlfn.LAMBDA(_xlpm.r,OR(_xlpm.r))),FALSE)</f>
        <v>1</v>
      </c>
      <c r="AF992" s="38" t="b" cm="1">
        <f t="array" ref="AF992">IFERROR(_xlfn.BYROW(TRACK_TYPES[[#This Row],[TRACK_TYPE_NARROW_GAUGE_RAILTYPE_OHLE]:[TRACK_TYPE_NARROW_GAUGE_RAILTYPE_NONE]],_xlfn.LAMBDA(_xlpm.r,OR(_xlpm.r))),FALSE)</f>
        <v>0</v>
      </c>
      <c r="AG992" s="38" t="b" cm="1">
        <f t="array" ref="AG992">IFERROR(_xlfn.BYROW(TRACK_TYPES[[#This Row],[TRACK_TYPE_BROAD_GAUGE_RAILTYPE_OHLE]:[TRACK_TYPE_BROAD_GAUGE_RAILTYPE_NONE]],_xlfn.LAMBDA(_xlpm.r,OR(_xlpm.r))),FALSE)</f>
        <v>1</v>
      </c>
      <c r="AH9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3" spans="1:34" x14ac:dyDescent="0.35">
      <c r="A993" s="2" t="s">
        <v>3421</v>
      </c>
      <c r="B993" s="40" t="str">
        <f>_xlfn.XLOOKUP(PROPERTIES[[#This Row],[VEHIDCODE]],CONTROL[VEHIDCODE],CONTROL[ENGLISH])</f>
        <v>VEB LKM V180 B'B'</v>
      </c>
      <c r="J993" s="2" t="b">
        <v>1</v>
      </c>
      <c r="AC993" s="2"/>
      <c r="AD993" s="2" t="b">
        <f>LEN(_xlfn.CONCAT(TRACK_TYPES[[#This Row],[TRACK_TYPE_STANDARD_GAUGE_RAILTYPE_OHLE]:[TRACK_TYPE_MTRO]]))&gt;0</f>
        <v>1</v>
      </c>
      <c r="AE993" s="38" t="b" cm="1">
        <f t="array" ref="AE993">IFERROR(_xlfn.BYROW(TRACK_TYPES[[#This Row],[TRACK_TYPE_STANDARD_GAUGE_RAILTYPE_OHLE]:[TRACK_TYPE_STANDARD_GAUGE_RAILTYPE_NONE]],_xlfn.LAMBDA(_xlpm.r,OR(_xlpm.r))),FALSE)</f>
        <v>1</v>
      </c>
      <c r="AF993" s="38" t="b" cm="1">
        <f t="array" ref="AF993">IFERROR(_xlfn.BYROW(TRACK_TYPES[[#This Row],[TRACK_TYPE_NARROW_GAUGE_RAILTYPE_OHLE]:[TRACK_TYPE_NARROW_GAUGE_RAILTYPE_NONE]],_xlfn.LAMBDA(_xlpm.r,OR(_xlpm.r))),FALSE)</f>
        <v>0</v>
      </c>
      <c r="AG993" s="38" t="b" cm="1">
        <f t="array" ref="AG993">IFERROR(_xlfn.BYROW(TRACK_TYPES[[#This Row],[TRACK_TYPE_BROAD_GAUGE_RAILTYPE_OHLE]:[TRACK_TYPE_BROAD_GAUGE_RAILTYPE_NONE]],_xlfn.LAMBDA(_xlpm.r,OR(_xlpm.r))),FALSE)</f>
        <v>0</v>
      </c>
      <c r="AH9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4" spans="1:34" x14ac:dyDescent="0.35">
      <c r="A994" s="2" t="s">
        <v>3422</v>
      </c>
      <c r="B994" s="40" t="str">
        <f>_xlfn.XLOOKUP(PROPERTIES[[#This Row],[VEHIDCODE]],CONTROL[VEHIDCODE],CONTROL[ENGLISH])</f>
        <v>PESA 43WE 'DART'</v>
      </c>
      <c r="F994" t="b">
        <v>1</v>
      </c>
      <c r="AC994" s="2"/>
      <c r="AD994" s="2" t="b">
        <f>LEN(_xlfn.CONCAT(TRACK_TYPES[[#This Row],[TRACK_TYPE_STANDARD_GAUGE_RAILTYPE_OHLE]:[TRACK_TYPE_MTRO]]))&gt;0</f>
        <v>1</v>
      </c>
      <c r="AE994" s="38" t="b" cm="1">
        <f t="array" ref="AE994">IFERROR(_xlfn.BYROW(TRACK_TYPES[[#This Row],[TRACK_TYPE_STANDARD_GAUGE_RAILTYPE_OHLE]:[TRACK_TYPE_STANDARD_GAUGE_RAILTYPE_NONE]],_xlfn.LAMBDA(_xlpm.r,OR(_xlpm.r))),FALSE)</f>
        <v>1</v>
      </c>
      <c r="AF994" s="38" t="b" cm="1">
        <f t="array" ref="AF994">IFERROR(_xlfn.BYROW(TRACK_TYPES[[#This Row],[TRACK_TYPE_NARROW_GAUGE_RAILTYPE_OHLE]:[TRACK_TYPE_NARROW_GAUGE_RAILTYPE_NONE]],_xlfn.LAMBDA(_xlpm.r,OR(_xlpm.r))),FALSE)</f>
        <v>0</v>
      </c>
      <c r="AG994" s="38" t="b" cm="1">
        <f t="array" ref="AG994">IFERROR(_xlfn.BYROW(TRACK_TYPES[[#This Row],[TRACK_TYPE_BROAD_GAUGE_RAILTYPE_OHLE]:[TRACK_TYPE_BROAD_GAUGE_RAILTYPE_NONE]],_xlfn.LAMBDA(_xlpm.r,OR(_xlpm.r))),FALSE)</f>
        <v>0</v>
      </c>
      <c r="AH9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5" spans="1:34" x14ac:dyDescent="0.35">
      <c r="A995" s="2" t="s">
        <v>3423</v>
      </c>
      <c r="B995" s="40" t="str">
        <f>_xlfn.XLOOKUP(PROPERTIES[[#This Row],[VEHIDCODE]],CONTROL[VEHIDCODE],CONTROL[ENGLISH])</f>
        <v>LEW EL2</v>
      </c>
      <c r="F995" t="b">
        <v>1</v>
      </c>
      <c r="G995" t="b">
        <v>1</v>
      </c>
      <c r="V995" t="b">
        <v>1</v>
      </c>
      <c r="W995" t="b">
        <v>1</v>
      </c>
      <c r="AC995" s="2"/>
      <c r="AD995" s="2" t="b">
        <f>LEN(_xlfn.CONCAT(TRACK_TYPES[[#This Row],[TRACK_TYPE_STANDARD_GAUGE_RAILTYPE_OHLE]:[TRACK_TYPE_MTRO]]))&gt;0</f>
        <v>1</v>
      </c>
      <c r="AE995" s="38" t="b" cm="1">
        <f t="array" ref="AE995">IFERROR(_xlfn.BYROW(TRACK_TYPES[[#This Row],[TRACK_TYPE_STANDARD_GAUGE_RAILTYPE_OHLE]:[TRACK_TYPE_STANDARD_GAUGE_RAILTYPE_NONE]],_xlfn.LAMBDA(_xlpm.r,OR(_xlpm.r))),FALSE)</f>
        <v>1</v>
      </c>
      <c r="AF995" s="38" t="b" cm="1">
        <f t="array" ref="AF995">IFERROR(_xlfn.BYROW(TRACK_TYPES[[#This Row],[TRACK_TYPE_NARROW_GAUGE_RAILTYPE_OHLE]:[TRACK_TYPE_NARROW_GAUGE_RAILTYPE_NONE]],_xlfn.LAMBDA(_xlpm.r,OR(_xlpm.r))),FALSE)</f>
        <v>0</v>
      </c>
      <c r="AG995" s="38" t="b" cm="1">
        <f t="array" ref="AG995">IFERROR(_xlfn.BYROW(TRACK_TYPES[[#This Row],[TRACK_TYPE_BROAD_GAUGE_RAILTYPE_OHLE]:[TRACK_TYPE_BROAD_GAUGE_RAILTYPE_NONE]],_xlfn.LAMBDA(_xlpm.r,OR(_xlpm.r))),FALSE)</f>
        <v>1</v>
      </c>
      <c r="AH9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6" spans="1:34" x14ac:dyDescent="0.35">
      <c r="A996" s="2" t="s">
        <v>3424</v>
      </c>
      <c r="B996" s="40" t="str">
        <f>_xlfn.XLOOKUP(PROPERTIES[[#This Row],[VEHIDCODE]],CONTROL[VEHIDCODE],CONTROL[ENGLISH])</f>
        <v>Pafawag 201E</v>
      </c>
      <c r="F996" t="b">
        <v>1</v>
      </c>
      <c r="AC996" s="2"/>
      <c r="AD996" s="2" t="b">
        <f>LEN(_xlfn.CONCAT(TRACK_TYPES[[#This Row],[TRACK_TYPE_STANDARD_GAUGE_RAILTYPE_OHLE]:[TRACK_TYPE_MTRO]]))&gt;0</f>
        <v>1</v>
      </c>
      <c r="AE996" s="38" t="b" cm="1">
        <f t="array" ref="AE996">IFERROR(_xlfn.BYROW(TRACK_TYPES[[#This Row],[TRACK_TYPE_STANDARD_GAUGE_RAILTYPE_OHLE]:[TRACK_TYPE_STANDARD_GAUGE_RAILTYPE_NONE]],_xlfn.LAMBDA(_xlpm.r,OR(_xlpm.r))),FALSE)</f>
        <v>1</v>
      </c>
      <c r="AF996" s="38" t="b" cm="1">
        <f t="array" ref="AF996">IFERROR(_xlfn.BYROW(TRACK_TYPES[[#This Row],[TRACK_TYPE_NARROW_GAUGE_RAILTYPE_OHLE]:[TRACK_TYPE_NARROW_GAUGE_RAILTYPE_NONE]],_xlfn.LAMBDA(_xlpm.r,OR(_xlpm.r))),FALSE)</f>
        <v>0</v>
      </c>
      <c r="AG996" s="38" t="b" cm="1">
        <f t="array" ref="AG996">IFERROR(_xlfn.BYROW(TRACK_TYPES[[#This Row],[TRACK_TYPE_BROAD_GAUGE_RAILTYPE_OHLE]:[TRACK_TYPE_BROAD_GAUGE_RAILTYPE_NONE]],_xlfn.LAMBDA(_xlpm.r,OR(_xlpm.r))),FALSE)</f>
        <v>0</v>
      </c>
      <c r="AH9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7" spans="1:34" x14ac:dyDescent="0.35">
      <c r="A997" s="2" t="s">
        <v>3425</v>
      </c>
      <c r="B997" s="40" t="str">
        <f>_xlfn.XLOOKUP(PROPERTIES[[#This Row],[VEHIDCODE]],CONTROL[VEHIDCODE],CONTROL[ENGLISH])</f>
        <v>NOHAB AA16</v>
      </c>
      <c r="J997" s="2" t="b">
        <v>1</v>
      </c>
      <c r="AC997" s="2"/>
      <c r="AD997" s="2" t="b">
        <f>LEN(_xlfn.CONCAT(TRACK_TYPES[[#This Row],[TRACK_TYPE_STANDARD_GAUGE_RAILTYPE_OHLE]:[TRACK_TYPE_MTRO]]))&gt;0</f>
        <v>1</v>
      </c>
      <c r="AE997" s="38" t="b" cm="1">
        <f t="array" ref="AE997">IFERROR(_xlfn.BYROW(TRACK_TYPES[[#This Row],[TRACK_TYPE_STANDARD_GAUGE_RAILTYPE_OHLE]:[TRACK_TYPE_STANDARD_GAUGE_RAILTYPE_NONE]],_xlfn.LAMBDA(_xlpm.r,OR(_xlpm.r))),FALSE)</f>
        <v>1</v>
      </c>
      <c r="AF997" s="38" t="b" cm="1">
        <f t="array" ref="AF997">IFERROR(_xlfn.BYROW(TRACK_TYPES[[#This Row],[TRACK_TYPE_NARROW_GAUGE_RAILTYPE_OHLE]:[TRACK_TYPE_NARROW_GAUGE_RAILTYPE_NONE]],_xlfn.LAMBDA(_xlpm.r,OR(_xlpm.r))),FALSE)</f>
        <v>0</v>
      </c>
      <c r="AG997" s="38" t="b" cm="1">
        <f t="array" ref="AG997">IFERROR(_xlfn.BYROW(TRACK_TYPES[[#This Row],[TRACK_TYPE_BROAD_GAUGE_RAILTYPE_OHLE]:[TRACK_TYPE_BROAD_GAUGE_RAILTYPE_NONE]],_xlfn.LAMBDA(_xlpm.r,OR(_xlpm.r))),FALSE)</f>
        <v>0</v>
      </c>
      <c r="AH9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8" spans="1:34" x14ac:dyDescent="0.35">
      <c r="A998" s="2" t="s">
        <v>3426</v>
      </c>
      <c r="B998" s="40" t="str">
        <f>_xlfn.XLOOKUP(PROPERTIES[[#This Row],[VEHIDCODE]],CONTROL[VEHIDCODE],CONTROL[ENGLISH])</f>
        <v>LEW V100</v>
      </c>
      <c r="J998" s="2" t="b">
        <v>1</v>
      </c>
      <c r="AC998" s="2"/>
      <c r="AD998" s="2" t="b">
        <f>LEN(_xlfn.CONCAT(TRACK_TYPES[[#This Row],[TRACK_TYPE_STANDARD_GAUGE_RAILTYPE_OHLE]:[TRACK_TYPE_MTRO]]))&gt;0</f>
        <v>1</v>
      </c>
      <c r="AE998" s="38" t="b" cm="1">
        <f t="array" ref="AE998">IFERROR(_xlfn.BYROW(TRACK_TYPES[[#This Row],[TRACK_TYPE_STANDARD_GAUGE_RAILTYPE_OHLE]:[TRACK_TYPE_STANDARD_GAUGE_RAILTYPE_NONE]],_xlfn.LAMBDA(_xlpm.r,OR(_xlpm.r))),FALSE)</f>
        <v>1</v>
      </c>
      <c r="AF998" s="38" t="b" cm="1">
        <f t="array" ref="AF998">IFERROR(_xlfn.BYROW(TRACK_TYPES[[#This Row],[TRACK_TYPE_NARROW_GAUGE_RAILTYPE_OHLE]:[TRACK_TYPE_NARROW_GAUGE_RAILTYPE_NONE]],_xlfn.LAMBDA(_xlpm.r,OR(_xlpm.r))),FALSE)</f>
        <v>0</v>
      </c>
      <c r="AG998" s="38" t="b" cm="1">
        <f t="array" ref="AG998">IFERROR(_xlfn.BYROW(TRACK_TYPES[[#This Row],[TRACK_TYPE_BROAD_GAUGE_RAILTYPE_OHLE]:[TRACK_TYPE_BROAD_GAUGE_RAILTYPE_NONE]],_xlfn.LAMBDA(_xlpm.r,OR(_xlpm.r))),FALSE)</f>
        <v>0</v>
      </c>
      <c r="AH9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9" spans="1:34" x14ac:dyDescent="0.35">
      <c r="A999" s="2" t="s">
        <v>3427</v>
      </c>
      <c r="B999" s="40" t="str">
        <f>_xlfn.XLOOKUP(PROPERTIES[[#This Row],[VEHIDCODE]],CONTROL[VEHIDCODE],CONTROL[ENGLISH])</f>
        <v>Fablok 6D</v>
      </c>
      <c r="J999" s="2" t="b">
        <v>1</v>
      </c>
      <c r="AC999" s="2"/>
      <c r="AD999" s="2" t="b">
        <f>LEN(_xlfn.CONCAT(TRACK_TYPES[[#This Row],[TRACK_TYPE_STANDARD_GAUGE_RAILTYPE_OHLE]:[TRACK_TYPE_MTRO]]))&gt;0</f>
        <v>1</v>
      </c>
      <c r="AE999" s="38" t="b" cm="1">
        <f t="array" ref="AE999">IFERROR(_xlfn.BYROW(TRACK_TYPES[[#This Row],[TRACK_TYPE_STANDARD_GAUGE_RAILTYPE_OHLE]:[TRACK_TYPE_STANDARD_GAUGE_RAILTYPE_NONE]],_xlfn.LAMBDA(_xlpm.r,OR(_xlpm.r))),FALSE)</f>
        <v>1</v>
      </c>
      <c r="AF999" s="38" t="b" cm="1">
        <f t="array" ref="AF999">IFERROR(_xlfn.BYROW(TRACK_TYPES[[#This Row],[TRACK_TYPE_NARROW_GAUGE_RAILTYPE_OHLE]:[TRACK_TYPE_NARROW_GAUGE_RAILTYPE_NONE]],_xlfn.LAMBDA(_xlpm.r,OR(_xlpm.r))),FALSE)</f>
        <v>0</v>
      </c>
      <c r="AG999" s="38" t="b" cm="1">
        <f t="array" ref="AG999">IFERROR(_xlfn.BYROW(TRACK_TYPES[[#This Row],[TRACK_TYPE_BROAD_GAUGE_RAILTYPE_OHLE]:[TRACK_TYPE_BROAD_GAUGE_RAILTYPE_NONE]],_xlfn.LAMBDA(_xlpm.r,OR(_xlpm.r))),FALSE)</f>
        <v>0</v>
      </c>
      <c r="AH9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00" spans="1:34" x14ac:dyDescent="0.35">
      <c r="A1000" s="2" t="s">
        <v>3428</v>
      </c>
      <c r="B1000" s="40" t="str">
        <f>_xlfn.XLOOKUP(PROPERTIES[[#This Row],[VEHIDCODE]],CONTROL[VEHIDCODE],CONTROL[ENGLISH])</f>
        <v>HCP 301D</v>
      </c>
      <c r="J1000" s="2" t="b">
        <v>1</v>
      </c>
      <c r="AC1000" s="2"/>
      <c r="AD1000" s="2" t="b">
        <f>LEN(_xlfn.CONCAT(TRACK_TYPES[[#This Row],[TRACK_TYPE_STANDARD_GAUGE_RAILTYPE_OHLE]:[TRACK_TYPE_MTRO]]))&gt;0</f>
        <v>1</v>
      </c>
      <c r="AE1000" s="38" t="b" cm="1">
        <f t="array" ref="AE1000">IFERROR(_xlfn.BYROW(TRACK_TYPES[[#This Row],[TRACK_TYPE_STANDARD_GAUGE_RAILTYPE_OHLE]:[TRACK_TYPE_STANDARD_GAUGE_RAILTYPE_NONE]],_xlfn.LAMBDA(_xlpm.r,OR(_xlpm.r))),FALSE)</f>
        <v>1</v>
      </c>
      <c r="AF1000" s="38" t="b" cm="1">
        <f t="array" ref="AF1000">IFERROR(_xlfn.BYROW(TRACK_TYPES[[#This Row],[TRACK_TYPE_NARROW_GAUGE_RAILTYPE_OHLE]:[TRACK_TYPE_NARROW_GAUGE_RAILTYPE_NONE]],_xlfn.LAMBDA(_xlpm.r,OR(_xlpm.r))),FALSE)</f>
        <v>0</v>
      </c>
      <c r="AG1000" s="38" t="b" cm="1">
        <f t="array" ref="AG1000">IFERROR(_xlfn.BYROW(TRACK_TYPES[[#This Row],[TRACK_TYPE_BROAD_GAUGE_RAILTYPE_OHLE]:[TRACK_TYPE_BROAD_GAUGE_RAILTYPE_NONE]],_xlfn.LAMBDA(_xlpm.r,OR(_xlpm.r))),FALSE)</f>
        <v>0</v>
      </c>
      <c r="AH10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01" spans="1:34" x14ac:dyDescent="0.35">
      <c r="A1001" s="2" t="s">
        <v>3429</v>
      </c>
      <c r="B1001" s="40" t="str">
        <f>_xlfn.XLOOKUP(PROPERTIES[[#This Row],[VEHIDCODE]],CONTROL[VEHIDCODE],CONTROL[ENGLISH])</f>
        <v>Stadler 'Flirt' PowerPack DMU</v>
      </c>
      <c r="J1001" s="2" t="b">
        <v>1</v>
      </c>
      <c r="AC1001" s="2"/>
      <c r="AD1001" s="2" t="b">
        <f>LEN(_xlfn.CONCAT(TRACK_TYPES[[#This Row],[TRACK_TYPE_STANDARD_GAUGE_RAILTYPE_OHLE]:[TRACK_TYPE_MTRO]]))&gt;0</f>
        <v>1</v>
      </c>
      <c r="AE1001" s="38" t="b" cm="1">
        <f t="array" ref="AE1001">IFERROR(_xlfn.BYROW(TRACK_TYPES[[#This Row],[TRACK_TYPE_STANDARD_GAUGE_RAILTYPE_OHLE]:[TRACK_TYPE_STANDARD_GAUGE_RAILTYPE_NONE]],_xlfn.LAMBDA(_xlpm.r,OR(_xlpm.r))),FALSE)</f>
        <v>1</v>
      </c>
      <c r="AF1001" s="38" t="b" cm="1">
        <f t="array" ref="AF1001">IFERROR(_xlfn.BYROW(TRACK_TYPES[[#This Row],[TRACK_TYPE_NARROW_GAUGE_RAILTYPE_OHLE]:[TRACK_TYPE_NARROW_GAUGE_RAILTYPE_NONE]],_xlfn.LAMBDA(_xlpm.r,OR(_xlpm.r))),FALSE)</f>
        <v>0</v>
      </c>
      <c r="AG1001" s="38" t="b" cm="1">
        <f t="array" ref="AG1001">IFERROR(_xlfn.BYROW(TRACK_TYPES[[#This Row],[TRACK_TYPE_BROAD_GAUGE_RAILTYPE_OHLE]:[TRACK_TYPE_BROAD_GAUGE_RAILTYPE_NONE]],_xlfn.LAMBDA(_xlpm.r,OR(_xlpm.r))),FALSE)</f>
        <v>0</v>
      </c>
      <c r="AH10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02" spans="1:34" x14ac:dyDescent="0.35">
      <c r="A1002" s="2" t="s">
        <v>3430</v>
      </c>
      <c r="B1002" s="40" t="str">
        <f>_xlfn.XLOOKUP(PROPERTIES[[#This Row],[VEHIDCODE]],CONTROL[VEHIDCODE],CONTROL[ENGLISH])</f>
        <v>JNR Container Bullet Train Concept</v>
      </c>
      <c r="D1002" t="b">
        <v>1</v>
      </c>
      <c r="AC1002" s="2"/>
      <c r="AD1002" s="2" t="b">
        <f>LEN(_xlfn.CONCAT(TRACK_TYPES[[#This Row],[TRACK_TYPE_STANDARD_GAUGE_RAILTYPE_OHLE]:[TRACK_TYPE_MTRO]]))&gt;0</f>
        <v>1</v>
      </c>
      <c r="AE1002" s="38" t="b" cm="1">
        <f t="array" ref="AE1002">IFERROR(_xlfn.BYROW(TRACK_TYPES[[#This Row],[TRACK_TYPE_STANDARD_GAUGE_RAILTYPE_OHLE]:[TRACK_TYPE_STANDARD_GAUGE_RAILTYPE_NONE]],_xlfn.LAMBDA(_xlpm.r,OR(_xlpm.r))),FALSE)</f>
        <v>1</v>
      </c>
      <c r="AF1002" s="38" t="b" cm="1">
        <f t="array" ref="AF1002">IFERROR(_xlfn.BYROW(TRACK_TYPES[[#This Row],[TRACK_TYPE_NARROW_GAUGE_RAILTYPE_OHLE]:[TRACK_TYPE_NARROW_GAUGE_RAILTYPE_NONE]],_xlfn.LAMBDA(_xlpm.r,OR(_xlpm.r))),FALSE)</f>
        <v>0</v>
      </c>
      <c r="AG1002" s="38" t="b" cm="1">
        <f t="array" ref="AG1002">IFERROR(_xlfn.BYROW(TRACK_TYPES[[#This Row],[TRACK_TYPE_BROAD_GAUGE_RAILTYPE_OHLE]:[TRACK_TYPE_BROAD_GAUGE_RAILTYPE_NONE]],_xlfn.LAMBDA(_xlpm.r,OR(_xlpm.r))),FALSE)</f>
        <v>0</v>
      </c>
      <c r="AH10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03" spans="1:34" x14ac:dyDescent="0.35">
      <c r="A1003" s="2" t="s">
        <v>3431</v>
      </c>
      <c r="B1003" s="40" t="str">
        <f>_xlfn.XLOOKUP(PROPERTIES[[#This Row],[VEHIDCODE]],CONTROL[VEHIDCODE],CONTROL[ENGLISH])</f>
        <v>Hitachi WAG-6B/C</v>
      </c>
      <c r="T1003" t="b">
        <v>1</v>
      </c>
      <c r="AC1003" s="2"/>
      <c r="AD1003" s="2" t="b">
        <f>LEN(_xlfn.CONCAT(TRACK_TYPES[[#This Row],[TRACK_TYPE_STANDARD_GAUGE_RAILTYPE_OHLE]:[TRACK_TYPE_MTRO]]))&gt;0</f>
        <v>1</v>
      </c>
      <c r="AE1003" s="38" t="b" cm="1">
        <f t="array" ref="AE1003">IFERROR(_xlfn.BYROW(TRACK_TYPES[[#This Row],[TRACK_TYPE_STANDARD_GAUGE_RAILTYPE_OHLE]:[TRACK_TYPE_STANDARD_GAUGE_RAILTYPE_NONE]],_xlfn.LAMBDA(_xlpm.r,OR(_xlpm.r))),FALSE)</f>
        <v>0</v>
      </c>
      <c r="AF1003" s="38" t="b" cm="1">
        <f t="array" ref="AF1003">IFERROR(_xlfn.BYROW(TRACK_TYPES[[#This Row],[TRACK_TYPE_NARROW_GAUGE_RAILTYPE_OHLE]:[TRACK_TYPE_NARROW_GAUGE_RAILTYPE_NONE]],_xlfn.LAMBDA(_xlpm.r,OR(_xlpm.r))),FALSE)</f>
        <v>0</v>
      </c>
      <c r="AG1003" s="38" t="b" cm="1">
        <f t="array" ref="AG1003">IFERROR(_xlfn.BYROW(TRACK_TYPES[[#This Row],[TRACK_TYPE_BROAD_GAUGE_RAILTYPE_OHLE]:[TRACK_TYPE_BROAD_GAUGE_RAILTYPE_NONE]],_xlfn.LAMBDA(_xlpm.r,OR(_xlpm.r))),FALSE)</f>
        <v>1</v>
      </c>
      <c r="AH10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04" spans="1:34" x14ac:dyDescent="0.35">
      <c r="A1004" s="2" t="s">
        <v>3432</v>
      </c>
      <c r="B1004" s="40" t="str">
        <f>_xlfn.XLOOKUP(PROPERTIES[[#This Row],[VEHIDCODE]],CONTROL[VEHIDCODE],CONTROL[ENGLISH])</f>
        <v>Toshiba 10E</v>
      </c>
      <c r="N1004" t="b">
        <v>1</v>
      </c>
      <c r="AC1004" s="2"/>
      <c r="AD1004" s="2" t="b">
        <f>LEN(_xlfn.CONCAT(TRACK_TYPES[[#This Row],[TRACK_TYPE_STANDARD_GAUGE_RAILTYPE_OHLE]:[TRACK_TYPE_MTRO]]))&gt;0</f>
        <v>1</v>
      </c>
      <c r="AE1004" s="38" t="b" cm="1">
        <f t="array" ref="AE1004">IFERROR(_xlfn.BYROW(TRACK_TYPES[[#This Row],[TRACK_TYPE_STANDARD_GAUGE_RAILTYPE_OHLE]:[TRACK_TYPE_STANDARD_GAUGE_RAILTYPE_NONE]],_xlfn.LAMBDA(_xlpm.r,OR(_xlpm.r))),FALSE)</f>
        <v>0</v>
      </c>
      <c r="AF1004" s="38" t="b" cm="1">
        <f t="array" ref="AF1004">IFERROR(_xlfn.BYROW(TRACK_TYPES[[#This Row],[TRACK_TYPE_NARROW_GAUGE_RAILTYPE_OHLE]:[TRACK_TYPE_NARROW_GAUGE_RAILTYPE_NONE]],_xlfn.LAMBDA(_xlpm.r,OR(_xlpm.r))),FALSE)</f>
        <v>1</v>
      </c>
      <c r="AG1004" s="38" t="b" cm="1">
        <f t="array" ref="AG1004">IFERROR(_xlfn.BYROW(TRACK_TYPES[[#This Row],[TRACK_TYPE_BROAD_GAUGE_RAILTYPE_OHLE]:[TRACK_TYPE_BROAD_GAUGE_RAILTYPE_NONE]],_xlfn.LAMBDA(_xlpm.r,OR(_xlpm.r))),FALSE)</f>
        <v>0</v>
      </c>
      <c r="AH10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05" spans="1:34" x14ac:dyDescent="0.35">
      <c r="A1005" s="2" t="s">
        <v>3433</v>
      </c>
      <c r="B1005" s="40" t="str">
        <f>_xlfn.XLOOKUP(PROPERTIES[[#This Row],[VEHIDCODE]],CONTROL[VEHIDCODE],CONTROL[ENGLISH])</f>
        <v>GEC 9E</v>
      </c>
      <c r="L1005" t="b">
        <v>1</v>
      </c>
      <c r="AC1005" s="2"/>
      <c r="AD1005" s="2" t="b">
        <f>LEN(_xlfn.CONCAT(TRACK_TYPES[[#This Row],[TRACK_TYPE_STANDARD_GAUGE_RAILTYPE_OHLE]:[TRACK_TYPE_MTRO]]))&gt;0</f>
        <v>1</v>
      </c>
      <c r="AE1005" s="38" t="b" cm="1">
        <f t="array" ref="AE1005">IFERROR(_xlfn.BYROW(TRACK_TYPES[[#This Row],[TRACK_TYPE_STANDARD_GAUGE_RAILTYPE_OHLE]:[TRACK_TYPE_STANDARD_GAUGE_RAILTYPE_NONE]],_xlfn.LAMBDA(_xlpm.r,OR(_xlpm.r))),FALSE)</f>
        <v>0</v>
      </c>
      <c r="AF1005" s="38" t="b" cm="1">
        <f t="array" ref="AF1005">IFERROR(_xlfn.BYROW(TRACK_TYPES[[#This Row],[TRACK_TYPE_NARROW_GAUGE_RAILTYPE_OHLE]:[TRACK_TYPE_NARROW_GAUGE_RAILTYPE_NONE]],_xlfn.LAMBDA(_xlpm.r,OR(_xlpm.r))),FALSE)</f>
        <v>1</v>
      </c>
      <c r="AG1005" s="38" t="b" cm="1">
        <f t="array" ref="AG1005">IFERROR(_xlfn.BYROW(TRACK_TYPES[[#This Row],[TRACK_TYPE_BROAD_GAUGE_RAILTYPE_OHLE]:[TRACK_TYPE_BROAD_GAUGE_RAILTYPE_NONE]],_xlfn.LAMBDA(_xlpm.r,OR(_xlpm.r))),FALSE)</f>
        <v>0</v>
      </c>
      <c r="AH10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06" spans="1:34" x14ac:dyDescent="0.35">
      <c r="A1006" s="2" t="s">
        <v>3434</v>
      </c>
      <c r="B1006" s="40" t="str">
        <f>_xlfn.XLOOKUP(PROPERTIES[[#This Row],[VEHIDCODE]],CONTROL[VEHIDCODE],CONTROL[ENGLISH])</f>
        <v>Hitachi E1100</v>
      </c>
      <c r="F1006" t="b">
        <v>1</v>
      </c>
      <c r="AC1006" s="2"/>
      <c r="AD1006" s="2" t="b">
        <f>LEN(_xlfn.CONCAT(TRACK_TYPES[[#This Row],[TRACK_TYPE_STANDARD_GAUGE_RAILTYPE_OHLE]:[TRACK_TYPE_MTRO]]))&gt;0</f>
        <v>1</v>
      </c>
      <c r="AE1006" s="38" t="b" cm="1">
        <f t="array" ref="AE1006">IFERROR(_xlfn.BYROW(TRACK_TYPES[[#This Row],[TRACK_TYPE_STANDARD_GAUGE_RAILTYPE_OHLE]:[TRACK_TYPE_STANDARD_GAUGE_RAILTYPE_NONE]],_xlfn.LAMBDA(_xlpm.r,OR(_xlpm.r))),FALSE)</f>
        <v>1</v>
      </c>
      <c r="AF1006" s="38" t="b" cm="1">
        <f t="array" ref="AF1006">IFERROR(_xlfn.BYROW(TRACK_TYPES[[#This Row],[TRACK_TYPE_NARROW_GAUGE_RAILTYPE_OHLE]:[TRACK_TYPE_NARROW_GAUGE_RAILTYPE_NONE]],_xlfn.LAMBDA(_xlpm.r,OR(_xlpm.r))),FALSE)</f>
        <v>0</v>
      </c>
      <c r="AG1006" s="38" t="b" cm="1">
        <f t="array" ref="AG1006">IFERROR(_xlfn.BYROW(TRACK_TYPES[[#This Row],[TRACK_TYPE_BROAD_GAUGE_RAILTYPE_OHLE]:[TRACK_TYPE_BROAD_GAUGE_RAILTYPE_NONE]],_xlfn.LAMBDA(_xlpm.r,OR(_xlpm.r))),FALSE)</f>
        <v>0</v>
      </c>
      <c r="AH10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07" spans="1:34" x14ac:dyDescent="0.35">
      <c r="A1007" s="2" t="s">
        <v>3435</v>
      </c>
      <c r="B1007" s="40" t="str">
        <f>_xlfn.XLOOKUP(PROPERTIES[[#This Row],[VEHIDCODE]],CONTROL[VEHIDCODE],CONTROL[ENGLISH])</f>
        <v>RDSO/CLW WAM-4</v>
      </c>
      <c r="T1007" t="b">
        <v>1</v>
      </c>
      <c r="AC1007" s="2"/>
      <c r="AD1007" s="2" t="b">
        <f>LEN(_xlfn.CONCAT(TRACK_TYPES[[#This Row],[TRACK_TYPE_STANDARD_GAUGE_RAILTYPE_OHLE]:[TRACK_TYPE_MTRO]]))&gt;0</f>
        <v>1</v>
      </c>
      <c r="AE1007" s="38" t="b" cm="1">
        <f t="array" ref="AE1007">IFERROR(_xlfn.BYROW(TRACK_TYPES[[#This Row],[TRACK_TYPE_STANDARD_GAUGE_RAILTYPE_OHLE]:[TRACK_TYPE_STANDARD_GAUGE_RAILTYPE_NONE]],_xlfn.LAMBDA(_xlpm.r,OR(_xlpm.r))),FALSE)</f>
        <v>0</v>
      </c>
      <c r="AF1007" s="38" t="b" cm="1">
        <f t="array" ref="AF1007">IFERROR(_xlfn.BYROW(TRACK_TYPES[[#This Row],[TRACK_TYPE_NARROW_GAUGE_RAILTYPE_OHLE]:[TRACK_TYPE_NARROW_GAUGE_RAILTYPE_NONE]],_xlfn.LAMBDA(_xlpm.r,OR(_xlpm.r))),FALSE)</f>
        <v>0</v>
      </c>
      <c r="AG1007" s="38" t="b" cm="1">
        <f t="array" ref="AG1007">IFERROR(_xlfn.BYROW(TRACK_TYPES[[#This Row],[TRACK_TYPE_BROAD_GAUGE_RAILTYPE_OHLE]:[TRACK_TYPE_BROAD_GAUGE_RAILTYPE_NONE]],_xlfn.LAMBDA(_xlpm.r,OR(_xlpm.r))),FALSE)</f>
        <v>1</v>
      </c>
      <c r="AH10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08" spans="1:34" x14ac:dyDescent="0.35">
      <c r="A1008" s="2" t="s">
        <v>3436</v>
      </c>
      <c r="B1008" s="40" t="str">
        <f>_xlfn.XLOOKUP(PROPERTIES[[#This Row],[VEHIDCODE]],CONTROL[VEHIDCODE],CONTROL[ENGLISH])</f>
        <v>Groupement 50 Hz WAM 1</v>
      </c>
      <c r="T1008" t="b">
        <v>1</v>
      </c>
      <c r="AC1008" s="2"/>
      <c r="AD1008" s="2" t="b">
        <f>LEN(_xlfn.CONCAT(TRACK_TYPES[[#This Row],[TRACK_TYPE_STANDARD_GAUGE_RAILTYPE_OHLE]:[TRACK_TYPE_MTRO]]))&gt;0</f>
        <v>1</v>
      </c>
      <c r="AE1008" s="38" t="b" cm="1">
        <f t="array" ref="AE1008">IFERROR(_xlfn.BYROW(TRACK_TYPES[[#This Row],[TRACK_TYPE_STANDARD_GAUGE_RAILTYPE_OHLE]:[TRACK_TYPE_STANDARD_GAUGE_RAILTYPE_NONE]],_xlfn.LAMBDA(_xlpm.r,OR(_xlpm.r))),FALSE)</f>
        <v>0</v>
      </c>
      <c r="AF1008" s="38" t="b" cm="1">
        <f t="array" ref="AF1008">IFERROR(_xlfn.BYROW(TRACK_TYPES[[#This Row],[TRACK_TYPE_NARROW_GAUGE_RAILTYPE_OHLE]:[TRACK_TYPE_NARROW_GAUGE_RAILTYPE_NONE]],_xlfn.LAMBDA(_xlpm.r,OR(_xlpm.r))),FALSE)</f>
        <v>0</v>
      </c>
      <c r="AG1008" s="38" t="b" cm="1">
        <f t="array" ref="AG1008">IFERROR(_xlfn.BYROW(TRACK_TYPES[[#This Row],[TRACK_TYPE_BROAD_GAUGE_RAILTYPE_OHLE]:[TRACK_TYPE_BROAD_GAUGE_RAILTYPE_NONE]],_xlfn.LAMBDA(_xlpm.r,OR(_xlpm.r))),FALSE)</f>
        <v>1</v>
      </c>
      <c r="AH10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09" spans="1:34" x14ac:dyDescent="0.35">
      <c r="A1009" s="2" t="s">
        <v>3437</v>
      </c>
      <c r="B1009" s="40" t="str">
        <f>_xlfn.XLOOKUP(PROPERTIES[[#This Row],[VEHIDCODE]],CONTROL[VEHIDCODE],CONTROL[ENGLISH])</f>
        <v>Baldwin-Lima-Hamilton RF-615-E</v>
      </c>
      <c r="J1009" s="2" t="b">
        <v>1</v>
      </c>
      <c r="AC1009" s="2"/>
      <c r="AD1009" s="2" t="b">
        <f>LEN(_xlfn.CONCAT(TRACK_TYPES[[#This Row],[TRACK_TYPE_STANDARD_GAUGE_RAILTYPE_OHLE]:[TRACK_TYPE_MTRO]]))&gt;0</f>
        <v>1</v>
      </c>
      <c r="AE1009" s="38" t="b" cm="1">
        <f t="array" ref="AE1009">IFERROR(_xlfn.BYROW(TRACK_TYPES[[#This Row],[TRACK_TYPE_STANDARD_GAUGE_RAILTYPE_OHLE]:[TRACK_TYPE_STANDARD_GAUGE_RAILTYPE_NONE]],_xlfn.LAMBDA(_xlpm.r,OR(_xlpm.r))),FALSE)</f>
        <v>1</v>
      </c>
      <c r="AF1009" s="38" t="b" cm="1">
        <f t="array" ref="AF1009">IFERROR(_xlfn.BYROW(TRACK_TYPES[[#This Row],[TRACK_TYPE_NARROW_GAUGE_RAILTYPE_OHLE]:[TRACK_TYPE_NARROW_GAUGE_RAILTYPE_NONE]],_xlfn.LAMBDA(_xlpm.r,OR(_xlpm.r))),FALSE)</f>
        <v>0</v>
      </c>
      <c r="AG1009" s="38" t="b" cm="1">
        <f t="array" ref="AG1009">IFERROR(_xlfn.BYROW(TRACK_TYPES[[#This Row],[TRACK_TYPE_BROAD_GAUGE_RAILTYPE_OHLE]:[TRACK_TYPE_BROAD_GAUGE_RAILTYPE_NONE]],_xlfn.LAMBDA(_xlpm.r,OR(_xlpm.r))),FALSE)</f>
        <v>0</v>
      </c>
      <c r="AH10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10" spans="1:34" x14ac:dyDescent="0.35">
      <c r="A1010" s="2" t="s">
        <v>3438</v>
      </c>
      <c r="B1010" s="40" t="str">
        <f>_xlfn.XLOOKUP(PROPERTIES[[#This Row],[VEHIDCODE]],CONTROL[VEHIDCODE],CONTROL[ENGLISH])</f>
        <v>EE/Dick, Kerr &amp; Co/Vulcan Foundry DE2</v>
      </c>
      <c r="R1010" s="2" t="b">
        <v>1</v>
      </c>
      <c r="AC1010" s="2"/>
      <c r="AD1010" s="2" t="b">
        <f>LEN(_xlfn.CONCAT(TRACK_TYPES[[#This Row],[TRACK_TYPE_STANDARD_GAUGE_RAILTYPE_OHLE]:[TRACK_TYPE_MTRO]]))&gt;0</f>
        <v>1</v>
      </c>
      <c r="AE1010" s="38" t="b" cm="1">
        <f t="array" ref="AE1010">IFERROR(_xlfn.BYROW(TRACK_TYPES[[#This Row],[TRACK_TYPE_STANDARD_GAUGE_RAILTYPE_OHLE]:[TRACK_TYPE_STANDARD_GAUGE_RAILTYPE_NONE]],_xlfn.LAMBDA(_xlpm.r,OR(_xlpm.r))),FALSE)</f>
        <v>0</v>
      </c>
      <c r="AF1010" s="38" t="b" cm="1">
        <f t="array" ref="AF1010">IFERROR(_xlfn.BYROW(TRACK_TYPES[[#This Row],[TRACK_TYPE_NARROW_GAUGE_RAILTYPE_OHLE]:[TRACK_TYPE_NARROW_GAUGE_RAILTYPE_NONE]],_xlfn.LAMBDA(_xlpm.r,OR(_xlpm.r))),FALSE)</f>
        <v>1</v>
      </c>
      <c r="AG1010" s="38" t="b" cm="1">
        <f t="array" ref="AG1010">IFERROR(_xlfn.BYROW(TRACK_TYPES[[#This Row],[TRACK_TYPE_BROAD_GAUGE_RAILTYPE_OHLE]:[TRACK_TYPE_BROAD_GAUGE_RAILTYPE_NONE]],_xlfn.LAMBDA(_xlpm.r,OR(_xlpm.r))),FALSE)</f>
        <v>0</v>
      </c>
      <c r="AH10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11" spans="1:34" x14ac:dyDescent="0.35">
      <c r="A1011" t="s">
        <v>3487</v>
      </c>
      <c r="B1011" s="40" t="str">
        <f>_xlfn.XLOOKUP(PROPERTIES[[#This Row],[VEHIDCODE]],CONTROL[VEHIDCODE],CONTROL[ENGLISH])</f>
        <v>Ingeteam TD2000 series</v>
      </c>
      <c r="R1011" s="2" t="b">
        <v>1</v>
      </c>
      <c r="AC1011" s="2"/>
      <c r="AD1011" s="2" t="b">
        <f>LEN(_xlfn.CONCAT(TRACK_TYPES[[#This Row],[TRACK_TYPE_STANDARD_GAUGE_RAILTYPE_OHLE]:[TRACK_TYPE_MTRO]]))&gt;0</f>
        <v>1</v>
      </c>
      <c r="AE1011" s="38" t="b" cm="1">
        <f t="array" ref="AE1011">IFERROR(_xlfn.BYROW(TRACK_TYPES[[#This Row],[TRACK_TYPE_STANDARD_GAUGE_RAILTYPE_OHLE]:[TRACK_TYPE_STANDARD_GAUGE_RAILTYPE_NONE]],_xlfn.LAMBDA(_xlpm.r,OR(_xlpm.r))),FALSE)</f>
        <v>0</v>
      </c>
      <c r="AF1011" s="38" t="b" cm="1">
        <f t="array" ref="AF1011">IFERROR(_xlfn.BYROW(TRACK_TYPES[[#This Row],[TRACK_TYPE_NARROW_GAUGE_RAILTYPE_OHLE]:[TRACK_TYPE_NARROW_GAUGE_RAILTYPE_NONE]],_xlfn.LAMBDA(_xlpm.r,OR(_xlpm.r))),FALSE)</f>
        <v>1</v>
      </c>
      <c r="AG1011" s="38" t="b" cm="1">
        <f t="array" ref="AG1011">IFERROR(_xlfn.BYROW(TRACK_TYPES[[#This Row],[TRACK_TYPE_BROAD_GAUGE_RAILTYPE_OHLE]:[TRACK_TYPE_BROAD_GAUGE_RAILTYPE_NONE]],_xlfn.LAMBDA(_xlpm.r,OR(_xlpm.r))),FALSE)</f>
        <v>0</v>
      </c>
      <c r="AH10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12" spans="1:34" x14ac:dyDescent="0.35">
      <c r="A1012" s="2" t="s">
        <v>3479</v>
      </c>
      <c r="B1012" s="40" t="str">
        <f>_xlfn.XLOOKUP(PROPERTIES[[#This Row],[VEHIDCODE]],CONTROL[VEHIDCODE],CONTROL[ENGLISH])</f>
        <v>Tulloch 0-6-0DM 'W' Class</v>
      </c>
      <c r="R1012" s="2" t="b">
        <v>1</v>
      </c>
      <c r="AC1012" s="2"/>
      <c r="AD1012" s="2" t="b">
        <f>LEN(_xlfn.CONCAT(TRACK_TYPES[[#This Row],[TRACK_TYPE_STANDARD_GAUGE_RAILTYPE_OHLE]:[TRACK_TYPE_MTRO]]))&gt;0</f>
        <v>1</v>
      </c>
      <c r="AE1012" s="38" t="b" cm="1">
        <f t="array" ref="AE1012">IFERROR(_xlfn.BYROW(TRACK_TYPES[[#This Row],[TRACK_TYPE_STANDARD_GAUGE_RAILTYPE_OHLE]:[TRACK_TYPE_STANDARD_GAUGE_RAILTYPE_NONE]],_xlfn.LAMBDA(_xlpm.r,OR(_xlpm.r))),FALSE)</f>
        <v>0</v>
      </c>
      <c r="AF1012" s="38" t="b" cm="1">
        <f t="array" ref="AF1012">IFERROR(_xlfn.BYROW(TRACK_TYPES[[#This Row],[TRACK_TYPE_NARROW_GAUGE_RAILTYPE_OHLE]:[TRACK_TYPE_NARROW_GAUGE_RAILTYPE_NONE]],_xlfn.LAMBDA(_xlpm.r,OR(_xlpm.r))),FALSE)</f>
        <v>1</v>
      </c>
      <c r="AG1012" s="38" t="b" cm="1">
        <f t="array" ref="AG1012">IFERROR(_xlfn.BYROW(TRACK_TYPES[[#This Row],[TRACK_TYPE_BROAD_GAUGE_RAILTYPE_OHLE]:[TRACK_TYPE_BROAD_GAUGE_RAILTYPE_NONE]],_xlfn.LAMBDA(_xlpm.r,OR(_xlpm.r))),FALSE)</f>
        <v>0</v>
      </c>
      <c r="AH10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13" spans="1:34" x14ac:dyDescent="0.35">
      <c r="A1013" s="2" t="s">
        <v>3491</v>
      </c>
      <c r="B1013" s="40" t="str">
        <f>_xlfn.XLOOKUP(PROPERTIES[[#This Row],[VEHIDCODE]],CONTROL[VEHIDCODE],CONTROL[ENGLISH])</f>
        <v>GE 289A Boxcab</v>
      </c>
      <c r="O1013" t="b">
        <v>1</v>
      </c>
      <c r="AC1013" s="2"/>
      <c r="AD1013" s="2" t="b">
        <f>LEN(_xlfn.CONCAT(TRACK_TYPES[[#This Row],[TRACK_TYPE_STANDARD_GAUGE_RAILTYPE_OHLE]:[TRACK_TYPE_MTRO]]))&gt;0</f>
        <v>1</v>
      </c>
      <c r="AE1013" s="38" t="b" cm="1">
        <f t="array" ref="AE1013">IFERROR(_xlfn.BYROW(TRACK_TYPES[[#This Row],[TRACK_TYPE_STANDARD_GAUGE_RAILTYPE_OHLE]:[TRACK_TYPE_STANDARD_GAUGE_RAILTYPE_NONE]],_xlfn.LAMBDA(_xlpm.r,OR(_xlpm.r))),FALSE)</f>
        <v>0</v>
      </c>
      <c r="AF1013" s="38" t="b" cm="1">
        <f t="array" ref="AF1013">IFERROR(_xlfn.BYROW(TRACK_TYPES[[#This Row],[TRACK_TYPE_NARROW_GAUGE_RAILTYPE_OHLE]:[TRACK_TYPE_NARROW_GAUGE_RAILTYPE_NONE]],_xlfn.LAMBDA(_xlpm.r,OR(_xlpm.r))),FALSE)</f>
        <v>1</v>
      </c>
      <c r="AG1013" s="38" t="b" cm="1">
        <f t="array" ref="AG1013">IFERROR(_xlfn.BYROW(TRACK_TYPES[[#This Row],[TRACK_TYPE_BROAD_GAUGE_RAILTYPE_OHLE]:[TRACK_TYPE_BROAD_GAUGE_RAILTYPE_NONE]],_xlfn.LAMBDA(_xlpm.r,OR(_xlpm.r))),FALSE)</f>
        <v>0</v>
      </c>
      <c r="AH10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14" spans="1:34" x14ac:dyDescent="0.35">
      <c r="A1014" s="2" t="s">
        <v>3494</v>
      </c>
      <c r="B1014" s="40" t="str">
        <f>_xlfn.XLOOKUP(PROPERTIES[[#This Row],[VEHIDCODE]],CONTROL[VEHIDCODE],CONTROL[ENGLISH])</f>
        <v>Alsthom EC 386</v>
      </c>
      <c r="F1014" t="b">
        <v>1</v>
      </c>
      <c r="N1014" t="b">
        <v>1</v>
      </c>
      <c r="V1014" t="b">
        <v>1</v>
      </c>
      <c r="AC1014" s="2"/>
      <c r="AD1014" s="2" t="b">
        <f>LEN(_xlfn.CONCAT(TRACK_TYPES[[#This Row],[TRACK_TYPE_STANDARD_GAUGE_RAILTYPE_OHLE]:[TRACK_TYPE_MTRO]]))&gt;0</f>
        <v>1</v>
      </c>
      <c r="AE1014" s="38" t="b" cm="1">
        <f t="array" ref="AE1014">IFERROR(_xlfn.BYROW(TRACK_TYPES[[#This Row],[TRACK_TYPE_STANDARD_GAUGE_RAILTYPE_OHLE]:[TRACK_TYPE_STANDARD_GAUGE_RAILTYPE_NONE]],_xlfn.LAMBDA(_xlpm.r,OR(_xlpm.r))),FALSE)</f>
        <v>1</v>
      </c>
      <c r="AF1014" s="38" t="b" cm="1">
        <f t="array" ref="AF1014">IFERROR(_xlfn.BYROW(TRACK_TYPES[[#This Row],[TRACK_TYPE_NARROW_GAUGE_RAILTYPE_OHLE]:[TRACK_TYPE_NARROW_GAUGE_RAILTYPE_NONE]],_xlfn.LAMBDA(_xlpm.r,OR(_xlpm.r))),FALSE)</f>
        <v>1</v>
      </c>
      <c r="AG1014" s="38" t="b" cm="1">
        <f t="array" ref="AG1014">IFERROR(_xlfn.BYROW(TRACK_TYPES[[#This Row],[TRACK_TYPE_BROAD_GAUGE_RAILTYPE_OHLE]:[TRACK_TYPE_BROAD_GAUGE_RAILTYPE_NONE]],_xlfn.LAMBDA(_xlpm.r,OR(_xlpm.r))),FALSE)</f>
        <v>1</v>
      </c>
      <c r="AH10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15" spans="1:34" x14ac:dyDescent="0.35">
      <c r="A1015" t="s">
        <v>3499</v>
      </c>
      <c r="B1015" s="40" t="str">
        <f>_xlfn.XLOOKUP(PROPERTIES[[#This Row],[VEHIDCODE]],CONTROL[VEHIDCODE],CONTROL[ENGLISH])</f>
        <v>Chesta Casagrande E650</v>
      </c>
      <c r="O1015" t="b">
        <v>1</v>
      </c>
      <c r="AC1015" s="2"/>
      <c r="AD1015" s="2" t="b">
        <f>LEN(_xlfn.CONCAT(TRACK_TYPES[[#This Row],[TRACK_TYPE_STANDARD_GAUGE_RAILTYPE_OHLE]:[TRACK_TYPE_MTRO]]))&gt;0</f>
        <v>1</v>
      </c>
      <c r="AE1015" s="38" t="b" cm="1">
        <f t="array" ref="AE1015">IFERROR(_xlfn.BYROW(TRACK_TYPES[[#This Row],[TRACK_TYPE_STANDARD_GAUGE_RAILTYPE_OHLE]:[TRACK_TYPE_STANDARD_GAUGE_RAILTYPE_NONE]],_xlfn.LAMBDA(_xlpm.r,OR(_xlpm.r))),FALSE)</f>
        <v>0</v>
      </c>
      <c r="AF1015" s="38" t="b" cm="1">
        <f t="array" ref="AF1015">IFERROR(_xlfn.BYROW(TRACK_TYPES[[#This Row],[TRACK_TYPE_NARROW_GAUGE_RAILTYPE_OHLE]:[TRACK_TYPE_NARROW_GAUGE_RAILTYPE_NONE]],_xlfn.LAMBDA(_xlpm.r,OR(_xlpm.r))),FALSE)</f>
        <v>1</v>
      </c>
      <c r="AG1015" s="38" t="b" cm="1">
        <f t="array" ref="AG1015">IFERROR(_xlfn.BYROW(TRACK_TYPES[[#This Row],[TRACK_TYPE_BROAD_GAUGE_RAILTYPE_OHLE]:[TRACK_TYPE_BROAD_GAUGE_RAILTYPE_NONE]],_xlfn.LAMBDA(_xlpm.r,OR(_xlpm.r))),FALSE)</f>
        <v>0</v>
      </c>
      <c r="AH10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16" spans="1:34" x14ac:dyDescent="0.35">
      <c r="A1016" s="2" t="s">
        <v>3492</v>
      </c>
      <c r="B1016" s="40" t="str">
        <f>_xlfn.XLOOKUP(PROPERTIES[[#This Row],[VEHIDCODE]],CONTROL[VEHIDCODE],CONTROL[ENGLISH])</f>
        <v>Breda Marelli E32</v>
      </c>
      <c r="V1016" t="b">
        <v>1</v>
      </c>
      <c r="AC1016" s="2"/>
      <c r="AD1016" s="2" t="b">
        <f>LEN(_xlfn.CONCAT(TRACK_TYPES[[#This Row],[TRACK_TYPE_STANDARD_GAUGE_RAILTYPE_OHLE]:[TRACK_TYPE_MTRO]]))&gt;0</f>
        <v>1</v>
      </c>
      <c r="AE1016" s="38" t="b" cm="1">
        <f t="array" ref="AE1016">IFERROR(_xlfn.BYROW(TRACK_TYPES[[#This Row],[TRACK_TYPE_STANDARD_GAUGE_RAILTYPE_OHLE]:[TRACK_TYPE_STANDARD_GAUGE_RAILTYPE_NONE]],_xlfn.LAMBDA(_xlpm.r,OR(_xlpm.r))),FALSE)</f>
        <v>0</v>
      </c>
      <c r="AF1016" s="38" t="b" cm="1">
        <f t="array" ref="AF1016">IFERROR(_xlfn.BYROW(TRACK_TYPES[[#This Row],[TRACK_TYPE_NARROW_GAUGE_RAILTYPE_OHLE]:[TRACK_TYPE_NARROW_GAUGE_RAILTYPE_NONE]],_xlfn.LAMBDA(_xlpm.r,OR(_xlpm.r))),FALSE)</f>
        <v>0</v>
      </c>
      <c r="AG1016" s="38" t="b" cm="1">
        <f t="array" ref="AG1016">IFERROR(_xlfn.BYROW(TRACK_TYPES[[#This Row],[TRACK_TYPE_BROAD_GAUGE_RAILTYPE_OHLE]:[TRACK_TYPE_BROAD_GAUGE_RAILTYPE_NONE]],_xlfn.LAMBDA(_xlpm.r,OR(_xlpm.r))),FALSE)</f>
        <v>1</v>
      </c>
      <c r="AH10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17" spans="1:34" x14ac:dyDescent="0.35">
      <c r="A1017" s="2" t="s">
        <v>3502</v>
      </c>
      <c r="B1017" s="40" t="str">
        <f>_xlfn.XLOOKUP(PROPERTIES[[#This Row],[VEHIDCODE]],CONTROL[VEHIDCODE],CONTROL[ENGLISH])</f>
        <v>GE ES58ACi</v>
      </c>
      <c r="Z1017" s="2" t="b">
        <v>1</v>
      </c>
      <c r="AC1017" s="2"/>
      <c r="AD1017" s="2" t="b">
        <f>LEN(_xlfn.CONCAT(TRACK_TYPES[[#This Row],[TRACK_TYPE_STANDARD_GAUGE_RAILTYPE_OHLE]:[TRACK_TYPE_MTRO]]))&gt;0</f>
        <v>1</v>
      </c>
      <c r="AE1017" s="38" t="b" cm="1">
        <f t="array" ref="AE1017">IFERROR(_xlfn.BYROW(TRACK_TYPES[[#This Row],[TRACK_TYPE_STANDARD_GAUGE_RAILTYPE_OHLE]:[TRACK_TYPE_STANDARD_GAUGE_RAILTYPE_NONE]],_xlfn.LAMBDA(_xlpm.r,OR(_xlpm.r))),FALSE)</f>
        <v>0</v>
      </c>
      <c r="AF1017" s="38" t="b" cm="1">
        <f t="array" ref="AF1017">IFERROR(_xlfn.BYROW(TRACK_TYPES[[#This Row],[TRACK_TYPE_NARROW_GAUGE_RAILTYPE_OHLE]:[TRACK_TYPE_NARROW_GAUGE_RAILTYPE_NONE]],_xlfn.LAMBDA(_xlpm.r,OR(_xlpm.r))),FALSE)</f>
        <v>0</v>
      </c>
      <c r="AG1017" s="38" t="b" cm="1">
        <f t="array" ref="AG1017">IFERROR(_xlfn.BYROW(TRACK_TYPES[[#This Row],[TRACK_TYPE_BROAD_GAUGE_RAILTYPE_OHLE]:[TRACK_TYPE_BROAD_GAUGE_RAILTYPE_NONE]],_xlfn.LAMBDA(_xlpm.r,OR(_xlpm.r))),FALSE)</f>
        <v>1</v>
      </c>
      <c r="AH10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18" spans="1:34" x14ac:dyDescent="0.35">
      <c r="A1018" s="2" t="s">
        <v>3703</v>
      </c>
      <c r="B1018" s="40" t="str">
        <f>_xlfn.XLOOKUP(PROPERTIES[[#This Row],[VEHIDCODE]],CONTROL[VEHIDCODE],CONTROL[ENGLISH])</f>
        <v>Ganz-MAVAG Ikarus 725.00</v>
      </c>
      <c r="J1018" s="2" t="b">
        <v>1</v>
      </c>
      <c r="R1018" s="2" t="b">
        <v>1</v>
      </c>
      <c r="AC1018" s="2"/>
      <c r="AD1018" s="2" t="b">
        <f>LEN(_xlfn.CONCAT(TRACK_TYPES[[#This Row],[TRACK_TYPE_STANDARD_GAUGE_RAILTYPE_OHLE]:[TRACK_TYPE_MTRO]]))&gt;0</f>
        <v>1</v>
      </c>
      <c r="AE1018" s="38" t="b" cm="1">
        <f t="array" ref="AE1018">IFERROR(_xlfn.BYROW(TRACK_TYPES[[#This Row],[TRACK_TYPE_STANDARD_GAUGE_RAILTYPE_OHLE]:[TRACK_TYPE_STANDARD_GAUGE_RAILTYPE_NONE]],_xlfn.LAMBDA(_xlpm.r,OR(_xlpm.r))),FALSE)</f>
        <v>1</v>
      </c>
      <c r="AF1018" s="38" t="b" cm="1">
        <f t="array" ref="AF1018">IFERROR(_xlfn.BYROW(TRACK_TYPES[[#This Row],[TRACK_TYPE_NARROW_GAUGE_RAILTYPE_OHLE]:[TRACK_TYPE_NARROW_GAUGE_RAILTYPE_NONE]],_xlfn.LAMBDA(_xlpm.r,OR(_xlpm.r))),FALSE)</f>
        <v>1</v>
      </c>
      <c r="AG1018" s="38" t="b" cm="1">
        <f t="array" ref="AG1018">IFERROR(_xlfn.BYROW(TRACK_TYPES[[#This Row],[TRACK_TYPE_BROAD_GAUGE_RAILTYPE_OHLE]:[TRACK_TYPE_BROAD_GAUGE_RAILTYPE_NONE]],_xlfn.LAMBDA(_xlpm.r,OR(_xlpm.r))),FALSE)</f>
        <v>0</v>
      </c>
      <c r="AH10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19" spans="1:34" x14ac:dyDescent="0.35">
      <c r="A1019" s="2" t="s">
        <v>3558</v>
      </c>
      <c r="B1019" s="40" t="str">
        <f>_xlfn.XLOOKUP(PROPERTIES[[#This Row],[VEHIDCODE]],CONTROL[VEHIDCODE],CONTROL[ENGLISH])</f>
        <v>Alstom Metropolis</v>
      </c>
      <c r="D1019" t="b">
        <v>1</v>
      </c>
      <c r="G1019" t="b">
        <v>1</v>
      </c>
      <c r="H1019" t="b">
        <v>1</v>
      </c>
      <c r="P1019" t="b">
        <v>1</v>
      </c>
      <c r="V1019" t="b">
        <v>1</v>
      </c>
      <c r="AC1019" s="2"/>
      <c r="AD1019" s="2" t="b">
        <f>LEN(_xlfn.CONCAT(TRACK_TYPES[[#This Row],[TRACK_TYPE_STANDARD_GAUGE_RAILTYPE_OHLE]:[TRACK_TYPE_MTRO]]))&gt;0</f>
        <v>1</v>
      </c>
      <c r="AE1019" s="38" t="b" cm="1">
        <f t="array" ref="AE1019">IFERROR(_xlfn.BYROW(TRACK_TYPES[[#This Row],[TRACK_TYPE_STANDARD_GAUGE_RAILTYPE_OHLE]:[TRACK_TYPE_STANDARD_GAUGE_RAILTYPE_NONE]],_xlfn.LAMBDA(_xlpm.r,OR(_xlpm.r))),FALSE)</f>
        <v>1</v>
      </c>
      <c r="AF1019" s="38" t="b" cm="1">
        <f t="array" ref="AF1019">IFERROR(_xlfn.BYROW(TRACK_TYPES[[#This Row],[TRACK_TYPE_NARROW_GAUGE_RAILTYPE_OHLE]:[TRACK_TYPE_NARROW_GAUGE_RAILTYPE_NONE]],_xlfn.LAMBDA(_xlpm.r,OR(_xlpm.r))),FALSE)</f>
        <v>1</v>
      </c>
      <c r="AG1019" s="38" t="b" cm="1">
        <f t="array" ref="AG1019">IFERROR(_xlfn.BYROW(TRACK_TYPES[[#This Row],[TRACK_TYPE_BROAD_GAUGE_RAILTYPE_OHLE]:[TRACK_TYPE_BROAD_GAUGE_RAILTYPE_NONE]],_xlfn.LAMBDA(_xlpm.r,OR(_xlpm.r))),FALSE)</f>
        <v>1</v>
      </c>
      <c r="AH10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0" spans="1:34" x14ac:dyDescent="0.35">
      <c r="A1020" s="2" t="s">
        <v>3561</v>
      </c>
      <c r="B1020" s="40" t="str">
        <f>_xlfn.XLOOKUP(PROPERTIES[[#This Row],[VEHIDCODE]],CONTROL[VEHIDCODE],CONTROL[ENGLISH])</f>
        <v>Sharp Brothers 2-2-2 'Patriot'</v>
      </c>
      <c r="J1020" s="2" t="b">
        <v>1</v>
      </c>
      <c r="AC1020" s="2"/>
      <c r="AD1020" s="2" t="b">
        <f>LEN(_xlfn.CONCAT(TRACK_TYPES[[#This Row],[TRACK_TYPE_STANDARD_GAUGE_RAILTYPE_OHLE]:[TRACK_TYPE_MTRO]]))&gt;0</f>
        <v>1</v>
      </c>
      <c r="AE1020" s="38" t="b" cm="1">
        <f t="array" ref="AE1020">IFERROR(_xlfn.BYROW(TRACK_TYPES[[#This Row],[TRACK_TYPE_STANDARD_GAUGE_RAILTYPE_OHLE]:[TRACK_TYPE_STANDARD_GAUGE_RAILTYPE_NONE]],_xlfn.LAMBDA(_xlpm.r,OR(_xlpm.r))),FALSE)</f>
        <v>1</v>
      </c>
      <c r="AF1020" s="38" t="b" cm="1">
        <f t="array" ref="AF1020">IFERROR(_xlfn.BYROW(TRACK_TYPES[[#This Row],[TRACK_TYPE_NARROW_GAUGE_RAILTYPE_OHLE]:[TRACK_TYPE_NARROW_GAUGE_RAILTYPE_NONE]],_xlfn.LAMBDA(_xlpm.r,OR(_xlpm.r))),FALSE)</f>
        <v>0</v>
      </c>
      <c r="AG1020" s="38" t="b" cm="1">
        <f t="array" ref="AG1020">IFERROR(_xlfn.BYROW(TRACK_TYPES[[#This Row],[TRACK_TYPE_BROAD_GAUGE_RAILTYPE_OHLE]:[TRACK_TYPE_BROAD_GAUGE_RAILTYPE_NONE]],_xlfn.LAMBDA(_xlpm.r,OR(_xlpm.r))),FALSE)</f>
        <v>0</v>
      </c>
      <c r="AH10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1" spans="1:34" x14ac:dyDescent="0.35">
      <c r="A1021" s="2" t="s">
        <v>3570</v>
      </c>
      <c r="B1021" s="40" t="str">
        <f>_xlfn.XLOOKUP(PROPERTIES[[#This Row],[VEHIDCODE]],CONTROL[VEHIDCODE],CONTROL[ENGLISH])</f>
        <v>Heavyweight Regional Coach</v>
      </c>
      <c r="J1021" s="2" t="b">
        <v>1</v>
      </c>
      <c r="R1021" s="2" t="b">
        <v>1</v>
      </c>
      <c r="Z1021" s="2" t="b">
        <v>1</v>
      </c>
      <c r="AC1021" s="2"/>
      <c r="AD1021" s="2" t="b">
        <f>LEN(_xlfn.CONCAT(TRACK_TYPES[[#This Row],[TRACK_TYPE_STANDARD_GAUGE_RAILTYPE_OHLE]:[TRACK_TYPE_MTRO]]))&gt;0</f>
        <v>1</v>
      </c>
      <c r="AE1021" s="38" t="b" cm="1">
        <f t="array" ref="AE1021">IFERROR(_xlfn.BYROW(TRACK_TYPES[[#This Row],[TRACK_TYPE_STANDARD_GAUGE_RAILTYPE_OHLE]:[TRACK_TYPE_STANDARD_GAUGE_RAILTYPE_NONE]],_xlfn.LAMBDA(_xlpm.r,OR(_xlpm.r))),FALSE)</f>
        <v>1</v>
      </c>
      <c r="AF1021" s="38" t="b" cm="1">
        <f t="array" ref="AF1021">IFERROR(_xlfn.BYROW(TRACK_TYPES[[#This Row],[TRACK_TYPE_NARROW_GAUGE_RAILTYPE_OHLE]:[TRACK_TYPE_NARROW_GAUGE_RAILTYPE_NONE]],_xlfn.LAMBDA(_xlpm.r,OR(_xlpm.r))),FALSE)</f>
        <v>1</v>
      </c>
      <c r="AG1021" s="38" t="b" cm="1">
        <f t="array" ref="AG1021">IFERROR(_xlfn.BYROW(TRACK_TYPES[[#This Row],[TRACK_TYPE_BROAD_GAUGE_RAILTYPE_OHLE]:[TRACK_TYPE_BROAD_GAUGE_RAILTYPE_NONE]],_xlfn.LAMBDA(_xlpm.r,OR(_xlpm.r))),FALSE)</f>
        <v>1</v>
      </c>
      <c r="AH10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2" spans="1:34" x14ac:dyDescent="0.35">
      <c r="A1022" s="2" t="s">
        <v>3575</v>
      </c>
      <c r="B1022" s="40" t="str">
        <f>_xlfn.XLOOKUP(PROPERTIES[[#This Row],[VEHIDCODE]],CONTROL[VEHIDCODE],CONTROL[ENGLISH])</f>
        <v>Early American End-Platform Coach [Larger]</v>
      </c>
      <c r="J1022" s="2" t="b">
        <v>1</v>
      </c>
      <c r="R1022" s="2" t="b">
        <v>1</v>
      </c>
      <c r="Z1022" s="2" t="b">
        <v>1</v>
      </c>
      <c r="AC1022" s="2"/>
      <c r="AD1022" s="2" t="b">
        <f>LEN(_xlfn.CONCAT(TRACK_TYPES[[#This Row],[TRACK_TYPE_STANDARD_GAUGE_RAILTYPE_OHLE]:[TRACK_TYPE_MTRO]]))&gt;0</f>
        <v>1</v>
      </c>
      <c r="AE1022" s="38" t="b" cm="1">
        <f t="array" ref="AE1022">IFERROR(_xlfn.BYROW(TRACK_TYPES[[#This Row],[TRACK_TYPE_STANDARD_GAUGE_RAILTYPE_OHLE]:[TRACK_TYPE_STANDARD_GAUGE_RAILTYPE_NONE]],_xlfn.LAMBDA(_xlpm.r,OR(_xlpm.r))),FALSE)</f>
        <v>1</v>
      </c>
      <c r="AF1022" s="38" t="b" cm="1">
        <f t="array" ref="AF1022">IFERROR(_xlfn.BYROW(TRACK_TYPES[[#This Row],[TRACK_TYPE_NARROW_GAUGE_RAILTYPE_OHLE]:[TRACK_TYPE_NARROW_GAUGE_RAILTYPE_NONE]],_xlfn.LAMBDA(_xlpm.r,OR(_xlpm.r))),FALSE)</f>
        <v>1</v>
      </c>
      <c r="AG1022" s="38" t="b" cm="1">
        <f t="array" ref="AG1022">IFERROR(_xlfn.BYROW(TRACK_TYPES[[#This Row],[TRACK_TYPE_BROAD_GAUGE_RAILTYPE_OHLE]:[TRACK_TYPE_BROAD_GAUGE_RAILTYPE_NONE]],_xlfn.LAMBDA(_xlpm.r,OR(_xlpm.r))),FALSE)</f>
        <v>1</v>
      </c>
      <c r="AH10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3" spans="1:34" x14ac:dyDescent="0.35">
      <c r="A1023" s="2" t="s">
        <v>3574</v>
      </c>
      <c r="B1023" s="40" t="str">
        <f>_xlfn.XLOOKUP(PROPERTIES[[#This Row],[VEHIDCODE]],CONTROL[VEHIDCODE],CONTROL[ENGLISH])</f>
        <v>Early American End-Platform Mail Coach [Larger]</v>
      </c>
      <c r="J1023" s="2" t="b">
        <v>1</v>
      </c>
      <c r="R1023" s="2" t="b">
        <v>1</v>
      </c>
      <c r="Z1023" s="2" t="b">
        <v>1</v>
      </c>
      <c r="AC1023" s="2"/>
      <c r="AD1023" s="2" t="b">
        <f>LEN(_xlfn.CONCAT(TRACK_TYPES[[#This Row],[TRACK_TYPE_STANDARD_GAUGE_RAILTYPE_OHLE]:[TRACK_TYPE_MTRO]]))&gt;0</f>
        <v>1</v>
      </c>
      <c r="AE1023" s="38" t="b" cm="1">
        <f t="array" ref="AE1023">IFERROR(_xlfn.BYROW(TRACK_TYPES[[#This Row],[TRACK_TYPE_STANDARD_GAUGE_RAILTYPE_OHLE]:[TRACK_TYPE_STANDARD_GAUGE_RAILTYPE_NONE]],_xlfn.LAMBDA(_xlpm.r,OR(_xlpm.r))),FALSE)</f>
        <v>1</v>
      </c>
      <c r="AF1023" s="38" t="b" cm="1">
        <f t="array" ref="AF1023">IFERROR(_xlfn.BYROW(TRACK_TYPES[[#This Row],[TRACK_TYPE_NARROW_GAUGE_RAILTYPE_OHLE]:[TRACK_TYPE_NARROW_GAUGE_RAILTYPE_NONE]],_xlfn.LAMBDA(_xlpm.r,OR(_xlpm.r))),FALSE)</f>
        <v>1</v>
      </c>
      <c r="AG1023" s="38" t="b" cm="1">
        <f t="array" ref="AG1023">IFERROR(_xlfn.BYROW(TRACK_TYPES[[#This Row],[TRACK_TYPE_BROAD_GAUGE_RAILTYPE_OHLE]:[TRACK_TYPE_BROAD_GAUGE_RAILTYPE_NONE]],_xlfn.LAMBDA(_xlpm.r,OR(_xlpm.r))),FALSE)</f>
        <v>1</v>
      </c>
      <c r="AH10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4" spans="1:34" x14ac:dyDescent="0.35">
      <c r="A1024" s="2" t="s">
        <v>3581</v>
      </c>
      <c r="B1024" s="40" t="str">
        <f>_xlfn.XLOOKUP(PROPERTIES[[#This Row],[VEHIDCODE]],CONTROL[VEHIDCODE],CONTROL[ENGLISH])</f>
        <v>Lightweight Commuter Coach</v>
      </c>
      <c r="J1024" s="2" t="b">
        <v>1</v>
      </c>
      <c r="R1024" s="2" t="b">
        <v>1</v>
      </c>
      <c r="Z1024" s="2" t="b">
        <v>1</v>
      </c>
      <c r="AC1024" s="2"/>
      <c r="AD1024" s="2" t="b">
        <f>LEN(_xlfn.CONCAT(TRACK_TYPES[[#This Row],[TRACK_TYPE_STANDARD_GAUGE_RAILTYPE_OHLE]:[TRACK_TYPE_MTRO]]))&gt;0</f>
        <v>1</v>
      </c>
      <c r="AE1024" s="38" t="b" cm="1">
        <f t="array" ref="AE1024">IFERROR(_xlfn.BYROW(TRACK_TYPES[[#This Row],[TRACK_TYPE_STANDARD_GAUGE_RAILTYPE_OHLE]:[TRACK_TYPE_STANDARD_GAUGE_RAILTYPE_NONE]],_xlfn.LAMBDA(_xlpm.r,OR(_xlpm.r))),FALSE)</f>
        <v>1</v>
      </c>
      <c r="AF1024" s="38" t="b" cm="1">
        <f t="array" ref="AF1024">IFERROR(_xlfn.BYROW(TRACK_TYPES[[#This Row],[TRACK_TYPE_NARROW_GAUGE_RAILTYPE_OHLE]:[TRACK_TYPE_NARROW_GAUGE_RAILTYPE_NONE]],_xlfn.LAMBDA(_xlpm.r,OR(_xlpm.r))),FALSE)</f>
        <v>1</v>
      </c>
      <c r="AG1024" s="38" t="b" cm="1">
        <f t="array" ref="AG1024">IFERROR(_xlfn.BYROW(TRACK_TYPES[[#This Row],[TRACK_TYPE_BROAD_GAUGE_RAILTYPE_OHLE]:[TRACK_TYPE_BROAD_GAUGE_RAILTYPE_NONE]],_xlfn.LAMBDA(_xlpm.r,OR(_xlpm.r))),FALSE)</f>
        <v>1</v>
      </c>
      <c r="AH10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5" spans="1:34" x14ac:dyDescent="0.35">
      <c r="A1025" s="2" t="s">
        <v>3583</v>
      </c>
      <c r="B1025" s="40" t="str">
        <f>_xlfn.XLOOKUP(PROPERTIES[[#This Row],[VEHIDCODE]],CONTROL[VEHIDCODE],CONTROL[ENGLISH])</f>
        <v>ALCO-GE T-Motor</v>
      </c>
      <c r="H1025" t="b">
        <v>1</v>
      </c>
      <c r="AC1025" s="2"/>
      <c r="AD1025" s="2" t="b">
        <f>LEN(_xlfn.CONCAT(TRACK_TYPES[[#This Row],[TRACK_TYPE_STANDARD_GAUGE_RAILTYPE_OHLE]:[TRACK_TYPE_MTRO]]))&gt;0</f>
        <v>1</v>
      </c>
      <c r="AE1025" s="38" t="b" cm="1">
        <f t="array" ref="AE1025">IFERROR(_xlfn.BYROW(TRACK_TYPES[[#This Row],[TRACK_TYPE_STANDARD_GAUGE_RAILTYPE_OHLE]:[TRACK_TYPE_STANDARD_GAUGE_RAILTYPE_NONE]],_xlfn.LAMBDA(_xlpm.r,OR(_xlpm.r))),FALSE)</f>
        <v>1</v>
      </c>
      <c r="AF1025" s="38" t="b" cm="1">
        <f t="array" ref="AF1025">IFERROR(_xlfn.BYROW(TRACK_TYPES[[#This Row],[TRACK_TYPE_NARROW_GAUGE_RAILTYPE_OHLE]:[TRACK_TYPE_NARROW_GAUGE_RAILTYPE_NONE]],_xlfn.LAMBDA(_xlpm.r,OR(_xlpm.r))),FALSE)</f>
        <v>0</v>
      </c>
      <c r="AG1025" s="38" t="b" cm="1">
        <f t="array" ref="AG1025">IFERROR(_xlfn.BYROW(TRACK_TYPES[[#This Row],[TRACK_TYPE_BROAD_GAUGE_RAILTYPE_OHLE]:[TRACK_TYPE_BROAD_GAUGE_RAILTYPE_NONE]],_xlfn.LAMBDA(_xlpm.r,OR(_xlpm.r))),FALSE)</f>
        <v>0</v>
      </c>
      <c r="AH10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6" spans="1:34" x14ac:dyDescent="0.35">
      <c r="A1026" s="2" t="s">
        <v>3586</v>
      </c>
      <c r="B1026" s="40" t="str">
        <f>_xlfn.XLOOKUP(PROPERTIES[[#This Row],[VEHIDCODE]],CONTROL[VEHIDCODE],CONTROL[ENGLISH])</f>
        <v>Altoona Works Pennsylvania Railroad DD1</v>
      </c>
      <c r="H1026" t="b">
        <v>1</v>
      </c>
      <c r="AC1026" s="2"/>
      <c r="AD1026" s="2" t="b">
        <f>LEN(_xlfn.CONCAT(TRACK_TYPES[[#This Row],[TRACK_TYPE_STANDARD_GAUGE_RAILTYPE_OHLE]:[TRACK_TYPE_MTRO]]))&gt;0</f>
        <v>1</v>
      </c>
      <c r="AE1026" s="38" t="b" cm="1">
        <f t="array" ref="AE1026">IFERROR(_xlfn.BYROW(TRACK_TYPES[[#This Row],[TRACK_TYPE_STANDARD_GAUGE_RAILTYPE_OHLE]:[TRACK_TYPE_STANDARD_GAUGE_RAILTYPE_NONE]],_xlfn.LAMBDA(_xlpm.r,OR(_xlpm.r))),FALSE)</f>
        <v>1</v>
      </c>
      <c r="AF1026" s="38" t="b" cm="1">
        <f t="array" ref="AF1026">IFERROR(_xlfn.BYROW(TRACK_TYPES[[#This Row],[TRACK_TYPE_NARROW_GAUGE_RAILTYPE_OHLE]:[TRACK_TYPE_NARROW_GAUGE_RAILTYPE_NONE]],_xlfn.LAMBDA(_xlpm.r,OR(_xlpm.r))),FALSE)</f>
        <v>0</v>
      </c>
      <c r="AG1026" s="38" t="b" cm="1">
        <f t="array" ref="AG1026">IFERROR(_xlfn.BYROW(TRACK_TYPES[[#This Row],[TRACK_TYPE_BROAD_GAUGE_RAILTYPE_OHLE]:[TRACK_TYPE_BROAD_GAUGE_RAILTYPE_NONE]],_xlfn.LAMBDA(_xlpm.r,OR(_xlpm.r))),FALSE)</f>
        <v>0</v>
      </c>
      <c r="AH10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7" spans="1:34" x14ac:dyDescent="0.35">
      <c r="A1027" s="2" t="s">
        <v>3591</v>
      </c>
      <c r="B1027" s="40" t="str">
        <f>_xlfn.XLOOKUP(PROPERTIES[[#This Row],[VEHIDCODE]],CONTROL[VEHIDCODE],CONTROL[ENGLISH])</f>
        <v>PRR MP70</v>
      </c>
      <c r="H1027" t="b">
        <v>1</v>
      </c>
      <c r="AC1027" s="2"/>
      <c r="AD1027" s="2" t="b">
        <f>LEN(_xlfn.CONCAT(TRACK_TYPES[[#This Row],[TRACK_TYPE_STANDARD_GAUGE_RAILTYPE_OHLE]:[TRACK_TYPE_MTRO]]))&gt;0</f>
        <v>1</v>
      </c>
      <c r="AE1027" s="38" t="b" cm="1">
        <f t="array" ref="AE1027">IFERROR(_xlfn.BYROW(TRACK_TYPES[[#This Row],[TRACK_TYPE_STANDARD_GAUGE_RAILTYPE_OHLE]:[TRACK_TYPE_STANDARD_GAUGE_RAILTYPE_NONE]],_xlfn.LAMBDA(_xlpm.r,OR(_xlpm.r))),FALSE)</f>
        <v>1</v>
      </c>
      <c r="AF1027" s="38" t="b" cm="1">
        <f t="array" ref="AF1027">IFERROR(_xlfn.BYROW(TRACK_TYPES[[#This Row],[TRACK_TYPE_NARROW_GAUGE_RAILTYPE_OHLE]:[TRACK_TYPE_NARROW_GAUGE_RAILTYPE_NONE]],_xlfn.LAMBDA(_xlpm.r,OR(_xlpm.r))),FALSE)</f>
        <v>0</v>
      </c>
      <c r="AG1027" s="38" t="b" cm="1">
        <f t="array" ref="AG1027">IFERROR(_xlfn.BYROW(TRACK_TYPES[[#This Row],[TRACK_TYPE_BROAD_GAUGE_RAILTYPE_OHLE]:[TRACK_TYPE_BROAD_GAUGE_RAILTYPE_NONE]],_xlfn.LAMBDA(_xlpm.r,OR(_xlpm.r))),FALSE)</f>
        <v>0</v>
      </c>
      <c r="AH10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8" spans="1:34" x14ac:dyDescent="0.35">
      <c r="A1028" s="2" t="s">
        <v>3592</v>
      </c>
      <c r="B1028" s="40" t="str">
        <f>_xlfn.XLOOKUP(PROPERTIES[[#This Row],[VEHIDCODE]],CONTROL[VEHIDCODE],CONTROL[ENGLISH])</f>
        <v>Pullman Standard LIRR MP75 ACMU</v>
      </c>
      <c r="H1028" t="b">
        <v>1</v>
      </c>
      <c r="AC1028" s="2"/>
      <c r="AD1028" s="2" t="b">
        <f>LEN(_xlfn.CONCAT(TRACK_TYPES[[#This Row],[TRACK_TYPE_STANDARD_GAUGE_RAILTYPE_OHLE]:[TRACK_TYPE_MTRO]]))&gt;0</f>
        <v>1</v>
      </c>
      <c r="AE1028" s="38" t="b" cm="1">
        <f t="array" ref="AE1028">IFERROR(_xlfn.BYROW(TRACK_TYPES[[#This Row],[TRACK_TYPE_STANDARD_GAUGE_RAILTYPE_OHLE]:[TRACK_TYPE_STANDARD_GAUGE_RAILTYPE_NONE]],_xlfn.LAMBDA(_xlpm.r,OR(_xlpm.r))),FALSE)</f>
        <v>1</v>
      </c>
      <c r="AF1028" s="38" t="b" cm="1">
        <f t="array" ref="AF1028">IFERROR(_xlfn.BYROW(TRACK_TYPES[[#This Row],[TRACK_TYPE_NARROW_GAUGE_RAILTYPE_OHLE]:[TRACK_TYPE_NARROW_GAUGE_RAILTYPE_NONE]],_xlfn.LAMBDA(_xlpm.r,OR(_xlpm.r))),FALSE)</f>
        <v>0</v>
      </c>
      <c r="AG1028" s="38" t="b" cm="1">
        <f t="array" ref="AG1028">IFERROR(_xlfn.BYROW(TRACK_TYPES[[#This Row],[TRACK_TYPE_BROAD_GAUGE_RAILTYPE_OHLE]:[TRACK_TYPE_BROAD_GAUGE_RAILTYPE_NONE]],_xlfn.LAMBDA(_xlpm.r,OR(_xlpm.r))),FALSE)</f>
        <v>0</v>
      </c>
      <c r="AH10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9" spans="1:34" x14ac:dyDescent="0.35">
      <c r="A1029" s="2" t="s">
        <v>3596</v>
      </c>
      <c r="B1029" s="40" t="str">
        <f>_xlfn.XLOOKUP(PROPERTIES[[#This Row],[VEHIDCODE]],CONTROL[VEHIDCODE],CONTROL[ENGLISH])</f>
        <v>ACF New York Central Heavyweight MU</v>
      </c>
      <c r="H1029" t="b">
        <v>1</v>
      </c>
      <c r="AC1029" s="2"/>
      <c r="AD1029" s="2" t="b">
        <f>LEN(_xlfn.CONCAT(TRACK_TYPES[[#This Row],[TRACK_TYPE_STANDARD_GAUGE_RAILTYPE_OHLE]:[TRACK_TYPE_MTRO]]))&gt;0</f>
        <v>1</v>
      </c>
      <c r="AE1029" s="38" t="b" cm="1">
        <f t="array" ref="AE1029">IFERROR(_xlfn.BYROW(TRACK_TYPES[[#This Row],[TRACK_TYPE_STANDARD_GAUGE_RAILTYPE_OHLE]:[TRACK_TYPE_STANDARD_GAUGE_RAILTYPE_NONE]],_xlfn.LAMBDA(_xlpm.r,OR(_xlpm.r))),FALSE)</f>
        <v>1</v>
      </c>
      <c r="AF1029" s="38" t="b" cm="1">
        <f t="array" ref="AF1029">IFERROR(_xlfn.BYROW(TRACK_TYPES[[#This Row],[TRACK_TYPE_NARROW_GAUGE_RAILTYPE_OHLE]:[TRACK_TYPE_NARROW_GAUGE_RAILTYPE_NONE]],_xlfn.LAMBDA(_xlpm.r,OR(_xlpm.r))),FALSE)</f>
        <v>0</v>
      </c>
      <c r="AG1029" s="38" t="b" cm="1">
        <f t="array" ref="AG1029">IFERROR(_xlfn.BYROW(TRACK_TYPES[[#This Row],[TRACK_TYPE_BROAD_GAUGE_RAILTYPE_OHLE]:[TRACK_TYPE_BROAD_GAUGE_RAILTYPE_NONE]],_xlfn.LAMBDA(_xlpm.r,OR(_xlpm.r))),FALSE)</f>
        <v>0</v>
      </c>
      <c r="AH10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0" spans="1:34" x14ac:dyDescent="0.35">
      <c r="A1030" s="2" t="s">
        <v>3598</v>
      </c>
      <c r="B1030" s="40" t="str">
        <f>_xlfn.XLOOKUP(PROPERTIES[[#This Row],[VEHIDCODE]],CONTROL[VEHIDCODE],CONTROL[ENGLISH])</f>
        <v>Goerlitz Articulated Double Decker Coach</v>
      </c>
      <c r="J1030" s="2" t="b">
        <v>1</v>
      </c>
      <c r="R1030" s="2" t="b">
        <v>1</v>
      </c>
      <c r="Z1030" s="2" t="b">
        <v>1</v>
      </c>
      <c r="AC1030" s="2"/>
      <c r="AD1030" s="2" t="b">
        <f>LEN(_xlfn.CONCAT(TRACK_TYPES[[#This Row],[TRACK_TYPE_STANDARD_GAUGE_RAILTYPE_OHLE]:[TRACK_TYPE_MTRO]]))&gt;0</f>
        <v>1</v>
      </c>
      <c r="AE1030" s="38" t="b" cm="1">
        <f t="array" ref="AE1030">IFERROR(_xlfn.BYROW(TRACK_TYPES[[#This Row],[TRACK_TYPE_STANDARD_GAUGE_RAILTYPE_OHLE]:[TRACK_TYPE_STANDARD_GAUGE_RAILTYPE_NONE]],_xlfn.LAMBDA(_xlpm.r,OR(_xlpm.r))),FALSE)</f>
        <v>1</v>
      </c>
      <c r="AF1030" s="38" t="b" cm="1">
        <f t="array" ref="AF1030">IFERROR(_xlfn.BYROW(TRACK_TYPES[[#This Row],[TRACK_TYPE_NARROW_GAUGE_RAILTYPE_OHLE]:[TRACK_TYPE_NARROW_GAUGE_RAILTYPE_NONE]],_xlfn.LAMBDA(_xlpm.r,OR(_xlpm.r))),FALSE)</f>
        <v>1</v>
      </c>
      <c r="AG1030" s="38" t="b" cm="1">
        <f t="array" ref="AG1030">IFERROR(_xlfn.BYROW(TRACK_TYPES[[#This Row],[TRACK_TYPE_BROAD_GAUGE_RAILTYPE_OHLE]:[TRACK_TYPE_BROAD_GAUGE_RAILTYPE_NONE]],_xlfn.LAMBDA(_xlpm.r,OR(_xlpm.r))),FALSE)</f>
        <v>1</v>
      </c>
      <c r="AH10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1" spans="1:34" x14ac:dyDescent="0.35">
      <c r="A1031" s="2" t="s">
        <v>3603</v>
      </c>
      <c r="B1031" s="40" t="str">
        <f>_xlfn.XLOOKUP(PROPERTIES[[#This Row],[VEHIDCODE]],CONTROL[VEHIDCODE],CONTROL[ENGLISH])</f>
        <v>PRR MP54</v>
      </c>
      <c r="H1031" t="b">
        <v>1</v>
      </c>
      <c r="AC1031" s="2"/>
      <c r="AD1031" s="2" t="b">
        <f>LEN(_xlfn.CONCAT(TRACK_TYPES[[#This Row],[TRACK_TYPE_STANDARD_GAUGE_RAILTYPE_OHLE]:[TRACK_TYPE_MTRO]]))&gt;0</f>
        <v>1</v>
      </c>
      <c r="AE1031" s="38" t="b" cm="1">
        <f t="array" ref="AE1031">IFERROR(_xlfn.BYROW(TRACK_TYPES[[#This Row],[TRACK_TYPE_STANDARD_GAUGE_RAILTYPE_OHLE]:[TRACK_TYPE_STANDARD_GAUGE_RAILTYPE_NONE]],_xlfn.LAMBDA(_xlpm.r,OR(_xlpm.r))),FALSE)</f>
        <v>1</v>
      </c>
      <c r="AF1031" s="38" t="b" cm="1">
        <f t="array" ref="AF1031">IFERROR(_xlfn.BYROW(TRACK_TYPES[[#This Row],[TRACK_TYPE_NARROW_GAUGE_RAILTYPE_OHLE]:[TRACK_TYPE_NARROW_GAUGE_RAILTYPE_NONE]],_xlfn.LAMBDA(_xlpm.r,OR(_xlpm.r))),FALSE)</f>
        <v>0</v>
      </c>
      <c r="AG1031" s="38" t="b" cm="1">
        <f t="array" ref="AG1031">IFERROR(_xlfn.BYROW(TRACK_TYPES[[#This Row],[TRACK_TYPE_BROAD_GAUGE_RAILTYPE_OHLE]:[TRACK_TYPE_BROAD_GAUGE_RAILTYPE_NONE]],_xlfn.LAMBDA(_xlpm.r,OR(_xlpm.r))),FALSE)</f>
        <v>0</v>
      </c>
      <c r="AH10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2" spans="1:34" x14ac:dyDescent="0.35">
      <c r="A1032" s="2" t="s">
        <v>3604</v>
      </c>
      <c r="B1032" s="40" t="str">
        <f>_xlfn.XLOOKUP(PROPERTIES[[#This Row],[VEHIDCODE]],CONTROL[VEHIDCODE],CONTROL[ENGLISH])</f>
        <v>PRR MP54</v>
      </c>
      <c r="E1032" t="b">
        <v>1</v>
      </c>
      <c r="AC1032" s="2"/>
      <c r="AD1032" s="2" t="b">
        <f>LEN(_xlfn.CONCAT(TRACK_TYPES[[#This Row],[TRACK_TYPE_STANDARD_GAUGE_RAILTYPE_OHLE]:[TRACK_TYPE_MTRO]]))&gt;0</f>
        <v>1</v>
      </c>
      <c r="AE1032" s="38" t="b" cm="1">
        <f t="array" ref="AE1032">IFERROR(_xlfn.BYROW(TRACK_TYPES[[#This Row],[TRACK_TYPE_STANDARD_GAUGE_RAILTYPE_OHLE]:[TRACK_TYPE_STANDARD_GAUGE_RAILTYPE_NONE]],_xlfn.LAMBDA(_xlpm.r,OR(_xlpm.r))),FALSE)</f>
        <v>1</v>
      </c>
      <c r="AF1032" s="38" t="b" cm="1">
        <f t="array" ref="AF1032">IFERROR(_xlfn.BYROW(TRACK_TYPES[[#This Row],[TRACK_TYPE_NARROW_GAUGE_RAILTYPE_OHLE]:[TRACK_TYPE_NARROW_GAUGE_RAILTYPE_NONE]],_xlfn.LAMBDA(_xlpm.r,OR(_xlpm.r))),FALSE)</f>
        <v>0</v>
      </c>
      <c r="AG1032" s="38" t="b" cm="1">
        <f t="array" ref="AG1032">IFERROR(_xlfn.BYROW(TRACK_TYPES[[#This Row],[TRACK_TYPE_BROAD_GAUGE_RAILTYPE_OHLE]:[TRACK_TYPE_BROAD_GAUGE_RAILTYPE_NONE]],_xlfn.LAMBDA(_xlpm.r,OR(_xlpm.r))),FALSE)</f>
        <v>0</v>
      </c>
      <c r="AH10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3" spans="1:34" x14ac:dyDescent="0.35">
      <c r="A1033" s="2" t="s">
        <v>3606</v>
      </c>
      <c r="B1033" s="40" t="str">
        <f>_xlfn.XLOOKUP(PROPERTIES[[#This Row],[VEHIDCODE]],CONTROL[VEHIDCODE],CONTROL[ENGLISH])</f>
        <v>PRR P54 Commuter Coach</v>
      </c>
      <c r="J1033" s="2" t="b">
        <v>1</v>
      </c>
      <c r="AC1033" s="2"/>
      <c r="AD1033" s="2" t="b">
        <f>LEN(_xlfn.CONCAT(TRACK_TYPES[[#This Row],[TRACK_TYPE_STANDARD_GAUGE_RAILTYPE_OHLE]:[TRACK_TYPE_MTRO]]))&gt;0</f>
        <v>1</v>
      </c>
      <c r="AE1033" s="38" t="b" cm="1">
        <f t="array" ref="AE1033">IFERROR(_xlfn.BYROW(TRACK_TYPES[[#This Row],[TRACK_TYPE_STANDARD_GAUGE_RAILTYPE_OHLE]:[TRACK_TYPE_STANDARD_GAUGE_RAILTYPE_NONE]],_xlfn.LAMBDA(_xlpm.r,OR(_xlpm.r))),FALSE)</f>
        <v>1</v>
      </c>
      <c r="AF1033" s="38" t="b" cm="1">
        <f t="array" ref="AF1033">IFERROR(_xlfn.BYROW(TRACK_TYPES[[#This Row],[TRACK_TYPE_NARROW_GAUGE_RAILTYPE_OHLE]:[TRACK_TYPE_NARROW_GAUGE_RAILTYPE_NONE]],_xlfn.LAMBDA(_xlpm.r,OR(_xlpm.r))),FALSE)</f>
        <v>0</v>
      </c>
      <c r="AG1033" s="38" t="b" cm="1">
        <f t="array" ref="AG1033">IFERROR(_xlfn.BYROW(TRACK_TYPES[[#This Row],[TRACK_TYPE_BROAD_GAUGE_RAILTYPE_OHLE]:[TRACK_TYPE_BROAD_GAUGE_RAILTYPE_NONE]],_xlfn.LAMBDA(_xlpm.r,OR(_xlpm.r))),FALSE)</f>
        <v>0</v>
      </c>
      <c r="AH10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4" spans="1:34" x14ac:dyDescent="0.35">
      <c r="A1034" s="2" t="s">
        <v>3605</v>
      </c>
      <c r="B1034" s="40" t="str">
        <f>_xlfn.XLOOKUP(PROPERTIES[[#This Row],[VEHIDCODE]],CONTROL[VEHIDCODE],CONTROL[ENGLISH])</f>
        <v>PRR P54 Mail Coach</v>
      </c>
      <c r="J1034" s="2" t="b">
        <v>1</v>
      </c>
      <c r="AC1034" s="2"/>
      <c r="AD1034" s="2" t="b">
        <f>LEN(_xlfn.CONCAT(TRACK_TYPES[[#This Row],[TRACK_TYPE_STANDARD_GAUGE_RAILTYPE_OHLE]:[TRACK_TYPE_MTRO]]))&gt;0</f>
        <v>1</v>
      </c>
      <c r="AE1034" s="38" t="b" cm="1">
        <f t="array" ref="AE1034">IFERROR(_xlfn.BYROW(TRACK_TYPES[[#This Row],[TRACK_TYPE_STANDARD_GAUGE_RAILTYPE_OHLE]:[TRACK_TYPE_STANDARD_GAUGE_RAILTYPE_NONE]],_xlfn.LAMBDA(_xlpm.r,OR(_xlpm.r))),FALSE)</f>
        <v>1</v>
      </c>
      <c r="AF1034" s="38" t="b" cm="1">
        <f t="array" ref="AF1034">IFERROR(_xlfn.BYROW(TRACK_TYPES[[#This Row],[TRACK_TYPE_NARROW_GAUGE_RAILTYPE_OHLE]:[TRACK_TYPE_NARROW_GAUGE_RAILTYPE_NONE]],_xlfn.LAMBDA(_xlpm.r,OR(_xlpm.r))),FALSE)</f>
        <v>0</v>
      </c>
      <c r="AG1034" s="38" t="b" cm="1">
        <f t="array" ref="AG1034">IFERROR(_xlfn.BYROW(TRACK_TYPES[[#This Row],[TRACK_TYPE_BROAD_GAUGE_RAILTYPE_OHLE]:[TRACK_TYPE_BROAD_GAUGE_RAILTYPE_NONE]],_xlfn.LAMBDA(_xlpm.r,OR(_xlpm.r))),FALSE)</f>
        <v>0</v>
      </c>
      <c r="AH10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5" spans="1:34" x14ac:dyDescent="0.35">
      <c r="A1035" s="2" t="s">
        <v>3612</v>
      </c>
      <c r="B1035" s="40" t="str">
        <f>_xlfn.XLOOKUP(PROPERTIES[[#This Row],[VEHIDCODE]],CONTROL[VEHIDCODE],CONTROL[ENGLISH])</f>
        <v>PRR P70 Bilevel Coach</v>
      </c>
      <c r="J1035" s="2" t="b">
        <v>1</v>
      </c>
      <c r="AC1035" s="2"/>
      <c r="AD1035" s="2" t="b">
        <f>LEN(_xlfn.CONCAT(TRACK_TYPES[[#This Row],[TRACK_TYPE_STANDARD_GAUGE_RAILTYPE_OHLE]:[TRACK_TYPE_MTRO]]))&gt;0</f>
        <v>1</v>
      </c>
      <c r="AE1035" s="38" t="b" cm="1">
        <f t="array" ref="AE1035">IFERROR(_xlfn.BYROW(TRACK_TYPES[[#This Row],[TRACK_TYPE_STANDARD_GAUGE_RAILTYPE_OHLE]:[TRACK_TYPE_STANDARD_GAUGE_RAILTYPE_NONE]],_xlfn.LAMBDA(_xlpm.r,OR(_xlpm.r))),FALSE)</f>
        <v>1</v>
      </c>
      <c r="AF1035" s="38" t="b" cm="1">
        <f t="array" ref="AF1035">IFERROR(_xlfn.BYROW(TRACK_TYPES[[#This Row],[TRACK_TYPE_NARROW_GAUGE_RAILTYPE_OHLE]:[TRACK_TYPE_NARROW_GAUGE_RAILTYPE_NONE]],_xlfn.LAMBDA(_xlpm.r,OR(_xlpm.r))),FALSE)</f>
        <v>0</v>
      </c>
      <c r="AG1035" s="38" t="b" cm="1">
        <f t="array" ref="AG1035">IFERROR(_xlfn.BYROW(TRACK_TYPES[[#This Row],[TRACK_TYPE_BROAD_GAUGE_RAILTYPE_OHLE]:[TRACK_TYPE_BROAD_GAUGE_RAILTYPE_NONE]],_xlfn.LAMBDA(_xlpm.r,OR(_xlpm.r))),FALSE)</f>
        <v>0</v>
      </c>
      <c r="AH10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6" spans="1:34" x14ac:dyDescent="0.35">
      <c r="A1036" s="2" t="s">
        <v>3614</v>
      </c>
      <c r="B1036" s="40" t="str">
        <f>_xlfn.XLOOKUP(PROPERTIES[[#This Row],[VEHIDCODE]],CONTROL[VEHIDCODE],CONTROL[ENGLISH])</f>
        <v>LTZ 2TE10M</v>
      </c>
      <c r="Z1036" s="2" t="b">
        <v>1</v>
      </c>
      <c r="AC1036" s="2"/>
      <c r="AD1036" s="2" t="b">
        <f>LEN(_xlfn.CONCAT(TRACK_TYPES[[#This Row],[TRACK_TYPE_STANDARD_GAUGE_RAILTYPE_OHLE]:[TRACK_TYPE_MTRO]]))&gt;0</f>
        <v>1</v>
      </c>
      <c r="AE1036" s="38" t="b" cm="1">
        <f t="array" ref="AE1036">IFERROR(_xlfn.BYROW(TRACK_TYPES[[#This Row],[TRACK_TYPE_STANDARD_GAUGE_RAILTYPE_OHLE]:[TRACK_TYPE_STANDARD_GAUGE_RAILTYPE_NONE]],_xlfn.LAMBDA(_xlpm.r,OR(_xlpm.r))),FALSE)</f>
        <v>0</v>
      </c>
      <c r="AF1036" s="38" t="b" cm="1">
        <f t="array" ref="AF1036">IFERROR(_xlfn.BYROW(TRACK_TYPES[[#This Row],[TRACK_TYPE_NARROW_GAUGE_RAILTYPE_OHLE]:[TRACK_TYPE_NARROW_GAUGE_RAILTYPE_NONE]],_xlfn.LAMBDA(_xlpm.r,OR(_xlpm.r))),FALSE)</f>
        <v>0</v>
      </c>
      <c r="AG1036" s="38" t="b" cm="1">
        <f t="array" ref="AG1036">IFERROR(_xlfn.BYROW(TRACK_TYPES[[#This Row],[TRACK_TYPE_BROAD_GAUGE_RAILTYPE_OHLE]:[TRACK_TYPE_BROAD_GAUGE_RAILTYPE_NONE]],_xlfn.LAMBDA(_xlpm.r,OR(_xlpm.r))),FALSE)</f>
        <v>1</v>
      </c>
      <c r="AH10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37" spans="1:34" x14ac:dyDescent="0.35">
      <c r="A1037" s="2" t="s">
        <v>3615</v>
      </c>
      <c r="B1037" s="40" t="str">
        <f>_xlfn.XLOOKUP(PROPERTIES[[#This Row],[VEHIDCODE]],CONTROL[VEHIDCODE],CONTROL[ENGLISH])</f>
        <v>LTZ 2TE126</v>
      </c>
      <c r="Z1037" s="2" t="b">
        <v>1</v>
      </c>
      <c r="AC1037" s="2"/>
      <c r="AD1037" s="2" t="b">
        <f>LEN(_xlfn.CONCAT(TRACK_TYPES[[#This Row],[TRACK_TYPE_STANDARD_GAUGE_RAILTYPE_OHLE]:[TRACK_TYPE_MTRO]]))&gt;0</f>
        <v>1</v>
      </c>
      <c r="AE1037" s="38" t="b" cm="1">
        <f t="array" ref="AE1037">IFERROR(_xlfn.BYROW(TRACK_TYPES[[#This Row],[TRACK_TYPE_STANDARD_GAUGE_RAILTYPE_OHLE]:[TRACK_TYPE_STANDARD_GAUGE_RAILTYPE_NONE]],_xlfn.LAMBDA(_xlpm.r,OR(_xlpm.r))),FALSE)</f>
        <v>0</v>
      </c>
      <c r="AF1037" s="38" t="b" cm="1">
        <f t="array" ref="AF1037">IFERROR(_xlfn.BYROW(TRACK_TYPES[[#This Row],[TRACK_TYPE_NARROW_GAUGE_RAILTYPE_OHLE]:[TRACK_TYPE_NARROW_GAUGE_RAILTYPE_NONE]],_xlfn.LAMBDA(_xlpm.r,OR(_xlpm.r))),FALSE)</f>
        <v>0</v>
      </c>
      <c r="AG1037" s="38" t="b" cm="1">
        <f t="array" ref="AG1037">IFERROR(_xlfn.BYROW(TRACK_TYPES[[#This Row],[TRACK_TYPE_BROAD_GAUGE_RAILTYPE_OHLE]:[TRACK_TYPE_BROAD_GAUGE_RAILTYPE_NONE]],_xlfn.LAMBDA(_xlpm.r,OR(_xlpm.r))),FALSE)</f>
        <v>1</v>
      </c>
      <c r="AH10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38" spans="1:34" x14ac:dyDescent="0.35">
      <c r="A1038" s="2" t="s">
        <v>3616</v>
      </c>
      <c r="B1038" s="40" t="str">
        <f>_xlfn.XLOOKUP(PROPERTIES[[#This Row],[VEHIDCODE]],CONTROL[VEHIDCODE],CONTROL[ENGLISH])</f>
        <v>LTZ 2TE10Ut</v>
      </c>
      <c r="Z1038" s="2" t="b">
        <v>1</v>
      </c>
      <c r="AC1038" s="2"/>
      <c r="AD1038" s="2" t="b">
        <f>LEN(_xlfn.CONCAT(TRACK_TYPES[[#This Row],[TRACK_TYPE_STANDARD_GAUGE_RAILTYPE_OHLE]:[TRACK_TYPE_MTRO]]))&gt;0</f>
        <v>1</v>
      </c>
      <c r="AE1038" s="38" t="b" cm="1">
        <f t="array" ref="AE1038">IFERROR(_xlfn.BYROW(TRACK_TYPES[[#This Row],[TRACK_TYPE_STANDARD_GAUGE_RAILTYPE_OHLE]:[TRACK_TYPE_STANDARD_GAUGE_RAILTYPE_NONE]],_xlfn.LAMBDA(_xlpm.r,OR(_xlpm.r))),FALSE)</f>
        <v>0</v>
      </c>
      <c r="AF1038" s="38" t="b" cm="1">
        <f t="array" ref="AF1038">IFERROR(_xlfn.BYROW(TRACK_TYPES[[#This Row],[TRACK_TYPE_NARROW_GAUGE_RAILTYPE_OHLE]:[TRACK_TYPE_NARROW_GAUGE_RAILTYPE_NONE]],_xlfn.LAMBDA(_xlpm.r,OR(_xlpm.r))),FALSE)</f>
        <v>0</v>
      </c>
      <c r="AG1038" s="38" t="b" cm="1">
        <f t="array" ref="AG1038">IFERROR(_xlfn.BYROW(TRACK_TYPES[[#This Row],[TRACK_TYPE_BROAD_GAUGE_RAILTYPE_OHLE]:[TRACK_TYPE_BROAD_GAUGE_RAILTYPE_NONE]],_xlfn.LAMBDA(_xlpm.r,OR(_xlpm.r))),FALSE)</f>
        <v>1</v>
      </c>
      <c r="AH10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39" spans="1:34" x14ac:dyDescent="0.35">
      <c r="A1039" t="s">
        <v>3656</v>
      </c>
      <c r="B1039" s="40" t="str">
        <f>_xlfn.XLOOKUP(PROPERTIES[[#This Row],[VEHIDCODE]],CONTROL[VEHIDCODE],CONTROL[ENGLISH])</f>
        <v>Faur A20D-P</v>
      </c>
      <c r="R1039" s="2" t="b">
        <v>1</v>
      </c>
      <c r="AC1039" s="2"/>
      <c r="AD1039" s="2" t="b">
        <f>LEN(_xlfn.CONCAT(TRACK_TYPES[[#This Row],[TRACK_TYPE_STANDARD_GAUGE_RAILTYPE_OHLE]:[TRACK_TYPE_MTRO]]))&gt;0</f>
        <v>1</v>
      </c>
      <c r="AE1039" s="38" t="b" cm="1">
        <f t="array" ref="AE1039">IFERROR(_xlfn.BYROW(TRACK_TYPES[[#This Row],[TRACK_TYPE_STANDARD_GAUGE_RAILTYPE_OHLE]:[TRACK_TYPE_STANDARD_GAUGE_RAILTYPE_NONE]],_xlfn.LAMBDA(_xlpm.r,OR(_xlpm.r))),FALSE)</f>
        <v>0</v>
      </c>
      <c r="AF1039" s="38" t="b" cm="1">
        <f t="array" ref="AF1039">IFERROR(_xlfn.BYROW(TRACK_TYPES[[#This Row],[TRACK_TYPE_NARROW_GAUGE_RAILTYPE_OHLE]:[TRACK_TYPE_NARROW_GAUGE_RAILTYPE_NONE]],_xlfn.LAMBDA(_xlpm.r,OR(_xlpm.r))),FALSE)</f>
        <v>1</v>
      </c>
      <c r="AG1039" s="38" t="b" cm="1">
        <f t="array" ref="AG1039">IFERROR(_xlfn.BYROW(TRACK_TYPES[[#This Row],[TRACK_TYPE_BROAD_GAUGE_RAILTYPE_OHLE]:[TRACK_TYPE_BROAD_GAUGE_RAILTYPE_NONE]],_xlfn.LAMBDA(_xlpm.r,OR(_xlpm.r))),FALSE)</f>
        <v>0</v>
      </c>
      <c r="AH10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40" spans="1:34" x14ac:dyDescent="0.35">
      <c r="A1040" s="2" t="s">
        <v>3619</v>
      </c>
      <c r="B1040" s="40" t="str">
        <f>_xlfn.XLOOKUP(PROPERTIES[[#This Row],[VEHIDCODE]],CONTROL[VEHIDCODE],CONTROL[ENGLISH])</f>
        <v>Faur A20D-P Trailer</v>
      </c>
      <c r="R1040" s="2" t="b">
        <v>1</v>
      </c>
      <c r="AC1040" s="2"/>
      <c r="AD1040" s="2" t="b">
        <f>LEN(_xlfn.CONCAT(TRACK_TYPES[[#This Row],[TRACK_TYPE_STANDARD_GAUGE_RAILTYPE_OHLE]:[TRACK_TYPE_MTRO]]))&gt;0</f>
        <v>1</v>
      </c>
      <c r="AE1040" s="38" t="b" cm="1">
        <f t="array" ref="AE1040">IFERROR(_xlfn.BYROW(TRACK_TYPES[[#This Row],[TRACK_TYPE_STANDARD_GAUGE_RAILTYPE_OHLE]:[TRACK_TYPE_STANDARD_GAUGE_RAILTYPE_NONE]],_xlfn.LAMBDA(_xlpm.r,OR(_xlpm.r))),FALSE)</f>
        <v>0</v>
      </c>
      <c r="AF1040" s="38" t="b" cm="1">
        <f t="array" ref="AF1040">IFERROR(_xlfn.BYROW(TRACK_TYPES[[#This Row],[TRACK_TYPE_NARROW_GAUGE_RAILTYPE_OHLE]:[TRACK_TYPE_NARROW_GAUGE_RAILTYPE_NONE]],_xlfn.LAMBDA(_xlpm.r,OR(_xlpm.r))),FALSE)</f>
        <v>1</v>
      </c>
      <c r="AG1040" s="38" t="b" cm="1">
        <f t="array" ref="AG1040">IFERROR(_xlfn.BYROW(TRACK_TYPES[[#This Row],[TRACK_TYPE_BROAD_GAUGE_RAILTYPE_OHLE]:[TRACK_TYPE_BROAD_GAUGE_RAILTYPE_NONE]],_xlfn.LAMBDA(_xlpm.r,OR(_xlpm.r))),FALSE)</f>
        <v>0</v>
      </c>
      <c r="AH10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41" spans="1:34" x14ac:dyDescent="0.35">
      <c r="A1041" s="2" t="s">
        <v>3621</v>
      </c>
      <c r="B1041" s="40" t="str">
        <f>_xlfn.XLOOKUP(PROPERTIES[[#This Row],[VEHIDCODE]],CONTROL[VEHIDCODE],CONTROL[ENGLISH])</f>
        <v>Faur L45H</v>
      </c>
      <c r="R1041" s="2" t="b">
        <v>1</v>
      </c>
      <c r="AC1041" s="2"/>
      <c r="AD1041" s="2" t="b">
        <f>LEN(_xlfn.CONCAT(TRACK_TYPES[[#This Row],[TRACK_TYPE_STANDARD_GAUGE_RAILTYPE_OHLE]:[TRACK_TYPE_MTRO]]))&gt;0</f>
        <v>1</v>
      </c>
      <c r="AE1041" s="38" t="b" cm="1">
        <f t="array" ref="AE1041">IFERROR(_xlfn.BYROW(TRACK_TYPES[[#This Row],[TRACK_TYPE_STANDARD_GAUGE_RAILTYPE_OHLE]:[TRACK_TYPE_STANDARD_GAUGE_RAILTYPE_NONE]],_xlfn.LAMBDA(_xlpm.r,OR(_xlpm.r))),FALSE)</f>
        <v>0</v>
      </c>
      <c r="AF1041" s="38" t="b" cm="1">
        <f t="array" ref="AF1041">IFERROR(_xlfn.BYROW(TRACK_TYPES[[#This Row],[TRACK_TYPE_NARROW_GAUGE_RAILTYPE_OHLE]:[TRACK_TYPE_NARROW_GAUGE_RAILTYPE_NONE]],_xlfn.LAMBDA(_xlpm.r,OR(_xlpm.r))),FALSE)</f>
        <v>1</v>
      </c>
      <c r="AG1041" s="38" t="b" cm="1">
        <f t="array" ref="AG1041">IFERROR(_xlfn.BYROW(TRACK_TYPES[[#This Row],[TRACK_TYPE_BROAD_GAUGE_RAILTYPE_OHLE]:[TRACK_TYPE_BROAD_GAUGE_RAILTYPE_NONE]],_xlfn.LAMBDA(_xlpm.r,OR(_xlpm.r))),FALSE)</f>
        <v>0</v>
      </c>
      <c r="AH10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42" spans="1:34" x14ac:dyDescent="0.35">
      <c r="A1042" s="2" t="s">
        <v>3625</v>
      </c>
      <c r="B1042" s="40" t="str">
        <f>_xlfn.XLOOKUP(PROPERTIES[[#This Row],[VEHIDCODE]],CONTROL[VEHIDCODE],CONTROL[ENGLISH])</f>
        <v>Pafawag 3Aw</v>
      </c>
      <c r="R1042" s="2" t="b">
        <v>1</v>
      </c>
      <c r="AC1042" s="2"/>
      <c r="AD1042" s="2" t="b">
        <f>LEN(_xlfn.CONCAT(TRACK_TYPES[[#This Row],[TRACK_TYPE_STANDARD_GAUGE_RAILTYPE_OHLE]:[TRACK_TYPE_MTRO]]))&gt;0</f>
        <v>1</v>
      </c>
      <c r="AE1042" s="38" t="b" cm="1">
        <f t="array" ref="AE1042">IFERROR(_xlfn.BYROW(TRACK_TYPES[[#This Row],[TRACK_TYPE_STANDARD_GAUGE_RAILTYPE_OHLE]:[TRACK_TYPE_STANDARD_GAUGE_RAILTYPE_NONE]],_xlfn.LAMBDA(_xlpm.r,OR(_xlpm.r))),FALSE)</f>
        <v>0</v>
      </c>
      <c r="AF1042" s="38" t="b" cm="1">
        <f t="array" ref="AF1042">IFERROR(_xlfn.BYROW(TRACK_TYPES[[#This Row],[TRACK_TYPE_NARROW_GAUGE_RAILTYPE_OHLE]:[TRACK_TYPE_NARROW_GAUGE_RAILTYPE_NONE]],_xlfn.LAMBDA(_xlpm.r,OR(_xlpm.r))),FALSE)</f>
        <v>1</v>
      </c>
      <c r="AG1042" s="38" t="b" cm="1">
        <f t="array" ref="AG1042">IFERROR(_xlfn.BYROW(TRACK_TYPES[[#This Row],[TRACK_TYPE_BROAD_GAUGE_RAILTYPE_OHLE]:[TRACK_TYPE_BROAD_GAUGE_RAILTYPE_NONE]],_xlfn.LAMBDA(_xlpm.r,OR(_xlpm.r))),FALSE)</f>
        <v>0</v>
      </c>
      <c r="AH10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43" spans="1:34" x14ac:dyDescent="0.35">
      <c r="A1043" s="2" t="s">
        <v>3627</v>
      </c>
      <c r="B1043" s="40" t="str">
        <f>_xlfn.XLOOKUP(PROPERTIES[[#This Row],[VEHIDCODE]],CONTROL[VEHIDCODE],CONTROL[ENGLISH])</f>
        <v>KMZ TU7/TGM40</v>
      </c>
      <c r="J1043" s="2" t="b">
        <v>1</v>
      </c>
      <c r="R1043" s="2" t="b">
        <v>1</v>
      </c>
      <c r="Z1043" s="2" t="b">
        <v>1</v>
      </c>
      <c r="AC1043" s="2"/>
      <c r="AD1043" s="2" t="b">
        <f>LEN(_xlfn.CONCAT(TRACK_TYPES[[#This Row],[TRACK_TYPE_STANDARD_GAUGE_RAILTYPE_OHLE]:[TRACK_TYPE_MTRO]]))&gt;0</f>
        <v>1</v>
      </c>
      <c r="AE1043" s="38" t="b" cm="1">
        <f t="array" ref="AE1043">IFERROR(_xlfn.BYROW(TRACK_TYPES[[#This Row],[TRACK_TYPE_STANDARD_GAUGE_RAILTYPE_OHLE]:[TRACK_TYPE_STANDARD_GAUGE_RAILTYPE_NONE]],_xlfn.LAMBDA(_xlpm.r,OR(_xlpm.r))),FALSE)</f>
        <v>1</v>
      </c>
      <c r="AF1043" s="38" t="b" cm="1">
        <f t="array" ref="AF1043">IFERROR(_xlfn.BYROW(TRACK_TYPES[[#This Row],[TRACK_TYPE_NARROW_GAUGE_RAILTYPE_OHLE]:[TRACK_TYPE_NARROW_GAUGE_RAILTYPE_NONE]],_xlfn.LAMBDA(_xlpm.r,OR(_xlpm.r))),FALSE)</f>
        <v>1</v>
      </c>
      <c r="AG1043" s="38" t="b" cm="1">
        <f t="array" ref="AG1043">IFERROR(_xlfn.BYROW(TRACK_TYPES[[#This Row],[TRACK_TYPE_BROAD_GAUGE_RAILTYPE_OHLE]:[TRACK_TYPE_BROAD_GAUGE_RAILTYPE_NONE]],_xlfn.LAMBDA(_xlpm.r,OR(_xlpm.r))),FALSE)</f>
        <v>1</v>
      </c>
      <c r="AH10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4" spans="1:34" x14ac:dyDescent="0.35">
      <c r="A1044" s="2" t="s">
        <v>3632</v>
      </c>
      <c r="B1044" s="40" t="str">
        <f>_xlfn.XLOOKUP(PROPERTIES[[#This Row],[VEHIDCODE]],CONTROL[VEHIDCODE],CONTROL[ENGLISH])</f>
        <v>Alsthom CC 7100</v>
      </c>
      <c r="F1044" t="b">
        <v>1</v>
      </c>
      <c r="G1044" t="b">
        <v>1</v>
      </c>
      <c r="V1044" t="b">
        <v>1</v>
      </c>
      <c r="W1044" t="b">
        <v>1</v>
      </c>
      <c r="AC1044" s="2"/>
      <c r="AD1044" s="2" t="b">
        <f>LEN(_xlfn.CONCAT(TRACK_TYPES[[#This Row],[TRACK_TYPE_STANDARD_GAUGE_RAILTYPE_OHLE]:[TRACK_TYPE_MTRO]]))&gt;0</f>
        <v>1</v>
      </c>
      <c r="AE1044" s="38" t="b" cm="1">
        <f t="array" ref="AE1044">IFERROR(_xlfn.BYROW(TRACK_TYPES[[#This Row],[TRACK_TYPE_STANDARD_GAUGE_RAILTYPE_OHLE]:[TRACK_TYPE_STANDARD_GAUGE_RAILTYPE_NONE]],_xlfn.LAMBDA(_xlpm.r,OR(_xlpm.r))),FALSE)</f>
        <v>1</v>
      </c>
      <c r="AF1044" s="38" t="b" cm="1">
        <f t="array" ref="AF1044">IFERROR(_xlfn.BYROW(TRACK_TYPES[[#This Row],[TRACK_TYPE_NARROW_GAUGE_RAILTYPE_OHLE]:[TRACK_TYPE_NARROW_GAUGE_RAILTYPE_NONE]],_xlfn.LAMBDA(_xlpm.r,OR(_xlpm.r))),FALSE)</f>
        <v>0</v>
      </c>
      <c r="AG1044" s="38" t="b" cm="1">
        <f t="array" ref="AG1044">IFERROR(_xlfn.BYROW(TRACK_TYPES[[#This Row],[TRACK_TYPE_BROAD_GAUGE_RAILTYPE_OHLE]:[TRACK_TYPE_BROAD_GAUGE_RAILTYPE_NONE]],_xlfn.LAMBDA(_xlpm.r,OR(_xlpm.r))),FALSE)</f>
        <v>1</v>
      </c>
      <c r="AH10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5" spans="1:34" x14ac:dyDescent="0.35">
      <c r="A1045" s="2" t="s">
        <v>3630</v>
      </c>
      <c r="B1045" s="40" t="str">
        <f>_xlfn.XLOOKUP(PROPERTIES[[#This Row],[VEHIDCODE]],CONTROL[VEHIDCODE],CONTROL[ENGLISH])</f>
        <v>Alsthom F Series</v>
      </c>
      <c r="D1045" t="b">
        <v>1</v>
      </c>
      <c r="T1045" t="b">
        <v>1</v>
      </c>
      <c r="AC1045" s="2"/>
      <c r="AD1045" s="2" t="b">
        <f>LEN(_xlfn.CONCAT(TRACK_TYPES[[#This Row],[TRACK_TYPE_STANDARD_GAUGE_RAILTYPE_OHLE]:[TRACK_TYPE_MTRO]]))&gt;0</f>
        <v>1</v>
      </c>
      <c r="AE1045" s="38" t="b" cm="1">
        <f t="array" ref="AE1045">IFERROR(_xlfn.BYROW(TRACK_TYPES[[#This Row],[TRACK_TYPE_STANDARD_GAUGE_RAILTYPE_OHLE]:[TRACK_TYPE_STANDARD_GAUGE_RAILTYPE_NONE]],_xlfn.LAMBDA(_xlpm.r,OR(_xlpm.r))),FALSE)</f>
        <v>1</v>
      </c>
      <c r="AF1045" s="38" t="b" cm="1">
        <f t="array" ref="AF1045">IFERROR(_xlfn.BYROW(TRACK_TYPES[[#This Row],[TRACK_TYPE_NARROW_GAUGE_RAILTYPE_OHLE]:[TRACK_TYPE_NARROW_GAUGE_RAILTYPE_NONE]],_xlfn.LAMBDA(_xlpm.r,OR(_xlpm.r))),FALSE)</f>
        <v>0</v>
      </c>
      <c r="AG1045" s="38" t="b" cm="1">
        <f t="array" ref="AG1045">IFERROR(_xlfn.BYROW(TRACK_TYPES[[#This Row],[TRACK_TYPE_BROAD_GAUGE_RAILTYPE_OHLE]:[TRACK_TYPE_BROAD_GAUGE_RAILTYPE_NONE]],_xlfn.LAMBDA(_xlpm.r,OR(_xlpm.r))),FALSE)</f>
        <v>1</v>
      </c>
      <c r="AH10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6" spans="1:34" x14ac:dyDescent="0.35">
      <c r="A1046" s="2" t="s">
        <v>3676</v>
      </c>
      <c r="B1046" s="40" t="str">
        <f>_xlfn.XLOOKUP(PROPERTIES[[#This Row],[VEHIDCODE]],CONTROL[VEHIDCODE],CONTROL[ENGLISH])</f>
        <v>Siemens Vectron MS</v>
      </c>
      <c r="C1046" t="b">
        <v>1</v>
      </c>
      <c r="T1046" t="b">
        <v>1</v>
      </c>
      <c r="AC1046" s="2"/>
      <c r="AD1046" s="2" t="b">
        <f>LEN(_xlfn.CONCAT(TRACK_TYPES[[#This Row],[TRACK_TYPE_STANDARD_GAUGE_RAILTYPE_OHLE]:[TRACK_TYPE_MTRO]]))&gt;0</f>
        <v>1</v>
      </c>
      <c r="AE1046" s="38" t="b" cm="1">
        <f t="array" ref="AE1046">IFERROR(_xlfn.BYROW(TRACK_TYPES[[#This Row],[TRACK_TYPE_STANDARD_GAUGE_RAILTYPE_OHLE]:[TRACK_TYPE_STANDARD_GAUGE_RAILTYPE_NONE]],_xlfn.LAMBDA(_xlpm.r,OR(_xlpm.r))),FALSE)</f>
        <v>1</v>
      </c>
      <c r="AF1046" s="38" t="b" cm="1">
        <f t="array" ref="AF1046">IFERROR(_xlfn.BYROW(TRACK_TYPES[[#This Row],[TRACK_TYPE_NARROW_GAUGE_RAILTYPE_OHLE]:[TRACK_TYPE_NARROW_GAUGE_RAILTYPE_NONE]],_xlfn.LAMBDA(_xlpm.r,OR(_xlpm.r))),FALSE)</f>
        <v>0</v>
      </c>
      <c r="AG1046" s="38" t="b" cm="1">
        <f t="array" ref="AG1046">IFERROR(_xlfn.BYROW(TRACK_TYPES[[#This Row],[TRACK_TYPE_BROAD_GAUGE_RAILTYPE_OHLE]:[TRACK_TYPE_BROAD_GAUGE_RAILTYPE_NONE]],_xlfn.LAMBDA(_xlpm.r,OR(_xlpm.r))),FALSE)</f>
        <v>1</v>
      </c>
      <c r="AH10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7" spans="1:34" x14ac:dyDescent="0.35">
      <c r="A1047" s="2" t="s">
        <v>3641</v>
      </c>
      <c r="B1047" s="40" t="str">
        <f>_xlfn.XLOOKUP(PROPERTIES[[#This Row],[VEHIDCODE]],CONTROL[VEHIDCODE],CONTROL[ENGLISH])</f>
        <v>Siemens Vectron DE</v>
      </c>
      <c r="J1047" s="2" t="b">
        <v>1</v>
      </c>
      <c r="AC1047" s="2"/>
      <c r="AD1047" s="2" t="b">
        <f>LEN(_xlfn.CONCAT(TRACK_TYPES[[#This Row],[TRACK_TYPE_STANDARD_GAUGE_RAILTYPE_OHLE]:[TRACK_TYPE_MTRO]]))&gt;0</f>
        <v>1</v>
      </c>
      <c r="AE1047" s="38" t="b" cm="1">
        <f t="array" ref="AE1047">IFERROR(_xlfn.BYROW(TRACK_TYPES[[#This Row],[TRACK_TYPE_STANDARD_GAUGE_RAILTYPE_OHLE]:[TRACK_TYPE_STANDARD_GAUGE_RAILTYPE_NONE]],_xlfn.LAMBDA(_xlpm.r,OR(_xlpm.r))),FALSE)</f>
        <v>1</v>
      </c>
      <c r="AF1047" s="38" t="b" cm="1">
        <f t="array" ref="AF1047">IFERROR(_xlfn.BYROW(TRACK_TYPES[[#This Row],[TRACK_TYPE_NARROW_GAUGE_RAILTYPE_OHLE]:[TRACK_TYPE_NARROW_GAUGE_RAILTYPE_NONE]],_xlfn.LAMBDA(_xlpm.r,OR(_xlpm.r))),FALSE)</f>
        <v>0</v>
      </c>
      <c r="AG1047" s="38" t="b" cm="1">
        <f t="array" ref="AG1047">IFERROR(_xlfn.BYROW(TRACK_TYPES[[#This Row],[TRACK_TYPE_BROAD_GAUGE_RAILTYPE_OHLE]:[TRACK_TYPE_BROAD_GAUGE_RAILTYPE_NONE]],_xlfn.LAMBDA(_xlpm.r,OR(_xlpm.r))),FALSE)</f>
        <v>0</v>
      </c>
      <c r="AH10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8" spans="1:34" x14ac:dyDescent="0.35">
      <c r="A1048" s="2" t="s">
        <v>3638</v>
      </c>
      <c r="B1048" s="40" t="str">
        <f>_xlfn.XLOOKUP(PROPERTIES[[#This Row],[VEHIDCODE]],CONTROL[VEHIDCODE],CONTROL[ENGLISH])</f>
        <v>Siemens Vectron Dual Mode</v>
      </c>
      <c r="E1048" t="b">
        <v>1</v>
      </c>
      <c r="J1048" s="2" t="b">
        <v>1</v>
      </c>
      <c r="AC1048" s="2"/>
      <c r="AD1048" s="2" t="b">
        <f>LEN(_xlfn.CONCAT(TRACK_TYPES[[#This Row],[TRACK_TYPE_STANDARD_GAUGE_RAILTYPE_OHLE]:[TRACK_TYPE_MTRO]]))&gt;0</f>
        <v>1</v>
      </c>
      <c r="AE1048" s="38" t="b" cm="1">
        <f t="array" ref="AE1048">IFERROR(_xlfn.BYROW(TRACK_TYPES[[#This Row],[TRACK_TYPE_STANDARD_GAUGE_RAILTYPE_OHLE]:[TRACK_TYPE_STANDARD_GAUGE_RAILTYPE_NONE]],_xlfn.LAMBDA(_xlpm.r,OR(_xlpm.r))),FALSE)</f>
        <v>1</v>
      </c>
      <c r="AF1048" s="38" t="b" cm="1">
        <f t="array" ref="AF1048">IFERROR(_xlfn.BYROW(TRACK_TYPES[[#This Row],[TRACK_TYPE_NARROW_GAUGE_RAILTYPE_OHLE]:[TRACK_TYPE_NARROW_GAUGE_RAILTYPE_NONE]],_xlfn.LAMBDA(_xlpm.r,OR(_xlpm.r))),FALSE)</f>
        <v>0</v>
      </c>
      <c r="AG1048" s="38" t="b" cm="1">
        <f t="array" ref="AG1048">IFERROR(_xlfn.BYROW(TRACK_TYPES[[#This Row],[TRACK_TYPE_BROAD_GAUGE_RAILTYPE_OHLE]:[TRACK_TYPE_BROAD_GAUGE_RAILTYPE_NONE]],_xlfn.LAMBDA(_xlpm.r,OR(_xlpm.r))),FALSE)</f>
        <v>0</v>
      </c>
      <c r="AH10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9" spans="1:34" x14ac:dyDescent="0.35">
      <c r="A1049" s="2" t="s">
        <v>3659</v>
      </c>
      <c r="B1049" s="40" t="str">
        <f>_xlfn.XLOOKUP(PROPERTIES[[#This Row],[VEHIDCODE]],CONTROL[VEHIDCODE],CONTROL[ENGLISH])</f>
        <v>Tours/Chapelon 2-12-0 SNCF 160A</v>
      </c>
      <c r="J1049" s="2" t="b">
        <v>1</v>
      </c>
      <c r="AC1049" s="2"/>
      <c r="AD1049" s="2" t="b">
        <f>LEN(_xlfn.CONCAT(TRACK_TYPES[[#This Row],[TRACK_TYPE_STANDARD_GAUGE_RAILTYPE_OHLE]:[TRACK_TYPE_MTRO]]))&gt;0</f>
        <v>1</v>
      </c>
      <c r="AE1049" s="38" t="b" cm="1">
        <f t="array" ref="AE1049">IFERROR(_xlfn.BYROW(TRACK_TYPES[[#This Row],[TRACK_TYPE_STANDARD_GAUGE_RAILTYPE_OHLE]:[TRACK_TYPE_STANDARD_GAUGE_RAILTYPE_NONE]],_xlfn.LAMBDA(_xlpm.r,OR(_xlpm.r))),FALSE)</f>
        <v>1</v>
      </c>
      <c r="AF1049" s="38" t="b" cm="1">
        <f t="array" ref="AF1049">IFERROR(_xlfn.BYROW(TRACK_TYPES[[#This Row],[TRACK_TYPE_NARROW_GAUGE_RAILTYPE_OHLE]:[TRACK_TYPE_NARROW_GAUGE_RAILTYPE_NONE]],_xlfn.LAMBDA(_xlpm.r,OR(_xlpm.r))),FALSE)</f>
        <v>0</v>
      </c>
      <c r="AG1049" s="38" t="b" cm="1">
        <f t="array" ref="AG1049">IFERROR(_xlfn.BYROW(TRACK_TYPES[[#This Row],[TRACK_TYPE_BROAD_GAUGE_RAILTYPE_OHLE]:[TRACK_TYPE_BROAD_GAUGE_RAILTYPE_NONE]],_xlfn.LAMBDA(_xlpm.r,OR(_xlpm.r))),FALSE)</f>
        <v>0</v>
      </c>
      <c r="AH10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50" spans="1:34" x14ac:dyDescent="0.35">
      <c r="A1050" s="2" t="s">
        <v>3674</v>
      </c>
      <c r="B1050" s="40" t="str">
        <f>_xlfn.XLOOKUP(PROPERTIES[[#This Row],[VEHIDCODE]],CONTROL[VEHIDCODE],CONTROL[ENGLISH])</f>
        <v>LTZ 2TE116</v>
      </c>
      <c r="J1050" s="2" t="b">
        <v>1</v>
      </c>
      <c r="Z1050" s="2" t="b">
        <v>1</v>
      </c>
      <c r="AC1050" s="2"/>
      <c r="AD1050" s="2" t="b">
        <f>LEN(_xlfn.CONCAT(TRACK_TYPES[[#This Row],[TRACK_TYPE_STANDARD_GAUGE_RAILTYPE_OHLE]:[TRACK_TYPE_MTRO]]))&gt;0</f>
        <v>1</v>
      </c>
      <c r="AE1050" s="38" t="b" cm="1">
        <f t="array" ref="AE1050">IFERROR(_xlfn.BYROW(TRACK_TYPES[[#This Row],[TRACK_TYPE_STANDARD_GAUGE_RAILTYPE_OHLE]:[TRACK_TYPE_STANDARD_GAUGE_RAILTYPE_NONE]],_xlfn.LAMBDA(_xlpm.r,OR(_xlpm.r))),FALSE)</f>
        <v>1</v>
      </c>
      <c r="AF1050" s="38" t="b" cm="1">
        <f t="array" ref="AF1050">IFERROR(_xlfn.BYROW(TRACK_TYPES[[#This Row],[TRACK_TYPE_NARROW_GAUGE_RAILTYPE_OHLE]:[TRACK_TYPE_NARROW_GAUGE_RAILTYPE_NONE]],_xlfn.LAMBDA(_xlpm.r,OR(_xlpm.r))),FALSE)</f>
        <v>0</v>
      </c>
      <c r="AG1050" s="38" t="b" cm="1">
        <f t="array" ref="AG1050">IFERROR(_xlfn.BYROW(TRACK_TYPES[[#This Row],[TRACK_TYPE_BROAD_GAUGE_RAILTYPE_OHLE]:[TRACK_TYPE_BROAD_GAUGE_RAILTYPE_NONE]],_xlfn.LAMBDA(_xlpm.r,OR(_xlpm.r))),FALSE)</f>
        <v>1</v>
      </c>
      <c r="AH10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51" spans="1:34" x14ac:dyDescent="0.35">
      <c r="A1051" s="2" t="s">
        <v>3700</v>
      </c>
      <c r="B1051" s="40" t="str">
        <f>_xlfn.XLOOKUP(PROPERTIES[[#This Row],[VEHIDCODE]],CONTROL[VEHIDCODE],CONTROL[ENGLISH])</f>
        <v>Ganz-MAVAG SN61</v>
      </c>
      <c r="J1051" s="2" t="b">
        <v>1</v>
      </c>
      <c r="AC1051" s="2"/>
      <c r="AD1051" s="2" t="b">
        <f>LEN(_xlfn.CONCAT(TRACK_TYPES[[#This Row],[TRACK_TYPE_STANDARD_GAUGE_RAILTYPE_OHLE]:[TRACK_TYPE_MTRO]]))&gt;0</f>
        <v>1</v>
      </c>
      <c r="AE1051" s="38" t="b" cm="1">
        <f t="array" ref="AE1051">IFERROR(_xlfn.BYROW(TRACK_TYPES[[#This Row],[TRACK_TYPE_STANDARD_GAUGE_RAILTYPE_OHLE]:[TRACK_TYPE_STANDARD_GAUGE_RAILTYPE_NONE]],_xlfn.LAMBDA(_xlpm.r,OR(_xlpm.r))),FALSE)</f>
        <v>1</v>
      </c>
      <c r="AF1051" s="38" t="b" cm="1">
        <f t="array" ref="AF1051">IFERROR(_xlfn.BYROW(TRACK_TYPES[[#This Row],[TRACK_TYPE_NARROW_GAUGE_RAILTYPE_OHLE]:[TRACK_TYPE_NARROW_GAUGE_RAILTYPE_NONE]],_xlfn.LAMBDA(_xlpm.r,OR(_xlpm.r))),FALSE)</f>
        <v>0</v>
      </c>
      <c r="AG1051" s="38" t="b" cm="1">
        <f t="array" ref="AG1051">IFERROR(_xlfn.BYROW(TRACK_TYPES[[#This Row],[TRACK_TYPE_BROAD_GAUGE_RAILTYPE_OHLE]:[TRACK_TYPE_BROAD_GAUGE_RAILTYPE_NONE]],_xlfn.LAMBDA(_xlpm.r,OR(_xlpm.r))),FALSE)</f>
        <v>0</v>
      </c>
      <c r="AH10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</sheetData>
  <phoneticPr fontId="18" type="noConversion"/>
  <conditionalFormatting sqref="A892:A894">
    <cfRule type="expression" dxfId="39" priority="9">
      <formula>$Q892=TRUE</formula>
    </cfRule>
  </conditionalFormatting>
  <conditionalFormatting sqref="A892:A940">
    <cfRule type="containsText" dxfId="38" priority="10" operator="containsText" text=" ">
      <formula>NOT(ISERROR(SEARCH(" ",A892)))</formula>
    </cfRule>
  </conditionalFormatting>
  <conditionalFormatting sqref="A942:A943">
    <cfRule type="containsText" dxfId="37" priority="116" operator="containsText" text=" ">
      <formula>NOT(ISERROR(SEARCH(" ",A942)))</formula>
    </cfRule>
  </conditionalFormatting>
  <conditionalFormatting sqref="A946:A950">
    <cfRule type="containsText" dxfId="36" priority="112" operator="containsText" text=" ">
      <formula>NOT(ISERROR(SEARCH(" ",A946)))</formula>
    </cfRule>
  </conditionalFormatting>
  <conditionalFormatting sqref="A952:A953">
    <cfRule type="containsText" dxfId="35" priority="110" operator="containsText" text=" ">
      <formula>NOT(ISERROR(SEARCH(" ",A952)))</formula>
    </cfRule>
  </conditionalFormatting>
  <conditionalFormatting sqref="A956:A971">
    <cfRule type="containsText" dxfId="34" priority="94" operator="containsText" text=" ">
      <formula>NOT(ISERROR(SEARCH(" ",A956)))</formula>
    </cfRule>
  </conditionalFormatting>
  <conditionalFormatting sqref="A974:A977">
    <cfRule type="containsText" dxfId="33" priority="90" operator="containsText" text=" ">
      <formula>NOT(ISERROR(SEARCH(" ",A974)))</formula>
    </cfRule>
  </conditionalFormatting>
  <conditionalFormatting sqref="A979:A982">
    <cfRule type="containsText" dxfId="32" priority="86" operator="containsText" text=" ">
      <formula>NOT(ISERROR(SEARCH(" ",A979)))</formula>
    </cfRule>
  </conditionalFormatting>
  <conditionalFormatting sqref="A985:A986">
    <cfRule type="containsText" dxfId="31" priority="84" operator="containsText" text=" ">
      <formula>NOT(ISERROR(SEARCH(" ",A985)))</formula>
    </cfRule>
  </conditionalFormatting>
  <conditionalFormatting sqref="A988:A991">
    <cfRule type="containsText" dxfId="30" priority="80" operator="containsText" text=" ">
      <formula>NOT(ISERROR(SEARCH(" ",A988)))</formula>
    </cfRule>
  </conditionalFormatting>
  <conditionalFormatting sqref="A994:A1029">
    <cfRule type="containsText" dxfId="29" priority="44" operator="containsText" text=" ">
      <formula>NOT(ISERROR(SEARCH(" ",A994)))</formula>
    </cfRule>
  </conditionalFormatting>
  <conditionalFormatting sqref="A1031:A1051">
    <cfRule type="containsText" dxfId="28" priority="2" operator="containsText" text=" ">
      <formula>NOT(ISERROR(SEARCH(" ",A1031)))</formula>
    </cfRule>
  </conditionalFormatting>
  <conditionalFormatting sqref="A1050">
    <cfRule type="expression" dxfId="27" priority="31">
      <formula>$AT1050=TRUE</formula>
    </cfRule>
  </conditionalFormatting>
  <conditionalFormatting sqref="A1050:A1051">
    <cfRule type="expression" dxfId="26" priority="1">
      <formula>$Q1050=TRUE</formula>
    </cfRule>
  </conditionalFormatting>
  <conditionalFormatting sqref="AD1:AD1048576 AH790:AH1048576">
    <cfRule type="cellIs" dxfId="25" priority="173" operator="equal">
      <formula>FALSE</formula>
    </cfRule>
  </conditionalFormatting>
  <conditionalFormatting sqref="AE1:AG1048576">
    <cfRule type="containsText" dxfId="24" priority="56" operator="containsText" text="FALSE">
      <formula>NOT(ISERROR(SEARCH("FALSE",AE1)))</formula>
    </cfRule>
  </conditionalFormatting>
  <conditionalFormatting sqref="AH1">
    <cfRule type="cellIs" dxfId="23" priority="167" operator="equal">
      <formula>FALSE</formula>
    </cfRule>
  </conditionalFormatting>
  <dataValidations count="3">
    <dataValidation type="list" allowBlank="1" showInputMessage="1" showErrorMessage="1" sqref="AH1:AH1048" xr:uid="{EC4349E3-C487-430F-83F0-23452C883BE8}">
      <formula1>"NORMAL,NARROW,BROAD,MAGLEV,UNKNOWN"</formula1>
    </dataValidation>
    <dataValidation type="list" allowBlank="1" showInputMessage="1" showErrorMessage="1" sqref="AI790:AI1048576 AM790:AQ1048576 AH1049:AH1048576 C1:AC1048576" xr:uid="{49A9B598-B8DB-4809-AD01-29B98BDBD5F7}">
      <formula1>"TRUE"</formula1>
    </dataValidation>
    <dataValidation type="list" allowBlank="1" showInputMessage="1" showErrorMessage="1" sqref="AD1:AG1048576" xr:uid="{7AB49E35-08DC-466A-928C-04B87A19C8AA}">
      <formula1>"TRUE,FALSE"</formula1>
    </dataValidation>
  </dataValidations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EB9F-B0AB-4A56-94E3-48F3F306C5B5}">
  <dimension ref="A1:L1244"/>
  <sheetViews>
    <sheetView zoomScaleNormal="100" workbookViewId="0">
      <pane xSplit="1" ySplit="1" topLeftCell="B1035" activePane="bottomRight" state="frozen"/>
      <selection activeCell="Q19" sqref="Q19"/>
      <selection pane="topRight" activeCell="Q19" sqref="Q19"/>
      <selection pane="bottomLeft" activeCell="Q19" sqref="Q19"/>
      <selection pane="bottomRight" activeCell="D1051" sqref="D1051"/>
    </sheetView>
  </sheetViews>
  <sheetFormatPr defaultRowHeight="14.5" x14ac:dyDescent="0.35"/>
  <cols>
    <col min="1" max="1" width="54.6328125" bestFit="1" customWidth="1"/>
    <col min="2" max="5" width="9" customWidth="1"/>
    <col min="9" max="10" width="18.26953125" bestFit="1" customWidth="1"/>
    <col min="11" max="11" width="22.26953125" bestFit="1" customWidth="1"/>
    <col min="12" max="12" width="19.1796875" style="6" bestFit="1" customWidth="1"/>
    <col min="13" max="13" width="23.7265625" bestFit="1" customWidth="1"/>
    <col min="14" max="14" width="26.7265625" bestFit="1" customWidth="1"/>
    <col min="15" max="15" width="26.90625" bestFit="1" customWidth="1"/>
    <col min="16" max="16" width="19" bestFit="1" customWidth="1"/>
    <col min="17" max="17" width="25.1796875" bestFit="1" customWidth="1"/>
    <col min="18" max="18" width="20.6328125" bestFit="1" customWidth="1"/>
    <col min="19" max="19" width="11.1796875" customWidth="1"/>
    <col min="20" max="21" width="21.36328125" customWidth="1"/>
    <col min="22" max="22" width="20.90625" bestFit="1" customWidth="1"/>
    <col min="23" max="23" width="18.90625" bestFit="1" customWidth="1"/>
    <col min="25" max="27" width="11.1796875" customWidth="1"/>
    <col min="28" max="28" width="11.54296875" bestFit="1" customWidth="1"/>
  </cols>
  <sheetData>
    <row r="1" spans="1:12" s="1" customFormat="1" ht="44.15" customHeight="1" x14ac:dyDescent="0.35">
      <c r="A1" s="1" t="s">
        <v>0</v>
      </c>
      <c r="B1" s="1" t="s">
        <v>69</v>
      </c>
      <c r="C1" s="1" t="s">
        <v>522</v>
      </c>
      <c r="D1" s="1" t="s">
        <v>504</v>
      </c>
      <c r="E1" s="1" t="s">
        <v>514</v>
      </c>
    </row>
    <row r="2" spans="1:12" x14ac:dyDescent="0.35">
      <c r="A2" t="s">
        <v>71</v>
      </c>
      <c r="B2">
        <v>0</v>
      </c>
      <c r="C2" t="s">
        <v>523</v>
      </c>
      <c r="D2" t="s">
        <v>506</v>
      </c>
      <c r="E2" t="s">
        <v>520</v>
      </c>
      <c r="L2"/>
    </row>
    <row r="3" spans="1:12" x14ac:dyDescent="0.35">
      <c r="A3" t="s">
        <v>72</v>
      </c>
      <c r="B3">
        <v>0</v>
      </c>
      <c r="C3" t="s">
        <v>523</v>
      </c>
      <c r="D3" t="s">
        <v>506</v>
      </c>
      <c r="E3" t="s">
        <v>520</v>
      </c>
      <c r="L3"/>
    </row>
    <row r="4" spans="1:12" x14ac:dyDescent="0.35">
      <c r="A4" t="s">
        <v>2649</v>
      </c>
      <c r="B4">
        <v>-3</v>
      </c>
      <c r="C4" t="s">
        <v>523</v>
      </c>
      <c r="D4" t="s">
        <v>506</v>
      </c>
      <c r="E4" t="s">
        <v>516</v>
      </c>
      <c r="L4"/>
    </row>
    <row r="5" spans="1:12" x14ac:dyDescent="0.35">
      <c r="A5" t="s">
        <v>2650</v>
      </c>
      <c r="B5">
        <v>-3</v>
      </c>
      <c r="C5" t="s">
        <v>523</v>
      </c>
      <c r="D5" t="s">
        <v>513</v>
      </c>
      <c r="E5" t="s">
        <v>517</v>
      </c>
      <c r="L5"/>
    </row>
    <row r="6" spans="1:12" x14ac:dyDescent="0.35">
      <c r="A6" t="s">
        <v>2651</v>
      </c>
      <c r="B6">
        <v>0</v>
      </c>
      <c r="C6" t="s">
        <v>523</v>
      </c>
      <c r="D6" t="s">
        <v>513</v>
      </c>
      <c r="E6" t="s">
        <v>517</v>
      </c>
      <c r="L6"/>
    </row>
    <row r="7" spans="1:12" x14ac:dyDescent="0.35">
      <c r="A7" t="s">
        <v>2652</v>
      </c>
      <c r="B7">
        <v>0</v>
      </c>
      <c r="C7" t="s">
        <v>523</v>
      </c>
      <c r="D7" t="s">
        <v>513</v>
      </c>
      <c r="E7" t="s">
        <v>517</v>
      </c>
      <c r="L7"/>
    </row>
    <row r="8" spans="1:12" x14ac:dyDescent="0.35">
      <c r="A8" t="s">
        <v>2653</v>
      </c>
      <c r="B8">
        <v>0</v>
      </c>
      <c r="C8" t="s">
        <v>523</v>
      </c>
      <c r="D8" t="s">
        <v>506</v>
      </c>
      <c r="E8" t="s">
        <v>516</v>
      </c>
      <c r="L8"/>
    </row>
    <row r="9" spans="1:12" x14ac:dyDescent="0.35">
      <c r="A9" t="s">
        <v>2654</v>
      </c>
      <c r="B9">
        <v>0</v>
      </c>
      <c r="C9" t="s">
        <v>523</v>
      </c>
      <c r="D9" t="s">
        <v>508</v>
      </c>
      <c r="E9" t="s">
        <v>516</v>
      </c>
      <c r="L9"/>
    </row>
    <row r="10" spans="1:12" x14ac:dyDescent="0.35">
      <c r="A10" t="s">
        <v>2655</v>
      </c>
      <c r="B10">
        <v>0</v>
      </c>
      <c r="C10" t="s">
        <v>523</v>
      </c>
      <c r="D10" t="s">
        <v>513</v>
      </c>
      <c r="E10" t="s">
        <v>517</v>
      </c>
      <c r="L10"/>
    </row>
    <row r="11" spans="1:12" x14ac:dyDescent="0.35">
      <c r="A11" t="s">
        <v>2656</v>
      </c>
      <c r="B11">
        <v>-3</v>
      </c>
      <c r="C11" t="s">
        <v>523</v>
      </c>
      <c r="D11" t="s">
        <v>513</v>
      </c>
      <c r="E11" t="s">
        <v>517</v>
      </c>
      <c r="L11"/>
    </row>
    <row r="12" spans="1:12" x14ac:dyDescent="0.35">
      <c r="A12" t="s">
        <v>2657</v>
      </c>
      <c r="B12">
        <v>-3</v>
      </c>
      <c r="C12" t="s">
        <v>523</v>
      </c>
      <c r="D12" t="s">
        <v>506</v>
      </c>
      <c r="E12" t="s">
        <v>516</v>
      </c>
      <c r="L12"/>
    </row>
    <row r="13" spans="1:12" x14ac:dyDescent="0.35">
      <c r="A13" t="s">
        <v>2658</v>
      </c>
      <c r="B13">
        <v>-3</v>
      </c>
      <c r="C13" t="s">
        <v>523</v>
      </c>
      <c r="D13" t="s">
        <v>506</v>
      </c>
      <c r="E13" t="s">
        <v>516</v>
      </c>
      <c r="L13"/>
    </row>
    <row r="14" spans="1:12" x14ac:dyDescent="0.35">
      <c r="A14" t="s">
        <v>2659</v>
      </c>
      <c r="B14">
        <v>-3</v>
      </c>
      <c r="C14" t="s">
        <v>523</v>
      </c>
      <c r="D14" t="s">
        <v>506</v>
      </c>
      <c r="E14" t="s">
        <v>516</v>
      </c>
      <c r="L14"/>
    </row>
    <row r="15" spans="1:12" x14ac:dyDescent="0.35">
      <c r="A15" t="s">
        <v>2660</v>
      </c>
      <c r="B15">
        <v>-3</v>
      </c>
      <c r="C15" t="s">
        <v>523</v>
      </c>
      <c r="D15" t="s">
        <v>506</v>
      </c>
      <c r="E15" t="s">
        <v>516</v>
      </c>
      <c r="L15"/>
    </row>
    <row r="16" spans="1:12" x14ac:dyDescent="0.35">
      <c r="A16" t="s">
        <v>2661</v>
      </c>
      <c r="B16">
        <v>-3</v>
      </c>
      <c r="C16" t="s">
        <v>523</v>
      </c>
      <c r="D16" t="s">
        <v>506</v>
      </c>
      <c r="E16" t="s">
        <v>516</v>
      </c>
      <c r="L16"/>
    </row>
    <row r="17" spans="1:12" x14ac:dyDescent="0.35">
      <c r="A17" t="s">
        <v>2662</v>
      </c>
      <c r="B17">
        <v>-3</v>
      </c>
      <c r="C17" t="s">
        <v>523</v>
      </c>
      <c r="D17" t="s">
        <v>506</v>
      </c>
      <c r="E17" t="s">
        <v>516</v>
      </c>
      <c r="L17"/>
    </row>
    <row r="18" spans="1:12" x14ac:dyDescent="0.35">
      <c r="A18" t="s">
        <v>2663</v>
      </c>
      <c r="B18">
        <v>-3</v>
      </c>
      <c r="C18" t="s">
        <v>523</v>
      </c>
      <c r="D18" t="s">
        <v>506</v>
      </c>
      <c r="E18" t="s">
        <v>516</v>
      </c>
      <c r="L18"/>
    </row>
    <row r="19" spans="1:12" x14ac:dyDescent="0.35">
      <c r="A19" t="s">
        <v>2664</v>
      </c>
      <c r="B19">
        <v>-3</v>
      </c>
      <c r="C19" t="s">
        <v>523</v>
      </c>
      <c r="D19" t="s">
        <v>506</v>
      </c>
      <c r="E19" t="s">
        <v>516</v>
      </c>
      <c r="L19"/>
    </row>
    <row r="20" spans="1:12" x14ac:dyDescent="0.35">
      <c r="A20" t="s">
        <v>2665</v>
      </c>
      <c r="B20">
        <v>-3</v>
      </c>
      <c r="C20" t="s">
        <v>523</v>
      </c>
      <c r="D20" t="s">
        <v>506</v>
      </c>
      <c r="E20" t="s">
        <v>516</v>
      </c>
      <c r="L20"/>
    </row>
    <row r="21" spans="1:12" x14ac:dyDescent="0.35">
      <c r="A21" t="s">
        <v>2666</v>
      </c>
      <c r="B21">
        <v>-3</v>
      </c>
      <c r="C21" t="s">
        <v>523</v>
      </c>
      <c r="D21" t="s">
        <v>506</v>
      </c>
      <c r="E21" t="s">
        <v>516</v>
      </c>
      <c r="L21"/>
    </row>
    <row r="22" spans="1:12" x14ac:dyDescent="0.35">
      <c r="A22" t="s">
        <v>2667</v>
      </c>
      <c r="B22">
        <v>-3</v>
      </c>
      <c r="C22" t="s">
        <v>523</v>
      </c>
      <c r="D22" t="s">
        <v>506</v>
      </c>
      <c r="E22" t="s">
        <v>516</v>
      </c>
      <c r="L22"/>
    </row>
    <row r="23" spans="1:12" x14ac:dyDescent="0.35">
      <c r="A23" t="s">
        <v>2668</v>
      </c>
      <c r="B23">
        <v>-3</v>
      </c>
      <c r="C23" t="s">
        <v>523</v>
      </c>
      <c r="D23" t="s">
        <v>506</v>
      </c>
      <c r="E23" t="s">
        <v>516</v>
      </c>
      <c r="L23"/>
    </row>
    <row r="24" spans="1:12" x14ac:dyDescent="0.35">
      <c r="A24" t="s">
        <v>2669</v>
      </c>
      <c r="B24">
        <v>-3</v>
      </c>
      <c r="C24" t="s">
        <v>523</v>
      </c>
      <c r="D24" t="s">
        <v>506</v>
      </c>
      <c r="E24" t="s">
        <v>516</v>
      </c>
      <c r="L24"/>
    </row>
    <row r="25" spans="1:12" x14ac:dyDescent="0.35">
      <c r="A25" t="s">
        <v>2670</v>
      </c>
      <c r="B25">
        <v>-3</v>
      </c>
      <c r="C25" t="s">
        <v>523</v>
      </c>
      <c r="D25" t="s">
        <v>506</v>
      </c>
      <c r="E25" t="s">
        <v>516</v>
      </c>
      <c r="L25"/>
    </row>
    <row r="26" spans="1:12" x14ac:dyDescent="0.35">
      <c r="A26" t="s">
        <v>2671</v>
      </c>
      <c r="B26">
        <v>-3</v>
      </c>
      <c r="C26" t="s">
        <v>523</v>
      </c>
      <c r="D26" t="s">
        <v>506</v>
      </c>
      <c r="E26" t="s">
        <v>516</v>
      </c>
      <c r="L26"/>
    </row>
    <row r="27" spans="1:12" x14ac:dyDescent="0.35">
      <c r="A27" t="s">
        <v>2672</v>
      </c>
      <c r="B27">
        <v>-3</v>
      </c>
      <c r="C27" t="s">
        <v>523</v>
      </c>
      <c r="D27" t="s">
        <v>506</v>
      </c>
      <c r="E27" t="s">
        <v>516</v>
      </c>
      <c r="L27"/>
    </row>
    <row r="28" spans="1:12" x14ac:dyDescent="0.35">
      <c r="A28" t="s">
        <v>2673</v>
      </c>
      <c r="B28">
        <v>0</v>
      </c>
      <c r="C28" t="s">
        <v>523</v>
      </c>
      <c r="D28" t="s">
        <v>506</v>
      </c>
      <c r="E28" t="s">
        <v>516</v>
      </c>
      <c r="L28"/>
    </row>
    <row r="29" spans="1:12" x14ac:dyDescent="0.35">
      <c r="A29" t="s">
        <v>2674</v>
      </c>
      <c r="B29">
        <v>0</v>
      </c>
      <c r="C29" t="s">
        <v>523</v>
      </c>
      <c r="D29" t="s">
        <v>506</v>
      </c>
      <c r="E29" t="s">
        <v>516</v>
      </c>
      <c r="L29"/>
    </row>
    <row r="30" spans="1:12" x14ac:dyDescent="0.35">
      <c r="A30" t="s">
        <v>2675</v>
      </c>
      <c r="B30">
        <v>0</v>
      </c>
      <c r="C30" t="s">
        <v>523</v>
      </c>
      <c r="D30" t="s">
        <v>509</v>
      </c>
      <c r="E30" t="s">
        <v>515</v>
      </c>
      <c r="L30"/>
    </row>
    <row r="31" spans="1:12" x14ac:dyDescent="0.35">
      <c r="A31" t="s">
        <v>2676</v>
      </c>
      <c r="B31">
        <v>0</v>
      </c>
      <c r="C31" t="s">
        <v>523</v>
      </c>
      <c r="D31" t="s">
        <v>506</v>
      </c>
      <c r="E31" t="s">
        <v>516</v>
      </c>
      <c r="L31"/>
    </row>
    <row r="32" spans="1:12" x14ac:dyDescent="0.35">
      <c r="A32" t="s">
        <v>2677</v>
      </c>
      <c r="B32">
        <v>0</v>
      </c>
      <c r="C32" t="s">
        <v>523</v>
      </c>
      <c r="D32" t="s">
        <v>506</v>
      </c>
      <c r="E32" t="s">
        <v>516</v>
      </c>
      <c r="L32"/>
    </row>
    <row r="33" spans="1:12" x14ac:dyDescent="0.35">
      <c r="A33" t="s">
        <v>2678</v>
      </c>
      <c r="B33">
        <v>0</v>
      </c>
      <c r="C33" t="s">
        <v>523</v>
      </c>
      <c r="D33" t="s">
        <v>506</v>
      </c>
      <c r="E33" t="s">
        <v>516</v>
      </c>
      <c r="L33"/>
    </row>
    <row r="34" spans="1:12" x14ac:dyDescent="0.35">
      <c r="A34" t="s">
        <v>2679</v>
      </c>
      <c r="B34">
        <v>0</v>
      </c>
      <c r="C34" t="s">
        <v>523</v>
      </c>
      <c r="D34" t="s">
        <v>506</v>
      </c>
      <c r="E34" t="s">
        <v>516</v>
      </c>
      <c r="L34"/>
    </row>
    <row r="35" spans="1:12" x14ac:dyDescent="0.35">
      <c r="A35" t="s">
        <v>2680</v>
      </c>
      <c r="B35">
        <v>0</v>
      </c>
      <c r="C35" t="s">
        <v>523</v>
      </c>
      <c r="D35" t="s">
        <v>513</v>
      </c>
      <c r="E35" t="s">
        <v>517</v>
      </c>
      <c r="L35"/>
    </row>
    <row r="36" spans="1:12" x14ac:dyDescent="0.35">
      <c r="A36" t="s">
        <v>2681</v>
      </c>
      <c r="B36">
        <v>0</v>
      </c>
      <c r="C36" t="s">
        <v>523</v>
      </c>
      <c r="D36" t="s">
        <v>506</v>
      </c>
      <c r="E36" t="s">
        <v>516</v>
      </c>
      <c r="L36"/>
    </row>
    <row r="37" spans="1:12" x14ac:dyDescent="0.35">
      <c r="A37" t="s">
        <v>2682</v>
      </c>
      <c r="B37">
        <v>0</v>
      </c>
      <c r="C37" t="s">
        <v>523</v>
      </c>
      <c r="D37" t="s">
        <v>506</v>
      </c>
      <c r="E37" t="s">
        <v>516</v>
      </c>
      <c r="L37"/>
    </row>
    <row r="38" spans="1:12" x14ac:dyDescent="0.35">
      <c r="A38" t="s">
        <v>2683</v>
      </c>
      <c r="B38">
        <v>0</v>
      </c>
      <c r="C38" t="s">
        <v>523</v>
      </c>
      <c r="D38" t="s">
        <v>506</v>
      </c>
      <c r="E38" t="s">
        <v>516</v>
      </c>
      <c r="L38"/>
    </row>
    <row r="39" spans="1:12" x14ac:dyDescent="0.35">
      <c r="A39" t="s">
        <v>2684</v>
      </c>
      <c r="B39">
        <v>0</v>
      </c>
      <c r="C39" t="s">
        <v>523</v>
      </c>
      <c r="D39" t="s">
        <v>506</v>
      </c>
      <c r="E39" t="s">
        <v>516</v>
      </c>
      <c r="L39"/>
    </row>
    <row r="40" spans="1:12" x14ac:dyDescent="0.35">
      <c r="A40" t="s">
        <v>2685</v>
      </c>
      <c r="B40">
        <v>0</v>
      </c>
      <c r="C40" t="s">
        <v>523</v>
      </c>
      <c r="D40" t="s">
        <v>506</v>
      </c>
      <c r="E40" t="s">
        <v>516</v>
      </c>
      <c r="L40"/>
    </row>
    <row r="41" spans="1:12" x14ac:dyDescent="0.35">
      <c r="A41" t="s">
        <v>2686</v>
      </c>
      <c r="B41">
        <v>0</v>
      </c>
      <c r="C41" t="s">
        <v>523</v>
      </c>
      <c r="D41" t="s">
        <v>506</v>
      </c>
      <c r="E41" t="s">
        <v>516</v>
      </c>
      <c r="L41"/>
    </row>
    <row r="42" spans="1:12" x14ac:dyDescent="0.35">
      <c r="A42" t="s">
        <v>2687</v>
      </c>
      <c r="B42">
        <v>0</v>
      </c>
      <c r="C42" t="s">
        <v>523</v>
      </c>
      <c r="D42" t="s">
        <v>506</v>
      </c>
      <c r="E42" t="s">
        <v>516</v>
      </c>
      <c r="L42"/>
    </row>
    <row r="43" spans="1:12" x14ac:dyDescent="0.35">
      <c r="A43" t="s">
        <v>2688</v>
      </c>
      <c r="B43">
        <v>0</v>
      </c>
      <c r="C43" t="s">
        <v>523</v>
      </c>
      <c r="D43" t="s">
        <v>506</v>
      </c>
      <c r="E43" t="s">
        <v>516</v>
      </c>
      <c r="L43"/>
    </row>
    <row r="44" spans="1:12" x14ac:dyDescent="0.35">
      <c r="A44" t="s">
        <v>2689</v>
      </c>
      <c r="B44">
        <v>0</v>
      </c>
      <c r="C44" t="s">
        <v>523</v>
      </c>
      <c r="D44" t="s">
        <v>506</v>
      </c>
      <c r="E44" t="s">
        <v>516</v>
      </c>
      <c r="L44"/>
    </row>
    <row r="45" spans="1:12" x14ac:dyDescent="0.35">
      <c r="A45" t="s">
        <v>2690</v>
      </c>
      <c r="B45">
        <v>0</v>
      </c>
      <c r="C45" t="s">
        <v>523</v>
      </c>
      <c r="D45" t="s">
        <v>506</v>
      </c>
      <c r="E45" t="s">
        <v>516</v>
      </c>
      <c r="L45"/>
    </row>
    <row r="46" spans="1:12" x14ac:dyDescent="0.35">
      <c r="A46" t="s">
        <v>2691</v>
      </c>
      <c r="B46">
        <v>0</v>
      </c>
      <c r="C46" t="s">
        <v>523</v>
      </c>
      <c r="D46" t="s">
        <v>506</v>
      </c>
      <c r="E46" t="s">
        <v>516</v>
      </c>
      <c r="L46"/>
    </row>
    <row r="47" spans="1:12" x14ac:dyDescent="0.35">
      <c r="A47" t="s">
        <v>2692</v>
      </c>
      <c r="B47">
        <v>0</v>
      </c>
      <c r="C47" t="s">
        <v>523</v>
      </c>
      <c r="D47" t="s">
        <v>506</v>
      </c>
      <c r="E47" t="s">
        <v>516</v>
      </c>
      <c r="L47"/>
    </row>
    <row r="48" spans="1:12" x14ac:dyDescent="0.35">
      <c r="A48" t="s">
        <v>3454</v>
      </c>
      <c r="B48">
        <v>0</v>
      </c>
      <c r="C48" t="s">
        <v>523</v>
      </c>
      <c r="D48" t="s">
        <v>506</v>
      </c>
      <c r="E48" t="s">
        <v>516</v>
      </c>
      <c r="L48"/>
    </row>
    <row r="49" spans="1:12" x14ac:dyDescent="0.35">
      <c r="A49" t="s">
        <v>2693</v>
      </c>
      <c r="B49">
        <v>0</v>
      </c>
      <c r="C49" t="s">
        <v>523</v>
      </c>
      <c r="D49" t="s">
        <v>506</v>
      </c>
      <c r="E49" t="s">
        <v>516</v>
      </c>
      <c r="L49"/>
    </row>
    <row r="50" spans="1:12" x14ac:dyDescent="0.35">
      <c r="A50" t="s">
        <v>2694</v>
      </c>
      <c r="B50">
        <v>0</v>
      </c>
      <c r="C50" t="s">
        <v>523</v>
      </c>
      <c r="D50" t="s">
        <v>506</v>
      </c>
      <c r="E50" t="s">
        <v>516</v>
      </c>
      <c r="L50"/>
    </row>
    <row r="51" spans="1:12" x14ac:dyDescent="0.35">
      <c r="A51" t="s">
        <v>2695</v>
      </c>
      <c r="B51">
        <v>0</v>
      </c>
      <c r="C51" t="s">
        <v>523</v>
      </c>
      <c r="D51" t="s">
        <v>506</v>
      </c>
      <c r="E51" t="s">
        <v>516</v>
      </c>
      <c r="L51"/>
    </row>
    <row r="52" spans="1:12" x14ac:dyDescent="0.35">
      <c r="A52" t="s">
        <v>2696</v>
      </c>
      <c r="B52">
        <v>-3</v>
      </c>
      <c r="C52" t="s">
        <v>523</v>
      </c>
      <c r="D52" t="s">
        <v>506</v>
      </c>
      <c r="E52" t="s">
        <v>516</v>
      </c>
      <c r="L52"/>
    </row>
    <row r="53" spans="1:12" x14ac:dyDescent="0.35">
      <c r="A53" t="s">
        <v>3471</v>
      </c>
      <c r="B53">
        <v>-3</v>
      </c>
      <c r="C53" t="s">
        <v>523</v>
      </c>
      <c r="D53" t="s">
        <v>506</v>
      </c>
      <c r="E53" t="s">
        <v>516</v>
      </c>
      <c r="L53"/>
    </row>
    <row r="54" spans="1:12" x14ac:dyDescent="0.35">
      <c r="A54" t="s">
        <v>2697</v>
      </c>
      <c r="B54">
        <v>0</v>
      </c>
      <c r="C54" t="s">
        <v>523</v>
      </c>
      <c r="D54" t="s">
        <v>506</v>
      </c>
      <c r="E54" t="s">
        <v>516</v>
      </c>
      <c r="L54"/>
    </row>
    <row r="55" spans="1:12" x14ac:dyDescent="0.35">
      <c r="A55" t="s">
        <v>2698</v>
      </c>
      <c r="B55">
        <v>-3</v>
      </c>
      <c r="C55" t="s">
        <v>523</v>
      </c>
      <c r="D55" t="s">
        <v>506</v>
      </c>
      <c r="E55" t="s">
        <v>516</v>
      </c>
      <c r="L55"/>
    </row>
    <row r="56" spans="1:12" x14ac:dyDescent="0.35">
      <c r="A56" t="s">
        <v>2699</v>
      </c>
      <c r="B56">
        <v>0</v>
      </c>
      <c r="C56" t="s">
        <v>523</v>
      </c>
      <c r="D56" t="s">
        <v>506</v>
      </c>
      <c r="E56" t="s">
        <v>516</v>
      </c>
      <c r="L56"/>
    </row>
    <row r="57" spans="1:12" x14ac:dyDescent="0.35">
      <c r="A57" t="s">
        <v>2700</v>
      </c>
      <c r="B57">
        <v>0</v>
      </c>
      <c r="C57" t="s">
        <v>523</v>
      </c>
      <c r="D57" t="s">
        <v>506</v>
      </c>
      <c r="E57" t="s">
        <v>516</v>
      </c>
      <c r="L57"/>
    </row>
    <row r="58" spans="1:12" x14ac:dyDescent="0.35">
      <c r="A58" t="s">
        <v>2701</v>
      </c>
      <c r="B58">
        <v>-3</v>
      </c>
      <c r="C58" t="s">
        <v>523</v>
      </c>
      <c r="D58" t="s">
        <v>506</v>
      </c>
      <c r="E58" t="s">
        <v>516</v>
      </c>
      <c r="L58"/>
    </row>
    <row r="59" spans="1:12" x14ac:dyDescent="0.35">
      <c r="A59" t="s">
        <v>2702</v>
      </c>
      <c r="B59">
        <v>0</v>
      </c>
      <c r="C59" t="s">
        <v>523</v>
      </c>
      <c r="D59" t="s">
        <v>506</v>
      </c>
      <c r="E59" t="s">
        <v>516</v>
      </c>
      <c r="L59"/>
    </row>
    <row r="60" spans="1:12" x14ac:dyDescent="0.35">
      <c r="A60" t="s">
        <v>2703</v>
      </c>
      <c r="B60">
        <v>0</v>
      </c>
      <c r="C60" t="s">
        <v>523</v>
      </c>
      <c r="D60" t="s">
        <v>506</v>
      </c>
      <c r="E60" t="s">
        <v>516</v>
      </c>
      <c r="L60"/>
    </row>
    <row r="61" spans="1:12" x14ac:dyDescent="0.35">
      <c r="A61" t="s">
        <v>2704</v>
      </c>
      <c r="B61">
        <v>0</v>
      </c>
      <c r="C61" t="s">
        <v>523</v>
      </c>
      <c r="D61" t="s">
        <v>506</v>
      </c>
      <c r="E61" t="s">
        <v>516</v>
      </c>
      <c r="L61"/>
    </row>
    <row r="62" spans="1:12" x14ac:dyDescent="0.35">
      <c r="A62" t="s">
        <v>2705</v>
      </c>
      <c r="B62">
        <v>-3</v>
      </c>
      <c r="C62" t="s">
        <v>523</v>
      </c>
      <c r="D62" t="s">
        <v>506</v>
      </c>
      <c r="E62" t="s">
        <v>516</v>
      </c>
      <c r="L62"/>
    </row>
    <row r="63" spans="1:12" x14ac:dyDescent="0.35">
      <c r="A63" t="s">
        <v>2706</v>
      </c>
      <c r="B63">
        <v>0</v>
      </c>
      <c r="C63" t="s">
        <v>523</v>
      </c>
      <c r="D63" t="s">
        <v>506</v>
      </c>
      <c r="E63" t="s">
        <v>516</v>
      </c>
      <c r="L63"/>
    </row>
    <row r="64" spans="1:12" x14ac:dyDescent="0.35">
      <c r="A64" t="s">
        <v>2707</v>
      </c>
      <c r="B64">
        <v>0</v>
      </c>
      <c r="C64" t="s">
        <v>523</v>
      </c>
      <c r="D64" t="s">
        <v>506</v>
      </c>
      <c r="E64" t="s">
        <v>516</v>
      </c>
      <c r="L64"/>
    </row>
    <row r="65" spans="1:12" x14ac:dyDescent="0.35">
      <c r="A65" t="s">
        <v>2708</v>
      </c>
      <c r="B65">
        <v>0</v>
      </c>
      <c r="C65" t="s">
        <v>523</v>
      </c>
      <c r="D65" t="s">
        <v>506</v>
      </c>
      <c r="E65" t="s">
        <v>516</v>
      </c>
      <c r="L65"/>
    </row>
    <row r="66" spans="1:12" x14ac:dyDescent="0.35">
      <c r="A66" t="s">
        <v>2709</v>
      </c>
      <c r="B66">
        <v>-3</v>
      </c>
      <c r="C66" t="s">
        <v>523</v>
      </c>
      <c r="D66" t="s">
        <v>513</v>
      </c>
      <c r="E66" t="s">
        <v>517</v>
      </c>
      <c r="L66"/>
    </row>
    <row r="67" spans="1:12" x14ac:dyDescent="0.35">
      <c r="A67" t="s">
        <v>2710</v>
      </c>
      <c r="B67">
        <v>0</v>
      </c>
      <c r="C67" t="s">
        <v>523</v>
      </c>
      <c r="D67" t="s">
        <v>513</v>
      </c>
      <c r="E67" t="s">
        <v>515</v>
      </c>
      <c r="L67"/>
    </row>
    <row r="68" spans="1:12" x14ac:dyDescent="0.35">
      <c r="A68" t="s">
        <v>2711</v>
      </c>
      <c r="B68">
        <v>-3</v>
      </c>
      <c r="C68" t="s">
        <v>523</v>
      </c>
      <c r="D68" t="s">
        <v>513</v>
      </c>
      <c r="E68" t="s">
        <v>517</v>
      </c>
      <c r="L68"/>
    </row>
    <row r="69" spans="1:12" x14ac:dyDescent="0.35">
      <c r="A69" t="s">
        <v>2712</v>
      </c>
      <c r="B69">
        <v>0</v>
      </c>
      <c r="C69" t="s">
        <v>523</v>
      </c>
      <c r="D69" t="s">
        <v>513</v>
      </c>
      <c r="E69" t="s">
        <v>515</v>
      </c>
      <c r="L69"/>
    </row>
    <row r="70" spans="1:12" x14ac:dyDescent="0.35">
      <c r="A70" t="s">
        <v>2713</v>
      </c>
      <c r="B70">
        <v>0</v>
      </c>
      <c r="C70" t="s">
        <v>523</v>
      </c>
      <c r="D70" t="s">
        <v>513</v>
      </c>
      <c r="E70" t="s">
        <v>515</v>
      </c>
      <c r="L70"/>
    </row>
    <row r="71" spans="1:12" x14ac:dyDescent="0.35">
      <c r="A71" t="s">
        <v>2714</v>
      </c>
      <c r="B71">
        <v>-3</v>
      </c>
      <c r="C71" t="s">
        <v>523</v>
      </c>
      <c r="D71" t="s">
        <v>513</v>
      </c>
      <c r="E71" t="s">
        <v>517</v>
      </c>
      <c r="L71"/>
    </row>
    <row r="72" spans="1:12" x14ac:dyDescent="0.35">
      <c r="A72" t="s">
        <v>2715</v>
      </c>
      <c r="B72">
        <v>-3</v>
      </c>
      <c r="C72" t="s">
        <v>523</v>
      </c>
      <c r="D72" t="s">
        <v>513</v>
      </c>
      <c r="E72" t="s">
        <v>517</v>
      </c>
      <c r="L72"/>
    </row>
    <row r="73" spans="1:12" x14ac:dyDescent="0.35">
      <c r="A73" t="s">
        <v>2716</v>
      </c>
      <c r="B73">
        <v>-3</v>
      </c>
      <c r="C73" t="s">
        <v>523</v>
      </c>
      <c r="D73" t="s">
        <v>513</v>
      </c>
      <c r="E73" t="s">
        <v>517</v>
      </c>
      <c r="L73"/>
    </row>
    <row r="74" spans="1:12" x14ac:dyDescent="0.35">
      <c r="A74" t="s">
        <v>2717</v>
      </c>
      <c r="B74">
        <v>0</v>
      </c>
      <c r="C74" t="s">
        <v>523</v>
      </c>
      <c r="D74" t="s">
        <v>513</v>
      </c>
      <c r="E74" t="s">
        <v>515</v>
      </c>
      <c r="L74"/>
    </row>
    <row r="75" spans="1:12" x14ac:dyDescent="0.35">
      <c r="A75" t="s">
        <v>2718</v>
      </c>
      <c r="B75">
        <v>0</v>
      </c>
      <c r="C75" t="s">
        <v>523</v>
      </c>
      <c r="D75" t="s">
        <v>513</v>
      </c>
      <c r="E75" t="s">
        <v>517</v>
      </c>
      <c r="L75"/>
    </row>
    <row r="76" spans="1:12" x14ac:dyDescent="0.35">
      <c r="A76" t="s">
        <v>2719</v>
      </c>
      <c r="B76">
        <v>0</v>
      </c>
      <c r="C76" t="s">
        <v>523</v>
      </c>
      <c r="D76" t="s">
        <v>513</v>
      </c>
      <c r="E76" t="s">
        <v>517</v>
      </c>
      <c r="L76"/>
    </row>
    <row r="77" spans="1:12" x14ac:dyDescent="0.35">
      <c r="A77" t="s">
        <v>2720</v>
      </c>
      <c r="B77">
        <v>0</v>
      </c>
      <c r="C77" t="s">
        <v>523</v>
      </c>
      <c r="D77" t="s">
        <v>513</v>
      </c>
      <c r="E77" t="s">
        <v>515</v>
      </c>
      <c r="L77"/>
    </row>
    <row r="78" spans="1:12" x14ac:dyDescent="0.35">
      <c r="A78" t="s">
        <v>3450</v>
      </c>
      <c r="B78">
        <v>-3</v>
      </c>
      <c r="C78" t="s">
        <v>523</v>
      </c>
      <c r="D78" t="s">
        <v>513</v>
      </c>
      <c r="E78" t="s">
        <v>517</v>
      </c>
      <c r="L78"/>
    </row>
    <row r="79" spans="1:12" x14ac:dyDescent="0.35">
      <c r="A79" t="s">
        <v>2721</v>
      </c>
      <c r="B79">
        <v>-3</v>
      </c>
      <c r="C79" t="s">
        <v>523</v>
      </c>
      <c r="D79" t="s">
        <v>513</v>
      </c>
      <c r="E79" t="s">
        <v>517</v>
      </c>
      <c r="L79"/>
    </row>
    <row r="80" spans="1:12" x14ac:dyDescent="0.35">
      <c r="A80" t="s">
        <v>2722</v>
      </c>
      <c r="B80">
        <v>0</v>
      </c>
      <c r="C80" t="s">
        <v>523</v>
      </c>
      <c r="D80" t="s">
        <v>513</v>
      </c>
      <c r="E80" t="s">
        <v>515</v>
      </c>
      <c r="L80"/>
    </row>
    <row r="81" spans="1:12" x14ac:dyDescent="0.35">
      <c r="A81" t="s">
        <v>2723</v>
      </c>
      <c r="B81">
        <v>0</v>
      </c>
      <c r="C81" t="s">
        <v>523</v>
      </c>
      <c r="D81" t="s">
        <v>513</v>
      </c>
      <c r="E81" t="s">
        <v>515</v>
      </c>
      <c r="L81"/>
    </row>
    <row r="82" spans="1:12" x14ac:dyDescent="0.35">
      <c r="A82" t="s">
        <v>3472</v>
      </c>
      <c r="B82">
        <v>-3</v>
      </c>
      <c r="C82" t="s">
        <v>523</v>
      </c>
      <c r="D82" t="s">
        <v>513</v>
      </c>
      <c r="E82" t="s">
        <v>517</v>
      </c>
      <c r="L82"/>
    </row>
    <row r="83" spans="1:12" x14ac:dyDescent="0.35">
      <c r="A83" t="s">
        <v>2724</v>
      </c>
      <c r="B83">
        <v>0</v>
      </c>
      <c r="C83" t="s">
        <v>523</v>
      </c>
      <c r="D83" t="s">
        <v>513</v>
      </c>
      <c r="E83" t="s">
        <v>515</v>
      </c>
      <c r="L83"/>
    </row>
    <row r="84" spans="1:12" x14ac:dyDescent="0.35">
      <c r="A84" t="s">
        <v>2725</v>
      </c>
      <c r="B84">
        <v>-3</v>
      </c>
      <c r="C84" t="s">
        <v>523</v>
      </c>
      <c r="D84" t="s">
        <v>513</v>
      </c>
      <c r="E84" t="s">
        <v>517</v>
      </c>
      <c r="L84"/>
    </row>
    <row r="85" spans="1:12" x14ac:dyDescent="0.35">
      <c r="A85" t="s">
        <v>2726</v>
      </c>
      <c r="B85">
        <v>0</v>
      </c>
      <c r="C85" t="s">
        <v>523</v>
      </c>
      <c r="D85" t="s">
        <v>513</v>
      </c>
      <c r="E85" t="s">
        <v>517</v>
      </c>
      <c r="L85"/>
    </row>
    <row r="86" spans="1:12" x14ac:dyDescent="0.35">
      <c r="A86" t="s">
        <v>2727</v>
      </c>
      <c r="B86">
        <v>0</v>
      </c>
      <c r="C86" t="s">
        <v>523</v>
      </c>
      <c r="D86" t="s">
        <v>513</v>
      </c>
      <c r="E86" t="s">
        <v>515</v>
      </c>
      <c r="L86"/>
    </row>
    <row r="87" spans="1:12" x14ac:dyDescent="0.35">
      <c r="A87" t="s">
        <v>2728</v>
      </c>
      <c r="B87">
        <v>0</v>
      </c>
      <c r="C87" t="s">
        <v>523</v>
      </c>
      <c r="D87" t="s">
        <v>513</v>
      </c>
      <c r="E87" t="s">
        <v>515</v>
      </c>
      <c r="L87"/>
    </row>
    <row r="88" spans="1:12" x14ac:dyDescent="0.35">
      <c r="A88" t="s">
        <v>2729</v>
      </c>
      <c r="B88">
        <v>0</v>
      </c>
      <c r="C88" t="s">
        <v>523</v>
      </c>
      <c r="D88" t="s">
        <v>513</v>
      </c>
      <c r="E88" t="s">
        <v>515</v>
      </c>
      <c r="L88"/>
    </row>
    <row r="89" spans="1:12" x14ac:dyDescent="0.35">
      <c r="A89" t="s">
        <v>2730</v>
      </c>
      <c r="B89">
        <v>-3</v>
      </c>
      <c r="C89" t="s">
        <v>523</v>
      </c>
      <c r="D89" t="s">
        <v>513</v>
      </c>
      <c r="E89" t="s">
        <v>517</v>
      </c>
      <c r="L89"/>
    </row>
    <row r="90" spans="1:12" x14ac:dyDescent="0.35">
      <c r="A90" t="s">
        <v>2731</v>
      </c>
      <c r="B90">
        <v>0</v>
      </c>
      <c r="C90" t="s">
        <v>523</v>
      </c>
      <c r="D90" t="s">
        <v>513</v>
      </c>
      <c r="E90" t="s">
        <v>515</v>
      </c>
      <c r="L90"/>
    </row>
    <row r="91" spans="1:12" x14ac:dyDescent="0.35">
      <c r="A91" t="s">
        <v>2732</v>
      </c>
      <c r="B91">
        <v>0</v>
      </c>
      <c r="C91" t="s">
        <v>523</v>
      </c>
      <c r="D91" t="s">
        <v>513</v>
      </c>
      <c r="E91" t="s">
        <v>515</v>
      </c>
      <c r="L91"/>
    </row>
    <row r="92" spans="1:12" x14ac:dyDescent="0.35">
      <c r="A92" t="s">
        <v>2733</v>
      </c>
      <c r="B92">
        <v>-3</v>
      </c>
      <c r="C92" t="s">
        <v>523</v>
      </c>
      <c r="D92" t="s">
        <v>513</v>
      </c>
      <c r="E92" t="s">
        <v>515</v>
      </c>
      <c r="L92"/>
    </row>
    <row r="93" spans="1:12" x14ac:dyDescent="0.35">
      <c r="A93" t="s">
        <v>2734</v>
      </c>
      <c r="B93">
        <v>0</v>
      </c>
      <c r="C93" t="s">
        <v>523</v>
      </c>
      <c r="D93" t="s">
        <v>513</v>
      </c>
      <c r="E93" t="s">
        <v>515</v>
      </c>
      <c r="L93"/>
    </row>
    <row r="94" spans="1:12" x14ac:dyDescent="0.35">
      <c r="A94" t="s">
        <v>2735</v>
      </c>
      <c r="B94">
        <v>0</v>
      </c>
      <c r="C94" t="s">
        <v>523</v>
      </c>
      <c r="D94" t="s">
        <v>513</v>
      </c>
      <c r="E94" t="s">
        <v>515</v>
      </c>
      <c r="L94"/>
    </row>
    <row r="95" spans="1:12" x14ac:dyDescent="0.35">
      <c r="A95" t="s">
        <v>2736</v>
      </c>
      <c r="B95">
        <v>0</v>
      </c>
      <c r="C95" t="s">
        <v>523</v>
      </c>
      <c r="D95" t="s">
        <v>513</v>
      </c>
      <c r="E95" t="s">
        <v>515</v>
      </c>
      <c r="L95"/>
    </row>
    <row r="96" spans="1:12" x14ac:dyDescent="0.35">
      <c r="A96" t="s">
        <v>2737</v>
      </c>
      <c r="B96">
        <v>0</v>
      </c>
      <c r="C96" t="s">
        <v>523</v>
      </c>
      <c r="D96" t="s">
        <v>513</v>
      </c>
      <c r="E96" t="s">
        <v>515</v>
      </c>
      <c r="L96"/>
    </row>
    <row r="97" spans="1:12" x14ac:dyDescent="0.35">
      <c r="A97" t="s">
        <v>2738</v>
      </c>
      <c r="B97">
        <v>0</v>
      </c>
      <c r="C97" t="s">
        <v>523</v>
      </c>
      <c r="D97" t="s">
        <v>513</v>
      </c>
      <c r="E97" t="s">
        <v>515</v>
      </c>
      <c r="L97"/>
    </row>
    <row r="98" spans="1:12" x14ac:dyDescent="0.35">
      <c r="A98" t="s">
        <v>2739</v>
      </c>
      <c r="B98">
        <v>-3</v>
      </c>
      <c r="C98" t="s">
        <v>523</v>
      </c>
      <c r="D98" t="s">
        <v>513</v>
      </c>
      <c r="E98" t="s">
        <v>517</v>
      </c>
      <c r="L98"/>
    </row>
    <row r="99" spans="1:12" x14ac:dyDescent="0.35">
      <c r="A99" t="s">
        <v>2740</v>
      </c>
      <c r="B99">
        <v>-3</v>
      </c>
      <c r="C99" t="s">
        <v>523</v>
      </c>
      <c r="D99" t="s">
        <v>513</v>
      </c>
      <c r="E99" t="s">
        <v>517</v>
      </c>
      <c r="L99"/>
    </row>
    <row r="100" spans="1:12" x14ac:dyDescent="0.35">
      <c r="A100" t="s">
        <v>2741</v>
      </c>
      <c r="B100">
        <v>0</v>
      </c>
      <c r="C100" t="s">
        <v>523</v>
      </c>
      <c r="D100" t="s">
        <v>513</v>
      </c>
      <c r="E100" t="s">
        <v>515</v>
      </c>
      <c r="L100"/>
    </row>
    <row r="101" spans="1:12" x14ac:dyDescent="0.35">
      <c r="A101" t="s">
        <v>2742</v>
      </c>
      <c r="B101">
        <v>0</v>
      </c>
      <c r="C101" t="s">
        <v>523</v>
      </c>
      <c r="D101" t="s">
        <v>513</v>
      </c>
      <c r="E101" t="s">
        <v>521</v>
      </c>
      <c r="L101"/>
    </row>
    <row r="102" spans="1:12" x14ac:dyDescent="0.35">
      <c r="A102" t="s">
        <v>2743</v>
      </c>
      <c r="B102">
        <v>0</v>
      </c>
      <c r="C102" t="s">
        <v>523</v>
      </c>
      <c r="D102" t="s">
        <v>513</v>
      </c>
      <c r="E102" t="s">
        <v>515</v>
      </c>
      <c r="L102"/>
    </row>
    <row r="103" spans="1:12" x14ac:dyDescent="0.35">
      <c r="A103" t="s">
        <v>2744</v>
      </c>
      <c r="B103">
        <v>0</v>
      </c>
      <c r="C103" t="s">
        <v>523</v>
      </c>
      <c r="D103" t="s">
        <v>513</v>
      </c>
      <c r="E103" t="s">
        <v>515</v>
      </c>
      <c r="L103"/>
    </row>
    <row r="104" spans="1:12" x14ac:dyDescent="0.35">
      <c r="A104" t="s">
        <v>2745</v>
      </c>
      <c r="B104">
        <v>0</v>
      </c>
      <c r="C104" t="s">
        <v>523</v>
      </c>
      <c r="D104" t="s">
        <v>513</v>
      </c>
      <c r="E104" t="s">
        <v>515</v>
      </c>
      <c r="L104"/>
    </row>
    <row r="105" spans="1:12" x14ac:dyDescent="0.35">
      <c r="A105" t="s">
        <v>2746</v>
      </c>
      <c r="B105">
        <v>0</v>
      </c>
      <c r="C105" t="s">
        <v>523</v>
      </c>
      <c r="D105" t="s">
        <v>513</v>
      </c>
      <c r="E105" t="s">
        <v>515</v>
      </c>
      <c r="L105"/>
    </row>
    <row r="106" spans="1:12" x14ac:dyDescent="0.35">
      <c r="A106" t="s">
        <v>2747</v>
      </c>
      <c r="B106">
        <v>0</v>
      </c>
      <c r="C106" t="s">
        <v>523</v>
      </c>
      <c r="D106" t="s">
        <v>513</v>
      </c>
      <c r="E106" t="s">
        <v>515</v>
      </c>
      <c r="L106"/>
    </row>
    <row r="107" spans="1:12" x14ac:dyDescent="0.35">
      <c r="A107" t="s">
        <v>2748</v>
      </c>
      <c r="B107">
        <v>0</v>
      </c>
      <c r="C107" t="s">
        <v>523</v>
      </c>
      <c r="D107" t="s">
        <v>513</v>
      </c>
      <c r="E107" t="s">
        <v>517</v>
      </c>
      <c r="L107"/>
    </row>
    <row r="108" spans="1:12" x14ac:dyDescent="0.35">
      <c r="A108" t="s">
        <v>2749</v>
      </c>
      <c r="B108">
        <v>0</v>
      </c>
      <c r="C108" t="s">
        <v>523</v>
      </c>
      <c r="D108" t="s">
        <v>513</v>
      </c>
      <c r="E108" t="s">
        <v>515</v>
      </c>
      <c r="L108"/>
    </row>
    <row r="109" spans="1:12" x14ac:dyDescent="0.35">
      <c r="A109" t="s">
        <v>2750</v>
      </c>
      <c r="B109">
        <v>0</v>
      </c>
      <c r="C109" t="s">
        <v>523</v>
      </c>
      <c r="D109" t="s">
        <v>513</v>
      </c>
      <c r="E109" t="s">
        <v>515</v>
      </c>
      <c r="L109"/>
    </row>
    <row r="110" spans="1:12" x14ac:dyDescent="0.35">
      <c r="A110" t="s">
        <v>2751</v>
      </c>
      <c r="B110">
        <v>0</v>
      </c>
      <c r="C110" t="s">
        <v>523</v>
      </c>
      <c r="D110" t="s">
        <v>513</v>
      </c>
      <c r="E110" t="s">
        <v>517</v>
      </c>
      <c r="L110"/>
    </row>
    <row r="111" spans="1:12" x14ac:dyDescent="0.35">
      <c r="A111" t="s">
        <v>2752</v>
      </c>
      <c r="B111">
        <v>0</v>
      </c>
      <c r="C111" t="s">
        <v>523</v>
      </c>
      <c r="D111" t="s">
        <v>513</v>
      </c>
      <c r="E111" t="s">
        <v>515</v>
      </c>
      <c r="L111"/>
    </row>
    <row r="112" spans="1:12" x14ac:dyDescent="0.35">
      <c r="A112" t="s">
        <v>2753</v>
      </c>
      <c r="B112">
        <v>0</v>
      </c>
      <c r="C112" t="s">
        <v>523</v>
      </c>
      <c r="D112" t="s">
        <v>513</v>
      </c>
      <c r="E112" t="s">
        <v>517</v>
      </c>
      <c r="L112"/>
    </row>
    <row r="113" spans="1:12" x14ac:dyDescent="0.35">
      <c r="A113" t="s">
        <v>2754</v>
      </c>
      <c r="B113">
        <v>0</v>
      </c>
      <c r="C113" t="s">
        <v>523</v>
      </c>
      <c r="D113" t="s">
        <v>513</v>
      </c>
      <c r="E113" t="s">
        <v>515</v>
      </c>
      <c r="L113"/>
    </row>
    <row r="114" spans="1:12" x14ac:dyDescent="0.35">
      <c r="A114" t="s">
        <v>2755</v>
      </c>
      <c r="B114">
        <v>0</v>
      </c>
      <c r="C114" t="s">
        <v>523</v>
      </c>
      <c r="D114" t="s">
        <v>513</v>
      </c>
      <c r="E114" t="s">
        <v>517</v>
      </c>
      <c r="L114"/>
    </row>
    <row r="115" spans="1:12" x14ac:dyDescent="0.35">
      <c r="A115" t="s">
        <v>2756</v>
      </c>
      <c r="B115">
        <v>0</v>
      </c>
      <c r="C115" t="s">
        <v>523</v>
      </c>
      <c r="D115" t="s">
        <v>513</v>
      </c>
      <c r="E115" t="s">
        <v>515</v>
      </c>
      <c r="L115"/>
    </row>
    <row r="116" spans="1:12" x14ac:dyDescent="0.35">
      <c r="A116" t="s">
        <v>2757</v>
      </c>
      <c r="B116">
        <v>0</v>
      </c>
      <c r="C116" t="s">
        <v>523</v>
      </c>
      <c r="D116" t="s">
        <v>513</v>
      </c>
      <c r="E116" t="s">
        <v>517</v>
      </c>
      <c r="L116"/>
    </row>
    <row r="117" spans="1:12" x14ac:dyDescent="0.35">
      <c r="A117" t="s">
        <v>2758</v>
      </c>
      <c r="B117">
        <v>0</v>
      </c>
      <c r="C117" t="s">
        <v>523</v>
      </c>
      <c r="D117" t="s">
        <v>513</v>
      </c>
      <c r="E117" t="s">
        <v>515</v>
      </c>
      <c r="L117"/>
    </row>
    <row r="118" spans="1:12" x14ac:dyDescent="0.35">
      <c r="A118" t="s">
        <v>2759</v>
      </c>
      <c r="B118">
        <v>0</v>
      </c>
      <c r="C118" t="s">
        <v>523</v>
      </c>
      <c r="D118" t="s">
        <v>513</v>
      </c>
      <c r="E118" t="s">
        <v>515</v>
      </c>
      <c r="L118"/>
    </row>
    <row r="119" spans="1:12" x14ac:dyDescent="0.35">
      <c r="A119" t="s">
        <v>2760</v>
      </c>
      <c r="B119">
        <v>0</v>
      </c>
      <c r="C119" t="s">
        <v>523</v>
      </c>
      <c r="D119" t="s">
        <v>513</v>
      </c>
      <c r="E119" t="s">
        <v>517</v>
      </c>
      <c r="L119"/>
    </row>
    <row r="120" spans="1:12" x14ac:dyDescent="0.35">
      <c r="A120" t="s">
        <v>2761</v>
      </c>
      <c r="B120">
        <v>0</v>
      </c>
      <c r="C120" t="s">
        <v>523</v>
      </c>
      <c r="D120" t="s">
        <v>513</v>
      </c>
      <c r="E120" t="s">
        <v>515</v>
      </c>
      <c r="L120"/>
    </row>
    <row r="121" spans="1:12" x14ac:dyDescent="0.35">
      <c r="A121" t="s">
        <v>2762</v>
      </c>
      <c r="B121">
        <v>0</v>
      </c>
      <c r="C121" t="s">
        <v>523</v>
      </c>
      <c r="D121" t="s">
        <v>513</v>
      </c>
      <c r="E121" t="s">
        <v>515</v>
      </c>
      <c r="L121"/>
    </row>
    <row r="122" spans="1:12" x14ac:dyDescent="0.35">
      <c r="A122" t="s">
        <v>2763</v>
      </c>
      <c r="B122">
        <v>0</v>
      </c>
      <c r="C122" t="s">
        <v>523</v>
      </c>
      <c r="D122" t="s">
        <v>513</v>
      </c>
      <c r="E122" t="s">
        <v>515</v>
      </c>
      <c r="L122"/>
    </row>
    <row r="123" spans="1:12" x14ac:dyDescent="0.35">
      <c r="A123" t="s">
        <v>2764</v>
      </c>
      <c r="B123">
        <v>0</v>
      </c>
      <c r="C123" t="s">
        <v>523</v>
      </c>
      <c r="D123" t="s">
        <v>513</v>
      </c>
      <c r="E123" t="s">
        <v>515</v>
      </c>
      <c r="L123"/>
    </row>
    <row r="124" spans="1:12" x14ac:dyDescent="0.35">
      <c r="A124" t="s">
        <v>3455</v>
      </c>
      <c r="B124">
        <v>0</v>
      </c>
      <c r="C124" t="s">
        <v>523</v>
      </c>
      <c r="D124" t="s">
        <v>513</v>
      </c>
      <c r="E124" t="s">
        <v>515</v>
      </c>
      <c r="L124"/>
    </row>
    <row r="125" spans="1:12" x14ac:dyDescent="0.35">
      <c r="A125" t="s">
        <v>2765</v>
      </c>
      <c r="B125">
        <v>0</v>
      </c>
      <c r="C125" t="s">
        <v>523</v>
      </c>
      <c r="D125" t="s">
        <v>513</v>
      </c>
      <c r="E125" t="s">
        <v>515</v>
      </c>
      <c r="L125"/>
    </row>
    <row r="126" spans="1:12" x14ac:dyDescent="0.35">
      <c r="A126" t="s">
        <v>2766</v>
      </c>
      <c r="B126">
        <v>0</v>
      </c>
      <c r="C126" t="s">
        <v>523</v>
      </c>
      <c r="D126" t="s">
        <v>513</v>
      </c>
      <c r="E126" t="s">
        <v>515</v>
      </c>
      <c r="L126"/>
    </row>
    <row r="127" spans="1:12" x14ac:dyDescent="0.35">
      <c r="A127" t="s">
        <v>2767</v>
      </c>
      <c r="B127">
        <v>0</v>
      </c>
      <c r="C127" t="s">
        <v>523</v>
      </c>
      <c r="D127" t="s">
        <v>513</v>
      </c>
      <c r="E127" t="s">
        <v>517</v>
      </c>
      <c r="L127"/>
    </row>
    <row r="128" spans="1:12" x14ac:dyDescent="0.35">
      <c r="A128" t="s">
        <v>2768</v>
      </c>
      <c r="B128">
        <v>0</v>
      </c>
      <c r="C128" t="s">
        <v>523</v>
      </c>
      <c r="D128" t="s">
        <v>513</v>
      </c>
      <c r="E128" t="s">
        <v>517</v>
      </c>
      <c r="L128"/>
    </row>
    <row r="129" spans="1:12" x14ac:dyDescent="0.35">
      <c r="A129" t="s">
        <v>2769</v>
      </c>
      <c r="B129">
        <v>0</v>
      </c>
      <c r="C129" t="s">
        <v>523</v>
      </c>
      <c r="D129" t="s">
        <v>513</v>
      </c>
      <c r="E129" t="s">
        <v>515</v>
      </c>
      <c r="L129"/>
    </row>
    <row r="130" spans="1:12" x14ac:dyDescent="0.35">
      <c r="A130" t="s">
        <v>2770</v>
      </c>
      <c r="B130">
        <v>0</v>
      </c>
      <c r="C130" t="s">
        <v>523</v>
      </c>
      <c r="D130" t="s">
        <v>513</v>
      </c>
      <c r="E130" t="s">
        <v>517</v>
      </c>
      <c r="L130"/>
    </row>
    <row r="131" spans="1:12" x14ac:dyDescent="0.35">
      <c r="A131" t="s">
        <v>2771</v>
      </c>
      <c r="B131">
        <v>0</v>
      </c>
      <c r="C131" t="s">
        <v>523</v>
      </c>
      <c r="D131" t="s">
        <v>513</v>
      </c>
      <c r="E131" t="s">
        <v>515</v>
      </c>
      <c r="L131"/>
    </row>
    <row r="132" spans="1:12" x14ac:dyDescent="0.35">
      <c r="A132" t="s">
        <v>2772</v>
      </c>
      <c r="B132">
        <v>0</v>
      </c>
      <c r="C132" t="s">
        <v>523</v>
      </c>
      <c r="D132" t="s">
        <v>513</v>
      </c>
      <c r="E132" t="s">
        <v>517</v>
      </c>
      <c r="L132"/>
    </row>
    <row r="133" spans="1:12" x14ac:dyDescent="0.35">
      <c r="A133" t="s">
        <v>2773</v>
      </c>
      <c r="B133">
        <v>0</v>
      </c>
      <c r="C133" t="s">
        <v>523</v>
      </c>
      <c r="D133" t="s">
        <v>513</v>
      </c>
      <c r="E133" t="s">
        <v>515</v>
      </c>
      <c r="L133"/>
    </row>
    <row r="134" spans="1:12" x14ac:dyDescent="0.35">
      <c r="A134" t="s">
        <v>2774</v>
      </c>
      <c r="B134">
        <v>0</v>
      </c>
      <c r="C134" t="s">
        <v>523</v>
      </c>
      <c r="D134" t="s">
        <v>513</v>
      </c>
      <c r="E134" t="s">
        <v>515</v>
      </c>
      <c r="L134"/>
    </row>
    <row r="135" spans="1:12" x14ac:dyDescent="0.35">
      <c r="A135" t="s">
        <v>2775</v>
      </c>
      <c r="B135">
        <v>0</v>
      </c>
      <c r="C135" t="s">
        <v>523</v>
      </c>
      <c r="D135" t="s">
        <v>507</v>
      </c>
      <c r="E135" t="s">
        <v>517</v>
      </c>
      <c r="L135"/>
    </row>
    <row r="136" spans="1:12" x14ac:dyDescent="0.35">
      <c r="A136" t="s">
        <v>2776</v>
      </c>
      <c r="B136">
        <v>0</v>
      </c>
      <c r="C136" t="s">
        <v>523</v>
      </c>
      <c r="D136" t="s">
        <v>513</v>
      </c>
      <c r="E136" t="s">
        <v>515</v>
      </c>
      <c r="L136"/>
    </row>
    <row r="137" spans="1:12" x14ac:dyDescent="0.35">
      <c r="A137" t="s">
        <v>2777</v>
      </c>
      <c r="B137">
        <v>0</v>
      </c>
      <c r="C137" t="s">
        <v>523</v>
      </c>
      <c r="D137" t="s">
        <v>513</v>
      </c>
      <c r="E137" t="s">
        <v>515</v>
      </c>
      <c r="L137"/>
    </row>
    <row r="138" spans="1:12" x14ac:dyDescent="0.35">
      <c r="A138" t="s">
        <v>2778</v>
      </c>
      <c r="B138">
        <v>0</v>
      </c>
      <c r="C138" t="s">
        <v>523</v>
      </c>
      <c r="D138" t="s">
        <v>513</v>
      </c>
      <c r="E138" t="s">
        <v>517</v>
      </c>
      <c r="L138"/>
    </row>
    <row r="139" spans="1:12" x14ac:dyDescent="0.35">
      <c r="A139" t="s">
        <v>2779</v>
      </c>
      <c r="B139">
        <v>0</v>
      </c>
      <c r="C139" t="s">
        <v>523</v>
      </c>
      <c r="D139" t="s">
        <v>513</v>
      </c>
      <c r="E139" t="s">
        <v>515</v>
      </c>
      <c r="L139"/>
    </row>
    <row r="140" spans="1:12" x14ac:dyDescent="0.35">
      <c r="A140" t="s">
        <v>2780</v>
      </c>
      <c r="B140">
        <v>0</v>
      </c>
      <c r="C140" t="s">
        <v>523</v>
      </c>
      <c r="D140" t="s">
        <v>513</v>
      </c>
      <c r="E140" t="s">
        <v>517</v>
      </c>
      <c r="L140"/>
    </row>
    <row r="141" spans="1:12" x14ac:dyDescent="0.35">
      <c r="A141" t="s">
        <v>2781</v>
      </c>
      <c r="B141">
        <v>0</v>
      </c>
      <c r="C141" t="s">
        <v>523</v>
      </c>
      <c r="D141" t="s">
        <v>513</v>
      </c>
      <c r="E141" t="s">
        <v>515</v>
      </c>
      <c r="L141"/>
    </row>
    <row r="142" spans="1:12" x14ac:dyDescent="0.35">
      <c r="A142" t="s">
        <v>2782</v>
      </c>
      <c r="B142">
        <v>0</v>
      </c>
      <c r="C142" t="s">
        <v>523</v>
      </c>
      <c r="D142" t="s">
        <v>513</v>
      </c>
      <c r="E142" t="s">
        <v>515</v>
      </c>
      <c r="L142"/>
    </row>
    <row r="143" spans="1:12" x14ac:dyDescent="0.35">
      <c r="A143" t="s">
        <v>2783</v>
      </c>
      <c r="B143">
        <v>0</v>
      </c>
      <c r="C143" t="s">
        <v>523</v>
      </c>
      <c r="D143" t="s">
        <v>507</v>
      </c>
      <c r="E143" t="s">
        <v>517</v>
      </c>
      <c r="L143"/>
    </row>
    <row r="144" spans="1:12" x14ac:dyDescent="0.35">
      <c r="A144" t="s">
        <v>2784</v>
      </c>
      <c r="B144">
        <v>0</v>
      </c>
      <c r="C144" t="s">
        <v>523</v>
      </c>
      <c r="D144" t="s">
        <v>507</v>
      </c>
      <c r="E144" t="s">
        <v>517</v>
      </c>
      <c r="L144"/>
    </row>
    <row r="145" spans="1:12" x14ac:dyDescent="0.35">
      <c r="A145" t="s">
        <v>2785</v>
      </c>
      <c r="B145">
        <v>0</v>
      </c>
      <c r="C145" t="s">
        <v>523</v>
      </c>
      <c r="D145" t="s">
        <v>513</v>
      </c>
      <c r="E145" t="s">
        <v>515</v>
      </c>
      <c r="L145"/>
    </row>
    <row r="146" spans="1:12" x14ac:dyDescent="0.35">
      <c r="A146" t="s">
        <v>2786</v>
      </c>
      <c r="B146">
        <v>0</v>
      </c>
      <c r="C146" t="s">
        <v>523</v>
      </c>
      <c r="D146" t="s">
        <v>513</v>
      </c>
      <c r="E146" t="s">
        <v>517</v>
      </c>
      <c r="L146"/>
    </row>
    <row r="147" spans="1:12" x14ac:dyDescent="0.35">
      <c r="A147" t="s">
        <v>2787</v>
      </c>
      <c r="B147">
        <v>0</v>
      </c>
      <c r="C147" t="s">
        <v>523</v>
      </c>
      <c r="D147" t="s">
        <v>513</v>
      </c>
      <c r="E147" t="s">
        <v>515</v>
      </c>
      <c r="L147"/>
    </row>
    <row r="148" spans="1:12" x14ac:dyDescent="0.35">
      <c r="A148" t="s">
        <v>2788</v>
      </c>
      <c r="B148">
        <v>0</v>
      </c>
      <c r="C148" t="s">
        <v>523</v>
      </c>
      <c r="D148" t="s">
        <v>513</v>
      </c>
      <c r="E148" t="s">
        <v>515</v>
      </c>
      <c r="L148"/>
    </row>
    <row r="149" spans="1:12" x14ac:dyDescent="0.35">
      <c r="A149" t="s">
        <v>2789</v>
      </c>
      <c r="B149">
        <v>0</v>
      </c>
      <c r="C149" t="s">
        <v>523</v>
      </c>
      <c r="D149" t="s">
        <v>513</v>
      </c>
      <c r="E149" t="s">
        <v>515</v>
      </c>
      <c r="L149"/>
    </row>
    <row r="150" spans="1:12" x14ac:dyDescent="0.35">
      <c r="A150" t="s">
        <v>2790</v>
      </c>
      <c r="B150">
        <v>0</v>
      </c>
      <c r="C150" t="s">
        <v>523</v>
      </c>
      <c r="D150" t="s">
        <v>513</v>
      </c>
      <c r="E150" t="s">
        <v>515</v>
      </c>
      <c r="L150"/>
    </row>
    <row r="151" spans="1:12" x14ac:dyDescent="0.35">
      <c r="A151" t="s">
        <v>2791</v>
      </c>
      <c r="B151">
        <v>0</v>
      </c>
      <c r="C151" t="s">
        <v>523</v>
      </c>
      <c r="D151" t="s">
        <v>513</v>
      </c>
      <c r="E151" t="s">
        <v>515</v>
      </c>
      <c r="L151"/>
    </row>
    <row r="152" spans="1:12" x14ac:dyDescent="0.35">
      <c r="A152" t="s">
        <v>2792</v>
      </c>
      <c r="B152">
        <v>0</v>
      </c>
      <c r="C152" t="s">
        <v>523</v>
      </c>
      <c r="D152" t="s">
        <v>513</v>
      </c>
      <c r="E152" t="s">
        <v>515</v>
      </c>
      <c r="L152"/>
    </row>
    <row r="153" spans="1:12" x14ac:dyDescent="0.35">
      <c r="A153" t="s">
        <v>2793</v>
      </c>
      <c r="B153">
        <v>0</v>
      </c>
      <c r="C153" t="s">
        <v>523</v>
      </c>
      <c r="D153" t="s">
        <v>513</v>
      </c>
      <c r="E153" t="s">
        <v>515</v>
      </c>
      <c r="L153"/>
    </row>
    <row r="154" spans="1:12" x14ac:dyDescent="0.35">
      <c r="A154" t="s">
        <v>2794</v>
      </c>
      <c r="B154">
        <v>0</v>
      </c>
      <c r="C154" t="s">
        <v>523</v>
      </c>
      <c r="D154" t="s">
        <v>513</v>
      </c>
      <c r="E154" t="s">
        <v>515</v>
      </c>
      <c r="L154"/>
    </row>
    <row r="155" spans="1:12" x14ac:dyDescent="0.35">
      <c r="A155" t="s">
        <v>2795</v>
      </c>
      <c r="B155">
        <v>0</v>
      </c>
      <c r="C155" t="s">
        <v>523</v>
      </c>
      <c r="D155" t="s">
        <v>513</v>
      </c>
      <c r="E155" t="s">
        <v>517</v>
      </c>
      <c r="L155"/>
    </row>
    <row r="156" spans="1:12" x14ac:dyDescent="0.35">
      <c r="A156" t="s">
        <v>3474</v>
      </c>
      <c r="B156">
        <v>0</v>
      </c>
      <c r="C156" t="s">
        <v>523</v>
      </c>
      <c r="D156" t="s">
        <v>513</v>
      </c>
      <c r="E156" t="s">
        <v>515</v>
      </c>
      <c r="L156"/>
    </row>
    <row r="157" spans="1:12" x14ac:dyDescent="0.35">
      <c r="A157" t="s">
        <v>2796</v>
      </c>
      <c r="B157">
        <v>0</v>
      </c>
      <c r="C157" t="s">
        <v>523</v>
      </c>
      <c r="D157" t="s">
        <v>513</v>
      </c>
      <c r="E157" t="s">
        <v>515</v>
      </c>
      <c r="L157"/>
    </row>
    <row r="158" spans="1:12" x14ac:dyDescent="0.35">
      <c r="A158" t="s">
        <v>2797</v>
      </c>
      <c r="B158">
        <v>0</v>
      </c>
      <c r="C158" t="s">
        <v>523</v>
      </c>
      <c r="D158" t="s">
        <v>513</v>
      </c>
      <c r="E158" t="s">
        <v>515</v>
      </c>
      <c r="L158"/>
    </row>
    <row r="159" spans="1:12" x14ac:dyDescent="0.35">
      <c r="A159" t="s">
        <v>2798</v>
      </c>
      <c r="B159">
        <v>0</v>
      </c>
      <c r="C159" t="s">
        <v>523</v>
      </c>
      <c r="D159" t="s">
        <v>513</v>
      </c>
      <c r="E159" t="s">
        <v>515</v>
      </c>
      <c r="L159"/>
    </row>
    <row r="160" spans="1:12" x14ac:dyDescent="0.35">
      <c r="A160" t="s">
        <v>2799</v>
      </c>
      <c r="B160">
        <v>0</v>
      </c>
      <c r="C160" t="s">
        <v>523</v>
      </c>
      <c r="D160" t="s">
        <v>513</v>
      </c>
      <c r="E160" t="s">
        <v>517</v>
      </c>
      <c r="L160"/>
    </row>
    <row r="161" spans="1:12" x14ac:dyDescent="0.35">
      <c r="A161" t="s">
        <v>2800</v>
      </c>
      <c r="B161">
        <v>0</v>
      </c>
      <c r="C161" t="s">
        <v>523</v>
      </c>
      <c r="D161" t="s">
        <v>513</v>
      </c>
      <c r="E161" t="s">
        <v>515</v>
      </c>
      <c r="L161"/>
    </row>
    <row r="162" spans="1:12" x14ac:dyDescent="0.35">
      <c r="A162" t="s">
        <v>2801</v>
      </c>
      <c r="B162">
        <v>0</v>
      </c>
      <c r="C162" t="s">
        <v>523</v>
      </c>
      <c r="D162" t="s">
        <v>513</v>
      </c>
      <c r="E162" t="s">
        <v>515</v>
      </c>
      <c r="L162"/>
    </row>
    <row r="163" spans="1:12" x14ac:dyDescent="0.35">
      <c r="A163" t="s">
        <v>2802</v>
      </c>
      <c r="B163">
        <v>0</v>
      </c>
      <c r="C163" t="s">
        <v>523</v>
      </c>
      <c r="D163" t="s">
        <v>513</v>
      </c>
      <c r="E163" t="s">
        <v>515</v>
      </c>
      <c r="L163"/>
    </row>
    <row r="164" spans="1:12" x14ac:dyDescent="0.35">
      <c r="A164" t="s">
        <v>2803</v>
      </c>
      <c r="B164">
        <v>0</v>
      </c>
      <c r="C164" t="s">
        <v>523</v>
      </c>
      <c r="D164" t="s">
        <v>513</v>
      </c>
      <c r="E164" t="s">
        <v>515</v>
      </c>
      <c r="L164"/>
    </row>
    <row r="165" spans="1:12" x14ac:dyDescent="0.35">
      <c r="A165" t="s">
        <v>2804</v>
      </c>
      <c r="B165">
        <v>0</v>
      </c>
      <c r="C165" t="s">
        <v>523</v>
      </c>
      <c r="D165" t="s">
        <v>513</v>
      </c>
      <c r="E165" t="s">
        <v>515</v>
      </c>
      <c r="L165"/>
    </row>
    <row r="166" spans="1:12" x14ac:dyDescent="0.35">
      <c r="A166" t="s">
        <v>2805</v>
      </c>
      <c r="B166">
        <v>0</v>
      </c>
      <c r="C166" t="s">
        <v>523</v>
      </c>
      <c r="D166" t="s">
        <v>513</v>
      </c>
      <c r="E166" t="s">
        <v>515</v>
      </c>
      <c r="L166"/>
    </row>
    <row r="167" spans="1:12" x14ac:dyDescent="0.35">
      <c r="A167" t="s">
        <v>2806</v>
      </c>
      <c r="B167">
        <v>0</v>
      </c>
      <c r="C167" t="s">
        <v>523</v>
      </c>
      <c r="D167" t="s">
        <v>513</v>
      </c>
      <c r="E167" t="s">
        <v>517</v>
      </c>
      <c r="L167"/>
    </row>
    <row r="168" spans="1:12" x14ac:dyDescent="0.35">
      <c r="A168" t="s">
        <v>2807</v>
      </c>
      <c r="B168">
        <v>0</v>
      </c>
      <c r="C168" t="s">
        <v>523</v>
      </c>
      <c r="D168" t="s">
        <v>513</v>
      </c>
      <c r="E168" t="s">
        <v>515</v>
      </c>
      <c r="L168"/>
    </row>
    <row r="169" spans="1:12" x14ac:dyDescent="0.35">
      <c r="A169" t="s">
        <v>2808</v>
      </c>
      <c r="B169">
        <v>0</v>
      </c>
      <c r="C169" t="s">
        <v>523</v>
      </c>
      <c r="D169" t="s">
        <v>513</v>
      </c>
      <c r="E169" t="s">
        <v>515</v>
      </c>
      <c r="L169"/>
    </row>
    <row r="170" spans="1:12" x14ac:dyDescent="0.35">
      <c r="A170" t="s">
        <v>2809</v>
      </c>
      <c r="B170">
        <v>0</v>
      </c>
      <c r="C170" t="s">
        <v>523</v>
      </c>
      <c r="D170" t="s">
        <v>513</v>
      </c>
      <c r="E170" t="s">
        <v>515</v>
      </c>
      <c r="L170"/>
    </row>
    <row r="171" spans="1:12" x14ac:dyDescent="0.35">
      <c r="A171" t="s">
        <v>2810</v>
      </c>
      <c r="B171">
        <v>0</v>
      </c>
      <c r="C171" t="s">
        <v>523</v>
      </c>
      <c r="D171" t="s">
        <v>513</v>
      </c>
      <c r="E171" t="s">
        <v>515</v>
      </c>
      <c r="L171"/>
    </row>
    <row r="172" spans="1:12" x14ac:dyDescent="0.35">
      <c r="A172" t="s">
        <v>2811</v>
      </c>
      <c r="B172">
        <v>0</v>
      </c>
      <c r="C172" t="s">
        <v>523</v>
      </c>
      <c r="D172" t="s">
        <v>506</v>
      </c>
      <c r="E172" t="s">
        <v>515</v>
      </c>
      <c r="L172"/>
    </row>
    <row r="173" spans="1:12" x14ac:dyDescent="0.35">
      <c r="A173" t="s">
        <v>2812</v>
      </c>
      <c r="B173">
        <v>0</v>
      </c>
      <c r="C173" t="s">
        <v>523</v>
      </c>
      <c r="D173" t="s">
        <v>506</v>
      </c>
      <c r="E173" t="s">
        <v>515</v>
      </c>
      <c r="L173"/>
    </row>
    <row r="174" spans="1:12" x14ac:dyDescent="0.35">
      <c r="A174" t="s">
        <v>2813</v>
      </c>
      <c r="B174">
        <v>0</v>
      </c>
      <c r="C174" t="s">
        <v>523</v>
      </c>
      <c r="D174" t="s">
        <v>506</v>
      </c>
      <c r="E174" t="s">
        <v>515</v>
      </c>
      <c r="L174"/>
    </row>
    <row r="175" spans="1:12" x14ac:dyDescent="0.35">
      <c r="A175" t="s">
        <v>2814</v>
      </c>
      <c r="B175">
        <v>0</v>
      </c>
      <c r="C175" t="s">
        <v>523</v>
      </c>
      <c r="D175" t="s">
        <v>513</v>
      </c>
      <c r="E175" t="s">
        <v>517</v>
      </c>
      <c r="L175"/>
    </row>
    <row r="176" spans="1:12" x14ac:dyDescent="0.35">
      <c r="A176" t="s">
        <v>2815</v>
      </c>
      <c r="B176">
        <v>0</v>
      </c>
      <c r="C176" t="s">
        <v>523</v>
      </c>
      <c r="D176" t="s">
        <v>506</v>
      </c>
      <c r="E176" t="s">
        <v>515</v>
      </c>
      <c r="L176"/>
    </row>
    <row r="177" spans="1:12" x14ac:dyDescent="0.35">
      <c r="A177" t="s">
        <v>2816</v>
      </c>
      <c r="B177">
        <v>0</v>
      </c>
      <c r="C177" t="s">
        <v>523</v>
      </c>
      <c r="D177" t="s">
        <v>506</v>
      </c>
      <c r="E177" t="s">
        <v>515</v>
      </c>
      <c r="L177"/>
    </row>
    <row r="178" spans="1:12" x14ac:dyDescent="0.35">
      <c r="A178" t="s">
        <v>2817</v>
      </c>
      <c r="B178">
        <v>0</v>
      </c>
      <c r="C178" t="s">
        <v>523</v>
      </c>
      <c r="D178" t="s">
        <v>506</v>
      </c>
      <c r="E178" t="s">
        <v>515</v>
      </c>
      <c r="L178"/>
    </row>
    <row r="179" spans="1:12" x14ac:dyDescent="0.35">
      <c r="A179" t="s">
        <v>2818</v>
      </c>
      <c r="B179">
        <v>-3</v>
      </c>
      <c r="C179" t="s">
        <v>523</v>
      </c>
      <c r="D179" t="s">
        <v>507</v>
      </c>
      <c r="E179" t="s">
        <v>516</v>
      </c>
      <c r="L179"/>
    </row>
    <row r="180" spans="1:12" x14ac:dyDescent="0.35">
      <c r="A180" t="s">
        <v>2819</v>
      </c>
      <c r="B180">
        <v>-3</v>
      </c>
      <c r="C180" t="s">
        <v>523</v>
      </c>
      <c r="D180" t="s">
        <v>507</v>
      </c>
      <c r="E180" t="s">
        <v>516</v>
      </c>
      <c r="L180"/>
    </row>
    <row r="181" spans="1:12" x14ac:dyDescent="0.35">
      <c r="A181" t="s">
        <v>2820</v>
      </c>
      <c r="B181">
        <v>0</v>
      </c>
      <c r="C181" t="s">
        <v>523</v>
      </c>
      <c r="D181" t="s">
        <v>506</v>
      </c>
      <c r="E181" t="s">
        <v>515</v>
      </c>
      <c r="L181"/>
    </row>
    <row r="182" spans="1:12" x14ac:dyDescent="0.35">
      <c r="A182" t="s">
        <v>2821</v>
      </c>
      <c r="B182">
        <v>0</v>
      </c>
      <c r="C182" t="s">
        <v>523</v>
      </c>
      <c r="D182" t="s">
        <v>513</v>
      </c>
      <c r="E182" t="s">
        <v>517</v>
      </c>
      <c r="L182"/>
    </row>
    <row r="183" spans="1:12" x14ac:dyDescent="0.35">
      <c r="A183" t="s">
        <v>2822</v>
      </c>
      <c r="B183">
        <v>-3</v>
      </c>
      <c r="C183" t="s">
        <v>523</v>
      </c>
      <c r="D183" t="s">
        <v>507</v>
      </c>
      <c r="E183" t="s">
        <v>516</v>
      </c>
      <c r="L183"/>
    </row>
    <row r="184" spans="1:12" x14ac:dyDescent="0.35">
      <c r="A184" t="s">
        <v>2823</v>
      </c>
      <c r="B184">
        <v>0</v>
      </c>
      <c r="C184" t="s">
        <v>523</v>
      </c>
      <c r="D184" t="s">
        <v>506</v>
      </c>
      <c r="E184" t="s">
        <v>515</v>
      </c>
      <c r="L184"/>
    </row>
    <row r="185" spans="1:12" x14ac:dyDescent="0.35">
      <c r="A185" t="s">
        <v>2824</v>
      </c>
      <c r="B185">
        <v>0</v>
      </c>
      <c r="C185" t="s">
        <v>523</v>
      </c>
      <c r="D185" t="s">
        <v>506</v>
      </c>
      <c r="E185" t="s">
        <v>515</v>
      </c>
      <c r="L185"/>
    </row>
    <row r="186" spans="1:12" x14ac:dyDescent="0.35">
      <c r="A186" t="s">
        <v>2825</v>
      </c>
      <c r="B186">
        <v>0</v>
      </c>
      <c r="C186" t="s">
        <v>523</v>
      </c>
      <c r="D186" t="s">
        <v>513</v>
      </c>
      <c r="E186" t="s">
        <v>517</v>
      </c>
      <c r="L186"/>
    </row>
    <row r="187" spans="1:12" x14ac:dyDescent="0.35">
      <c r="A187" t="s">
        <v>2826</v>
      </c>
      <c r="B187">
        <v>0</v>
      </c>
      <c r="C187" t="s">
        <v>523</v>
      </c>
      <c r="D187" t="s">
        <v>506</v>
      </c>
      <c r="E187" t="s">
        <v>515</v>
      </c>
      <c r="L187"/>
    </row>
    <row r="188" spans="1:12" x14ac:dyDescent="0.35">
      <c r="A188" t="s">
        <v>2827</v>
      </c>
      <c r="B188">
        <v>0</v>
      </c>
      <c r="C188" t="s">
        <v>523</v>
      </c>
      <c r="D188" t="s">
        <v>506</v>
      </c>
      <c r="E188" t="s">
        <v>515</v>
      </c>
      <c r="L188"/>
    </row>
    <row r="189" spans="1:12" x14ac:dyDescent="0.35">
      <c r="A189" t="s">
        <v>2828</v>
      </c>
      <c r="B189">
        <v>-3</v>
      </c>
      <c r="C189" t="s">
        <v>523</v>
      </c>
      <c r="D189" t="s">
        <v>507</v>
      </c>
      <c r="E189" t="s">
        <v>516</v>
      </c>
      <c r="L189"/>
    </row>
    <row r="190" spans="1:12" x14ac:dyDescent="0.35">
      <c r="A190" t="s">
        <v>2829</v>
      </c>
      <c r="B190">
        <v>0</v>
      </c>
      <c r="C190" t="s">
        <v>523</v>
      </c>
      <c r="D190" t="s">
        <v>506</v>
      </c>
      <c r="E190" t="s">
        <v>515</v>
      </c>
      <c r="L190"/>
    </row>
    <row r="191" spans="1:12" x14ac:dyDescent="0.35">
      <c r="A191" t="s">
        <v>3439</v>
      </c>
      <c r="B191">
        <v>0</v>
      </c>
      <c r="C191" t="s">
        <v>523</v>
      </c>
      <c r="D191" t="s">
        <v>506</v>
      </c>
      <c r="E191" t="s">
        <v>515</v>
      </c>
      <c r="L191"/>
    </row>
    <row r="192" spans="1:12" x14ac:dyDescent="0.35">
      <c r="A192" t="s">
        <v>3440</v>
      </c>
      <c r="B192">
        <v>0</v>
      </c>
      <c r="C192" t="s">
        <v>523</v>
      </c>
      <c r="D192" t="s">
        <v>513</v>
      </c>
      <c r="E192" t="s">
        <v>517</v>
      </c>
      <c r="L192"/>
    </row>
    <row r="193" spans="1:12" x14ac:dyDescent="0.35">
      <c r="A193" t="s">
        <v>2830</v>
      </c>
      <c r="B193">
        <v>0</v>
      </c>
      <c r="C193" t="s">
        <v>523</v>
      </c>
      <c r="D193" t="s">
        <v>506</v>
      </c>
      <c r="E193" t="s">
        <v>515</v>
      </c>
      <c r="L193"/>
    </row>
    <row r="194" spans="1:12" x14ac:dyDescent="0.35">
      <c r="A194" t="s">
        <v>2831</v>
      </c>
      <c r="B194">
        <v>0</v>
      </c>
      <c r="C194" t="s">
        <v>523</v>
      </c>
      <c r="D194" t="s">
        <v>506</v>
      </c>
      <c r="E194" t="s">
        <v>515</v>
      </c>
      <c r="L194"/>
    </row>
    <row r="195" spans="1:12" x14ac:dyDescent="0.35">
      <c r="A195" t="s">
        <v>2832</v>
      </c>
      <c r="B195">
        <v>0</v>
      </c>
      <c r="C195" t="s">
        <v>523</v>
      </c>
      <c r="D195" t="s">
        <v>506</v>
      </c>
      <c r="E195" t="s">
        <v>515</v>
      </c>
      <c r="L195"/>
    </row>
    <row r="196" spans="1:12" x14ac:dyDescent="0.35">
      <c r="A196" t="s">
        <v>2833</v>
      </c>
      <c r="B196">
        <v>0</v>
      </c>
      <c r="C196" t="s">
        <v>523</v>
      </c>
      <c r="D196" t="s">
        <v>506</v>
      </c>
      <c r="E196" t="s">
        <v>515</v>
      </c>
      <c r="L196"/>
    </row>
    <row r="197" spans="1:12" x14ac:dyDescent="0.35">
      <c r="A197" t="s">
        <v>2834</v>
      </c>
      <c r="B197">
        <v>0</v>
      </c>
      <c r="C197" t="s">
        <v>523</v>
      </c>
      <c r="D197" t="s">
        <v>506</v>
      </c>
      <c r="E197" t="s">
        <v>515</v>
      </c>
      <c r="L197"/>
    </row>
    <row r="198" spans="1:12" x14ac:dyDescent="0.35">
      <c r="A198" t="s">
        <v>2835</v>
      </c>
      <c r="B198">
        <v>0</v>
      </c>
      <c r="C198" t="s">
        <v>523</v>
      </c>
      <c r="D198" t="s">
        <v>513</v>
      </c>
      <c r="E198" t="s">
        <v>520</v>
      </c>
      <c r="L198"/>
    </row>
    <row r="199" spans="1:12" x14ac:dyDescent="0.35">
      <c r="A199" t="s">
        <v>2836</v>
      </c>
      <c r="B199">
        <v>0</v>
      </c>
      <c r="C199" t="s">
        <v>523</v>
      </c>
      <c r="D199" t="s">
        <v>506</v>
      </c>
      <c r="E199" t="s">
        <v>515</v>
      </c>
      <c r="L199"/>
    </row>
    <row r="200" spans="1:12" x14ac:dyDescent="0.35">
      <c r="A200" t="s">
        <v>2837</v>
      </c>
      <c r="B200">
        <v>0</v>
      </c>
      <c r="C200" t="s">
        <v>523</v>
      </c>
      <c r="D200" t="s">
        <v>506</v>
      </c>
      <c r="E200" t="s">
        <v>515</v>
      </c>
      <c r="L200"/>
    </row>
    <row r="201" spans="1:12" x14ac:dyDescent="0.35">
      <c r="A201" t="s">
        <v>2838</v>
      </c>
      <c r="B201">
        <v>0</v>
      </c>
      <c r="C201" t="s">
        <v>523</v>
      </c>
      <c r="D201" t="s">
        <v>506</v>
      </c>
      <c r="E201" t="s">
        <v>515</v>
      </c>
      <c r="L201"/>
    </row>
    <row r="202" spans="1:12" x14ac:dyDescent="0.35">
      <c r="A202" t="s">
        <v>2839</v>
      </c>
      <c r="B202">
        <v>0</v>
      </c>
      <c r="C202" t="s">
        <v>523</v>
      </c>
      <c r="D202" t="s">
        <v>506</v>
      </c>
      <c r="E202" t="s">
        <v>515</v>
      </c>
      <c r="L202"/>
    </row>
    <row r="203" spans="1:12" x14ac:dyDescent="0.35">
      <c r="A203" t="s">
        <v>2840</v>
      </c>
      <c r="B203">
        <v>0</v>
      </c>
      <c r="C203" t="s">
        <v>523</v>
      </c>
      <c r="D203" t="s">
        <v>506</v>
      </c>
      <c r="E203" t="s">
        <v>515</v>
      </c>
      <c r="L203"/>
    </row>
    <row r="204" spans="1:12" x14ac:dyDescent="0.35">
      <c r="A204" t="s">
        <v>2841</v>
      </c>
      <c r="B204">
        <v>0</v>
      </c>
      <c r="C204" t="s">
        <v>523</v>
      </c>
      <c r="D204" t="s">
        <v>513</v>
      </c>
      <c r="E204" t="s">
        <v>517</v>
      </c>
      <c r="L204"/>
    </row>
    <row r="205" spans="1:12" x14ac:dyDescent="0.35">
      <c r="A205" t="s">
        <v>2842</v>
      </c>
      <c r="B205">
        <v>0</v>
      </c>
      <c r="C205" t="s">
        <v>523</v>
      </c>
      <c r="D205" t="s">
        <v>506</v>
      </c>
      <c r="E205" t="s">
        <v>515</v>
      </c>
      <c r="L205"/>
    </row>
    <row r="206" spans="1:12" x14ac:dyDescent="0.35">
      <c r="A206" t="s">
        <v>2843</v>
      </c>
      <c r="B206">
        <v>0</v>
      </c>
      <c r="C206" t="s">
        <v>523</v>
      </c>
      <c r="D206" t="s">
        <v>506</v>
      </c>
      <c r="E206" t="s">
        <v>515</v>
      </c>
      <c r="L206"/>
    </row>
    <row r="207" spans="1:12" x14ac:dyDescent="0.35">
      <c r="A207" t="s">
        <v>2844</v>
      </c>
      <c r="B207">
        <v>0</v>
      </c>
      <c r="C207" t="s">
        <v>523</v>
      </c>
      <c r="D207" t="s">
        <v>506</v>
      </c>
      <c r="E207" t="s">
        <v>515</v>
      </c>
      <c r="L207"/>
    </row>
    <row r="208" spans="1:12" x14ac:dyDescent="0.35">
      <c r="A208" t="s">
        <v>2845</v>
      </c>
      <c r="B208">
        <v>0</v>
      </c>
      <c r="C208" t="s">
        <v>523</v>
      </c>
      <c r="D208" t="s">
        <v>506</v>
      </c>
      <c r="E208" t="s">
        <v>515</v>
      </c>
      <c r="L208"/>
    </row>
    <row r="209" spans="1:12" x14ac:dyDescent="0.35">
      <c r="A209" t="s">
        <v>2846</v>
      </c>
      <c r="B209">
        <v>0</v>
      </c>
      <c r="C209" t="s">
        <v>523</v>
      </c>
      <c r="D209" t="s">
        <v>506</v>
      </c>
      <c r="E209" t="s">
        <v>515</v>
      </c>
      <c r="L209"/>
    </row>
    <row r="210" spans="1:12" x14ac:dyDescent="0.35">
      <c r="A210" t="s">
        <v>2847</v>
      </c>
      <c r="B210">
        <v>0</v>
      </c>
      <c r="C210" t="s">
        <v>523</v>
      </c>
      <c r="D210" t="s">
        <v>509</v>
      </c>
      <c r="E210" t="s">
        <v>515</v>
      </c>
      <c r="L210"/>
    </row>
    <row r="211" spans="1:12" x14ac:dyDescent="0.35">
      <c r="A211" t="s">
        <v>2848</v>
      </c>
      <c r="B211">
        <v>0</v>
      </c>
      <c r="C211" t="s">
        <v>523</v>
      </c>
      <c r="D211" t="s">
        <v>506</v>
      </c>
      <c r="E211" t="s">
        <v>515</v>
      </c>
      <c r="L211"/>
    </row>
    <row r="212" spans="1:12" x14ac:dyDescent="0.35">
      <c r="A212" t="s">
        <v>2849</v>
      </c>
      <c r="B212">
        <v>0</v>
      </c>
      <c r="C212" t="s">
        <v>523</v>
      </c>
      <c r="D212" t="s">
        <v>506</v>
      </c>
      <c r="E212" t="s">
        <v>515</v>
      </c>
      <c r="L212"/>
    </row>
    <row r="213" spans="1:12" x14ac:dyDescent="0.35">
      <c r="A213" t="s">
        <v>2850</v>
      </c>
      <c r="B213">
        <v>0</v>
      </c>
      <c r="C213" t="s">
        <v>523</v>
      </c>
      <c r="D213" t="s">
        <v>506</v>
      </c>
      <c r="E213" t="s">
        <v>515</v>
      </c>
      <c r="L213"/>
    </row>
    <row r="214" spans="1:12" x14ac:dyDescent="0.35">
      <c r="A214" t="s">
        <v>2851</v>
      </c>
      <c r="B214">
        <v>0</v>
      </c>
      <c r="C214" t="s">
        <v>523</v>
      </c>
      <c r="D214" t="s">
        <v>506</v>
      </c>
      <c r="E214" t="s">
        <v>515</v>
      </c>
      <c r="L214"/>
    </row>
    <row r="215" spans="1:12" x14ac:dyDescent="0.35">
      <c r="A215" t="s">
        <v>2852</v>
      </c>
      <c r="B215">
        <v>-3</v>
      </c>
      <c r="C215" t="s">
        <v>523</v>
      </c>
      <c r="D215" t="s">
        <v>513</v>
      </c>
      <c r="E215" t="s">
        <v>520</v>
      </c>
      <c r="L215"/>
    </row>
    <row r="216" spans="1:12" x14ac:dyDescent="0.35">
      <c r="A216" t="s">
        <v>2853</v>
      </c>
      <c r="B216">
        <v>0</v>
      </c>
      <c r="C216" t="s">
        <v>523</v>
      </c>
      <c r="D216" t="s">
        <v>506</v>
      </c>
      <c r="E216" t="s">
        <v>515</v>
      </c>
      <c r="L216"/>
    </row>
    <row r="217" spans="1:12" x14ac:dyDescent="0.35">
      <c r="A217" t="s">
        <v>2854</v>
      </c>
      <c r="B217">
        <v>0</v>
      </c>
      <c r="C217" t="s">
        <v>523</v>
      </c>
      <c r="D217" t="s">
        <v>513</v>
      </c>
      <c r="E217" t="s">
        <v>520</v>
      </c>
      <c r="L217"/>
    </row>
    <row r="218" spans="1:12" x14ac:dyDescent="0.35">
      <c r="A218" t="s">
        <v>2855</v>
      </c>
      <c r="B218">
        <v>0</v>
      </c>
      <c r="C218" t="s">
        <v>523</v>
      </c>
      <c r="D218" t="s">
        <v>506</v>
      </c>
      <c r="E218" t="s">
        <v>515</v>
      </c>
      <c r="L218"/>
    </row>
    <row r="219" spans="1:12" x14ac:dyDescent="0.35">
      <c r="A219" t="s">
        <v>2856</v>
      </c>
      <c r="B219">
        <v>0</v>
      </c>
      <c r="C219" t="s">
        <v>523</v>
      </c>
      <c r="D219" t="s">
        <v>506</v>
      </c>
      <c r="E219" t="s">
        <v>515</v>
      </c>
      <c r="L219"/>
    </row>
    <row r="220" spans="1:12" x14ac:dyDescent="0.35">
      <c r="A220" t="s">
        <v>2857</v>
      </c>
      <c r="B220">
        <v>0</v>
      </c>
      <c r="C220" t="s">
        <v>523</v>
      </c>
      <c r="D220" t="s">
        <v>506</v>
      </c>
      <c r="E220" t="s">
        <v>515</v>
      </c>
      <c r="L220"/>
    </row>
    <row r="221" spans="1:12" x14ac:dyDescent="0.35">
      <c r="A221" t="s">
        <v>2858</v>
      </c>
      <c r="B221">
        <v>0</v>
      </c>
      <c r="C221" t="s">
        <v>523</v>
      </c>
      <c r="D221" t="s">
        <v>506</v>
      </c>
      <c r="E221" t="s">
        <v>515</v>
      </c>
      <c r="L221"/>
    </row>
    <row r="222" spans="1:12" x14ac:dyDescent="0.35">
      <c r="A222" t="s">
        <v>2859</v>
      </c>
      <c r="B222">
        <v>0</v>
      </c>
      <c r="C222" t="s">
        <v>523</v>
      </c>
      <c r="D222" t="s">
        <v>513</v>
      </c>
      <c r="E222" t="s">
        <v>520</v>
      </c>
      <c r="L222"/>
    </row>
    <row r="223" spans="1:12" x14ac:dyDescent="0.35">
      <c r="A223" t="s">
        <v>2860</v>
      </c>
      <c r="B223">
        <v>0</v>
      </c>
      <c r="C223" t="s">
        <v>523</v>
      </c>
      <c r="D223" t="s">
        <v>506</v>
      </c>
      <c r="E223" t="s">
        <v>515</v>
      </c>
      <c r="L223"/>
    </row>
    <row r="224" spans="1:12" x14ac:dyDescent="0.35">
      <c r="A224" t="s">
        <v>2861</v>
      </c>
      <c r="B224">
        <v>0</v>
      </c>
      <c r="C224" t="s">
        <v>523</v>
      </c>
      <c r="D224" t="s">
        <v>506</v>
      </c>
      <c r="E224" t="s">
        <v>515</v>
      </c>
      <c r="L224"/>
    </row>
    <row r="225" spans="1:12" x14ac:dyDescent="0.35">
      <c r="A225" t="s">
        <v>3442</v>
      </c>
      <c r="B225">
        <v>0</v>
      </c>
      <c r="C225" t="s">
        <v>523</v>
      </c>
      <c r="D225" t="s">
        <v>506</v>
      </c>
      <c r="E225" t="s">
        <v>515</v>
      </c>
      <c r="L225"/>
    </row>
    <row r="226" spans="1:12" x14ac:dyDescent="0.35">
      <c r="A226" t="s">
        <v>2862</v>
      </c>
      <c r="B226">
        <v>0</v>
      </c>
      <c r="C226" t="s">
        <v>523</v>
      </c>
      <c r="D226" t="s">
        <v>506</v>
      </c>
      <c r="E226" t="s">
        <v>515</v>
      </c>
      <c r="L226"/>
    </row>
    <row r="227" spans="1:12" x14ac:dyDescent="0.35">
      <c r="A227" t="s">
        <v>2863</v>
      </c>
      <c r="B227">
        <v>0</v>
      </c>
      <c r="C227" t="s">
        <v>523</v>
      </c>
      <c r="D227" t="s">
        <v>506</v>
      </c>
      <c r="E227" t="s">
        <v>515</v>
      </c>
      <c r="L227"/>
    </row>
    <row r="228" spans="1:12" x14ac:dyDescent="0.35">
      <c r="A228" t="s">
        <v>2864</v>
      </c>
      <c r="B228">
        <v>0</v>
      </c>
      <c r="C228" t="s">
        <v>523</v>
      </c>
      <c r="D228" t="s">
        <v>506</v>
      </c>
      <c r="E228" t="s">
        <v>515</v>
      </c>
      <c r="L228"/>
    </row>
    <row r="229" spans="1:12" x14ac:dyDescent="0.35">
      <c r="A229" t="s">
        <v>2865</v>
      </c>
      <c r="B229">
        <v>0</v>
      </c>
      <c r="C229" t="s">
        <v>523</v>
      </c>
      <c r="D229" t="s">
        <v>506</v>
      </c>
      <c r="E229" t="s">
        <v>515</v>
      </c>
      <c r="L229"/>
    </row>
    <row r="230" spans="1:12" x14ac:dyDescent="0.35">
      <c r="A230" t="s">
        <v>2866</v>
      </c>
      <c r="B230">
        <v>0</v>
      </c>
      <c r="C230" t="s">
        <v>523</v>
      </c>
      <c r="D230" t="s">
        <v>506</v>
      </c>
      <c r="E230" t="s">
        <v>515</v>
      </c>
      <c r="L230"/>
    </row>
    <row r="231" spans="1:12" x14ac:dyDescent="0.35">
      <c r="A231" t="s">
        <v>2867</v>
      </c>
      <c r="B231">
        <v>0</v>
      </c>
      <c r="C231" t="s">
        <v>523</v>
      </c>
      <c r="D231" t="s">
        <v>506</v>
      </c>
      <c r="E231" t="s">
        <v>515</v>
      </c>
      <c r="L231"/>
    </row>
    <row r="232" spans="1:12" x14ac:dyDescent="0.35">
      <c r="A232" t="s">
        <v>2868</v>
      </c>
      <c r="B232">
        <v>0</v>
      </c>
      <c r="C232" t="s">
        <v>523</v>
      </c>
      <c r="D232" t="s">
        <v>513</v>
      </c>
      <c r="E232" t="s">
        <v>519</v>
      </c>
      <c r="L232"/>
    </row>
    <row r="233" spans="1:12" x14ac:dyDescent="0.35">
      <c r="A233" t="s">
        <v>2869</v>
      </c>
      <c r="B233">
        <v>0</v>
      </c>
      <c r="C233" t="s">
        <v>523</v>
      </c>
      <c r="D233" t="s">
        <v>506</v>
      </c>
      <c r="E233" t="s">
        <v>515</v>
      </c>
      <c r="L233"/>
    </row>
    <row r="234" spans="1:12" x14ac:dyDescent="0.35">
      <c r="A234" t="s">
        <v>2870</v>
      </c>
      <c r="B234">
        <v>0</v>
      </c>
      <c r="C234" t="s">
        <v>523</v>
      </c>
      <c r="D234" t="s">
        <v>506</v>
      </c>
      <c r="E234" t="s">
        <v>515</v>
      </c>
      <c r="L234"/>
    </row>
    <row r="235" spans="1:12" x14ac:dyDescent="0.35">
      <c r="A235" t="s">
        <v>2871</v>
      </c>
      <c r="B235">
        <v>0</v>
      </c>
      <c r="C235" t="s">
        <v>523</v>
      </c>
      <c r="D235" t="s">
        <v>513</v>
      </c>
      <c r="E235" t="s">
        <v>517</v>
      </c>
      <c r="L235"/>
    </row>
    <row r="236" spans="1:12" x14ac:dyDescent="0.35">
      <c r="A236" t="s">
        <v>2872</v>
      </c>
      <c r="B236">
        <v>0</v>
      </c>
      <c r="C236" t="s">
        <v>523</v>
      </c>
      <c r="D236" t="s">
        <v>513</v>
      </c>
      <c r="E236" t="s">
        <v>519</v>
      </c>
      <c r="L236"/>
    </row>
    <row r="237" spans="1:12" x14ac:dyDescent="0.35">
      <c r="A237" t="s">
        <v>2873</v>
      </c>
      <c r="B237">
        <v>0</v>
      </c>
      <c r="C237" t="s">
        <v>523</v>
      </c>
      <c r="D237" t="s">
        <v>513</v>
      </c>
      <c r="E237" t="s">
        <v>517</v>
      </c>
      <c r="L237"/>
    </row>
    <row r="238" spans="1:12" x14ac:dyDescent="0.35">
      <c r="A238" t="s">
        <v>2874</v>
      </c>
      <c r="B238">
        <v>0</v>
      </c>
      <c r="C238" t="s">
        <v>523</v>
      </c>
      <c r="D238" t="s">
        <v>506</v>
      </c>
      <c r="E238" t="s">
        <v>515</v>
      </c>
      <c r="L238"/>
    </row>
    <row r="239" spans="1:12" x14ac:dyDescent="0.35">
      <c r="A239" t="s">
        <v>2875</v>
      </c>
      <c r="B239">
        <v>0</v>
      </c>
      <c r="C239" t="s">
        <v>523</v>
      </c>
      <c r="D239" t="s">
        <v>506</v>
      </c>
      <c r="E239" t="s">
        <v>515</v>
      </c>
      <c r="L239"/>
    </row>
    <row r="240" spans="1:12" x14ac:dyDescent="0.35">
      <c r="A240" t="s">
        <v>2876</v>
      </c>
      <c r="B240">
        <v>0</v>
      </c>
      <c r="C240" t="s">
        <v>523</v>
      </c>
      <c r="D240" t="s">
        <v>513</v>
      </c>
      <c r="E240" t="s">
        <v>517</v>
      </c>
      <c r="L240"/>
    </row>
    <row r="241" spans="1:12" x14ac:dyDescent="0.35">
      <c r="A241" t="s">
        <v>2877</v>
      </c>
      <c r="B241">
        <v>0</v>
      </c>
      <c r="C241" t="s">
        <v>523</v>
      </c>
      <c r="D241" t="s">
        <v>513</v>
      </c>
      <c r="E241" t="s">
        <v>517</v>
      </c>
      <c r="L241"/>
    </row>
    <row r="242" spans="1:12" x14ac:dyDescent="0.35">
      <c r="A242" t="s">
        <v>2878</v>
      </c>
      <c r="B242">
        <v>0</v>
      </c>
      <c r="C242" t="s">
        <v>523</v>
      </c>
      <c r="D242" t="s">
        <v>506</v>
      </c>
      <c r="E242" t="s">
        <v>515</v>
      </c>
      <c r="L242"/>
    </row>
    <row r="243" spans="1:12" x14ac:dyDescent="0.35">
      <c r="A243" t="s">
        <v>2879</v>
      </c>
      <c r="B243">
        <v>0</v>
      </c>
      <c r="C243" t="s">
        <v>523</v>
      </c>
      <c r="D243" t="s">
        <v>506</v>
      </c>
      <c r="E243" t="s">
        <v>515</v>
      </c>
      <c r="L243"/>
    </row>
    <row r="244" spans="1:12" x14ac:dyDescent="0.35">
      <c r="A244" t="s">
        <v>2880</v>
      </c>
      <c r="B244">
        <v>0</v>
      </c>
      <c r="C244" t="s">
        <v>523</v>
      </c>
      <c r="D244" t="s">
        <v>506</v>
      </c>
      <c r="E244" t="s">
        <v>515</v>
      </c>
      <c r="L244"/>
    </row>
    <row r="245" spans="1:12" x14ac:dyDescent="0.35">
      <c r="A245" t="s">
        <v>2881</v>
      </c>
      <c r="B245">
        <v>0</v>
      </c>
      <c r="C245" t="s">
        <v>523</v>
      </c>
      <c r="D245" t="s">
        <v>506</v>
      </c>
      <c r="E245" t="s">
        <v>515</v>
      </c>
      <c r="L245"/>
    </row>
    <row r="246" spans="1:12" x14ac:dyDescent="0.35">
      <c r="A246" t="s">
        <v>2882</v>
      </c>
      <c r="B246">
        <v>0</v>
      </c>
      <c r="C246" t="s">
        <v>523</v>
      </c>
      <c r="D246" t="s">
        <v>506</v>
      </c>
      <c r="E246" t="s">
        <v>515</v>
      </c>
      <c r="L246"/>
    </row>
    <row r="247" spans="1:12" x14ac:dyDescent="0.35">
      <c r="A247" t="s">
        <v>2883</v>
      </c>
      <c r="B247">
        <v>0</v>
      </c>
      <c r="C247" t="s">
        <v>523</v>
      </c>
      <c r="D247" t="s">
        <v>506</v>
      </c>
      <c r="E247" t="s">
        <v>515</v>
      </c>
      <c r="L247"/>
    </row>
    <row r="248" spans="1:12" x14ac:dyDescent="0.35">
      <c r="A248" t="s">
        <v>2884</v>
      </c>
      <c r="B248">
        <v>0</v>
      </c>
      <c r="C248" t="s">
        <v>523</v>
      </c>
      <c r="D248" t="s">
        <v>506</v>
      </c>
      <c r="E248" t="s">
        <v>515</v>
      </c>
      <c r="L248"/>
    </row>
    <row r="249" spans="1:12" x14ac:dyDescent="0.35">
      <c r="A249" t="s">
        <v>2885</v>
      </c>
      <c r="B249">
        <v>0</v>
      </c>
      <c r="C249" t="s">
        <v>523</v>
      </c>
      <c r="D249" t="s">
        <v>506</v>
      </c>
      <c r="E249" t="s">
        <v>515</v>
      </c>
      <c r="L249"/>
    </row>
    <row r="250" spans="1:12" x14ac:dyDescent="0.35">
      <c r="A250" t="s">
        <v>2886</v>
      </c>
      <c r="B250">
        <v>0</v>
      </c>
      <c r="C250" t="s">
        <v>523</v>
      </c>
      <c r="D250" t="s">
        <v>506</v>
      </c>
      <c r="E250" t="s">
        <v>515</v>
      </c>
      <c r="L250"/>
    </row>
    <row r="251" spans="1:12" x14ac:dyDescent="0.35">
      <c r="A251" t="s">
        <v>2887</v>
      </c>
      <c r="B251">
        <v>0</v>
      </c>
      <c r="C251" t="s">
        <v>523</v>
      </c>
      <c r="D251" t="s">
        <v>506</v>
      </c>
      <c r="E251" t="s">
        <v>515</v>
      </c>
      <c r="L251"/>
    </row>
    <row r="252" spans="1:12" x14ac:dyDescent="0.35">
      <c r="A252" t="s">
        <v>2888</v>
      </c>
      <c r="B252">
        <v>0</v>
      </c>
      <c r="C252" t="s">
        <v>523</v>
      </c>
      <c r="D252" t="s">
        <v>506</v>
      </c>
      <c r="E252" t="s">
        <v>515</v>
      </c>
      <c r="L252"/>
    </row>
    <row r="253" spans="1:12" x14ac:dyDescent="0.35">
      <c r="A253" t="s">
        <v>2889</v>
      </c>
      <c r="B253">
        <v>0</v>
      </c>
      <c r="C253" t="s">
        <v>523</v>
      </c>
      <c r="D253" t="s">
        <v>506</v>
      </c>
      <c r="E253" t="s">
        <v>515</v>
      </c>
      <c r="L253"/>
    </row>
    <row r="254" spans="1:12" x14ac:dyDescent="0.35">
      <c r="A254" t="s">
        <v>2890</v>
      </c>
      <c r="B254">
        <v>0</v>
      </c>
      <c r="C254" t="s">
        <v>523</v>
      </c>
      <c r="D254" t="s">
        <v>506</v>
      </c>
      <c r="E254" t="s">
        <v>515</v>
      </c>
      <c r="L254"/>
    </row>
    <row r="255" spans="1:12" x14ac:dyDescent="0.35">
      <c r="A255" t="s">
        <v>2891</v>
      </c>
      <c r="B255">
        <v>0</v>
      </c>
      <c r="C255" t="s">
        <v>523</v>
      </c>
      <c r="D255" t="s">
        <v>506</v>
      </c>
      <c r="E255" t="s">
        <v>515</v>
      </c>
      <c r="L255"/>
    </row>
    <row r="256" spans="1:12" x14ac:dyDescent="0.35">
      <c r="A256" t="s">
        <v>2892</v>
      </c>
      <c r="B256">
        <v>0</v>
      </c>
      <c r="C256" t="s">
        <v>523</v>
      </c>
      <c r="D256" t="s">
        <v>506</v>
      </c>
      <c r="E256" t="s">
        <v>515</v>
      </c>
      <c r="L256"/>
    </row>
    <row r="257" spans="1:12" x14ac:dyDescent="0.35">
      <c r="A257" t="s">
        <v>3451</v>
      </c>
      <c r="B257">
        <v>0</v>
      </c>
      <c r="C257" t="s">
        <v>523</v>
      </c>
      <c r="D257" t="s">
        <v>506</v>
      </c>
      <c r="E257" t="s">
        <v>515</v>
      </c>
      <c r="L257"/>
    </row>
    <row r="258" spans="1:12" x14ac:dyDescent="0.35">
      <c r="A258" t="s">
        <v>2893</v>
      </c>
      <c r="B258">
        <v>0</v>
      </c>
      <c r="C258" t="s">
        <v>523</v>
      </c>
      <c r="D258" t="s">
        <v>506</v>
      </c>
      <c r="E258" t="s">
        <v>515</v>
      </c>
      <c r="L258"/>
    </row>
    <row r="259" spans="1:12" x14ac:dyDescent="0.35">
      <c r="A259" t="s">
        <v>2894</v>
      </c>
      <c r="B259">
        <v>0</v>
      </c>
      <c r="C259" t="s">
        <v>523</v>
      </c>
      <c r="D259" t="s">
        <v>506</v>
      </c>
      <c r="E259" t="s">
        <v>515</v>
      </c>
      <c r="L259"/>
    </row>
    <row r="260" spans="1:12" x14ac:dyDescent="0.35">
      <c r="A260" t="s">
        <v>2895</v>
      </c>
      <c r="B260">
        <v>0</v>
      </c>
      <c r="C260" t="s">
        <v>523</v>
      </c>
      <c r="D260" t="s">
        <v>506</v>
      </c>
      <c r="E260" t="s">
        <v>515</v>
      </c>
      <c r="L260"/>
    </row>
    <row r="261" spans="1:12" x14ac:dyDescent="0.35">
      <c r="A261" t="s">
        <v>2896</v>
      </c>
      <c r="B261">
        <v>0</v>
      </c>
      <c r="C261" t="s">
        <v>523</v>
      </c>
      <c r="D261" t="s">
        <v>506</v>
      </c>
      <c r="E261" t="s">
        <v>515</v>
      </c>
      <c r="L261"/>
    </row>
    <row r="262" spans="1:12" x14ac:dyDescent="0.35">
      <c r="A262" t="s">
        <v>2897</v>
      </c>
      <c r="B262">
        <v>0</v>
      </c>
      <c r="C262" t="s">
        <v>523</v>
      </c>
      <c r="D262" t="s">
        <v>506</v>
      </c>
      <c r="E262" t="s">
        <v>515</v>
      </c>
      <c r="L262"/>
    </row>
    <row r="263" spans="1:12" x14ac:dyDescent="0.35">
      <c r="A263" t="s">
        <v>2898</v>
      </c>
      <c r="B263">
        <v>0</v>
      </c>
      <c r="C263" t="s">
        <v>523</v>
      </c>
      <c r="D263" t="s">
        <v>506</v>
      </c>
      <c r="E263" t="s">
        <v>515</v>
      </c>
      <c r="L263"/>
    </row>
    <row r="264" spans="1:12" x14ac:dyDescent="0.35">
      <c r="A264" t="s">
        <v>2899</v>
      </c>
      <c r="B264">
        <v>0</v>
      </c>
      <c r="C264" t="s">
        <v>523</v>
      </c>
      <c r="D264" t="s">
        <v>506</v>
      </c>
      <c r="E264" t="s">
        <v>515</v>
      </c>
      <c r="L264"/>
    </row>
    <row r="265" spans="1:12" x14ac:dyDescent="0.35">
      <c r="A265" t="s">
        <v>2900</v>
      </c>
      <c r="B265">
        <v>0</v>
      </c>
      <c r="C265" t="s">
        <v>523</v>
      </c>
      <c r="D265" t="s">
        <v>506</v>
      </c>
      <c r="E265" t="s">
        <v>515</v>
      </c>
      <c r="L265"/>
    </row>
    <row r="266" spans="1:12" x14ac:dyDescent="0.35">
      <c r="A266" t="s">
        <v>3470</v>
      </c>
      <c r="B266">
        <v>0</v>
      </c>
      <c r="C266" t="s">
        <v>523</v>
      </c>
      <c r="D266" t="s">
        <v>506</v>
      </c>
      <c r="E266" t="s">
        <v>515</v>
      </c>
      <c r="L266"/>
    </row>
    <row r="267" spans="1:12" x14ac:dyDescent="0.35">
      <c r="A267" t="s">
        <v>2901</v>
      </c>
      <c r="B267">
        <v>0</v>
      </c>
      <c r="C267" t="s">
        <v>523</v>
      </c>
      <c r="D267" t="s">
        <v>506</v>
      </c>
      <c r="E267" t="s">
        <v>515</v>
      </c>
      <c r="L267"/>
    </row>
    <row r="268" spans="1:12" x14ac:dyDescent="0.35">
      <c r="A268" t="s">
        <v>2902</v>
      </c>
      <c r="B268">
        <v>0</v>
      </c>
      <c r="C268" t="s">
        <v>523</v>
      </c>
      <c r="D268" t="s">
        <v>513</v>
      </c>
      <c r="E268" t="s">
        <v>517</v>
      </c>
      <c r="L268"/>
    </row>
    <row r="269" spans="1:12" x14ac:dyDescent="0.35">
      <c r="A269" t="s">
        <v>2903</v>
      </c>
      <c r="B269">
        <v>0</v>
      </c>
      <c r="C269" t="s">
        <v>523</v>
      </c>
      <c r="D269" t="s">
        <v>506</v>
      </c>
      <c r="E269" t="s">
        <v>515</v>
      </c>
      <c r="L269"/>
    </row>
    <row r="270" spans="1:12" x14ac:dyDescent="0.35">
      <c r="A270" t="s">
        <v>2904</v>
      </c>
      <c r="B270">
        <v>0</v>
      </c>
      <c r="C270" t="s">
        <v>523</v>
      </c>
      <c r="D270" t="s">
        <v>506</v>
      </c>
      <c r="E270" t="s">
        <v>515</v>
      </c>
      <c r="L270"/>
    </row>
    <row r="271" spans="1:12" x14ac:dyDescent="0.35">
      <c r="A271" t="s">
        <v>2905</v>
      </c>
      <c r="B271">
        <v>0</v>
      </c>
      <c r="C271" t="s">
        <v>523</v>
      </c>
      <c r="D271" t="s">
        <v>506</v>
      </c>
      <c r="E271" t="s">
        <v>515</v>
      </c>
      <c r="L271"/>
    </row>
    <row r="272" spans="1:12" x14ac:dyDescent="0.35">
      <c r="A272" t="s">
        <v>2906</v>
      </c>
      <c r="B272">
        <v>0</v>
      </c>
      <c r="C272" t="s">
        <v>523</v>
      </c>
      <c r="D272" t="s">
        <v>506</v>
      </c>
      <c r="E272" t="s">
        <v>515</v>
      </c>
      <c r="L272"/>
    </row>
    <row r="273" spans="1:12" x14ac:dyDescent="0.35">
      <c r="A273" t="s">
        <v>2907</v>
      </c>
      <c r="B273">
        <v>0</v>
      </c>
      <c r="C273" t="s">
        <v>523</v>
      </c>
      <c r="D273" t="s">
        <v>506</v>
      </c>
      <c r="E273" t="s">
        <v>515</v>
      </c>
      <c r="L273"/>
    </row>
    <row r="274" spans="1:12" x14ac:dyDescent="0.35">
      <c r="A274" t="s">
        <v>2908</v>
      </c>
      <c r="B274">
        <v>0</v>
      </c>
      <c r="C274" t="s">
        <v>523</v>
      </c>
      <c r="D274" t="s">
        <v>506</v>
      </c>
      <c r="E274" t="s">
        <v>515</v>
      </c>
      <c r="L274"/>
    </row>
    <row r="275" spans="1:12" x14ac:dyDescent="0.35">
      <c r="A275" t="s">
        <v>2909</v>
      </c>
      <c r="B275">
        <v>0</v>
      </c>
      <c r="C275" t="s">
        <v>523</v>
      </c>
      <c r="D275" t="s">
        <v>506</v>
      </c>
      <c r="E275" t="s">
        <v>515</v>
      </c>
      <c r="L275"/>
    </row>
    <row r="276" spans="1:12" x14ac:dyDescent="0.35">
      <c r="A276" t="s">
        <v>2910</v>
      </c>
      <c r="B276">
        <v>0</v>
      </c>
      <c r="C276" t="s">
        <v>523</v>
      </c>
      <c r="D276" t="s">
        <v>506</v>
      </c>
      <c r="E276" t="s">
        <v>515</v>
      </c>
      <c r="L276"/>
    </row>
    <row r="277" spans="1:12" x14ac:dyDescent="0.35">
      <c r="A277" t="s">
        <v>2911</v>
      </c>
      <c r="B277">
        <v>0</v>
      </c>
      <c r="C277" t="s">
        <v>523</v>
      </c>
      <c r="D277" t="s">
        <v>506</v>
      </c>
      <c r="E277" t="s">
        <v>515</v>
      </c>
      <c r="L277"/>
    </row>
    <row r="278" spans="1:12" x14ac:dyDescent="0.35">
      <c r="A278" t="s">
        <v>2912</v>
      </c>
      <c r="B278">
        <v>0</v>
      </c>
      <c r="C278" t="s">
        <v>523</v>
      </c>
      <c r="D278" t="s">
        <v>506</v>
      </c>
      <c r="E278" t="s">
        <v>515</v>
      </c>
      <c r="L278"/>
    </row>
    <row r="279" spans="1:12" x14ac:dyDescent="0.35">
      <c r="A279" t="s">
        <v>2913</v>
      </c>
      <c r="B279">
        <v>0</v>
      </c>
      <c r="C279" t="s">
        <v>523</v>
      </c>
      <c r="D279" t="s">
        <v>506</v>
      </c>
      <c r="E279" t="s">
        <v>515</v>
      </c>
      <c r="L279"/>
    </row>
    <row r="280" spans="1:12" x14ac:dyDescent="0.35">
      <c r="A280" t="s">
        <v>2914</v>
      </c>
      <c r="B280">
        <v>0</v>
      </c>
      <c r="C280" t="s">
        <v>523</v>
      </c>
      <c r="D280" t="s">
        <v>506</v>
      </c>
      <c r="E280" t="s">
        <v>515</v>
      </c>
      <c r="L280"/>
    </row>
    <row r="281" spans="1:12" x14ac:dyDescent="0.35">
      <c r="A281" t="s">
        <v>2915</v>
      </c>
      <c r="B281">
        <v>0</v>
      </c>
      <c r="C281" t="s">
        <v>523</v>
      </c>
      <c r="D281" t="s">
        <v>506</v>
      </c>
      <c r="E281" t="s">
        <v>515</v>
      </c>
      <c r="L281"/>
    </row>
    <row r="282" spans="1:12" x14ac:dyDescent="0.35">
      <c r="A282" t="s">
        <v>2916</v>
      </c>
      <c r="B282">
        <v>0</v>
      </c>
      <c r="C282" t="s">
        <v>523</v>
      </c>
      <c r="D282" t="s">
        <v>506</v>
      </c>
      <c r="E282" t="s">
        <v>515</v>
      </c>
      <c r="L282"/>
    </row>
    <row r="283" spans="1:12" x14ac:dyDescent="0.35">
      <c r="A283" t="s">
        <v>2917</v>
      </c>
      <c r="B283">
        <v>0</v>
      </c>
      <c r="C283" t="s">
        <v>523</v>
      </c>
      <c r="D283" t="s">
        <v>513</v>
      </c>
      <c r="E283" t="s">
        <v>519</v>
      </c>
      <c r="L283"/>
    </row>
    <row r="284" spans="1:12" x14ac:dyDescent="0.35">
      <c r="A284" t="s">
        <v>2918</v>
      </c>
      <c r="B284">
        <v>0</v>
      </c>
      <c r="C284" t="s">
        <v>523</v>
      </c>
      <c r="D284" t="s">
        <v>506</v>
      </c>
      <c r="E284" t="s">
        <v>515</v>
      </c>
      <c r="L284"/>
    </row>
    <row r="285" spans="1:12" x14ac:dyDescent="0.35">
      <c r="A285" t="s">
        <v>2919</v>
      </c>
      <c r="B285">
        <v>0</v>
      </c>
      <c r="C285" t="s">
        <v>523</v>
      </c>
      <c r="D285" t="s">
        <v>508</v>
      </c>
      <c r="E285" t="s">
        <v>515</v>
      </c>
      <c r="L285"/>
    </row>
    <row r="286" spans="1:12" x14ac:dyDescent="0.35">
      <c r="A286" t="s">
        <v>2920</v>
      </c>
      <c r="B286">
        <v>0</v>
      </c>
      <c r="C286" t="s">
        <v>523</v>
      </c>
      <c r="D286" t="s">
        <v>513</v>
      </c>
      <c r="E286" t="s">
        <v>519</v>
      </c>
      <c r="L286"/>
    </row>
    <row r="287" spans="1:12" x14ac:dyDescent="0.35">
      <c r="A287" t="s">
        <v>2921</v>
      </c>
      <c r="B287">
        <v>0</v>
      </c>
      <c r="C287" t="s">
        <v>523</v>
      </c>
      <c r="D287" t="s">
        <v>506</v>
      </c>
      <c r="E287" t="s">
        <v>515</v>
      </c>
      <c r="L287"/>
    </row>
    <row r="288" spans="1:12" x14ac:dyDescent="0.35">
      <c r="A288" t="s">
        <v>2922</v>
      </c>
      <c r="B288">
        <v>0</v>
      </c>
      <c r="C288" t="s">
        <v>523</v>
      </c>
      <c r="D288" t="s">
        <v>506</v>
      </c>
      <c r="E288" t="s">
        <v>515</v>
      </c>
      <c r="L288"/>
    </row>
    <row r="289" spans="1:12" x14ac:dyDescent="0.35">
      <c r="A289" t="s">
        <v>2923</v>
      </c>
      <c r="B289">
        <v>0</v>
      </c>
      <c r="C289" t="s">
        <v>523</v>
      </c>
      <c r="D289" t="s">
        <v>506</v>
      </c>
      <c r="E289" t="s">
        <v>515</v>
      </c>
      <c r="L289"/>
    </row>
    <row r="290" spans="1:12" x14ac:dyDescent="0.35">
      <c r="A290" t="s">
        <v>2924</v>
      </c>
      <c r="B290">
        <v>0</v>
      </c>
      <c r="C290" t="s">
        <v>523</v>
      </c>
      <c r="D290" t="s">
        <v>506</v>
      </c>
      <c r="E290" t="s">
        <v>515</v>
      </c>
      <c r="L290"/>
    </row>
    <row r="291" spans="1:12" x14ac:dyDescent="0.35">
      <c r="A291" t="s">
        <v>2925</v>
      </c>
      <c r="B291">
        <v>0</v>
      </c>
      <c r="C291" t="s">
        <v>523</v>
      </c>
      <c r="D291" t="s">
        <v>506</v>
      </c>
      <c r="E291" t="s">
        <v>515</v>
      </c>
      <c r="L291"/>
    </row>
    <row r="292" spans="1:12" x14ac:dyDescent="0.35">
      <c r="A292" t="s">
        <v>2926</v>
      </c>
      <c r="B292">
        <v>0</v>
      </c>
      <c r="C292" t="s">
        <v>523</v>
      </c>
      <c r="D292" t="s">
        <v>506</v>
      </c>
      <c r="E292" t="s">
        <v>515</v>
      </c>
      <c r="L292"/>
    </row>
    <row r="293" spans="1:12" x14ac:dyDescent="0.35">
      <c r="A293" t="s">
        <v>2927</v>
      </c>
      <c r="B293">
        <v>0</v>
      </c>
      <c r="C293" t="s">
        <v>523</v>
      </c>
      <c r="D293" t="s">
        <v>506</v>
      </c>
      <c r="E293" t="s">
        <v>515</v>
      </c>
      <c r="L293"/>
    </row>
    <row r="294" spans="1:12" x14ac:dyDescent="0.35">
      <c r="A294" t="s">
        <v>2928</v>
      </c>
      <c r="B294">
        <v>0</v>
      </c>
      <c r="C294" t="s">
        <v>523</v>
      </c>
      <c r="D294" t="s">
        <v>506</v>
      </c>
      <c r="E294" t="s">
        <v>515</v>
      </c>
      <c r="L294"/>
    </row>
    <row r="295" spans="1:12" x14ac:dyDescent="0.35">
      <c r="A295" t="s">
        <v>2929</v>
      </c>
      <c r="B295">
        <v>0</v>
      </c>
      <c r="C295" t="s">
        <v>523</v>
      </c>
      <c r="D295" t="s">
        <v>506</v>
      </c>
      <c r="E295" t="s">
        <v>515</v>
      </c>
      <c r="L295"/>
    </row>
    <row r="296" spans="1:12" x14ac:dyDescent="0.35">
      <c r="A296" t="s">
        <v>2930</v>
      </c>
      <c r="B296">
        <v>0</v>
      </c>
      <c r="C296" t="s">
        <v>523</v>
      </c>
      <c r="D296" t="s">
        <v>507</v>
      </c>
      <c r="E296" t="s">
        <v>516</v>
      </c>
      <c r="L296"/>
    </row>
    <row r="297" spans="1:12" x14ac:dyDescent="0.35">
      <c r="A297" t="s">
        <v>2931</v>
      </c>
      <c r="B297">
        <v>0</v>
      </c>
      <c r="C297" t="s">
        <v>523</v>
      </c>
      <c r="D297" t="s">
        <v>506</v>
      </c>
      <c r="E297" t="s">
        <v>515</v>
      </c>
      <c r="L297"/>
    </row>
    <row r="298" spans="1:12" x14ac:dyDescent="0.35">
      <c r="A298" t="s">
        <v>2932</v>
      </c>
      <c r="B298">
        <v>0</v>
      </c>
      <c r="C298" t="s">
        <v>523</v>
      </c>
      <c r="D298" t="s">
        <v>506</v>
      </c>
      <c r="E298" t="s">
        <v>515</v>
      </c>
      <c r="L298"/>
    </row>
    <row r="299" spans="1:12" x14ac:dyDescent="0.35">
      <c r="A299" t="s">
        <v>2933</v>
      </c>
      <c r="B299">
        <v>0</v>
      </c>
      <c r="C299" t="s">
        <v>523</v>
      </c>
      <c r="D299" t="s">
        <v>506</v>
      </c>
      <c r="E299" t="s">
        <v>515</v>
      </c>
      <c r="L299"/>
    </row>
    <row r="300" spans="1:12" x14ac:dyDescent="0.35">
      <c r="A300" t="s">
        <v>2934</v>
      </c>
      <c r="B300">
        <v>0</v>
      </c>
      <c r="C300" t="s">
        <v>523</v>
      </c>
      <c r="D300" t="s">
        <v>506</v>
      </c>
      <c r="E300" t="s">
        <v>515</v>
      </c>
      <c r="L300"/>
    </row>
    <row r="301" spans="1:12" x14ac:dyDescent="0.35">
      <c r="A301" t="s">
        <v>2935</v>
      </c>
      <c r="B301">
        <v>0</v>
      </c>
      <c r="C301" t="s">
        <v>523</v>
      </c>
      <c r="D301" t="s">
        <v>510</v>
      </c>
      <c r="E301" t="s">
        <v>517</v>
      </c>
      <c r="L301"/>
    </row>
    <row r="302" spans="1:12" x14ac:dyDescent="0.35">
      <c r="A302" t="s">
        <v>2936</v>
      </c>
      <c r="B302">
        <v>0</v>
      </c>
      <c r="C302" t="s">
        <v>523</v>
      </c>
      <c r="D302" t="s">
        <v>510</v>
      </c>
      <c r="E302" t="s">
        <v>517</v>
      </c>
      <c r="L302"/>
    </row>
    <row r="303" spans="1:12" x14ac:dyDescent="0.35">
      <c r="A303" t="s">
        <v>2937</v>
      </c>
      <c r="B303">
        <v>0</v>
      </c>
      <c r="C303" t="s">
        <v>523</v>
      </c>
      <c r="D303" t="s">
        <v>510</v>
      </c>
      <c r="E303" t="s">
        <v>517</v>
      </c>
      <c r="L303"/>
    </row>
    <row r="304" spans="1:12" x14ac:dyDescent="0.35">
      <c r="A304" t="s">
        <v>2938</v>
      </c>
      <c r="B304">
        <v>0</v>
      </c>
      <c r="C304" t="s">
        <v>523</v>
      </c>
      <c r="D304" t="s">
        <v>510</v>
      </c>
      <c r="E304" t="s">
        <v>517</v>
      </c>
      <c r="L304"/>
    </row>
    <row r="305" spans="1:12" x14ac:dyDescent="0.35">
      <c r="A305" t="s">
        <v>2939</v>
      </c>
      <c r="B305">
        <v>0</v>
      </c>
      <c r="C305" t="s">
        <v>523</v>
      </c>
      <c r="D305" t="s">
        <v>510</v>
      </c>
      <c r="E305" t="s">
        <v>517</v>
      </c>
      <c r="L305"/>
    </row>
    <row r="306" spans="1:12" x14ac:dyDescent="0.35">
      <c r="A306" t="s">
        <v>2940</v>
      </c>
      <c r="B306">
        <v>0</v>
      </c>
      <c r="C306" t="s">
        <v>523</v>
      </c>
      <c r="D306" t="s">
        <v>510</v>
      </c>
      <c r="E306" t="s">
        <v>517</v>
      </c>
      <c r="L306"/>
    </row>
    <row r="307" spans="1:12" x14ac:dyDescent="0.35">
      <c r="A307" t="s">
        <v>2941</v>
      </c>
      <c r="B307">
        <v>0</v>
      </c>
      <c r="C307" t="s">
        <v>523</v>
      </c>
      <c r="D307" t="s">
        <v>510</v>
      </c>
      <c r="E307" t="s">
        <v>517</v>
      </c>
      <c r="L307"/>
    </row>
    <row r="308" spans="1:12" x14ac:dyDescent="0.35">
      <c r="A308" t="s">
        <v>2942</v>
      </c>
      <c r="B308">
        <v>0</v>
      </c>
      <c r="C308" t="s">
        <v>523</v>
      </c>
      <c r="D308" t="s">
        <v>510</v>
      </c>
      <c r="E308" t="s">
        <v>517</v>
      </c>
      <c r="L308"/>
    </row>
    <row r="309" spans="1:12" x14ac:dyDescent="0.35">
      <c r="A309" t="s">
        <v>2943</v>
      </c>
      <c r="B309">
        <v>0</v>
      </c>
      <c r="C309" t="s">
        <v>523</v>
      </c>
      <c r="D309" t="s">
        <v>510</v>
      </c>
      <c r="E309" t="s">
        <v>517</v>
      </c>
      <c r="L309"/>
    </row>
    <row r="310" spans="1:12" x14ac:dyDescent="0.35">
      <c r="A310" t="s">
        <v>2944</v>
      </c>
      <c r="B310">
        <v>0</v>
      </c>
      <c r="C310" t="s">
        <v>523</v>
      </c>
      <c r="D310" t="s">
        <v>510</v>
      </c>
      <c r="E310" t="s">
        <v>517</v>
      </c>
      <c r="L310"/>
    </row>
    <row r="311" spans="1:12" x14ac:dyDescent="0.35">
      <c r="A311" t="s">
        <v>2945</v>
      </c>
      <c r="B311">
        <v>0</v>
      </c>
      <c r="C311" t="s">
        <v>523</v>
      </c>
      <c r="D311" t="s">
        <v>510</v>
      </c>
      <c r="E311" t="s">
        <v>517</v>
      </c>
      <c r="L311"/>
    </row>
    <row r="312" spans="1:12" x14ac:dyDescent="0.35">
      <c r="A312" t="s">
        <v>2946</v>
      </c>
      <c r="B312">
        <v>0</v>
      </c>
      <c r="C312" t="s">
        <v>523</v>
      </c>
      <c r="D312" t="s">
        <v>510</v>
      </c>
      <c r="E312" t="s">
        <v>517</v>
      </c>
      <c r="L312"/>
    </row>
    <row r="313" spans="1:12" x14ac:dyDescent="0.35">
      <c r="A313" t="s">
        <v>2947</v>
      </c>
      <c r="B313">
        <v>0</v>
      </c>
      <c r="C313" t="s">
        <v>523</v>
      </c>
      <c r="D313" t="s">
        <v>510</v>
      </c>
      <c r="E313" t="s">
        <v>517</v>
      </c>
      <c r="L313"/>
    </row>
    <row r="314" spans="1:12" x14ac:dyDescent="0.35">
      <c r="A314" t="s">
        <v>2948</v>
      </c>
      <c r="B314">
        <v>0</v>
      </c>
      <c r="C314" t="s">
        <v>523</v>
      </c>
      <c r="D314" t="s">
        <v>510</v>
      </c>
      <c r="E314" t="s">
        <v>517</v>
      </c>
      <c r="L314"/>
    </row>
    <row r="315" spans="1:12" x14ac:dyDescent="0.35">
      <c r="A315" t="s">
        <v>2949</v>
      </c>
      <c r="B315">
        <v>0</v>
      </c>
      <c r="C315" t="s">
        <v>523</v>
      </c>
      <c r="D315" t="s">
        <v>510</v>
      </c>
      <c r="E315" t="s">
        <v>517</v>
      </c>
      <c r="L315"/>
    </row>
    <row r="316" spans="1:12" x14ac:dyDescent="0.35">
      <c r="A316" t="s">
        <v>2950</v>
      </c>
      <c r="B316">
        <v>0</v>
      </c>
      <c r="C316" t="s">
        <v>523</v>
      </c>
      <c r="D316" t="s">
        <v>510</v>
      </c>
      <c r="E316" t="s">
        <v>517</v>
      </c>
      <c r="L316"/>
    </row>
    <row r="317" spans="1:12" x14ac:dyDescent="0.35">
      <c r="A317" t="s">
        <v>2951</v>
      </c>
      <c r="B317">
        <v>0</v>
      </c>
      <c r="C317" t="s">
        <v>523</v>
      </c>
      <c r="D317" t="s">
        <v>510</v>
      </c>
      <c r="E317" t="s">
        <v>517</v>
      </c>
      <c r="L317"/>
    </row>
    <row r="318" spans="1:12" x14ac:dyDescent="0.35">
      <c r="A318" t="s">
        <v>2952</v>
      </c>
      <c r="B318">
        <v>0</v>
      </c>
      <c r="C318" t="s">
        <v>523</v>
      </c>
      <c r="D318" t="s">
        <v>510</v>
      </c>
      <c r="E318" t="s">
        <v>517</v>
      </c>
      <c r="L318"/>
    </row>
    <row r="319" spans="1:12" x14ac:dyDescent="0.35">
      <c r="A319" t="s">
        <v>2953</v>
      </c>
      <c r="B319">
        <v>0</v>
      </c>
      <c r="C319" t="s">
        <v>523</v>
      </c>
      <c r="D319" t="s">
        <v>510</v>
      </c>
      <c r="E319" t="s">
        <v>517</v>
      </c>
      <c r="L319"/>
    </row>
    <row r="320" spans="1:12" x14ac:dyDescent="0.35">
      <c r="A320" t="s">
        <v>2954</v>
      </c>
      <c r="B320">
        <v>0</v>
      </c>
      <c r="C320" t="s">
        <v>523</v>
      </c>
      <c r="D320" t="s">
        <v>510</v>
      </c>
      <c r="E320" t="s">
        <v>517</v>
      </c>
      <c r="L320"/>
    </row>
    <row r="321" spans="1:12" x14ac:dyDescent="0.35">
      <c r="A321" t="s">
        <v>2955</v>
      </c>
      <c r="B321">
        <v>0</v>
      </c>
      <c r="C321" t="s">
        <v>523</v>
      </c>
      <c r="D321" t="s">
        <v>510</v>
      </c>
      <c r="E321" t="s">
        <v>517</v>
      </c>
      <c r="L321"/>
    </row>
    <row r="322" spans="1:12" x14ac:dyDescent="0.35">
      <c r="A322" t="s">
        <v>2956</v>
      </c>
      <c r="B322">
        <v>0</v>
      </c>
      <c r="C322" t="s">
        <v>523</v>
      </c>
      <c r="D322" t="s">
        <v>510</v>
      </c>
      <c r="E322" t="s">
        <v>517</v>
      </c>
      <c r="L322"/>
    </row>
    <row r="323" spans="1:12" x14ac:dyDescent="0.35">
      <c r="A323" t="s">
        <v>2957</v>
      </c>
      <c r="B323">
        <v>0</v>
      </c>
      <c r="C323" t="s">
        <v>523</v>
      </c>
      <c r="D323" t="s">
        <v>510</v>
      </c>
      <c r="E323" t="s">
        <v>517</v>
      </c>
      <c r="L323"/>
    </row>
    <row r="324" spans="1:12" x14ac:dyDescent="0.35">
      <c r="A324" t="s">
        <v>2958</v>
      </c>
      <c r="B324">
        <v>0</v>
      </c>
      <c r="C324" t="s">
        <v>523</v>
      </c>
      <c r="D324" t="s">
        <v>510</v>
      </c>
      <c r="E324" t="s">
        <v>517</v>
      </c>
      <c r="L324"/>
    </row>
    <row r="325" spans="1:12" x14ac:dyDescent="0.35">
      <c r="A325" t="s">
        <v>2959</v>
      </c>
      <c r="B325">
        <v>0</v>
      </c>
      <c r="C325" t="s">
        <v>523</v>
      </c>
      <c r="D325" t="s">
        <v>510</v>
      </c>
      <c r="E325" t="s">
        <v>517</v>
      </c>
      <c r="L325"/>
    </row>
    <row r="326" spans="1:12" x14ac:dyDescent="0.35">
      <c r="A326" t="s">
        <v>2960</v>
      </c>
      <c r="B326">
        <v>0</v>
      </c>
      <c r="C326" t="s">
        <v>523</v>
      </c>
      <c r="D326" t="s">
        <v>510</v>
      </c>
      <c r="E326" t="s">
        <v>517</v>
      </c>
      <c r="L326"/>
    </row>
    <row r="327" spans="1:12" x14ac:dyDescent="0.35">
      <c r="A327" t="s">
        <v>2961</v>
      </c>
      <c r="B327">
        <v>0</v>
      </c>
      <c r="C327" t="s">
        <v>523</v>
      </c>
      <c r="D327" t="s">
        <v>510</v>
      </c>
      <c r="E327" t="s">
        <v>517</v>
      </c>
      <c r="L327"/>
    </row>
    <row r="328" spans="1:12" x14ac:dyDescent="0.35">
      <c r="A328" t="s">
        <v>2962</v>
      </c>
      <c r="B328">
        <v>0</v>
      </c>
      <c r="C328" t="s">
        <v>523</v>
      </c>
      <c r="D328" t="s">
        <v>510</v>
      </c>
      <c r="E328" t="s">
        <v>517</v>
      </c>
      <c r="L328"/>
    </row>
    <row r="329" spans="1:12" x14ac:dyDescent="0.35">
      <c r="A329" t="s">
        <v>2963</v>
      </c>
      <c r="B329">
        <v>0</v>
      </c>
      <c r="C329" t="s">
        <v>523</v>
      </c>
      <c r="D329" t="s">
        <v>510</v>
      </c>
      <c r="E329" t="s">
        <v>517</v>
      </c>
      <c r="L329"/>
    </row>
    <row r="330" spans="1:12" x14ac:dyDescent="0.35">
      <c r="A330" t="s">
        <v>2964</v>
      </c>
      <c r="B330">
        <v>0</v>
      </c>
      <c r="C330" t="s">
        <v>523</v>
      </c>
      <c r="D330" t="s">
        <v>510</v>
      </c>
      <c r="E330" t="s">
        <v>517</v>
      </c>
      <c r="L330"/>
    </row>
    <row r="331" spans="1:12" x14ac:dyDescent="0.35">
      <c r="A331" t="s">
        <v>2965</v>
      </c>
      <c r="B331">
        <v>0</v>
      </c>
      <c r="C331" t="s">
        <v>523</v>
      </c>
      <c r="D331" t="s">
        <v>510</v>
      </c>
      <c r="E331" t="s">
        <v>517</v>
      </c>
      <c r="L331"/>
    </row>
    <row r="332" spans="1:12" x14ac:dyDescent="0.35">
      <c r="A332" t="s">
        <v>2966</v>
      </c>
      <c r="B332">
        <v>0</v>
      </c>
      <c r="C332" t="s">
        <v>523</v>
      </c>
      <c r="D332" t="s">
        <v>510</v>
      </c>
      <c r="E332" t="s">
        <v>517</v>
      </c>
      <c r="L332"/>
    </row>
    <row r="333" spans="1:12" x14ac:dyDescent="0.35">
      <c r="A333" t="s">
        <v>2967</v>
      </c>
      <c r="B333">
        <v>0</v>
      </c>
      <c r="C333" t="s">
        <v>523</v>
      </c>
      <c r="D333" t="s">
        <v>510</v>
      </c>
      <c r="E333" t="s">
        <v>517</v>
      </c>
      <c r="L333"/>
    </row>
    <row r="334" spans="1:12" x14ac:dyDescent="0.35">
      <c r="A334" t="s">
        <v>2968</v>
      </c>
      <c r="B334">
        <v>0</v>
      </c>
      <c r="C334" t="s">
        <v>523</v>
      </c>
      <c r="D334" t="s">
        <v>510</v>
      </c>
      <c r="E334" t="s">
        <v>517</v>
      </c>
      <c r="L334"/>
    </row>
    <row r="335" spans="1:12" x14ac:dyDescent="0.35">
      <c r="A335" t="s">
        <v>2969</v>
      </c>
      <c r="B335">
        <v>0</v>
      </c>
      <c r="C335" t="s">
        <v>523</v>
      </c>
      <c r="D335" t="s">
        <v>510</v>
      </c>
      <c r="E335" t="s">
        <v>517</v>
      </c>
      <c r="L335"/>
    </row>
    <row r="336" spans="1:12" x14ac:dyDescent="0.35">
      <c r="A336" t="s">
        <v>2970</v>
      </c>
      <c r="B336">
        <v>0</v>
      </c>
      <c r="C336" t="s">
        <v>523</v>
      </c>
      <c r="D336" t="s">
        <v>510</v>
      </c>
      <c r="E336" t="s">
        <v>517</v>
      </c>
      <c r="L336"/>
    </row>
    <row r="337" spans="1:12" x14ac:dyDescent="0.35">
      <c r="A337" t="s">
        <v>2971</v>
      </c>
      <c r="B337">
        <v>0</v>
      </c>
      <c r="C337" t="s">
        <v>523</v>
      </c>
      <c r="D337" t="s">
        <v>510</v>
      </c>
      <c r="E337" t="s">
        <v>517</v>
      </c>
      <c r="L337"/>
    </row>
    <row r="338" spans="1:12" x14ac:dyDescent="0.35">
      <c r="A338" t="s">
        <v>2972</v>
      </c>
      <c r="B338">
        <v>0</v>
      </c>
      <c r="C338" t="s">
        <v>523</v>
      </c>
      <c r="D338" t="s">
        <v>510</v>
      </c>
      <c r="E338" t="s">
        <v>517</v>
      </c>
      <c r="L338"/>
    </row>
    <row r="339" spans="1:12" x14ac:dyDescent="0.35">
      <c r="A339" t="s">
        <v>2973</v>
      </c>
      <c r="B339">
        <v>0</v>
      </c>
      <c r="C339" t="s">
        <v>523</v>
      </c>
      <c r="D339" t="s">
        <v>510</v>
      </c>
      <c r="E339" t="s">
        <v>517</v>
      </c>
      <c r="L339"/>
    </row>
    <row r="340" spans="1:12" x14ac:dyDescent="0.35">
      <c r="A340" t="s">
        <v>2974</v>
      </c>
      <c r="B340">
        <v>0</v>
      </c>
      <c r="C340" t="s">
        <v>523</v>
      </c>
      <c r="D340" t="s">
        <v>510</v>
      </c>
      <c r="E340" t="s">
        <v>517</v>
      </c>
      <c r="L340"/>
    </row>
    <row r="341" spans="1:12" x14ac:dyDescent="0.35">
      <c r="A341" t="s">
        <v>2975</v>
      </c>
      <c r="B341">
        <v>0</v>
      </c>
      <c r="C341" t="s">
        <v>523</v>
      </c>
      <c r="D341" t="s">
        <v>510</v>
      </c>
      <c r="E341" t="s">
        <v>517</v>
      </c>
      <c r="L341"/>
    </row>
    <row r="342" spans="1:12" x14ac:dyDescent="0.35">
      <c r="A342" t="s">
        <v>2976</v>
      </c>
      <c r="B342">
        <v>0</v>
      </c>
      <c r="C342" t="s">
        <v>523</v>
      </c>
      <c r="D342" t="s">
        <v>510</v>
      </c>
      <c r="E342" t="s">
        <v>517</v>
      </c>
      <c r="L342"/>
    </row>
    <row r="343" spans="1:12" x14ac:dyDescent="0.35">
      <c r="A343" t="s">
        <v>2977</v>
      </c>
      <c r="B343">
        <v>0</v>
      </c>
      <c r="C343" t="s">
        <v>523</v>
      </c>
      <c r="D343" t="s">
        <v>510</v>
      </c>
      <c r="E343" t="s">
        <v>517</v>
      </c>
      <c r="L343"/>
    </row>
    <row r="344" spans="1:12" x14ac:dyDescent="0.35">
      <c r="A344" t="s">
        <v>2978</v>
      </c>
      <c r="B344">
        <v>0</v>
      </c>
      <c r="C344" t="s">
        <v>523</v>
      </c>
      <c r="D344" t="s">
        <v>510</v>
      </c>
      <c r="E344" t="s">
        <v>517</v>
      </c>
      <c r="L344"/>
    </row>
    <row r="345" spans="1:12" x14ac:dyDescent="0.35">
      <c r="A345" t="s">
        <v>2979</v>
      </c>
      <c r="B345">
        <v>0</v>
      </c>
      <c r="C345" t="s">
        <v>523</v>
      </c>
      <c r="D345" t="s">
        <v>510</v>
      </c>
      <c r="E345" t="s">
        <v>517</v>
      </c>
      <c r="L345"/>
    </row>
    <row r="346" spans="1:12" x14ac:dyDescent="0.35">
      <c r="A346" t="s">
        <v>2980</v>
      </c>
      <c r="B346">
        <v>0</v>
      </c>
      <c r="C346" t="s">
        <v>523</v>
      </c>
      <c r="D346" t="s">
        <v>510</v>
      </c>
      <c r="E346" t="s">
        <v>517</v>
      </c>
      <c r="L346"/>
    </row>
    <row r="347" spans="1:12" x14ac:dyDescent="0.35">
      <c r="A347" t="s">
        <v>2981</v>
      </c>
      <c r="B347">
        <v>0</v>
      </c>
      <c r="C347" t="s">
        <v>523</v>
      </c>
      <c r="D347" t="s">
        <v>510</v>
      </c>
      <c r="E347" t="s">
        <v>517</v>
      </c>
      <c r="L347"/>
    </row>
    <row r="348" spans="1:12" x14ac:dyDescent="0.35">
      <c r="A348" t="s">
        <v>2982</v>
      </c>
      <c r="B348">
        <v>0</v>
      </c>
      <c r="C348" t="s">
        <v>523</v>
      </c>
      <c r="D348" t="s">
        <v>510</v>
      </c>
      <c r="E348" t="s">
        <v>517</v>
      </c>
      <c r="L348"/>
    </row>
    <row r="349" spans="1:12" x14ac:dyDescent="0.35">
      <c r="A349" t="s">
        <v>2983</v>
      </c>
      <c r="B349">
        <v>0</v>
      </c>
      <c r="C349" t="s">
        <v>523</v>
      </c>
      <c r="D349" t="s">
        <v>510</v>
      </c>
      <c r="E349" t="s">
        <v>517</v>
      </c>
      <c r="L349"/>
    </row>
    <row r="350" spans="1:12" x14ac:dyDescent="0.35">
      <c r="A350" t="s">
        <v>2984</v>
      </c>
      <c r="B350">
        <v>0</v>
      </c>
      <c r="C350" t="s">
        <v>523</v>
      </c>
      <c r="D350" t="s">
        <v>510</v>
      </c>
      <c r="E350" t="s">
        <v>517</v>
      </c>
      <c r="L350"/>
    </row>
    <row r="351" spans="1:12" x14ac:dyDescent="0.35">
      <c r="A351" t="s">
        <v>2985</v>
      </c>
      <c r="B351">
        <v>0</v>
      </c>
      <c r="C351" t="s">
        <v>523</v>
      </c>
      <c r="D351" t="s">
        <v>510</v>
      </c>
      <c r="E351" t="s">
        <v>517</v>
      </c>
      <c r="L351"/>
    </row>
    <row r="352" spans="1:12" x14ac:dyDescent="0.35">
      <c r="A352" t="s">
        <v>2986</v>
      </c>
      <c r="B352">
        <v>0</v>
      </c>
      <c r="C352" t="s">
        <v>523</v>
      </c>
      <c r="D352" t="s">
        <v>510</v>
      </c>
      <c r="E352" t="s">
        <v>517</v>
      </c>
      <c r="L352"/>
    </row>
    <row r="353" spans="1:12" x14ac:dyDescent="0.35">
      <c r="A353" t="s">
        <v>2987</v>
      </c>
      <c r="B353">
        <v>-3</v>
      </c>
      <c r="C353" t="s">
        <v>524</v>
      </c>
      <c r="D353" t="s">
        <v>506</v>
      </c>
      <c r="E353" t="s">
        <v>515</v>
      </c>
      <c r="L353"/>
    </row>
    <row r="354" spans="1:12" x14ac:dyDescent="0.35">
      <c r="A354" t="s">
        <v>2988</v>
      </c>
      <c r="B354">
        <v>-3</v>
      </c>
      <c r="C354" t="s">
        <v>524</v>
      </c>
      <c r="D354" t="s">
        <v>506</v>
      </c>
      <c r="E354" t="s">
        <v>515</v>
      </c>
      <c r="L354"/>
    </row>
    <row r="355" spans="1:12" x14ac:dyDescent="0.35">
      <c r="A355" t="s">
        <v>2989</v>
      </c>
      <c r="B355">
        <v>-3</v>
      </c>
      <c r="C355" t="s">
        <v>524</v>
      </c>
      <c r="D355" t="s">
        <v>513</v>
      </c>
      <c r="E355" t="s">
        <v>520</v>
      </c>
      <c r="L355"/>
    </row>
    <row r="356" spans="1:12" x14ac:dyDescent="0.35">
      <c r="A356" t="s">
        <v>2990</v>
      </c>
      <c r="B356">
        <v>-3</v>
      </c>
      <c r="C356" t="s">
        <v>524</v>
      </c>
      <c r="D356" t="s">
        <v>506</v>
      </c>
      <c r="E356" t="s">
        <v>515</v>
      </c>
      <c r="L356"/>
    </row>
    <row r="357" spans="1:12" x14ac:dyDescent="0.35">
      <c r="A357" t="s">
        <v>2991</v>
      </c>
      <c r="B357">
        <v>-3</v>
      </c>
      <c r="C357" t="s">
        <v>524</v>
      </c>
      <c r="D357" t="s">
        <v>506</v>
      </c>
      <c r="E357" t="s">
        <v>515</v>
      </c>
      <c r="L357"/>
    </row>
    <row r="358" spans="1:12" x14ac:dyDescent="0.35">
      <c r="A358" t="s">
        <v>2992</v>
      </c>
      <c r="B358">
        <v>0</v>
      </c>
      <c r="C358" t="s">
        <v>524</v>
      </c>
      <c r="D358" t="s">
        <v>506</v>
      </c>
      <c r="E358" t="s">
        <v>515</v>
      </c>
      <c r="L358"/>
    </row>
    <row r="359" spans="1:12" x14ac:dyDescent="0.35">
      <c r="A359" t="s">
        <v>2993</v>
      </c>
      <c r="B359">
        <v>0</v>
      </c>
      <c r="C359" t="s">
        <v>524</v>
      </c>
      <c r="D359" t="s">
        <v>506</v>
      </c>
      <c r="E359" t="s">
        <v>515</v>
      </c>
      <c r="L359"/>
    </row>
    <row r="360" spans="1:12" x14ac:dyDescent="0.35">
      <c r="A360" t="s">
        <v>2994</v>
      </c>
      <c r="B360">
        <v>0</v>
      </c>
      <c r="C360" t="s">
        <v>524</v>
      </c>
      <c r="D360" t="s">
        <v>506</v>
      </c>
      <c r="E360" t="s">
        <v>515</v>
      </c>
      <c r="L360"/>
    </row>
    <row r="361" spans="1:12" x14ac:dyDescent="0.35">
      <c r="A361" t="s">
        <v>2995</v>
      </c>
      <c r="B361">
        <v>0</v>
      </c>
      <c r="C361" t="s">
        <v>524</v>
      </c>
      <c r="D361" t="s">
        <v>506</v>
      </c>
      <c r="E361" t="s">
        <v>515</v>
      </c>
      <c r="L361"/>
    </row>
    <row r="362" spans="1:12" x14ac:dyDescent="0.35">
      <c r="A362" t="s">
        <v>2996</v>
      </c>
      <c r="B362">
        <v>-3</v>
      </c>
      <c r="C362" t="s">
        <v>524</v>
      </c>
      <c r="D362" t="s">
        <v>513</v>
      </c>
      <c r="E362" t="s">
        <v>517</v>
      </c>
      <c r="L362"/>
    </row>
    <row r="363" spans="1:12" x14ac:dyDescent="0.35">
      <c r="A363" t="s">
        <v>2997</v>
      </c>
      <c r="B363">
        <v>-3</v>
      </c>
      <c r="C363" t="s">
        <v>524</v>
      </c>
      <c r="D363" t="s">
        <v>506</v>
      </c>
      <c r="E363" t="s">
        <v>515</v>
      </c>
      <c r="L363"/>
    </row>
    <row r="364" spans="1:12" x14ac:dyDescent="0.35">
      <c r="A364" t="s">
        <v>2998</v>
      </c>
      <c r="B364">
        <v>0</v>
      </c>
      <c r="C364" t="s">
        <v>524</v>
      </c>
      <c r="D364" t="s">
        <v>506</v>
      </c>
      <c r="E364" t="s">
        <v>515</v>
      </c>
      <c r="L364"/>
    </row>
    <row r="365" spans="1:12" x14ac:dyDescent="0.35">
      <c r="A365" t="s">
        <v>2999</v>
      </c>
      <c r="B365">
        <v>-3</v>
      </c>
      <c r="C365" t="s">
        <v>524</v>
      </c>
      <c r="D365" t="s">
        <v>506</v>
      </c>
      <c r="E365" t="s">
        <v>515</v>
      </c>
      <c r="L365"/>
    </row>
    <row r="366" spans="1:12" x14ac:dyDescent="0.35">
      <c r="A366" t="s">
        <v>3000</v>
      </c>
      <c r="B366">
        <v>0</v>
      </c>
      <c r="C366" t="s">
        <v>524</v>
      </c>
      <c r="D366" t="s">
        <v>506</v>
      </c>
      <c r="E366" t="s">
        <v>515</v>
      </c>
      <c r="L366"/>
    </row>
    <row r="367" spans="1:12" x14ac:dyDescent="0.35">
      <c r="A367" t="s">
        <v>3001</v>
      </c>
      <c r="B367">
        <v>-3</v>
      </c>
      <c r="C367" t="s">
        <v>524</v>
      </c>
      <c r="D367" t="s">
        <v>506</v>
      </c>
      <c r="E367" t="s">
        <v>515</v>
      </c>
      <c r="L367"/>
    </row>
    <row r="368" spans="1:12" x14ac:dyDescent="0.35">
      <c r="A368" t="s">
        <v>3002</v>
      </c>
      <c r="B368">
        <v>0</v>
      </c>
      <c r="C368" t="s">
        <v>524</v>
      </c>
      <c r="D368" t="s">
        <v>509</v>
      </c>
      <c r="E368" t="s">
        <v>515</v>
      </c>
      <c r="L368"/>
    </row>
    <row r="369" spans="1:12" x14ac:dyDescent="0.35">
      <c r="A369" t="s">
        <v>3003</v>
      </c>
      <c r="B369">
        <v>-3</v>
      </c>
      <c r="C369" t="s">
        <v>524</v>
      </c>
      <c r="D369" t="s">
        <v>506</v>
      </c>
      <c r="E369" t="s">
        <v>515</v>
      </c>
      <c r="L369"/>
    </row>
    <row r="370" spans="1:12" x14ac:dyDescent="0.35">
      <c r="A370" t="s">
        <v>3004</v>
      </c>
      <c r="B370">
        <v>-3</v>
      </c>
      <c r="C370" t="s">
        <v>524</v>
      </c>
      <c r="D370" t="s">
        <v>506</v>
      </c>
      <c r="E370" t="s">
        <v>515</v>
      </c>
      <c r="L370"/>
    </row>
    <row r="371" spans="1:12" x14ac:dyDescent="0.35">
      <c r="A371" t="s">
        <v>3005</v>
      </c>
      <c r="B371">
        <v>-3</v>
      </c>
      <c r="C371" t="s">
        <v>524</v>
      </c>
      <c r="D371" t="s">
        <v>506</v>
      </c>
      <c r="E371" t="s">
        <v>515</v>
      </c>
      <c r="L371"/>
    </row>
    <row r="372" spans="1:12" x14ac:dyDescent="0.35">
      <c r="A372" t="s">
        <v>3006</v>
      </c>
      <c r="B372">
        <v>0</v>
      </c>
      <c r="C372" t="s">
        <v>524</v>
      </c>
      <c r="D372" t="s">
        <v>506</v>
      </c>
      <c r="E372" t="s">
        <v>515</v>
      </c>
      <c r="L372"/>
    </row>
    <row r="373" spans="1:12" x14ac:dyDescent="0.35">
      <c r="A373" t="s">
        <v>3007</v>
      </c>
      <c r="B373">
        <v>0</v>
      </c>
      <c r="C373" t="s">
        <v>524</v>
      </c>
      <c r="D373" t="s">
        <v>513</v>
      </c>
      <c r="E373" t="s">
        <v>519</v>
      </c>
      <c r="L373"/>
    </row>
    <row r="374" spans="1:12" x14ac:dyDescent="0.35">
      <c r="A374" t="s">
        <v>3008</v>
      </c>
      <c r="B374">
        <v>0</v>
      </c>
      <c r="C374" t="s">
        <v>524</v>
      </c>
      <c r="D374" t="s">
        <v>506</v>
      </c>
      <c r="E374" t="s">
        <v>515</v>
      </c>
      <c r="L374"/>
    </row>
    <row r="375" spans="1:12" x14ac:dyDescent="0.35">
      <c r="A375" t="s">
        <v>3009</v>
      </c>
      <c r="B375">
        <v>0</v>
      </c>
      <c r="C375" t="s">
        <v>524</v>
      </c>
      <c r="D375" t="s">
        <v>506</v>
      </c>
      <c r="E375" t="s">
        <v>515</v>
      </c>
      <c r="L375"/>
    </row>
    <row r="376" spans="1:12" x14ac:dyDescent="0.35">
      <c r="A376" t="s">
        <v>3010</v>
      </c>
      <c r="B376">
        <v>0</v>
      </c>
      <c r="C376" t="s">
        <v>524</v>
      </c>
      <c r="D376" t="s">
        <v>513</v>
      </c>
      <c r="E376" t="s">
        <v>519</v>
      </c>
      <c r="L376"/>
    </row>
    <row r="377" spans="1:12" x14ac:dyDescent="0.35">
      <c r="A377" t="s">
        <v>3011</v>
      </c>
      <c r="B377">
        <v>0</v>
      </c>
      <c r="C377" t="s">
        <v>524</v>
      </c>
      <c r="D377" t="s">
        <v>506</v>
      </c>
      <c r="E377" t="s">
        <v>515</v>
      </c>
      <c r="L377"/>
    </row>
    <row r="378" spans="1:12" x14ac:dyDescent="0.35">
      <c r="A378" t="s">
        <v>3012</v>
      </c>
      <c r="B378">
        <v>0</v>
      </c>
      <c r="C378" t="s">
        <v>524</v>
      </c>
      <c r="D378" t="s">
        <v>506</v>
      </c>
      <c r="E378" t="s">
        <v>515</v>
      </c>
      <c r="L378"/>
    </row>
    <row r="379" spans="1:12" x14ac:dyDescent="0.35">
      <c r="A379" t="s">
        <v>3013</v>
      </c>
      <c r="B379">
        <v>0</v>
      </c>
      <c r="C379" t="s">
        <v>524</v>
      </c>
      <c r="D379" t="s">
        <v>506</v>
      </c>
      <c r="E379" t="s">
        <v>515</v>
      </c>
      <c r="L379"/>
    </row>
    <row r="380" spans="1:12" x14ac:dyDescent="0.35">
      <c r="A380" t="s">
        <v>3014</v>
      </c>
      <c r="B380">
        <v>0</v>
      </c>
      <c r="C380" t="s">
        <v>524</v>
      </c>
      <c r="D380" t="s">
        <v>506</v>
      </c>
      <c r="E380" t="s">
        <v>515</v>
      </c>
      <c r="L380"/>
    </row>
    <row r="381" spans="1:12" x14ac:dyDescent="0.35">
      <c r="A381" t="s">
        <v>3015</v>
      </c>
      <c r="B381">
        <v>0</v>
      </c>
      <c r="C381" t="s">
        <v>524</v>
      </c>
      <c r="D381" t="s">
        <v>506</v>
      </c>
      <c r="E381" t="s">
        <v>515</v>
      </c>
      <c r="L381"/>
    </row>
    <row r="382" spans="1:12" x14ac:dyDescent="0.35">
      <c r="A382" t="s">
        <v>3016</v>
      </c>
      <c r="B382">
        <v>0</v>
      </c>
      <c r="C382" t="s">
        <v>524</v>
      </c>
      <c r="D382" t="s">
        <v>509</v>
      </c>
      <c r="E382" t="s">
        <v>515</v>
      </c>
      <c r="L382"/>
    </row>
    <row r="383" spans="1:12" x14ac:dyDescent="0.35">
      <c r="A383" t="s">
        <v>3017</v>
      </c>
      <c r="B383">
        <v>0</v>
      </c>
      <c r="C383" t="s">
        <v>524</v>
      </c>
      <c r="D383" t="s">
        <v>506</v>
      </c>
      <c r="E383" t="s">
        <v>515</v>
      </c>
      <c r="L383"/>
    </row>
    <row r="384" spans="1:12" x14ac:dyDescent="0.35">
      <c r="A384" t="s">
        <v>3018</v>
      </c>
      <c r="B384">
        <v>0</v>
      </c>
      <c r="C384" t="s">
        <v>524</v>
      </c>
      <c r="D384" t="s">
        <v>506</v>
      </c>
      <c r="E384" t="s">
        <v>515</v>
      </c>
      <c r="L384"/>
    </row>
    <row r="385" spans="1:12" x14ac:dyDescent="0.35">
      <c r="A385" t="s">
        <v>3019</v>
      </c>
      <c r="B385">
        <v>-3</v>
      </c>
      <c r="C385" t="s">
        <v>524</v>
      </c>
      <c r="D385" t="s">
        <v>506</v>
      </c>
      <c r="E385" t="s">
        <v>515</v>
      </c>
      <c r="L385"/>
    </row>
    <row r="386" spans="1:12" x14ac:dyDescent="0.35">
      <c r="A386" t="s">
        <v>3020</v>
      </c>
      <c r="B386">
        <v>0</v>
      </c>
      <c r="C386" t="s">
        <v>524</v>
      </c>
      <c r="D386" t="s">
        <v>506</v>
      </c>
      <c r="E386" t="s">
        <v>515</v>
      </c>
      <c r="L386"/>
    </row>
    <row r="387" spans="1:12" x14ac:dyDescent="0.35">
      <c r="A387" t="s">
        <v>3021</v>
      </c>
      <c r="B387">
        <v>0</v>
      </c>
      <c r="C387" t="s">
        <v>524</v>
      </c>
      <c r="D387" t="s">
        <v>506</v>
      </c>
      <c r="E387" t="s">
        <v>515</v>
      </c>
      <c r="L387"/>
    </row>
    <row r="388" spans="1:12" x14ac:dyDescent="0.35">
      <c r="A388" t="s">
        <v>3022</v>
      </c>
      <c r="B388">
        <v>0</v>
      </c>
      <c r="C388" t="s">
        <v>524</v>
      </c>
      <c r="D388" t="s">
        <v>506</v>
      </c>
      <c r="E388" t="s">
        <v>515</v>
      </c>
      <c r="L388"/>
    </row>
    <row r="389" spans="1:12" x14ac:dyDescent="0.35">
      <c r="A389" t="s">
        <v>3023</v>
      </c>
      <c r="B389">
        <v>-3</v>
      </c>
      <c r="C389" t="s">
        <v>524</v>
      </c>
      <c r="D389" t="s">
        <v>506</v>
      </c>
      <c r="E389" t="s">
        <v>515</v>
      </c>
      <c r="L389"/>
    </row>
    <row r="390" spans="1:12" x14ac:dyDescent="0.35">
      <c r="A390" t="s">
        <v>3024</v>
      </c>
      <c r="B390">
        <v>0</v>
      </c>
      <c r="C390" t="s">
        <v>524</v>
      </c>
      <c r="D390" t="s">
        <v>508</v>
      </c>
      <c r="E390" t="s">
        <v>517</v>
      </c>
      <c r="L390"/>
    </row>
    <row r="391" spans="1:12" x14ac:dyDescent="0.35">
      <c r="A391" t="s">
        <v>3025</v>
      </c>
      <c r="B391">
        <v>-3</v>
      </c>
      <c r="C391" t="s">
        <v>524</v>
      </c>
      <c r="D391" t="s">
        <v>513</v>
      </c>
      <c r="E391" t="s">
        <v>517</v>
      </c>
      <c r="L391"/>
    </row>
    <row r="392" spans="1:12" x14ac:dyDescent="0.35">
      <c r="A392" t="s">
        <v>3026</v>
      </c>
      <c r="B392">
        <v>-3</v>
      </c>
      <c r="C392" t="s">
        <v>524</v>
      </c>
      <c r="D392" t="s">
        <v>506</v>
      </c>
      <c r="E392" t="s">
        <v>515</v>
      </c>
      <c r="L392"/>
    </row>
    <row r="393" spans="1:12" x14ac:dyDescent="0.35">
      <c r="A393" t="s">
        <v>3027</v>
      </c>
      <c r="B393">
        <v>-3</v>
      </c>
      <c r="C393" t="s">
        <v>524</v>
      </c>
      <c r="D393" t="s">
        <v>506</v>
      </c>
      <c r="E393" t="s">
        <v>515</v>
      </c>
      <c r="L393"/>
    </row>
    <row r="394" spans="1:12" x14ac:dyDescent="0.35">
      <c r="A394" t="s">
        <v>3028</v>
      </c>
      <c r="B394">
        <v>-3</v>
      </c>
      <c r="C394" t="s">
        <v>524</v>
      </c>
      <c r="D394" t="s">
        <v>506</v>
      </c>
      <c r="E394" t="s">
        <v>515</v>
      </c>
      <c r="L394"/>
    </row>
    <row r="395" spans="1:12" x14ac:dyDescent="0.35">
      <c r="A395" t="s">
        <v>3029</v>
      </c>
      <c r="B395">
        <v>0</v>
      </c>
      <c r="C395" t="s">
        <v>524</v>
      </c>
      <c r="D395" t="s">
        <v>509</v>
      </c>
      <c r="E395" t="s">
        <v>515</v>
      </c>
      <c r="L395"/>
    </row>
    <row r="396" spans="1:12" x14ac:dyDescent="0.35">
      <c r="A396" t="s">
        <v>3030</v>
      </c>
      <c r="B396">
        <v>-3</v>
      </c>
      <c r="C396" t="s">
        <v>524</v>
      </c>
      <c r="D396" t="s">
        <v>506</v>
      </c>
      <c r="E396" t="s">
        <v>515</v>
      </c>
      <c r="L396"/>
    </row>
    <row r="397" spans="1:12" x14ac:dyDescent="0.35">
      <c r="A397" t="s">
        <v>3031</v>
      </c>
      <c r="B397">
        <v>-3</v>
      </c>
      <c r="C397" t="s">
        <v>524</v>
      </c>
      <c r="D397" t="s">
        <v>506</v>
      </c>
      <c r="E397" t="s">
        <v>515</v>
      </c>
      <c r="L397"/>
    </row>
    <row r="398" spans="1:12" x14ac:dyDescent="0.35">
      <c r="A398" t="s">
        <v>3032</v>
      </c>
      <c r="B398">
        <v>0</v>
      </c>
      <c r="C398" t="s">
        <v>524</v>
      </c>
      <c r="D398" t="s">
        <v>506</v>
      </c>
      <c r="E398" t="s">
        <v>515</v>
      </c>
      <c r="L398"/>
    </row>
    <row r="399" spans="1:12" x14ac:dyDescent="0.35">
      <c r="A399" t="s">
        <v>3033</v>
      </c>
      <c r="B399">
        <v>-3</v>
      </c>
      <c r="C399" t="s">
        <v>524</v>
      </c>
      <c r="D399" t="s">
        <v>506</v>
      </c>
      <c r="E399" t="s">
        <v>515</v>
      </c>
      <c r="L399"/>
    </row>
    <row r="400" spans="1:12" x14ac:dyDescent="0.35">
      <c r="A400" t="s">
        <v>3034</v>
      </c>
      <c r="B400">
        <v>-3</v>
      </c>
      <c r="C400" t="s">
        <v>524</v>
      </c>
      <c r="D400" t="s">
        <v>506</v>
      </c>
      <c r="E400" t="s">
        <v>515</v>
      </c>
      <c r="L400"/>
    </row>
    <row r="401" spans="1:12" x14ac:dyDescent="0.35">
      <c r="A401" t="s">
        <v>3035</v>
      </c>
      <c r="B401">
        <v>-3</v>
      </c>
      <c r="C401" t="s">
        <v>524</v>
      </c>
      <c r="D401" t="s">
        <v>506</v>
      </c>
      <c r="E401" t="s">
        <v>515</v>
      </c>
      <c r="L401"/>
    </row>
    <row r="402" spans="1:12" x14ac:dyDescent="0.35">
      <c r="A402" t="s">
        <v>3036</v>
      </c>
      <c r="B402">
        <v>-3</v>
      </c>
      <c r="C402" t="s">
        <v>524</v>
      </c>
      <c r="D402" t="s">
        <v>506</v>
      </c>
      <c r="E402" t="s">
        <v>515</v>
      </c>
      <c r="L402"/>
    </row>
    <row r="403" spans="1:12" x14ac:dyDescent="0.35">
      <c r="A403" t="s">
        <v>3037</v>
      </c>
      <c r="B403">
        <v>-3</v>
      </c>
      <c r="C403" t="s">
        <v>524</v>
      </c>
      <c r="D403" t="s">
        <v>506</v>
      </c>
      <c r="E403" t="s">
        <v>515</v>
      </c>
      <c r="L403"/>
    </row>
    <row r="404" spans="1:12" x14ac:dyDescent="0.35">
      <c r="A404" t="s">
        <v>3038</v>
      </c>
      <c r="B404">
        <v>-3</v>
      </c>
      <c r="C404" t="s">
        <v>524</v>
      </c>
      <c r="D404" t="s">
        <v>506</v>
      </c>
      <c r="E404" t="s">
        <v>515</v>
      </c>
      <c r="L404"/>
    </row>
    <row r="405" spans="1:12" x14ac:dyDescent="0.35">
      <c r="A405" t="s">
        <v>3039</v>
      </c>
      <c r="B405">
        <v>0</v>
      </c>
      <c r="C405" t="s">
        <v>524</v>
      </c>
      <c r="D405" t="s">
        <v>507</v>
      </c>
      <c r="E405" t="s">
        <v>519</v>
      </c>
      <c r="L405"/>
    </row>
    <row r="406" spans="1:12" x14ac:dyDescent="0.35">
      <c r="A406" t="s">
        <v>3040</v>
      </c>
      <c r="B406">
        <v>0</v>
      </c>
      <c r="C406" t="s">
        <v>524</v>
      </c>
      <c r="D406" t="s">
        <v>513</v>
      </c>
      <c r="E406" t="s">
        <v>519</v>
      </c>
      <c r="L406"/>
    </row>
    <row r="407" spans="1:12" x14ac:dyDescent="0.35">
      <c r="A407" t="s">
        <v>3041</v>
      </c>
      <c r="B407">
        <v>0</v>
      </c>
      <c r="C407" t="s">
        <v>524</v>
      </c>
      <c r="D407" t="s">
        <v>507</v>
      </c>
      <c r="E407" t="s">
        <v>518</v>
      </c>
      <c r="L407"/>
    </row>
    <row r="408" spans="1:12" x14ac:dyDescent="0.35">
      <c r="A408" t="s">
        <v>3042</v>
      </c>
      <c r="B408">
        <v>0</v>
      </c>
      <c r="C408" t="s">
        <v>524</v>
      </c>
      <c r="D408" t="s">
        <v>506</v>
      </c>
      <c r="E408" t="s">
        <v>515</v>
      </c>
      <c r="L408"/>
    </row>
    <row r="409" spans="1:12" x14ac:dyDescent="0.35">
      <c r="A409" t="s">
        <v>3043</v>
      </c>
      <c r="B409">
        <v>0</v>
      </c>
      <c r="C409" t="s">
        <v>524</v>
      </c>
      <c r="D409" t="s">
        <v>506</v>
      </c>
      <c r="E409" t="s">
        <v>515</v>
      </c>
      <c r="L409"/>
    </row>
    <row r="410" spans="1:12" x14ac:dyDescent="0.35">
      <c r="A410" t="s">
        <v>3044</v>
      </c>
      <c r="B410">
        <v>-3</v>
      </c>
      <c r="C410" t="s">
        <v>524</v>
      </c>
      <c r="D410" t="s">
        <v>513</v>
      </c>
      <c r="E410" t="s">
        <v>517</v>
      </c>
      <c r="L410"/>
    </row>
    <row r="411" spans="1:12" x14ac:dyDescent="0.35">
      <c r="A411" t="s">
        <v>3045</v>
      </c>
      <c r="B411">
        <v>0</v>
      </c>
      <c r="C411" t="s">
        <v>524</v>
      </c>
      <c r="D411" t="s">
        <v>513</v>
      </c>
      <c r="E411" t="s">
        <v>519</v>
      </c>
      <c r="L411"/>
    </row>
    <row r="412" spans="1:12" x14ac:dyDescent="0.35">
      <c r="A412" t="s">
        <v>3046</v>
      </c>
      <c r="B412">
        <v>0</v>
      </c>
      <c r="C412" t="s">
        <v>524</v>
      </c>
      <c r="D412" t="s">
        <v>509</v>
      </c>
      <c r="E412" t="s">
        <v>515</v>
      </c>
      <c r="L412"/>
    </row>
    <row r="413" spans="1:12" x14ac:dyDescent="0.35">
      <c r="A413" t="s">
        <v>3047</v>
      </c>
      <c r="B413">
        <v>0</v>
      </c>
      <c r="C413" t="s">
        <v>524</v>
      </c>
      <c r="D413" t="s">
        <v>506</v>
      </c>
      <c r="E413" t="s">
        <v>515</v>
      </c>
      <c r="L413"/>
    </row>
    <row r="414" spans="1:12" x14ac:dyDescent="0.35">
      <c r="A414" t="s">
        <v>3048</v>
      </c>
      <c r="B414">
        <v>0</v>
      </c>
      <c r="C414" t="s">
        <v>524</v>
      </c>
      <c r="D414" t="s">
        <v>506</v>
      </c>
      <c r="E414" t="s">
        <v>515</v>
      </c>
      <c r="L414"/>
    </row>
    <row r="415" spans="1:12" x14ac:dyDescent="0.35">
      <c r="A415" t="s">
        <v>3049</v>
      </c>
      <c r="B415">
        <v>-3</v>
      </c>
      <c r="C415" t="s">
        <v>524</v>
      </c>
      <c r="D415" t="s">
        <v>506</v>
      </c>
      <c r="E415" t="s">
        <v>515</v>
      </c>
      <c r="L415"/>
    </row>
    <row r="416" spans="1:12" x14ac:dyDescent="0.35">
      <c r="A416" t="s">
        <v>3050</v>
      </c>
      <c r="B416">
        <v>0</v>
      </c>
      <c r="C416" t="s">
        <v>524</v>
      </c>
      <c r="D416" t="s">
        <v>506</v>
      </c>
      <c r="E416" t="s">
        <v>515</v>
      </c>
      <c r="L416"/>
    </row>
    <row r="417" spans="1:12" x14ac:dyDescent="0.35">
      <c r="A417" t="s">
        <v>3051</v>
      </c>
      <c r="B417">
        <v>-3</v>
      </c>
      <c r="C417" t="s">
        <v>524</v>
      </c>
      <c r="D417" t="s">
        <v>506</v>
      </c>
      <c r="E417" t="s">
        <v>515</v>
      </c>
      <c r="L417"/>
    </row>
    <row r="418" spans="1:12" x14ac:dyDescent="0.35">
      <c r="A418" t="s">
        <v>3052</v>
      </c>
      <c r="B418">
        <v>0</v>
      </c>
      <c r="C418" t="s">
        <v>524</v>
      </c>
      <c r="D418" t="s">
        <v>506</v>
      </c>
      <c r="E418" t="s">
        <v>515</v>
      </c>
      <c r="L418"/>
    </row>
    <row r="419" spans="1:12" x14ac:dyDescent="0.35">
      <c r="A419" t="s">
        <v>3053</v>
      </c>
      <c r="B419">
        <v>-3</v>
      </c>
      <c r="C419" t="s">
        <v>524</v>
      </c>
      <c r="D419" t="s">
        <v>506</v>
      </c>
      <c r="E419" t="s">
        <v>515</v>
      </c>
      <c r="L419"/>
    </row>
    <row r="420" spans="1:12" x14ac:dyDescent="0.35">
      <c r="A420" t="s">
        <v>3054</v>
      </c>
      <c r="B420">
        <v>0</v>
      </c>
      <c r="C420" t="s">
        <v>524</v>
      </c>
      <c r="D420" t="s">
        <v>506</v>
      </c>
      <c r="E420" t="s">
        <v>515</v>
      </c>
      <c r="L420"/>
    </row>
    <row r="421" spans="1:12" x14ac:dyDescent="0.35">
      <c r="A421" t="s">
        <v>3055</v>
      </c>
      <c r="B421">
        <v>-3</v>
      </c>
      <c r="C421" t="s">
        <v>524</v>
      </c>
      <c r="D421" t="s">
        <v>506</v>
      </c>
      <c r="E421" t="s">
        <v>515</v>
      </c>
      <c r="L421"/>
    </row>
    <row r="422" spans="1:12" x14ac:dyDescent="0.35">
      <c r="A422" t="s">
        <v>3056</v>
      </c>
      <c r="B422">
        <v>0</v>
      </c>
      <c r="C422" t="s">
        <v>524</v>
      </c>
      <c r="D422" t="s">
        <v>506</v>
      </c>
      <c r="E422" t="s">
        <v>515</v>
      </c>
      <c r="L422"/>
    </row>
    <row r="423" spans="1:12" x14ac:dyDescent="0.35">
      <c r="A423" t="s">
        <v>3057</v>
      </c>
      <c r="B423">
        <v>-3</v>
      </c>
      <c r="C423" t="s">
        <v>524</v>
      </c>
      <c r="D423" t="s">
        <v>506</v>
      </c>
      <c r="E423" t="s">
        <v>515</v>
      </c>
      <c r="L423"/>
    </row>
    <row r="424" spans="1:12" x14ac:dyDescent="0.35">
      <c r="A424" t="s">
        <v>3058</v>
      </c>
      <c r="B424">
        <v>0</v>
      </c>
      <c r="C424" t="s">
        <v>524</v>
      </c>
      <c r="D424" t="s">
        <v>506</v>
      </c>
      <c r="E424" t="s">
        <v>515</v>
      </c>
      <c r="L424"/>
    </row>
    <row r="425" spans="1:12" x14ac:dyDescent="0.35">
      <c r="A425" t="s">
        <v>3059</v>
      </c>
      <c r="B425">
        <v>0</v>
      </c>
      <c r="C425" t="s">
        <v>524</v>
      </c>
      <c r="D425" t="s">
        <v>506</v>
      </c>
      <c r="E425" t="s">
        <v>515</v>
      </c>
      <c r="L425"/>
    </row>
    <row r="426" spans="1:12" x14ac:dyDescent="0.35">
      <c r="A426" t="s">
        <v>3456</v>
      </c>
      <c r="B426">
        <v>-3</v>
      </c>
      <c r="C426" t="s">
        <v>524</v>
      </c>
      <c r="D426" t="s">
        <v>506</v>
      </c>
      <c r="E426" t="s">
        <v>515</v>
      </c>
      <c r="L426"/>
    </row>
    <row r="427" spans="1:12" x14ac:dyDescent="0.35">
      <c r="A427" t="s">
        <v>3060</v>
      </c>
      <c r="B427">
        <v>-3</v>
      </c>
      <c r="C427" t="s">
        <v>524</v>
      </c>
      <c r="D427" t="s">
        <v>506</v>
      </c>
      <c r="E427" t="s">
        <v>515</v>
      </c>
      <c r="L427"/>
    </row>
    <row r="428" spans="1:12" x14ac:dyDescent="0.35">
      <c r="A428" t="s">
        <v>3061</v>
      </c>
      <c r="B428">
        <v>0</v>
      </c>
      <c r="C428" t="s">
        <v>524</v>
      </c>
      <c r="D428" t="s">
        <v>506</v>
      </c>
      <c r="E428" t="s">
        <v>515</v>
      </c>
      <c r="L428"/>
    </row>
    <row r="429" spans="1:12" x14ac:dyDescent="0.35">
      <c r="A429" t="s">
        <v>3062</v>
      </c>
      <c r="B429">
        <v>0</v>
      </c>
      <c r="C429" t="s">
        <v>524</v>
      </c>
      <c r="D429" t="s">
        <v>506</v>
      </c>
      <c r="E429" t="s">
        <v>515</v>
      </c>
      <c r="L429"/>
    </row>
    <row r="430" spans="1:12" x14ac:dyDescent="0.35">
      <c r="A430" t="s">
        <v>3063</v>
      </c>
      <c r="B430">
        <v>0</v>
      </c>
      <c r="C430" t="s">
        <v>524</v>
      </c>
      <c r="D430" t="s">
        <v>506</v>
      </c>
      <c r="E430" t="s">
        <v>515</v>
      </c>
      <c r="L430"/>
    </row>
    <row r="431" spans="1:12" x14ac:dyDescent="0.35">
      <c r="A431" t="s">
        <v>3064</v>
      </c>
      <c r="B431">
        <v>0</v>
      </c>
      <c r="C431" t="s">
        <v>524</v>
      </c>
      <c r="D431" t="s">
        <v>506</v>
      </c>
      <c r="E431" t="s">
        <v>515</v>
      </c>
      <c r="L431"/>
    </row>
    <row r="432" spans="1:12" x14ac:dyDescent="0.35">
      <c r="A432" t="s">
        <v>3065</v>
      </c>
      <c r="B432">
        <v>0</v>
      </c>
      <c r="C432" t="s">
        <v>524</v>
      </c>
      <c r="D432" t="s">
        <v>506</v>
      </c>
      <c r="E432" t="s">
        <v>515</v>
      </c>
      <c r="L432"/>
    </row>
    <row r="433" spans="1:12" x14ac:dyDescent="0.35">
      <c r="A433" t="s">
        <v>3066</v>
      </c>
      <c r="B433">
        <v>0</v>
      </c>
      <c r="C433" t="s">
        <v>524</v>
      </c>
      <c r="D433" t="s">
        <v>506</v>
      </c>
      <c r="E433" t="s">
        <v>515</v>
      </c>
      <c r="L433"/>
    </row>
    <row r="434" spans="1:12" x14ac:dyDescent="0.35">
      <c r="A434" t="s">
        <v>3067</v>
      </c>
      <c r="B434">
        <v>0</v>
      </c>
      <c r="C434" t="s">
        <v>524</v>
      </c>
      <c r="D434" t="s">
        <v>506</v>
      </c>
      <c r="E434" t="s">
        <v>515</v>
      </c>
      <c r="L434"/>
    </row>
    <row r="435" spans="1:12" x14ac:dyDescent="0.35">
      <c r="A435" t="s">
        <v>3068</v>
      </c>
      <c r="B435">
        <v>0</v>
      </c>
      <c r="C435" t="s">
        <v>524</v>
      </c>
      <c r="D435" t="s">
        <v>506</v>
      </c>
      <c r="E435" t="s">
        <v>515</v>
      </c>
      <c r="L435"/>
    </row>
    <row r="436" spans="1:12" x14ac:dyDescent="0.35">
      <c r="A436" t="s">
        <v>3069</v>
      </c>
      <c r="B436">
        <v>0</v>
      </c>
      <c r="C436" t="s">
        <v>524</v>
      </c>
      <c r="D436" t="s">
        <v>506</v>
      </c>
      <c r="E436" t="s">
        <v>515</v>
      </c>
      <c r="L436"/>
    </row>
    <row r="437" spans="1:12" x14ac:dyDescent="0.35">
      <c r="A437" t="s">
        <v>3070</v>
      </c>
      <c r="B437">
        <v>-3</v>
      </c>
      <c r="C437" t="s">
        <v>524</v>
      </c>
      <c r="D437" t="s">
        <v>506</v>
      </c>
      <c r="E437" t="s">
        <v>515</v>
      </c>
      <c r="L437"/>
    </row>
    <row r="438" spans="1:12" x14ac:dyDescent="0.35">
      <c r="A438" t="s">
        <v>3071</v>
      </c>
      <c r="B438">
        <v>-3</v>
      </c>
      <c r="C438" t="s">
        <v>524</v>
      </c>
      <c r="D438" t="s">
        <v>506</v>
      </c>
      <c r="E438" t="s">
        <v>515</v>
      </c>
      <c r="L438"/>
    </row>
    <row r="439" spans="1:12" x14ac:dyDescent="0.35">
      <c r="A439" t="s">
        <v>3072</v>
      </c>
      <c r="B439">
        <v>0</v>
      </c>
      <c r="C439" t="s">
        <v>524</v>
      </c>
      <c r="D439" t="s">
        <v>506</v>
      </c>
      <c r="E439" t="s">
        <v>515</v>
      </c>
      <c r="L439"/>
    </row>
    <row r="440" spans="1:12" x14ac:dyDescent="0.35">
      <c r="A440" t="s">
        <v>3073</v>
      </c>
      <c r="B440">
        <v>-3</v>
      </c>
      <c r="C440" t="s">
        <v>524</v>
      </c>
      <c r="D440" t="s">
        <v>506</v>
      </c>
      <c r="E440" t="s">
        <v>515</v>
      </c>
      <c r="L440"/>
    </row>
    <row r="441" spans="1:12" x14ac:dyDescent="0.35">
      <c r="A441" t="s">
        <v>3074</v>
      </c>
      <c r="B441">
        <v>0</v>
      </c>
      <c r="C441" t="s">
        <v>524</v>
      </c>
      <c r="D441" t="s">
        <v>513</v>
      </c>
      <c r="E441" t="s">
        <v>519</v>
      </c>
      <c r="L441"/>
    </row>
    <row r="442" spans="1:12" x14ac:dyDescent="0.35">
      <c r="A442" t="s">
        <v>3075</v>
      </c>
      <c r="B442">
        <v>0</v>
      </c>
      <c r="C442" t="s">
        <v>524</v>
      </c>
      <c r="D442" t="s">
        <v>506</v>
      </c>
      <c r="E442" t="s">
        <v>515</v>
      </c>
      <c r="L442"/>
    </row>
    <row r="443" spans="1:12" x14ac:dyDescent="0.35">
      <c r="A443" t="s">
        <v>3076</v>
      </c>
      <c r="B443">
        <v>0</v>
      </c>
      <c r="C443" t="s">
        <v>524</v>
      </c>
      <c r="D443" t="s">
        <v>506</v>
      </c>
      <c r="E443" t="s">
        <v>515</v>
      </c>
      <c r="L443"/>
    </row>
    <row r="444" spans="1:12" x14ac:dyDescent="0.35">
      <c r="A444" t="s">
        <v>3077</v>
      </c>
      <c r="B444">
        <v>0</v>
      </c>
      <c r="C444" t="s">
        <v>524</v>
      </c>
      <c r="D444" t="s">
        <v>506</v>
      </c>
      <c r="E444" t="s">
        <v>515</v>
      </c>
      <c r="L444"/>
    </row>
    <row r="445" spans="1:12" x14ac:dyDescent="0.35">
      <c r="A445" t="s">
        <v>3078</v>
      </c>
      <c r="B445">
        <v>-3</v>
      </c>
      <c r="C445" t="s">
        <v>524</v>
      </c>
      <c r="D445" t="s">
        <v>506</v>
      </c>
      <c r="E445" t="s">
        <v>515</v>
      </c>
      <c r="L445"/>
    </row>
    <row r="446" spans="1:12" x14ac:dyDescent="0.35">
      <c r="A446" t="s">
        <v>3079</v>
      </c>
      <c r="B446">
        <v>-3</v>
      </c>
      <c r="C446" t="s">
        <v>524</v>
      </c>
      <c r="D446" t="s">
        <v>506</v>
      </c>
      <c r="E446" t="s">
        <v>515</v>
      </c>
      <c r="L446"/>
    </row>
    <row r="447" spans="1:12" x14ac:dyDescent="0.35">
      <c r="A447" t="s">
        <v>3080</v>
      </c>
      <c r="B447">
        <v>0</v>
      </c>
      <c r="C447" t="s">
        <v>524</v>
      </c>
      <c r="D447" t="s">
        <v>513</v>
      </c>
      <c r="E447" t="s">
        <v>517</v>
      </c>
      <c r="L447"/>
    </row>
    <row r="448" spans="1:12" x14ac:dyDescent="0.35">
      <c r="A448" t="s">
        <v>3081</v>
      </c>
      <c r="B448">
        <v>0</v>
      </c>
      <c r="C448" t="s">
        <v>524</v>
      </c>
      <c r="D448" t="s">
        <v>506</v>
      </c>
      <c r="E448" t="s">
        <v>515</v>
      </c>
      <c r="L448"/>
    </row>
    <row r="449" spans="1:12" x14ac:dyDescent="0.35">
      <c r="A449" t="s">
        <v>3082</v>
      </c>
      <c r="B449">
        <v>-3</v>
      </c>
      <c r="C449" t="s">
        <v>524</v>
      </c>
      <c r="D449" t="s">
        <v>506</v>
      </c>
      <c r="E449" t="s">
        <v>515</v>
      </c>
      <c r="L449"/>
    </row>
    <row r="450" spans="1:12" x14ac:dyDescent="0.35">
      <c r="A450" t="s">
        <v>3083</v>
      </c>
      <c r="B450">
        <v>0</v>
      </c>
      <c r="C450" t="s">
        <v>524</v>
      </c>
      <c r="D450" t="s">
        <v>506</v>
      </c>
      <c r="E450" t="s">
        <v>515</v>
      </c>
      <c r="L450"/>
    </row>
    <row r="451" spans="1:12" x14ac:dyDescent="0.35">
      <c r="A451" t="s">
        <v>3084</v>
      </c>
      <c r="B451">
        <v>-3</v>
      </c>
      <c r="C451" t="s">
        <v>524</v>
      </c>
      <c r="D451" t="s">
        <v>506</v>
      </c>
      <c r="E451" t="s">
        <v>515</v>
      </c>
      <c r="L451"/>
    </row>
    <row r="452" spans="1:12" x14ac:dyDescent="0.35">
      <c r="A452" t="s">
        <v>3085</v>
      </c>
      <c r="B452">
        <v>-3</v>
      </c>
      <c r="C452" t="s">
        <v>524</v>
      </c>
      <c r="D452" t="s">
        <v>506</v>
      </c>
      <c r="E452" t="s">
        <v>515</v>
      </c>
      <c r="L452"/>
    </row>
    <row r="453" spans="1:12" x14ac:dyDescent="0.35">
      <c r="A453" t="s">
        <v>3086</v>
      </c>
      <c r="B453">
        <v>0</v>
      </c>
      <c r="C453" t="s">
        <v>523</v>
      </c>
      <c r="D453" t="s">
        <v>510</v>
      </c>
      <c r="E453" t="s">
        <v>515</v>
      </c>
      <c r="L453"/>
    </row>
    <row r="454" spans="1:12" x14ac:dyDescent="0.35">
      <c r="A454" t="s">
        <v>3087</v>
      </c>
      <c r="B454">
        <v>0</v>
      </c>
      <c r="C454" t="s">
        <v>523</v>
      </c>
      <c r="D454" t="s">
        <v>510</v>
      </c>
      <c r="E454" t="s">
        <v>515</v>
      </c>
      <c r="L454"/>
    </row>
    <row r="455" spans="1:12" x14ac:dyDescent="0.35">
      <c r="A455" t="s">
        <v>3088</v>
      </c>
      <c r="B455">
        <v>0</v>
      </c>
      <c r="C455" t="s">
        <v>523</v>
      </c>
      <c r="D455" t="s">
        <v>510</v>
      </c>
      <c r="E455" t="s">
        <v>515</v>
      </c>
      <c r="L455"/>
    </row>
    <row r="456" spans="1:12" x14ac:dyDescent="0.35">
      <c r="A456" t="s">
        <v>3089</v>
      </c>
      <c r="B456">
        <v>0</v>
      </c>
      <c r="C456" t="s">
        <v>523</v>
      </c>
      <c r="D456" t="s">
        <v>510</v>
      </c>
      <c r="E456" t="s">
        <v>515</v>
      </c>
      <c r="L456"/>
    </row>
    <row r="457" spans="1:12" x14ac:dyDescent="0.35">
      <c r="A457" t="s">
        <v>3090</v>
      </c>
      <c r="B457">
        <v>0</v>
      </c>
      <c r="C457" t="s">
        <v>523</v>
      </c>
      <c r="D457" t="s">
        <v>510</v>
      </c>
      <c r="E457" t="s">
        <v>515</v>
      </c>
      <c r="L457"/>
    </row>
    <row r="458" spans="1:12" x14ac:dyDescent="0.35">
      <c r="A458" t="s">
        <v>3091</v>
      </c>
      <c r="B458">
        <v>0</v>
      </c>
      <c r="C458" t="s">
        <v>523</v>
      </c>
      <c r="D458" t="s">
        <v>510</v>
      </c>
      <c r="E458" t="s">
        <v>515</v>
      </c>
      <c r="L458"/>
    </row>
    <row r="459" spans="1:12" x14ac:dyDescent="0.35">
      <c r="A459" t="s">
        <v>3092</v>
      </c>
      <c r="B459">
        <v>0</v>
      </c>
      <c r="C459" t="s">
        <v>523</v>
      </c>
      <c r="D459" t="s">
        <v>510</v>
      </c>
      <c r="E459" t="s">
        <v>515</v>
      </c>
      <c r="L459"/>
    </row>
    <row r="460" spans="1:12" x14ac:dyDescent="0.35">
      <c r="A460" t="s">
        <v>3093</v>
      </c>
      <c r="B460">
        <v>0</v>
      </c>
      <c r="C460" t="s">
        <v>523</v>
      </c>
      <c r="D460" t="s">
        <v>510</v>
      </c>
      <c r="E460" t="s">
        <v>515</v>
      </c>
      <c r="L460"/>
    </row>
    <row r="461" spans="1:12" x14ac:dyDescent="0.35">
      <c r="A461" t="s">
        <v>3094</v>
      </c>
      <c r="B461">
        <v>0</v>
      </c>
      <c r="C461" t="s">
        <v>523</v>
      </c>
      <c r="D461" t="s">
        <v>510</v>
      </c>
      <c r="E461" t="s">
        <v>515</v>
      </c>
      <c r="L461"/>
    </row>
    <row r="462" spans="1:12" x14ac:dyDescent="0.35">
      <c r="A462" t="s">
        <v>3095</v>
      </c>
      <c r="B462">
        <v>0</v>
      </c>
      <c r="C462" t="s">
        <v>523</v>
      </c>
      <c r="D462" t="s">
        <v>510</v>
      </c>
      <c r="E462" t="s">
        <v>515</v>
      </c>
      <c r="L462"/>
    </row>
    <row r="463" spans="1:12" x14ac:dyDescent="0.35">
      <c r="A463" t="s">
        <v>3096</v>
      </c>
      <c r="B463">
        <v>0</v>
      </c>
      <c r="C463" t="s">
        <v>523</v>
      </c>
      <c r="D463" t="s">
        <v>510</v>
      </c>
      <c r="E463" t="s">
        <v>515</v>
      </c>
      <c r="L463"/>
    </row>
    <row r="464" spans="1:12" x14ac:dyDescent="0.35">
      <c r="A464" t="s">
        <v>3097</v>
      </c>
      <c r="B464">
        <v>0</v>
      </c>
      <c r="C464" t="s">
        <v>523</v>
      </c>
      <c r="D464" t="s">
        <v>510</v>
      </c>
      <c r="E464" t="s">
        <v>515</v>
      </c>
      <c r="L464"/>
    </row>
    <row r="465" spans="1:12" x14ac:dyDescent="0.35">
      <c r="A465" t="s">
        <v>3098</v>
      </c>
      <c r="B465">
        <v>0</v>
      </c>
      <c r="C465" t="s">
        <v>523</v>
      </c>
      <c r="D465" t="s">
        <v>510</v>
      </c>
      <c r="E465" t="s">
        <v>515</v>
      </c>
      <c r="L465"/>
    </row>
    <row r="466" spans="1:12" x14ac:dyDescent="0.35">
      <c r="A466" t="s">
        <v>3099</v>
      </c>
      <c r="B466">
        <v>0</v>
      </c>
      <c r="C466" t="s">
        <v>523</v>
      </c>
      <c r="D466" t="s">
        <v>510</v>
      </c>
      <c r="E466" t="s">
        <v>515</v>
      </c>
      <c r="L466"/>
    </row>
    <row r="467" spans="1:12" x14ac:dyDescent="0.35">
      <c r="A467" t="s">
        <v>3100</v>
      </c>
      <c r="B467">
        <v>0</v>
      </c>
      <c r="C467" t="s">
        <v>523</v>
      </c>
      <c r="D467" t="s">
        <v>510</v>
      </c>
      <c r="E467" t="s">
        <v>515</v>
      </c>
      <c r="L467"/>
    </row>
    <row r="468" spans="1:12" x14ac:dyDescent="0.35">
      <c r="A468" t="s">
        <v>3101</v>
      </c>
      <c r="B468">
        <v>0</v>
      </c>
      <c r="C468" t="s">
        <v>523</v>
      </c>
      <c r="D468" t="s">
        <v>510</v>
      </c>
      <c r="E468" t="s">
        <v>515</v>
      </c>
      <c r="L468"/>
    </row>
    <row r="469" spans="1:12" x14ac:dyDescent="0.35">
      <c r="A469" t="s">
        <v>3102</v>
      </c>
      <c r="B469">
        <v>0</v>
      </c>
      <c r="C469" t="s">
        <v>523</v>
      </c>
      <c r="D469" t="s">
        <v>510</v>
      </c>
      <c r="E469" t="s">
        <v>515</v>
      </c>
      <c r="L469"/>
    </row>
    <row r="470" spans="1:12" x14ac:dyDescent="0.35">
      <c r="A470" t="s">
        <v>3103</v>
      </c>
      <c r="B470">
        <v>0</v>
      </c>
      <c r="C470" t="s">
        <v>523</v>
      </c>
      <c r="D470" t="s">
        <v>510</v>
      </c>
      <c r="E470" t="s">
        <v>515</v>
      </c>
      <c r="L470"/>
    </row>
    <row r="471" spans="1:12" x14ac:dyDescent="0.35">
      <c r="A471" t="s">
        <v>3104</v>
      </c>
      <c r="B471">
        <v>0</v>
      </c>
      <c r="C471" t="s">
        <v>523</v>
      </c>
      <c r="D471" t="s">
        <v>510</v>
      </c>
      <c r="E471" t="s">
        <v>515</v>
      </c>
      <c r="L471"/>
    </row>
    <row r="472" spans="1:12" x14ac:dyDescent="0.35">
      <c r="A472" t="s">
        <v>3105</v>
      </c>
      <c r="B472">
        <v>0</v>
      </c>
      <c r="C472" t="s">
        <v>523</v>
      </c>
      <c r="D472" t="s">
        <v>510</v>
      </c>
      <c r="E472" t="s">
        <v>515</v>
      </c>
      <c r="L472"/>
    </row>
    <row r="473" spans="1:12" x14ac:dyDescent="0.35">
      <c r="A473" t="s">
        <v>3106</v>
      </c>
      <c r="B473">
        <v>0</v>
      </c>
      <c r="C473" t="s">
        <v>523</v>
      </c>
      <c r="D473" t="s">
        <v>510</v>
      </c>
      <c r="E473" t="s">
        <v>515</v>
      </c>
      <c r="L473"/>
    </row>
    <row r="474" spans="1:12" x14ac:dyDescent="0.35">
      <c r="A474" t="s">
        <v>3107</v>
      </c>
      <c r="B474">
        <v>0</v>
      </c>
      <c r="C474" t="s">
        <v>523</v>
      </c>
      <c r="D474" t="s">
        <v>510</v>
      </c>
      <c r="E474" t="s">
        <v>515</v>
      </c>
      <c r="L474"/>
    </row>
    <row r="475" spans="1:12" x14ac:dyDescent="0.35">
      <c r="A475" t="s">
        <v>3108</v>
      </c>
      <c r="B475">
        <v>0</v>
      </c>
      <c r="C475" t="s">
        <v>523</v>
      </c>
      <c r="D475" t="s">
        <v>510</v>
      </c>
      <c r="E475" t="s">
        <v>515</v>
      </c>
      <c r="L475"/>
    </row>
    <row r="476" spans="1:12" x14ac:dyDescent="0.35">
      <c r="A476" t="s">
        <v>3109</v>
      </c>
      <c r="B476">
        <v>0</v>
      </c>
      <c r="C476" t="s">
        <v>523</v>
      </c>
      <c r="D476" t="s">
        <v>510</v>
      </c>
      <c r="E476" t="s">
        <v>515</v>
      </c>
      <c r="L476"/>
    </row>
    <row r="477" spans="1:12" x14ac:dyDescent="0.35">
      <c r="A477" t="s">
        <v>3110</v>
      </c>
      <c r="B477">
        <v>0</v>
      </c>
      <c r="C477" t="s">
        <v>523</v>
      </c>
      <c r="D477" t="s">
        <v>510</v>
      </c>
      <c r="E477" t="s">
        <v>515</v>
      </c>
      <c r="L477"/>
    </row>
    <row r="478" spans="1:12" x14ac:dyDescent="0.35">
      <c r="A478" t="s">
        <v>3111</v>
      </c>
      <c r="B478">
        <v>0</v>
      </c>
      <c r="C478" t="s">
        <v>523</v>
      </c>
      <c r="D478" t="s">
        <v>510</v>
      </c>
      <c r="E478" t="s">
        <v>515</v>
      </c>
      <c r="L478"/>
    </row>
    <row r="479" spans="1:12" x14ac:dyDescent="0.35">
      <c r="A479" t="s">
        <v>3112</v>
      </c>
      <c r="B479">
        <v>0</v>
      </c>
      <c r="C479" t="s">
        <v>523</v>
      </c>
      <c r="D479" t="s">
        <v>510</v>
      </c>
      <c r="E479" t="s">
        <v>515</v>
      </c>
      <c r="L479"/>
    </row>
    <row r="480" spans="1:12" x14ac:dyDescent="0.35">
      <c r="A480" t="s">
        <v>3113</v>
      </c>
      <c r="B480">
        <v>0</v>
      </c>
      <c r="C480" t="s">
        <v>523</v>
      </c>
      <c r="D480" t="s">
        <v>510</v>
      </c>
      <c r="E480" t="s">
        <v>515</v>
      </c>
      <c r="L480"/>
    </row>
    <row r="481" spans="1:12" x14ac:dyDescent="0.35">
      <c r="A481" t="s">
        <v>3114</v>
      </c>
      <c r="B481">
        <v>0</v>
      </c>
      <c r="C481" t="s">
        <v>523</v>
      </c>
      <c r="D481" t="s">
        <v>510</v>
      </c>
      <c r="E481" t="s">
        <v>515</v>
      </c>
      <c r="L481"/>
    </row>
    <row r="482" spans="1:12" x14ac:dyDescent="0.35">
      <c r="A482" t="s">
        <v>3115</v>
      </c>
      <c r="B482">
        <v>0</v>
      </c>
      <c r="C482" t="s">
        <v>523</v>
      </c>
      <c r="D482" t="s">
        <v>510</v>
      </c>
      <c r="E482" t="s">
        <v>515</v>
      </c>
      <c r="L482"/>
    </row>
    <row r="483" spans="1:12" x14ac:dyDescent="0.35">
      <c r="A483" t="s">
        <v>3116</v>
      </c>
      <c r="B483">
        <v>0</v>
      </c>
      <c r="C483" t="s">
        <v>523</v>
      </c>
      <c r="D483" t="s">
        <v>510</v>
      </c>
      <c r="E483" t="s">
        <v>515</v>
      </c>
      <c r="L483"/>
    </row>
    <row r="484" spans="1:12" x14ac:dyDescent="0.35">
      <c r="A484" t="s">
        <v>3117</v>
      </c>
      <c r="B484">
        <v>0</v>
      </c>
      <c r="C484" t="s">
        <v>523</v>
      </c>
      <c r="D484" t="s">
        <v>510</v>
      </c>
      <c r="E484" t="s">
        <v>515</v>
      </c>
      <c r="L484"/>
    </row>
    <row r="485" spans="1:12" x14ac:dyDescent="0.35">
      <c r="A485" t="s">
        <v>3118</v>
      </c>
      <c r="B485">
        <v>0</v>
      </c>
      <c r="C485" t="s">
        <v>523</v>
      </c>
      <c r="D485" t="s">
        <v>510</v>
      </c>
      <c r="E485" t="s">
        <v>515</v>
      </c>
      <c r="L485"/>
    </row>
    <row r="486" spans="1:12" x14ac:dyDescent="0.35">
      <c r="A486" t="s">
        <v>3119</v>
      </c>
      <c r="B486">
        <v>0</v>
      </c>
      <c r="C486" t="s">
        <v>523</v>
      </c>
      <c r="D486" t="s">
        <v>510</v>
      </c>
      <c r="E486" t="s">
        <v>515</v>
      </c>
      <c r="L486"/>
    </row>
    <row r="487" spans="1:12" x14ac:dyDescent="0.35">
      <c r="A487" t="s">
        <v>3120</v>
      </c>
      <c r="B487">
        <v>0</v>
      </c>
      <c r="C487" t="s">
        <v>523</v>
      </c>
      <c r="D487" t="s">
        <v>510</v>
      </c>
      <c r="E487" t="s">
        <v>515</v>
      </c>
      <c r="L487"/>
    </row>
    <row r="488" spans="1:12" x14ac:dyDescent="0.35">
      <c r="A488" t="s">
        <v>3121</v>
      </c>
      <c r="B488">
        <v>0</v>
      </c>
      <c r="C488" t="s">
        <v>523</v>
      </c>
      <c r="D488" t="s">
        <v>510</v>
      </c>
      <c r="E488" t="s">
        <v>515</v>
      </c>
      <c r="L488"/>
    </row>
    <row r="489" spans="1:12" x14ac:dyDescent="0.35">
      <c r="A489" t="s">
        <v>3122</v>
      </c>
      <c r="B489">
        <v>0</v>
      </c>
      <c r="C489" t="s">
        <v>523</v>
      </c>
      <c r="D489" t="s">
        <v>510</v>
      </c>
      <c r="E489" t="s">
        <v>515</v>
      </c>
      <c r="L489"/>
    </row>
    <row r="490" spans="1:12" x14ac:dyDescent="0.35">
      <c r="A490" t="s">
        <v>3123</v>
      </c>
      <c r="B490">
        <v>0</v>
      </c>
      <c r="C490" t="s">
        <v>523</v>
      </c>
      <c r="D490" t="s">
        <v>510</v>
      </c>
      <c r="E490" t="s">
        <v>515</v>
      </c>
      <c r="L490"/>
    </row>
    <row r="491" spans="1:12" x14ac:dyDescent="0.35">
      <c r="A491" t="s">
        <v>3124</v>
      </c>
      <c r="B491">
        <v>0</v>
      </c>
      <c r="C491" t="s">
        <v>523</v>
      </c>
      <c r="D491" t="s">
        <v>510</v>
      </c>
      <c r="E491" t="s">
        <v>515</v>
      </c>
      <c r="L491"/>
    </row>
    <row r="492" spans="1:12" x14ac:dyDescent="0.35">
      <c r="A492" t="s">
        <v>3125</v>
      </c>
      <c r="B492">
        <v>0</v>
      </c>
      <c r="C492" t="s">
        <v>523</v>
      </c>
      <c r="D492" t="s">
        <v>510</v>
      </c>
      <c r="E492" t="s">
        <v>515</v>
      </c>
      <c r="L492"/>
    </row>
    <row r="493" spans="1:12" x14ac:dyDescent="0.35">
      <c r="A493" t="s">
        <v>3126</v>
      </c>
      <c r="B493">
        <v>0</v>
      </c>
      <c r="C493" t="s">
        <v>523</v>
      </c>
      <c r="D493" t="s">
        <v>510</v>
      </c>
      <c r="E493" t="s">
        <v>515</v>
      </c>
      <c r="L493"/>
    </row>
    <row r="494" spans="1:12" x14ac:dyDescent="0.35">
      <c r="A494" t="s">
        <v>3127</v>
      </c>
      <c r="B494">
        <v>0</v>
      </c>
      <c r="C494" t="s">
        <v>523</v>
      </c>
      <c r="D494" t="s">
        <v>510</v>
      </c>
      <c r="E494" t="s">
        <v>515</v>
      </c>
      <c r="L494"/>
    </row>
    <row r="495" spans="1:12" x14ac:dyDescent="0.35">
      <c r="A495" t="s">
        <v>3128</v>
      </c>
      <c r="B495">
        <v>0</v>
      </c>
      <c r="C495" t="s">
        <v>523</v>
      </c>
      <c r="D495" t="s">
        <v>510</v>
      </c>
      <c r="E495" t="s">
        <v>515</v>
      </c>
      <c r="L495"/>
    </row>
    <row r="496" spans="1:12" x14ac:dyDescent="0.35">
      <c r="A496" t="s">
        <v>3129</v>
      </c>
      <c r="B496">
        <v>0</v>
      </c>
      <c r="C496" t="s">
        <v>523</v>
      </c>
      <c r="D496" t="s">
        <v>510</v>
      </c>
      <c r="E496" t="s">
        <v>515</v>
      </c>
      <c r="L496"/>
    </row>
    <row r="497" spans="1:12" x14ac:dyDescent="0.35">
      <c r="A497" t="s">
        <v>3130</v>
      </c>
      <c r="B497">
        <v>0</v>
      </c>
      <c r="C497" t="s">
        <v>523</v>
      </c>
      <c r="D497" t="s">
        <v>510</v>
      </c>
      <c r="E497" t="s">
        <v>515</v>
      </c>
      <c r="L497"/>
    </row>
    <row r="498" spans="1:12" x14ac:dyDescent="0.35">
      <c r="A498" t="s">
        <v>3131</v>
      </c>
      <c r="B498">
        <v>0</v>
      </c>
      <c r="C498" t="s">
        <v>523</v>
      </c>
      <c r="D498" t="s">
        <v>510</v>
      </c>
      <c r="E498" t="s">
        <v>515</v>
      </c>
      <c r="L498"/>
    </row>
    <row r="499" spans="1:12" x14ac:dyDescent="0.35">
      <c r="A499" t="s">
        <v>3132</v>
      </c>
      <c r="B499">
        <v>0</v>
      </c>
      <c r="C499" t="s">
        <v>523</v>
      </c>
      <c r="D499" t="s">
        <v>510</v>
      </c>
      <c r="E499" t="s">
        <v>515</v>
      </c>
      <c r="L499"/>
    </row>
    <row r="500" spans="1:12" x14ac:dyDescent="0.35">
      <c r="A500" t="s">
        <v>3133</v>
      </c>
      <c r="B500">
        <v>0</v>
      </c>
      <c r="C500" t="s">
        <v>523</v>
      </c>
      <c r="D500" t="s">
        <v>510</v>
      </c>
      <c r="E500" t="s">
        <v>515</v>
      </c>
      <c r="L500"/>
    </row>
    <row r="501" spans="1:12" x14ac:dyDescent="0.35">
      <c r="A501" t="s">
        <v>3134</v>
      </c>
      <c r="B501">
        <v>0</v>
      </c>
      <c r="C501" t="s">
        <v>523</v>
      </c>
      <c r="D501" t="s">
        <v>510</v>
      </c>
      <c r="E501" t="s">
        <v>515</v>
      </c>
      <c r="L501"/>
    </row>
    <row r="502" spans="1:12" x14ac:dyDescent="0.35">
      <c r="A502" t="s">
        <v>3135</v>
      </c>
      <c r="B502">
        <v>0</v>
      </c>
      <c r="C502" t="s">
        <v>523</v>
      </c>
      <c r="D502" t="s">
        <v>510</v>
      </c>
      <c r="E502" t="s">
        <v>515</v>
      </c>
      <c r="L502"/>
    </row>
    <row r="503" spans="1:12" x14ac:dyDescent="0.35">
      <c r="A503" t="s">
        <v>3136</v>
      </c>
      <c r="B503">
        <v>0</v>
      </c>
      <c r="C503" t="s">
        <v>523</v>
      </c>
      <c r="D503" t="s">
        <v>510</v>
      </c>
      <c r="E503" t="s">
        <v>515</v>
      </c>
      <c r="L503"/>
    </row>
    <row r="504" spans="1:12" x14ac:dyDescent="0.35">
      <c r="A504" t="s">
        <v>3137</v>
      </c>
      <c r="B504">
        <v>0</v>
      </c>
      <c r="C504" t="s">
        <v>523</v>
      </c>
      <c r="D504" t="s">
        <v>510</v>
      </c>
      <c r="E504" t="s">
        <v>515</v>
      </c>
      <c r="L504"/>
    </row>
    <row r="505" spans="1:12" x14ac:dyDescent="0.35">
      <c r="A505" t="s">
        <v>3138</v>
      </c>
      <c r="B505">
        <v>0</v>
      </c>
      <c r="C505" t="s">
        <v>523</v>
      </c>
      <c r="D505" t="s">
        <v>505</v>
      </c>
      <c r="E505" t="s">
        <v>515</v>
      </c>
      <c r="L505"/>
    </row>
    <row r="506" spans="1:12" x14ac:dyDescent="0.35">
      <c r="A506" t="s">
        <v>3139</v>
      </c>
      <c r="B506">
        <v>0</v>
      </c>
      <c r="C506" t="s">
        <v>524</v>
      </c>
      <c r="D506" t="s">
        <v>510</v>
      </c>
      <c r="E506" t="s">
        <v>515</v>
      </c>
      <c r="L506"/>
    </row>
    <row r="507" spans="1:12" x14ac:dyDescent="0.35">
      <c r="A507" t="s">
        <v>3140</v>
      </c>
      <c r="B507">
        <v>0</v>
      </c>
      <c r="C507" t="s">
        <v>525</v>
      </c>
      <c r="D507" t="s">
        <v>510</v>
      </c>
      <c r="E507" t="s">
        <v>519</v>
      </c>
      <c r="L507"/>
    </row>
    <row r="508" spans="1:12" x14ac:dyDescent="0.35">
      <c r="A508" t="s">
        <v>3141</v>
      </c>
      <c r="B508">
        <v>0</v>
      </c>
      <c r="C508" t="s">
        <v>525</v>
      </c>
      <c r="D508" t="s">
        <v>510</v>
      </c>
      <c r="E508" t="s">
        <v>519</v>
      </c>
      <c r="L508"/>
    </row>
    <row r="509" spans="1:12" x14ac:dyDescent="0.35">
      <c r="A509" t="s">
        <v>3142</v>
      </c>
      <c r="B509">
        <v>0</v>
      </c>
      <c r="C509" t="s">
        <v>524</v>
      </c>
      <c r="D509" t="s">
        <v>510</v>
      </c>
      <c r="E509" t="s">
        <v>515</v>
      </c>
      <c r="L509"/>
    </row>
    <row r="510" spans="1:12" x14ac:dyDescent="0.35">
      <c r="A510" t="s">
        <v>3143</v>
      </c>
      <c r="B510">
        <v>0</v>
      </c>
      <c r="C510" t="s">
        <v>524</v>
      </c>
      <c r="D510" t="s">
        <v>510</v>
      </c>
      <c r="E510" t="s">
        <v>515</v>
      </c>
      <c r="L510"/>
    </row>
    <row r="511" spans="1:12" x14ac:dyDescent="0.35">
      <c r="A511" t="s">
        <v>3144</v>
      </c>
      <c r="B511">
        <v>0</v>
      </c>
      <c r="C511" t="s">
        <v>524</v>
      </c>
      <c r="D511" t="s">
        <v>510</v>
      </c>
      <c r="E511" t="s">
        <v>515</v>
      </c>
      <c r="L511"/>
    </row>
    <row r="512" spans="1:12" x14ac:dyDescent="0.35">
      <c r="A512" t="s">
        <v>3145</v>
      </c>
      <c r="B512">
        <v>0</v>
      </c>
      <c r="C512" t="s">
        <v>524</v>
      </c>
      <c r="D512" t="s">
        <v>510</v>
      </c>
      <c r="E512" t="s">
        <v>515</v>
      </c>
      <c r="L512"/>
    </row>
    <row r="513" spans="1:12" x14ac:dyDescent="0.35">
      <c r="A513" t="s">
        <v>3146</v>
      </c>
      <c r="B513">
        <v>0</v>
      </c>
      <c r="C513" t="s">
        <v>524</v>
      </c>
      <c r="D513" t="s">
        <v>510</v>
      </c>
      <c r="E513" t="s">
        <v>515</v>
      </c>
      <c r="L513"/>
    </row>
    <row r="514" spans="1:12" x14ac:dyDescent="0.35">
      <c r="A514" t="s">
        <v>3147</v>
      </c>
      <c r="B514">
        <v>0</v>
      </c>
      <c r="C514" t="s">
        <v>524</v>
      </c>
      <c r="D514" t="s">
        <v>510</v>
      </c>
      <c r="E514" t="s">
        <v>515</v>
      </c>
      <c r="L514"/>
    </row>
    <row r="515" spans="1:12" x14ac:dyDescent="0.35">
      <c r="A515" t="s">
        <v>3148</v>
      </c>
      <c r="B515">
        <v>0</v>
      </c>
      <c r="C515" t="s">
        <v>524</v>
      </c>
      <c r="D515" t="s">
        <v>510</v>
      </c>
      <c r="E515" t="s">
        <v>515</v>
      </c>
      <c r="L515"/>
    </row>
    <row r="516" spans="1:12" x14ac:dyDescent="0.35">
      <c r="A516" t="s">
        <v>3149</v>
      </c>
      <c r="B516">
        <v>0</v>
      </c>
      <c r="C516" t="s">
        <v>524</v>
      </c>
      <c r="D516" t="s">
        <v>510</v>
      </c>
      <c r="E516" t="s">
        <v>515</v>
      </c>
      <c r="L516"/>
    </row>
    <row r="517" spans="1:12" x14ac:dyDescent="0.35">
      <c r="A517" t="s">
        <v>3150</v>
      </c>
      <c r="B517">
        <v>0</v>
      </c>
      <c r="C517" t="s">
        <v>524</v>
      </c>
      <c r="D517" t="s">
        <v>510</v>
      </c>
      <c r="E517" t="s">
        <v>515</v>
      </c>
      <c r="L517"/>
    </row>
    <row r="518" spans="1:12" x14ac:dyDescent="0.35">
      <c r="A518" t="s">
        <v>3151</v>
      </c>
      <c r="B518">
        <v>0</v>
      </c>
      <c r="C518" t="s">
        <v>524</v>
      </c>
      <c r="D518" t="s">
        <v>510</v>
      </c>
      <c r="E518" t="s">
        <v>515</v>
      </c>
      <c r="L518"/>
    </row>
    <row r="519" spans="1:12" x14ac:dyDescent="0.35">
      <c r="A519" t="s">
        <v>3152</v>
      </c>
      <c r="B519">
        <v>0</v>
      </c>
      <c r="C519" t="s">
        <v>525</v>
      </c>
      <c r="D519" t="s">
        <v>510</v>
      </c>
      <c r="E519" t="s">
        <v>519</v>
      </c>
      <c r="L519"/>
    </row>
    <row r="520" spans="1:12" x14ac:dyDescent="0.35">
      <c r="A520" t="s">
        <v>3153</v>
      </c>
      <c r="B520">
        <v>0</v>
      </c>
      <c r="C520" t="s">
        <v>524</v>
      </c>
      <c r="D520" t="s">
        <v>510</v>
      </c>
      <c r="E520" t="s">
        <v>515</v>
      </c>
      <c r="L520"/>
    </row>
    <row r="521" spans="1:12" x14ac:dyDescent="0.35">
      <c r="A521" t="s">
        <v>3154</v>
      </c>
      <c r="B521">
        <v>0</v>
      </c>
      <c r="C521" t="s">
        <v>524</v>
      </c>
      <c r="D521" t="s">
        <v>510</v>
      </c>
      <c r="E521" t="s">
        <v>515</v>
      </c>
      <c r="L521"/>
    </row>
    <row r="522" spans="1:12" x14ac:dyDescent="0.35">
      <c r="A522" t="s">
        <v>3155</v>
      </c>
      <c r="B522">
        <v>0</v>
      </c>
      <c r="C522" t="s">
        <v>524</v>
      </c>
      <c r="D522" t="s">
        <v>510</v>
      </c>
      <c r="E522" t="s">
        <v>515</v>
      </c>
      <c r="L522"/>
    </row>
    <row r="523" spans="1:12" x14ac:dyDescent="0.35">
      <c r="A523" t="s">
        <v>3156</v>
      </c>
      <c r="B523">
        <v>0</v>
      </c>
      <c r="C523" t="s">
        <v>525</v>
      </c>
      <c r="D523" t="s">
        <v>510</v>
      </c>
      <c r="E523" t="s">
        <v>519</v>
      </c>
      <c r="L523"/>
    </row>
    <row r="524" spans="1:12" x14ac:dyDescent="0.35">
      <c r="A524" t="s">
        <v>3157</v>
      </c>
      <c r="B524">
        <v>0</v>
      </c>
      <c r="C524" t="s">
        <v>524</v>
      </c>
      <c r="D524" t="s">
        <v>510</v>
      </c>
      <c r="E524" t="s">
        <v>515</v>
      </c>
      <c r="L524"/>
    </row>
    <row r="525" spans="1:12" x14ac:dyDescent="0.35">
      <c r="A525" t="s">
        <v>3158</v>
      </c>
      <c r="B525">
        <v>0</v>
      </c>
      <c r="C525" t="s">
        <v>524</v>
      </c>
      <c r="D525" t="s">
        <v>510</v>
      </c>
      <c r="E525" t="s">
        <v>515</v>
      </c>
      <c r="L525"/>
    </row>
    <row r="526" spans="1:12" x14ac:dyDescent="0.35">
      <c r="A526" t="s">
        <v>3159</v>
      </c>
      <c r="B526">
        <v>0</v>
      </c>
      <c r="C526" t="s">
        <v>524</v>
      </c>
      <c r="D526" t="s">
        <v>510</v>
      </c>
      <c r="E526" t="s">
        <v>515</v>
      </c>
      <c r="L526"/>
    </row>
    <row r="527" spans="1:12" x14ac:dyDescent="0.35">
      <c r="A527" t="s">
        <v>3160</v>
      </c>
      <c r="B527">
        <v>0</v>
      </c>
      <c r="C527" t="s">
        <v>524</v>
      </c>
      <c r="D527" t="s">
        <v>510</v>
      </c>
      <c r="E527" t="s">
        <v>515</v>
      </c>
      <c r="L527"/>
    </row>
    <row r="528" spans="1:12" x14ac:dyDescent="0.35">
      <c r="A528" t="s">
        <v>3161</v>
      </c>
      <c r="B528">
        <v>0</v>
      </c>
      <c r="C528" t="s">
        <v>525</v>
      </c>
      <c r="D528" t="s">
        <v>510</v>
      </c>
      <c r="E528" t="s">
        <v>519</v>
      </c>
      <c r="L528"/>
    </row>
    <row r="529" spans="1:12" x14ac:dyDescent="0.35">
      <c r="A529" t="s">
        <v>3162</v>
      </c>
      <c r="B529">
        <v>0</v>
      </c>
      <c r="C529" t="s">
        <v>525</v>
      </c>
      <c r="D529" t="s">
        <v>510</v>
      </c>
      <c r="E529" t="s">
        <v>519</v>
      </c>
      <c r="L529"/>
    </row>
    <row r="530" spans="1:12" x14ac:dyDescent="0.35">
      <c r="A530" t="s">
        <v>3163</v>
      </c>
      <c r="B530">
        <v>0</v>
      </c>
      <c r="C530" t="s">
        <v>524</v>
      </c>
      <c r="D530" t="s">
        <v>510</v>
      </c>
      <c r="E530" t="s">
        <v>515</v>
      </c>
      <c r="L530"/>
    </row>
    <row r="531" spans="1:12" x14ac:dyDescent="0.35">
      <c r="A531" t="s">
        <v>3164</v>
      </c>
      <c r="B531">
        <v>0</v>
      </c>
      <c r="C531" t="s">
        <v>524</v>
      </c>
      <c r="D531" t="s">
        <v>510</v>
      </c>
      <c r="E531" t="s">
        <v>515</v>
      </c>
      <c r="L531"/>
    </row>
    <row r="532" spans="1:12" x14ac:dyDescent="0.35">
      <c r="A532" t="s">
        <v>3165</v>
      </c>
      <c r="B532">
        <v>0</v>
      </c>
      <c r="C532" t="s">
        <v>525</v>
      </c>
      <c r="D532" t="s">
        <v>510</v>
      </c>
      <c r="E532" t="s">
        <v>519</v>
      </c>
      <c r="L532"/>
    </row>
    <row r="533" spans="1:12" x14ac:dyDescent="0.35">
      <c r="A533" t="s">
        <v>3166</v>
      </c>
      <c r="B533">
        <v>0</v>
      </c>
      <c r="C533" t="s">
        <v>524</v>
      </c>
      <c r="D533" t="s">
        <v>510</v>
      </c>
      <c r="E533" t="s">
        <v>515</v>
      </c>
      <c r="L533"/>
    </row>
    <row r="534" spans="1:12" x14ac:dyDescent="0.35">
      <c r="A534" t="s">
        <v>3167</v>
      </c>
      <c r="B534">
        <v>0</v>
      </c>
      <c r="C534" t="s">
        <v>524</v>
      </c>
      <c r="D534" t="s">
        <v>510</v>
      </c>
      <c r="E534" t="s">
        <v>515</v>
      </c>
      <c r="L534"/>
    </row>
    <row r="535" spans="1:12" x14ac:dyDescent="0.35">
      <c r="A535" t="s">
        <v>3168</v>
      </c>
      <c r="B535">
        <v>0</v>
      </c>
      <c r="C535" t="s">
        <v>524</v>
      </c>
      <c r="D535" t="s">
        <v>510</v>
      </c>
      <c r="E535" t="s">
        <v>515</v>
      </c>
      <c r="L535"/>
    </row>
    <row r="536" spans="1:12" x14ac:dyDescent="0.35">
      <c r="A536" t="s">
        <v>3169</v>
      </c>
      <c r="B536">
        <v>0</v>
      </c>
      <c r="C536" t="s">
        <v>525</v>
      </c>
      <c r="D536" t="s">
        <v>510</v>
      </c>
      <c r="E536" t="s">
        <v>519</v>
      </c>
      <c r="L536"/>
    </row>
    <row r="537" spans="1:12" x14ac:dyDescent="0.35">
      <c r="A537" t="s">
        <v>3170</v>
      </c>
      <c r="B537">
        <v>0</v>
      </c>
      <c r="C537" t="s">
        <v>524</v>
      </c>
      <c r="D537" t="s">
        <v>510</v>
      </c>
      <c r="E537" t="s">
        <v>515</v>
      </c>
      <c r="L537"/>
    </row>
    <row r="538" spans="1:12" x14ac:dyDescent="0.35">
      <c r="A538" t="s">
        <v>3171</v>
      </c>
      <c r="B538">
        <v>0</v>
      </c>
      <c r="C538" t="s">
        <v>524</v>
      </c>
      <c r="D538" t="s">
        <v>510</v>
      </c>
      <c r="E538" t="s">
        <v>515</v>
      </c>
      <c r="L538"/>
    </row>
    <row r="539" spans="1:12" x14ac:dyDescent="0.35">
      <c r="A539" t="s">
        <v>3172</v>
      </c>
      <c r="B539">
        <v>0</v>
      </c>
      <c r="C539" t="s">
        <v>524</v>
      </c>
      <c r="D539" t="s">
        <v>510</v>
      </c>
      <c r="E539" t="s">
        <v>515</v>
      </c>
      <c r="L539"/>
    </row>
    <row r="540" spans="1:12" x14ac:dyDescent="0.35">
      <c r="A540" t="s">
        <v>3173</v>
      </c>
      <c r="B540">
        <v>0</v>
      </c>
      <c r="C540" t="s">
        <v>524</v>
      </c>
      <c r="D540" t="s">
        <v>510</v>
      </c>
      <c r="E540" t="s">
        <v>515</v>
      </c>
      <c r="L540"/>
    </row>
    <row r="541" spans="1:12" x14ac:dyDescent="0.35">
      <c r="A541" t="s">
        <v>3174</v>
      </c>
      <c r="B541">
        <v>0</v>
      </c>
      <c r="C541" t="s">
        <v>524</v>
      </c>
      <c r="D541" t="s">
        <v>510</v>
      </c>
      <c r="E541" t="s">
        <v>515</v>
      </c>
      <c r="L541"/>
    </row>
    <row r="542" spans="1:12" x14ac:dyDescent="0.35">
      <c r="A542" t="s">
        <v>3175</v>
      </c>
      <c r="B542">
        <v>-3</v>
      </c>
      <c r="C542" t="s">
        <v>525</v>
      </c>
      <c r="D542" t="s">
        <v>510</v>
      </c>
      <c r="E542" t="s">
        <v>519</v>
      </c>
      <c r="L542"/>
    </row>
    <row r="543" spans="1:12" x14ac:dyDescent="0.35">
      <c r="A543" t="s">
        <v>3176</v>
      </c>
      <c r="B543">
        <v>0</v>
      </c>
      <c r="C543" t="s">
        <v>525</v>
      </c>
      <c r="D543" t="s">
        <v>510</v>
      </c>
      <c r="E543" t="s">
        <v>519</v>
      </c>
      <c r="L543"/>
    </row>
    <row r="544" spans="1:12" x14ac:dyDescent="0.35">
      <c r="A544" t="s">
        <v>3177</v>
      </c>
      <c r="B544">
        <v>0</v>
      </c>
      <c r="C544" t="s">
        <v>525</v>
      </c>
      <c r="D544" t="s">
        <v>510</v>
      </c>
      <c r="E544" t="s">
        <v>519</v>
      </c>
      <c r="L544"/>
    </row>
    <row r="545" spans="1:12" x14ac:dyDescent="0.35">
      <c r="A545" t="s">
        <v>3178</v>
      </c>
      <c r="B545">
        <v>0</v>
      </c>
      <c r="C545" t="s">
        <v>524</v>
      </c>
      <c r="D545" t="s">
        <v>510</v>
      </c>
      <c r="E545" t="s">
        <v>515</v>
      </c>
      <c r="L545"/>
    </row>
    <row r="546" spans="1:12" x14ac:dyDescent="0.35">
      <c r="A546" t="s">
        <v>3179</v>
      </c>
      <c r="B546">
        <v>0</v>
      </c>
      <c r="C546" t="s">
        <v>524</v>
      </c>
      <c r="D546" t="s">
        <v>510</v>
      </c>
      <c r="E546" t="s">
        <v>515</v>
      </c>
      <c r="L546"/>
    </row>
    <row r="547" spans="1:12" x14ac:dyDescent="0.35">
      <c r="A547" t="s">
        <v>3444</v>
      </c>
      <c r="B547">
        <v>0</v>
      </c>
      <c r="C547" t="s">
        <v>524</v>
      </c>
      <c r="D547" t="s">
        <v>510</v>
      </c>
      <c r="E547" t="s">
        <v>515</v>
      </c>
      <c r="L547"/>
    </row>
    <row r="548" spans="1:12" x14ac:dyDescent="0.35">
      <c r="A548" t="s">
        <v>3180</v>
      </c>
      <c r="B548">
        <v>0</v>
      </c>
      <c r="C548" t="s">
        <v>524</v>
      </c>
      <c r="D548" t="s">
        <v>510</v>
      </c>
      <c r="E548" t="s">
        <v>515</v>
      </c>
      <c r="L548"/>
    </row>
    <row r="549" spans="1:12" x14ac:dyDescent="0.35">
      <c r="A549" t="s">
        <v>3181</v>
      </c>
      <c r="B549">
        <v>0</v>
      </c>
      <c r="C549" t="s">
        <v>524</v>
      </c>
      <c r="D549" t="s">
        <v>510</v>
      </c>
      <c r="E549" t="s">
        <v>515</v>
      </c>
      <c r="L549"/>
    </row>
    <row r="550" spans="1:12" x14ac:dyDescent="0.35">
      <c r="A550" t="s">
        <v>3182</v>
      </c>
      <c r="B550">
        <v>0</v>
      </c>
      <c r="C550" t="s">
        <v>525</v>
      </c>
      <c r="D550" t="s">
        <v>510</v>
      </c>
      <c r="E550" t="s">
        <v>519</v>
      </c>
      <c r="L550"/>
    </row>
    <row r="551" spans="1:12" x14ac:dyDescent="0.35">
      <c r="A551" t="s">
        <v>3183</v>
      </c>
      <c r="B551">
        <v>0</v>
      </c>
      <c r="C551" t="s">
        <v>524</v>
      </c>
      <c r="D551" t="s">
        <v>510</v>
      </c>
      <c r="E551" t="s">
        <v>515</v>
      </c>
      <c r="L551"/>
    </row>
    <row r="552" spans="1:12" x14ac:dyDescent="0.35">
      <c r="A552" t="s">
        <v>3184</v>
      </c>
      <c r="B552">
        <v>0</v>
      </c>
      <c r="C552" t="s">
        <v>525</v>
      </c>
      <c r="D552" t="s">
        <v>510</v>
      </c>
      <c r="E552" t="s">
        <v>518</v>
      </c>
      <c r="L552"/>
    </row>
    <row r="553" spans="1:12" x14ac:dyDescent="0.35">
      <c r="A553" t="s">
        <v>3185</v>
      </c>
      <c r="B553">
        <v>0</v>
      </c>
      <c r="C553" t="s">
        <v>525</v>
      </c>
      <c r="D553" t="s">
        <v>510</v>
      </c>
      <c r="E553" t="s">
        <v>518</v>
      </c>
      <c r="L553"/>
    </row>
    <row r="554" spans="1:12" x14ac:dyDescent="0.35">
      <c r="A554" t="s">
        <v>3186</v>
      </c>
      <c r="B554">
        <v>0</v>
      </c>
      <c r="C554" t="s">
        <v>524</v>
      </c>
      <c r="D554" t="s">
        <v>510</v>
      </c>
      <c r="E554" t="s">
        <v>519</v>
      </c>
      <c r="L554"/>
    </row>
    <row r="555" spans="1:12" x14ac:dyDescent="0.35">
      <c r="A555" t="s">
        <v>3187</v>
      </c>
      <c r="B555">
        <v>0</v>
      </c>
      <c r="C555" t="s">
        <v>525</v>
      </c>
      <c r="D555" t="s">
        <v>510</v>
      </c>
      <c r="E555" t="s">
        <v>518</v>
      </c>
      <c r="L555"/>
    </row>
    <row r="556" spans="1:12" x14ac:dyDescent="0.35">
      <c r="A556" t="s">
        <v>3188</v>
      </c>
      <c r="B556">
        <v>0</v>
      </c>
      <c r="C556" t="s">
        <v>525</v>
      </c>
      <c r="D556" t="s">
        <v>510</v>
      </c>
      <c r="E556" t="s">
        <v>519</v>
      </c>
      <c r="L556"/>
    </row>
    <row r="557" spans="1:12" x14ac:dyDescent="0.35">
      <c r="A557" t="s">
        <v>3189</v>
      </c>
      <c r="B557">
        <v>0</v>
      </c>
      <c r="C557" t="s">
        <v>524</v>
      </c>
      <c r="D557" t="s">
        <v>510</v>
      </c>
      <c r="E557" t="s">
        <v>515</v>
      </c>
      <c r="L557"/>
    </row>
    <row r="558" spans="1:12" x14ac:dyDescent="0.35">
      <c r="A558" t="s">
        <v>3190</v>
      </c>
      <c r="B558">
        <v>0</v>
      </c>
      <c r="C558" t="s">
        <v>525</v>
      </c>
      <c r="D558" t="s">
        <v>510</v>
      </c>
      <c r="E558" t="s">
        <v>518</v>
      </c>
      <c r="L558"/>
    </row>
    <row r="559" spans="1:12" x14ac:dyDescent="0.35">
      <c r="A559" t="s">
        <v>3191</v>
      </c>
      <c r="B559">
        <v>-3</v>
      </c>
      <c r="C559" t="s">
        <v>524</v>
      </c>
      <c r="D559" t="s">
        <v>510</v>
      </c>
      <c r="E559" t="s">
        <v>515</v>
      </c>
      <c r="L559"/>
    </row>
    <row r="560" spans="1:12" x14ac:dyDescent="0.35">
      <c r="A560" t="s">
        <v>3192</v>
      </c>
      <c r="B560">
        <v>0</v>
      </c>
      <c r="C560" t="s">
        <v>525</v>
      </c>
      <c r="D560" t="s">
        <v>510</v>
      </c>
      <c r="E560" t="s">
        <v>518</v>
      </c>
      <c r="L560"/>
    </row>
    <row r="561" spans="1:12" x14ac:dyDescent="0.35">
      <c r="A561" t="s">
        <v>3193</v>
      </c>
      <c r="B561">
        <v>0</v>
      </c>
      <c r="C561" t="s">
        <v>524</v>
      </c>
      <c r="D561" t="s">
        <v>510</v>
      </c>
      <c r="E561" t="s">
        <v>515</v>
      </c>
      <c r="L561"/>
    </row>
    <row r="562" spans="1:12" x14ac:dyDescent="0.35">
      <c r="A562" t="s">
        <v>3194</v>
      </c>
      <c r="B562">
        <v>0</v>
      </c>
      <c r="C562" t="s">
        <v>524</v>
      </c>
      <c r="D562" t="s">
        <v>510</v>
      </c>
      <c r="E562" t="s">
        <v>515</v>
      </c>
      <c r="L562"/>
    </row>
    <row r="563" spans="1:12" x14ac:dyDescent="0.35">
      <c r="A563" t="s">
        <v>3195</v>
      </c>
      <c r="B563">
        <v>0</v>
      </c>
      <c r="C563" t="s">
        <v>524</v>
      </c>
      <c r="D563" t="s">
        <v>510</v>
      </c>
      <c r="E563" t="s">
        <v>515</v>
      </c>
      <c r="L563"/>
    </row>
    <row r="564" spans="1:12" x14ac:dyDescent="0.35">
      <c r="A564" t="s">
        <v>3196</v>
      </c>
      <c r="B564">
        <v>0</v>
      </c>
      <c r="C564" t="s">
        <v>523</v>
      </c>
      <c r="D564" t="s">
        <v>506</v>
      </c>
      <c r="E564" t="s">
        <v>516</v>
      </c>
      <c r="L564"/>
    </row>
    <row r="565" spans="1:12" x14ac:dyDescent="0.35">
      <c r="A565" t="s">
        <v>3197</v>
      </c>
      <c r="B565">
        <v>0</v>
      </c>
      <c r="C565" t="s">
        <v>523</v>
      </c>
      <c r="D565" t="s">
        <v>506</v>
      </c>
      <c r="E565" t="s">
        <v>516</v>
      </c>
      <c r="L565"/>
    </row>
    <row r="566" spans="1:12" x14ac:dyDescent="0.35">
      <c r="A566" t="s">
        <v>3198</v>
      </c>
      <c r="B566">
        <v>0</v>
      </c>
      <c r="C566" t="s">
        <v>523</v>
      </c>
      <c r="D566" t="s">
        <v>506</v>
      </c>
      <c r="E566" t="s">
        <v>515</v>
      </c>
      <c r="L566"/>
    </row>
    <row r="567" spans="1:12" x14ac:dyDescent="0.35">
      <c r="A567" t="s">
        <v>3199</v>
      </c>
      <c r="B567">
        <v>0</v>
      </c>
      <c r="C567" t="s">
        <v>523</v>
      </c>
      <c r="D567" t="s">
        <v>506</v>
      </c>
      <c r="E567" t="s">
        <v>516</v>
      </c>
      <c r="L567"/>
    </row>
    <row r="568" spans="1:12" x14ac:dyDescent="0.35">
      <c r="A568" t="s">
        <v>3200</v>
      </c>
      <c r="B568">
        <v>0</v>
      </c>
      <c r="C568" t="s">
        <v>523</v>
      </c>
      <c r="D568" t="s">
        <v>509</v>
      </c>
      <c r="E568" t="s">
        <v>516</v>
      </c>
      <c r="L568"/>
    </row>
    <row r="569" spans="1:12" x14ac:dyDescent="0.35">
      <c r="A569" t="s">
        <v>3201</v>
      </c>
      <c r="B569">
        <v>0</v>
      </c>
      <c r="C569" t="s">
        <v>523</v>
      </c>
      <c r="D569" t="s">
        <v>506</v>
      </c>
      <c r="E569" t="s">
        <v>515</v>
      </c>
      <c r="L569"/>
    </row>
    <row r="570" spans="1:12" x14ac:dyDescent="0.35">
      <c r="A570" t="s">
        <v>3202</v>
      </c>
      <c r="B570">
        <v>0</v>
      </c>
      <c r="C570" t="s">
        <v>523</v>
      </c>
      <c r="D570" t="s">
        <v>510</v>
      </c>
      <c r="E570" t="s">
        <v>515</v>
      </c>
      <c r="L570"/>
    </row>
    <row r="571" spans="1:12" x14ac:dyDescent="0.35">
      <c r="A571" t="s">
        <v>3203</v>
      </c>
      <c r="B571">
        <v>0</v>
      </c>
      <c r="C571" t="s">
        <v>523</v>
      </c>
      <c r="D571" t="s">
        <v>510</v>
      </c>
      <c r="E571" t="s">
        <v>515</v>
      </c>
      <c r="L571"/>
    </row>
    <row r="572" spans="1:12" x14ac:dyDescent="0.35">
      <c r="A572" t="s">
        <v>227</v>
      </c>
      <c r="B572">
        <v>0</v>
      </c>
      <c r="C572" t="s">
        <v>523</v>
      </c>
      <c r="D572" t="s">
        <v>512</v>
      </c>
      <c r="E572" t="s">
        <v>516</v>
      </c>
      <c r="L572"/>
    </row>
    <row r="573" spans="1:12" x14ac:dyDescent="0.35">
      <c r="A573" t="s">
        <v>211</v>
      </c>
      <c r="B573">
        <v>0</v>
      </c>
      <c r="C573" t="s">
        <v>523</v>
      </c>
      <c r="D573" t="s">
        <v>512</v>
      </c>
      <c r="E573" t="s">
        <v>516</v>
      </c>
      <c r="L573"/>
    </row>
    <row r="574" spans="1:12" x14ac:dyDescent="0.35">
      <c r="A574" t="s">
        <v>212</v>
      </c>
      <c r="B574">
        <v>0</v>
      </c>
      <c r="C574" t="s">
        <v>523</v>
      </c>
      <c r="D574" t="s">
        <v>512</v>
      </c>
      <c r="E574" t="s">
        <v>516</v>
      </c>
      <c r="L574"/>
    </row>
    <row r="575" spans="1:12" x14ac:dyDescent="0.35">
      <c r="A575" t="s">
        <v>213</v>
      </c>
      <c r="B575">
        <v>0</v>
      </c>
      <c r="C575" t="s">
        <v>523</v>
      </c>
      <c r="D575" t="s">
        <v>512</v>
      </c>
      <c r="E575" t="s">
        <v>516</v>
      </c>
      <c r="L575"/>
    </row>
    <row r="576" spans="1:12" x14ac:dyDescent="0.35">
      <c r="A576" t="s">
        <v>214</v>
      </c>
      <c r="B576">
        <v>0</v>
      </c>
      <c r="C576" t="s">
        <v>523</v>
      </c>
      <c r="D576" t="s">
        <v>512</v>
      </c>
      <c r="E576" t="s">
        <v>516</v>
      </c>
      <c r="L576"/>
    </row>
    <row r="577" spans="1:12" x14ac:dyDescent="0.35">
      <c r="A577" t="s">
        <v>215</v>
      </c>
      <c r="B577">
        <v>0</v>
      </c>
      <c r="C577" t="s">
        <v>523</v>
      </c>
      <c r="D577" t="s">
        <v>512</v>
      </c>
      <c r="E577" t="s">
        <v>516</v>
      </c>
      <c r="L577"/>
    </row>
    <row r="578" spans="1:12" x14ac:dyDescent="0.35">
      <c r="A578" t="s">
        <v>216</v>
      </c>
      <c r="B578">
        <v>0</v>
      </c>
      <c r="C578" t="s">
        <v>523</v>
      </c>
      <c r="D578" t="s">
        <v>512</v>
      </c>
      <c r="E578" t="s">
        <v>516</v>
      </c>
      <c r="L578"/>
    </row>
    <row r="579" spans="1:12" x14ac:dyDescent="0.35">
      <c r="A579" t="s">
        <v>217</v>
      </c>
      <c r="B579">
        <v>0</v>
      </c>
      <c r="C579" t="s">
        <v>523</v>
      </c>
      <c r="D579" t="s">
        <v>512</v>
      </c>
      <c r="E579" t="s">
        <v>516</v>
      </c>
      <c r="L579"/>
    </row>
    <row r="580" spans="1:12" x14ac:dyDescent="0.35">
      <c r="A580" t="s">
        <v>218</v>
      </c>
      <c r="B580">
        <v>0</v>
      </c>
      <c r="C580" t="s">
        <v>523</v>
      </c>
      <c r="D580" t="s">
        <v>512</v>
      </c>
      <c r="E580" t="s">
        <v>516</v>
      </c>
      <c r="L580"/>
    </row>
    <row r="581" spans="1:12" x14ac:dyDescent="0.35">
      <c r="A581" t="s">
        <v>219</v>
      </c>
      <c r="B581">
        <v>0</v>
      </c>
      <c r="C581" t="s">
        <v>523</v>
      </c>
      <c r="D581" t="s">
        <v>512</v>
      </c>
      <c r="E581" t="s">
        <v>516</v>
      </c>
      <c r="L581"/>
    </row>
    <row r="582" spans="1:12" x14ac:dyDescent="0.35">
      <c r="A582" t="s">
        <v>220</v>
      </c>
      <c r="B582">
        <v>0</v>
      </c>
      <c r="C582" t="s">
        <v>523</v>
      </c>
      <c r="D582" t="s">
        <v>512</v>
      </c>
      <c r="E582" t="s">
        <v>516</v>
      </c>
      <c r="L582"/>
    </row>
    <row r="583" spans="1:12" x14ac:dyDescent="0.35">
      <c r="A583" t="s">
        <v>221</v>
      </c>
      <c r="B583">
        <v>0</v>
      </c>
      <c r="C583" t="s">
        <v>523</v>
      </c>
      <c r="D583" t="s">
        <v>512</v>
      </c>
      <c r="E583" t="s">
        <v>516</v>
      </c>
      <c r="L583"/>
    </row>
    <row r="584" spans="1:12" x14ac:dyDescent="0.35">
      <c r="A584" t="s">
        <v>222</v>
      </c>
      <c r="B584">
        <v>0</v>
      </c>
      <c r="C584" t="s">
        <v>523</v>
      </c>
      <c r="D584" t="s">
        <v>512</v>
      </c>
      <c r="E584" t="s">
        <v>516</v>
      </c>
      <c r="L584"/>
    </row>
    <row r="585" spans="1:12" x14ac:dyDescent="0.35">
      <c r="A585" t="s">
        <v>223</v>
      </c>
      <c r="B585">
        <v>0</v>
      </c>
      <c r="C585" t="s">
        <v>523</v>
      </c>
      <c r="D585" t="s">
        <v>511</v>
      </c>
      <c r="E585" t="s">
        <v>515</v>
      </c>
      <c r="L585"/>
    </row>
    <row r="586" spans="1:12" x14ac:dyDescent="0.35">
      <c r="A586" t="s">
        <v>224</v>
      </c>
      <c r="B586">
        <v>0</v>
      </c>
      <c r="C586" t="s">
        <v>523</v>
      </c>
      <c r="D586" t="s">
        <v>512</v>
      </c>
      <c r="E586" t="s">
        <v>516</v>
      </c>
      <c r="L586"/>
    </row>
    <row r="587" spans="1:12" x14ac:dyDescent="0.35">
      <c r="A587" t="s">
        <v>3204</v>
      </c>
      <c r="B587">
        <v>0</v>
      </c>
      <c r="C587" t="s">
        <v>523</v>
      </c>
      <c r="D587" t="s">
        <v>506</v>
      </c>
      <c r="E587" t="s">
        <v>516</v>
      </c>
      <c r="L587"/>
    </row>
    <row r="588" spans="1:12" x14ac:dyDescent="0.35">
      <c r="A588" t="s">
        <v>3205</v>
      </c>
      <c r="B588">
        <v>0</v>
      </c>
      <c r="C588" t="s">
        <v>523</v>
      </c>
      <c r="D588" t="s">
        <v>506</v>
      </c>
      <c r="E588" t="s">
        <v>516</v>
      </c>
      <c r="L588"/>
    </row>
    <row r="589" spans="1:12" x14ac:dyDescent="0.35">
      <c r="A589" t="s">
        <v>3206</v>
      </c>
      <c r="B589">
        <v>0</v>
      </c>
      <c r="C589" t="s">
        <v>523</v>
      </c>
      <c r="D589" t="s">
        <v>506</v>
      </c>
      <c r="E589" t="s">
        <v>516</v>
      </c>
      <c r="L589"/>
    </row>
    <row r="590" spans="1:12" x14ac:dyDescent="0.35">
      <c r="A590" t="s">
        <v>3207</v>
      </c>
      <c r="B590">
        <v>0</v>
      </c>
      <c r="C590" t="s">
        <v>523</v>
      </c>
      <c r="D590" t="s">
        <v>506</v>
      </c>
      <c r="E590" t="s">
        <v>516</v>
      </c>
      <c r="L590"/>
    </row>
    <row r="591" spans="1:12" x14ac:dyDescent="0.35">
      <c r="A591" t="s">
        <v>3208</v>
      </c>
      <c r="B591">
        <v>0</v>
      </c>
      <c r="C591" t="s">
        <v>523</v>
      </c>
      <c r="D591" t="s">
        <v>506</v>
      </c>
      <c r="E591" t="s">
        <v>516</v>
      </c>
      <c r="L591"/>
    </row>
    <row r="592" spans="1:12" x14ac:dyDescent="0.35">
      <c r="A592" t="s">
        <v>3209</v>
      </c>
      <c r="B592">
        <v>-3</v>
      </c>
      <c r="C592" t="s">
        <v>523</v>
      </c>
      <c r="D592" t="s">
        <v>506</v>
      </c>
      <c r="E592" t="s">
        <v>516</v>
      </c>
      <c r="L592"/>
    </row>
    <row r="593" spans="1:12" x14ac:dyDescent="0.35">
      <c r="A593" t="s">
        <v>3210</v>
      </c>
      <c r="B593">
        <v>0</v>
      </c>
      <c r="C593" t="s">
        <v>523</v>
      </c>
      <c r="D593" t="s">
        <v>506</v>
      </c>
      <c r="E593" t="s">
        <v>516</v>
      </c>
      <c r="L593"/>
    </row>
    <row r="594" spans="1:12" x14ac:dyDescent="0.35">
      <c r="A594" t="s">
        <v>3211</v>
      </c>
      <c r="B594">
        <v>0</v>
      </c>
      <c r="C594" t="s">
        <v>523</v>
      </c>
      <c r="D594" t="s">
        <v>506</v>
      </c>
      <c r="E594" t="s">
        <v>516</v>
      </c>
      <c r="L594"/>
    </row>
    <row r="595" spans="1:12" x14ac:dyDescent="0.35">
      <c r="A595" t="s">
        <v>3212</v>
      </c>
      <c r="B595">
        <v>0</v>
      </c>
      <c r="C595" t="s">
        <v>523</v>
      </c>
      <c r="D595" t="s">
        <v>506</v>
      </c>
      <c r="E595" t="s">
        <v>516</v>
      </c>
      <c r="L595"/>
    </row>
    <row r="596" spans="1:12" x14ac:dyDescent="0.35">
      <c r="A596" t="s">
        <v>3213</v>
      </c>
      <c r="B596">
        <v>0</v>
      </c>
      <c r="C596" t="s">
        <v>523</v>
      </c>
      <c r="D596" t="s">
        <v>506</v>
      </c>
      <c r="E596" t="s">
        <v>516</v>
      </c>
      <c r="L596"/>
    </row>
    <row r="597" spans="1:12" x14ac:dyDescent="0.35">
      <c r="A597" t="s">
        <v>3214</v>
      </c>
      <c r="B597">
        <v>0</v>
      </c>
      <c r="C597" t="s">
        <v>523</v>
      </c>
      <c r="D597" t="s">
        <v>513</v>
      </c>
      <c r="E597" t="s">
        <v>517</v>
      </c>
      <c r="L597"/>
    </row>
    <row r="598" spans="1:12" x14ac:dyDescent="0.35">
      <c r="A598" t="s">
        <v>3215</v>
      </c>
      <c r="B598">
        <v>0</v>
      </c>
      <c r="C598" t="s">
        <v>523</v>
      </c>
      <c r="D598" t="s">
        <v>513</v>
      </c>
      <c r="E598" t="s">
        <v>517</v>
      </c>
      <c r="L598"/>
    </row>
    <row r="599" spans="1:12" x14ac:dyDescent="0.35">
      <c r="A599" t="s">
        <v>3216</v>
      </c>
      <c r="B599">
        <v>0</v>
      </c>
      <c r="C599" t="s">
        <v>523</v>
      </c>
      <c r="D599" t="s">
        <v>513</v>
      </c>
      <c r="E599" t="s">
        <v>515</v>
      </c>
      <c r="L599"/>
    </row>
    <row r="600" spans="1:12" x14ac:dyDescent="0.35">
      <c r="A600" t="s">
        <v>3217</v>
      </c>
      <c r="B600">
        <v>0</v>
      </c>
      <c r="C600" t="s">
        <v>523</v>
      </c>
      <c r="D600" t="s">
        <v>513</v>
      </c>
      <c r="E600" t="s">
        <v>517</v>
      </c>
      <c r="L600"/>
    </row>
    <row r="601" spans="1:12" x14ac:dyDescent="0.35">
      <c r="A601" t="s">
        <v>3218</v>
      </c>
      <c r="B601">
        <v>0</v>
      </c>
      <c r="C601" t="s">
        <v>523</v>
      </c>
      <c r="D601" t="s">
        <v>513</v>
      </c>
      <c r="E601" t="s">
        <v>515</v>
      </c>
      <c r="L601"/>
    </row>
    <row r="602" spans="1:12" x14ac:dyDescent="0.35">
      <c r="A602" t="s">
        <v>3219</v>
      </c>
      <c r="B602">
        <v>0</v>
      </c>
      <c r="C602" t="s">
        <v>523</v>
      </c>
      <c r="D602" t="s">
        <v>513</v>
      </c>
      <c r="E602" t="s">
        <v>515</v>
      </c>
      <c r="L602"/>
    </row>
    <row r="603" spans="1:12" x14ac:dyDescent="0.35">
      <c r="A603" t="s">
        <v>3220</v>
      </c>
      <c r="B603">
        <v>0</v>
      </c>
      <c r="C603" t="s">
        <v>523</v>
      </c>
      <c r="D603" t="s">
        <v>506</v>
      </c>
      <c r="E603" t="s">
        <v>515</v>
      </c>
      <c r="L603"/>
    </row>
    <row r="604" spans="1:12" x14ac:dyDescent="0.35">
      <c r="A604" t="s">
        <v>3221</v>
      </c>
      <c r="B604">
        <v>-3</v>
      </c>
      <c r="C604" t="s">
        <v>524</v>
      </c>
      <c r="D604" t="s">
        <v>506</v>
      </c>
      <c r="E604" t="s">
        <v>515</v>
      </c>
      <c r="L604"/>
    </row>
    <row r="605" spans="1:12" x14ac:dyDescent="0.35">
      <c r="A605" t="s">
        <v>3222</v>
      </c>
      <c r="B605">
        <v>0</v>
      </c>
      <c r="C605" t="s">
        <v>524</v>
      </c>
      <c r="D605" t="s">
        <v>513</v>
      </c>
      <c r="E605" t="s">
        <v>519</v>
      </c>
      <c r="L605"/>
    </row>
    <row r="606" spans="1:12" x14ac:dyDescent="0.35">
      <c r="A606" t="s">
        <v>3223</v>
      </c>
      <c r="B606">
        <v>-3</v>
      </c>
      <c r="C606" t="s">
        <v>524</v>
      </c>
      <c r="D606" t="s">
        <v>506</v>
      </c>
      <c r="E606" t="s">
        <v>515</v>
      </c>
      <c r="L606"/>
    </row>
    <row r="607" spans="1:12" x14ac:dyDescent="0.35">
      <c r="A607" t="s">
        <v>3224</v>
      </c>
      <c r="B607">
        <v>0</v>
      </c>
      <c r="C607" t="s">
        <v>524</v>
      </c>
      <c r="D607" t="s">
        <v>506</v>
      </c>
      <c r="E607" t="s">
        <v>515</v>
      </c>
      <c r="L607"/>
    </row>
    <row r="608" spans="1:12" x14ac:dyDescent="0.35">
      <c r="A608" t="s">
        <v>3225</v>
      </c>
      <c r="B608">
        <v>0</v>
      </c>
      <c r="C608" t="s">
        <v>524</v>
      </c>
      <c r="D608" t="s">
        <v>506</v>
      </c>
      <c r="E608" t="s">
        <v>515</v>
      </c>
      <c r="L608"/>
    </row>
    <row r="609" spans="1:12" x14ac:dyDescent="0.35">
      <c r="A609" t="s">
        <v>3226</v>
      </c>
      <c r="B609">
        <v>0</v>
      </c>
      <c r="C609" t="s">
        <v>524</v>
      </c>
      <c r="D609" t="s">
        <v>506</v>
      </c>
      <c r="E609" t="s">
        <v>515</v>
      </c>
      <c r="L609"/>
    </row>
    <row r="610" spans="1:12" x14ac:dyDescent="0.35">
      <c r="A610" t="s">
        <v>3227</v>
      </c>
      <c r="B610">
        <v>0</v>
      </c>
      <c r="C610" t="s">
        <v>524</v>
      </c>
      <c r="D610" t="s">
        <v>506</v>
      </c>
      <c r="E610" t="s">
        <v>515</v>
      </c>
      <c r="L610"/>
    </row>
    <row r="611" spans="1:12" x14ac:dyDescent="0.35">
      <c r="A611" t="s">
        <v>3228</v>
      </c>
      <c r="B611">
        <v>-3</v>
      </c>
      <c r="C611" t="s">
        <v>524</v>
      </c>
      <c r="D611" t="s">
        <v>506</v>
      </c>
      <c r="E611" t="s">
        <v>515</v>
      </c>
      <c r="L611"/>
    </row>
    <row r="612" spans="1:12" x14ac:dyDescent="0.35">
      <c r="A612" t="s">
        <v>3229</v>
      </c>
      <c r="B612">
        <v>0</v>
      </c>
      <c r="C612" t="s">
        <v>524</v>
      </c>
      <c r="D612" t="s">
        <v>506</v>
      </c>
      <c r="E612" t="s">
        <v>515</v>
      </c>
      <c r="L612"/>
    </row>
    <row r="613" spans="1:12" x14ac:dyDescent="0.35">
      <c r="A613" t="s">
        <v>3230</v>
      </c>
      <c r="B613">
        <v>0</v>
      </c>
      <c r="C613" t="s">
        <v>524</v>
      </c>
      <c r="D613" t="s">
        <v>513</v>
      </c>
      <c r="E613" t="s">
        <v>517</v>
      </c>
      <c r="L613"/>
    </row>
    <row r="614" spans="1:12" x14ac:dyDescent="0.35">
      <c r="A614" t="s">
        <v>3231</v>
      </c>
      <c r="B614">
        <v>0</v>
      </c>
      <c r="C614" t="s">
        <v>524</v>
      </c>
      <c r="D614" t="s">
        <v>506</v>
      </c>
      <c r="E614" t="s">
        <v>515</v>
      </c>
      <c r="L614"/>
    </row>
    <row r="615" spans="1:12" x14ac:dyDescent="0.35">
      <c r="A615" t="s">
        <v>3232</v>
      </c>
      <c r="B615">
        <v>0</v>
      </c>
      <c r="C615" t="s">
        <v>524</v>
      </c>
      <c r="D615" t="s">
        <v>506</v>
      </c>
      <c r="E615" t="s">
        <v>515</v>
      </c>
      <c r="L615"/>
    </row>
    <row r="616" spans="1:12" x14ac:dyDescent="0.35">
      <c r="A616" t="s">
        <v>3233</v>
      </c>
      <c r="B616">
        <v>0</v>
      </c>
      <c r="C616" t="s">
        <v>524</v>
      </c>
      <c r="D616" t="s">
        <v>506</v>
      </c>
      <c r="E616" t="s">
        <v>515</v>
      </c>
      <c r="L616"/>
    </row>
    <row r="617" spans="1:12" x14ac:dyDescent="0.35">
      <c r="A617" t="s">
        <v>3234</v>
      </c>
      <c r="B617">
        <v>0</v>
      </c>
      <c r="C617" t="s">
        <v>524</v>
      </c>
      <c r="D617" t="s">
        <v>506</v>
      </c>
      <c r="E617" t="s">
        <v>515</v>
      </c>
      <c r="L617"/>
    </row>
    <row r="618" spans="1:12" x14ac:dyDescent="0.35">
      <c r="A618" t="s">
        <v>3235</v>
      </c>
      <c r="B618">
        <v>0</v>
      </c>
      <c r="C618" t="s">
        <v>525</v>
      </c>
      <c r="D618" t="s">
        <v>510</v>
      </c>
      <c r="E618" t="s">
        <v>519</v>
      </c>
      <c r="L618"/>
    </row>
    <row r="619" spans="1:12" x14ac:dyDescent="0.35">
      <c r="A619" t="s">
        <v>3236</v>
      </c>
      <c r="B619">
        <v>0</v>
      </c>
      <c r="C619" t="s">
        <v>525</v>
      </c>
      <c r="D619" t="s">
        <v>510</v>
      </c>
      <c r="E619" t="s">
        <v>519</v>
      </c>
      <c r="L619"/>
    </row>
    <row r="620" spans="1:12" x14ac:dyDescent="0.35">
      <c r="A620" t="s">
        <v>3237</v>
      </c>
      <c r="B620">
        <v>-3</v>
      </c>
      <c r="C620" t="s">
        <v>524</v>
      </c>
      <c r="D620" t="s">
        <v>510</v>
      </c>
      <c r="E620" t="s">
        <v>515</v>
      </c>
      <c r="L620"/>
    </row>
    <row r="621" spans="1:12" x14ac:dyDescent="0.35">
      <c r="A621" t="s">
        <v>3238</v>
      </c>
      <c r="B621">
        <v>0</v>
      </c>
      <c r="C621" t="s">
        <v>524</v>
      </c>
      <c r="D621" t="s">
        <v>510</v>
      </c>
      <c r="E621" t="s">
        <v>515</v>
      </c>
      <c r="L621"/>
    </row>
    <row r="622" spans="1:12" x14ac:dyDescent="0.35">
      <c r="A622" t="s">
        <v>3239</v>
      </c>
      <c r="B622">
        <v>0</v>
      </c>
      <c r="C622" t="s">
        <v>524</v>
      </c>
      <c r="D622" t="s">
        <v>510</v>
      </c>
      <c r="E622" t="s">
        <v>515</v>
      </c>
      <c r="L622"/>
    </row>
    <row r="623" spans="1:12" x14ac:dyDescent="0.35">
      <c r="A623" t="s">
        <v>3478</v>
      </c>
      <c r="B623">
        <v>0</v>
      </c>
      <c r="C623" t="s">
        <v>524</v>
      </c>
      <c r="D623" t="s">
        <v>510</v>
      </c>
      <c r="E623" t="s">
        <v>515</v>
      </c>
      <c r="L623"/>
    </row>
    <row r="624" spans="1:12" x14ac:dyDescent="0.35">
      <c r="A624" t="s">
        <v>3241</v>
      </c>
      <c r="B624">
        <v>0</v>
      </c>
      <c r="C624" t="s">
        <v>524</v>
      </c>
      <c r="D624" t="s">
        <v>510</v>
      </c>
      <c r="E624" t="s">
        <v>515</v>
      </c>
      <c r="L624"/>
    </row>
    <row r="625" spans="1:12" x14ac:dyDescent="0.35">
      <c r="A625" t="s">
        <v>3242</v>
      </c>
      <c r="B625">
        <v>0</v>
      </c>
      <c r="C625" t="s">
        <v>524</v>
      </c>
      <c r="D625" t="s">
        <v>510</v>
      </c>
      <c r="E625" t="s">
        <v>515</v>
      </c>
      <c r="L625"/>
    </row>
    <row r="626" spans="1:12" x14ac:dyDescent="0.35">
      <c r="A626" t="s">
        <v>3243</v>
      </c>
      <c r="B626">
        <v>0</v>
      </c>
      <c r="C626" t="s">
        <v>524</v>
      </c>
      <c r="D626" t="s">
        <v>510</v>
      </c>
      <c r="E626" t="s">
        <v>515</v>
      </c>
      <c r="L626"/>
    </row>
    <row r="627" spans="1:12" x14ac:dyDescent="0.35">
      <c r="A627" t="s">
        <v>3244</v>
      </c>
      <c r="B627">
        <v>0</v>
      </c>
      <c r="C627" t="s">
        <v>525</v>
      </c>
      <c r="D627" t="s">
        <v>510</v>
      </c>
      <c r="E627" t="s">
        <v>519</v>
      </c>
      <c r="L627"/>
    </row>
    <row r="628" spans="1:12" x14ac:dyDescent="0.35">
      <c r="A628" t="s">
        <v>3245</v>
      </c>
      <c r="B628">
        <v>0</v>
      </c>
      <c r="C628" t="s">
        <v>525</v>
      </c>
      <c r="D628" t="s">
        <v>510</v>
      </c>
      <c r="E628" t="s">
        <v>519</v>
      </c>
      <c r="L628"/>
    </row>
    <row r="629" spans="1:12" x14ac:dyDescent="0.35">
      <c r="A629" t="s">
        <v>3246</v>
      </c>
      <c r="B629">
        <v>0</v>
      </c>
      <c r="C629" t="s">
        <v>524</v>
      </c>
      <c r="D629" t="s">
        <v>513</v>
      </c>
      <c r="E629" t="s">
        <v>519</v>
      </c>
      <c r="L629"/>
    </row>
    <row r="630" spans="1:12" x14ac:dyDescent="0.35">
      <c r="A630" t="s">
        <v>3247</v>
      </c>
      <c r="B630">
        <v>0</v>
      </c>
      <c r="C630" t="s">
        <v>524</v>
      </c>
      <c r="D630" t="s">
        <v>513</v>
      </c>
      <c r="E630" t="s">
        <v>519</v>
      </c>
      <c r="L630"/>
    </row>
    <row r="631" spans="1:12" x14ac:dyDescent="0.35">
      <c r="A631" t="s">
        <v>3248</v>
      </c>
      <c r="B631">
        <v>-3</v>
      </c>
      <c r="C631" t="s">
        <v>524</v>
      </c>
      <c r="D631" t="s">
        <v>506</v>
      </c>
      <c r="E631" t="s">
        <v>515</v>
      </c>
      <c r="L631"/>
    </row>
    <row r="632" spans="1:12" x14ac:dyDescent="0.35">
      <c r="A632" t="s">
        <v>3249</v>
      </c>
      <c r="B632">
        <v>0</v>
      </c>
      <c r="C632" t="s">
        <v>524</v>
      </c>
      <c r="D632" t="s">
        <v>513</v>
      </c>
      <c r="E632" t="s">
        <v>519</v>
      </c>
      <c r="L632"/>
    </row>
    <row r="633" spans="1:12" x14ac:dyDescent="0.35">
      <c r="A633" t="s">
        <v>3250</v>
      </c>
      <c r="B633">
        <v>0</v>
      </c>
      <c r="C633" t="s">
        <v>524</v>
      </c>
      <c r="D633" t="s">
        <v>506</v>
      </c>
      <c r="E633" t="s">
        <v>515</v>
      </c>
      <c r="L633"/>
    </row>
    <row r="634" spans="1:12" x14ac:dyDescent="0.35">
      <c r="A634" t="s">
        <v>3251</v>
      </c>
      <c r="B634">
        <v>0</v>
      </c>
      <c r="C634" t="s">
        <v>524</v>
      </c>
      <c r="D634" t="s">
        <v>513</v>
      </c>
      <c r="E634" t="s">
        <v>519</v>
      </c>
      <c r="L634"/>
    </row>
    <row r="635" spans="1:12" x14ac:dyDescent="0.35">
      <c r="A635" t="s">
        <v>3252</v>
      </c>
      <c r="B635">
        <v>0</v>
      </c>
      <c r="C635" t="s">
        <v>524</v>
      </c>
      <c r="D635" t="s">
        <v>513</v>
      </c>
      <c r="E635" t="s">
        <v>519</v>
      </c>
      <c r="L635"/>
    </row>
    <row r="636" spans="1:12" x14ac:dyDescent="0.35">
      <c r="A636" t="s">
        <v>3253</v>
      </c>
      <c r="B636">
        <v>0</v>
      </c>
      <c r="C636" t="s">
        <v>524</v>
      </c>
      <c r="D636" t="s">
        <v>513</v>
      </c>
      <c r="E636" t="s">
        <v>519</v>
      </c>
      <c r="L636"/>
    </row>
    <row r="637" spans="1:12" x14ac:dyDescent="0.35">
      <c r="A637" t="s">
        <v>3254</v>
      </c>
      <c r="B637">
        <v>-3</v>
      </c>
      <c r="C637" t="s">
        <v>524</v>
      </c>
      <c r="D637" t="s">
        <v>506</v>
      </c>
      <c r="E637" t="s">
        <v>515</v>
      </c>
      <c r="L637"/>
    </row>
    <row r="638" spans="1:12" x14ac:dyDescent="0.35">
      <c r="A638" t="s">
        <v>3255</v>
      </c>
      <c r="B638">
        <v>-3</v>
      </c>
      <c r="C638" t="s">
        <v>524</v>
      </c>
      <c r="D638" t="s">
        <v>506</v>
      </c>
      <c r="E638" t="s">
        <v>515</v>
      </c>
      <c r="L638"/>
    </row>
    <row r="639" spans="1:12" x14ac:dyDescent="0.35">
      <c r="A639" t="s">
        <v>3256</v>
      </c>
      <c r="B639">
        <v>-3</v>
      </c>
      <c r="C639" t="s">
        <v>524</v>
      </c>
      <c r="D639" t="s">
        <v>506</v>
      </c>
      <c r="E639" t="s">
        <v>515</v>
      </c>
      <c r="L639"/>
    </row>
    <row r="640" spans="1:12" x14ac:dyDescent="0.35">
      <c r="A640" t="s">
        <v>3257</v>
      </c>
      <c r="B640">
        <v>-3</v>
      </c>
      <c r="C640" t="s">
        <v>524</v>
      </c>
      <c r="D640" t="s">
        <v>506</v>
      </c>
      <c r="E640" t="s">
        <v>515</v>
      </c>
      <c r="L640"/>
    </row>
    <row r="641" spans="1:12" x14ac:dyDescent="0.35">
      <c r="A641" t="s">
        <v>3258</v>
      </c>
      <c r="B641">
        <v>0</v>
      </c>
      <c r="C641" t="s">
        <v>524</v>
      </c>
      <c r="D641" t="s">
        <v>513</v>
      </c>
      <c r="E641" t="s">
        <v>519</v>
      </c>
      <c r="L641"/>
    </row>
    <row r="642" spans="1:12" x14ac:dyDescent="0.35">
      <c r="A642" t="s">
        <v>3259</v>
      </c>
      <c r="B642">
        <v>0</v>
      </c>
      <c r="C642" t="s">
        <v>524</v>
      </c>
      <c r="D642" t="s">
        <v>506</v>
      </c>
      <c r="E642" t="s">
        <v>515</v>
      </c>
      <c r="L642"/>
    </row>
    <row r="643" spans="1:12" x14ac:dyDescent="0.35">
      <c r="A643" t="s">
        <v>3260</v>
      </c>
      <c r="B643">
        <v>-3</v>
      </c>
      <c r="C643" t="s">
        <v>523</v>
      </c>
      <c r="D643" t="s">
        <v>506</v>
      </c>
      <c r="E643" t="s">
        <v>516</v>
      </c>
      <c r="L643"/>
    </row>
    <row r="644" spans="1:12" x14ac:dyDescent="0.35">
      <c r="A644" t="s">
        <v>3261</v>
      </c>
      <c r="B644">
        <v>-3</v>
      </c>
      <c r="C644" t="s">
        <v>523</v>
      </c>
      <c r="D644" t="s">
        <v>506</v>
      </c>
      <c r="E644" t="s">
        <v>516</v>
      </c>
      <c r="L644"/>
    </row>
    <row r="645" spans="1:12" x14ac:dyDescent="0.35">
      <c r="A645" t="s">
        <v>3262</v>
      </c>
      <c r="B645">
        <v>0</v>
      </c>
      <c r="C645" t="s">
        <v>525</v>
      </c>
      <c r="D645" t="s">
        <v>510</v>
      </c>
      <c r="E645" t="s">
        <v>519</v>
      </c>
      <c r="L645"/>
    </row>
    <row r="646" spans="1:12" x14ac:dyDescent="0.35">
      <c r="A646" t="s">
        <v>3263</v>
      </c>
      <c r="B646">
        <v>0</v>
      </c>
      <c r="C646" t="s">
        <v>524</v>
      </c>
      <c r="D646" t="s">
        <v>510</v>
      </c>
      <c r="E646" t="s">
        <v>519</v>
      </c>
      <c r="L646"/>
    </row>
    <row r="647" spans="1:12" x14ac:dyDescent="0.35">
      <c r="A647" t="s">
        <v>3264</v>
      </c>
      <c r="B647">
        <v>0</v>
      </c>
      <c r="C647" t="s">
        <v>524</v>
      </c>
      <c r="D647" t="s">
        <v>510</v>
      </c>
      <c r="E647" t="s">
        <v>515</v>
      </c>
      <c r="L647"/>
    </row>
    <row r="648" spans="1:12" x14ac:dyDescent="0.35">
      <c r="A648" t="s">
        <v>3265</v>
      </c>
      <c r="B648">
        <v>0</v>
      </c>
      <c r="C648" t="s">
        <v>525</v>
      </c>
      <c r="D648" t="s">
        <v>510</v>
      </c>
      <c r="E648" t="s">
        <v>519</v>
      </c>
      <c r="L648"/>
    </row>
    <row r="649" spans="1:12" x14ac:dyDescent="0.35">
      <c r="A649" t="s">
        <v>74</v>
      </c>
      <c r="B649">
        <v>0</v>
      </c>
      <c r="C649" t="s">
        <v>523</v>
      </c>
      <c r="D649" t="s">
        <v>506</v>
      </c>
      <c r="E649" t="s">
        <v>520</v>
      </c>
      <c r="L649"/>
    </row>
    <row r="650" spans="1:12" x14ac:dyDescent="0.35">
      <c r="A650" t="s">
        <v>73</v>
      </c>
      <c r="B650">
        <v>0</v>
      </c>
      <c r="C650" t="s">
        <v>523</v>
      </c>
      <c r="D650" t="s">
        <v>506</v>
      </c>
      <c r="E650" t="s">
        <v>520</v>
      </c>
      <c r="L650"/>
    </row>
    <row r="651" spans="1:12" x14ac:dyDescent="0.35">
      <c r="A651" t="s">
        <v>75</v>
      </c>
      <c r="B651">
        <v>0</v>
      </c>
      <c r="C651" t="s">
        <v>523</v>
      </c>
      <c r="D651" t="s">
        <v>506</v>
      </c>
      <c r="E651" t="s">
        <v>520</v>
      </c>
      <c r="L651"/>
    </row>
    <row r="652" spans="1:12" x14ac:dyDescent="0.35">
      <c r="A652" t="s">
        <v>76</v>
      </c>
      <c r="B652">
        <v>0</v>
      </c>
      <c r="C652" t="s">
        <v>523</v>
      </c>
      <c r="D652" t="s">
        <v>506</v>
      </c>
      <c r="E652" t="s">
        <v>520</v>
      </c>
      <c r="L652"/>
    </row>
    <row r="653" spans="1:12" x14ac:dyDescent="0.35">
      <c r="A653" t="s">
        <v>77</v>
      </c>
      <c r="B653">
        <v>0</v>
      </c>
      <c r="C653" t="s">
        <v>523</v>
      </c>
      <c r="D653" t="s">
        <v>506</v>
      </c>
      <c r="E653" t="s">
        <v>520</v>
      </c>
      <c r="L653"/>
    </row>
    <row r="654" spans="1:12" x14ac:dyDescent="0.35">
      <c r="A654" t="s">
        <v>78</v>
      </c>
      <c r="B654">
        <v>0</v>
      </c>
      <c r="C654" t="s">
        <v>523</v>
      </c>
      <c r="D654" t="s">
        <v>506</v>
      </c>
      <c r="E654" t="s">
        <v>520</v>
      </c>
      <c r="L654"/>
    </row>
    <row r="655" spans="1:12" x14ac:dyDescent="0.35">
      <c r="A655" t="s">
        <v>79</v>
      </c>
      <c r="B655">
        <v>0</v>
      </c>
      <c r="C655" t="s">
        <v>523</v>
      </c>
      <c r="D655" t="s">
        <v>512</v>
      </c>
      <c r="E655" t="s">
        <v>516</v>
      </c>
      <c r="L655"/>
    </row>
    <row r="656" spans="1:12" x14ac:dyDescent="0.35">
      <c r="A656" t="s">
        <v>80</v>
      </c>
      <c r="B656">
        <v>0</v>
      </c>
      <c r="C656" t="s">
        <v>523</v>
      </c>
      <c r="D656" t="s">
        <v>512</v>
      </c>
      <c r="E656" t="s">
        <v>516</v>
      </c>
      <c r="L656"/>
    </row>
    <row r="657" spans="1:12" x14ac:dyDescent="0.35">
      <c r="A657" t="s">
        <v>81</v>
      </c>
      <c r="B657">
        <v>0</v>
      </c>
      <c r="C657" t="s">
        <v>523</v>
      </c>
      <c r="D657" t="s">
        <v>512</v>
      </c>
      <c r="E657" t="s">
        <v>516</v>
      </c>
      <c r="L657"/>
    </row>
    <row r="658" spans="1:12" x14ac:dyDescent="0.35">
      <c r="A658" t="s">
        <v>82</v>
      </c>
      <c r="B658">
        <v>0</v>
      </c>
      <c r="C658" t="s">
        <v>523</v>
      </c>
      <c r="D658" t="s">
        <v>512</v>
      </c>
      <c r="E658" t="s">
        <v>516</v>
      </c>
      <c r="L658"/>
    </row>
    <row r="659" spans="1:12" x14ac:dyDescent="0.35">
      <c r="A659" t="s">
        <v>153</v>
      </c>
      <c r="B659">
        <v>0</v>
      </c>
      <c r="C659" t="s">
        <v>523</v>
      </c>
      <c r="D659" t="s">
        <v>512</v>
      </c>
      <c r="E659" t="s">
        <v>516</v>
      </c>
      <c r="L659"/>
    </row>
    <row r="660" spans="1:12" x14ac:dyDescent="0.35">
      <c r="A660" t="s">
        <v>154</v>
      </c>
      <c r="B660">
        <v>0</v>
      </c>
      <c r="C660" t="s">
        <v>523</v>
      </c>
      <c r="D660" t="s">
        <v>512</v>
      </c>
      <c r="E660" t="s">
        <v>516</v>
      </c>
      <c r="L660"/>
    </row>
    <row r="661" spans="1:12" x14ac:dyDescent="0.35">
      <c r="A661" t="s">
        <v>155</v>
      </c>
      <c r="B661">
        <v>0</v>
      </c>
      <c r="C661" t="s">
        <v>523</v>
      </c>
      <c r="D661" t="s">
        <v>512</v>
      </c>
      <c r="E661" t="s">
        <v>516</v>
      </c>
      <c r="L661"/>
    </row>
    <row r="662" spans="1:12" x14ac:dyDescent="0.35">
      <c r="A662" t="s">
        <v>156</v>
      </c>
      <c r="B662">
        <v>0</v>
      </c>
      <c r="C662" t="s">
        <v>523</v>
      </c>
      <c r="D662" t="s">
        <v>512</v>
      </c>
      <c r="E662" t="s">
        <v>516</v>
      </c>
      <c r="L662"/>
    </row>
    <row r="663" spans="1:12" x14ac:dyDescent="0.35">
      <c r="A663" t="s">
        <v>157</v>
      </c>
      <c r="B663">
        <v>0</v>
      </c>
      <c r="C663" t="s">
        <v>523</v>
      </c>
      <c r="D663" t="s">
        <v>512</v>
      </c>
      <c r="E663" t="s">
        <v>516</v>
      </c>
      <c r="L663"/>
    </row>
    <row r="664" spans="1:12" x14ac:dyDescent="0.35">
      <c r="A664" t="s">
        <v>158</v>
      </c>
      <c r="B664">
        <v>0</v>
      </c>
      <c r="C664" t="s">
        <v>523</v>
      </c>
      <c r="D664" t="s">
        <v>512</v>
      </c>
      <c r="E664" t="s">
        <v>516</v>
      </c>
      <c r="L664"/>
    </row>
    <row r="665" spans="1:12" x14ac:dyDescent="0.35">
      <c r="A665" t="s">
        <v>159</v>
      </c>
      <c r="B665">
        <v>0</v>
      </c>
      <c r="C665" t="s">
        <v>523</v>
      </c>
      <c r="D665" t="s">
        <v>512</v>
      </c>
      <c r="E665" t="s">
        <v>516</v>
      </c>
      <c r="L665"/>
    </row>
    <row r="666" spans="1:12" x14ac:dyDescent="0.35">
      <c r="A666" t="s">
        <v>160</v>
      </c>
      <c r="B666">
        <v>0</v>
      </c>
      <c r="C666" t="s">
        <v>523</v>
      </c>
      <c r="D666" t="s">
        <v>512</v>
      </c>
      <c r="E666" t="s">
        <v>516</v>
      </c>
      <c r="L666"/>
    </row>
    <row r="667" spans="1:12" x14ac:dyDescent="0.35">
      <c r="A667" t="s">
        <v>161</v>
      </c>
      <c r="B667">
        <v>0</v>
      </c>
      <c r="C667" t="s">
        <v>523</v>
      </c>
      <c r="D667" t="s">
        <v>512</v>
      </c>
      <c r="E667" t="s">
        <v>516</v>
      </c>
      <c r="L667"/>
    </row>
    <row r="668" spans="1:12" x14ac:dyDescent="0.35">
      <c r="A668" t="s">
        <v>162</v>
      </c>
      <c r="B668">
        <v>0</v>
      </c>
      <c r="C668" t="s">
        <v>523</v>
      </c>
      <c r="D668" t="s">
        <v>512</v>
      </c>
      <c r="E668" t="s">
        <v>516</v>
      </c>
      <c r="L668"/>
    </row>
    <row r="669" spans="1:12" x14ac:dyDescent="0.35">
      <c r="A669" t="s">
        <v>163</v>
      </c>
      <c r="B669">
        <v>0</v>
      </c>
      <c r="C669" t="s">
        <v>523</v>
      </c>
      <c r="D669" t="s">
        <v>512</v>
      </c>
      <c r="E669" t="s">
        <v>516</v>
      </c>
      <c r="L669"/>
    </row>
    <row r="670" spans="1:12" x14ac:dyDescent="0.35">
      <c r="A670" t="s">
        <v>164</v>
      </c>
      <c r="B670">
        <v>0</v>
      </c>
      <c r="C670" t="s">
        <v>523</v>
      </c>
      <c r="D670" t="s">
        <v>512</v>
      </c>
      <c r="E670" t="s">
        <v>516</v>
      </c>
      <c r="L670"/>
    </row>
    <row r="671" spans="1:12" x14ac:dyDescent="0.35">
      <c r="A671" t="s">
        <v>165</v>
      </c>
      <c r="B671">
        <v>0</v>
      </c>
      <c r="C671" t="s">
        <v>523</v>
      </c>
      <c r="D671" t="s">
        <v>512</v>
      </c>
      <c r="E671" t="s">
        <v>516</v>
      </c>
      <c r="L671"/>
    </row>
    <row r="672" spans="1:12" x14ac:dyDescent="0.35">
      <c r="A672" t="s">
        <v>166</v>
      </c>
      <c r="B672">
        <v>0</v>
      </c>
      <c r="C672" t="s">
        <v>523</v>
      </c>
      <c r="D672" t="s">
        <v>512</v>
      </c>
      <c r="E672" t="s">
        <v>516</v>
      </c>
      <c r="L672"/>
    </row>
    <row r="673" spans="1:12" x14ac:dyDescent="0.35">
      <c r="A673" t="s">
        <v>167</v>
      </c>
      <c r="B673">
        <v>0</v>
      </c>
      <c r="C673" t="s">
        <v>523</v>
      </c>
      <c r="D673" t="s">
        <v>512</v>
      </c>
      <c r="E673" t="s">
        <v>516</v>
      </c>
      <c r="L673"/>
    </row>
    <row r="674" spans="1:12" x14ac:dyDescent="0.35">
      <c r="A674" t="s">
        <v>168</v>
      </c>
      <c r="B674">
        <v>0</v>
      </c>
      <c r="C674" t="s">
        <v>523</v>
      </c>
      <c r="D674" t="s">
        <v>512</v>
      </c>
      <c r="E674" t="s">
        <v>516</v>
      </c>
      <c r="L674"/>
    </row>
    <row r="675" spans="1:12" x14ac:dyDescent="0.35">
      <c r="A675" t="s">
        <v>169</v>
      </c>
      <c r="B675">
        <v>0</v>
      </c>
      <c r="C675" t="s">
        <v>523</v>
      </c>
      <c r="D675" t="s">
        <v>512</v>
      </c>
      <c r="E675" t="s">
        <v>516</v>
      </c>
      <c r="L675"/>
    </row>
    <row r="676" spans="1:12" x14ac:dyDescent="0.35">
      <c r="A676" t="s">
        <v>170</v>
      </c>
      <c r="B676">
        <v>0</v>
      </c>
      <c r="C676" t="s">
        <v>523</v>
      </c>
      <c r="D676" t="s">
        <v>512</v>
      </c>
      <c r="E676" t="s">
        <v>516</v>
      </c>
      <c r="L676"/>
    </row>
    <row r="677" spans="1:12" x14ac:dyDescent="0.35">
      <c r="A677" t="s">
        <v>171</v>
      </c>
      <c r="B677">
        <v>0</v>
      </c>
      <c r="C677" t="s">
        <v>523</v>
      </c>
      <c r="D677" t="s">
        <v>512</v>
      </c>
      <c r="E677" t="s">
        <v>516</v>
      </c>
      <c r="L677"/>
    </row>
    <row r="678" spans="1:12" x14ac:dyDescent="0.35">
      <c r="A678" t="s">
        <v>172</v>
      </c>
      <c r="B678">
        <v>0</v>
      </c>
      <c r="C678" t="s">
        <v>523</v>
      </c>
      <c r="D678" t="s">
        <v>512</v>
      </c>
      <c r="E678" t="s">
        <v>516</v>
      </c>
      <c r="L678"/>
    </row>
    <row r="679" spans="1:12" x14ac:dyDescent="0.35">
      <c r="A679" t="s">
        <v>173</v>
      </c>
      <c r="B679">
        <v>0</v>
      </c>
      <c r="C679" t="s">
        <v>523</v>
      </c>
      <c r="D679" t="s">
        <v>512</v>
      </c>
      <c r="E679" t="s">
        <v>516</v>
      </c>
      <c r="L679"/>
    </row>
    <row r="680" spans="1:12" x14ac:dyDescent="0.35">
      <c r="A680" t="s">
        <v>174</v>
      </c>
      <c r="B680">
        <v>0</v>
      </c>
      <c r="C680" t="s">
        <v>523</v>
      </c>
      <c r="D680" t="s">
        <v>512</v>
      </c>
      <c r="E680" t="s">
        <v>516</v>
      </c>
      <c r="L680"/>
    </row>
    <row r="681" spans="1:12" x14ac:dyDescent="0.35">
      <c r="A681" t="s">
        <v>175</v>
      </c>
      <c r="B681">
        <v>0</v>
      </c>
      <c r="C681" t="s">
        <v>523</v>
      </c>
      <c r="D681" t="s">
        <v>512</v>
      </c>
      <c r="E681" t="s">
        <v>516</v>
      </c>
      <c r="L681"/>
    </row>
    <row r="682" spans="1:12" x14ac:dyDescent="0.35">
      <c r="A682" t="s">
        <v>176</v>
      </c>
      <c r="B682">
        <v>0</v>
      </c>
      <c r="C682" t="s">
        <v>523</v>
      </c>
      <c r="D682" t="s">
        <v>512</v>
      </c>
      <c r="E682" t="s">
        <v>516</v>
      </c>
      <c r="L682"/>
    </row>
    <row r="683" spans="1:12" x14ac:dyDescent="0.35">
      <c r="A683" t="s">
        <v>177</v>
      </c>
      <c r="B683">
        <v>0</v>
      </c>
      <c r="C683" t="s">
        <v>523</v>
      </c>
      <c r="D683" t="s">
        <v>512</v>
      </c>
      <c r="E683" t="s">
        <v>516</v>
      </c>
      <c r="L683"/>
    </row>
    <row r="684" spans="1:12" x14ac:dyDescent="0.35">
      <c r="A684" t="s">
        <v>178</v>
      </c>
      <c r="B684">
        <v>0</v>
      </c>
      <c r="C684" t="s">
        <v>523</v>
      </c>
      <c r="D684" t="s">
        <v>512</v>
      </c>
      <c r="E684" t="s">
        <v>516</v>
      </c>
      <c r="L684"/>
    </row>
    <row r="685" spans="1:12" x14ac:dyDescent="0.35">
      <c r="A685" t="s">
        <v>179</v>
      </c>
      <c r="B685">
        <v>0</v>
      </c>
      <c r="C685" t="s">
        <v>523</v>
      </c>
      <c r="D685" t="s">
        <v>512</v>
      </c>
      <c r="E685" t="s">
        <v>516</v>
      </c>
      <c r="L685"/>
    </row>
    <row r="686" spans="1:12" x14ac:dyDescent="0.35">
      <c r="A686" t="s">
        <v>180</v>
      </c>
      <c r="B686">
        <v>0</v>
      </c>
      <c r="C686" t="s">
        <v>523</v>
      </c>
      <c r="D686" t="s">
        <v>512</v>
      </c>
      <c r="E686" t="s">
        <v>516</v>
      </c>
      <c r="L686"/>
    </row>
    <row r="687" spans="1:12" x14ac:dyDescent="0.35">
      <c r="A687" t="s">
        <v>181</v>
      </c>
      <c r="B687">
        <v>0</v>
      </c>
      <c r="C687" t="s">
        <v>523</v>
      </c>
      <c r="D687" t="s">
        <v>512</v>
      </c>
      <c r="E687" t="s">
        <v>516</v>
      </c>
      <c r="L687"/>
    </row>
    <row r="688" spans="1:12" x14ac:dyDescent="0.35">
      <c r="A688" t="s">
        <v>182</v>
      </c>
      <c r="B688">
        <v>0</v>
      </c>
      <c r="C688" t="s">
        <v>523</v>
      </c>
      <c r="D688" t="s">
        <v>512</v>
      </c>
      <c r="E688" t="s">
        <v>516</v>
      </c>
      <c r="L688"/>
    </row>
    <row r="689" spans="1:12" x14ac:dyDescent="0.35">
      <c r="A689" t="s">
        <v>183</v>
      </c>
      <c r="B689">
        <v>0</v>
      </c>
      <c r="C689" t="s">
        <v>523</v>
      </c>
      <c r="D689" t="s">
        <v>512</v>
      </c>
      <c r="E689" t="s">
        <v>516</v>
      </c>
      <c r="L689"/>
    </row>
    <row r="690" spans="1:12" x14ac:dyDescent="0.35">
      <c r="A690" t="s">
        <v>184</v>
      </c>
      <c r="B690">
        <v>0</v>
      </c>
      <c r="C690" t="s">
        <v>523</v>
      </c>
      <c r="D690" t="s">
        <v>512</v>
      </c>
      <c r="E690" t="s">
        <v>516</v>
      </c>
      <c r="L690"/>
    </row>
    <row r="691" spans="1:12" x14ac:dyDescent="0.35">
      <c r="A691" t="s">
        <v>185</v>
      </c>
      <c r="B691">
        <v>0</v>
      </c>
      <c r="C691" t="s">
        <v>523</v>
      </c>
      <c r="D691" t="s">
        <v>512</v>
      </c>
      <c r="E691" t="s">
        <v>516</v>
      </c>
      <c r="L691"/>
    </row>
    <row r="692" spans="1:12" x14ac:dyDescent="0.35">
      <c r="A692" t="s">
        <v>186</v>
      </c>
      <c r="B692">
        <v>0</v>
      </c>
      <c r="C692" t="s">
        <v>523</v>
      </c>
      <c r="D692" t="s">
        <v>512</v>
      </c>
      <c r="E692" t="s">
        <v>516</v>
      </c>
      <c r="L692"/>
    </row>
    <row r="693" spans="1:12" x14ac:dyDescent="0.35">
      <c r="A693" t="s">
        <v>187</v>
      </c>
      <c r="B693">
        <v>0</v>
      </c>
      <c r="C693" t="s">
        <v>523</v>
      </c>
      <c r="D693" t="s">
        <v>512</v>
      </c>
      <c r="E693" t="s">
        <v>516</v>
      </c>
      <c r="L693"/>
    </row>
    <row r="694" spans="1:12" x14ac:dyDescent="0.35">
      <c r="A694" t="s">
        <v>188</v>
      </c>
      <c r="B694">
        <v>0</v>
      </c>
      <c r="C694" t="s">
        <v>523</v>
      </c>
      <c r="D694" t="s">
        <v>512</v>
      </c>
      <c r="E694" t="s">
        <v>516</v>
      </c>
      <c r="L694"/>
    </row>
    <row r="695" spans="1:12" x14ac:dyDescent="0.35">
      <c r="A695" t="s">
        <v>189</v>
      </c>
      <c r="B695">
        <v>0</v>
      </c>
      <c r="C695" t="s">
        <v>523</v>
      </c>
      <c r="D695" t="s">
        <v>512</v>
      </c>
      <c r="E695" t="s">
        <v>516</v>
      </c>
      <c r="L695"/>
    </row>
    <row r="696" spans="1:12" x14ac:dyDescent="0.35">
      <c r="A696" t="s">
        <v>190</v>
      </c>
      <c r="B696">
        <v>0</v>
      </c>
      <c r="C696" t="s">
        <v>523</v>
      </c>
      <c r="D696" t="s">
        <v>512</v>
      </c>
      <c r="E696" t="s">
        <v>516</v>
      </c>
      <c r="L696"/>
    </row>
    <row r="697" spans="1:12" x14ac:dyDescent="0.35">
      <c r="A697" t="s">
        <v>191</v>
      </c>
      <c r="B697">
        <v>0</v>
      </c>
      <c r="C697" t="s">
        <v>523</v>
      </c>
      <c r="D697" t="s">
        <v>512</v>
      </c>
      <c r="E697" t="s">
        <v>516</v>
      </c>
      <c r="L697"/>
    </row>
    <row r="698" spans="1:12" x14ac:dyDescent="0.35">
      <c r="A698" t="s">
        <v>192</v>
      </c>
      <c r="B698">
        <v>0</v>
      </c>
      <c r="C698" t="s">
        <v>523</v>
      </c>
      <c r="D698" t="s">
        <v>512</v>
      </c>
      <c r="E698" t="s">
        <v>516</v>
      </c>
      <c r="L698"/>
    </row>
    <row r="699" spans="1:12" x14ac:dyDescent="0.35">
      <c r="A699" t="s">
        <v>193</v>
      </c>
      <c r="B699">
        <v>0</v>
      </c>
      <c r="C699" t="s">
        <v>523</v>
      </c>
      <c r="D699" t="s">
        <v>512</v>
      </c>
      <c r="E699" t="s">
        <v>516</v>
      </c>
      <c r="L699"/>
    </row>
    <row r="700" spans="1:12" x14ac:dyDescent="0.35">
      <c r="A700" t="s">
        <v>194</v>
      </c>
      <c r="B700">
        <v>0</v>
      </c>
      <c r="C700" t="s">
        <v>523</v>
      </c>
      <c r="D700" t="s">
        <v>512</v>
      </c>
      <c r="E700" t="s">
        <v>516</v>
      </c>
      <c r="L700"/>
    </row>
    <row r="701" spans="1:12" x14ac:dyDescent="0.35">
      <c r="A701" t="s">
        <v>195</v>
      </c>
      <c r="B701">
        <v>0</v>
      </c>
      <c r="C701" t="s">
        <v>523</v>
      </c>
      <c r="D701" t="s">
        <v>511</v>
      </c>
      <c r="E701" t="s">
        <v>515</v>
      </c>
      <c r="L701"/>
    </row>
    <row r="702" spans="1:12" x14ac:dyDescent="0.35">
      <c r="A702" t="s">
        <v>196</v>
      </c>
      <c r="B702">
        <v>0</v>
      </c>
      <c r="C702" t="s">
        <v>523</v>
      </c>
      <c r="D702" t="s">
        <v>512</v>
      </c>
      <c r="E702" t="s">
        <v>516</v>
      </c>
      <c r="L702"/>
    </row>
    <row r="703" spans="1:12" x14ac:dyDescent="0.35">
      <c r="A703" t="s">
        <v>197</v>
      </c>
      <c r="B703">
        <v>0</v>
      </c>
      <c r="C703" t="s">
        <v>523</v>
      </c>
      <c r="D703" t="s">
        <v>512</v>
      </c>
      <c r="E703" t="s">
        <v>516</v>
      </c>
      <c r="L703"/>
    </row>
    <row r="704" spans="1:12" x14ac:dyDescent="0.35">
      <c r="A704" t="s">
        <v>198</v>
      </c>
      <c r="B704">
        <v>0</v>
      </c>
      <c r="C704" t="s">
        <v>523</v>
      </c>
      <c r="D704" t="s">
        <v>512</v>
      </c>
      <c r="E704" t="s">
        <v>516</v>
      </c>
      <c r="L704"/>
    </row>
    <row r="705" spans="1:12" x14ac:dyDescent="0.35">
      <c r="A705" t="s">
        <v>199</v>
      </c>
      <c r="B705">
        <v>0</v>
      </c>
      <c r="C705" t="s">
        <v>523</v>
      </c>
      <c r="D705" t="s">
        <v>512</v>
      </c>
      <c r="E705" t="s">
        <v>516</v>
      </c>
      <c r="L705"/>
    </row>
    <row r="706" spans="1:12" x14ac:dyDescent="0.35">
      <c r="A706" t="s">
        <v>200</v>
      </c>
      <c r="B706">
        <v>0</v>
      </c>
      <c r="C706" t="s">
        <v>523</v>
      </c>
      <c r="D706" t="s">
        <v>512</v>
      </c>
      <c r="E706" t="s">
        <v>516</v>
      </c>
      <c r="L706"/>
    </row>
    <row r="707" spans="1:12" x14ac:dyDescent="0.35">
      <c r="A707" t="s">
        <v>201</v>
      </c>
      <c r="B707">
        <v>0</v>
      </c>
      <c r="C707" t="s">
        <v>523</v>
      </c>
      <c r="D707" t="s">
        <v>512</v>
      </c>
      <c r="E707" t="s">
        <v>516</v>
      </c>
      <c r="L707"/>
    </row>
    <row r="708" spans="1:12" x14ac:dyDescent="0.35">
      <c r="A708" t="s">
        <v>202</v>
      </c>
      <c r="B708">
        <v>0</v>
      </c>
      <c r="C708" t="s">
        <v>523</v>
      </c>
      <c r="D708" t="s">
        <v>512</v>
      </c>
      <c r="E708" t="s">
        <v>516</v>
      </c>
      <c r="L708"/>
    </row>
    <row r="709" spans="1:12" x14ac:dyDescent="0.35">
      <c r="A709" t="s">
        <v>203</v>
      </c>
      <c r="B709">
        <v>0</v>
      </c>
      <c r="C709" t="s">
        <v>523</v>
      </c>
      <c r="D709" t="s">
        <v>512</v>
      </c>
      <c r="E709" t="s">
        <v>516</v>
      </c>
      <c r="L709"/>
    </row>
    <row r="710" spans="1:12" x14ac:dyDescent="0.35">
      <c r="A710" t="s">
        <v>204</v>
      </c>
      <c r="B710">
        <v>0</v>
      </c>
      <c r="C710" t="s">
        <v>523</v>
      </c>
      <c r="D710" t="s">
        <v>512</v>
      </c>
      <c r="E710" t="s">
        <v>516</v>
      </c>
      <c r="L710"/>
    </row>
    <row r="711" spans="1:12" x14ac:dyDescent="0.35">
      <c r="A711" t="s">
        <v>205</v>
      </c>
      <c r="B711">
        <v>0</v>
      </c>
      <c r="C711" t="s">
        <v>523</v>
      </c>
      <c r="D711" t="s">
        <v>512</v>
      </c>
      <c r="E711" t="s">
        <v>516</v>
      </c>
      <c r="L711"/>
    </row>
    <row r="712" spans="1:12" x14ac:dyDescent="0.35">
      <c r="A712" t="s">
        <v>206</v>
      </c>
      <c r="B712">
        <v>0</v>
      </c>
      <c r="C712" t="s">
        <v>523</v>
      </c>
      <c r="D712" t="s">
        <v>512</v>
      </c>
      <c r="E712" t="s">
        <v>516</v>
      </c>
      <c r="L712"/>
    </row>
    <row r="713" spans="1:12" x14ac:dyDescent="0.35">
      <c r="A713" t="s">
        <v>207</v>
      </c>
      <c r="B713">
        <v>0</v>
      </c>
      <c r="C713" t="s">
        <v>523</v>
      </c>
      <c r="D713" t="s">
        <v>512</v>
      </c>
      <c r="E713" t="s">
        <v>516</v>
      </c>
      <c r="L713"/>
    </row>
    <row r="714" spans="1:12" x14ac:dyDescent="0.35">
      <c r="A714" t="s">
        <v>208</v>
      </c>
      <c r="B714">
        <v>0</v>
      </c>
      <c r="C714" t="s">
        <v>523</v>
      </c>
      <c r="D714" t="s">
        <v>512</v>
      </c>
      <c r="E714" t="s">
        <v>516</v>
      </c>
      <c r="L714"/>
    </row>
    <row r="715" spans="1:12" x14ac:dyDescent="0.35">
      <c r="A715" t="s">
        <v>209</v>
      </c>
      <c r="B715">
        <v>0</v>
      </c>
      <c r="C715" t="s">
        <v>523</v>
      </c>
      <c r="D715" t="s">
        <v>512</v>
      </c>
      <c r="E715" t="s">
        <v>516</v>
      </c>
      <c r="L715"/>
    </row>
    <row r="716" spans="1:12" x14ac:dyDescent="0.35">
      <c r="A716" t="s">
        <v>210</v>
      </c>
      <c r="B716">
        <v>0</v>
      </c>
      <c r="C716" t="s">
        <v>523</v>
      </c>
      <c r="D716" t="s">
        <v>511</v>
      </c>
      <c r="E716" t="s">
        <v>515</v>
      </c>
      <c r="L716"/>
    </row>
    <row r="717" spans="1:12" x14ac:dyDescent="0.35">
      <c r="A717" t="s">
        <v>225</v>
      </c>
      <c r="B717">
        <v>0</v>
      </c>
      <c r="C717" t="s">
        <v>523</v>
      </c>
      <c r="D717" t="s">
        <v>512</v>
      </c>
      <c r="E717" t="s">
        <v>515</v>
      </c>
      <c r="L717"/>
    </row>
    <row r="718" spans="1:12" x14ac:dyDescent="0.35">
      <c r="A718" t="s">
        <v>226</v>
      </c>
      <c r="B718">
        <v>0</v>
      </c>
      <c r="C718" t="s">
        <v>523</v>
      </c>
      <c r="D718" t="s">
        <v>512</v>
      </c>
      <c r="E718" t="s">
        <v>515</v>
      </c>
      <c r="L718"/>
    </row>
    <row r="719" spans="1:12" x14ac:dyDescent="0.35">
      <c r="A719" t="s">
        <v>83</v>
      </c>
      <c r="B719">
        <v>0</v>
      </c>
      <c r="C719" t="s">
        <v>523</v>
      </c>
      <c r="D719" t="s">
        <v>512</v>
      </c>
      <c r="E719" t="s">
        <v>515</v>
      </c>
      <c r="L719"/>
    </row>
    <row r="720" spans="1:12" x14ac:dyDescent="0.35">
      <c r="A720" t="s">
        <v>84</v>
      </c>
      <c r="B720">
        <v>0</v>
      </c>
      <c r="C720" t="s">
        <v>523</v>
      </c>
      <c r="D720" t="s">
        <v>512</v>
      </c>
      <c r="E720" t="s">
        <v>515</v>
      </c>
      <c r="L720"/>
    </row>
    <row r="721" spans="1:12" x14ac:dyDescent="0.35">
      <c r="A721" t="s">
        <v>85</v>
      </c>
      <c r="B721">
        <v>0</v>
      </c>
      <c r="C721" t="s">
        <v>523</v>
      </c>
      <c r="D721" t="s">
        <v>512</v>
      </c>
      <c r="E721" t="s">
        <v>515</v>
      </c>
      <c r="L721"/>
    </row>
    <row r="722" spans="1:12" x14ac:dyDescent="0.35">
      <c r="A722" t="s">
        <v>86</v>
      </c>
      <c r="B722">
        <v>0</v>
      </c>
      <c r="C722" t="s">
        <v>523</v>
      </c>
      <c r="D722" t="s">
        <v>512</v>
      </c>
      <c r="E722" t="s">
        <v>515</v>
      </c>
      <c r="L722"/>
    </row>
    <row r="723" spans="1:12" x14ac:dyDescent="0.35">
      <c r="A723" t="s">
        <v>87</v>
      </c>
      <c r="B723">
        <v>0</v>
      </c>
      <c r="C723" t="s">
        <v>523</v>
      </c>
      <c r="D723" t="s">
        <v>512</v>
      </c>
      <c r="E723" t="s">
        <v>515</v>
      </c>
      <c r="L723"/>
    </row>
    <row r="724" spans="1:12" x14ac:dyDescent="0.35">
      <c r="A724" t="s">
        <v>88</v>
      </c>
      <c r="B724">
        <v>0</v>
      </c>
      <c r="C724" t="s">
        <v>523</v>
      </c>
      <c r="D724" t="s">
        <v>512</v>
      </c>
      <c r="E724" t="s">
        <v>515</v>
      </c>
      <c r="L724"/>
    </row>
    <row r="725" spans="1:12" x14ac:dyDescent="0.35">
      <c r="A725" t="s">
        <v>89</v>
      </c>
      <c r="B725">
        <v>0</v>
      </c>
      <c r="C725" t="s">
        <v>523</v>
      </c>
      <c r="D725" t="s">
        <v>512</v>
      </c>
      <c r="E725" t="s">
        <v>515</v>
      </c>
      <c r="L725"/>
    </row>
    <row r="726" spans="1:12" x14ac:dyDescent="0.35">
      <c r="A726" t="s">
        <v>90</v>
      </c>
      <c r="B726">
        <v>0</v>
      </c>
      <c r="C726" t="s">
        <v>523</v>
      </c>
      <c r="D726" t="s">
        <v>512</v>
      </c>
      <c r="E726" t="s">
        <v>515</v>
      </c>
      <c r="L726"/>
    </row>
    <row r="727" spans="1:12" x14ac:dyDescent="0.35">
      <c r="A727" t="s">
        <v>91</v>
      </c>
      <c r="B727">
        <v>0</v>
      </c>
      <c r="C727" t="s">
        <v>523</v>
      </c>
      <c r="D727" t="s">
        <v>512</v>
      </c>
      <c r="E727" t="s">
        <v>515</v>
      </c>
      <c r="L727"/>
    </row>
    <row r="728" spans="1:12" x14ac:dyDescent="0.35">
      <c r="A728" t="s">
        <v>92</v>
      </c>
      <c r="B728">
        <v>0</v>
      </c>
      <c r="C728" t="s">
        <v>523</v>
      </c>
      <c r="D728" t="s">
        <v>512</v>
      </c>
      <c r="E728" t="s">
        <v>3566</v>
      </c>
      <c r="L728"/>
    </row>
    <row r="729" spans="1:12" x14ac:dyDescent="0.35">
      <c r="A729" t="s">
        <v>93</v>
      </c>
      <c r="B729">
        <v>0</v>
      </c>
      <c r="C729" t="s">
        <v>523</v>
      </c>
      <c r="D729" t="s">
        <v>512</v>
      </c>
      <c r="E729" t="s">
        <v>515</v>
      </c>
      <c r="L729"/>
    </row>
    <row r="730" spans="1:12" x14ac:dyDescent="0.35">
      <c r="A730" t="s">
        <v>94</v>
      </c>
      <c r="B730">
        <v>0</v>
      </c>
      <c r="C730" t="s">
        <v>523</v>
      </c>
      <c r="D730" t="s">
        <v>512</v>
      </c>
      <c r="E730" t="s">
        <v>515</v>
      </c>
      <c r="L730"/>
    </row>
    <row r="731" spans="1:12" x14ac:dyDescent="0.35">
      <c r="A731" t="s">
        <v>95</v>
      </c>
      <c r="B731">
        <v>0</v>
      </c>
      <c r="C731" t="s">
        <v>523</v>
      </c>
      <c r="D731" t="s">
        <v>512</v>
      </c>
      <c r="E731" t="s">
        <v>515</v>
      </c>
      <c r="L731"/>
    </row>
    <row r="732" spans="1:12" x14ac:dyDescent="0.35">
      <c r="A732" t="s">
        <v>96</v>
      </c>
      <c r="B732">
        <v>0</v>
      </c>
      <c r="C732" t="s">
        <v>523</v>
      </c>
      <c r="D732" t="s">
        <v>512</v>
      </c>
      <c r="E732" t="s">
        <v>515</v>
      </c>
      <c r="L732"/>
    </row>
    <row r="733" spans="1:12" x14ac:dyDescent="0.35">
      <c r="A733" t="s">
        <v>97</v>
      </c>
      <c r="B733">
        <v>0</v>
      </c>
      <c r="C733" t="s">
        <v>523</v>
      </c>
      <c r="D733" t="s">
        <v>512</v>
      </c>
      <c r="E733" t="s">
        <v>515</v>
      </c>
      <c r="L733"/>
    </row>
    <row r="734" spans="1:12" x14ac:dyDescent="0.35">
      <c r="A734" t="s">
        <v>98</v>
      </c>
      <c r="B734">
        <v>0</v>
      </c>
      <c r="C734" t="s">
        <v>523</v>
      </c>
      <c r="D734" t="s">
        <v>512</v>
      </c>
      <c r="E734" t="s">
        <v>515</v>
      </c>
      <c r="L734"/>
    </row>
    <row r="735" spans="1:12" x14ac:dyDescent="0.35">
      <c r="A735" t="s">
        <v>99</v>
      </c>
      <c r="B735">
        <v>0</v>
      </c>
      <c r="C735" t="s">
        <v>523</v>
      </c>
      <c r="D735" t="s">
        <v>512</v>
      </c>
      <c r="E735" t="s">
        <v>515</v>
      </c>
      <c r="L735"/>
    </row>
    <row r="736" spans="1:12" x14ac:dyDescent="0.35">
      <c r="A736" t="s">
        <v>100</v>
      </c>
      <c r="B736">
        <v>0</v>
      </c>
      <c r="C736" t="s">
        <v>523</v>
      </c>
      <c r="D736" t="s">
        <v>512</v>
      </c>
      <c r="E736" t="s">
        <v>515</v>
      </c>
      <c r="L736"/>
    </row>
    <row r="737" spans="1:12" x14ac:dyDescent="0.35">
      <c r="A737" t="s">
        <v>101</v>
      </c>
      <c r="B737">
        <v>0</v>
      </c>
      <c r="C737" t="s">
        <v>523</v>
      </c>
      <c r="D737" t="s">
        <v>512</v>
      </c>
      <c r="E737" t="s">
        <v>515</v>
      </c>
      <c r="L737"/>
    </row>
    <row r="738" spans="1:12" x14ac:dyDescent="0.35">
      <c r="A738" t="s">
        <v>102</v>
      </c>
      <c r="B738">
        <v>0</v>
      </c>
      <c r="C738" t="s">
        <v>523</v>
      </c>
      <c r="D738" t="s">
        <v>512</v>
      </c>
      <c r="E738" t="s">
        <v>515</v>
      </c>
      <c r="L738"/>
    </row>
    <row r="739" spans="1:12" x14ac:dyDescent="0.35">
      <c r="A739" t="s">
        <v>103</v>
      </c>
      <c r="B739">
        <v>0</v>
      </c>
      <c r="C739" t="s">
        <v>523</v>
      </c>
      <c r="D739" t="s">
        <v>512</v>
      </c>
      <c r="E739" t="s">
        <v>515</v>
      </c>
      <c r="L739"/>
    </row>
    <row r="740" spans="1:12" x14ac:dyDescent="0.35">
      <c r="A740" t="s">
        <v>104</v>
      </c>
      <c r="B740">
        <v>0</v>
      </c>
      <c r="C740" t="s">
        <v>523</v>
      </c>
      <c r="D740" t="s">
        <v>512</v>
      </c>
      <c r="E740" t="s">
        <v>3566</v>
      </c>
      <c r="L740"/>
    </row>
    <row r="741" spans="1:12" x14ac:dyDescent="0.35">
      <c r="A741" t="s">
        <v>105</v>
      </c>
      <c r="B741">
        <v>0</v>
      </c>
      <c r="C741" t="s">
        <v>523</v>
      </c>
      <c r="D741" t="s">
        <v>512</v>
      </c>
      <c r="E741" t="s">
        <v>515</v>
      </c>
      <c r="L741"/>
    </row>
    <row r="742" spans="1:12" x14ac:dyDescent="0.35">
      <c r="A742" t="s">
        <v>106</v>
      </c>
      <c r="B742">
        <v>0</v>
      </c>
      <c r="C742" t="s">
        <v>523</v>
      </c>
      <c r="D742" t="s">
        <v>512</v>
      </c>
      <c r="E742" t="s">
        <v>515</v>
      </c>
      <c r="L742"/>
    </row>
    <row r="743" spans="1:12" x14ac:dyDescent="0.35">
      <c r="A743" t="s">
        <v>107</v>
      </c>
      <c r="B743">
        <v>0</v>
      </c>
      <c r="C743" t="s">
        <v>523</v>
      </c>
      <c r="D743" t="s">
        <v>512</v>
      </c>
      <c r="E743" t="s">
        <v>3566</v>
      </c>
      <c r="L743"/>
    </row>
    <row r="744" spans="1:12" x14ac:dyDescent="0.35">
      <c r="A744" t="s">
        <v>108</v>
      </c>
      <c r="B744">
        <v>0</v>
      </c>
      <c r="C744" t="s">
        <v>523</v>
      </c>
      <c r="D744" t="s">
        <v>512</v>
      </c>
      <c r="E744" t="s">
        <v>3566</v>
      </c>
      <c r="L744"/>
    </row>
    <row r="745" spans="1:12" x14ac:dyDescent="0.35">
      <c r="A745" t="s">
        <v>109</v>
      </c>
      <c r="B745">
        <v>0</v>
      </c>
      <c r="C745" t="s">
        <v>523</v>
      </c>
      <c r="D745" t="s">
        <v>512</v>
      </c>
      <c r="E745" t="s">
        <v>3566</v>
      </c>
      <c r="L745"/>
    </row>
    <row r="746" spans="1:12" x14ac:dyDescent="0.35">
      <c r="A746" t="s">
        <v>110</v>
      </c>
      <c r="B746">
        <v>0</v>
      </c>
      <c r="C746" t="s">
        <v>523</v>
      </c>
      <c r="D746" t="s">
        <v>512</v>
      </c>
      <c r="E746" t="s">
        <v>515</v>
      </c>
      <c r="L746"/>
    </row>
    <row r="747" spans="1:12" x14ac:dyDescent="0.35">
      <c r="A747" t="s">
        <v>111</v>
      </c>
      <c r="B747">
        <v>0</v>
      </c>
      <c r="C747" t="s">
        <v>523</v>
      </c>
      <c r="D747" t="s">
        <v>512</v>
      </c>
      <c r="E747" t="s">
        <v>515</v>
      </c>
      <c r="L747"/>
    </row>
    <row r="748" spans="1:12" x14ac:dyDescent="0.35">
      <c r="A748" t="s">
        <v>112</v>
      </c>
      <c r="B748">
        <v>0</v>
      </c>
      <c r="C748" t="s">
        <v>523</v>
      </c>
      <c r="D748" t="s">
        <v>512</v>
      </c>
      <c r="E748" t="s">
        <v>515</v>
      </c>
      <c r="L748"/>
    </row>
    <row r="749" spans="1:12" x14ac:dyDescent="0.35">
      <c r="A749" t="s">
        <v>113</v>
      </c>
      <c r="B749">
        <v>0</v>
      </c>
      <c r="C749" t="s">
        <v>523</v>
      </c>
      <c r="D749" t="s">
        <v>512</v>
      </c>
      <c r="E749" t="s">
        <v>515</v>
      </c>
      <c r="L749"/>
    </row>
    <row r="750" spans="1:12" x14ac:dyDescent="0.35">
      <c r="A750" t="s">
        <v>114</v>
      </c>
      <c r="B750">
        <v>0</v>
      </c>
      <c r="C750" t="s">
        <v>523</v>
      </c>
      <c r="D750" t="s">
        <v>512</v>
      </c>
      <c r="E750" t="s">
        <v>515</v>
      </c>
      <c r="L750"/>
    </row>
    <row r="751" spans="1:12" x14ac:dyDescent="0.35">
      <c r="A751" t="s">
        <v>115</v>
      </c>
      <c r="B751">
        <v>0</v>
      </c>
      <c r="C751" t="s">
        <v>523</v>
      </c>
      <c r="D751" t="s">
        <v>512</v>
      </c>
      <c r="E751" t="s">
        <v>515</v>
      </c>
      <c r="L751"/>
    </row>
    <row r="752" spans="1:12" x14ac:dyDescent="0.35">
      <c r="A752" t="s">
        <v>116</v>
      </c>
      <c r="B752">
        <v>0</v>
      </c>
      <c r="C752" t="s">
        <v>523</v>
      </c>
      <c r="D752" t="s">
        <v>512</v>
      </c>
      <c r="E752" t="s">
        <v>515</v>
      </c>
      <c r="L752"/>
    </row>
    <row r="753" spans="1:12" x14ac:dyDescent="0.35">
      <c r="A753" t="s">
        <v>117</v>
      </c>
      <c r="B753">
        <v>0</v>
      </c>
      <c r="C753" t="s">
        <v>523</v>
      </c>
      <c r="D753" t="s">
        <v>512</v>
      </c>
      <c r="E753" t="s">
        <v>515</v>
      </c>
      <c r="L753"/>
    </row>
    <row r="754" spans="1:12" x14ac:dyDescent="0.35">
      <c r="A754" t="s">
        <v>3601</v>
      </c>
      <c r="B754">
        <v>0</v>
      </c>
      <c r="C754" t="s">
        <v>523</v>
      </c>
      <c r="D754" t="s">
        <v>512</v>
      </c>
      <c r="E754" t="s">
        <v>515</v>
      </c>
      <c r="L754"/>
    </row>
    <row r="755" spans="1:12" x14ac:dyDescent="0.35">
      <c r="A755" t="s">
        <v>118</v>
      </c>
      <c r="B755">
        <v>0</v>
      </c>
      <c r="C755" t="s">
        <v>523</v>
      </c>
      <c r="D755" t="s">
        <v>512</v>
      </c>
      <c r="E755" t="s">
        <v>515</v>
      </c>
      <c r="L755"/>
    </row>
    <row r="756" spans="1:12" x14ac:dyDescent="0.35">
      <c r="A756" t="s">
        <v>119</v>
      </c>
      <c r="B756">
        <v>0</v>
      </c>
      <c r="C756" t="s">
        <v>523</v>
      </c>
      <c r="D756" t="s">
        <v>512</v>
      </c>
      <c r="E756" t="s">
        <v>515</v>
      </c>
      <c r="L756"/>
    </row>
    <row r="757" spans="1:12" x14ac:dyDescent="0.35">
      <c r="A757" t="s">
        <v>120</v>
      </c>
      <c r="B757">
        <v>0</v>
      </c>
      <c r="C757" t="s">
        <v>523</v>
      </c>
      <c r="D757" t="s">
        <v>512</v>
      </c>
      <c r="E757" t="s">
        <v>516</v>
      </c>
      <c r="L757"/>
    </row>
    <row r="758" spans="1:12" x14ac:dyDescent="0.35">
      <c r="A758" t="s">
        <v>121</v>
      </c>
      <c r="B758">
        <v>0</v>
      </c>
      <c r="C758" t="s">
        <v>523</v>
      </c>
      <c r="D758" t="s">
        <v>512</v>
      </c>
      <c r="E758" t="s">
        <v>516</v>
      </c>
      <c r="L758"/>
    </row>
    <row r="759" spans="1:12" x14ac:dyDescent="0.35">
      <c r="A759" t="s">
        <v>122</v>
      </c>
      <c r="B759">
        <v>0</v>
      </c>
      <c r="C759" t="s">
        <v>523</v>
      </c>
      <c r="D759" t="s">
        <v>512</v>
      </c>
      <c r="E759" t="s">
        <v>515</v>
      </c>
      <c r="L759"/>
    </row>
    <row r="760" spans="1:12" x14ac:dyDescent="0.35">
      <c r="A760" t="s">
        <v>123</v>
      </c>
      <c r="B760">
        <v>0</v>
      </c>
      <c r="C760" t="s">
        <v>523</v>
      </c>
      <c r="D760" t="s">
        <v>512</v>
      </c>
      <c r="E760" t="s">
        <v>515</v>
      </c>
      <c r="L760"/>
    </row>
    <row r="761" spans="1:12" x14ac:dyDescent="0.35">
      <c r="A761" t="s">
        <v>124</v>
      </c>
      <c r="B761">
        <v>0</v>
      </c>
      <c r="C761" t="s">
        <v>523</v>
      </c>
      <c r="D761" t="s">
        <v>512</v>
      </c>
      <c r="E761" t="s">
        <v>515</v>
      </c>
      <c r="L761"/>
    </row>
    <row r="762" spans="1:12" x14ac:dyDescent="0.35">
      <c r="A762" t="s">
        <v>125</v>
      </c>
      <c r="B762">
        <v>0</v>
      </c>
      <c r="C762" t="s">
        <v>523</v>
      </c>
      <c r="D762" t="s">
        <v>512</v>
      </c>
      <c r="E762" t="s">
        <v>515</v>
      </c>
      <c r="L762"/>
    </row>
    <row r="763" spans="1:12" x14ac:dyDescent="0.35">
      <c r="A763" t="s">
        <v>126</v>
      </c>
      <c r="B763">
        <v>0</v>
      </c>
      <c r="C763" t="s">
        <v>523</v>
      </c>
      <c r="D763" t="s">
        <v>512</v>
      </c>
      <c r="E763" t="s">
        <v>515</v>
      </c>
      <c r="L763"/>
    </row>
    <row r="764" spans="1:12" x14ac:dyDescent="0.35">
      <c r="A764" t="s">
        <v>127</v>
      </c>
      <c r="B764">
        <v>0</v>
      </c>
      <c r="C764" t="s">
        <v>523</v>
      </c>
      <c r="D764" t="s">
        <v>512</v>
      </c>
      <c r="E764" t="s">
        <v>515</v>
      </c>
      <c r="L764"/>
    </row>
    <row r="765" spans="1:12" x14ac:dyDescent="0.35">
      <c r="A765" t="s">
        <v>128</v>
      </c>
      <c r="B765">
        <v>0</v>
      </c>
      <c r="C765" t="s">
        <v>523</v>
      </c>
      <c r="D765" t="s">
        <v>512</v>
      </c>
      <c r="E765" t="s">
        <v>515</v>
      </c>
      <c r="L765"/>
    </row>
    <row r="766" spans="1:12" x14ac:dyDescent="0.35">
      <c r="A766" t="s">
        <v>129</v>
      </c>
      <c r="B766">
        <v>0</v>
      </c>
      <c r="C766" t="s">
        <v>523</v>
      </c>
      <c r="D766" t="s">
        <v>512</v>
      </c>
      <c r="E766" t="s">
        <v>515</v>
      </c>
      <c r="L766"/>
    </row>
    <row r="767" spans="1:12" x14ac:dyDescent="0.35">
      <c r="A767" t="s">
        <v>130</v>
      </c>
      <c r="B767">
        <v>0</v>
      </c>
      <c r="C767" t="s">
        <v>523</v>
      </c>
      <c r="D767" t="s">
        <v>512</v>
      </c>
      <c r="E767" t="s">
        <v>515</v>
      </c>
      <c r="L767"/>
    </row>
    <row r="768" spans="1:12" x14ac:dyDescent="0.35">
      <c r="A768" t="s">
        <v>131</v>
      </c>
      <c r="B768">
        <v>0</v>
      </c>
      <c r="C768" t="s">
        <v>523</v>
      </c>
      <c r="D768" t="s">
        <v>512</v>
      </c>
      <c r="E768" t="s">
        <v>515</v>
      </c>
      <c r="L768"/>
    </row>
    <row r="769" spans="1:12" x14ac:dyDescent="0.35">
      <c r="A769" t="s">
        <v>132</v>
      </c>
      <c r="B769">
        <v>0</v>
      </c>
      <c r="C769" t="s">
        <v>523</v>
      </c>
      <c r="D769" t="s">
        <v>512</v>
      </c>
      <c r="E769" t="s">
        <v>515</v>
      </c>
      <c r="L769"/>
    </row>
    <row r="770" spans="1:12" x14ac:dyDescent="0.35">
      <c r="A770" t="s">
        <v>133</v>
      </c>
      <c r="B770">
        <v>0</v>
      </c>
      <c r="C770" t="s">
        <v>523</v>
      </c>
      <c r="D770" t="s">
        <v>512</v>
      </c>
      <c r="E770" t="s">
        <v>515</v>
      </c>
      <c r="L770"/>
    </row>
    <row r="771" spans="1:12" x14ac:dyDescent="0.35">
      <c r="A771" t="s">
        <v>134</v>
      </c>
      <c r="B771">
        <v>0</v>
      </c>
      <c r="C771" t="s">
        <v>523</v>
      </c>
      <c r="D771" t="s">
        <v>512</v>
      </c>
      <c r="E771" t="s">
        <v>515</v>
      </c>
      <c r="L771"/>
    </row>
    <row r="772" spans="1:12" x14ac:dyDescent="0.35">
      <c r="A772" t="s">
        <v>135</v>
      </c>
      <c r="B772">
        <v>0</v>
      </c>
      <c r="C772" t="s">
        <v>523</v>
      </c>
      <c r="D772" t="s">
        <v>512</v>
      </c>
      <c r="E772" t="s">
        <v>515</v>
      </c>
      <c r="L772"/>
    </row>
    <row r="773" spans="1:12" x14ac:dyDescent="0.35">
      <c r="A773" t="s">
        <v>136</v>
      </c>
      <c r="B773">
        <v>0</v>
      </c>
      <c r="C773" t="s">
        <v>523</v>
      </c>
      <c r="D773" t="s">
        <v>512</v>
      </c>
      <c r="E773" t="s">
        <v>515</v>
      </c>
      <c r="L773"/>
    </row>
    <row r="774" spans="1:12" x14ac:dyDescent="0.35">
      <c r="A774" t="s">
        <v>137</v>
      </c>
      <c r="B774">
        <v>0</v>
      </c>
      <c r="C774" t="s">
        <v>523</v>
      </c>
      <c r="D774" t="s">
        <v>512</v>
      </c>
      <c r="E774" t="s">
        <v>515</v>
      </c>
      <c r="L774"/>
    </row>
    <row r="775" spans="1:12" x14ac:dyDescent="0.35">
      <c r="A775" t="s">
        <v>138</v>
      </c>
      <c r="B775">
        <v>0</v>
      </c>
      <c r="C775" t="s">
        <v>523</v>
      </c>
      <c r="D775" t="s">
        <v>512</v>
      </c>
      <c r="E775" t="s">
        <v>515</v>
      </c>
      <c r="L775"/>
    </row>
    <row r="776" spans="1:12" x14ac:dyDescent="0.35">
      <c r="A776" t="s">
        <v>139</v>
      </c>
      <c r="B776">
        <v>0</v>
      </c>
      <c r="C776" t="s">
        <v>523</v>
      </c>
      <c r="D776" t="s">
        <v>512</v>
      </c>
      <c r="E776" t="s">
        <v>515</v>
      </c>
      <c r="L776"/>
    </row>
    <row r="777" spans="1:12" x14ac:dyDescent="0.35">
      <c r="A777" t="s">
        <v>140</v>
      </c>
      <c r="B777">
        <v>0</v>
      </c>
      <c r="C777" t="s">
        <v>523</v>
      </c>
      <c r="D777" t="s">
        <v>512</v>
      </c>
      <c r="E777" t="s">
        <v>515</v>
      </c>
      <c r="L777"/>
    </row>
    <row r="778" spans="1:12" x14ac:dyDescent="0.35">
      <c r="A778" t="s">
        <v>141</v>
      </c>
      <c r="B778">
        <v>0</v>
      </c>
      <c r="C778" t="s">
        <v>523</v>
      </c>
      <c r="D778" t="s">
        <v>512</v>
      </c>
      <c r="E778" t="s">
        <v>515</v>
      </c>
      <c r="L778"/>
    </row>
    <row r="779" spans="1:12" x14ac:dyDescent="0.35">
      <c r="A779" t="s">
        <v>142</v>
      </c>
      <c r="B779">
        <v>0</v>
      </c>
      <c r="C779" t="s">
        <v>523</v>
      </c>
      <c r="D779" t="s">
        <v>512</v>
      </c>
      <c r="E779" t="s">
        <v>515</v>
      </c>
      <c r="L779"/>
    </row>
    <row r="780" spans="1:12" x14ac:dyDescent="0.35">
      <c r="A780" t="s">
        <v>143</v>
      </c>
      <c r="B780">
        <v>0</v>
      </c>
      <c r="C780" t="s">
        <v>523</v>
      </c>
      <c r="D780" t="s">
        <v>512</v>
      </c>
      <c r="E780" t="s">
        <v>515</v>
      </c>
      <c r="L780"/>
    </row>
    <row r="781" spans="1:12" x14ac:dyDescent="0.35">
      <c r="A781" t="s">
        <v>144</v>
      </c>
      <c r="B781">
        <v>0</v>
      </c>
      <c r="C781" t="s">
        <v>523</v>
      </c>
      <c r="D781" t="s">
        <v>512</v>
      </c>
      <c r="E781" t="s">
        <v>515</v>
      </c>
      <c r="L781"/>
    </row>
    <row r="782" spans="1:12" x14ac:dyDescent="0.35">
      <c r="A782" t="s">
        <v>145</v>
      </c>
      <c r="B782">
        <v>0</v>
      </c>
      <c r="C782" t="s">
        <v>523</v>
      </c>
      <c r="D782" t="s">
        <v>512</v>
      </c>
      <c r="E782" t="s">
        <v>3566</v>
      </c>
      <c r="L782"/>
    </row>
    <row r="783" spans="1:12" x14ac:dyDescent="0.35">
      <c r="A783" t="s">
        <v>146</v>
      </c>
      <c r="B783">
        <v>0</v>
      </c>
      <c r="C783" t="s">
        <v>523</v>
      </c>
      <c r="D783" t="s">
        <v>512</v>
      </c>
      <c r="E783" t="s">
        <v>3566</v>
      </c>
      <c r="L783"/>
    </row>
    <row r="784" spans="1:12" x14ac:dyDescent="0.35">
      <c r="A784" t="s">
        <v>147</v>
      </c>
      <c r="B784">
        <v>0</v>
      </c>
      <c r="C784" t="s">
        <v>523</v>
      </c>
      <c r="D784" t="s">
        <v>512</v>
      </c>
      <c r="E784" t="s">
        <v>515</v>
      </c>
      <c r="L784"/>
    </row>
    <row r="785" spans="1:12" x14ac:dyDescent="0.35">
      <c r="A785" t="s">
        <v>148</v>
      </c>
      <c r="B785">
        <v>0</v>
      </c>
      <c r="C785" t="s">
        <v>523</v>
      </c>
      <c r="D785" t="s">
        <v>512</v>
      </c>
      <c r="E785" t="s">
        <v>515</v>
      </c>
      <c r="L785"/>
    </row>
    <row r="786" spans="1:12" x14ac:dyDescent="0.35">
      <c r="A786" t="s">
        <v>149</v>
      </c>
      <c r="B786">
        <v>0</v>
      </c>
      <c r="C786" t="s">
        <v>523</v>
      </c>
      <c r="D786" t="s">
        <v>512</v>
      </c>
      <c r="E786" t="s">
        <v>515</v>
      </c>
      <c r="L786"/>
    </row>
    <row r="787" spans="1:12" x14ac:dyDescent="0.35">
      <c r="A787" t="s">
        <v>150</v>
      </c>
      <c r="B787">
        <v>0</v>
      </c>
      <c r="C787" t="s">
        <v>523</v>
      </c>
      <c r="D787" t="s">
        <v>512</v>
      </c>
      <c r="E787" t="s">
        <v>515</v>
      </c>
      <c r="L787"/>
    </row>
    <row r="788" spans="1:12" x14ac:dyDescent="0.35">
      <c r="A788" t="s">
        <v>151</v>
      </c>
      <c r="B788">
        <v>0</v>
      </c>
      <c r="C788" t="s">
        <v>523</v>
      </c>
      <c r="D788" t="s">
        <v>512</v>
      </c>
      <c r="E788" t="s">
        <v>515</v>
      </c>
      <c r="L788"/>
    </row>
    <row r="789" spans="1:12" x14ac:dyDescent="0.35">
      <c r="A789" t="s">
        <v>152</v>
      </c>
      <c r="B789">
        <v>0</v>
      </c>
      <c r="C789" t="s">
        <v>523</v>
      </c>
      <c r="D789" t="s">
        <v>512</v>
      </c>
      <c r="E789" t="s">
        <v>515</v>
      </c>
      <c r="L789"/>
    </row>
    <row r="790" spans="1:12" x14ac:dyDescent="0.35">
      <c r="A790" t="s">
        <v>3266</v>
      </c>
      <c r="B790">
        <v>0</v>
      </c>
      <c r="C790" t="s">
        <v>523</v>
      </c>
      <c r="D790" t="s">
        <v>506</v>
      </c>
      <c r="E790" t="s">
        <v>515</v>
      </c>
    </row>
    <row r="791" spans="1:12" x14ac:dyDescent="0.35">
      <c r="A791" t="s">
        <v>3267</v>
      </c>
      <c r="B791">
        <v>0</v>
      </c>
      <c r="C791" t="s">
        <v>523</v>
      </c>
      <c r="D791" t="s">
        <v>513</v>
      </c>
      <c r="E791" t="s">
        <v>515</v>
      </c>
    </row>
    <row r="792" spans="1:12" x14ac:dyDescent="0.35">
      <c r="A792" t="s">
        <v>3268</v>
      </c>
      <c r="B792">
        <v>0</v>
      </c>
      <c r="C792" t="s">
        <v>524</v>
      </c>
      <c r="D792" t="s">
        <v>505</v>
      </c>
      <c r="E792" t="s">
        <v>516</v>
      </c>
    </row>
    <row r="793" spans="1:12" x14ac:dyDescent="0.35">
      <c r="A793" t="s">
        <v>3269</v>
      </c>
      <c r="B793">
        <v>0</v>
      </c>
      <c r="C793" t="s">
        <v>523</v>
      </c>
      <c r="D793" t="s">
        <v>513</v>
      </c>
      <c r="E793" t="s">
        <v>517</v>
      </c>
    </row>
    <row r="794" spans="1:12" x14ac:dyDescent="0.35">
      <c r="A794" t="s">
        <v>3270</v>
      </c>
      <c r="B794">
        <v>0</v>
      </c>
      <c r="C794" t="s">
        <v>523</v>
      </c>
      <c r="D794" t="s">
        <v>506</v>
      </c>
      <c r="E794" t="s">
        <v>516</v>
      </c>
    </row>
    <row r="795" spans="1:12" x14ac:dyDescent="0.35">
      <c r="A795" t="s">
        <v>3271</v>
      </c>
      <c r="B795">
        <v>0</v>
      </c>
      <c r="C795" t="s">
        <v>523</v>
      </c>
      <c r="D795" t="s">
        <v>513</v>
      </c>
      <c r="E795" t="s">
        <v>515</v>
      </c>
    </row>
    <row r="796" spans="1:12" x14ac:dyDescent="0.35">
      <c r="A796" t="s">
        <v>3446</v>
      </c>
      <c r="B796">
        <v>0</v>
      </c>
      <c r="C796" t="s">
        <v>523</v>
      </c>
      <c r="D796" t="s">
        <v>513</v>
      </c>
      <c r="E796" t="s">
        <v>515</v>
      </c>
    </row>
    <row r="797" spans="1:12" x14ac:dyDescent="0.35">
      <c r="A797" t="s">
        <v>3272</v>
      </c>
      <c r="B797">
        <v>0</v>
      </c>
      <c r="C797" t="s">
        <v>523</v>
      </c>
      <c r="D797" t="s">
        <v>509</v>
      </c>
      <c r="E797" t="s">
        <v>515</v>
      </c>
    </row>
    <row r="798" spans="1:12" x14ac:dyDescent="0.35">
      <c r="A798" t="s">
        <v>3273</v>
      </c>
      <c r="B798">
        <v>0</v>
      </c>
      <c r="C798" t="s">
        <v>523</v>
      </c>
      <c r="D798" t="s">
        <v>509</v>
      </c>
      <c r="E798" t="s">
        <v>515</v>
      </c>
    </row>
    <row r="799" spans="1:12" x14ac:dyDescent="0.35">
      <c r="A799" t="s">
        <v>3274</v>
      </c>
      <c r="B799">
        <v>0</v>
      </c>
      <c r="C799" t="s">
        <v>524</v>
      </c>
      <c r="D799" t="s">
        <v>506</v>
      </c>
      <c r="E799" t="s">
        <v>515</v>
      </c>
    </row>
    <row r="800" spans="1:12" x14ac:dyDescent="0.35">
      <c r="A800" t="s">
        <v>3275</v>
      </c>
      <c r="B800">
        <v>0</v>
      </c>
      <c r="C800" t="s">
        <v>523</v>
      </c>
      <c r="D800" t="s">
        <v>506</v>
      </c>
      <c r="E800" t="s">
        <v>515</v>
      </c>
    </row>
    <row r="801" spans="1:5" x14ac:dyDescent="0.35">
      <c r="A801" t="s">
        <v>3276</v>
      </c>
      <c r="B801">
        <v>0</v>
      </c>
      <c r="C801" t="s">
        <v>523</v>
      </c>
      <c r="D801" t="s">
        <v>506</v>
      </c>
      <c r="E801" t="s">
        <v>515</v>
      </c>
    </row>
    <row r="802" spans="1:5" x14ac:dyDescent="0.35">
      <c r="A802" t="s">
        <v>3277</v>
      </c>
      <c r="B802">
        <v>0</v>
      </c>
      <c r="C802" t="s">
        <v>523</v>
      </c>
      <c r="D802" t="s">
        <v>506</v>
      </c>
      <c r="E802" t="s">
        <v>515</v>
      </c>
    </row>
    <row r="803" spans="1:5" x14ac:dyDescent="0.35">
      <c r="A803" t="s">
        <v>3278</v>
      </c>
      <c r="B803">
        <v>0</v>
      </c>
      <c r="C803" t="s">
        <v>524</v>
      </c>
      <c r="D803" t="s">
        <v>506</v>
      </c>
      <c r="E803" t="s">
        <v>515</v>
      </c>
    </row>
    <row r="804" spans="1:5" x14ac:dyDescent="0.35">
      <c r="A804" t="s">
        <v>3279</v>
      </c>
      <c r="B804">
        <v>0</v>
      </c>
      <c r="C804" t="s">
        <v>523</v>
      </c>
      <c r="D804" t="s">
        <v>510</v>
      </c>
      <c r="E804" t="s">
        <v>517</v>
      </c>
    </row>
    <row r="805" spans="1:5" x14ac:dyDescent="0.35">
      <c r="A805" t="s">
        <v>1729</v>
      </c>
      <c r="B805">
        <v>0</v>
      </c>
      <c r="C805" t="s">
        <v>523</v>
      </c>
      <c r="D805" t="s">
        <v>512</v>
      </c>
      <c r="E805" t="s">
        <v>515</v>
      </c>
    </row>
    <row r="806" spans="1:5" x14ac:dyDescent="0.35">
      <c r="A806" t="s">
        <v>1730</v>
      </c>
      <c r="B806">
        <v>0</v>
      </c>
      <c r="C806" t="s">
        <v>523</v>
      </c>
      <c r="D806" t="s">
        <v>512</v>
      </c>
      <c r="E806" t="s">
        <v>515</v>
      </c>
    </row>
    <row r="807" spans="1:5" x14ac:dyDescent="0.35">
      <c r="A807" t="s">
        <v>1715</v>
      </c>
      <c r="B807">
        <v>0</v>
      </c>
      <c r="C807" t="s">
        <v>523</v>
      </c>
      <c r="D807" t="s">
        <v>512</v>
      </c>
      <c r="E807" t="s">
        <v>516</v>
      </c>
    </row>
    <row r="808" spans="1:5" x14ac:dyDescent="0.35">
      <c r="A808" t="s">
        <v>1710</v>
      </c>
      <c r="B808">
        <v>0</v>
      </c>
      <c r="C808" t="s">
        <v>523</v>
      </c>
      <c r="D808" t="s">
        <v>512</v>
      </c>
      <c r="E808" t="s">
        <v>516</v>
      </c>
    </row>
    <row r="809" spans="1:5" x14ac:dyDescent="0.35">
      <c r="A809" t="s">
        <v>1711</v>
      </c>
      <c r="B809">
        <v>0</v>
      </c>
      <c r="C809" t="s">
        <v>523</v>
      </c>
      <c r="D809" t="s">
        <v>512</v>
      </c>
      <c r="E809" t="s">
        <v>516</v>
      </c>
    </row>
    <row r="810" spans="1:5" x14ac:dyDescent="0.35">
      <c r="A810" t="s">
        <v>1712</v>
      </c>
      <c r="B810">
        <v>0</v>
      </c>
      <c r="C810" t="s">
        <v>523</v>
      </c>
      <c r="D810" t="s">
        <v>512</v>
      </c>
      <c r="E810" t="s">
        <v>516</v>
      </c>
    </row>
    <row r="811" spans="1:5" x14ac:dyDescent="0.35">
      <c r="A811" t="s">
        <v>1713</v>
      </c>
      <c r="B811">
        <v>0</v>
      </c>
      <c r="C811" t="s">
        <v>523</v>
      </c>
      <c r="D811" t="s">
        <v>512</v>
      </c>
      <c r="E811" t="s">
        <v>516</v>
      </c>
    </row>
    <row r="812" spans="1:5" x14ac:dyDescent="0.35">
      <c r="A812" t="s">
        <v>1714</v>
      </c>
      <c r="B812">
        <v>0</v>
      </c>
      <c r="C812" t="s">
        <v>523</v>
      </c>
      <c r="D812" t="s">
        <v>512</v>
      </c>
      <c r="E812" t="s">
        <v>516</v>
      </c>
    </row>
    <row r="813" spans="1:5" x14ac:dyDescent="0.35">
      <c r="A813" t="s">
        <v>1733</v>
      </c>
      <c r="B813">
        <v>0</v>
      </c>
      <c r="C813" t="s">
        <v>523</v>
      </c>
      <c r="D813" t="s">
        <v>512</v>
      </c>
      <c r="E813" t="s">
        <v>516</v>
      </c>
    </row>
    <row r="814" spans="1:5" x14ac:dyDescent="0.35">
      <c r="A814" t="s">
        <v>3280</v>
      </c>
      <c r="B814">
        <v>0</v>
      </c>
      <c r="C814" t="s">
        <v>524</v>
      </c>
      <c r="D814" t="s">
        <v>509</v>
      </c>
      <c r="E814" t="s">
        <v>515</v>
      </c>
    </row>
    <row r="815" spans="1:5" x14ac:dyDescent="0.35">
      <c r="A815" t="s">
        <v>3281</v>
      </c>
      <c r="B815">
        <v>0</v>
      </c>
      <c r="C815" t="s">
        <v>523</v>
      </c>
      <c r="D815" t="s">
        <v>510</v>
      </c>
      <c r="E815" t="s">
        <v>517</v>
      </c>
    </row>
    <row r="816" spans="1:5" x14ac:dyDescent="0.35">
      <c r="A816" t="s">
        <v>3282</v>
      </c>
      <c r="B816">
        <v>0</v>
      </c>
      <c r="C816" t="s">
        <v>523</v>
      </c>
      <c r="D816" t="s">
        <v>510</v>
      </c>
      <c r="E816" t="s">
        <v>517</v>
      </c>
    </row>
    <row r="817" spans="1:5" x14ac:dyDescent="0.35">
      <c r="A817" t="s">
        <v>3283</v>
      </c>
      <c r="B817">
        <v>0</v>
      </c>
      <c r="C817" t="s">
        <v>523</v>
      </c>
      <c r="D817" t="s">
        <v>510</v>
      </c>
      <c r="E817" t="s">
        <v>517</v>
      </c>
    </row>
    <row r="818" spans="1:5" x14ac:dyDescent="0.35">
      <c r="A818" t="s">
        <v>3284</v>
      </c>
      <c r="B818">
        <v>0</v>
      </c>
      <c r="C818" t="s">
        <v>523</v>
      </c>
      <c r="D818" t="s">
        <v>510</v>
      </c>
      <c r="E818" t="s">
        <v>517</v>
      </c>
    </row>
    <row r="819" spans="1:5" x14ac:dyDescent="0.35">
      <c r="A819" t="s">
        <v>3285</v>
      </c>
      <c r="B819">
        <v>0</v>
      </c>
      <c r="C819" t="s">
        <v>523</v>
      </c>
      <c r="D819" t="s">
        <v>510</v>
      </c>
      <c r="E819" t="s">
        <v>517</v>
      </c>
    </row>
    <row r="820" spans="1:5" x14ac:dyDescent="0.35">
      <c r="A820" t="s">
        <v>3286</v>
      </c>
      <c r="B820">
        <v>0</v>
      </c>
      <c r="C820" t="s">
        <v>523</v>
      </c>
      <c r="D820" t="s">
        <v>510</v>
      </c>
      <c r="E820" t="s">
        <v>517</v>
      </c>
    </row>
    <row r="821" spans="1:5" x14ac:dyDescent="0.35">
      <c r="A821" t="s">
        <v>3287</v>
      </c>
      <c r="B821">
        <v>0</v>
      </c>
      <c r="C821" t="s">
        <v>523</v>
      </c>
      <c r="D821" t="s">
        <v>510</v>
      </c>
      <c r="E821" t="s">
        <v>517</v>
      </c>
    </row>
    <row r="822" spans="1:5" x14ac:dyDescent="0.35">
      <c r="A822" t="s">
        <v>3288</v>
      </c>
      <c r="B822">
        <v>0</v>
      </c>
      <c r="C822" t="s">
        <v>523</v>
      </c>
      <c r="D822" t="s">
        <v>510</v>
      </c>
      <c r="E822" t="s">
        <v>515</v>
      </c>
    </row>
    <row r="823" spans="1:5" x14ac:dyDescent="0.35">
      <c r="A823" t="s">
        <v>3289</v>
      </c>
      <c r="B823">
        <v>0</v>
      </c>
      <c r="C823" t="s">
        <v>523</v>
      </c>
      <c r="D823" t="s">
        <v>510</v>
      </c>
      <c r="E823" t="s">
        <v>515</v>
      </c>
    </row>
    <row r="824" spans="1:5" x14ac:dyDescent="0.35">
      <c r="A824" t="s">
        <v>3290</v>
      </c>
      <c r="B824">
        <v>0</v>
      </c>
      <c r="C824" t="s">
        <v>523</v>
      </c>
      <c r="D824" t="s">
        <v>506</v>
      </c>
      <c r="E824" t="s">
        <v>515</v>
      </c>
    </row>
    <row r="825" spans="1:5" x14ac:dyDescent="0.35">
      <c r="A825" t="s">
        <v>3291</v>
      </c>
      <c r="B825">
        <v>0</v>
      </c>
      <c r="C825" t="s">
        <v>523</v>
      </c>
      <c r="D825" t="s">
        <v>509</v>
      </c>
      <c r="E825" t="s">
        <v>515</v>
      </c>
    </row>
    <row r="826" spans="1:5" x14ac:dyDescent="0.35">
      <c r="A826" t="s">
        <v>3609</v>
      </c>
      <c r="B826">
        <v>0</v>
      </c>
      <c r="C826" t="s">
        <v>523</v>
      </c>
      <c r="D826" t="s">
        <v>509</v>
      </c>
      <c r="E826" t="s">
        <v>515</v>
      </c>
    </row>
    <row r="827" spans="1:5" x14ac:dyDescent="0.35">
      <c r="A827" t="s">
        <v>3292</v>
      </c>
      <c r="B827">
        <v>0</v>
      </c>
      <c r="C827" t="s">
        <v>523</v>
      </c>
      <c r="D827" t="s">
        <v>513</v>
      </c>
      <c r="E827" t="s">
        <v>515</v>
      </c>
    </row>
    <row r="828" spans="1:5" x14ac:dyDescent="0.35">
      <c r="A828" t="s">
        <v>3293</v>
      </c>
      <c r="B828">
        <v>0</v>
      </c>
      <c r="C828" t="s">
        <v>523</v>
      </c>
      <c r="D828" t="s">
        <v>510</v>
      </c>
      <c r="E828" t="s">
        <v>515</v>
      </c>
    </row>
    <row r="829" spans="1:5" x14ac:dyDescent="0.35">
      <c r="A829" t="s">
        <v>3294</v>
      </c>
      <c r="B829">
        <v>0</v>
      </c>
      <c r="C829" t="s">
        <v>523</v>
      </c>
      <c r="D829" t="s">
        <v>510</v>
      </c>
      <c r="E829" t="s">
        <v>515</v>
      </c>
    </row>
    <row r="830" spans="1:5" x14ac:dyDescent="0.35">
      <c r="A830" t="s">
        <v>3295</v>
      </c>
      <c r="B830">
        <v>0</v>
      </c>
      <c r="C830" t="s">
        <v>523</v>
      </c>
      <c r="D830" t="s">
        <v>510</v>
      </c>
      <c r="E830" t="s">
        <v>515</v>
      </c>
    </row>
    <row r="831" spans="1:5" x14ac:dyDescent="0.35">
      <c r="A831" t="s">
        <v>3296</v>
      </c>
      <c r="B831">
        <v>0</v>
      </c>
      <c r="C831" t="s">
        <v>523</v>
      </c>
      <c r="D831" t="s">
        <v>510</v>
      </c>
      <c r="E831" t="s">
        <v>515</v>
      </c>
    </row>
    <row r="832" spans="1:5" x14ac:dyDescent="0.35">
      <c r="A832" t="s">
        <v>3297</v>
      </c>
      <c r="B832">
        <v>0</v>
      </c>
      <c r="C832" t="s">
        <v>523</v>
      </c>
      <c r="D832" t="s">
        <v>510</v>
      </c>
      <c r="E832" t="s">
        <v>517</v>
      </c>
    </row>
    <row r="833" spans="1:5" x14ac:dyDescent="0.35">
      <c r="A833" t="s">
        <v>3298</v>
      </c>
      <c r="B833">
        <v>0</v>
      </c>
      <c r="C833" t="s">
        <v>523</v>
      </c>
      <c r="D833" t="s">
        <v>510</v>
      </c>
      <c r="E833" t="s">
        <v>517</v>
      </c>
    </row>
    <row r="834" spans="1:5" x14ac:dyDescent="0.35">
      <c r="A834" t="s">
        <v>3299</v>
      </c>
      <c r="B834">
        <v>0</v>
      </c>
      <c r="C834" t="s">
        <v>523</v>
      </c>
      <c r="D834" t="s">
        <v>513</v>
      </c>
      <c r="E834" t="s">
        <v>517</v>
      </c>
    </row>
    <row r="835" spans="1:5" x14ac:dyDescent="0.35">
      <c r="A835" t="s">
        <v>3300</v>
      </c>
      <c r="B835">
        <v>0</v>
      </c>
      <c r="C835" t="s">
        <v>523</v>
      </c>
      <c r="D835" t="s">
        <v>513</v>
      </c>
      <c r="E835" t="s">
        <v>517</v>
      </c>
    </row>
    <row r="836" spans="1:5" x14ac:dyDescent="0.35">
      <c r="A836" t="s">
        <v>3301</v>
      </c>
      <c r="B836">
        <v>0</v>
      </c>
      <c r="C836" t="s">
        <v>523</v>
      </c>
      <c r="D836" t="s">
        <v>513</v>
      </c>
      <c r="E836" t="s">
        <v>515</v>
      </c>
    </row>
    <row r="837" spans="1:5" x14ac:dyDescent="0.35">
      <c r="A837" t="s">
        <v>3302</v>
      </c>
      <c r="B837">
        <v>0</v>
      </c>
      <c r="C837" t="s">
        <v>523</v>
      </c>
      <c r="D837" t="s">
        <v>513</v>
      </c>
      <c r="E837" t="s">
        <v>515</v>
      </c>
    </row>
    <row r="838" spans="1:5" x14ac:dyDescent="0.35">
      <c r="A838" t="s">
        <v>3303</v>
      </c>
      <c r="B838">
        <v>0</v>
      </c>
      <c r="C838" t="s">
        <v>523</v>
      </c>
      <c r="D838" t="s">
        <v>513</v>
      </c>
      <c r="E838" t="s">
        <v>515</v>
      </c>
    </row>
    <row r="839" spans="1:5" x14ac:dyDescent="0.35">
      <c r="A839" t="s">
        <v>3304</v>
      </c>
      <c r="B839">
        <v>0</v>
      </c>
      <c r="C839" t="s">
        <v>523</v>
      </c>
      <c r="D839" t="s">
        <v>513</v>
      </c>
      <c r="E839" t="s">
        <v>515</v>
      </c>
    </row>
    <row r="840" spans="1:5" x14ac:dyDescent="0.35">
      <c r="A840" t="s">
        <v>3305</v>
      </c>
      <c r="B840">
        <v>0</v>
      </c>
      <c r="C840" t="s">
        <v>523</v>
      </c>
      <c r="D840" t="s">
        <v>513</v>
      </c>
      <c r="E840" t="s">
        <v>517</v>
      </c>
    </row>
    <row r="841" spans="1:5" x14ac:dyDescent="0.35">
      <c r="A841" s="2" t="s">
        <v>3306</v>
      </c>
      <c r="B841">
        <v>0</v>
      </c>
      <c r="C841" t="s">
        <v>523</v>
      </c>
      <c r="D841" t="s">
        <v>513</v>
      </c>
      <c r="E841" t="s">
        <v>515</v>
      </c>
    </row>
    <row r="842" spans="1:5" x14ac:dyDescent="0.35">
      <c r="A842" s="2" t="s">
        <v>3307</v>
      </c>
      <c r="B842">
        <v>0</v>
      </c>
      <c r="C842" t="s">
        <v>523</v>
      </c>
      <c r="D842" t="s">
        <v>513</v>
      </c>
      <c r="E842" t="s">
        <v>515</v>
      </c>
    </row>
    <row r="843" spans="1:5" x14ac:dyDescent="0.35">
      <c r="A843" s="2" t="s">
        <v>3308</v>
      </c>
      <c r="B843">
        <v>0</v>
      </c>
      <c r="C843" t="s">
        <v>523</v>
      </c>
      <c r="D843" t="s">
        <v>513</v>
      </c>
      <c r="E843" t="s">
        <v>517</v>
      </c>
    </row>
    <row r="844" spans="1:5" x14ac:dyDescent="0.35">
      <c r="A844" s="2" t="s">
        <v>3309</v>
      </c>
      <c r="B844">
        <v>0</v>
      </c>
      <c r="C844" t="s">
        <v>523</v>
      </c>
      <c r="D844" t="s">
        <v>513</v>
      </c>
      <c r="E844" t="s">
        <v>515</v>
      </c>
    </row>
    <row r="845" spans="1:5" x14ac:dyDescent="0.35">
      <c r="A845" s="2" t="s">
        <v>3310</v>
      </c>
      <c r="B845">
        <v>0</v>
      </c>
      <c r="C845" t="s">
        <v>523</v>
      </c>
      <c r="D845" t="s">
        <v>506</v>
      </c>
      <c r="E845" t="s">
        <v>515</v>
      </c>
    </row>
    <row r="846" spans="1:5" x14ac:dyDescent="0.35">
      <c r="A846" s="2" t="s">
        <v>3311</v>
      </c>
      <c r="B846">
        <v>0</v>
      </c>
      <c r="C846" t="s">
        <v>523</v>
      </c>
      <c r="D846" t="s">
        <v>506</v>
      </c>
      <c r="E846" t="s">
        <v>515</v>
      </c>
    </row>
    <row r="847" spans="1:5" x14ac:dyDescent="0.35">
      <c r="A847" s="2" t="s">
        <v>3312</v>
      </c>
      <c r="B847">
        <v>0</v>
      </c>
      <c r="C847" t="s">
        <v>523</v>
      </c>
      <c r="D847" t="s">
        <v>506</v>
      </c>
      <c r="E847" t="s">
        <v>515</v>
      </c>
    </row>
    <row r="848" spans="1:5" x14ac:dyDescent="0.35">
      <c r="A848" s="2" t="s">
        <v>3313</v>
      </c>
      <c r="B848">
        <v>0</v>
      </c>
      <c r="C848" t="s">
        <v>523</v>
      </c>
      <c r="D848" t="s">
        <v>506</v>
      </c>
      <c r="E848" t="s">
        <v>515</v>
      </c>
    </row>
    <row r="849" spans="1:5" x14ac:dyDescent="0.35">
      <c r="A849" s="2" t="s">
        <v>3457</v>
      </c>
      <c r="B849">
        <v>0</v>
      </c>
      <c r="C849" t="s">
        <v>523</v>
      </c>
      <c r="D849" t="s">
        <v>506</v>
      </c>
      <c r="E849" t="s">
        <v>515</v>
      </c>
    </row>
    <row r="850" spans="1:5" x14ac:dyDescent="0.35">
      <c r="A850" s="2" t="s">
        <v>3314</v>
      </c>
      <c r="B850">
        <v>0</v>
      </c>
      <c r="C850" t="s">
        <v>523</v>
      </c>
      <c r="D850" t="s">
        <v>506</v>
      </c>
      <c r="E850" t="s">
        <v>515</v>
      </c>
    </row>
    <row r="851" spans="1:5" x14ac:dyDescent="0.35">
      <c r="A851" s="2" t="s">
        <v>3315</v>
      </c>
      <c r="B851">
        <v>0</v>
      </c>
      <c r="C851" t="s">
        <v>523</v>
      </c>
      <c r="D851" t="s">
        <v>506</v>
      </c>
      <c r="E851" t="s">
        <v>515</v>
      </c>
    </row>
    <row r="852" spans="1:5" x14ac:dyDescent="0.35">
      <c r="A852" s="2" t="s">
        <v>3316</v>
      </c>
      <c r="B852">
        <v>0</v>
      </c>
      <c r="C852" t="s">
        <v>523</v>
      </c>
      <c r="D852" t="s">
        <v>506</v>
      </c>
      <c r="E852" t="s">
        <v>515</v>
      </c>
    </row>
    <row r="853" spans="1:5" x14ac:dyDescent="0.35">
      <c r="A853" s="2" t="s">
        <v>3317</v>
      </c>
      <c r="B853">
        <v>0</v>
      </c>
      <c r="C853" t="s">
        <v>523</v>
      </c>
      <c r="D853" t="s">
        <v>506</v>
      </c>
      <c r="E853" t="s">
        <v>515</v>
      </c>
    </row>
    <row r="854" spans="1:5" x14ac:dyDescent="0.35">
      <c r="A854" s="2" t="s">
        <v>3318</v>
      </c>
      <c r="B854">
        <v>0</v>
      </c>
      <c r="C854" t="s">
        <v>523</v>
      </c>
      <c r="D854" t="s">
        <v>506</v>
      </c>
      <c r="E854" t="s">
        <v>515</v>
      </c>
    </row>
    <row r="855" spans="1:5" x14ac:dyDescent="0.35">
      <c r="A855" s="2" t="s">
        <v>3319</v>
      </c>
      <c r="B855">
        <v>0</v>
      </c>
      <c r="C855" t="s">
        <v>523</v>
      </c>
      <c r="D855" t="s">
        <v>506</v>
      </c>
      <c r="E855" t="s">
        <v>515</v>
      </c>
    </row>
    <row r="856" spans="1:5" x14ac:dyDescent="0.35">
      <c r="A856" s="2" t="s">
        <v>3320</v>
      </c>
      <c r="B856">
        <v>0</v>
      </c>
      <c r="C856" t="s">
        <v>523</v>
      </c>
      <c r="D856" t="s">
        <v>506</v>
      </c>
      <c r="E856" t="s">
        <v>515</v>
      </c>
    </row>
    <row r="857" spans="1:5" x14ac:dyDescent="0.35">
      <c r="A857" s="2" t="s">
        <v>3452</v>
      </c>
      <c r="B857">
        <v>0</v>
      </c>
      <c r="C857" t="s">
        <v>523</v>
      </c>
      <c r="D857" t="s">
        <v>506</v>
      </c>
      <c r="E857" t="s">
        <v>515</v>
      </c>
    </row>
    <row r="858" spans="1:5" x14ac:dyDescent="0.35">
      <c r="A858" s="2" t="s">
        <v>3453</v>
      </c>
      <c r="B858">
        <v>0</v>
      </c>
      <c r="C858" t="s">
        <v>523</v>
      </c>
      <c r="D858" t="s">
        <v>506</v>
      </c>
      <c r="E858" t="s">
        <v>515</v>
      </c>
    </row>
    <row r="859" spans="1:5" x14ac:dyDescent="0.35">
      <c r="A859" s="2" t="s">
        <v>3476</v>
      </c>
      <c r="B859">
        <v>0</v>
      </c>
      <c r="C859" t="s">
        <v>523</v>
      </c>
      <c r="D859" t="s">
        <v>506</v>
      </c>
      <c r="E859" t="s">
        <v>515</v>
      </c>
    </row>
    <row r="860" spans="1:5" x14ac:dyDescent="0.35">
      <c r="A860" s="2" t="s">
        <v>3458</v>
      </c>
      <c r="B860">
        <v>0</v>
      </c>
      <c r="C860" t="s">
        <v>523</v>
      </c>
      <c r="D860" t="s">
        <v>506</v>
      </c>
      <c r="E860" t="s">
        <v>515</v>
      </c>
    </row>
    <row r="861" spans="1:5" x14ac:dyDescent="0.35">
      <c r="A861" s="2" t="s">
        <v>3321</v>
      </c>
      <c r="B861">
        <v>0</v>
      </c>
      <c r="C861" t="s">
        <v>523</v>
      </c>
      <c r="D861" t="s">
        <v>506</v>
      </c>
      <c r="E861" t="s">
        <v>515</v>
      </c>
    </row>
    <row r="862" spans="1:5" x14ac:dyDescent="0.35">
      <c r="A862" s="2" t="s">
        <v>3459</v>
      </c>
      <c r="B862">
        <v>0</v>
      </c>
      <c r="C862" t="s">
        <v>523</v>
      </c>
      <c r="D862" t="s">
        <v>506</v>
      </c>
      <c r="E862" t="s">
        <v>515</v>
      </c>
    </row>
    <row r="863" spans="1:5" x14ac:dyDescent="0.35">
      <c r="A863" t="s">
        <v>3322</v>
      </c>
      <c r="B863">
        <v>0</v>
      </c>
      <c r="C863" t="s">
        <v>523</v>
      </c>
      <c r="D863" t="s">
        <v>506</v>
      </c>
      <c r="E863" t="s">
        <v>515</v>
      </c>
    </row>
    <row r="864" spans="1:5" x14ac:dyDescent="0.35">
      <c r="A864" t="s">
        <v>3323</v>
      </c>
      <c r="B864">
        <v>0</v>
      </c>
      <c r="C864" t="s">
        <v>523</v>
      </c>
      <c r="D864" t="s">
        <v>506</v>
      </c>
      <c r="E864" t="s">
        <v>515</v>
      </c>
    </row>
    <row r="865" spans="1:5" x14ac:dyDescent="0.35">
      <c r="A865" t="s">
        <v>3324</v>
      </c>
      <c r="B865">
        <v>0</v>
      </c>
      <c r="C865" t="s">
        <v>523</v>
      </c>
      <c r="D865" t="s">
        <v>506</v>
      </c>
      <c r="E865" t="s">
        <v>515</v>
      </c>
    </row>
    <row r="866" spans="1:5" x14ac:dyDescent="0.35">
      <c r="A866" s="2" t="s">
        <v>3325</v>
      </c>
      <c r="B866">
        <v>0</v>
      </c>
      <c r="C866" t="s">
        <v>523</v>
      </c>
      <c r="D866" t="s">
        <v>506</v>
      </c>
      <c r="E866" t="s">
        <v>515</v>
      </c>
    </row>
    <row r="867" spans="1:5" x14ac:dyDescent="0.35">
      <c r="A867" t="s">
        <v>3326</v>
      </c>
      <c r="B867">
        <v>0</v>
      </c>
      <c r="C867" t="s">
        <v>523</v>
      </c>
      <c r="D867" t="s">
        <v>506</v>
      </c>
      <c r="E867" t="s">
        <v>515</v>
      </c>
    </row>
    <row r="868" spans="1:5" x14ac:dyDescent="0.35">
      <c r="A868" s="2" t="s">
        <v>3327</v>
      </c>
      <c r="B868">
        <v>0</v>
      </c>
      <c r="C868" t="s">
        <v>523</v>
      </c>
      <c r="D868" t="s">
        <v>506</v>
      </c>
      <c r="E868" t="s">
        <v>515</v>
      </c>
    </row>
    <row r="869" spans="1:5" x14ac:dyDescent="0.35">
      <c r="A869" s="2" t="s">
        <v>3328</v>
      </c>
      <c r="B869">
        <v>0</v>
      </c>
      <c r="C869" t="s">
        <v>523</v>
      </c>
      <c r="D869" t="s">
        <v>506</v>
      </c>
      <c r="E869" t="s">
        <v>515</v>
      </c>
    </row>
    <row r="870" spans="1:5" x14ac:dyDescent="0.35">
      <c r="A870" s="2" t="s">
        <v>3329</v>
      </c>
      <c r="B870">
        <v>0</v>
      </c>
      <c r="C870" t="s">
        <v>524</v>
      </c>
      <c r="D870" t="s">
        <v>509</v>
      </c>
      <c r="E870" t="s">
        <v>515</v>
      </c>
    </row>
    <row r="871" spans="1:5" x14ac:dyDescent="0.35">
      <c r="A871" s="2" t="s">
        <v>3460</v>
      </c>
      <c r="B871">
        <v>0</v>
      </c>
      <c r="C871" t="s">
        <v>523</v>
      </c>
      <c r="D871" t="s">
        <v>506</v>
      </c>
      <c r="E871" t="s">
        <v>515</v>
      </c>
    </row>
    <row r="872" spans="1:5" x14ac:dyDescent="0.35">
      <c r="A872" s="2" t="s">
        <v>3330</v>
      </c>
      <c r="B872">
        <v>0</v>
      </c>
      <c r="C872" t="s">
        <v>523</v>
      </c>
      <c r="D872" t="s">
        <v>506</v>
      </c>
      <c r="E872" t="s">
        <v>515</v>
      </c>
    </row>
    <row r="873" spans="1:5" x14ac:dyDescent="0.35">
      <c r="A873" s="2" t="s">
        <v>3331</v>
      </c>
      <c r="B873">
        <v>0</v>
      </c>
      <c r="C873" t="s">
        <v>523</v>
      </c>
      <c r="D873" t="s">
        <v>506</v>
      </c>
      <c r="E873" t="s">
        <v>515</v>
      </c>
    </row>
    <row r="874" spans="1:5" x14ac:dyDescent="0.35">
      <c r="A874" s="2" t="s">
        <v>3332</v>
      </c>
      <c r="B874">
        <v>0</v>
      </c>
      <c r="C874" t="s">
        <v>523</v>
      </c>
      <c r="D874" t="s">
        <v>506</v>
      </c>
      <c r="E874" t="s">
        <v>515</v>
      </c>
    </row>
    <row r="875" spans="1:5" x14ac:dyDescent="0.35">
      <c r="A875" s="2" t="s">
        <v>3333</v>
      </c>
      <c r="B875">
        <v>0</v>
      </c>
      <c r="C875" t="s">
        <v>523</v>
      </c>
      <c r="D875" t="s">
        <v>506</v>
      </c>
      <c r="E875" t="s">
        <v>515</v>
      </c>
    </row>
    <row r="876" spans="1:5" x14ac:dyDescent="0.35">
      <c r="A876" s="2" t="s">
        <v>3334</v>
      </c>
      <c r="B876">
        <v>0</v>
      </c>
      <c r="C876" t="s">
        <v>523</v>
      </c>
      <c r="D876" t="s">
        <v>506</v>
      </c>
      <c r="E876" t="s">
        <v>515</v>
      </c>
    </row>
    <row r="877" spans="1:5" x14ac:dyDescent="0.35">
      <c r="A877" s="2" t="s">
        <v>3335</v>
      </c>
      <c r="B877">
        <v>0</v>
      </c>
      <c r="C877" t="s">
        <v>523</v>
      </c>
      <c r="D877" t="s">
        <v>506</v>
      </c>
      <c r="E877" t="s">
        <v>515</v>
      </c>
    </row>
    <row r="878" spans="1:5" x14ac:dyDescent="0.35">
      <c r="A878" s="2" t="s">
        <v>3336</v>
      </c>
      <c r="B878">
        <v>0</v>
      </c>
      <c r="C878" t="s">
        <v>523</v>
      </c>
      <c r="D878" t="s">
        <v>506</v>
      </c>
      <c r="E878" t="s">
        <v>515</v>
      </c>
    </row>
    <row r="879" spans="1:5" x14ac:dyDescent="0.35">
      <c r="A879" s="2" t="s">
        <v>3337</v>
      </c>
      <c r="B879">
        <v>0</v>
      </c>
      <c r="C879" t="s">
        <v>523</v>
      </c>
      <c r="D879" t="s">
        <v>506</v>
      </c>
      <c r="E879" t="s">
        <v>515</v>
      </c>
    </row>
    <row r="880" spans="1:5" x14ac:dyDescent="0.35">
      <c r="A880" s="2" t="s">
        <v>3338</v>
      </c>
      <c r="B880">
        <v>0</v>
      </c>
      <c r="C880" t="s">
        <v>523</v>
      </c>
      <c r="D880" t="s">
        <v>506</v>
      </c>
      <c r="E880" t="s">
        <v>515</v>
      </c>
    </row>
    <row r="881" spans="1:5" x14ac:dyDescent="0.35">
      <c r="A881" t="s">
        <v>3339</v>
      </c>
      <c r="B881">
        <v>0</v>
      </c>
      <c r="C881" t="s">
        <v>523</v>
      </c>
      <c r="D881" t="s">
        <v>513</v>
      </c>
      <c r="E881" t="s">
        <v>515</v>
      </c>
    </row>
    <row r="882" spans="1:5" x14ac:dyDescent="0.35">
      <c r="A882" s="2" t="s">
        <v>3340</v>
      </c>
      <c r="B882">
        <v>0</v>
      </c>
      <c r="C882" t="s">
        <v>523</v>
      </c>
      <c r="D882" t="s">
        <v>513</v>
      </c>
      <c r="E882" t="s">
        <v>515</v>
      </c>
    </row>
    <row r="883" spans="1:5" x14ac:dyDescent="0.35">
      <c r="A883" s="2" t="s">
        <v>3341</v>
      </c>
      <c r="B883">
        <v>0</v>
      </c>
      <c r="C883" t="s">
        <v>523</v>
      </c>
      <c r="D883" t="s">
        <v>513</v>
      </c>
      <c r="E883" t="s">
        <v>515</v>
      </c>
    </row>
    <row r="884" spans="1:5" x14ac:dyDescent="0.35">
      <c r="A884" t="s">
        <v>3342</v>
      </c>
      <c r="B884">
        <v>0</v>
      </c>
      <c r="C884" t="s">
        <v>523</v>
      </c>
      <c r="D884" t="s">
        <v>513</v>
      </c>
      <c r="E884" t="s">
        <v>515</v>
      </c>
    </row>
    <row r="885" spans="1:5" x14ac:dyDescent="0.35">
      <c r="A885" s="2" t="s">
        <v>3343</v>
      </c>
      <c r="B885">
        <v>0</v>
      </c>
      <c r="C885" t="s">
        <v>523</v>
      </c>
      <c r="D885" t="s">
        <v>513</v>
      </c>
      <c r="E885" t="s">
        <v>515</v>
      </c>
    </row>
    <row r="886" spans="1:5" x14ac:dyDescent="0.35">
      <c r="A886" s="2" t="s">
        <v>3344</v>
      </c>
      <c r="B886">
        <v>0</v>
      </c>
      <c r="C886" t="s">
        <v>523</v>
      </c>
      <c r="D886" t="s">
        <v>513</v>
      </c>
      <c r="E886" t="s">
        <v>515</v>
      </c>
    </row>
    <row r="887" spans="1:5" x14ac:dyDescent="0.35">
      <c r="A887" s="2" t="s">
        <v>3345</v>
      </c>
      <c r="B887">
        <v>0</v>
      </c>
      <c r="C887" t="s">
        <v>523</v>
      </c>
      <c r="D887" t="s">
        <v>513</v>
      </c>
      <c r="E887" t="s">
        <v>517</v>
      </c>
    </row>
    <row r="888" spans="1:5" x14ac:dyDescent="0.35">
      <c r="A888" t="s">
        <v>3346</v>
      </c>
      <c r="B888">
        <v>0</v>
      </c>
      <c r="C888" t="s">
        <v>523</v>
      </c>
      <c r="D888" t="s">
        <v>506</v>
      </c>
      <c r="E888" t="s">
        <v>515</v>
      </c>
    </row>
    <row r="889" spans="1:5" x14ac:dyDescent="0.35">
      <c r="A889" s="2" t="s">
        <v>3347</v>
      </c>
      <c r="B889">
        <v>0</v>
      </c>
      <c r="C889" t="s">
        <v>523</v>
      </c>
      <c r="D889" t="s">
        <v>506</v>
      </c>
      <c r="E889" t="s">
        <v>515</v>
      </c>
    </row>
    <row r="890" spans="1:5" x14ac:dyDescent="0.35">
      <c r="A890" s="2" t="s">
        <v>3348</v>
      </c>
      <c r="B890">
        <v>0</v>
      </c>
      <c r="C890" t="s">
        <v>523</v>
      </c>
      <c r="D890" t="s">
        <v>513</v>
      </c>
      <c r="E890" t="s">
        <v>515</v>
      </c>
    </row>
    <row r="891" spans="1:5" x14ac:dyDescent="0.35">
      <c r="A891" s="2" t="s">
        <v>3349</v>
      </c>
      <c r="B891">
        <v>0</v>
      </c>
      <c r="C891" t="s">
        <v>523</v>
      </c>
      <c r="D891" t="s">
        <v>506</v>
      </c>
      <c r="E891" t="s">
        <v>515</v>
      </c>
    </row>
    <row r="892" spans="1:5" x14ac:dyDescent="0.35">
      <c r="A892" t="s">
        <v>3691</v>
      </c>
      <c r="B892">
        <v>0</v>
      </c>
      <c r="C892" t="s">
        <v>523</v>
      </c>
      <c r="D892" t="s">
        <v>510</v>
      </c>
      <c r="E892" t="s">
        <v>515</v>
      </c>
    </row>
    <row r="893" spans="1:5" x14ac:dyDescent="0.35">
      <c r="A893" t="s">
        <v>3350</v>
      </c>
      <c r="B893">
        <v>0</v>
      </c>
      <c r="C893" t="s">
        <v>523</v>
      </c>
      <c r="D893" t="s">
        <v>513</v>
      </c>
      <c r="E893" t="s">
        <v>515</v>
      </c>
    </row>
    <row r="894" spans="1:5" x14ac:dyDescent="0.35">
      <c r="A894" t="s">
        <v>3690</v>
      </c>
      <c r="B894">
        <v>0</v>
      </c>
      <c r="C894" t="s">
        <v>523</v>
      </c>
      <c r="D894" t="s">
        <v>510</v>
      </c>
      <c r="E894" t="s">
        <v>515</v>
      </c>
    </row>
    <row r="895" spans="1:5" x14ac:dyDescent="0.35">
      <c r="A895" s="2" t="s">
        <v>3351</v>
      </c>
      <c r="B895">
        <v>0</v>
      </c>
      <c r="C895" t="s">
        <v>524</v>
      </c>
      <c r="D895" t="s">
        <v>510</v>
      </c>
      <c r="E895" t="s">
        <v>515</v>
      </c>
    </row>
    <row r="896" spans="1:5" x14ac:dyDescent="0.35">
      <c r="A896" t="s">
        <v>3352</v>
      </c>
      <c r="B896">
        <v>0</v>
      </c>
      <c r="C896" t="s">
        <v>524</v>
      </c>
      <c r="D896" t="s">
        <v>510</v>
      </c>
      <c r="E896" t="s">
        <v>515</v>
      </c>
    </row>
    <row r="897" spans="1:5" x14ac:dyDescent="0.35">
      <c r="A897" s="2" t="s">
        <v>3353</v>
      </c>
      <c r="B897">
        <v>0</v>
      </c>
      <c r="C897" t="s">
        <v>524</v>
      </c>
      <c r="D897" t="s">
        <v>510</v>
      </c>
      <c r="E897" t="s">
        <v>515</v>
      </c>
    </row>
    <row r="898" spans="1:5" x14ac:dyDescent="0.35">
      <c r="A898" s="2" t="s">
        <v>3354</v>
      </c>
      <c r="B898">
        <v>0</v>
      </c>
      <c r="C898" t="s">
        <v>524</v>
      </c>
      <c r="D898" t="s">
        <v>510</v>
      </c>
      <c r="E898" t="s">
        <v>515</v>
      </c>
    </row>
    <row r="899" spans="1:5" x14ac:dyDescent="0.35">
      <c r="A899" s="2" t="s">
        <v>3355</v>
      </c>
      <c r="B899">
        <v>0</v>
      </c>
      <c r="C899" t="s">
        <v>524</v>
      </c>
      <c r="D899" t="s">
        <v>510</v>
      </c>
      <c r="E899" t="s">
        <v>515</v>
      </c>
    </row>
    <row r="900" spans="1:5" x14ac:dyDescent="0.35">
      <c r="A900" t="s">
        <v>3356</v>
      </c>
      <c r="B900">
        <v>0</v>
      </c>
      <c r="C900" t="s">
        <v>524</v>
      </c>
      <c r="D900" t="s">
        <v>510</v>
      </c>
      <c r="E900" t="s">
        <v>515</v>
      </c>
    </row>
    <row r="901" spans="1:5" x14ac:dyDescent="0.35">
      <c r="A901" s="2" t="s">
        <v>3357</v>
      </c>
      <c r="B901">
        <v>0</v>
      </c>
      <c r="C901" t="s">
        <v>524</v>
      </c>
      <c r="D901" t="s">
        <v>510</v>
      </c>
      <c r="E901" t="s">
        <v>515</v>
      </c>
    </row>
    <row r="902" spans="1:5" x14ac:dyDescent="0.35">
      <c r="A902" s="2" t="s">
        <v>3358</v>
      </c>
      <c r="B902">
        <v>0</v>
      </c>
      <c r="C902" t="s">
        <v>524</v>
      </c>
      <c r="D902" t="s">
        <v>510</v>
      </c>
      <c r="E902" t="s">
        <v>515</v>
      </c>
    </row>
    <row r="903" spans="1:5" x14ac:dyDescent="0.35">
      <c r="A903" s="2" t="s">
        <v>3359</v>
      </c>
      <c r="B903">
        <v>0</v>
      </c>
      <c r="C903" t="s">
        <v>524</v>
      </c>
      <c r="D903" t="s">
        <v>510</v>
      </c>
      <c r="E903" t="s">
        <v>515</v>
      </c>
    </row>
    <row r="904" spans="1:5" x14ac:dyDescent="0.35">
      <c r="A904" s="2" t="s">
        <v>3360</v>
      </c>
      <c r="B904">
        <v>0</v>
      </c>
      <c r="C904" t="s">
        <v>524</v>
      </c>
      <c r="D904" t="s">
        <v>510</v>
      </c>
      <c r="E904" t="s">
        <v>515</v>
      </c>
    </row>
    <row r="905" spans="1:5" x14ac:dyDescent="0.35">
      <c r="A905" s="2" t="s">
        <v>3361</v>
      </c>
      <c r="B905">
        <v>0</v>
      </c>
      <c r="C905" t="s">
        <v>524</v>
      </c>
      <c r="D905" t="s">
        <v>510</v>
      </c>
      <c r="E905" t="s">
        <v>515</v>
      </c>
    </row>
    <row r="906" spans="1:5" x14ac:dyDescent="0.35">
      <c r="A906" s="2" t="s">
        <v>3362</v>
      </c>
      <c r="B906">
        <v>0</v>
      </c>
      <c r="C906" t="s">
        <v>524</v>
      </c>
      <c r="D906" t="s">
        <v>510</v>
      </c>
      <c r="E906" t="s">
        <v>515</v>
      </c>
    </row>
    <row r="907" spans="1:5" x14ac:dyDescent="0.35">
      <c r="A907" s="2" t="s">
        <v>3363</v>
      </c>
      <c r="B907">
        <v>0</v>
      </c>
      <c r="C907" t="s">
        <v>524</v>
      </c>
      <c r="D907" t="s">
        <v>510</v>
      </c>
      <c r="E907" t="s">
        <v>515</v>
      </c>
    </row>
    <row r="908" spans="1:5" x14ac:dyDescent="0.35">
      <c r="A908" s="2" t="s">
        <v>3364</v>
      </c>
      <c r="B908">
        <v>0</v>
      </c>
      <c r="C908" t="s">
        <v>524</v>
      </c>
      <c r="D908" t="s">
        <v>510</v>
      </c>
      <c r="E908" t="s">
        <v>515</v>
      </c>
    </row>
    <row r="909" spans="1:5" x14ac:dyDescent="0.35">
      <c r="A909" s="2" t="s">
        <v>3365</v>
      </c>
      <c r="B909">
        <v>0</v>
      </c>
      <c r="C909" t="s">
        <v>524</v>
      </c>
      <c r="D909" t="s">
        <v>510</v>
      </c>
      <c r="E909" t="s">
        <v>515</v>
      </c>
    </row>
    <row r="910" spans="1:5" x14ac:dyDescent="0.35">
      <c r="A910" s="2" t="s">
        <v>1832</v>
      </c>
      <c r="B910">
        <v>0</v>
      </c>
      <c r="C910" t="s">
        <v>523</v>
      </c>
      <c r="D910" t="s">
        <v>512</v>
      </c>
      <c r="E910" t="s">
        <v>1833</v>
      </c>
    </row>
    <row r="911" spans="1:5" x14ac:dyDescent="0.35">
      <c r="A911" s="2" t="s">
        <v>1834</v>
      </c>
      <c r="B911">
        <v>0</v>
      </c>
      <c r="C911" t="s">
        <v>523</v>
      </c>
      <c r="D911" t="s">
        <v>512</v>
      </c>
      <c r="E911" t="s">
        <v>1833</v>
      </c>
    </row>
    <row r="912" spans="1:5" x14ac:dyDescent="0.35">
      <c r="A912" s="2" t="s">
        <v>1835</v>
      </c>
      <c r="B912">
        <v>0</v>
      </c>
      <c r="C912" t="s">
        <v>523</v>
      </c>
      <c r="D912" t="s">
        <v>512</v>
      </c>
      <c r="E912" t="s">
        <v>1833</v>
      </c>
    </row>
    <row r="913" spans="1:5" x14ac:dyDescent="0.35">
      <c r="A913" s="2" t="s">
        <v>1836</v>
      </c>
      <c r="B913">
        <v>0</v>
      </c>
      <c r="C913" t="s">
        <v>523</v>
      </c>
      <c r="D913" t="s">
        <v>512</v>
      </c>
      <c r="E913" t="s">
        <v>1833</v>
      </c>
    </row>
    <row r="914" spans="1:5" x14ac:dyDescent="0.35">
      <c r="A914" s="2" t="s">
        <v>1839</v>
      </c>
      <c r="B914">
        <v>0</v>
      </c>
      <c r="C914" t="s">
        <v>523</v>
      </c>
      <c r="D914" t="s">
        <v>512</v>
      </c>
      <c r="E914" t="s">
        <v>1833</v>
      </c>
    </row>
    <row r="915" spans="1:5" x14ac:dyDescent="0.35">
      <c r="A915" s="2" t="s">
        <v>1840</v>
      </c>
      <c r="B915">
        <v>0</v>
      </c>
      <c r="C915" t="s">
        <v>523</v>
      </c>
      <c r="D915" t="s">
        <v>512</v>
      </c>
      <c r="E915" t="s">
        <v>1833</v>
      </c>
    </row>
    <row r="916" spans="1:5" x14ac:dyDescent="0.35">
      <c r="A916" s="2" t="s">
        <v>1843</v>
      </c>
      <c r="B916">
        <v>0</v>
      </c>
      <c r="C916" t="s">
        <v>523</v>
      </c>
      <c r="D916" t="s">
        <v>512</v>
      </c>
      <c r="E916" t="s">
        <v>515</v>
      </c>
    </row>
    <row r="917" spans="1:5" x14ac:dyDescent="0.35">
      <c r="A917" s="2" t="s">
        <v>1844</v>
      </c>
      <c r="B917">
        <v>0</v>
      </c>
      <c r="C917" t="s">
        <v>523</v>
      </c>
      <c r="D917" t="s">
        <v>512</v>
      </c>
      <c r="E917" t="s">
        <v>1833</v>
      </c>
    </row>
    <row r="918" spans="1:5" x14ac:dyDescent="0.35">
      <c r="A918" s="2" t="s">
        <v>1846</v>
      </c>
      <c r="B918">
        <v>0</v>
      </c>
      <c r="C918" t="s">
        <v>523</v>
      </c>
      <c r="D918" t="s">
        <v>512</v>
      </c>
      <c r="E918" t="s">
        <v>1833</v>
      </c>
    </row>
    <row r="919" spans="1:5" x14ac:dyDescent="0.35">
      <c r="A919" s="2" t="s">
        <v>1848</v>
      </c>
      <c r="B919">
        <v>0</v>
      </c>
      <c r="C919" t="s">
        <v>523</v>
      </c>
      <c r="D919" t="s">
        <v>512</v>
      </c>
      <c r="E919" t="s">
        <v>1833</v>
      </c>
    </row>
    <row r="920" spans="1:5" x14ac:dyDescent="0.35">
      <c r="A920" s="2" t="s">
        <v>1849</v>
      </c>
      <c r="B920">
        <v>0</v>
      </c>
      <c r="C920" t="s">
        <v>523</v>
      </c>
      <c r="D920" t="s">
        <v>512</v>
      </c>
      <c r="E920" t="s">
        <v>1833</v>
      </c>
    </row>
    <row r="921" spans="1:5" x14ac:dyDescent="0.35">
      <c r="A921" s="2" t="s">
        <v>1851</v>
      </c>
      <c r="B921">
        <v>0</v>
      </c>
      <c r="C921" t="s">
        <v>523</v>
      </c>
      <c r="D921" t="s">
        <v>512</v>
      </c>
      <c r="E921" t="s">
        <v>1833</v>
      </c>
    </row>
    <row r="922" spans="1:5" x14ac:dyDescent="0.35">
      <c r="A922" s="2" t="s">
        <v>1853</v>
      </c>
      <c r="B922">
        <v>0</v>
      </c>
      <c r="C922" t="s">
        <v>523</v>
      </c>
      <c r="D922" t="s">
        <v>512</v>
      </c>
      <c r="E922" t="s">
        <v>1833</v>
      </c>
    </row>
    <row r="923" spans="1:5" x14ac:dyDescent="0.35">
      <c r="A923" s="2" t="s">
        <v>1855</v>
      </c>
      <c r="B923">
        <v>0</v>
      </c>
      <c r="C923" t="s">
        <v>523</v>
      </c>
      <c r="D923" t="s">
        <v>512</v>
      </c>
      <c r="E923" t="s">
        <v>1833</v>
      </c>
    </row>
    <row r="924" spans="1:5" x14ac:dyDescent="0.35">
      <c r="A924" s="2" t="s">
        <v>1856</v>
      </c>
      <c r="B924">
        <v>0</v>
      </c>
      <c r="C924" t="s">
        <v>523</v>
      </c>
      <c r="D924" t="s">
        <v>512</v>
      </c>
      <c r="E924" t="s">
        <v>1833</v>
      </c>
    </row>
    <row r="925" spans="1:5" x14ac:dyDescent="0.35">
      <c r="A925" s="2" t="s">
        <v>1860</v>
      </c>
      <c r="B925">
        <v>0</v>
      </c>
      <c r="C925" t="s">
        <v>523</v>
      </c>
      <c r="D925" t="s">
        <v>512</v>
      </c>
      <c r="E925" t="s">
        <v>1833</v>
      </c>
    </row>
    <row r="926" spans="1:5" x14ac:dyDescent="0.35">
      <c r="A926" s="2" t="s">
        <v>1862</v>
      </c>
      <c r="B926">
        <v>0</v>
      </c>
      <c r="C926" t="s">
        <v>523</v>
      </c>
      <c r="D926" t="s">
        <v>512</v>
      </c>
      <c r="E926" t="s">
        <v>1833</v>
      </c>
    </row>
    <row r="927" spans="1:5" x14ac:dyDescent="0.35">
      <c r="A927" s="2" t="s">
        <v>1863</v>
      </c>
      <c r="B927">
        <v>0</v>
      </c>
      <c r="C927" t="s">
        <v>523</v>
      </c>
      <c r="D927" t="s">
        <v>512</v>
      </c>
      <c r="E927" t="s">
        <v>1833</v>
      </c>
    </row>
    <row r="928" spans="1:5" x14ac:dyDescent="0.35">
      <c r="A928" s="2" t="s">
        <v>1865</v>
      </c>
      <c r="B928">
        <v>0</v>
      </c>
      <c r="C928" t="s">
        <v>523</v>
      </c>
      <c r="D928" t="s">
        <v>512</v>
      </c>
      <c r="E928" t="s">
        <v>1833</v>
      </c>
    </row>
    <row r="929" spans="1:5" x14ac:dyDescent="0.35">
      <c r="A929" t="s">
        <v>1867</v>
      </c>
      <c r="B929">
        <v>0</v>
      </c>
      <c r="C929" t="s">
        <v>523</v>
      </c>
      <c r="D929" t="s">
        <v>512</v>
      </c>
      <c r="E929" t="s">
        <v>1833</v>
      </c>
    </row>
    <row r="930" spans="1:5" x14ac:dyDescent="0.35">
      <c r="A930" t="s">
        <v>1868</v>
      </c>
      <c r="B930">
        <v>0</v>
      </c>
      <c r="C930" t="s">
        <v>523</v>
      </c>
      <c r="D930" t="s">
        <v>512</v>
      </c>
      <c r="E930" t="s">
        <v>1833</v>
      </c>
    </row>
    <row r="931" spans="1:5" x14ac:dyDescent="0.35">
      <c r="A931" s="2" t="s">
        <v>1876</v>
      </c>
      <c r="B931">
        <v>0</v>
      </c>
      <c r="C931" t="s">
        <v>523</v>
      </c>
      <c r="D931" t="s">
        <v>512</v>
      </c>
      <c r="E931" t="s">
        <v>1833</v>
      </c>
    </row>
    <row r="932" spans="1:5" x14ac:dyDescent="0.35">
      <c r="A932" s="2" t="s">
        <v>1877</v>
      </c>
      <c r="B932">
        <v>0</v>
      </c>
      <c r="C932" t="s">
        <v>523</v>
      </c>
      <c r="D932" t="s">
        <v>512</v>
      </c>
      <c r="E932" t="s">
        <v>1833</v>
      </c>
    </row>
    <row r="933" spans="1:5" x14ac:dyDescent="0.35">
      <c r="A933" s="2" t="s">
        <v>1879</v>
      </c>
      <c r="B933">
        <v>0</v>
      </c>
      <c r="C933" t="s">
        <v>523</v>
      </c>
      <c r="D933" t="s">
        <v>512</v>
      </c>
      <c r="E933" t="s">
        <v>1833</v>
      </c>
    </row>
    <row r="934" spans="1:5" x14ac:dyDescent="0.35">
      <c r="A934" s="2" t="s">
        <v>3366</v>
      </c>
      <c r="B934">
        <v>0</v>
      </c>
      <c r="C934" t="s">
        <v>523</v>
      </c>
      <c r="D934" t="s">
        <v>506</v>
      </c>
      <c r="E934" t="s">
        <v>515</v>
      </c>
    </row>
    <row r="935" spans="1:5" x14ac:dyDescent="0.35">
      <c r="A935" s="2" t="s">
        <v>3240</v>
      </c>
      <c r="B935">
        <v>0</v>
      </c>
      <c r="C935" t="s">
        <v>523</v>
      </c>
      <c r="D935" t="s">
        <v>510</v>
      </c>
      <c r="E935" t="s">
        <v>515</v>
      </c>
    </row>
    <row r="936" spans="1:5" x14ac:dyDescent="0.35">
      <c r="A936" s="2" t="s">
        <v>3367</v>
      </c>
      <c r="B936">
        <v>0</v>
      </c>
      <c r="C936" t="s">
        <v>523</v>
      </c>
      <c r="D936" t="s">
        <v>510</v>
      </c>
      <c r="E936" t="s">
        <v>515</v>
      </c>
    </row>
    <row r="937" spans="1:5" x14ac:dyDescent="0.35">
      <c r="A937" s="2" t="s">
        <v>3368</v>
      </c>
      <c r="B937">
        <v>0</v>
      </c>
      <c r="C937" t="s">
        <v>523</v>
      </c>
      <c r="D937" t="s">
        <v>510</v>
      </c>
      <c r="E937" t="s">
        <v>515</v>
      </c>
    </row>
    <row r="938" spans="1:5" x14ac:dyDescent="0.35">
      <c r="A938" s="2" t="s">
        <v>3369</v>
      </c>
      <c r="B938">
        <v>0</v>
      </c>
      <c r="C938" t="s">
        <v>523</v>
      </c>
      <c r="D938" t="s">
        <v>510</v>
      </c>
      <c r="E938" t="s">
        <v>517</v>
      </c>
    </row>
    <row r="939" spans="1:5" x14ac:dyDescent="0.35">
      <c r="A939" s="2" t="s">
        <v>3370</v>
      </c>
      <c r="B939">
        <v>0</v>
      </c>
      <c r="C939" t="s">
        <v>523</v>
      </c>
      <c r="D939" t="s">
        <v>506</v>
      </c>
      <c r="E939" t="s">
        <v>515</v>
      </c>
    </row>
    <row r="940" spans="1:5" x14ac:dyDescent="0.35">
      <c r="A940" t="s">
        <v>3371</v>
      </c>
      <c r="B940">
        <v>0</v>
      </c>
      <c r="C940" t="s">
        <v>523</v>
      </c>
      <c r="D940" t="s">
        <v>510</v>
      </c>
      <c r="E940" t="s">
        <v>519</v>
      </c>
    </row>
    <row r="941" spans="1:5" x14ac:dyDescent="0.35">
      <c r="A941" t="s">
        <v>3372</v>
      </c>
      <c r="B941">
        <v>0</v>
      </c>
      <c r="C941" t="s">
        <v>524</v>
      </c>
      <c r="D941" t="s">
        <v>513</v>
      </c>
      <c r="E941" t="s">
        <v>519</v>
      </c>
    </row>
    <row r="942" spans="1:5" x14ac:dyDescent="0.35">
      <c r="A942" s="2" t="s">
        <v>3373</v>
      </c>
      <c r="B942">
        <v>0</v>
      </c>
      <c r="C942" t="s">
        <v>523</v>
      </c>
      <c r="D942" t="s">
        <v>506</v>
      </c>
      <c r="E942" t="s">
        <v>515</v>
      </c>
    </row>
    <row r="943" spans="1:5" x14ac:dyDescent="0.35">
      <c r="A943" s="2" t="s">
        <v>3374</v>
      </c>
      <c r="B943">
        <v>0</v>
      </c>
      <c r="C943" t="s">
        <v>523</v>
      </c>
      <c r="D943" t="s">
        <v>506</v>
      </c>
      <c r="E943" t="s">
        <v>515</v>
      </c>
    </row>
    <row r="944" spans="1:5" x14ac:dyDescent="0.35">
      <c r="A944" s="2" t="s">
        <v>3375</v>
      </c>
      <c r="B944">
        <v>0</v>
      </c>
      <c r="C944" t="s">
        <v>523</v>
      </c>
      <c r="D944" t="s">
        <v>506</v>
      </c>
      <c r="E944" t="s">
        <v>515</v>
      </c>
    </row>
    <row r="945" spans="1:5" x14ac:dyDescent="0.35">
      <c r="A945" s="2" t="s">
        <v>3376</v>
      </c>
      <c r="B945">
        <v>0</v>
      </c>
      <c r="C945" t="s">
        <v>523</v>
      </c>
      <c r="D945" t="s">
        <v>506</v>
      </c>
      <c r="E945" t="s">
        <v>515</v>
      </c>
    </row>
    <row r="946" spans="1:5" x14ac:dyDescent="0.35">
      <c r="A946" s="2" t="s">
        <v>3377</v>
      </c>
      <c r="B946">
        <v>0</v>
      </c>
      <c r="C946" t="s">
        <v>523</v>
      </c>
      <c r="D946" t="s">
        <v>506</v>
      </c>
      <c r="E946" t="s">
        <v>515</v>
      </c>
    </row>
    <row r="947" spans="1:5" x14ac:dyDescent="0.35">
      <c r="A947" s="2" t="s">
        <v>3378</v>
      </c>
      <c r="B947">
        <v>0</v>
      </c>
      <c r="C947" t="s">
        <v>523</v>
      </c>
      <c r="D947" t="s">
        <v>513</v>
      </c>
      <c r="E947" t="s">
        <v>520</v>
      </c>
    </row>
    <row r="948" spans="1:5" x14ac:dyDescent="0.35">
      <c r="A948" s="2" t="s">
        <v>3379</v>
      </c>
      <c r="B948">
        <v>0</v>
      </c>
      <c r="C948" t="s">
        <v>523</v>
      </c>
      <c r="D948" t="s">
        <v>513</v>
      </c>
      <c r="E948" t="s">
        <v>515</v>
      </c>
    </row>
    <row r="949" spans="1:5" x14ac:dyDescent="0.35">
      <c r="A949" s="2" t="s">
        <v>3380</v>
      </c>
      <c r="B949">
        <v>0</v>
      </c>
      <c r="C949" t="s">
        <v>523</v>
      </c>
      <c r="D949" t="s">
        <v>513</v>
      </c>
      <c r="E949" t="s">
        <v>515</v>
      </c>
    </row>
    <row r="950" spans="1:5" x14ac:dyDescent="0.35">
      <c r="A950" s="2" t="s">
        <v>3381</v>
      </c>
      <c r="B950">
        <v>0</v>
      </c>
      <c r="C950" t="s">
        <v>523</v>
      </c>
      <c r="D950" t="s">
        <v>506</v>
      </c>
      <c r="E950" t="s">
        <v>515</v>
      </c>
    </row>
    <row r="951" spans="1:5" x14ac:dyDescent="0.35">
      <c r="A951" s="2" t="s">
        <v>3382</v>
      </c>
      <c r="B951">
        <v>0</v>
      </c>
      <c r="C951" t="s">
        <v>523</v>
      </c>
      <c r="D951" t="s">
        <v>506</v>
      </c>
      <c r="E951" t="s">
        <v>515</v>
      </c>
    </row>
    <row r="952" spans="1:5" x14ac:dyDescent="0.35">
      <c r="A952" s="2" t="s">
        <v>3383</v>
      </c>
      <c r="B952">
        <v>0</v>
      </c>
      <c r="C952" t="s">
        <v>523</v>
      </c>
      <c r="D952" t="s">
        <v>506</v>
      </c>
      <c r="E952" t="s">
        <v>515</v>
      </c>
    </row>
    <row r="953" spans="1:5" x14ac:dyDescent="0.35">
      <c r="A953" s="2" t="s">
        <v>3384</v>
      </c>
      <c r="B953">
        <v>0</v>
      </c>
      <c r="C953" t="s">
        <v>523</v>
      </c>
      <c r="D953" t="s">
        <v>506</v>
      </c>
      <c r="E953" t="s">
        <v>515</v>
      </c>
    </row>
    <row r="954" spans="1:5" x14ac:dyDescent="0.35">
      <c r="A954" s="2" t="s">
        <v>3385</v>
      </c>
      <c r="B954">
        <v>0</v>
      </c>
      <c r="C954" t="s">
        <v>523</v>
      </c>
      <c r="D954" t="s">
        <v>506</v>
      </c>
      <c r="E954" t="s">
        <v>515</v>
      </c>
    </row>
    <row r="955" spans="1:5" x14ac:dyDescent="0.35">
      <c r="A955" s="2" t="s">
        <v>3386</v>
      </c>
      <c r="B955">
        <v>0</v>
      </c>
      <c r="C955" t="s">
        <v>523</v>
      </c>
      <c r="D955" t="s">
        <v>506</v>
      </c>
      <c r="E955" t="s">
        <v>515</v>
      </c>
    </row>
    <row r="956" spans="1:5" x14ac:dyDescent="0.35">
      <c r="A956" t="s">
        <v>3387</v>
      </c>
      <c r="B956">
        <v>0</v>
      </c>
      <c r="C956" t="s">
        <v>523</v>
      </c>
      <c r="D956" t="s">
        <v>506</v>
      </c>
      <c r="E956" t="s">
        <v>515</v>
      </c>
    </row>
    <row r="957" spans="1:5" x14ac:dyDescent="0.35">
      <c r="A957" s="2" t="s">
        <v>3477</v>
      </c>
      <c r="B957">
        <v>0</v>
      </c>
      <c r="C957" t="s">
        <v>523</v>
      </c>
      <c r="D957" t="s">
        <v>506</v>
      </c>
      <c r="E957" t="s">
        <v>515</v>
      </c>
    </row>
    <row r="958" spans="1:5" x14ac:dyDescent="0.35">
      <c r="A958" s="2" t="s">
        <v>3388</v>
      </c>
      <c r="B958">
        <v>0</v>
      </c>
      <c r="C958" t="s">
        <v>523</v>
      </c>
      <c r="D958" t="s">
        <v>513</v>
      </c>
      <c r="E958" t="s">
        <v>515</v>
      </c>
    </row>
    <row r="959" spans="1:5" x14ac:dyDescent="0.35">
      <c r="A959" s="2" t="s">
        <v>3389</v>
      </c>
      <c r="B959">
        <v>0</v>
      </c>
      <c r="C959" t="s">
        <v>523</v>
      </c>
      <c r="D959" t="s">
        <v>513</v>
      </c>
      <c r="E959" t="s">
        <v>515</v>
      </c>
    </row>
    <row r="960" spans="1:5" x14ac:dyDescent="0.35">
      <c r="A960" s="2" t="s">
        <v>3390</v>
      </c>
      <c r="B960">
        <v>0</v>
      </c>
      <c r="C960" t="s">
        <v>523</v>
      </c>
      <c r="D960" t="s">
        <v>513</v>
      </c>
      <c r="E960" t="s">
        <v>517</v>
      </c>
    </row>
    <row r="961" spans="1:5" x14ac:dyDescent="0.35">
      <c r="A961" s="2" t="s">
        <v>3391</v>
      </c>
      <c r="B961">
        <v>0</v>
      </c>
      <c r="C961" t="s">
        <v>523</v>
      </c>
      <c r="D961" t="s">
        <v>506</v>
      </c>
      <c r="E961" t="s">
        <v>515</v>
      </c>
    </row>
    <row r="962" spans="1:5" x14ac:dyDescent="0.35">
      <c r="A962" s="2" t="s">
        <v>3392</v>
      </c>
      <c r="B962">
        <v>0</v>
      </c>
      <c r="C962" t="s">
        <v>523</v>
      </c>
      <c r="D962" t="s">
        <v>510</v>
      </c>
      <c r="E962" t="s">
        <v>515</v>
      </c>
    </row>
    <row r="963" spans="1:5" x14ac:dyDescent="0.35">
      <c r="A963" s="2" t="s">
        <v>1915</v>
      </c>
      <c r="B963">
        <v>0</v>
      </c>
      <c r="C963" t="s">
        <v>523</v>
      </c>
      <c r="D963" t="s">
        <v>512</v>
      </c>
      <c r="E963" t="s">
        <v>1833</v>
      </c>
    </row>
    <row r="964" spans="1:5" x14ac:dyDescent="0.35">
      <c r="A964" s="2" t="s">
        <v>1916</v>
      </c>
      <c r="B964">
        <v>0</v>
      </c>
      <c r="C964" t="s">
        <v>523</v>
      </c>
      <c r="D964" t="s">
        <v>512</v>
      </c>
      <c r="E964" t="s">
        <v>1833</v>
      </c>
    </row>
    <row r="965" spans="1:5" x14ac:dyDescent="0.35">
      <c r="A965" s="2" t="s">
        <v>3393</v>
      </c>
      <c r="B965">
        <v>0</v>
      </c>
      <c r="C965" t="s">
        <v>523</v>
      </c>
      <c r="D965" t="s">
        <v>513</v>
      </c>
      <c r="E965" t="s">
        <v>515</v>
      </c>
    </row>
    <row r="966" spans="1:5" x14ac:dyDescent="0.35">
      <c r="A966" s="2" t="s">
        <v>3394</v>
      </c>
      <c r="B966">
        <v>0</v>
      </c>
      <c r="C966" t="s">
        <v>523</v>
      </c>
      <c r="D966" t="s">
        <v>513</v>
      </c>
      <c r="E966" t="s">
        <v>515</v>
      </c>
    </row>
    <row r="967" spans="1:5" x14ac:dyDescent="0.35">
      <c r="A967" s="2" t="s">
        <v>3395</v>
      </c>
      <c r="B967">
        <v>0</v>
      </c>
      <c r="C967" t="s">
        <v>523</v>
      </c>
      <c r="D967" t="s">
        <v>513</v>
      </c>
      <c r="E967" t="s">
        <v>515</v>
      </c>
    </row>
    <row r="968" spans="1:5" x14ac:dyDescent="0.35">
      <c r="A968" s="2" t="s">
        <v>3396</v>
      </c>
      <c r="B968">
        <v>0</v>
      </c>
      <c r="C968" t="s">
        <v>523</v>
      </c>
      <c r="D968" t="s">
        <v>506</v>
      </c>
      <c r="E968" t="s">
        <v>515</v>
      </c>
    </row>
    <row r="969" spans="1:5" x14ac:dyDescent="0.35">
      <c r="A969" s="2" t="s">
        <v>3397</v>
      </c>
      <c r="B969">
        <v>0</v>
      </c>
      <c r="C969" t="s">
        <v>523</v>
      </c>
      <c r="D969" t="s">
        <v>506</v>
      </c>
      <c r="E969" t="s">
        <v>515</v>
      </c>
    </row>
    <row r="970" spans="1:5" x14ac:dyDescent="0.35">
      <c r="A970" s="2" t="s">
        <v>3398</v>
      </c>
      <c r="B970">
        <v>0</v>
      </c>
      <c r="C970" t="s">
        <v>523</v>
      </c>
      <c r="D970" t="s">
        <v>513</v>
      </c>
      <c r="E970" t="s">
        <v>515</v>
      </c>
    </row>
    <row r="971" spans="1:5" x14ac:dyDescent="0.35">
      <c r="A971" t="s">
        <v>3399</v>
      </c>
      <c r="B971">
        <v>0</v>
      </c>
      <c r="C971" t="s">
        <v>523</v>
      </c>
      <c r="D971" t="s">
        <v>507</v>
      </c>
      <c r="E971" t="s">
        <v>517</v>
      </c>
    </row>
    <row r="972" spans="1:5" x14ac:dyDescent="0.35">
      <c r="A972" s="2" t="s">
        <v>3400</v>
      </c>
      <c r="B972">
        <v>0</v>
      </c>
      <c r="C972" t="s">
        <v>523</v>
      </c>
      <c r="D972" t="s">
        <v>513</v>
      </c>
      <c r="E972" t="s">
        <v>517</v>
      </c>
    </row>
    <row r="973" spans="1:5" x14ac:dyDescent="0.35">
      <c r="A973" s="2" t="s">
        <v>3401</v>
      </c>
      <c r="B973">
        <v>0</v>
      </c>
      <c r="C973" t="s">
        <v>523</v>
      </c>
      <c r="D973" t="s">
        <v>513</v>
      </c>
      <c r="E973" t="s">
        <v>517</v>
      </c>
    </row>
    <row r="974" spans="1:5" x14ac:dyDescent="0.35">
      <c r="A974" s="2" t="s">
        <v>3402</v>
      </c>
      <c r="B974">
        <v>0</v>
      </c>
      <c r="C974" t="s">
        <v>523</v>
      </c>
      <c r="D974" t="s">
        <v>510</v>
      </c>
      <c r="E974" t="s">
        <v>515</v>
      </c>
    </row>
    <row r="975" spans="1:5" x14ac:dyDescent="0.35">
      <c r="A975" s="2" t="s">
        <v>3403</v>
      </c>
      <c r="B975">
        <v>0</v>
      </c>
      <c r="C975" t="s">
        <v>523</v>
      </c>
      <c r="D975" t="s">
        <v>513</v>
      </c>
      <c r="E975" t="s">
        <v>520</v>
      </c>
    </row>
    <row r="976" spans="1:5" x14ac:dyDescent="0.35">
      <c r="A976" s="2" t="s">
        <v>3404</v>
      </c>
      <c r="B976">
        <v>0</v>
      </c>
      <c r="C976" t="s">
        <v>523</v>
      </c>
      <c r="D976" t="s">
        <v>513</v>
      </c>
      <c r="E976" t="s">
        <v>520</v>
      </c>
    </row>
    <row r="977" spans="1:5" x14ac:dyDescent="0.35">
      <c r="A977" s="2" t="s">
        <v>3405</v>
      </c>
      <c r="B977">
        <v>0</v>
      </c>
      <c r="C977" t="s">
        <v>523</v>
      </c>
      <c r="D977" t="s">
        <v>506</v>
      </c>
      <c r="E977" t="s">
        <v>515</v>
      </c>
    </row>
    <row r="978" spans="1:5" x14ac:dyDescent="0.35">
      <c r="A978" s="2" t="s">
        <v>3406</v>
      </c>
      <c r="B978">
        <v>0</v>
      </c>
      <c r="C978" t="s">
        <v>525</v>
      </c>
      <c r="D978" t="s">
        <v>510</v>
      </c>
      <c r="E978" t="s">
        <v>519</v>
      </c>
    </row>
    <row r="979" spans="1:5" x14ac:dyDescent="0.35">
      <c r="A979" s="2" t="s">
        <v>3407</v>
      </c>
      <c r="B979">
        <v>0</v>
      </c>
      <c r="C979" t="s">
        <v>523</v>
      </c>
      <c r="D979" t="s">
        <v>506</v>
      </c>
      <c r="E979" t="s">
        <v>515</v>
      </c>
    </row>
    <row r="980" spans="1:5" x14ac:dyDescent="0.35">
      <c r="A980" s="2" t="s">
        <v>3408</v>
      </c>
      <c r="B980">
        <v>0</v>
      </c>
      <c r="C980" t="s">
        <v>523</v>
      </c>
      <c r="D980" t="s">
        <v>510</v>
      </c>
      <c r="E980" t="s">
        <v>515</v>
      </c>
    </row>
    <row r="981" spans="1:5" x14ac:dyDescent="0.35">
      <c r="A981" s="2" t="s">
        <v>3409</v>
      </c>
      <c r="B981">
        <v>0</v>
      </c>
      <c r="C981" t="s">
        <v>523</v>
      </c>
      <c r="D981" t="s">
        <v>506</v>
      </c>
      <c r="E981" t="s">
        <v>515</v>
      </c>
    </row>
    <row r="982" spans="1:5" x14ac:dyDescent="0.35">
      <c r="A982" s="2" t="s">
        <v>3410</v>
      </c>
      <c r="B982">
        <v>0</v>
      </c>
      <c r="C982" t="s">
        <v>523</v>
      </c>
      <c r="D982" t="s">
        <v>506</v>
      </c>
      <c r="E982" t="s">
        <v>515</v>
      </c>
    </row>
    <row r="983" spans="1:5" x14ac:dyDescent="0.35">
      <c r="A983" s="2" t="s">
        <v>3411</v>
      </c>
      <c r="B983">
        <v>0</v>
      </c>
      <c r="C983" t="s">
        <v>523</v>
      </c>
      <c r="D983" t="s">
        <v>506</v>
      </c>
      <c r="E983" t="s">
        <v>515</v>
      </c>
    </row>
    <row r="984" spans="1:5" x14ac:dyDescent="0.35">
      <c r="A984" s="2" t="s">
        <v>3412</v>
      </c>
      <c r="B984">
        <v>0</v>
      </c>
      <c r="C984" t="s">
        <v>523</v>
      </c>
      <c r="D984" t="s">
        <v>506</v>
      </c>
      <c r="E984" t="s">
        <v>515</v>
      </c>
    </row>
    <row r="985" spans="1:5" x14ac:dyDescent="0.35">
      <c r="A985" s="2" t="s">
        <v>3413</v>
      </c>
      <c r="B985">
        <v>0</v>
      </c>
      <c r="C985" t="s">
        <v>523</v>
      </c>
      <c r="D985" t="s">
        <v>510</v>
      </c>
      <c r="E985" t="s">
        <v>519</v>
      </c>
    </row>
    <row r="986" spans="1:5" x14ac:dyDescent="0.35">
      <c r="A986" s="2" t="s">
        <v>3414</v>
      </c>
      <c r="B986">
        <v>0</v>
      </c>
      <c r="C986" t="s">
        <v>523</v>
      </c>
      <c r="D986" t="s">
        <v>506</v>
      </c>
      <c r="E986" t="s">
        <v>515</v>
      </c>
    </row>
    <row r="987" spans="1:5" x14ac:dyDescent="0.35">
      <c r="A987" s="2" t="s">
        <v>3415</v>
      </c>
      <c r="B987">
        <v>0</v>
      </c>
      <c r="C987" t="s">
        <v>523</v>
      </c>
      <c r="D987" t="s">
        <v>510</v>
      </c>
      <c r="E987" t="s">
        <v>519</v>
      </c>
    </row>
    <row r="988" spans="1:5" x14ac:dyDescent="0.35">
      <c r="A988" s="2" t="s">
        <v>3416</v>
      </c>
      <c r="B988">
        <v>0</v>
      </c>
      <c r="C988" t="s">
        <v>523</v>
      </c>
      <c r="D988" t="s">
        <v>506</v>
      </c>
      <c r="E988" t="s">
        <v>515</v>
      </c>
    </row>
    <row r="989" spans="1:5" x14ac:dyDescent="0.35">
      <c r="A989" s="2" t="s">
        <v>3417</v>
      </c>
      <c r="B989">
        <v>0</v>
      </c>
      <c r="C989" t="s">
        <v>523</v>
      </c>
      <c r="D989" t="s">
        <v>513</v>
      </c>
      <c r="E989" t="s">
        <v>519</v>
      </c>
    </row>
    <row r="990" spans="1:5" x14ac:dyDescent="0.35">
      <c r="A990" s="2" t="s">
        <v>3418</v>
      </c>
      <c r="B990">
        <v>0</v>
      </c>
      <c r="C990" t="s">
        <v>523</v>
      </c>
      <c r="D990" t="s">
        <v>510</v>
      </c>
      <c r="E990" t="s">
        <v>521</v>
      </c>
    </row>
    <row r="991" spans="1:5" x14ac:dyDescent="0.35">
      <c r="A991" s="2" t="s">
        <v>3419</v>
      </c>
      <c r="B991">
        <v>0</v>
      </c>
      <c r="C991" t="s">
        <v>523</v>
      </c>
      <c r="D991" t="s">
        <v>510</v>
      </c>
      <c r="E991" t="s">
        <v>521</v>
      </c>
    </row>
    <row r="992" spans="1:5" x14ac:dyDescent="0.35">
      <c r="A992" s="2" t="s">
        <v>3420</v>
      </c>
      <c r="B992">
        <v>0</v>
      </c>
      <c r="C992" t="s">
        <v>523</v>
      </c>
      <c r="D992" t="s">
        <v>505</v>
      </c>
      <c r="E992" t="s">
        <v>517</v>
      </c>
    </row>
    <row r="993" spans="1:5" x14ac:dyDescent="0.35">
      <c r="A993" s="2" t="s">
        <v>3421</v>
      </c>
      <c r="B993">
        <v>0</v>
      </c>
      <c r="C993" t="s">
        <v>523</v>
      </c>
      <c r="D993" t="s">
        <v>506</v>
      </c>
      <c r="E993" t="s">
        <v>515</v>
      </c>
    </row>
    <row r="994" spans="1:5" x14ac:dyDescent="0.35">
      <c r="A994" s="2" t="s">
        <v>3422</v>
      </c>
      <c r="B994">
        <v>0</v>
      </c>
      <c r="C994" t="s">
        <v>523</v>
      </c>
      <c r="D994" t="s">
        <v>510</v>
      </c>
      <c r="E994" t="s">
        <v>518</v>
      </c>
    </row>
    <row r="995" spans="1:5" x14ac:dyDescent="0.35">
      <c r="A995" t="s">
        <v>3423</v>
      </c>
      <c r="B995">
        <v>0</v>
      </c>
      <c r="C995" t="s">
        <v>523</v>
      </c>
      <c r="D995" t="s">
        <v>506</v>
      </c>
      <c r="E995" t="s">
        <v>515</v>
      </c>
    </row>
    <row r="996" spans="1:5" x14ac:dyDescent="0.35">
      <c r="A996" s="2" t="s">
        <v>3424</v>
      </c>
      <c r="B996">
        <v>0</v>
      </c>
      <c r="C996" t="s">
        <v>523</v>
      </c>
      <c r="D996" t="s">
        <v>506</v>
      </c>
      <c r="E996" t="s">
        <v>515</v>
      </c>
    </row>
    <row r="997" spans="1:5" x14ac:dyDescent="0.35">
      <c r="A997" s="2" t="s">
        <v>3425</v>
      </c>
      <c r="B997">
        <v>0</v>
      </c>
      <c r="C997" t="s">
        <v>523</v>
      </c>
      <c r="D997" t="s">
        <v>506</v>
      </c>
      <c r="E997" t="s">
        <v>515</v>
      </c>
    </row>
    <row r="998" spans="1:5" x14ac:dyDescent="0.35">
      <c r="A998" s="2" t="s">
        <v>3426</v>
      </c>
      <c r="B998">
        <v>0</v>
      </c>
      <c r="C998" t="s">
        <v>523</v>
      </c>
      <c r="D998" t="s">
        <v>506</v>
      </c>
      <c r="E998" t="s">
        <v>515</v>
      </c>
    </row>
    <row r="999" spans="1:5" x14ac:dyDescent="0.35">
      <c r="A999" s="2" t="s">
        <v>3427</v>
      </c>
      <c r="B999">
        <v>0</v>
      </c>
      <c r="C999" t="s">
        <v>523</v>
      </c>
      <c r="D999" t="s">
        <v>506</v>
      </c>
      <c r="E999" t="s">
        <v>515</v>
      </c>
    </row>
    <row r="1000" spans="1:5" x14ac:dyDescent="0.35">
      <c r="A1000" s="2" t="s">
        <v>3428</v>
      </c>
      <c r="B1000">
        <v>0</v>
      </c>
      <c r="C1000" t="s">
        <v>523</v>
      </c>
      <c r="D1000" t="s">
        <v>506</v>
      </c>
      <c r="E1000" t="s">
        <v>515</v>
      </c>
    </row>
    <row r="1001" spans="1:5" x14ac:dyDescent="0.35">
      <c r="A1001" s="2" t="s">
        <v>3429</v>
      </c>
      <c r="B1001">
        <v>0</v>
      </c>
      <c r="C1001" t="s">
        <v>523</v>
      </c>
      <c r="D1001" t="s">
        <v>510</v>
      </c>
      <c r="E1001" t="s">
        <v>518</v>
      </c>
    </row>
    <row r="1002" spans="1:5" x14ac:dyDescent="0.35">
      <c r="A1002" s="2" t="s">
        <v>3430</v>
      </c>
      <c r="B1002">
        <v>0</v>
      </c>
      <c r="C1002" t="s">
        <v>524</v>
      </c>
      <c r="D1002" t="s">
        <v>505</v>
      </c>
      <c r="E1002" t="s">
        <v>516</v>
      </c>
    </row>
    <row r="1003" spans="1:5" x14ac:dyDescent="0.35">
      <c r="A1003" s="2" t="s">
        <v>3431</v>
      </c>
      <c r="B1003">
        <v>0</v>
      </c>
      <c r="C1003" t="s">
        <v>523</v>
      </c>
      <c r="D1003" t="s">
        <v>506</v>
      </c>
      <c r="E1003" t="s">
        <v>515</v>
      </c>
    </row>
    <row r="1004" spans="1:5" x14ac:dyDescent="0.35">
      <c r="A1004" s="2" t="s">
        <v>3432</v>
      </c>
      <c r="B1004">
        <v>0</v>
      </c>
      <c r="C1004" t="s">
        <v>523</v>
      </c>
      <c r="D1004" t="s">
        <v>506</v>
      </c>
      <c r="E1004" t="s">
        <v>515</v>
      </c>
    </row>
    <row r="1005" spans="1:5" x14ac:dyDescent="0.35">
      <c r="A1005" s="2" t="s">
        <v>3433</v>
      </c>
      <c r="B1005">
        <v>0</v>
      </c>
      <c r="C1005" t="s">
        <v>523</v>
      </c>
      <c r="D1005" t="s">
        <v>506</v>
      </c>
      <c r="E1005" t="s">
        <v>515</v>
      </c>
    </row>
    <row r="1006" spans="1:5" x14ac:dyDescent="0.35">
      <c r="A1006" s="2" t="s">
        <v>3434</v>
      </c>
      <c r="B1006">
        <v>0</v>
      </c>
      <c r="C1006" t="s">
        <v>523</v>
      </c>
      <c r="D1006" t="s">
        <v>506</v>
      </c>
      <c r="E1006" t="s">
        <v>515</v>
      </c>
    </row>
    <row r="1007" spans="1:5" x14ac:dyDescent="0.35">
      <c r="A1007" s="2" t="s">
        <v>3435</v>
      </c>
      <c r="B1007">
        <v>0</v>
      </c>
      <c r="C1007" t="s">
        <v>523</v>
      </c>
      <c r="D1007" t="s">
        <v>506</v>
      </c>
      <c r="E1007" t="s">
        <v>515</v>
      </c>
    </row>
    <row r="1008" spans="1:5" x14ac:dyDescent="0.35">
      <c r="A1008" s="2" t="s">
        <v>3436</v>
      </c>
      <c r="B1008">
        <v>0</v>
      </c>
      <c r="C1008" t="s">
        <v>523</v>
      </c>
      <c r="D1008" t="s">
        <v>506</v>
      </c>
      <c r="E1008" t="s">
        <v>515</v>
      </c>
    </row>
    <row r="1009" spans="1:5" x14ac:dyDescent="0.35">
      <c r="A1009" s="2" t="s">
        <v>3437</v>
      </c>
      <c r="B1009">
        <v>0</v>
      </c>
      <c r="C1009" t="s">
        <v>523</v>
      </c>
      <c r="D1009" t="s">
        <v>506</v>
      </c>
      <c r="E1009" t="s">
        <v>515</v>
      </c>
    </row>
    <row r="1010" spans="1:5" x14ac:dyDescent="0.35">
      <c r="A1010" s="2" t="s">
        <v>3438</v>
      </c>
      <c r="B1010">
        <v>0</v>
      </c>
      <c r="C1010" t="s">
        <v>523</v>
      </c>
      <c r="D1010" t="s">
        <v>506</v>
      </c>
      <c r="E1010" t="s">
        <v>515</v>
      </c>
    </row>
    <row r="1011" spans="1:5" x14ac:dyDescent="0.35">
      <c r="A1011" t="s">
        <v>3487</v>
      </c>
      <c r="B1011">
        <v>0</v>
      </c>
      <c r="C1011" t="s">
        <v>523</v>
      </c>
      <c r="D1011" t="s">
        <v>506</v>
      </c>
      <c r="E1011" t="s">
        <v>515</v>
      </c>
    </row>
    <row r="1012" spans="1:5" x14ac:dyDescent="0.35">
      <c r="A1012" s="2" t="s">
        <v>3479</v>
      </c>
      <c r="B1012">
        <v>0</v>
      </c>
      <c r="C1012" t="s">
        <v>523</v>
      </c>
      <c r="D1012" t="s">
        <v>506</v>
      </c>
      <c r="E1012" t="s">
        <v>515</v>
      </c>
    </row>
    <row r="1013" spans="1:5" x14ac:dyDescent="0.35">
      <c r="A1013" s="2" t="s">
        <v>3491</v>
      </c>
      <c r="B1013">
        <v>0</v>
      </c>
      <c r="C1013" t="s">
        <v>523</v>
      </c>
      <c r="D1013" t="s">
        <v>506</v>
      </c>
      <c r="E1013" t="s">
        <v>515</v>
      </c>
    </row>
    <row r="1014" spans="1:5" x14ac:dyDescent="0.35">
      <c r="A1014" s="2" t="s">
        <v>3494</v>
      </c>
      <c r="B1014">
        <v>0</v>
      </c>
      <c r="C1014" t="s">
        <v>523</v>
      </c>
      <c r="D1014" t="s">
        <v>506</v>
      </c>
      <c r="E1014" t="s">
        <v>515</v>
      </c>
    </row>
    <row r="1015" spans="1:5" x14ac:dyDescent="0.35">
      <c r="A1015" t="s">
        <v>3499</v>
      </c>
      <c r="B1015">
        <v>0</v>
      </c>
      <c r="C1015" t="s">
        <v>523</v>
      </c>
      <c r="D1015" t="s">
        <v>506</v>
      </c>
      <c r="E1015" t="s">
        <v>515</v>
      </c>
    </row>
    <row r="1016" spans="1:5" x14ac:dyDescent="0.35">
      <c r="A1016" s="2" t="s">
        <v>3492</v>
      </c>
      <c r="B1016">
        <v>0</v>
      </c>
      <c r="C1016" t="s">
        <v>523</v>
      </c>
      <c r="D1016" t="s">
        <v>506</v>
      </c>
      <c r="E1016" t="s">
        <v>515</v>
      </c>
    </row>
    <row r="1017" spans="1:5" x14ac:dyDescent="0.35">
      <c r="A1017" s="2" t="s">
        <v>3502</v>
      </c>
      <c r="B1017">
        <v>0</v>
      </c>
      <c r="C1017" t="s">
        <v>523</v>
      </c>
      <c r="D1017" t="s">
        <v>506</v>
      </c>
      <c r="E1017" t="s">
        <v>515</v>
      </c>
    </row>
    <row r="1018" spans="1:5" x14ac:dyDescent="0.35">
      <c r="A1018" s="2" t="s">
        <v>3703</v>
      </c>
      <c r="B1018">
        <v>0</v>
      </c>
      <c r="C1018" t="s">
        <v>523</v>
      </c>
      <c r="D1018" t="s">
        <v>513</v>
      </c>
      <c r="E1018" t="s">
        <v>518</v>
      </c>
    </row>
    <row r="1019" spans="1:5" x14ac:dyDescent="0.35">
      <c r="A1019" s="2" t="s">
        <v>3558</v>
      </c>
      <c r="B1019">
        <v>0</v>
      </c>
      <c r="C1019" t="s">
        <v>523</v>
      </c>
      <c r="D1019" t="s">
        <v>510</v>
      </c>
      <c r="E1019" t="s">
        <v>517</v>
      </c>
    </row>
    <row r="1020" spans="1:5" x14ac:dyDescent="0.35">
      <c r="A1020" s="2" t="s">
        <v>3561</v>
      </c>
      <c r="B1020">
        <v>0</v>
      </c>
      <c r="C1020" t="s">
        <v>523</v>
      </c>
      <c r="D1020" t="s">
        <v>513</v>
      </c>
      <c r="E1020" t="s">
        <v>517</v>
      </c>
    </row>
    <row r="1021" spans="1:5" x14ac:dyDescent="0.35">
      <c r="A1021" s="2" t="s">
        <v>3570</v>
      </c>
      <c r="B1021">
        <v>0</v>
      </c>
      <c r="C1021" t="s">
        <v>523</v>
      </c>
      <c r="D1021" t="s">
        <v>512</v>
      </c>
      <c r="E1021" t="s">
        <v>515</v>
      </c>
    </row>
    <row r="1022" spans="1:5" x14ac:dyDescent="0.35">
      <c r="A1022" s="2" t="s">
        <v>3575</v>
      </c>
      <c r="B1022">
        <v>0</v>
      </c>
      <c r="C1022" t="s">
        <v>523</v>
      </c>
      <c r="D1022" t="s">
        <v>512</v>
      </c>
      <c r="E1022" t="s">
        <v>515</v>
      </c>
    </row>
    <row r="1023" spans="1:5" x14ac:dyDescent="0.35">
      <c r="A1023" s="2" t="s">
        <v>3574</v>
      </c>
      <c r="B1023">
        <v>0</v>
      </c>
      <c r="C1023" t="s">
        <v>523</v>
      </c>
      <c r="D1023" t="s">
        <v>512</v>
      </c>
      <c r="E1023" t="s">
        <v>515</v>
      </c>
    </row>
    <row r="1024" spans="1:5" x14ac:dyDescent="0.35">
      <c r="A1024" s="2" t="s">
        <v>3581</v>
      </c>
      <c r="B1024">
        <v>0</v>
      </c>
      <c r="C1024" t="s">
        <v>523</v>
      </c>
      <c r="D1024" t="s">
        <v>512</v>
      </c>
      <c r="E1024" t="s">
        <v>515</v>
      </c>
    </row>
    <row r="1025" spans="1:5" x14ac:dyDescent="0.35">
      <c r="A1025" s="2" t="s">
        <v>3583</v>
      </c>
      <c r="B1025">
        <v>0</v>
      </c>
      <c r="C1025" t="s">
        <v>523</v>
      </c>
      <c r="D1025" t="s">
        <v>506</v>
      </c>
      <c r="E1025" t="s">
        <v>515</v>
      </c>
    </row>
    <row r="1026" spans="1:5" x14ac:dyDescent="0.35">
      <c r="A1026" s="2" t="s">
        <v>3586</v>
      </c>
      <c r="B1026">
        <v>0</v>
      </c>
      <c r="C1026" t="s">
        <v>523</v>
      </c>
      <c r="D1026" t="s">
        <v>507</v>
      </c>
      <c r="E1026" t="s">
        <v>518</v>
      </c>
    </row>
    <row r="1027" spans="1:5" x14ac:dyDescent="0.35">
      <c r="A1027" s="2" t="s">
        <v>3591</v>
      </c>
      <c r="B1027">
        <v>0</v>
      </c>
      <c r="C1027" t="s">
        <v>523</v>
      </c>
      <c r="D1027" t="s">
        <v>510</v>
      </c>
      <c r="E1027" t="s">
        <v>515</v>
      </c>
    </row>
    <row r="1028" spans="1:5" x14ac:dyDescent="0.35">
      <c r="A1028" s="2" t="s">
        <v>3592</v>
      </c>
      <c r="B1028">
        <v>0</v>
      </c>
      <c r="C1028" t="s">
        <v>523</v>
      </c>
      <c r="D1028" t="s">
        <v>510</v>
      </c>
      <c r="E1028" t="s">
        <v>515</v>
      </c>
    </row>
    <row r="1029" spans="1:5" x14ac:dyDescent="0.35">
      <c r="A1029" s="2" t="s">
        <v>3596</v>
      </c>
      <c r="B1029">
        <v>0</v>
      </c>
      <c r="C1029" t="s">
        <v>523</v>
      </c>
      <c r="D1029" t="s">
        <v>506</v>
      </c>
      <c r="E1029" t="s">
        <v>515</v>
      </c>
    </row>
    <row r="1030" spans="1:5" x14ac:dyDescent="0.35">
      <c r="A1030" s="2" t="s">
        <v>3598</v>
      </c>
      <c r="B1030">
        <v>0</v>
      </c>
      <c r="C1030" t="s">
        <v>523</v>
      </c>
      <c r="D1030" t="s">
        <v>512</v>
      </c>
      <c r="E1030" t="s">
        <v>3566</v>
      </c>
    </row>
    <row r="1031" spans="1:5" x14ac:dyDescent="0.35">
      <c r="A1031" s="2" t="s">
        <v>3603</v>
      </c>
      <c r="B1031">
        <v>0</v>
      </c>
      <c r="C1031" t="s">
        <v>523</v>
      </c>
      <c r="D1031" t="s">
        <v>510</v>
      </c>
      <c r="E1031" t="s">
        <v>515</v>
      </c>
    </row>
    <row r="1032" spans="1:5" x14ac:dyDescent="0.35">
      <c r="A1032" s="2" t="s">
        <v>3604</v>
      </c>
      <c r="B1032">
        <v>0</v>
      </c>
      <c r="C1032" t="s">
        <v>523</v>
      </c>
      <c r="D1032" t="s">
        <v>510</v>
      </c>
      <c r="E1032" t="s">
        <v>515</v>
      </c>
    </row>
    <row r="1033" spans="1:5" x14ac:dyDescent="0.35">
      <c r="A1033" s="2" t="s">
        <v>3606</v>
      </c>
      <c r="B1033">
        <v>0</v>
      </c>
      <c r="C1033" t="s">
        <v>523</v>
      </c>
      <c r="D1033" t="s">
        <v>512</v>
      </c>
      <c r="E1033" t="s">
        <v>515</v>
      </c>
    </row>
    <row r="1034" spans="1:5" x14ac:dyDescent="0.35">
      <c r="A1034" s="2" t="s">
        <v>3605</v>
      </c>
      <c r="B1034">
        <v>0</v>
      </c>
      <c r="C1034" t="s">
        <v>523</v>
      </c>
      <c r="D1034" t="s">
        <v>512</v>
      </c>
      <c r="E1034" t="s">
        <v>515</v>
      </c>
    </row>
    <row r="1035" spans="1:5" x14ac:dyDescent="0.35">
      <c r="A1035" s="2" t="s">
        <v>3612</v>
      </c>
      <c r="B1035">
        <v>0</v>
      </c>
      <c r="C1035" t="s">
        <v>523</v>
      </c>
      <c r="D1035" t="s">
        <v>512</v>
      </c>
      <c r="E1035" t="s">
        <v>515</v>
      </c>
    </row>
    <row r="1036" spans="1:5" x14ac:dyDescent="0.35">
      <c r="A1036" s="2" t="s">
        <v>3614</v>
      </c>
      <c r="B1036">
        <v>0</v>
      </c>
      <c r="C1036" t="s">
        <v>523</v>
      </c>
      <c r="D1036" t="s">
        <v>513</v>
      </c>
      <c r="E1036" t="s">
        <v>520</v>
      </c>
    </row>
    <row r="1037" spans="1:5" x14ac:dyDescent="0.35">
      <c r="A1037" s="2" t="s">
        <v>3615</v>
      </c>
      <c r="B1037">
        <v>0</v>
      </c>
      <c r="C1037" t="s">
        <v>523</v>
      </c>
      <c r="D1037" t="s">
        <v>508</v>
      </c>
      <c r="E1037" t="s">
        <v>519</v>
      </c>
    </row>
    <row r="1038" spans="1:5" x14ac:dyDescent="0.35">
      <c r="A1038" s="2" t="s">
        <v>3616</v>
      </c>
      <c r="B1038">
        <v>0</v>
      </c>
      <c r="C1038" t="s">
        <v>523</v>
      </c>
      <c r="D1038" t="s">
        <v>513</v>
      </c>
      <c r="E1038" t="s">
        <v>520</v>
      </c>
    </row>
    <row r="1039" spans="1:5" x14ac:dyDescent="0.35">
      <c r="A1039" t="s">
        <v>3656</v>
      </c>
      <c r="B1039">
        <v>0</v>
      </c>
      <c r="C1039" t="s">
        <v>523</v>
      </c>
      <c r="D1039" t="s">
        <v>506</v>
      </c>
      <c r="E1039" t="s">
        <v>515</v>
      </c>
    </row>
    <row r="1040" spans="1:5" x14ac:dyDescent="0.35">
      <c r="A1040" s="2" t="s">
        <v>3619</v>
      </c>
      <c r="B1040">
        <v>0</v>
      </c>
      <c r="C1040" t="s">
        <v>523</v>
      </c>
      <c r="D1040" t="s">
        <v>512</v>
      </c>
      <c r="E1040" t="s">
        <v>1833</v>
      </c>
    </row>
    <row r="1041" spans="1:5" x14ac:dyDescent="0.35">
      <c r="A1041" s="2" t="s">
        <v>3621</v>
      </c>
      <c r="B1041">
        <v>0</v>
      </c>
      <c r="C1041" t="s">
        <v>523</v>
      </c>
      <c r="D1041" t="s">
        <v>506</v>
      </c>
      <c r="E1041" t="s">
        <v>515</v>
      </c>
    </row>
    <row r="1042" spans="1:5" x14ac:dyDescent="0.35">
      <c r="A1042" s="2" t="s">
        <v>3625</v>
      </c>
      <c r="B1042">
        <v>0</v>
      </c>
      <c r="C1042" t="s">
        <v>523</v>
      </c>
      <c r="D1042" t="s">
        <v>512</v>
      </c>
      <c r="E1042" t="s">
        <v>1833</v>
      </c>
    </row>
    <row r="1043" spans="1:5" x14ac:dyDescent="0.35">
      <c r="A1043" s="2" t="s">
        <v>3627</v>
      </c>
      <c r="B1043">
        <v>0</v>
      </c>
      <c r="C1043" t="s">
        <v>523</v>
      </c>
      <c r="D1043" t="s">
        <v>506</v>
      </c>
      <c r="E1043" t="s">
        <v>515</v>
      </c>
    </row>
    <row r="1044" spans="1:5" x14ac:dyDescent="0.35">
      <c r="A1044" t="s">
        <v>3632</v>
      </c>
      <c r="B1044">
        <v>0</v>
      </c>
      <c r="C1044" t="s">
        <v>523</v>
      </c>
      <c r="D1044" t="s">
        <v>506</v>
      </c>
      <c r="E1044" t="s">
        <v>515</v>
      </c>
    </row>
    <row r="1045" spans="1:5" x14ac:dyDescent="0.35">
      <c r="A1045" t="s">
        <v>3630</v>
      </c>
      <c r="B1045">
        <v>0</v>
      </c>
      <c r="C1045" t="s">
        <v>523</v>
      </c>
      <c r="D1045" t="s">
        <v>506</v>
      </c>
      <c r="E1045" t="s">
        <v>515</v>
      </c>
    </row>
    <row r="1046" spans="1:5" x14ac:dyDescent="0.35">
      <c r="A1046" s="2" t="s">
        <v>3676</v>
      </c>
      <c r="B1046">
        <v>0</v>
      </c>
      <c r="C1046" t="s">
        <v>523</v>
      </c>
      <c r="D1046" t="s">
        <v>506</v>
      </c>
      <c r="E1046" t="s">
        <v>515</v>
      </c>
    </row>
    <row r="1047" spans="1:5" x14ac:dyDescent="0.35">
      <c r="A1047" s="2" t="s">
        <v>3641</v>
      </c>
      <c r="B1047">
        <v>0</v>
      </c>
      <c r="C1047" t="s">
        <v>523</v>
      </c>
      <c r="D1047" t="s">
        <v>506</v>
      </c>
      <c r="E1047" t="s">
        <v>515</v>
      </c>
    </row>
    <row r="1048" spans="1:5" x14ac:dyDescent="0.35">
      <c r="A1048" s="2" t="s">
        <v>3638</v>
      </c>
      <c r="B1048">
        <v>0</v>
      </c>
      <c r="C1048" t="s">
        <v>523</v>
      </c>
      <c r="D1048" t="s">
        <v>506</v>
      </c>
      <c r="E1048" t="s">
        <v>515</v>
      </c>
    </row>
    <row r="1049" spans="1:5" x14ac:dyDescent="0.35">
      <c r="A1049" s="2" t="s">
        <v>3659</v>
      </c>
      <c r="B1049">
        <v>0</v>
      </c>
      <c r="C1049" t="s">
        <v>523</v>
      </c>
      <c r="D1049" t="s">
        <v>513</v>
      </c>
      <c r="E1049" t="s">
        <v>521</v>
      </c>
    </row>
    <row r="1050" spans="1:5" x14ac:dyDescent="0.35">
      <c r="A1050" s="2" t="s">
        <v>3674</v>
      </c>
      <c r="B1050">
        <v>0</v>
      </c>
      <c r="C1050" t="s">
        <v>523</v>
      </c>
      <c r="D1050" t="s">
        <v>513</v>
      </c>
      <c r="E1050" t="s">
        <v>520</v>
      </c>
    </row>
    <row r="1051" spans="1:5" x14ac:dyDescent="0.35">
      <c r="A1051" s="2" t="s">
        <v>3700</v>
      </c>
      <c r="B1051">
        <v>0</v>
      </c>
      <c r="C1051" t="s">
        <v>523</v>
      </c>
      <c r="D1051" t="s">
        <v>506</v>
      </c>
      <c r="E1051" t="s">
        <v>3704</v>
      </c>
    </row>
    <row r="1052" spans="1:5" x14ac:dyDescent="0.35">
      <c r="A1052" s="2"/>
      <c r="B1052">
        <v>0</v>
      </c>
      <c r="C1052" t="s">
        <v>523</v>
      </c>
      <c r="D1052" t="s">
        <v>506</v>
      </c>
      <c r="E1052" t="s">
        <v>515</v>
      </c>
    </row>
    <row r="1053" spans="1:5" x14ac:dyDescent="0.35">
      <c r="A1053" s="2"/>
      <c r="B1053">
        <v>0</v>
      </c>
      <c r="C1053" t="s">
        <v>523</v>
      </c>
      <c r="D1053" t="s">
        <v>506</v>
      </c>
      <c r="E1053" t="s">
        <v>515</v>
      </c>
    </row>
    <row r="1054" spans="1:5" x14ac:dyDescent="0.35">
      <c r="A1054" s="2"/>
      <c r="B1054">
        <v>0</v>
      </c>
      <c r="C1054" t="s">
        <v>523</v>
      </c>
      <c r="D1054" t="s">
        <v>506</v>
      </c>
      <c r="E1054" t="s">
        <v>515</v>
      </c>
    </row>
    <row r="1055" spans="1:5" x14ac:dyDescent="0.35">
      <c r="A1055" s="2"/>
      <c r="B1055">
        <v>0</v>
      </c>
      <c r="C1055" t="s">
        <v>523</v>
      </c>
      <c r="D1055" t="s">
        <v>506</v>
      </c>
      <c r="E1055" t="s">
        <v>515</v>
      </c>
    </row>
    <row r="1056" spans="1:5" x14ac:dyDescent="0.35">
      <c r="A1056" s="2"/>
      <c r="B1056">
        <v>0</v>
      </c>
      <c r="C1056" t="s">
        <v>523</v>
      </c>
      <c r="D1056" t="s">
        <v>506</v>
      </c>
      <c r="E1056" t="s">
        <v>515</v>
      </c>
    </row>
    <row r="1057" spans="1:5" x14ac:dyDescent="0.35">
      <c r="A1057" s="2"/>
      <c r="B1057">
        <v>0</v>
      </c>
      <c r="C1057" t="s">
        <v>523</v>
      </c>
      <c r="D1057" t="s">
        <v>506</v>
      </c>
      <c r="E1057" t="s">
        <v>515</v>
      </c>
    </row>
    <row r="1058" spans="1:5" x14ac:dyDescent="0.35">
      <c r="A1058" s="2"/>
      <c r="B1058">
        <v>0</v>
      </c>
      <c r="C1058" t="s">
        <v>523</v>
      </c>
      <c r="D1058" t="s">
        <v>506</v>
      </c>
      <c r="E1058" t="s">
        <v>515</v>
      </c>
    </row>
    <row r="1059" spans="1:5" x14ac:dyDescent="0.35">
      <c r="B1059">
        <v>0</v>
      </c>
      <c r="C1059" t="s">
        <v>523</v>
      </c>
      <c r="D1059" t="s">
        <v>506</v>
      </c>
      <c r="E1059" t="s">
        <v>515</v>
      </c>
    </row>
    <row r="1060" spans="1:5" x14ac:dyDescent="0.35">
      <c r="B1060">
        <v>0</v>
      </c>
      <c r="C1060" t="s">
        <v>523</v>
      </c>
      <c r="D1060" t="s">
        <v>506</v>
      </c>
      <c r="E1060" t="s">
        <v>515</v>
      </c>
    </row>
    <row r="1061" spans="1:5" x14ac:dyDescent="0.35">
      <c r="B1061">
        <v>0</v>
      </c>
      <c r="C1061" t="s">
        <v>523</v>
      </c>
      <c r="D1061" t="s">
        <v>506</v>
      </c>
      <c r="E1061" t="s">
        <v>515</v>
      </c>
    </row>
    <row r="1062" spans="1:5" x14ac:dyDescent="0.35">
      <c r="B1062">
        <v>0</v>
      </c>
      <c r="C1062" t="s">
        <v>523</v>
      </c>
      <c r="D1062" t="s">
        <v>506</v>
      </c>
      <c r="E1062" t="s">
        <v>515</v>
      </c>
    </row>
    <row r="1063" spans="1:5" x14ac:dyDescent="0.35">
      <c r="B1063">
        <v>0</v>
      </c>
      <c r="C1063" t="s">
        <v>523</v>
      </c>
      <c r="D1063" t="s">
        <v>506</v>
      </c>
      <c r="E1063" t="s">
        <v>515</v>
      </c>
    </row>
    <row r="1064" spans="1:5" x14ac:dyDescent="0.35">
      <c r="B1064">
        <v>0</v>
      </c>
      <c r="C1064" t="s">
        <v>523</v>
      </c>
      <c r="D1064" t="s">
        <v>506</v>
      </c>
      <c r="E1064" t="s">
        <v>515</v>
      </c>
    </row>
    <row r="1065" spans="1:5" x14ac:dyDescent="0.35">
      <c r="B1065">
        <v>0</v>
      </c>
      <c r="C1065" t="s">
        <v>523</v>
      </c>
      <c r="D1065" t="s">
        <v>506</v>
      </c>
      <c r="E1065" t="s">
        <v>515</v>
      </c>
    </row>
    <row r="1066" spans="1:5" x14ac:dyDescent="0.35">
      <c r="B1066">
        <v>0</v>
      </c>
      <c r="C1066" t="s">
        <v>523</v>
      </c>
      <c r="D1066" t="s">
        <v>506</v>
      </c>
      <c r="E1066" t="s">
        <v>515</v>
      </c>
    </row>
    <row r="1067" spans="1:5" x14ac:dyDescent="0.35">
      <c r="B1067">
        <v>0</v>
      </c>
      <c r="C1067" t="s">
        <v>523</v>
      </c>
      <c r="D1067" t="s">
        <v>506</v>
      </c>
      <c r="E1067" t="s">
        <v>515</v>
      </c>
    </row>
    <row r="1068" spans="1:5" x14ac:dyDescent="0.35">
      <c r="B1068">
        <v>0</v>
      </c>
      <c r="C1068" t="s">
        <v>523</v>
      </c>
      <c r="D1068" t="s">
        <v>506</v>
      </c>
      <c r="E1068" t="s">
        <v>515</v>
      </c>
    </row>
    <row r="1069" spans="1:5" x14ac:dyDescent="0.35">
      <c r="B1069">
        <v>0</v>
      </c>
      <c r="C1069" t="s">
        <v>523</v>
      </c>
      <c r="D1069" t="s">
        <v>506</v>
      </c>
      <c r="E1069" t="s">
        <v>515</v>
      </c>
    </row>
    <row r="1070" spans="1:5" x14ac:dyDescent="0.35">
      <c r="B1070">
        <v>0</v>
      </c>
      <c r="C1070" t="s">
        <v>523</v>
      </c>
      <c r="D1070" t="s">
        <v>506</v>
      </c>
      <c r="E1070" t="s">
        <v>515</v>
      </c>
    </row>
    <row r="1071" spans="1:5" x14ac:dyDescent="0.35">
      <c r="B1071">
        <v>0</v>
      </c>
      <c r="C1071" t="s">
        <v>523</v>
      </c>
      <c r="D1071" t="s">
        <v>506</v>
      </c>
      <c r="E1071" t="s">
        <v>515</v>
      </c>
    </row>
    <row r="1072" spans="1:5" x14ac:dyDescent="0.35">
      <c r="B1072">
        <v>0</v>
      </c>
      <c r="C1072" t="s">
        <v>523</v>
      </c>
      <c r="D1072" t="s">
        <v>506</v>
      </c>
      <c r="E1072" t="s">
        <v>515</v>
      </c>
    </row>
    <row r="1073" spans="2:5" x14ac:dyDescent="0.35">
      <c r="B1073">
        <v>0</v>
      </c>
      <c r="C1073" t="s">
        <v>523</v>
      </c>
      <c r="D1073" t="s">
        <v>506</v>
      </c>
      <c r="E1073" t="s">
        <v>515</v>
      </c>
    </row>
    <row r="1074" spans="2:5" x14ac:dyDescent="0.35">
      <c r="B1074">
        <v>0</v>
      </c>
      <c r="C1074" t="s">
        <v>523</v>
      </c>
      <c r="D1074" t="s">
        <v>506</v>
      </c>
      <c r="E1074" t="s">
        <v>515</v>
      </c>
    </row>
    <row r="1075" spans="2:5" x14ac:dyDescent="0.35">
      <c r="B1075">
        <v>0</v>
      </c>
      <c r="C1075" t="s">
        <v>523</v>
      </c>
      <c r="D1075" t="s">
        <v>506</v>
      </c>
      <c r="E1075" t="s">
        <v>515</v>
      </c>
    </row>
    <row r="1076" spans="2:5" x14ac:dyDescent="0.35">
      <c r="B1076">
        <v>0</v>
      </c>
      <c r="C1076" t="s">
        <v>523</v>
      </c>
      <c r="D1076" t="s">
        <v>506</v>
      </c>
      <c r="E1076" t="s">
        <v>515</v>
      </c>
    </row>
    <row r="1077" spans="2:5" x14ac:dyDescent="0.35">
      <c r="B1077">
        <v>0</v>
      </c>
      <c r="C1077" t="s">
        <v>523</v>
      </c>
      <c r="D1077" t="s">
        <v>506</v>
      </c>
      <c r="E1077" t="s">
        <v>515</v>
      </c>
    </row>
    <row r="1078" spans="2:5" x14ac:dyDescent="0.35">
      <c r="B1078">
        <v>0</v>
      </c>
      <c r="C1078" t="s">
        <v>523</v>
      </c>
      <c r="D1078" t="s">
        <v>506</v>
      </c>
      <c r="E1078" t="s">
        <v>515</v>
      </c>
    </row>
    <row r="1079" spans="2:5" x14ac:dyDescent="0.35">
      <c r="B1079">
        <v>0</v>
      </c>
      <c r="C1079" t="s">
        <v>523</v>
      </c>
      <c r="D1079" t="s">
        <v>506</v>
      </c>
      <c r="E1079" t="s">
        <v>515</v>
      </c>
    </row>
    <row r="1080" spans="2:5" x14ac:dyDescent="0.35">
      <c r="B1080">
        <v>0</v>
      </c>
      <c r="C1080" t="s">
        <v>523</v>
      </c>
      <c r="D1080" t="s">
        <v>506</v>
      </c>
      <c r="E1080" t="s">
        <v>515</v>
      </c>
    </row>
    <row r="1081" spans="2:5" x14ac:dyDescent="0.35">
      <c r="B1081">
        <v>0</v>
      </c>
      <c r="C1081" t="s">
        <v>523</v>
      </c>
      <c r="D1081" t="s">
        <v>506</v>
      </c>
      <c r="E1081" t="s">
        <v>515</v>
      </c>
    </row>
    <row r="1082" spans="2:5" x14ac:dyDescent="0.35">
      <c r="B1082">
        <v>0</v>
      </c>
      <c r="C1082" t="s">
        <v>523</v>
      </c>
      <c r="D1082" t="s">
        <v>506</v>
      </c>
      <c r="E1082" t="s">
        <v>515</v>
      </c>
    </row>
    <row r="1083" spans="2:5" x14ac:dyDescent="0.35">
      <c r="B1083">
        <v>0</v>
      </c>
      <c r="C1083" t="s">
        <v>523</v>
      </c>
      <c r="D1083" t="s">
        <v>506</v>
      </c>
      <c r="E1083" t="s">
        <v>515</v>
      </c>
    </row>
    <row r="1084" spans="2:5" x14ac:dyDescent="0.35">
      <c r="B1084">
        <v>0</v>
      </c>
      <c r="C1084" t="s">
        <v>523</v>
      </c>
      <c r="D1084" t="s">
        <v>506</v>
      </c>
      <c r="E1084" t="s">
        <v>515</v>
      </c>
    </row>
    <row r="1085" spans="2:5" x14ac:dyDescent="0.35">
      <c r="B1085">
        <v>0</v>
      </c>
      <c r="C1085" t="s">
        <v>523</v>
      </c>
      <c r="D1085" t="s">
        <v>506</v>
      </c>
      <c r="E1085" t="s">
        <v>515</v>
      </c>
    </row>
    <row r="1086" spans="2:5" x14ac:dyDescent="0.35">
      <c r="B1086">
        <v>0</v>
      </c>
      <c r="C1086" t="s">
        <v>523</v>
      </c>
      <c r="D1086" t="s">
        <v>506</v>
      </c>
      <c r="E1086" t="s">
        <v>515</v>
      </c>
    </row>
    <row r="1087" spans="2:5" x14ac:dyDescent="0.35">
      <c r="B1087">
        <v>0</v>
      </c>
      <c r="C1087" t="s">
        <v>523</v>
      </c>
      <c r="D1087" t="s">
        <v>506</v>
      </c>
      <c r="E1087" t="s">
        <v>515</v>
      </c>
    </row>
    <row r="1088" spans="2:5" x14ac:dyDescent="0.35">
      <c r="B1088">
        <v>0</v>
      </c>
      <c r="C1088" t="s">
        <v>523</v>
      </c>
      <c r="D1088" t="s">
        <v>506</v>
      </c>
      <c r="E1088" t="s">
        <v>515</v>
      </c>
    </row>
    <row r="1089" spans="2:5" x14ac:dyDescent="0.35">
      <c r="B1089">
        <v>0</v>
      </c>
      <c r="C1089" t="s">
        <v>523</v>
      </c>
      <c r="D1089" t="s">
        <v>506</v>
      </c>
      <c r="E1089" t="s">
        <v>515</v>
      </c>
    </row>
    <row r="1090" spans="2:5" x14ac:dyDescent="0.35">
      <c r="B1090">
        <v>0</v>
      </c>
      <c r="C1090" t="s">
        <v>523</v>
      </c>
      <c r="D1090" t="s">
        <v>506</v>
      </c>
      <c r="E1090" t="s">
        <v>515</v>
      </c>
    </row>
    <row r="1091" spans="2:5" x14ac:dyDescent="0.35">
      <c r="B1091">
        <v>0</v>
      </c>
      <c r="C1091" t="s">
        <v>523</v>
      </c>
      <c r="D1091" t="s">
        <v>506</v>
      </c>
      <c r="E1091" t="s">
        <v>515</v>
      </c>
    </row>
    <row r="1092" spans="2:5" x14ac:dyDescent="0.35">
      <c r="B1092">
        <v>0</v>
      </c>
      <c r="C1092" t="s">
        <v>523</v>
      </c>
      <c r="D1092" t="s">
        <v>506</v>
      </c>
      <c r="E1092" t="s">
        <v>515</v>
      </c>
    </row>
    <row r="1093" spans="2:5" x14ac:dyDescent="0.35">
      <c r="B1093">
        <v>0</v>
      </c>
      <c r="C1093" t="s">
        <v>523</v>
      </c>
      <c r="D1093" t="s">
        <v>506</v>
      </c>
      <c r="E1093" t="s">
        <v>515</v>
      </c>
    </row>
    <row r="1094" spans="2:5" x14ac:dyDescent="0.35">
      <c r="B1094">
        <v>0</v>
      </c>
      <c r="C1094" t="s">
        <v>523</v>
      </c>
      <c r="D1094" t="s">
        <v>506</v>
      </c>
      <c r="E1094" t="s">
        <v>515</v>
      </c>
    </row>
    <row r="1095" spans="2:5" x14ac:dyDescent="0.35">
      <c r="B1095">
        <v>0</v>
      </c>
      <c r="C1095" t="s">
        <v>523</v>
      </c>
      <c r="D1095" t="s">
        <v>506</v>
      </c>
      <c r="E1095" t="s">
        <v>515</v>
      </c>
    </row>
    <row r="1096" spans="2:5" x14ac:dyDescent="0.35">
      <c r="B1096">
        <v>0</v>
      </c>
      <c r="C1096" t="s">
        <v>523</v>
      </c>
      <c r="D1096" t="s">
        <v>506</v>
      </c>
      <c r="E1096" t="s">
        <v>515</v>
      </c>
    </row>
    <row r="1097" spans="2:5" x14ac:dyDescent="0.35">
      <c r="B1097">
        <v>0</v>
      </c>
      <c r="C1097" t="s">
        <v>523</v>
      </c>
      <c r="D1097" t="s">
        <v>506</v>
      </c>
      <c r="E1097" t="s">
        <v>515</v>
      </c>
    </row>
    <row r="1098" spans="2:5" x14ac:dyDescent="0.35">
      <c r="B1098">
        <v>0</v>
      </c>
      <c r="C1098" t="s">
        <v>523</v>
      </c>
      <c r="D1098" t="s">
        <v>506</v>
      </c>
      <c r="E1098" t="s">
        <v>515</v>
      </c>
    </row>
    <row r="1099" spans="2:5" x14ac:dyDescent="0.35">
      <c r="B1099">
        <v>0</v>
      </c>
      <c r="C1099" t="s">
        <v>523</v>
      </c>
      <c r="D1099" t="s">
        <v>506</v>
      </c>
      <c r="E1099" t="s">
        <v>515</v>
      </c>
    </row>
    <row r="1100" spans="2:5" x14ac:dyDescent="0.35">
      <c r="B1100">
        <v>0</v>
      </c>
      <c r="C1100" t="s">
        <v>523</v>
      </c>
      <c r="D1100" t="s">
        <v>506</v>
      </c>
      <c r="E1100" t="s">
        <v>515</v>
      </c>
    </row>
    <row r="1101" spans="2:5" x14ac:dyDescent="0.35">
      <c r="B1101">
        <v>0</v>
      </c>
      <c r="C1101" t="s">
        <v>523</v>
      </c>
      <c r="D1101" t="s">
        <v>506</v>
      </c>
      <c r="E1101" t="s">
        <v>515</v>
      </c>
    </row>
    <row r="1102" spans="2:5" x14ac:dyDescent="0.35">
      <c r="B1102">
        <v>0</v>
      </c>
      <c r="C1102" t="s">
        <v>523</v>
      </c>
      <c r="D1102" t="s">
        <v>506</v>
      </c>
      <c r="E1102" t="s">
        <v>515</v>
      </c>
    </row>
    <row r="1103" spans="2:5" x14ac:dyDescent="0.35">
      <c r="B1103">
        <v>0</v>
      </c>
      <c r="C1103" t="s">
        <v>523</v>
      </c>
      <c r="D1103" t="s">
        <v>506</v>
      </c>
      <c r="E1103" t="s">
        <v>515</v>
      </c>
    </row>
    <row r="1104" spans="2:5" x14ac:dyDescent="0.35">
      <c r="B1104">
        <v>0</v>
      </c>
      <c r="C1104" t="s">
        <v>523</v>
      </c>
      <c r="D1104" t="s">
        <v>506</v>
      </c>
      <c r="E1104" t="s">
        <v>515</v>
      </c>
    </row>
    <row r="1105" spans="2:5" x14ac:dyDescent="0.35">
      <c r="B1105">
        <v>0</v>
      </c>
      <c r="C1105" t="s">
        <v>523</v>
      </c>
      <c r="D1105" t="s">
        <v>506</v>
      </c>
      <c r="E1105" t="s">
        <v>515</v>
      </c>
    </row>
    <row r="1106" spans="2:5" x14ac:dyDescent="0.35">
      <c r="B1106">
        <v>0</v>
      </c>
      <c r="C1106" t="s">
        <v>523</v>
      </c>
      <c r="D1106" t="s">
        <v>506</v>
      </c>
      <c r="E1106" t="s">
        <v>515</v>
      </c>
    </row>
    <row r="1107" spans="2:5" x14ac:dyDescent="0.35">
      <c r="B1107">
        <v>0</v>
      </c>
      <c r="C1107" t="s">
        <v>523</v>
      </c>
      <c r="D1107" t="s">
        <v>506</v>
      </c>
      <c r="E1107" t="s">
        <v>515</v>
      </c>
    </row>
    <row r="1108" spans="2:5" x14ac:dyDescent="0.35">
      <c r="B1108">
        <v>0</v>
      </c>
      <c r="C1108" t="s">
        <v>523</v>
      </c>
      <c r="D1108" t="s">
        <v>506</v>
      </c>
      <c r="E1108" t="s">
        <v>515</v>
      </c>
    </row>
    <row r="1109" spans="2:5" x14ac:dyDescent="0.35">
      <c r="B1109">
        <v>0</v>
      </c>
      <c r="C1109" t="s">
        <v>523</v>
      </c>
      <c r="D1109" t="s">
        <v>506</v>
      </c>
      <c r="E1109" t="s">
        <v>515</v>
      </c>
    </row>
    <row r="1110" spans="2:5" x14ac:dyDescent="0.35">
      <c r="B1110">
        <v>0</v>
      </c>
      <c r="C1110" t="s">
        <v>523</v>
      </c>
      <c r="D1110" t="s">
        <v>506</v>
      </c>
      <c r="E1110" t="s">
        <v>515</v>
      </c>
    </row>
    <row r="1111" spans="2:5" x14ac:dyDescent="0.35">
      <c r="B1111">
        <v>0</v>
      </c>
      <c r="C1111" t="s">
        <v>523</v>
      </c>
      <c r="D1111" t="s">
        <v>506</v>
      </c>
      <c r="E1111" t="s">
        <v>515</v>
      </c>
    </row>
    <row r="1112" spans="2:5" x14ac:dyDescent="0.35">
      <c r="B1112">
        <v>0</v>
      </c>
      <c r="C1112" t="s">
        <v>523</v>
      </c>
      <c r="D1112" t="s">
        <v>506</v>
      </c>
      <c r="E1112" t="s">
        <v>515</v>
      </c>
    </row>
    <row r="1113" spans="2:5" x14ac:dyDescent="0.35">
      <c r="B1113">
        <v>0</v>
      </c>
      <c r="C1113" t="s">
        <v>523</v>
      </c>
      <c r="D1113" t="s">
        <v>506</v>
      </c>
      <c r="E1113" t="s">
        <v>515</v>
      </c>
    </row>
    <row r="1114" spans="2:5" x14ac:dyDescent="0.35">
      <c r="B1114">
        <v>0</v>
      </c>
      <c r="C1114" t="s">
        <v>523</v>
      </c>
      <c r="D1114" t="s">
        <v>506</v>
      </c>
      <c r="E1114" t="s">
        <v>515</v>
      </c>
    </row>
    <row r="1115" spans="2:5" x14ac:dyDescent="0.35">
      <c r="B1115">
        <v>0</v>
      </c>
      <c r="C1115" t="s">
        <v>523</v>
      </c>
      <c r="D1115" t="s">
        <v>506</v>
      </c>
      <c r="E1115" t="s">
        <v>515</v>
      </c>
    </row>
    <row r="1116" spans="2:5" x14ac:dyDescent="0.35">
      <c r="B1116">
        <v>0</v>
      </c>
      <c r="C1116" t="s">
        <v>523</v>
      </c>
      <c r="D1116" t="s">
        <v>506</v>
      </c>
      <c r="E1116" t="s">
        <v>515</v>
      </c>
    </row>
    <row r="1117" spans="2:5" x14ac:dyDescent="0.35">
      <c r="B1117">
        <v>0</v>
      </c>
      <c r="C1117" t="s">
        <v>523</v>
      </c>
      <c r="D1117" t="s">
        <v>506</v>
      </c>
      <c r="E1117" t="s">
        <v>515</v>
      </c>
    </row>
    <row r="1118" spans="2:5" x14ac:dyDescent="0.35">
      <c r="B1118">
        <v>0</v>
      </c>
      <c r="C1118" t="s">
        <v>523</v>
      </c>
      <c r="D1118" t="s">
        <v>506</v>
      </c>
      <c r="E1118" t="s">
        <v>515</v>
      </c>
    </row>
    <row r="1119" spans="2:5" x14ac:dyDescent="0.35">
      <c r="B1119">
        <v>0</v>
      </c>
      <c r="C1119" t="s">
        <v>523</v>
      </c>
      <c r="D1119" t="s">
        <v>506</v>
      </c>
      <c r="E1119" t="s">
        <v>515</v>
      </c>
    </row>
    <row r="1120" spans="2:5" x14ac:dyDescent="0.35">
      <c r="B1120">
        <v>0</v>
      </c>
      <c r="C1120" t="s">
        <v>523</v>
      </c>
      <c r="D1120" t="s">
        <v>506</v>
      </c>
      <c r="E1120" t="s">
        <v>515</v>
      </c>
    </row>
    <row r="1121" spans="2:5" x14ac:dyDescent="0.35">
      <c r="B1121">
        <v>0</v>
      </c>
      <c r="C1121" t="s">
        <v>523</v>
      </c>
      <c r="D1121" t="s">
        <v>506</v>
      </c>
      <c r="E1121" t="s">
        <v>515</v>
      </c>
    </row>
    <row r="1122" spans="2:5" x14ac:dyDescent="0.35">
      <c r="B1122">
        <v>0</v>
      </c>
      <c r="C1122" t="s">
        <v>523</v>
      </c>
      <c r="D1122" t="s">
        <v>506</v>
      </c>
      <c r="E1122" t="s">
        <v>515</v>
      </c>
    </row>
    <row r="1123" spans="2:5" x14ac:dyDescent="0.35">
      <c r="B1123">
        <v>0</v>
      </c>
      <c r="C1123" t="s">
        <v>523</v>
      </c>
      <c r="D1123" t="s">
        <v>506</v>
      </c>
      <c r="E1123" t="s">
        <v>515</v>
      </c>
    </row>
    <row r="1124" spans="2:5" x14ac:dyDescent="0.35">
      <c r="B1124">
        <v>0</v>
      </c>
      <c r="C1124" t="s">
        <v>523</v>
      </c>
      <c r="D1124" t="s">
        <v>506</v>
      </c>
      <c r="E1124" t="s">
        <v>515</v>
      </c>
    </row>
    <row r="1125" spans="2:5" x14ac:dyDescent="0.35">
      <c r="B1125">
        <v>0</v>
      </c>
      <c r="C1125" t="s">
        <v>523</v>
      </c>
      <c r="D1125" t="s">
        <v>506</v>
      </c>
      <c r="E1125" t="s">
        <v>515</v>
      </c>
    </row>
    <row r="1126" spans="2:5" x14ac:dyDescent="0.35">
      <c r="B1126">
        <v>0</v>
      </c>
      <c r="C1126" t="s">
        <v>523</v>
      </c>
      <c r="D1126" t="s">
        <v>506</v>
      </c>
      <c r="E1126" t="s">
        <v>515</v>
      </c>
    </row>
    <row r="1127" spans="2:5" x14ac:dyDescent="0.35">
      <c r="B1127">
        <v>0</v>
      </c>
      <c r="C1127" t="s">
        <v>523</v>
      </c>
      <c r="D1127" t="s">
        <v>506</v>
      </c>
      <c r="E1127" t="s">
        <v>515</v>
      </c>
    </row>
    <row r="1128" spans="2:5" x14ac:dyDescent="0.35">
      <c r="B1128">
        <v>0</v>
      </c>
      <c r="C1128" t="s">
        <v>523</v>
      </c>
      <c r="D1128" t="s">
        <v>506</v>
      </c>
      <c r="E1128" t="s">
        <v>515</v>
      </c>
    </row>
    <row r="1129" spans="2:5" x14ac:dyDescent="0.35">
      <c r="B1129">
        <v>0</v>
      </c>
      <c r="C1129" t="s">
        <v>523</v>
      </c>
      <c r="D1129" t="s">
        <v>506</v>
      </c>
      <c r="E1129" t="s">
        <v>515</v>
      </c>
    </row>
    <row r="1130" spans="2:5" x14ac:dyDescent="0.35">
      <c r="B1130">
        <v>0</v>
      </c>
      <c r="C1130" t="s">
        <v>523</v>
      </c>
      <c r="D1130" t="s">
        <v>506</v>
      </c>
      <c r="E1130" t="s">
        <v>515</v>
      </c>
    </row>
    <row r="1131" spans="2:5" x14ac:dyDescent="0.35">
      <c r="B1131">
        <v>0</v>
      </c>
      <c r="C1131" t="s">
        <v>523</v>
      </c>
      <c r="D1131" t="s">
        <v>506</v>
      </c>
      <c r="E1131" t="s">
        <v>515</v>
      </c>
    </row>
    <row r="1132" spans="2:5" x14ac:dyDescent="0.35">
      <c r="B1132">
        <v>0</v>
      </c>
      <c r="C1132" t="s">
        <v>523</v>
      </c>
      <c r="D1132" t="s">
        <v>506</v>
      </c>
      <c r="E1132" t="s">
        <v>515</v>
      </c>
    </row>
    <row r="1133" spans="2:5" x14ac:dyDescent="0.35">
      <c r="B1133">
        <v>0</v>
      </c>
      <c r="C1133" t="s">
        <v>523</v>
      </c>
      <c r="D1133" t="s">
        <v>506</v>
      </c>
      <c r="E1133" t="s">
        <v>515</v>
      </c>
    </row>
    <row r="1134" spans="2:5" x14ac:dyDescent="0.35">
      <c r="B1134">
        <v>0</v>
      </c>
      <c r="C1134" t="s">
        <v>523</v>
      </c>
      <c r="D1134" t="s">
        <v>506</v>
      </c>
      <c r="E1134" t="s">
        <v>515</v>
      </c>
    </row>
    <row r="1135" spans="2:5" x14ac:dyDescent="0.35">
      <c r="B1135">
        <v>0</v>
      </c>
      <c r="C1135" t="s">
        <v>523</v>
      </c>
      <c r="D1135" t="s">
        <v>506</v>
      </c>
      <c r="E1135" t="s">
        <v>515</v>
      </c>
    </row>
    <row r="1136" spans="2:5" x14ac:dyDescent="0.35">
      <c r="B1136">
        <v>0</v>
      </c>
      <c r="C1136" t="s">
        <v>523</v>
      </c>
      <c r="D1136" t="s">
        <v>506</v>
      </c>
      <c r="E1136" t="s">
        <v>515</v>
      </c>
    </row>
    <row r="1137" spans="2:5" x14ac:dyDescent="0.35">
      <c r="B1137">
        <v>0</v>
      </c>
      <c r="C1137" t="s">
        <v>523</v>
      </c>
      <c r="D1137" t="s">
        <v>506</v>
      </c>
      <c r="E1137" t="s">
        <v>515</v>
      </c>
    </row>
    <row r="1138" spans="2:5" x14ac:dyDescent="0.35">
      <c r="B1138">
        <v>0</v>
      </c>
      <c r="C1138" t="s">
        <v>523</v>
      </c>
      <c r="D1138" t="s">
        <v>506</v>
      </c>
      <c r="E1138" t="s">
        <v>515</v>
      </c>
    </row>
    <row r="1139" spans="2:5" x14ac:dyDescent="0.35">
      <c r="B1139">
        <v>0</v>
      </c>
      <c r="C1139" t="s">
        <v>523</v>
      </c>
      <c r="D1139" t="s">
        <v>506</v>
      </c>
      <c r="E1139" t="s">
        <v>515</v>
      </c>
    </row>
    <row r="1140" spans="2:5" x14ac:dyDescent="0.35">
      <c r="B1140">
        <v>0</v>
      </c>
      <c r="C1140" t="s">
        <v>523</v>
      </c>
      <c r="D1140" t="s">
        <v>506</v>
      </c>
      <c r="E1140" t="s">
        <v>515</v>
      </c>
    </row>
    <row r="1141" spans="2:5" x14ac:dyDescent="0.35">
      <c r="B1141">
        <v>0</v>
      </c>
      <c r="C1141" t="s">
        <v>523</v>
      </c>
      <c r="D1141" t="s">
        <v>506</v>
      </c>
      <c r="E1141" t="s">
        <v>515</v>
      </c>
    </row>
    <row r="1142" spans="2:5" x14ac:dyDescent="0.35">
      <c r="B1142">
        <v>0</v>
      </c>
      <c r="C1142" t="s">
        <v>523</v>
      </c>
      <c r="D1142" t="s">
        <v>506</v>
      </c>
      <c r="E1142" t="s">
        <v>515</v>
      </c>
    </row>
    <row r="1143" spans="2:5" x14ac:dyDescent="0.35">
      <c r="B1143">
        <v>0</v>
      </c>
      <c r="C1143" t="s">
        <v>523</v>
      </c>
      <c r="D1143" t="s">
        <v>506</v>
      </c>
      <c r="E1143" t="s">
        <v>515</v>
      </c>
    </row>
    <row r="1144" spans="2:5" x14ac:dyDescent="0.35">
      <c r="B1144">
        <v>0</v>
      </c>
      <c r="C1144" t="s">
        <v>523</v>
      </c>
      <c r="D1144" t="s">
        <v>506</v>
      </c>
      <c r="E1144" t="s">
        <v>515</v>
      </c>
    </row>
    <row r="1145" spans="2:5" x14ac:dyDescent="0.35">
      <c r="B1145">
        <v>0</v>
      </c>
      <c r="C1145" t="s">
        <v>523</v>
      </c>
      <c r="D1145" t="s">
        <v>506</v>
      </c>
      <c r="E1145" t="s">
        <v>515</v>
      </c>
    </row>
    <row r="1146" spans="2:5" x14ac:dyDescent="0.35">
      <c r="B1146">
        <v>0</v>
      </c>
      <c r="C1146" t="s">
        <v>523</v>
      </c>
      <c r="D1146" t="s">
        <v>506</v>
      </c>
      <c r="E1146" t="s">
        <v>515</v>
      </c>
    </row>
    <row r="1147" spans="2:5" x14ac:dyDescent="0.35">
      <c r="B1147">
        <v>0</v>
      </c>
      <c r="C1147" t="s">
        <v>523</v>
      </c>
      <c r="D1147" t="s">
        <v>506</v>
      </c>
      <c r="E1147" t="s">
        <v>515</v>
      </c>
    </row>
    <row r="1148" spans="2:5" x14ac:dyDescent="0.35">
      <c r="B1148">
        <v>0</v>
      </c>
      <c r="C1148" t="s">
        <v>523</v>
      </c>
      <c r="D1148" t="s">
        <v>506</v>
      </c>
      <c r="E1148" t="s">
        <v>515</v>
      </c>
    </row>
    <row r="1149" spans="2:5" x14ac:dyDescent="0.35">
      <c r="B1149">
        <v>0</v>
      </c>
      <c r="C1149" t="s">
        <v>523</v>
      </c>
      <c r="D1149" t="s">
        <v>506</v>
      </c>
      <c r="E1149" t="s">
        <v>515</v>
      </c>
    </row>
    <row r="1150" spans="2:5" x14ac:dyDescent="0.35">
      <c r="B1150">
        <v>0</v>
      </c>
      <c r="C1150" t="s">
        <v>523</v>
      </c>
      <c r="D1150" t="s">
        <v>506</v>
      </c>
      <c r="E1150" t="s">
        <v>515</v>
      </c>
    </row>
    <row r="1151" spans="2:5" x14ac:dyDescent="0.35">
      <c r="B1151">
        <v>0</v>
      </c>
      <c r="C1151" t="s">
        <v>523</v>
      </c>
      <c r="D1151" t="s">
        <v>506</v>
      </c>
      <c r="E1151" t="s">
        <v>515</v>
      </c>
    </row>
    <row r="1152" spans="2:5" x14ac:dyDescent="0.35">
      <c r="B1152">
        <v>0</v>
      </c>
      <c r="C1152" t="s">
        <v>523</v>
      </c>
      <c r="D1152" t="s">
        <v>506</v>
      </c>
      <c r="E1152" t="s">
        <v>515</v>
      </c>
    </row>
    <row r="1153" spans="2:5" x14ac:dyDescent="0.35">
      <c r="B1153">
        <v>0</v>
      </c>
      <c r="C1153" t="s">
        <v>523</v>
      </c>
      <c r="D1153" t="s">
        <v>506</v>
      </c>
      <c r="E1153" t="s">
        <v>515</v>
      </c>
    </row>
    <row r="1154" spans="2:5" x14ac:dyDescent="0.35">
      <c r="B1154">
        <v>0</v>
      </c>
      <c r="C1154" t="s">
        <v>523</v>
      </c>
      <c r="D1154" t="s">
        <v>506</v>
      </c>
      <c r="E1154" t="s">
        <v>515</v>
      </c>
    </row>
    <row r="1155" spans="2:5" x14ac:dyDescent="0.35">
      <c r="B1155">
        <v>0</v>
      </c>
      <c r="C1155" t="s">
        <v>523</v>
      </c>
      <c r="D1155" t="s">
        <v>506</v>
      </c>
      <c r="E1155" t="s">
        <v>515</v>
      </c>
    </row>
    <row r="1156" spans="2:5" x14ac:dyDescent="0.35">
      <c r="B1156">
        <v>0</v>
      </c>
      <c r="C1156" t="s">
        <v>523</v>
      </c>
      <c r="D1156" t="s">
        <v>506</v>
      </c>
      <c r="E1156" t="s">
        <v>515</v>
      </c>
    </row>
    <row r="1157" spans="2:5" x14ac:dyDescent="0.35">
      <c r="B1157">
        <v>0</v>
      </c>
      <c r="C1157" t="s">
        <v>523</v>
      </c>
      <c r="D1157" t="s">
        <v>506</v>
      </c>
      <c r="E1157" t="s">
        <v>515</v>
      </c>
    </row>
    <row r="1158" spans="2:5" x14ac:dyDescent="0.35">
      <c r="B1158">
        <v>0</v>
      </c>
      <c r="C1158" t="s">
        <v>523</v>
      </c>
      <c r="D1158" t="s">
        <v>506</v>
      </c>
      <c r="E1158" t="s">
        <v>515</v>
      </c>
    </row>
    <row r="1159" spans="2:5" x14ac:dyDescent="0.35">
      <c r="B1159">
        <v>0</v>
      </c>
      <c r="C1159" t="s">
        <v>523</v>
      </c>
      <c r="D1159" t="s">
        <v>506</v>
      </c>
      <c r="E1159" t="s">
        <v>515</v>
      </c>
    </row>
    <row r="1160" spans="2:5" x14ac:dyDescent="0.35">
      <c r="B1160">
        <v>0</v>
      </c>
      <c r="C1160" t="s">
        <v>523</v>
      </c>
      <c r="D1160" t="s">
        <v>506</v>
      </c>
      <c r="E1160" t="s">
        <v>515</v>
      </c>
    </row>
    <row r="1161" spans="2:5" x14ac:dyDescent="0.35">
      <c r="B1161">
        <v>0</v>
      </c>
      <c r="C1161" t="s">
        <v>523</v>
      </c>
      <c r="D1161" t="s">
        <v>506</v>
      </c>
      <c r="E1161" t="s">
        <v>515</v>
      </c>
    </row>
    <row r="1162" spans="2:5" x14ac:dyDescent="0.35">
      <c r="B1162">
        <v>0</v>
      </c>
      <c r="C1162" t="s">
        <v>523</v>
      </c>
      <c r="D1162" t="s">
        <v>506</v>
      </c>
      <c r="E1162" t="s">
        <v>515</v>
      </c>
    </row>
    <row r="1163" spans="2:5" x14ac:dyDescent="0.35">
      <c r="B1163">
        <v>0</v>
      </c>
      <c r="C1163" t="s">
        <v>523</v>
      </c>
      <c r="D1163" t="s">
        <v>506</v>
      </c>
      <c r="E1163" t="s">
        <v>515</v>
      </c>
    </row>
    <row r="1164" spans="2:5" x14ac:dyDescent="0.35">
      <c r="B1164">
        <v>0</v>
      </c>
      <c r="C1164" t="s">
        <v>523</v>
      </c>
      <c r="D1164" t="s">
        <v>506</v>
      </c>
      <c r="E1164" t="s">
        <v>515</v>
      </c>
    </row>
    <row r="1165" spans="2:5" x14ac:dyDescent="0.35">
      <c r="B1165">
        <v>0</v>
      </c>
      <c r="C1165" t="s">
        <v>523</v>
      </c>
      <c r="D1165" t="s">
        <v>506</v>
      </c>
      <c r="E1165" t="s">
        <v>515</v>
      </c>
    </row>
    <row r="1166" spans="2:5" x14ac:dyDescent="0.35">
      <c r="B1166">
        <v>0</v>
      </c>
      <c r="C1166" t="s">
        <v>523</v>
      </c>
      <c r="D1166" t="s">
        <v>506</v>
      </c>
      <c r="E1166" t="s">
        <v>515</v>
      </c>
    </row>
    <row r="1167" spans="2:5" x14ac:dyDescent="0.35">
      <c r="B1167">
        <v>0</v>
      </c>
      <c r="C1167" t="s">
        <v>523</v>
      </c>
      <c r="D1167" t="s">
        <v>506</v>
      </c>
      <c r="E1167" t="s">
        <v>515</v>
      </c>
    </row>
    <row r="1168" spans="2:5" x14ac:dyDescent="0.35">
      <c r="B1168">
        <v>0</v>
      </c>
      <c r="C1168" t="s">
        <v>523</v>
      </c>
      <c r="D1168" t="s">
        <v>506</v>
      </c>
      <c r="E1168" t="s">
        <v>515</v>
      </c>
    </row>
    <row r="1169" spans="2:5" x14ac:dyDescent="0.35">
      <c r="B1169">
        <v>0</v>
      </c>
      <c r="C1169" t="s">
        <v>523</v>
      </c>
      <c r="D1169" t="s">
        <v>506</v>
      </c>
      <c r="E1169" t="s">
        <v>515</v>
      </c>
    </row>
    <row r="1170" spans="2:5" x14ac:dyDescent="0.35">
      <c r="B1170">
        <v>0</v>
      </c>
      <c r="C1170" t="s">
        <v>523</v>
      </c>
      <c r="D1170" t="s">
        <v>506</v>
      </c>
      <c r="E1170" t="s">
        <v>515</v>
      </c>
    </row>
    <row r="1171" spans="2:5" x14ac:dyDescent="0.35">
      <c r="B1171">
        <v>0</v>
      </c>
      <c r="C1171" t="s">
        <v>523</v>
      </c>
      <c r="D1171" t="s">
        <v>506</v>
      </c>
      <c r="E1171" t="s">
        <v>515</v>
      </c>
    </row>
    <row r="1172" spans="2:5" x14ac:dyDescent="0.35">
      <c r="B1172">
        <v>0</v>
      </c>
      <c r="C1172" t="s">
        <v>523</v>
      </c>
      <c r="D1172" t="s">
        <v>506</v>
      </c>
      <c r="E1172" t="s">
        <v>515</v>
      </c>
    </row>
    <row r="1173" spans="2:5" x14ac:dyDescent="0.35">
      <c r="B1173">
        <v>0</v>
      </c>
      <c r="C1173" t="s">
        <v>523</v>
      </c>
      <c r="D1173" t="s">
        <v>506</v>
      </c>
      <c r="E1173" t="s">
        <v>515</v>
      </c>
    </row>
    <row r="1174" spans="2:5" x14ac:dyDescent="0.35">
      <c r="B1174">
        <v>0</v>
      </c>
      <c r="C1174" t="s">
        <v>523</v>
      </c>
      <c r="D1174" t="s">
        <v>506</v>
      </c>
      <c r="E1174" t="s">
        <v>515</v>
      </c>
    </row>
    <row r="1175" spans="2:5" x14ac:dyDescent="0.35">
      <c r="B1175">
        <v>0</v>
      </c>
      <c r="C1175" t="s">
        <v>523</v>
      </c>
      <c r="D1175" t="s">
        <v>506</v>
      </c>
      <c r="E1175" t="s">
        <v>515</v>
      </c>
    </row>
    <row r="1176" spans="2:5" x14ac:dyDescent="0.35">
      <c r="B1176">
        <v>0</v>
      </c>
      <c r="C1176" t="s">
        <v>523</v>
      </c>
      <c r="D1176" t="s">
        <v>506</v>
      </c>
      <c r="E1176" t="s">
        <v>515</v>
      </c>
    </row>
    <row r="1177" spans="2:5" x14ac:dyDescent="0.35">
      <c r="B1177">
        <v>0</v>
      </c>
      <c r="C1177" t="s">
        <v>523</v>
      </c>
      <c r="D1177" t="s">
        <v>506</v>
      </c>
      <c r="E1177" t="s">
        <v>515</v>
      </c>
    </row>
    <row r="1178" spans="2:5" x14ac:dyDescent="0.35">
      <c r="B1178">
        <v>0</v>
      </c>
      <c r="C1178" t="s">
        <v>523</v>
      </c>
      <c r="D1178" t="s">
        <v>506</v>
      </c>
      <c r="E1178" t="s">
        <v>515</v>
      </c>
    </row>
    <row r="1179" spans="2:5" x14ac:dyDescent="0.35">
      <c r="B1179">
        <v>0</v>
      </c>
      <c r="C1179" t="s">
        <v>523</v>
      </c>
      <c r="D1179" t="s">
        <v>506</v>
      </c>
      <c r="E1179" t="s">
        <v>515</v>
      </c>
    </row>
    <row r="1180" spans="2:5" x14ac:dyDescent="0.35">
      <c r="B1180">
        <v>0</v>
      </c>
      <c r="C1180" t="s">
        <v>523</v>
      </c>
      <c r="D1180" t="s">
        <v>506</v>
      </c>
      <c r="E1180" t="s">
        <v>515</v>
      </c>
    </row>
    <row r="1181" spans="2:5" x14ac:dyDescent="0.35">
      <c r="B1181">
        <v>0</v>
      </c>
      <c r="C1181" t="s">
        <v>523</v>
      </c>
      <c r="D1181" t="s">
        <v>506</v>
      </c>
      <c r="E1181" t="s">
        <v>515</v>
      </c>
    </row>
    <row r="1182" spans="2:5" x14ac:dyDescent="0.35">
      <c r="B1182">
        <v>0</v>
      </c>
      <c r="C1182" t="s">
        <v>523</v>
      </c>
      <c r="D1182" t="s">
        <v>506</v>
      </c>
      <c r="E1182" t="s">
        <v>515</v>
      </c>
    </row>
    <row r="1183" spans="2:5" x14ac:dyDescent="0.35">
      <c r="B1183">
        <v>0</v>
      </c>
      <c r="C1183" t="s">
        <v>523</v>
      </c>
      <c r="D1183" t="s">
        <v>506</v>
      </c>
      <c r="E1183" t="s">
        <v>515</v>
      </c>
    </row>
    <row r="1184" spans="2:5" x14ac:dyDescent="0.35">
      <c r="B1184">
        <v>0</v>
      </c>
      <c r="C1184" t="s">
        <v>523</v>
      </c>
      <c r="D1184" t="s">
        <v>506</v>
      </c>
      <c r="E1184" t="s">
        <v>515</v>
      </c>
    </row>
    <row r="1185" spans="2:5" x14ac:dyDescent="0.35">
      <c r="B1185">
        <v>0</v>
      </c>
      <c r="C1185" t="s">
        <v>523</v>
      </c>
      <c r="D1185" t="s">
        <v>506</v>
      </c>
      <c r="E1185" t="s">
        <v>515</v>
      </c>
    </row>
    <row r="1186" spans="2:5" x14ac:dyDescent="0.35">
      <c r="B1186">
        <v>0</v>
      </c>
      <c r="C1186" t="s">
        <v>523</v>
      </c>
      <c r="D1186" t="s">
        <v>506</v>
      </c>
      <c r="E1186" t="s">
        <v>515</v>
      </c>
    </row>
    <row r="1187" spans="2:5" x14ac:dyDescent="0.35">
      <c r="B1187">
        <v>0</v>
      </c>
      <c r="C1187" t="s">
        <v>523</v>
      </c>
      <c r="D1187" t="s">
        <v>506</v>
      </c>
      <c r="E1187" t="s">
        <v>515</v>
      </c>
    </row>
    <row r="1188" spans="2:5" x14ac:dyDescent="0.35">
      <c r="B1188">
        <v>0</v>
      </c>
      <c r="C1188" t="s">
        <v>523</v>
      </c>
      <c r="D1188" t="s">
        <v>506</v>
      </c>
      <c r="E1188" t="s">
        <v>515</v>
      </c>
    </row>
    <row r="1189" spans="2:5" x14ac:dyDescent="0.35">
      <c r="B1189">
        <v>0</v>
      </c>
      <c r="C1189" t="s">
        <v>523</v>
      </c>
      <c r="D1189" t="s">
        <v>506</v>
      </c>
      <c r="E1189" t="s">
        <v>515</v>
      </c>
    </row>
    <row r="1190" spans="2:5" x14ac:dyDescent="0.35">
      <c r="B1190">
        <v>0</v>
      </c>
      <c r="C1190" t="s">
        <v>523</v>
      </c>
      <c r="D1190" t="s">
        <v>506</v>
      </c>
      <c r="E1190" t="s">
        <v>515</v>
      </c>
    </row>
    <row r="1191" spans="2:5" x14ac:dyDescent="0.35">
      <c r="B1191">
        <v>0</v>
      </c>
      <c r="C1191" t="s">
        <v>523</v>
      </c>
      <c r="D1191" t="s">
        <v>506</v>
      </c>
      <c r="E1191" t="s">
        <v>515</v>
      </c>
    </row>
    <row r="1192" spans="2:5" x14ac:dyDescent="0.35">
      <c r="B1192">
        <v>0</v>
      </c>
      <c r="C1192" t="s">
        <v>523</v>
      </c>
      <c r="D1192" t="s">
        <v>506</v>
      </c>
      <c r="E1192" t="s">
        <v>515</v>
      </c>
    </row>
    <row r="1193" spans="2:5" x14ac:dyDescent="0.35">
      <c r="B1193">
        <v>0</v>
      </c>
      <c r="C1193" t="s">
        <v>523</v>
      </c>
      <c r="D1193" t="s">
        <v>506</v>
      </c>
      <c r="E1193" t="s">
        <v>515</v>
      </c>
    </row>
    <row r="1194" spans="2:5" x14ac:dyDescent="0.35">
      <c r="B1194">
        <v>0</v>
      </c>
      <c r="C1194" t="s">
        <v>523</v>
      </c>
      <c r="D1194" t="s">
        <v>506</v>
      </c>
      <c r="E1194" t="s">
        <v>515</v>
      </c>
    </row>
    <row r="1195" spans="2:5" x14ac:dyDescent="0.35">
      <c r="B1195">
        <v>0</v>
      </c>
      <c r="C1195" t="s">
        <v>523</v>
      </c>
      <c r="D1195" t="s">
        <v>506</v>
      </c>
      <c r="E1195" t="s">
        <v>515</v>
      </c>
    </row>
    <row r="1196" spans="2:5" x14ac:dyDescent="0.35">
      <c r="B1196">
        <v>0</v>
      </c>
      <c r="C1196" t="s">
        <v>523</v>
      </c>
      <c r="D1196" t="s">
        <v>506</v>
      </c>
      <c r="E1196" t="s">
        <v>515</v>
      </c>
    </row>
    <row r="1197" spans="2:5" x14ac:dyDescent="0.35">
      <c r="B1197">
        <v>0</v>
      </c>
      <c r="C1197" t="s">
        <v>523</v>
      </c>
      <c r="D1197" t="s">
        <v>506</v>
      </c>
      <c r="E1197" t="s">
        <v>515</v>
      </c>
    </row>
    <row r="1198" spans="2:5" x14ac:dyDescent="0.35">
      <c r="B1198">
        <v>0</v>
      </c>
      <c r="C1198" t="s">
        <v>523</v>
      </c>
      <c r="D1198" t="s">
        <v>506</v>
      </c>
      <c r="E1198" t="s">
        <v>515</v>
      </c>
    </row>
    <row r="1199" spans="2:5" x14ac:dyDescent="0.35">
      <c r="B1199">
        <v>0</v>
      </c>
      <c r="C1199" t="s">
        <v>523</v>
      </c>
      <c r="D1199" t="s">
        <v>506</v>
      </c>
      <c r="E1199" t="s">
        <v>515</v>
      </c>
    </row>
    <row r="1200" spans="2:5" x14ac:dyDescent="0.35">
      <c r="B1200">
        <v>0</v>
      </c>
      <c r="C1200" t="s">
        <v>523</v>
      </c>
      <c r="D1200" t="s">
        <v>506</v>
      </c>
      <c r="E1200" t="s">
        <v>515</v>
      </c>
    </row>
    <row r="1201" spans="2:5" x14ac:dyDescent="0.35">
      <c r="B1201">
        <v>0</v>
      </c>
      <c r="C1201" t="s">
        <v>523</v>
      </c>
      <c r="D1201" t="s">
        <v>506</v>
      </c>
      <c r="E1201" t="s">
        <v>515</v>
      </c>
    </row>
    <row r="1202" spans="2:5" x14ac:dyDescent="0.35">
      <c r="B1202">
        <v>0</v>
      </c>
      <c r="C1202" t="s">
        <v>523</v>
      </c>
      <c r="D1202" t="s">
        <v>506</v>
      </c>
      <c r="E1202" t="s">
        <v>515</v>
      </c>
    </row>
    <row r="1203" spans="2:5" x14ac:dyDescent="0.35">
      <c r="B1203">
        <v>0</v>
      </c>
      <c r="C1203" t="s">
        <v>523</v>
      </c>
      <c r="D1203" t="s">
        <v>506</v>
      </c>
      <c r="E1203" t="s">
        <v>515</v>
      </c>
    </row>
    <row r="1204" spans="2:5" x14ac:dyDescent="0.35">
      <c r="B1204">
        <v>0</v>
      </c>
      <c r="C1204" t="s">
        <v>523</v>
      </c>
      <c r="D1204" t="s">
        <v>506</v>
      </c>
      <c r="E1204" t="s">
        <v>515</v>
      </c>
    </row>
    <row r="1205" spans="2:5" x14ac:dyDescent="0.35">
      <c r="B1205">
        <v>0</v>
      </c>
      <c r="C1205" t="s">
        <v>523</v>
      </c>
      <c r="D1205" t="s">
        <v>506</v>
      </c>
      <c r="E1205" t="s">
        <v>515</v>
      </c>
    </row>
    <row r="1206" spans="2:5" x14ac:dyDescent="0.35">
      <c r="B1206">
        <v>0</v>
      </c>
      <c r="C1206" t="s">
        <v>523</v>
      </c>
      <c r="D1206" t="s">
        <v>506</v>
      </c>
      <c r="E1206" t="s">
        <v>515</v>
      </c>
    </row>
    <row r="1207" spans="2:5" x14ac:dyDescent="0.35">
      <c r="B1207">
        <v>0</v>
      </c>
      <c r="C1207" t="s">
        <v>523</v>
      </c>
      <c r="D1207" t="s">
        <v>506</v>
      </c>
      <c r="E1207" t="s">
        <v>515</v>
      </c>
    </row>
    <row r="1208" spans="2:5" x14ac:dyDescent="0.35">
      <c r="B1208">
        <v>0</v>
      </c>
      <c r="C1208" t="s">
        <v>523</v>
      </c>
      <c r="D1208" t="s">
        <v>506</v>
      </c>
      <c r="E1208" t="s">
        <v>515</v>
      </c>
    </row>
    <row r="1209" spans="2:5" x14ac:dyDescent="0.35">
      <c r="B1209">
        <v>0</v>
      </c>
      <c r="C1209" t="s">
        <v>523</v>
      </c>
      <c r="D1209" t="s">
        <v>506</v>
      </c>
      <c r="E1209" t="s">
        <v>515</v>
      </c>
    </row>
    <row r="1210" spans="2:5" x14ac:dyDescent="0.35">
      <c r="B1210">
        <v>0</v>
      </c>
      <c r="C1210" t="s">
        <v>523</v>
      </c>
      <c r="D1210" t="s">
        <v>506</v>
      </c>
      <c r="E1210" t="s">
        <v>515</v>
      </c>
    </row>
    <row r="1211" spans="2:5" x14ac:dyDescent="0.35">
      <c r="B1211">
        <v>0</v>
      </c>
      <c r="C1211" t="s">
        <v>523</v>
      </c>
      <c r="D1211" t="s">
        <v>506</v>
      </c>
      <c r="E1211" t="s">
        <v>515</v>
      </c>
    </row>
    <row r="1212" spans="2:5" x14ac:dyDescent="0.35">
      <c r="B1212">
        <v>0</v>
      </c>
      <c r="C1212" t="s">
        <v>523</v>
      </c>
      <c r="D1212" t="s">
        <v>506</v>
      </c>
      <c r="E1212" t="s">
        <v>515</v>
      </c>
    </row>
    <row r="1213" spans="2:5" x14ac:dyDescent="0.35">
      <c r="B1213">
        <v>0</v>
      </c>
      <c r="C1213" t="s">
        <v>523</v>
      </c>
      <c r="D1213" t="s">
        <v>506</v>
      </c>
      <c r="E1213" t="s">
        <v>515</v>
      </c>
    </row>
    <row r="1214" spans="2:5" x14ac:dyDescent="0.35">
      <c r="B1214">
        <v>0</v>
      </c>
      <c r="C1214" t="s">
        <v>523</v>
      </c>
      <c r="D1214" t="s">
        <v>506</v>
      </c>
      <c r="E1214" t="s">
        <v>515</v>
      </c>
    </row>
    <row r="1215" spans="2:5" x14ac:dyDescent="0.35">
      <c r="B1215">
        <v>0</v>
      </c>
      <c r="C1215" t="s">
        <v>523</v>
      </c>
      <c r="D1215" t="s">
        <v>506</v>
      </c>
      <c r="E1215" t="s">
        <v>515</v>
      </c>
    </row>
    <row r="1216" spans="2:5" x14ac:dyDescent="0.35">
      <c r="B1216">
        <v>0</v>
      </c>
      <c r="C1216" t="s">
        <v>523</v>
      </c>
      <c r="D1216" t="s">
        <v>506</v>
      </c>
      <c r="E1216" t="s">
        <v>515</v>
      </c>
    </row>
    <row r="1217" spans="2:5" x14ac:dyDescent="0.35">
      <c r="B1217">
        <v>0</v>
      </c>
      <c r="C1217" t="s">
        <v>523</v>
      </c>
      <c r="D1217" t="s">
        <v>506</v>
      </c>
      <c r="E1217" t="s">
        <v>515</v>
      </c>
    </row>
    <row r="1218" spans="2:5" x14ac:dyDescent="0.35">
      <c r="B1218">
        <v>0</v>
      </c>
      <c r="C1218" t="s">
        <v>523</v>
      </c>
      <c r="D1218" t="s">
        <v>506</v>
      </c>
      <c r="E1218" t="s">
        <v>515</v>
      </c>
    </row>
    <row r="1219" spans="2:5" x14ac:dyDescent="0.35">
      <c r="B1219">
        <v>0</v>
      </c>
      <c r="C1219" t="s">
        <v>523</v>
      </c>
      <c r="D1219" t="s">
        <v>506</v>
      </c>
      <c r="E1219" t="s">
        <v>515</v>
      </c>
    </row>
    <row r="1220" spans="2:5" x14ac:dyDescent="0.35">
      <c r="B1220">
        <v>0</v>
      </c>
      <c r="C1220" t="s">
        <v>523</v>
      </c>
      <c r="D1220" t="s">
        <v>506</v>
      </c>
      <c r="E1220" t="s">
        <v>515</v>
      </c>
    </row>
    <row r="1221" spans="2:5" x14ac:dyDescent="0.35">
      <c r="B1221">
        <v>0</v>
      </c>
      <c r="C1221" t="s">
        <v>523</v>
      </c>
      <c r="D1221" t="s">
        <v>506</v>
      </c>
      <c r="E1221" t="s">
        <v>515</v>
      </c>
    </row>
    <row r="1222" spans="2:5" x14ac:dyDescent="0.35">
      <c r="B1222">
        <v>0</v>
      </c>
      <c r="C1222" t="s">
        <v>523</v>
      </c>
      <c r="D1222" t="s">
        <v>506</v>
      </c>
      <c r="E1222" t="s">
        <v>515</v>
      </c>
    </row>
    <row r="1223" spans="2:5" x14ac:dyDescent="0.35">
      <c r="B1223">
        <v>0</v>
      </c>
      <c r="C1223" t="s">
        <v>523</v>
      </c>
      <c r="D1223" t="s">
        <v>506</v>
      </c>
      <c r="E1223" t="s">
        <v>515</v>
      </c>
    </row>
    <row r="1224" spans="2:5" x14ac:dyDescent="0.35">
      <c r="B1224">
        <v>0</v>
      </c>
      <c r="C1224" t="s">
        <v>523</v>
      </c>
      <c r="D1224" t="s">
        <v>506</v>
      </c>
      <c r="E1224" t="s">
        <v>515</v>
      </c>
    </row>
    <row r="1225" spans="2:5" x14ac:dyDescent="0.35">
      <c r="B1225">
        <v>0</v>
      </c>
      <c r="C1225" t="s">
        <v>523</v>
      </c>
      <c r="D1225" t="s">
        <v>506</v>
      </c>
      <c r="E1225" t="s">
        <v>515</v>
      </c>
    </row>
    <row r="1226" spans="2:5" x14ac:dyDescent="0.35">
      <c r="B1226">
        <v>0</v>
      </c>
      <c r="C1226" t="s">
        <v>523</v>
      </c>
      <c r="D1226" t="s">
        <v>506</v>
      </c>
      <c r="E1226" t="s">
        <v>515</v>
      </c>
    </row>
    <row r="1227" spans="2:5" x14ac:dyDescent="0.35">
      <c r="B1227">
        <v>0</v>
      </c>
      <c r="C1227" t="s">
        <v>523</v>
      </c>
      <c r="D1227" t="s">
        <v>506</v>
      </c>
      <c r="E1227" t="s">
        <v>515</v>
      </c>
    </row>
    <row r="1228" spans="2:5" x14ac:dyDescent="0.35">
      <c r="B1228">
        <v>0</v>
      </c>
      <c r="C1228" t="s">
        <v>523</v>
      </c>
      <c r="D1228" t="s">
        <v>506</v>
      </c>
      <c r="E1228" t="s">
        <v>515</v>
      </c>
    </row>
    <row r="1229" spans="2:5" x14ac:dyDescent="0.35">
      <c r="B1229">
        <v>0</v>
      </c>
      <c r="C1229" t="s">
        <v>523</v>
      </c>
      <c r="D1229" t="s">
        <v>506</v>
      </c>
      <c r="E1229" t="s">
        <v>515</v>
      </c>
    </row>
    <row r="1230" spans="2:5" x14ac:dyDescent="0.35">
      <c r="B1230">
        <v>0</v>
      </c>
      <c r="C1230" t="s">
        <v>523</v>
      </c>
      <c r="D1230" t="s">
        <v>506</v>
      </c>
      <c r="E1230" t="s">
        <v>515</v>
      </c>
    </row>
    <row r="1231" spans="2:5" x14ac:dyDescent="0.35">
      <c r="B1231">
        <v>0</v>
      </c>
      <c r="C1231" t="s">
        <v>523</v>
      </c>
      <c r="D1231" t="s">
        <v>506</v>
      </c>
      <c r="E1231" t="s">
        <v>515</v>
      </c>
    </row>
    <row r="1232" spans="2:5" x14ac:dyDescent="0.35">
      <c r="B1232">
        <v>0</v>
      </c>
      <c r="C1232" t="s">
        <v>523</v>
      </c>
      <c r="D1232" t="s">
        <v>506</v>
      </c>
      <c r="E1232" t="s">
        <v>515</v>
      </c>
    </row>
    <row r="1233" spans="2:5" x14ac:dyDescent="0.35">
      <c r="B1233">
        <v>0</v>
      </c>
      <c r="C1233" t="s">
        <v>523</v>
      </c>
      <c r="D1233" t="s">
        <v>506</v>
      </c>
      <c r="E1233" t="s">
        <v>515</v>
      </c>
    </row>
    <row r="1234" spans="2:5" x14ac:dyDescent="0.35">
      <c r="B1234">
        <v>0</v>
      </c>
      <c r="C1234" t="s">
        <v>523</v>
      </c>
      <c r="D1234" t="s">
        <v>506</v>
      </c>
      <c r="E1234" t="s">
        <v>515</v>
      </c>
    </row>
    <row r="1235" spans="2:5" x14ac:dyDescent="0.35">
      <c r="B1235">
        <v>0</v>
      </c>
      <c r="C1235" t="s">
        <v>523</v>
      </c>
      <c r="D1235" t="s">
        <v>506</v>
      </c>
      <c r="E1235" t="s">
        <v>515</v>
      </c>
    </row>
    <row r="1236" spans="2:5" x14ac:dyDescent="0.35">
      <c r="B1236">
        <v>0</v>
      </c>
      <c r="C1236" t="s">
        <v>523</v>
      </c>
      <c r="D1236" t="s">
        <v>506</v>
      </c>
      <c r="E1236" t="s">
        <v>515</v>
      </c>
    </row>
    <row r="1237" spans="2:5" x14ac:dyDescent="0.35">
      <c r="B1237">
        <v>0</v>
      </c>
      <c r="C1237" t="s">
        <v>523</v>
      </c>
      <c r="D1237" t="s">
        <v>506</v>
      </c>
      <c r="E1237" t="s">
        <v>515</v>
      </c>
    </row>
    <row r="1238" spans="2:5" x14ac:dyDescent="0.35">
      <c r="B1238">
        <v>0</v>
      </c>
      <c r="C1238" t="s">
        <v>523</v>
      </c>
      <c r="D1238" t="s">
        <v>506</v>
      </c>
      <c r="E1238" t="s">
        <v>515</v>
      </c>
    </row>
    <row r="1239" spans="2:5" x14ac:dyDescent="0.35">
      <c r="B1239">
        <v>0</v>
      </c>
      <c r="C1239" t="s">
        <v>523</v>
      </c>
      <c r="D1239" t="s">
        <v>506</v>
      </c>
      <c r="E1239" t="s">
        <v>515</v>
      </c>
    </row>
    <row r="1240" spans="2:5" x14ac:dyDescent="0.35">
      <c r="B1240">
        <v>0</v>
      </c>
      <c r="C1240" t="s">
        <v>523</v>
      </c>
      <c r="D1240" t="s">
        <v>506</v>
      </c>
      <c r="E1240" t="s">
        <v>515</v>
      </c>
    </row>
    <row r="1241" spans="2:5" x14ac:dyDescent="0.35">
      <c r="B1241">
        <v>0</v>
      </c>
      <c r="C1241" t="s">
        <v>523</v>
      </c>
      <c r="D1241" t="s">
        <v>506</v>
      </c>
      <c r="E1241" t="s">
        <v>515</v>
      </c>
    </row>
    <row r="1242" spans="2:5" x14ac:dyDescent="0.35">
      <c r="B1242">
        <v>0</v>
      </c>
      <c r="C1242" t="s">
        <v>523</v>
      </c>
      <c r="D1242" t="s">
        <v>506</v>
      </c>
      <c r="E1242" t="s">
        <v>515</v>
      </c>
    </row>
    <row r="1243" spans="2:5" x14ac:dyDescent="0.35">
      <c r="B1243">
        <v>0</v>
      </c>
      <c r="C1243" t="s">
        <v>523</v>
      </c>
      <c r="D1243" t="s">
        <v>506</v>
      </c>
      <c r="E1243" t="s">
        <v>515</v>
      </c>
    </row>
    <row r="1244" spans="2:5" x14ac:dyDescent="0.35">
      <c r="B1244">
        <v>0</v>
      </c>
      <c r="C1244" t="s">
        <v>523</v>
      </c>
      <c r="D1244" t="s">
        <v>506</v>
      </c>
      <c r="E1244" t="s">
        <v>515</v>
      </c>
    </row>
  </sheetData>
  <conditionalFormatting sqref="A892:A894">
    <cfRule type="expression" dxfId="22" priority="9">
      <formula>$Q892=TRUE</formula>
    </cfRule>
    <cfRule type="containsText" dxfId="21" priority="10" operator="containsText" text=" ">
      <formula>NOT(ISERROR(SEARCH(" ",A892)))</formula>
    </cfRule>
  </conditionalFormatting>
  <conditionalFormatting sqref="A1039">
    <cfRule type="containsText" dxfId="20" priority="31" operator="containsText" text=" ">
      <formula>NOT(ISERROR(SEARCH(" ",A1039)))</formula>
    </cfRule>
  </conditionalFormatting>
  <conditionalFormatting sqref="A1049:A1058">
    <cfRule type="containsText" dxfId="19" priority="2" operator="containsText" text=" ">
      <formula>NOT(ISERROR(SEARCH(" ",A1049)))</formula>
    </cfRule>
  </conditionalFormatting>
  <conditionalFormatting sqref="A1050">
    <cfRule type="expression" dxfId="18" priority="29">
      <formula>$AT1050=TRUE</formula>
    </cfRule>
  </conditionalFormatting>
  <conditionalFormatting sqref="A1050:A1058">
    <cfRule type="expression" dxfId="17" priority="1">
      <formula>$Q1050=TRUE</formula>
    </cfRule>
  </conditionalFormatting>
  <conditionalFormatting sqref="A1052:A1053">
    <cfRule type="expression" dxfId="16" priority="21">
      <formula>$AU1052=TRUE</formula>
    </cfRule>
  </conditionalFormatting>
  <conditionalFormatting sqref="A942:B943">
    <cfRule type="containsText" dxfId="15" priority="113" operator="containsText" text=" ">
      <formula>NOT(ISERROR(SEARCH(" ",A942)))</formula>
    </cfRule>
  </conditionalFormatting>
  <conditionalFormatting sqref="A946:B950">
    <cfRule type="containsText" dxfId="14" priority="110" operator="containsText" text=" ">
      <formula>NOT(ISERROR(SEARCH(" ",A946)))</formula>
    </cfRule>
  </conditionalFormatting>
  <conditionalFormatting sqref="A952:B953">
    <cfRule type="containsText" dxfId="13" priority="108" operator="containsText" text=" ">
      <formula>NOT(ISERROR(SEARCH(" ",A952)))</formula>
    </cfRule>
  </conditionalFormatting>
  <conditionalFormatting sqref="A956:B971">
    <cfRule type="containsText" dxfId="12" priority="91" operator="containsText" text=" ">
      <formula>NOT(ISERROR(SEARCH(" ",A956)))</formula>
    </cfRule>
  </conditionalFormatting>
  <conditionalFormatting sqref="A974:B977">
    <cfRule type="containsText" dxfId="11" priority="87" operator="containsText" text=" ">
      <formula>NOT(ISERROR(SEARCH(" ",A974)))</formula>
    </cfRule>
  </conditionalFormatting>
  <conditionalFormatting sqref="A979:B982">
    <cfRule type="containsText" dxfId="10" priority="83" operator="containsText" text=" ">
      <formula>NOT(ISERROR(SEARCH(" ",A979)))</formula>
    </cfRule>
  </conditionalFormatting>
  <conditionalFormatting sqref="A985:B986">
    <cfRule type="containsText" dxfId="9" priority="81" operator="containsText" text=" ">
      <formula>NOT(ISERROR(SEARCH(" ",A985)))</formula>
    </cfRule>
  </conditionalFormatting>
  <conditionalFormatting sqref="A988:B991">
    <cfRule type="containsText" dxfId="8" priority="77" operator="containsText" text=" ">
      <formula>NOT(ISERROR(SEARCH(" ",A988)))</formula>
    </cfRule>
  </conditionalFormatting>
  <conditionalFormatting sqref="A994:B1029">
    <cfRule type="containsText" dxfId="7" priority="42" operator="containsText" text=" ">
      <formula>NOT(ISERROR(SEARCH(" ",A994)))</formula>
    </cfRule>
  </conditionalFormatting>
  <conditionalFormatting sqref="A1031:B1038 B1039 A1040:B1048">
    <cfRule type="containsText" dxfId="6" priority="32" operator="containsText" text=" ">
      <formula>NOT(ISERROR(SEARCH(" ",A1031)))</formula>
    </cfRule>
  </conditionalFormatting>
  <conditionalFormatting sqref="B893:B894 A895:B940">
    <cfRule type="containsText" dxfId="5" priority="115" operator="containsText" text=" ">
      <formula>NOT(ISERROR(SEARCH(" ",A893)))</formula>
    </cfRule>
  </conditionalFormatting>
  <conditionalFormatting sqref="C1:D1048576">
    <cfRule type="containsText" dxfId="4" priority="164" operator="containsText" text="FALSE">
      <formula>NOT(ISERROR(SEARCH("FALSE",C1)))</formula>
    </cfRule>
  </conditionalFormatting>
  <dataValidations disablePrompts="1" count="1">
    <dataValidation type="list" allowBlank="1" showInputMessage="1" showErrorMessage="1" sqref="I790:L1048576" xr:uid="{849300FC-539D-4D20-A02B-989A8DDFC06F}">
      <formula1>"TRUE"</formula1>
    </dataValidation>
  </dataValidations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2F1A-9287-4526-9497-B34C300AF4DB}">
  <dimension ref="A1:O1115"/>
  <sheetViews>
    <sheetView workbookViewId="0">
      <pane xSplit="1" ySplit="1" topLeftCell="B2" activePane="bottomRight" state="frozen"/>
      <selection activeCell="A821" sqref="A821"/>
      <selection pane="topRight" activeCell="A821" sqref="A821"/>
      <selection pane="bottomLeft" activeCell="A821" sqref="A821"/>
      <selection pane="bottomRight" activeCell="A821" sqref="A821"/>
    </sheetView>
  </sheetViews>
  <sheetFormatPr defaultRowHeight="14.5" x14ac:dyDescent="0.35"/>
  <cols>
    <col min="1" max="1" width="54.6328125" bestFit="1" customWidth="1"/>
    <col min="2" max="2" width="10.81640625" bestFit="1" customWidth="1"/>
    <col min="3" max="3" width="22.54296875" bestFit="1" customWidth="1"/>
    <col min="4" max="4" width="13.08984375" bestFit="1" customWidth="1"/>
    <col min="5" max="5" width="24.1796875" bestFit="1" customWidth="1"/>
    <col min="6" max="6" width="61.7265625" style="25" hidden="1" customWidth="1"/>
    <col min="7" max="7" width="9.08984375" bestFit="1" customWidth="1"/>
    <col min="8" max="8" width="6.7265625" bestFit="1" customWidth="1"/>
    <col min="9" max="9" width="20.08984375" bestFit="1" customWidth="1"/>
    <col min="10" max="10" width="18.1796875" bestFit="1" customWidth="1"/>
    <col min="11" max="11" width="18.7265625" bestFit="1" customWidth="1"/>
    <col min="12" max="12" width="20.1796875" bestFit="1" customWidth="1"/>
    <col min="13" max="13" width="17.36328125" bestFit="1" customWidth="1"/>
    <col min="14" max="14" width="17.26953125" bestFit="1" customWidth="1"/>
    <col min="15" max="15" width="10.6328125" bestFit="1" customWidth="1"/>
  </cols>
  <sheetData>
    <row r="1" spans="1:15" x14ac:dyDescent="0.35">
      <c r="A1" t="s">
        <v>0</v>
      </c>
      <c r="B1" t="s">
        <v>1885</v>
      </c>
      <c r="C1" t="s">
        <v>246</v>
      </c>
      <c r="D1" t="s">
        <v>1648</v>
      </c>
      <c r="E1" t="s">
        <v>1036</v>
      </c>
      <c r="F1" s="25" t="s">
        <v>1649</v>
      </c>
      <c r="G1" t="s">
        <v>233</v>
      </c>
      <c r="H1" t="s">
        <v>238</v>
      </c>
      <c r="I1" t="s">
        <v>231</v>
      </c>
      <c r="J1" t="s">
        <v>236</v>
      </c>
      <c r="K1" t="s">
        <v>230</v>
      </c>
      <c r="L1" t="s">
        <v>234</v>
      </c>
      <c r="M1" t="s">
        <v>235</v>
      </c>
      <c r="N1" t="s">
        <v>237</v>
      </c>
      <c r="O1" t="s">
        <v>232</v>
      </c>
    </row>
    <row r="2" spans="1:15" x14ac:dyDescent="0.35">
      <c r="A2" t="str" cm="1">
        <f t="array" ref="A2:A1051">_xlfn.UNIQUE(CONTROL[VEHIDCODE])</f>
        <v>mglv_Maglev_Wagon_Powered</v>
      </c>
      <c r="B2" t="b" cm="1">
        <f t="array" ref="B2">_xlfn.XLOOKUP(A2,CONTROL[VEHIDCODE],PROPERTIES[EXCLUDE])</f>
        <v>0</v>
      </c>
      <c r="C2" t="b">
        <f>_xlfn.XLOOKUP(A2,CONTROL[VEHIDCODE],CONTROL[IS_WAGON_OR_COACH])</f>
        <v>1</v>
      </c>
      <c r="D2">
        <f>FLOOR(_xlfn.XLOOKUP($A2,PROPERTIES[VEHIDCODE],PROPERTIES[INTRODUCTION_YEAR]),20)</f>
        <v>2000</v>
      </c>
      <c r="E2" t="e">
        <f>_xlfn.XLOOKUP($A2,PROPERTIES[VEHIDCODE],#REF!)</f>
        <v>#REF!</v>
      </c>
      <c r="F2" s="25" t="str" cm="1">
        <f t="array" ref="F2">_xlfn.CONCAT(_xlfn.XLOOKUP($A2,PROPERTIES[VEHIDCODE],PROPERTIES[REGION1]),"_",_xlfn.XLOOKUP($A2,PROPERTIES[VEHIDCODE],PROPERTIES[REGION2]),"_",_xlfn.XLOOKUP($A2,PROPERTIES[VEHIDCODE],PROPERTIES[REGION3]&amp;"_"&amp;_xlfn.XLOOKUP($A2,PROPERTIES[VEHIDCODE],PROPERTIES[REGION4])))</f>
        <v>ALL_REGION_NO_REGION_NO_REGION_NO_REGION</v>
      </c>
      <c r="G2" t="b">
        <f t="shared" ref="G2:G65" si="0">OR(ISNUMBER(SEARCH("ALL_REGION",$F2)),
ISNUMBER(SEARCH("AFRICA",$F2)),
ISNUMBER(SEARCH("OLD_WORLD",$F2)),
ISNUMBER(SEARCH("NON_EUROPEAN",$F2)))</f>
        <v>1</v>
      </c>
      <c r="H2" t="b">
        <f>OR(ISNUMBER(SEARCH("ALL_REGION",$F2)),
ISNUMBER(SEARCH("ASIA",$F2)),
ISNUMBER(SEARCH("OLD_WORLD",$F2)),
ISNUMBER(SEARCH("NON_EUROPEAN",$F2)),
ISNUMBER(SEARCH("APAC",$F2)),
ISNUMBER(SEARCH("COMECON",$F2)),
ISNUMBER(SEARCH("COMECON_EXTENDED",$F2)),
ISNUMBER(SEARCH("POST_SOVIET_BALTIC",$F2)))</f>
        <v>1</v>
      </c>
      <c r="I2" t="b">
        <f t="shared" ref="I2:I65" si="1">OR(ISNUMBER(SEARCH("ALL_REGION",$F2)),
ISNUMBER(SEARCH("ALL_EUROPE",$F2)),
ISNUMBER(SEARCH(I$1,$F2)),
ISNUMBER(SEARCH("OLD_WORLD",$F2)))</f>
        <v>1</v>
      </c>
      <c r="J2" t="b">
        <f>OR(ISNUMBER(SEARCH("ALL_REGION",$F2)),
ISNUMBER(SEARCH("ALL_EUROPE",$F2)),
ISNUMBER(SEARCH(J$1,$F2)),
ISNUMBER(SEARCH("OLD_WORLD",$F2)),
ISNUMBER(SEARCH("COMECON",$F2)),
ISNUMBER(SEARCH("POST_SOVIET_BALTIC",$F2)))</f>
        <v>1</v>
      </c>
      <c r="K2" t="b">
        <f t="shared" ref="K2:K65" si="2">OR(ISNUMBER(SEARCH("ALL_REGION",$F2)),
ISNUMBER(SEARCH("ALL_EUROPE",$F2)),
ISNUMBER(SEARCH(K$1,$F2)),
ISNUMBER(SEARCH("OLD_WORLD",$F2)),
ISNUMBER(SEARCH("NORTH_WEST_EUROPE",$F2)))</f>
        <v>1</v>
      </c>
      <c r="L2" t="b">
        <f t="shared" ref="L2:L65" si="3">OR(ISNUMBER(SEARCH("ALL_REGION",$F2)),
ISNUMBER(SEARCH("ALL_EUROPE",$F2)),
ISNUMBER(SEARCH(L$1,$F2)),
ISNUMBER(SEARCH("OLD_WORLD",$F2)),
ISNUMBER(SEARCH("NORTH_WEST_EUROPE",$F2)),
ISNUMBER(SEARCH("POST_SOVIET_BALTIC",$F2)))</f>
        <v>1</v>
      </c>
      <c r="M2" t="b">
        <f t="shared" ref="M2:M65" si="4">OR(ISNUMBER(SEARCH("ALL_REGION",$F2)),
ISNUMBER(SEARCH("ALL_AMERICA",$F2)),
ISNUMBER(SEARCH(M$1,$F2)),
ISNUMBER(SEARCH("NON_EUROPEAN",$F2)))</f>
        <v>1</v>
      </c>
      <c r="N2" t="b">
        <f t="shared" ref="N2:N65" si="5">OR(ISNUMBER(SEARCH("ALL_REGION",$F2)),
ISNUMBER(SEARCH("ALL_AMERICA",$F2)),
ISNUMBER(SEARCH(N$1,$F2)),
ISNUMBER(SEARCH("NON_EUROPEAN",$F2)),
ISNUMBER(SEARCH("COMECON_EXTENDED",$F2)))</f>
        <v>1</v>
      </c>
      <c r="O2" t="b">
        <f t="shared" ref="O2:O65" si="6">OR(ISNUMBER(SEARCH("ALL_REGION",$F2)),
ISNUMBER(SEARCH(O$1,$F2)),
ISNUMBER(SEARCH("APAC",$F2)))</f>
        <v>1</v>
      </c>
    </row>
    <row r="3" spans="1:15" x14ac:dyDescent="0.35">
      <c r="A3" t="str">
        <v>mglv_Maglev_Wagon_Unpowered</v>
      </c>
      <c r="B3" t="b" cm="1">
        <f t="array" ref="B3">_xlfn.XLOOKUP(A3,CONTROL[VEHIDCODE],PROPERTIES[EXCLUDE])</f>
        <v>0</v>
      </c>
      <c r="C3" t="b">
        <f>_xlfn.XLOOKUP(A3,CONTROL[VEHIDCODE],CONTROL[IS_WAGON_OR_COACH])</f>
        <v>1</v>
      </c>
      <c r="D3">
        <f>FLOOR(_xlfn.XLOOKUP($A3,PROPERTIES[VEHIDCODE],PROPERTIES[INTRODUCTION_YEAR]),20)</f>
        <v>2000</v>
      </c>
      <c r="E3" t="e">
        <f>_xlfn.XLOOKUP($A3,PROPERTIES[VEHIDCODE],#REF!)</f>
        <v>#REF!</v>
      </c>
      <c r="F3" s="25" t="str" cm="1">
        <f t="array" ref="F3">_xlfn.CONCAT(_xlfn.XLOOKUP($A3,PROPERTIES[VEHIDCODE],PROPERTIES[REGION1]),"_",_xlfn.XLOOKUP($A3,PROPERTIES[VEHIDCODE],PROPERTIES[REGION2]),"_",_xlfn.XLOOKUP($A3,PROPERTIES[VEHIDCODE],PROPERTIES[REGION3]&amp;"_"&amp;_xlfn.XLOOKUP($A3,PROPERTIES[VEHIDCODE],PROPERTIES[REGION4])))</f>
        <v>ALL_REGION_NO_REGION_NO_REGION_NO_REGION</v>
      </c>
      <c r="G3" t="b">
        <f t="shared" si="0"/>
        <v>1</v>
      </c>
      <c r="H3" t="b">
        <f t="shared" ref="H3:H66" si="7">OR(ISNUMBER(SEARCH("ALL_REGION",$F3)),
ISNUMBER(SEARCH("ASIA",$F3)),
ISNUMBER(SEARCH("OLD_WORLD",$F3)),
ISNUMBER(SEARCH("NON_EUROPEAN",$F3)),
ISNUMBER(SEARCH("APAC",$F3)),
ISNUMBER(SEARCH("COMECON",$F3)),
ISNUMBER(SEARCH("COMECON_EXTENDED",$F3)),
ISNUMBER(SEARCH("POST_SOVIET_BALTIC",$F3)))</f>
        <v>1</v>
      </c>
      <c r="I3" t="b">
        <f t="shared" si="1"/>
        <v>1</v>
      </c>
      <c r="J3" t="b">
        <f t="shared" ref="J3:J66" si="8">OR(ISNUMBER(SEARCH("ALL_REGION",$F3)),
ISNUMBER(SEARCH("ALL_EUROPE",$F3)),
ISNUMBER(SEARCH(J$1,$F3)),
ISNUMBER(SEARCH("OLD_WORLD",$F3)),
ISNUMBER(SEARCH("COMECON",$F3)),
ISNUMBER(SEARCH("POST_SOVIET_BALTIC",$F3)))</f>
        <v>1</v>
      </c>
      <c r="K3" t="b">
        <f t="shared" si="2"/>
        <v>1</v>
      </c>
      <c r="L3" t="b">
        <f t="shared" si="3"/>
        <v>1</v>
      </c>
      <c r="M3" t="b">
        <f t="shared" si="4"/>
        <v>1</v>
      </c>
      <c r="N3" t="b">
        <f t="shared" si="5"/>
        <v>1</v>
      </c>
      <c r="O3" t="b">
        <f t="shared" si="6"/>
        <v>1</v>
      </c>
    </row>
    <row r="4" spans="1:15" x14ac:dyDescent="0.35">
      <c r="A4" t="str">
        <v>rbs_Komarek_NOLB_1</v>
      </c>
      <c r="B4" t="b" cm="1">
        <f t="array" ref="B4">_xlfn.XLOOKUP(A4,CONTROL[VEHIDCODE],PROPERTIES[EXCLUDE])</f>
        <v>0</v>
      </c>
      <c r="C4" t="b">
        <f>_xlfn.XLOOKUP(A4,CONTROL[VEHIDCODE],CONTROL[IS_WAGON_OR_COACH])</f>
        <v>0</v>
      </c>
      <c r="D4">
        <f>FLOOR(_xlfn.XLOOKUP($A4,PROPERTIES[VEHIDCODE],PROPERTIES[INTRODUCTION_YEAR]),20)</f>
        <v>1900</v>
      </c>
      <c r="E4" t="e">
        <f>_xlfn.XLOOKUP($A4,PROPERTIES[VEHIDCODE],#REF!)</f>
        <v>#REF!</v>
      </c>
      <c r="F4" s="25" t="str" cm="1">
        <f t="array" ref="F4">_xlfn.CONCAT(_xlfn.XLOOKUP($A4,PROPERTIES[VEHIDCODE],PROPERTIES[REGION1]),"_",_xlfn.XLOOKUP($A4,PROPERTIES[VEHIDCODE],PROPERTIES[REGION2]),"_",_xlfn.XLOOKUP($A4,PROPERTIES[VEHIDCODE],PROPERTIES[REGION3]&amp;"_"&amp;_xlfn.XLOOKUP($A4,PROPERTIES[VEHIDCODE],PROPERTIES[REGION4])))</f>
        <v>WESTERN_EUROPE_NO_REGION_NO_REGION_NO_REGION</v>
      </c>
      <c r="G4" t="b">
        <f t="shared" si="0"/>
        <v>0</v>
      </c>
      <c r="H4" t="b">
        <f t="shared" si="7"/>
        <v>0</v>
      </c>
      <c r="I4" t="b">
        <f t="shared" si="1"/>
        <v>0</v>
      </c>
      <c r="J4" t="b">
        <f t="shared" si="8"/>
        <v>0</v>
      </c>
      <c r="K4" t="b">
        <f t="shared" si="2"/>
        <v>1</v>
      </c>
      <c r="L4" t="b">
        <f t="shared" si="3"/>
        <v>0</v>
      </c>
      <c r="M4" t="b">
        <f t="shared" si="4"/>
        <v>0</v>
      </c>
      <c r="N4" t="b">
        <f t="shared" si="5"/>
        <v>0</v>
      </c>
      <c r="O4" t="b">
        <f t="shared" si="6"/>
        <v>0</v>
      </c>
    </row>
    <row r="5" spans="1:15" x14ac:dyDescent="0.35">
      <c r="A5" t="str">
        <v>rbs_Kerr__Stuart___Co__86</v>
      </c>
      <c r="B5" t="b" cm="1">
        <f t="array" ref="B5">_xlfn.XLOOKUP(A5,CONTROL[VEHIDCODE],PROPERTIES[EXCLUDE])</f>
        <v>0</v>
      </c>
      <c r="C5" t="b">
        <f>_xlfn.XLOOKUP(A5,CONTROL[VEHIDCODE],CONTROL[IS_WAGON_OR_COACH])</f>
        <v>0</v>
      </c>
      <c r="D5">
        <f>FLOOR(_xlfn.XLOOKUP($A5,PROPERTIES[VEHIDCODE],PROPERTIES[INTRODUCTION_YEAR]),20)</f>
        <v>1900</v>
      </c>
      <c r="E5" t="e">
        <f>_xlfn.XLOOKUP($A5,PROPERTIES[VEHIDCODE],#REF!)</f>
        <v>#REF!</v>
      </c>
      <c r="F5" s="25" t="str" cm="1">
        <f t="array" ref="F5">_xlfn.CONCAT(_xlfn.XLOOKUP($A5,PROPERTIES[VEHIDCODE],PROPERTIES[REGION1]),"_",_xlfn.XLOOKUP($A5,PROPERTIES[VEHIDCODE],PROPERTIES[REGION2]),"_",_xlfn.XLOOKUP($A5,PROPERTIES[VEHIDCODE],PROPERTIES[REGION3]&amp;"_"&amp;_xlfn.XLOOKUP($A5,PROPERTIES[VEHIDCODE],PROPERTIES[REGION4])))</f>
        <v>SOUTHERN_EUROPE_NO_REGION_NO_REGION_NO_REGION</v>
      </c>
      <c r="G5" t="b">
        <f t="shared" si="0"/>
        <v>0</v>
      </c>
      <c r="H5" t="b">
        <f t="shared" si="7"/>
        <v>0</v>
      </c>
      <c r="I5" t="b">
        <f t="shared" si="1"/>
        <v>1</v>
      </c>
      <c r="J5" t="b">
        <f t="shared" si="8"/>
        <v>0</v>
      </c>
      <c r="K5" t="b">
        <f t="shared" si="2"/>
        <v>0</v>
      </c>
      <c r="L5" t="b">
        <f t="shared" si="3"/>
        <v>0</v>
      </c>
      <c r="M5" t="b">
        <f t="shared" si="4"/>
        <v>0</v>
      </c>
      <c r="N5" t="b">
        <f t="shared" si="5"/>
        <v>0</v>
      </c>
      <c r="O5" t="b">
        <f t="shared" si="6"/>
        <v>0</v>
      </c>
    </row>
    <row r="6" spans="1:15" x14ac:dyDescent="0.35">
      <c r="A6" t="str">
        <v>rbs_Victorian_Railways_Rowan_Railmotor</v>
      </c>
      <c r="B6" t="b" cm="1">
        <f t="array" ref="B6">_xlfn.XLOOKUP(A6,CONTROL[VEHIDCODE],PROPERTIES[EXCLUDE])</f>
        <v>0</v>
      </c>
      <c r="C6" t="b">
        <f>_xlfn.XLOOKUP(A6,CONTROL[VEHIDCODE],CONTROL[IS_WAGON_OR_COACH])</f>
        <v>0</v>
      </c>
      <c r="D6">
        <f>FLOOR(_xlfn.XLOOKUP($A6,PROPERTIES[VEHIDCODE],PROPERTIES[INTRODUCTION_YEAR]),20)</f>
        <v>1880</v>
      </c>
      <c r="E6" t="e">
        <f>_xlfn.XLOOKUP($A6,PROPERTIES[VEHIDCODE],#REF!)</f>
        <v>#REF!</v>
      </c>
      <c r="F6" s="25" t="str" cm="1">
        <f t="array" ref="F6">_xlfn.CONCAT(_xlfn.XLOOKUP($A6,PROPERTIES[VEHIDCODE],PROPERTIES[REGION1]),"_",_xlfn.XLOOKUP($A6,PROPERTIES[VEHIDCODE],PROPERTIES[REGION2]),"_",_xlfn.XLOOKUP($A6,PROPERTIES[VEHIDCODE],PROPERTIES[REGION3]&amp;"_"&amp;_xlfn.XLOOKUP($A6,PROPERTIES[VEHIDCODE],PROPERTIES[REGION4])))</f>
        <v>OCEANIA_NO_REGION_NO_REGION_NO_REGION</v>
      </c>
      <c r="G6" t="b">
        <f t="shared" si="0"/>
        <v>0</v>
      </c>
      <c r="H6" t="b">
        <f t="shared" si="7"/>
        <v>0</v>
      </c>
      <c r="I6" t="b">
        <f t="shared" si="1"/>
        <v>0</v>
      </c>
      <c r="J6" t="b">
        <f t="shared" si="8"/>
        <v>0</v>
      </c>
      <c r="K6" t="b">
        <f t="shared" si="2"/>
        <v>0</v>
      </c>
      <c r="L6" t="b">
        <f t="shared" si="3"/>
        <v>0</v>
      </c>
      <c r="M6" t="b">
        <f t="shared" si="4"/>
        <v>0</v>
      </c>
      <c r="N6" t="b">
        <f t="shared" si="5"/>
        <v>0</v>
      </c>
      <c r="O6" t="b">
        <f t="shared" si="6"/>
        <v>1</v>
      </c>
    </row>
    <row r="7" spans="1:15" x14ac:dyDescent="0.35">
      <c r="A7" t="str">
        <v>rbs_Esslingen_Czm_1_2</v>
      </c>
      <c r="B7" t="b" cm="1">
        <f t="array" ref="B7">_xlfn.XLOOKUP(A7,CONTROL[VEHIDCODE],PROPERTIES[EXCLUDE])</f>
        <v>0</v>
      </c>
      <c r="C7" t="b">
        <f>_xlfn.XLOOKUP(A7,CONTROL[VEHIDCODE],CONTROL[IS_WAGON_OR_COACH])</f>
        <v>0</v>
      </c>
      <c r="D7">
        <f>FLOOR(_xlfn.XLOOKUP($A7,PROPERTIES[VEHIDCODE],PROPERTIES[INTRODUCTION_YEAR]),20)</f>
        <v>1900</v>
      </c>
      <c r="E7" t="e">
        <f>_xlfn.XLOOKUP($A7,PROPERTIES[VEHIDCODE],#REF!)</f>
        <v>#REF!</v>
      </c>
      <c r="F7" s="25" t="str" cm="1">
        <f t="array" ref="F7">_xlfn.CONCAT(_xlfn.XLOOKUP($A7,PROPERTIES[VEHIDCODE],PROPERTIES[REGION1]),"_",_xlfn.XLOOKUP($A7,PROPERTIES[VEHIDCODE],PROPERTIES[REGION2]),"_",_xlfn.XLOOKUP($A7,PROPERTIES[VEHIDCODE],PROPERTIES[REGION3]&amp;"_"&amp;_xlfn.XLOOKUP($A7,PROPERTIES[VEHIDCODE],PROPERTIES[REGION4])))</f>
        <v>WESTERN_EUROPE_NO_REGION_NO_REGION_NO_REGION</v>
      </c>
      <c r="G7" t="b">
        <f t="shared" si="0"/>
        <v>0</v>
      </c>
      <c r="H7" t="b">
        <f t="shared" si="7"/>
        <v>0</v>
      </c>
      <c r="I7" t="b">
        <f t="shared" si="1"/>
        <v>0</v>
      </c>
      <c r="J7" t="b">
        <f t="shared" si="8"/>
        <v>0</v>
      </c>
      <c r="K7" t="b">
        <f t="shared" si="2"/>
        <v>1</v>
      </c>
      <c r="L7" t="b">
        <f t="shared" si="3"/>
        <v>0</v>
      </c>
      <c r="M7" t="b">
        <f t="shared" si="4"/>
        <v>0</v>
      </c>
      <c r="N7" t="b">
        <f t="shared" si="5"/>
        <v>0</v>
      </c>
      <c r="O7" t="b">
        <f t="shared" si="6"/>
        <v>0</v>
      </c>
    </row>
    <row r="8" spans="1:15" x14ac:dyDescent="0.35">
      <c r="A8" t="str">
        <v>rbs_Maffei_MCCi</v>
      </c>
      <c r="B8" t="b" cm="1">
        <f t="array" ref="B8">_xlfn.XLOOKUP(A8,CONTROL[VEHIDCODE],PROPERTIES[EXCLUDE])</f>
        <v>0</v>
      </c>
      <c r="C8" t="b">
        <f>_xlfn.XLOOKUP(A8,CONTROL[VEHIDCODE],CONTROL[IS_WAGON_OR_COACH])</f>
        <v>0</v>
      </c>
      <c r="D8">
        <f>FLOOR(_xlfn.XLOOKUP($A8,PROPERTIES[VEHIDCODE],PROPERTIES[INTRODUCTION_YEAR]),20)</f>
        <v>1900</v>
      </c>
      <c r="E8" t="e">
        <f>_xlfn.XLOOKUP($A8,PROPERTIES[VEHIDCODE],#REF!)</f>
        <v>#REF!</v>
      </c>
      <c r="F8" s="25" t="str" cm="1">
        <f t="array" ref="F8">_xlfn.CONCAT(_xlfn.XLOOKUP($A8,PROPERTIES[VEHIDCODE],PROPERTIES[REGION1]),"_",_xlfn.XLOOKUP($A8,PROPERTIES[VEHIDCODE],PROPERTIES[REGION2]),"_",_xlfn.XLOOKUP($A8,PROPERTIES[VEHIDCODE],PROPERTIES[REGION3]&amp;"_"&amp;_xlfn.XLOOKUP($A8,PROPERTIES[VEHIDCODE],PROPERTIES[REGION4])))</f>
        <v>WESTERN_EUROPE_NO_REGION_NO_REGION_NO_REGION</v>
      </c>
      <c r="G8" t="b">
        <f t="shared" si="0"/>
        <v>0</v>
      </c>
      <c r="H8" t="b">
        <f t="shared" si="7"/>
        <v>0</v>
      </c>
      <c r="I8" t="b">
        <f t="shared" si="1"/>
        <v>0</v>
      </c>
      <c r="J8" t="b">
        <f t="shared" si="8"/>
        <v>0</v>
      </c>
      <c r="K8" t="b">
        <f t="shared" si="2"/>
        <v>1</v>
      </c>
      <c r="L8" t="b">
        <f t="shared" si="3"/>
        <v>0</v>
      </c>
      <c r="M8" t="b">
        <f t="shared" si="4"/>
        <v>0</v>
      </c>
      <c r="N8" t="b">
        <f t="shared" si="5"/>
        <v>0</v>
      </c>
      <c r="O8" t="b">
        <f t="shared" si="6"/>
        <v>0</v>
      </c>
    </row>
    <row r="9" spans="1:15" x14ac:dyDescent="0.35">
      <c r="A9" t="str">
        <v>rbs_Kitson___Co_CSAR_Railmotor</v>
      </c>
      <c r="B9" t="b" cm="1">
        <f t="array" ref="B9">_xlfn.XLOOKUP(A9,CONTROL[VEHIDCODE],PROPERTIES[EXCLUDE])</f>
        <v>0</v>
      </c>
      <c r="C9" t="b">
        <f>_xlfn.XLOOKUP(A9,CONTROL[VEHIDCODE],CONTROL[IS_WAGON_OR_COACH])</f>
        <v>0</v>
      </c>
      <c r="D9">
        <f>FLOOR(_xlfn.XLOOKUP($A9,PROPERTIES[VEHIDCODE],PROPERTIES[INTRODUCTION_YEAR]),20)</f>
        <v>1900</v>
      </c>
      <c r="E9" t="e">
        <f>_xlfn.XLOOKUP($A9,PROPERTIES[VEHIDCODE],#REF!)</f>
        <v>#REF!</v>
      </c>
      <c r="F9" s="25" t="str" cm="1">
        <f t="array" ref="F9">_xlfn.CONCAT(_xlfn.XLOOKUP($A9,PROPERTIES[VEHIDCODE],PROPERTIES[REGION1]),"_",_xlfn.XLOOKUP($A9,PROPERTIES[VEHIDCODE],PROPERTIES[REGION2]),"_",_xlfn.XLOOKUP($A9,PROPERTIES[VEHIDCODE],PROPERTIES[REGION3]&amp;"_"&amp;_xlfn.XLOOKUP($A9,PROPERTIES[VEHIDCODE],PROPERTIES[REGION4])))</f>
        <v>AFRICA_NO_REGION_NO_REGION_NO_REGION</v>
      </c>
      <c r="G9" t="b">
        <f t="shared" si="0"/>
        <v>1</v>
      </c>
      <c r="H9" t="b">
        <f t="shared" si="7"/>
        <v>0</v>
      </c>
      <c r="I9" t="b">
        <f t="shared" si="1"/>
        <v>0</v>
      </c>
      <c r="J9" t="b">
        <f t="shared" si="8"/>
        <v>0</v>
      </c>
      <c r="K9" t="b">
        <f t="shared" si="2"/>
        <v>0</v>
      </c>
      <c r="L9" t="b">
        <f t="shared" si="3"/>
        <v>0</v>
      </c>
      <c r="M9" t="b">
        <f t="shared" si="4"/>
        <v>0</v>
      </c>
      <c r="N9" t="b">
        <f t="shared" si="5"/>
        <v>0</v>
      </c>
      <c r="O9" t="b">
        <f t="shared" si="6"/>
        <v>0</v>
      </c>
    </row>
    <row r="10" spans="1:15" x14ac:dyDescent="0.35">
      <c r="A10" t="str">
        <v>rbs_Kerr_Stuart_steam_railmotor</v>
      </c>
      <c r="B10" t="b" cm="1">
        <f t="array" ref="B10">_xlfn.XLOOKUP(A10,CONTROL[VEHIDCODE],PROPERTIES[EXCLUDE])</f>
        <v>0</v>
      </c>
      <c r="C10" t="b">
        <f>_xlfn.XLOOKUP(A10,CONTROL[VEHIDCODE],CONTROL[IS_WAGON_OR_COACH])</f>
        <v>0</v>
      </c>
      <c r="D10">
        <f>FLOOR(_xlfn.XLOOKUP($A10,PROPERTIES[VEHIDCODE],PROPERTIES[INTRODUCTION_YEAR]),20)</f>
        <v>1900</v>
      </c>
      <c r="E10" t="e">
        <f>_xlfn.XLOOKUP($A10,PROPERTIES[VEHIDCODE],#REF!)</f>
        <v>#REF!</v>
      </c>
      <c r="F10" s="25" t="str" cm="1">
        <f t="array" ref="F10">_xlfn.CONCAT(_xlfn.XLOOKUP($A10,PROPERTIES[VEHIDCODE],PROPERTIES[REGION1]),"_",_xlfn.XLOOKUP($A10,PROPERTIES[VEHIDCODE],PROPERTIES[REGION2]),"_",_xlfn.XLOOKUP($A10,PROPERTIES[VEHIDCODE],PROPERTIES[REGION3]&amp;"_"&amp;_xlfn.XLOOKUP($A10,PROPERTIES[VEHIDCODE],PROPERTIES[REGION4])))</f>
        <v>OCEANIA_NO_REGION_NO_REGION_NO_REGION</v>
      </c>
      <c r="G10" t="b">
        <f t="shared" si="0"/>
        <v>0</v>
      </c>
      <c r="H10" t="b">
        <f t="shared" si="7"/>
        <v>0</v>
      </c>
      <c r="I10" t="b">
        <f t="shared" si="1"/>
        <v>0</v>
      </c>
      <c r="J10" t="b">
        <f t="shared" si="8"/>
        <v>0</v>
      </c>
      <c r="K10" t="b">
        <f t="shared" si="2"/>
        <v>0</v>
      </c>
      <c r="L10" t="b">
        <f t="shared" si="3"/>
        <v>0</v>
      </c>
      <c r="M10" t="b">
        <f t="shared" si="4"/>
        <v>0</v>
      </c>
      <c r="N10" t="b">
        <f t="shared" si="5"/>
        <v>0</v>
      </c>
      <c r="O10" t="b">
        <f t="shared" si="6"/>
        <v>1</v>
      </c>
    </row>
    <row r="11" spans="1:15" x14ac:dyDescent="0.35">
      <c r="A11" t="str">
        <v>rbs_KkStB_4_0</v>
      </c>
      <c r="B11" t="b" cm="1">
        <f t="array" ref="B11">_xlfn.XLOOKUP(A11,CONTROL[VEHIDCODE],PROPERTIES[EXCLUDE])</f>
        <v>0</v>
      </c>
      <c r="C11" t="b">
        <f>_xlfn.XLOOKUP(A11,CONTROL[VEHIDCODE],CONTROL[IS_WAGON_OR_COACH])</f>
        <v>0</v>
      </c>
      <c r="D11">
        <f>FLOOR(_xlfn.XLOOKUP($A11,PROPERTIES[VEHIDCODE],PROPERTIES[INTRODUCTION_YEAR]),20)</f>
        <v>1880</v>
      </c>
      <c r="E11" t="e">
        <f>_xlfn.XLOOKUP($A11,PROPERTIES[VEHIDCODE],#REF!)</f>
        <v>#REF!</v>
      </c>
      <c r="F11" s="25" t="str" cm="1">
        <f t="array" ref="F11">_xlfn.CONCAT(_xlfn.XLOOKUP($A11,PROPERTIES[VEHIDCODE],PROPERTIES[REGION1]),"_",_xlfn.XLOOKUP($A11,PROPERTIES[VEHIDCODE],PROPERTIES[REGION2]),"_",_xlfn.XLOOKUP($A11,PROPERTIES[VEHIDCODE],PROPERTIES[REGION3]&amp;"_"&amp;_xlfn.XLOOKUP($A11,PROPERTIES[VEHIDCODE],PROPERTIES[REGION4])))</f>
        <v>WESTERN_EUROPE_NO_REGION_NO_REGION_NO_REGION</v>
      </c>
      <c r="G11" t="b">
        <f t="shared" si="0"/>
        <v>0</v>
      </c>
      <c r="H11" t="b">
        <f t="shared" si="7"/>
        <v>0</v>
      </c>
      <c r="I11" t="b">
        <f t="shared" si="1"/>
        <v>0</v>
      </c>
      <c r="J11" t="b">
        <f t="shared" si="8"/>
        <v>0</v>
      </c>
      <c r="K11" t="b">
        <f t="shared" si="2"/>
        <v>1</v>
      </c>
      <c r="L11" t="b">
        <f t="shared" si="3"/>
        <v>0</v>
      </c>
      <c r="M11" t="b">
        <f t="shared" si="4"/>
        <v>0</v>
      </c>
      <c r="N11" t="b">
        <f t="shared" si="5"/>
        <v>0</v>
      </c>
      <c r="O11" t="b">
        <f t="shared" si="6"/>
        <v>0</v>
      </c>
    </row>
    <row r="12" spans="1:15" x14ac:dyDescent="0.35">
      <c r="A12" t="str">
        <v>rbd_AEC_railmotor_RM1</v>
      </c>
      <c r="B12" t="b" cm="1">
        <f t="array" ref="B12">_xlfn.XLOOKUP(A12,CONTROL[VEHIDCODE],PROPERTIES[EXCLUDE])</f>
        <v>0</v>
      </c>
      <c r="C12" t="b">
        <f>_xlfn.XLOOKUP(A12,CONTROL[VEHIDCODE],CONTROL[IS_WAGON_OR_COACH])</f>
        <v>0</v>
      </c>
      <c r="D12">
        <f>FLOOR(_xlfn.XLOOKUP($A12,PROPERTIES[VEHIDCODE],PROPERTIES[INTRODUCTION_YEAR]),20)</f>
        <v>1920</v>
      </c>
      <c r="E12" t="e">
        <f>_xlfn.XLOOKUP($A12,PROPERTIES[VEHIDCODE],#REF!)</f>
        <v>#REF!</v>
      </c>
      <c r="F12" s="25" t="str" cm="1">
        <f t="array" ref="F12">_xlfn.CONCAT(_xlfn.XLOOKUP($A12,PROPERTIES[VEHIDCODE],PROPERTIES[REGION1]),"_",_xlfn.XLOOKUP($A12,PROPERTIES[VEHIDCODE],PROPERTIES[REGION2]),"_",_xlfn.XLOOKUP($A12,PROPERTIES[VEHIDCODE],PROPERTIES[REGION3]&amp;"_"&amp;_xlfn.XLOOKUP($A12,PROPERTIES[VEHIDCODE],PROPERTIES[REGION4])))</f>
        <v>OCEANIA_NO_REGION_NO_REGION_NO_REGION</v>
      </c>
      <c r="G12" t="b">
        <f t="shared" si="0"/>
        <v>0</v>
      </c>
      <c r="H12" t="b">
        <f t="shared" si="7"/>
        <v>0</v>
      </c>
      <c r="I12" t="b">
        <f t="shared" si="1"/>
        <v>0</v>
      </c>
      <c r="J12" t="b">
        <f t="shared" si="8"/>
        <v>0</v>
      </c>
      <c r="K12" t="b">
        <f t="shared" si="2"/>
        <v>0</v>
      </c>
      <c r="L12" t="b">
        <f t="shared" si="3"/>
        <v>0</v>
      </c>
      <c r="M12" t="b">
        <f t="shared" si="4"/>
        <v>0</v>
      </c>
      <c r="N12" t="b">
        <f t="shared" si="5"/>
        <v>0</v>
      </c>
      <c r="O12" t="b">
        <f t="shared" si="6"/>
        <v>1</v>
      </c>
    </row>
    <row r="13" spans="1:15" x14ac:dyDescent="0.35">
      <c r="A13" t="str">
        <v>rbd_VT133_Wismar_Railcar</v>
      </c>
      <c r="B13" t="b" cm="1">
        <f t="array" ref="B13">_xlfn.XLOOKUP(A13,CONTROL[VEHIDCODE],PROPERTIES[EXCLUDE])</f>
        <v>0</v>
      </c>
      <c r="C13" t="b">
        <f>_xlfn.XLOOKUP(A13,CONTROL[VEHIDCODE],CONTROL[IS_WAGON_OR_COACH])</f>
        <v>0</v>
      </c>
      <c r="D13">
        <f>FLOOR(_xlfn.XLOOKUP($A13,PROPERTIES[VEHIDCODE],PROPERTIES[INTRODUCTION_YEAR]),20)</f>
        <v>1920</v>
      </c>
      <c r="E13" t="e">
        <f>_xlfn.XLOOKUP($A13,PROPERTIES[VEHIDCODE],#REF!)</f>
        <v>#REF!</v>
      </c>
      <c r="F13" s="25" t="str" cm="1">
        <f t="array" ref="F13">_xlfn.CONCAT(_xlfn.XLOOKUP($A13,PROPERTIES[VEHIDCODE],PROPERTIES[REGION1]),"_",_xlfn.XLOOKUP($A13,PROPERTIES[VEHIDCODE],PROPERTIES[REGION2]),"_",_xlfn.XLOOKUP($A13,PROPERTIES[VEHIDCODE],PROPERTIES[REGION3]&amp;"_"&amp;_xlfn.XLOOKUP($A13,PROPERTIES[VEHIDCODE],PROPERTIES[REGION4])))</f>
        <v>WESTERN_EUROPE_NO_REGION_NO_REGION_NO_REGION</v>
      </c>
      <c r="G13" t="b">
        <f t="shared" si="0"/>
        <v>0</v>
      </c>
      <c r="H13" t="b">
        <f t="shared" si="7"/>
        <v>0</v>
      </c>
      <c r="I13" t="b">
        <f t="shared" si="1"/>
        <v>0</v>
      </c>
      <c r="J13" t="b">
        <f t="shared" si="8"/>
        <v>0</v>
      </c>
      <c r="K13" t="b">
        <f t="shared" si="2"/>
        <v>1</v>
      </c>
      <c r="L13" t="b">
        <f t="shared" si="3"/>
        <v>0</v>
      </c>
      <c r="M13" t="b">
        <f t="shared" si="4"/>
        <v>0</v>
      </c>
      <c r="N13" t="b">
        <f t="shared" si="5"/>
        <v>0</v>
      </c>
      <c r="O13" t="b">
        <f t="shared" si="6"/>
        <v>0</v>
      </c>
    </row>
    <row r="14" spans="1:15" x14ac:dyDescent="0.35">
      <c r="A14" t="str">
        <v>rbd_AEC_Railcar</v>
      </c>
      <c r="B14" t="b" cm="1">
        <f t="array" ref="B14">_xlfn.XLOOKUP(A14,CONTROL[VEHIDCODE],PROPERTIES[EXCLUDE])</f>
        <v>0</v>
      </c>
      <c r="C14" t="b">
        <f>_xlfn.XLOOKUP(A14,CONTROL[VEHIDCODE],CONTROL[IS_WAGON_OR_COACH])</f>
        <v>0</v>
      </c>
      <c r="D14">
        <f>FLOOR(_xlfn.XLOOKUP($A14,PROPERTIES[VEHIDCODE],PROPERTIES[INTRODUCTION_YEAR]),20)</f>
        <v>1920</v>
      </c>
      <c r="E14" t="e">
        <f>_xlfn.XLOOKUP($A14,PROPERTIES[VEHIDCODE],#REF!)</f>
        <v>#REF!</v>
      </c>
      <c r="F14" s="25" t="str" cm="1">
        <f t="array" ref="F14">_xlfn.CONCAT(_xlfn.XLOOKUP($A14,PROPERTIES[VEHIDCODE],PROPERTIES[REGION1]),"_",_xlfn.XLOOKUP($A14,PROPERTIES[VEHIDCODE],PROPERTIES[REGION2]),"_",_xlfn.XLOOKUP($A14,PROPERTIES[VEHIDCODE],PROPERTIES[REGION3]&amp;"_"&amp;_xlfn.XLOOKUP($A14,PROPERTIES[VEHIDCODE],PROPERTIES[REGION4])))</f>
        <v>NORTHERN_EUROPE_NO_REGION_NO_REGION_NO_REGION</v>
      </c>
      <c r="G14" t="b">
        <f t="shared" si="0"/>
        <v>0</v>
      </c>
      <c r="H14" t="b">
        <f t="shared" si="7"/>
        <v>0</v>
      </c>
      <c r="I14" t="b">
        <f t="shared" si="1"/>
        <v>0</v>
      </c>
      <c r="J14" t="b">
        <f t="shared" si="8"/>
        <v>0</v>
      </c>
      <c r="K14" t="b">
        <f t="shared" si="2"/>
        <v>0</v>
      </c>
      <c r="L14" t="b">
        <f t="shared" si="3"/>
        <v>1</v>
      </c>
      <c r="M14" t="b">
        <f t="shared" si="4"/>
        <v>0</v>
      </c>
      <c r="N14" t="b">
        <f t="shared" si="5"/>
        <v>0</v>
      </c>
      <c r="O14" t="b">
        <f t="shared" si="6"/>
        <v>0</v>
      </c>
    </row>
    <row r="15" spans="1:15" x14ac:dyDescent="0.35">
      <c r="A15" t="str">
        <v>rbd_Simmering_VT42</v>
      </c>
      <c r="B15" t="b" cm="1">
        <f t="array" ref="B15">_xlfn.XLOOKUP(A15,CONTROL[VEHIDCODE],PROPERTIES[EXCLUDE])</f>
        <v>0</v>
      </c>
      <c r="C15" t="b">
        <f>_xlfn.XLOOKUP(A15,CONTROL[VEHIDCODE],CONTROL[IS_WAGON_OR_COACH])</f>
        <v>0</v>
      </c>
      <c r="D15">
        <f>FLOOR(_xlfn.XLOOKUP($A15,PROPERTIES[VEHIDCODE],PROPERTIES[INTRODUCTION_YEAR]),20)</f>
        <v>1920</v>
      </c>
      <c r="E15" t="e">
        <f>_xlfn.XLOOKUP($A15,PROPERTIES[VEHIDCODE],#REF!)</f>
        <v>#REF!</v>
      </c>
      <c r="F15" s="25" t="str" cm="1">
        <f t="array" ref="F15">_xlfn.CONCAT(_xlfn.XLOOKUP($A15,PROPERTIES[VEHIDCODE],PROPERTIES[REGION1]),"_",_xlfn.XLOOKUP($A15,PROPERTIES[VEHIDCODE],PROPERTIES[REGION2]),"_",_xlfn.XLOOKUP($A15,PROPERTIES[VEHIDCODE],PROPERTIES[REGION3]&amp;"_"&amp;_xlfn.XLOOKUP($A15,PROPERTIES[VEHIDCODE],PROPERTIES[REGION4])))</f>
        <v>WESTERN_EUROPE_NO_REGION_NO_REGION_NO_REGION</v>
      </c>
      <c r="G15" t="b">
        <f t="shared" si="0"/>
        <v>0</v>
      </c>
      <c r="H15" t="b">
        <f t="shared" si="7"/>
        <v>0</v>
      </c>
      <c r="I15" t="b">
        <f t="shared" si="1"/>
        <v>0</v>
      </c>
      <c r="J15" t="b">
        <f t="shared" si="8"/>
        <v>0</v>
      </c>
      <c r="K15" t="b">
        <f t="shared" si="2"/>
        <v>1</v>
      </c>
      <c r="L15" t="b">
        <f t="shared" si="3"/>
        <v>0</v>
      </c>
      <c r="M15" t="b">
        <f t="shared" si="4"/>
        <v>0</v>
      </c>
      <c r="N15" t="b">
        <f t="shared" si="5"/>
        <v>0</v>
      </c>
      <c r="O15" t="b">
        <f t="shared" si="6"/>
        <v>0</v>
      </c>
    </row>
    <row r="16" spans="1:15" x14ac:dyDescent="0.35">
      <c r="A16" t="str">
        <v>rbd_Hutt_RM31</v>
      </c>
      <c r="B16" t="b" cm="1">
        <f t="array" ref="B16">_xlfn.XLOOKUP(A16,CONTROL[VEHIDCODE],PROPERTIES[EXCLUDE])</f>
        <v>0</v>
      </c>
      <c r="C16" t="b">
        <f>_xlfn.XLOOKUP(A16,CONTROL[VEHIDCODE],CONTROL[IS_WAGON_OR_COACH])</f>
        <v>0</v>
      </c>
      <c r="D16">
        <f>FLOOR(_xlfn.XLOOKUP($A16,PROPERTIES[VEHIDCODE],PROPERTIES[INTRODUCTION_YEAR]),20)</f>
        <v>1940</v>
      </c>
      <c r="E16" t="e">
        <f>_xlfn.XLOOKUP($A16,PROPERTIES[VEHIDCODE],#REF!)</f>
        <v>#REF!</v>
      </c>
      <c r="F16" s="25" t="str" cm="1">
        <f t="array" ref="F16">_xlfn.CONCAT(_xlfn.XLOOKUP($A16,PROPERTIES[VEHIDCODE],PROPERTIES[REGION1]),"_",_xlfn.XLOOKUP($A16,PROPERTIES[VEHIDCODE],PROPERTIES[REGION2]),"_",_xlfn.XLOOKUP($A16,PROPERTIES[VEHIDCODE],PROPERTIES[REGION3]&amp;"_"&amp;_xlfn.XLOOKUP($A16,PROPERTIES[VEHIDCODE],PROPERTIES[REGION4])))</f>
        <v>OCEANIA_NO_REGION_NO_REGION_NO_REGION</v>
      </c>
      <c r="G16" t="b">
        <f t="shared" si="0"/>
        <v>0</v>
      </c>
      <c r="H16" t="b">
        <f t="shared" si="7"/>
        <v>0</v>
      </c>
      <c r="I16" t="b">
        <f t="shared" si="1"/>
        <v>0</v>
      </c>
      <c r="J16" t="b">
        <f t="shared" si="8"/>
        <v>0</v>
      </c>
      <c r="K16" t="b">
        <f t="shared" si="2"/>
        <v>0</v>
      </c>
      <c r="L16" t="b">
        <f t="shared" si="3"/>
        <v>0</v>
      </c>
      <c r="M16" t="b">
        <f t="shared" si="4"/>
        <v>0</v>
      </c>
      <c r="N16" t="b">
        <f t="shared" si="5"/>
        <v>0</v>
      </c>
      <c r="O16" t="b">
        <f t="shared" si="6"/>
        <v>1</v>
      </c>
    </row>
    <row r="17" spans="1:15" x14ac:dyDescent="0.35">
      <c r="A17" t="str">
        <v>rbd_NOHAB_CP_0100</v>
      </c>
      <c r="B17" t="b" cm="1">
        <f t="array" ref="B17">_xlfn.XLOOKUP(A17,CONTROL[VEHIDCODE],PROPERTIES[EXCLUDE])</f>
        <v>0</v>
      </c>
      <c r="C17" t="b">
        <f>_xlfn.XLOOKUP(A17,CONTROL[VEHIDCODE],CONTROL[IS_WAGON_OR_COACH])</f>
        <v>0</v>
      </c>
      <c r="D17">
        <f>FLOOR(_xlfn.XLOOKUP($A17,PROPERTIES[VEHIDCODE],PROPERTIES[INTRODUCTION_YEAR]),20)</f>
        <v>1940</v>
      </c>
      <c r="E17" t="e">
        <f>_xlfn.XLOOKUP($A17,PROPERTIES[VEHIDCODE],#REF!)</f>
        <v>#REF!</v>
      </c>
      <c r="F17" s="25" t="str" cm="1">
        <f t="array" ref="F17">_xlfn.CONCAT(_xlfn.XLOOKUP($A17,PROPERTIES[VEHIDCODE],PROPERTIES[REGION1]),"_",_xlfn.XLOOKUP($A17,PROPERTIES[VEHIDCODE],PROPERTIES[REGION2]),"_",_xlfn.XLOOKUP($A17,PROPERTIES[VEHIDCODE],PROPERTIES[REGION3]&amp;"_"&amp;_xlfn.XLOOKUP($A17,PROPERTIES[VEHIDCODE],PROPERTIES[REGION4])))</f>
        <v>SOUTHERN_EUROPE_NO_REGION_NO_REGION_NO_REGION</v>
      </c>
      <c r="G17" t="b">
        <f t="shared" si="0"/>
        <v>0</v>
      </c>
      <c r="H17" t="b">
        <f t="shared" si="7"/>
        <v>0</v>
      </c>
      <c r="I17" t="b">
        <f t="shared" si="1"/>
        <v>1</v>
      </c>
      <c r="J17" t="b">
        <f t="shared" si="8"/>
        <v>0</v>
      </c>
      <c r="K17" t="b">
        <f t="shared" si="2"/>
        <v>0</v>
      </c>
      <c r="L17" t="b">
        <f t="shared" si="3"/>
        <v>0</v>
      </c>
      <c r="M17" t="b">
        <f t="shared" si="4"/>
        <v>0</v>
      </c>
      <c r="N17" t="b">
        <f t="shared" si="5"/>
        <v>0</v>
      </c>
      <c r="O17" t="b">
        <f t="shared" si="6"/>
        <v>0</v>
      </c>
    </row>
    <row r="18" spans="1:15" x14ac:dyDescent="0.35">
      <c r="A18" t="str">
        <v>rbd_Budd_RDC</v>
      </c>
      <c r="B18" t="b" cm="1">
        <f t="array" ref="B18">_xlfn.XLOOKUP(A18,CONTROL[VEHIDCODE],PROPERTIES[EXCLUDE])</f>
        <v>0</v>
      </c>
      <c r="C18" t="b">
        <f>_xlfn.XLOOKUP(A18,CONTROL[VEHIDCODE],CONTROL[IS_WAGON_OR_COACH])</f>
        <v>0</v>
      </c>
      <c r="D18">
        <f>FLOOR(_xlfn.XLOOKUP($A18,PROPERTIES[VEHIDCODE],PROPERTIES[INTRODUCTION_YEAR]),20)</f>
        <v>1940</v>
      </c>
      <c r="E18" t="e">
        <f>_xlfn.XLOOKUP($A18,PROPERTIES[VEHIDCODE],#REF!)</f>
        <v>#REF!</v>
      </c>
      <c r="F18" s="25" t="str" cm="1">
        <f t="array" ref="F18">_xlfn.CONCAT(_xlfn.XLOOKUP($A18,PROPERTIES[VEHIDCODE],PROPERTIES[REGION1]),"_",_xlfn.XLOOKUP($A18,PROPERTIES[VEHIDCODE],PROPERTIES[REGION2]),"_",_xlfn.XLOOKUP($A18,PROPERTIES[VEHIDCODE],PROPERTIES[REGION3]&amp;"_"&amp;_xlfn.XLOOKUP($A18,PROPERTIES[VEHIDCODE],PROPERTIES[REGION4])))</f>
        <v>ALL_AMERICA_APAC_NO_REGION_NO_REGION</v>
      </c>
      <c r="G18" t="b">
        <f t="shared" si="0"/>
        <v>0</v>
      </c>
      <c r="H18" t="b">
        <f t="shared" si="7"/>
        <v>1</v>
      </c>
      <c r="I18" t="b">
        <f t="shared" si="1"/>
        <v>0</v>
      </c>
      <c r="J18" t="b">
        <f t="shared" si="8"/>
        <v>0</v>
      </c>
      <c r="K18" t="b">
        <f t="shared" si="2"/>
        <v>0</v>
      </c>
      <c r="L18" t="b">
        <f t="shared" si="3"/>
        <v>0</v>
      </c>
      <c r="M18" t="b">
        <f t="shared" si="4"/>
        <v>1</v>
      </c>
      <c r="N18" t="b">
        <f t="shared" si="5"/>
        <v>1</v>
      </c>
      <c r="O18" t="b">
        <f t="shared" si="6"/>
        <v>1</v>
      </c>
    </row>
    <row r="19" spans="1:15" x14ac:dyDescent="0.35">
      <c r="A19" t="str">
        <v>rbd_Uerdingen_railbus</v>
      </c>
      <c r="B19" t="b" cm="1">
        <f t="array" ref="B19">_xlfn.XLOOKUP(A19,CONTROL[VEHIDCODE],PROPERTIES[EXCLUDE])</f>
        <v>0</v>
      </c>
      <c r="C19" t="b">
        <f>_xlfn.XLOOKUP(A19,CONTROL[VEHIDCODE],CONTROL[IS_WAGON_OR_COACH])</f>
        <v>0</v>
      </c>
      <c r="D19">
        <f>FLOOR(_xlfn.XLOOKUP($A19,PROPERTIES[VEHIDCODE],PROPERTIES[INTRODUCTION_YEAR]),20)</f>
        <v>1940</v>
      </c>
      <c r="E19" t="e">
        <f>_xlfn.XLOOKUP($A19,PROPERTIES[VEHIDCODE],#REF!)</f>
        <v>#REF!</v>
      </c>
      <c r="F19" s="25" t="str" cm="1">
        <f t="array" ref="F19">_xlfn.CONCAT(_xlfn.XLOOKUP($A19,PROPERTIES[VEHIDCODE],PROPERTIES[REGION1]),"_",_xlfn.XLOOKUP($A19,PROPERTIES[VEHIDCODE],PROPERTIES[REGION2]),"_",_xlfn.XLOOKUP($A19,PROPERTIES[VEHIDCODE],PROPERTIES[REGION3]&amp;"_"&amp;_xlfn.XLOOKUP($A19,PROPERTIES[VEHIDCODE],PROPERTIES[REGION4])))</f>
        <v>WESTERN_EUROPE_NO_REGION_NO_REGION_NO_REGION</v>
      </c>
      <c r="G19" t="b">
        <f t="shared" si="0"/>
        <v>0</v>
      </c>
      <c r="H19" t="b">
        <f t="shared" si="7"/>
        <v>0</v>
      </c>
      <c r="I19" t="b">
        <f t="shared" si="1"/>
        <v>0</v>
      </c>
      <c r="J19" t="b">
        <f t="shared" si="8"/>
        <v>0</v>
      </c>
      <c r="K19" t="b">
        <f t="shared" si="2"/>
        <v>1</v>
      </c>
      <c r="L19" t="b">
        <f t="shared" si="3"/>
        <v>0</v>
      </c>
      <c r="M19" t="b">
        <f t="shared" si="4"/>
        <v>0</v>
      </c>
      <c r="N19" t="b">
        <f t="shared" si="5"/>
        <v>0</v>
      </c>
      <c r="O19" t="b">
        <f t="shared" si="6"/>
        <v>0</v>
      </c>
    </row>
    <row r="20" spans="1:15" x14ac:dyDescent="0.35">
      <c r="A20" t="str">
        <v>rbd_MaK_GDT</v>
      </c>
      <c r="B20" t="b" cm="1">
        <f t="array" ref="B20">_xlfn.XLOOKUP(A20,CONTROL[VEHIDCODE],PROPERTIES[EXCLUDE])</f>
        <v>0</v>
      </c>
      <c r="C20" t="b">
        <f>_xlfn.XLOOKUP(A20,CONTROL[VEHIDCODE],CONTROL[IS_WAGON_OR_COACH])</f>
        <v>0</v>
      </c>
      <c r="D20">
        <f>FLOOR(_xlfn.XLOOKUP($A20,PROPERTIES[VEHIDCODE],PROPERTIES[INTRODUCTION_YEAR]),20)</f>
        <v>1940</v>
      </c>
      <c r="E20" t="e">
        <f>_xlfn.XLOOKUP($A20,PROPERTIES[VEHIDCODE],#REF!)</f>
        <v>#REF!</v>
      </c>
      <c r="F20" s="25" t="str" cm="1">
        <f t="array" ref="F20">_xlfn.CONCAT(_xlfn.XLOOKUP($A20,PROPERTIES[VEHIDCODE],PROPERTIES[REGION1]),"_",_xlfn.XLOOKUP($A20,PROPERTIES[VEHIDCODE],PROPERTIES[REGION2]),"_",_xlfn.XLOOKUP($A20,PROPERTIES[VEHIDCODE],PROPERTIES[REGION3]&amp;"_"&amp;_xlfn.XLOOKUP($A20,PROPERTIES[VEHIDCODE],PROPERTIES[REGION4])))</f>
        <v>WESTERN_EUROPE_NO_REGION_NO_REGION_NO_REGION</v>
      </c>
      <c r="G20" t="b">
        <f t="shared" si="0"/>
        <v>0</v>
      </c>
      <c r="H20" t="b">
        <f t="shared" si="7"/>
        <v>0</v>
      </c>
      <c r="I20" t="b">
        <f t="shared" si="1"/>
        <v>0</v>
      </c>
      <c r="J20" t="b">
        <f t="shared" si="8"/>
        <v>0</v>
      </c>
      <c r="K20" t="b">
        <f t="shared" si="2"/>
        <v>1</v>
      </c>
      <c r="L20" t="b">
        <f t="shared" si="3"/>
        <v>0</v>
      </c>
      <c r="M20" t="b">
        <f t="shared" si="4"/>
        <v>0</v>
      </c>
      <c r="N20" t="b">
        <f t="shared" si="5"/>
        <v>0</v>
      </c>
      <c r="O20" t="b">
        <f t="shared" si="6"/>
        <v>0</v>
      </c>
    </row>
    <row r="21" spans="1:15" x14ac:dyDescent="0.35">
      <c r="A21" t="str">
        <v>rbd_Allan_Kameel</v>
      </c>
      <c r="B21" t="b" cm="1">
        <f t="array" ref="B21">_xlfn.XLOOKUP(A21,CONTROL[VEHIDCODE],PROPERTIES[EXCLUDE])</f>
        <v>0</v>
      </c>
      <c r="C21" t="b">
        <f>_xlfn.XLOOKUP(A21,CONTROL[VEHIDCODE],CONTROL[IS_WAGON_OR_COACH])</f>
        <v>0</v>
      </c>
      <c r="D21">
        <f>FLOOR(_xlfn.XLOOKUP($A21,PROPERTIES[VEHIDCODE],PROPERTIES[INTRODUCTION_YEAR]),20)</f>
        <v>1940</v>
      </c>
      <c r="E21" t="e">
        <f>_xlfn.XLOOKUP($A21,PROPERTIES[VEHIDCODE],#REF!)</f>
        <v>#REF!</v>
      </c>
      <c r="F21" s="25" t="str" cm="1">
        <f t="array" ref="F21">_xlfn.CONCAT(_xlfn.XLOOKUP($A21,PROPERTIES[VEHIDCODE],PROPERTIES[REGION1]),"_",_xlfn.XLOOKUP($A21,PROPERTIES[VEHIDCODE],PROPERTIES[REGION2]),"_",_xlfn.XLOOKUP($A21,PROPERTIES[VEHIDCODE],PROPERTIES[REGION3]&amp;"_"&amp;_xlfn.XLOOKUP($A21,PROPERTIES[VEHIDCODE],PROPERTIES[REGION4])))</f>
        <v>WESTERN_EUROPE_NO_REGION_NO_REGION_NO_REGION</v>
      </c>
      <c r="G21" t="b">
        <f t="shared" si="0"/>
        <v>0</v>
      </c>
      <c r="H21" t="b">
        <f t="shared" si="7"/>
        <v>0</v>
      </c>
      <c r="I21" t="b">
        <f t="shared" si="1"/>
        <v>0</v>
      </c>
      <c r="J21" t="b">
        <f t="shared" si="8"/>
        <v>0</v>
      </c>
      <c r="K21" t="b">
        <f t="shared" si="2"/>
        <v>1</v>
      </c>
      <c r="L21" t="b">
        <f t="shared" si="3"/>
        <v>0</v>
      </c>
      <c r="M21" t="b">
        <f t="shared" si="4"/>
        <v>0</v>
      </c>
      <c r="N21" t="b">
        <f t="shared" si="5"/>
        <v>0</v>
      </c>
      <c r="O21" t="b">
        <f t="shared" si="6"/>
        <v>0</v>
      </c>
    </row>
    <row r="22" spans="1:15" x14ac:dyDescent="0.35">
      <c r="A22" t="str">
        <v>rbd_NS_DH1</v>
      </c>
      <c r="B22" t="b" cm="1">
        <f t="array" ref="B22">_xlfn.XLOOKUP(A22,CONTROL[VEHIDCODE],PROPERTIES[EXCLUDE])</f>
        <v>0</v>
      </c>
      <c r="C22" t="b">
        <f>_xlfn.XLOOKUP(A22,CONTROL[VEHIDCODE],CONTROL[IS_WAGON_OR_COACH])</f>
        <v>0</v>
      </c>
      <c r="D22">
        <f>FLOOR(_xlfn.XLOOKUP($A22,PROPERTIES[VEHIDCODE],PROPERTIES[INTRODUCTION_YEAR]),20)</f>
        <v>1980</v>
      </c>
      <c r="E22" t="e">
        <f>_xlfn.XLOOKUP($A22,PROPERTIES[VEHIDCODE],#REF!)</f>
        <v>#REF!</v>
      </c>
      <c r="F22" s="25" t="str" cm="1">
        <f t="array" ref="F22">_xlfn.CONCAT(_xlfn.XLOOKUP($A22,PROPERTIES[VEHIDCODE],PROPERTIES[REGION1]),"_",_xlfn.XLOOKUP($A22,PROPERTIES[VEHIDCODE],PROPERTIES[REGION2]),"_",_xlfn.XLOOKUP($A22,PROPERTIES[VEHIDCODE],PROPERTIES[REGION3]&amp;"_"&amp;_xlfn.XLOOKUP($A22,PROPERTIES[VEHIDCODE],PROPERTIES[REGION4])))</f>
        <v>ALL_EUROPE_SOUTH_AMERICA_NO_REGION_NO_REGION</v>
      </c>
      <c r="G22" t="b">
        <f t="shared" si="0"/>
        <v>0</v>
      </c>
      <c r="H22" t="b">
        <f t="shared" si="7"/>
        <v>0</v>
      </c>
      <c r="I22" t="b">
        <f t="shared" si="1"/>
        <v>1</v>
      </c>
      <c r="J22" t="b">
        <f t="shared" si="8"/>
        <v>1</v>
      </c>
      <c r="K22" t="b">
        <f t="shared" si="2"/>
        <v>1</v>
      </c>
      <c r="L22" t="b">
        <f t="shared" si="3"/>
        <v>1</v>
      </c>
      <c r="M22" t="b">
        <f t="shared" si="4"/>
        <v>0</v>
      </c>
      <c r="N22" t="b">
        <f t="shared" si="5"/>
        <v>1</v>
      </c>
      <c r="O22" t="b">
        <f t="shared" si="6"/>
        <v>0</v>
      </c>
    </row>
    <row r="23" spans="1:15" x14ac:dyDescent="0.35">
      <c r="A23" t="str">
        <v>rbd_Jenbacher_Werke_5047</v>
      </c>
      <c r="B23" t="b" cm="1">
        <f t="array" ref="B23">_xlfn.XLOOKUP(A23,CONTROL[VEHIDCODE],PROPERTIES[EXCLUDE])</f>
        <v>0</v>
      </c>
      <c r="C23" t="b">
        <f>_xlfn.XLOOKUP(A23,CONTROL[VEHIDCODE],CONTROL[IS_WAGON_OR_COACH])</f>
        <v>0</v>
      </c>
      <c r="D23">
        <f>FLOOR(_xlfn.XLOOKUP($A23,PROPERTIES[VEHIDCODE],PROPERTIES[INTRODUCTION_YEAR]),20)</f>
        <v>1980</v>
      </c>
      <c r="E23" t="e">
        <f>_xlfn.XLOOKUP($A23,PROPERTIES[VEHIDCODE],#REF!)</f>
        <v>#REF!</v>
      </c>
      <c r="F23" s="25" t="str" cm="1">
        <f t="array" ref="F23">_xlfn.CONCAT(_xlfn.XLOOKUP($A23,PROPERTIES[VEHIDCODE],PROPERTIES[REGION1]),"_",_xlfn.XLOOKUP($A23,PROPERTIES[VEHIDCODE],PROPERTIES[REGION2]),"_",_xlfn.XLOOKUP($A23,PROPERTIES[VEHIDCODE],PROPERTIES[REGION3]&amp;"_"&amp;_xlfn.XLOOKUP($A23,PROPERTIES[VEHIDCODE],PROPERTIES[REGION4])))</f>
        <v>WESTERN_EUROPE_NO_REGION_NO_REGION_NO_REGION</v>
      </c>
      <c r="G23" t="b">
        <f t="shared" si="0"/>
        <v>0</v>
      </c>
      <c r="H23" t="b">
        <f t="shared" si="7"/>
        <v>0</v>
      </c>
      <c r="I23" t="b">
        <f t="shared" si="1"/>
        <v>0</v>
      </c>
      <c r="J23" t="b">
        <f t="shared" si="8"/>
        <v>0</v>
      </c>
      <c r="K23" t="b">
        <f t="shared" si="2"/>
        <v>1</v>
      </c>
      <c r="L23" t="b">
        <f t="shared" si="3"/>
        <v>0</v>
      </c>
      <c r="M23" t="b">
        <f t="shared" si="4"/>
        <v>0</v>
      </c>
      <c r="N23" t="b">
        <f t="shared" si="5"/>
        <v>0</v>
      </c>
      <c r="O23" t="b">
        <f t="shared" si="6"/>
        <v>0</v>
      </c>
    </row>
    <row r="24" spans="1:15" x14ac:dyDescent="0.35">
      <c r="A24" t="str">
        <v>rbd_Hunslet_Barclay_Super_Sprinter</v>
      </c>
      <c r="B24" t="b" cm="1">
        <f t="array" ref="B24">_xlfn.XLOOKUP(A24,CONTROL[VEHIDCODE],PROPERTIES[EXCLUDE])</f>
        <v>0</v>
      </c>
      <c r="C24" t="b">
        <f>_xlfn.XLOOKUP(A24,CONTROL[VEHIDCODE],CONTROL[IS_WAGON_OR_COACH])</f>
        <v>0</v>
      </c>
      <c r="D24">
        <f>FLOOR(_xlfn.XLOOKUP($A24,PROPERTIES[VEHIDCODE],PROPERTIES[INTRODUCTION_YEAR]),20)</f>
        <v>1980</v>
      </c>
      <c r="E24" t="e">
        <f>_xlfn.XLOOKUP($A24,PROPERTIES[VEHIDCODE],#REF!)</f>
        <v>#REF!</v>
      </c>
      <c r="F24" s="25" t="str" cm="1">
        <f t="array" ref="F24">_xlfn.CONCAT(_xlfn.XLOOKUP($A24,PROPERTIES[VEHIDCODE],PROPERTIES[REGION1]),"_",_xlfn.XLOOKUP($A24,PROPERTIES[VEHIDCODE],PROPERTIES[REGION2]),"_",_xlfn.XLOOKUP($A24,PROPERTIES[VEHIDCODE],PROPERTIES[REGION3]&amp;"_"&amp;_xlfn.XLOOKUP($A24,PROPERTIES[VEHIDCODE],PROPERTIES[REGION4])))</f>
        <v>NORTHERN_EUROPE_NO_REGION_NO_REGION_NO_REGION</v>
      </c>
      <c r="G24" t="b">
        <f t="shared" si="0"/>
        <v>0</v>
      </c>
      <c r="H24" t="b">
        <f t="shared" si="7"/>
        <v>0</v>
      </c>
      <c r="I24" t="b">
        <f t="shared" si="1"/>
        <v>0</v>
      </c>
      <c r="J24" t="b">
        <f t="shared" si="8"/>
        <v>0</v>
      </c>
      <c r="K24" t="b">
        <f t="shared" si="2"/>
        <v>0</v>
      </c>
      <c r="L24" t="b">
        <f t="shared" si="3"/>
        <v>1</v>
      </c>
      <c r="M24" t="b">
        <f t="shared" si="4"/>
        <v>0</v>
      </c>
      <c r="N24" t="b">
        <f t="shared" si="5"/>
        <v>0</v>
      </c>
      <c r="O24" t="b">
        <f t="shared" si="6"/>
        <v>0</v>
      </c>
    </row>
    <row r="25" spans="1:15" x14ac:dyDescent="0.35">
      <c r="A25" t="str">
        <v>rbd_Vagonka_Studenka_809</v>
      </c>
      <c r="B25" t="b" cm="1">
        <f t="array" ref="B25">_xlfn.XLOOKUP(A25,CONTROL[VEHIDCODE],PROPERTIES[EXCLUDE])</f>
        <v>0</v>
      </c>
      <c r="C25" t="b">
        <f>_xlfn.XLOOKUP(A25,CONTROL[VEHIDCODE],CONTROL[IS_WAGON_OR_COACH])</f>
        <v>0</v>
      </c>
      <c r="D25">
        <f>FLOOR(_xlfn.XLOOKUP($A25,PROPERTIES[VEHIDCODE],PROPERTIES[INTRODUCTION_YEAR]),20)</f>
        <v>1980</v>
      </c>
      <c r="E25" t="e">
        <f>_xlfn.XLOOKUP($A25,PROPERTIES[VEHIDCODE],#REF!)</f>
        <v>#REF!</v>
      </c>
      <c r="F25" s="25" t="str" cm="1">
        <f t="array" ref="F25">_xlfn.CONCAT(_xlfn.XLOOKUP($A25,PROPERTIES[VEHIDCODE],PROPERTIES[REGION1]),"_",_xlfn.XLOOKUP($A25,PROPERTIES[VEHIDCODE],PROPERTIES[REGION2]),"_",_xlfn.XLOOKUP($A25,PROPERTIES[VEHIDCODE],PROPERTIES[REGION3]&amp;"_"&amp;_xlfn.XLOOKUP($A25,PROPERTIES[VEHIDCODE],PROPERTIES[REGION4])))</f>
        <v>EASTERN_EUROPE_NO_REGION_NO_REGION_NO_REGION</v>
      </c>
      <c r="G25" t="b">
        <f t="shared" si="0"/>
        <v>0</v>
      </c>
      <c r="H25" t="b">
        <f t="shared" si="7"/>
        <v>0</v>
      </c>
      <c r="I25" t="b">
        <f t="shared" si="1"/>
        <v>0</v>
      </c>
      <c r="J25" t="b">
        <f t="shared" si="8"/>
        <v>1</v>
      </c>
      <c r="K25" t="b">
        <f t="shared" si="2"/>
        <v>0</v>
      </c>
      <c r="L25" t="b">
        <f t="shared" si="3"/>
        <v>0</v>
      </c>
      <c r="M25" t="b">
        <f t="shared" si="4"/>
        <v>0</v>
      </c>
      <c r="N25" t="b">
        <f t="shared" si="5"/>
        <v>0</v>
      </c>
      <c r="O25" t="b">
        <f t="shared" si="6"/>
        <v>0</v>
      </c>
    </row>
    <row r="26" spans="1:15" x14ac:dyDescent="0.35">
      <c r="A26" t="str">
        <v>rbd_DWA_670</v>
      </c>
      <c r="B26" t="b" cm="1">
        <f t="array" ref="B26">_xlfn.XLOOKUP(A26,CONTROL[VEHIDCODE],PROPERTIES[EXCLUDE])</f>
        <v>0</v>
      </c>
      <c r="C26" t="b">
        <f>_xlfn.XLOOKUP(A26,CONTROL[VEHIDCODE],CONTROL[IS_WAGON_OR_COACH])</f>
        <v>0</v>
      </c>
      <c r="D26">
        <f>FLOOR(_xlfn.XLOOKUP($A26,PROPERTIES[VEHIDCODE],PROPERTIES[INTRODUCTION_YEAR]),20)</f>
        <v>1980</v>
      </c>
      <c r="E26" t="e">
        <f>_xlfn.XLOOKUP($A26,PROPERTIES[VEHIDCODE],#REF!)</f>
        <v>#REF!</v>
      </c>
      <c r="F26" s="25" t="str" cm="1">
        <f t="array" ref="F26">_xlfn.CONCAT(_xlfn.XLOOKUP($A26,PROPERTIES[VEHIDCODE],PROPERTIES[REGION1]),"_",_xlfn.XLOOKUP($A26,PROPERTIES[VEHIDCODE],PROPERTIES[REGION2]),"_",_xlfn.XLOOKUP($A26,PROPERTIES[VEHIDCODE],PROPERTIES[REGION3]&amp;"_"&amp;_xlfn.XLOOKUP($A26,PROPERTIES[VEHIDCODE],PROPERTIES[REGION4])))</f>
        <v>WESTERN_EUROPE_NO_REGION_NO_REGION_NO_REGION</v>
      </c>
      <c r="G26" t="b">
        <f t="shared" si="0"/>
        <v>0</v>
      </c>
      <c r="H26" t="b">
        <f t="shared" si="7"/>
        <v>0</v>
      </c>
      <c r="I26" t="b">
        <f t="shared" si="1"/>
        <v>0</v>
      </c>
      <c r="J26" t="b">
        <f t="shared" si="8"/>
        <v>0</v>
      </c>
      <c r="K26" t="b">
        <f t="shared" si="2"/>
        <v>1</v>
      </c>
      <c r="L26" t="b">
        <f t="shared" si="3"/>
        <v>0</v>
      </c>
      <c r="M26" t="b">
        <f t="shared" si="4"/>
        <v>0</v>
      </c>
      <c r="N26" t="b">
        <f t="shared" si="5"/>
        <v>0</v>
      </c>
      <c r="O26" t="b">
        <f t="shared" si="6"/>
        <v>0</v>
      </c>
    </row>
    <row r="27" spans="1:15" x14ac:dyDescent="0.35">
      <c r="A27" t="str">
        <v>rbd_RVR_AR2</v>
      </c>
      <c r="B27" t="b" cm="1">
        <f t="array" ref="B27">_xlfn.XLOOKUP(A27,CONTROL[VEHIDCODE],PROPERTIES[EXCLUDE])</f>
        <v>0</v>
      </c>
      <c r="C27" t="b">
        <f>_xlfn.XLOOKUP(A27,CONTROL[VEHIDCODE],CONTROL[IS_WAGON_OR_COACH])</f>
        <v>0</v>
      </c>
      <c r="D27">
        <f>FLOOR(_xlfn.XLOOKUP($A27,PROPERTIES[VEHIDCODE],PROPERTIES[INTRODUCTION_YEAR]),20)</f>
        <v>1980</v>
      </c>
      <c r="E27" t="e">
        <f>_xlfn.XLOOKUP($A27,PROPERTIES[VEHIDCODE],#REF!)</f>
        <v>#REF!</v>
      </c>
      <c r="F27" s="25" t="str" cm="1">
        <f t="array" ref="F27">_xlfn.CONCAT(_xlfn.XLOOKUP($A27,PROPERTIES[VEHIDCODE],PROPERTIES[REGION1]),"_",_xlfn.XLOOKUP($A27,PROPERTIES[VEHIDCODE],PROPERTIES[REGION2]),"_",_xlfn.XLOOKUP($A27,PROPERTIES[VEHIDCODE],PROPERTIES[REGION3]&amp;"_"&amp;_xlfn.XLOOKUP($A27,PROPERTIES[VEHIDCODE],PROPERTIES[REGION4])))</f>
        <v>NORTHERN_EUROPE_NO_REGION_NO_REGION_NO_REGION</v>
      </c>
      <c r="G27" t="b">
        <f t="shared" si="0"/>
        <v>0</v>
      </c>
      <c r="H27" t="b">
        <f t="shared" si="7"/>
        <v>0</v>
      </c>
      <c r="I27" t="b">
        <f t="shared" si="1"/>
        <v>0</v>
      </c>
      <c r="J27" t="b">
        <f t="shared" si="8"/>
        <v>0</v>
      </c>
      <c r="K27" t="b">
        <f t="shared" si="2"/>
        <v>0</v>
      </c>
      <c r="L27" t="b">
        <f t="shared" si="3"/>
        <v>1</v>
      </c>
      <c r="M27" t="b">
        <f t="shared" si="4"/>
        <v>0</v>
      </c>
      <c r="N27" t="b">
        <f t="shared" si="5"/>
        <v>0</v>
      </c>
      <c r="O27" t="b">
        <f t="shared" si="6"/>
        <v>0</v>
      </c>
    </row>
    <row r="28" spans="1:15" x14ac:dyDescent="0.35">
      <c r="A28" t="str">
        <v>rbd_Austro_Daimler_Z1</v>
      </c>
      <c r="B28" t="b" cm="1">
        <f t="array" ref="B28">_xlfn.XLOOKUP(A28,CONTROL[VEHIDCODE],PROPERTIES[EXCLUDE])</f>
        <v>0</v>
      </c>
      <c r="C28" t="b">
        <f>_xlfn.XLOOKUP(A28,CONTROL[VEHIDCODE],CONTROL[IS_WAGON_OR_COACH])</f>
        <v>0</v>
      </c>
      <c r="D28">
        <f>FLOOR(_xlfn.XLOOKUP($A28,PROPERTIES[VEHIDCODE],PROPERTIES[INTRODUCTION_YEAR]),20)</f>
        <v>1900</v>
      </c>
      <c r="E28" t="e">
        <f>_xlfn.XLOOKUP($A28,PROPERTIES[VEHIDCODE],#REF!)</f>
        <v>#REF!</v>
      </c>
      <c r="F28" s="25" t="str" cm="1">
        <f t="array" ref="F28">_xlfn.CONCAT(_xlfn.XLOOKUP($A28,PROPERTIES[VEHIDCODE],PROPERTIES[REGION1]),"_",_xlfn.XLOOKUP($A28,PROPERTIES[VEHIDCODE],PROPERTIES[REGION2]),"_",_xlfn.XLOOKUP($A28,PROPERTIES[VEHIDCODE],PROPERTIES[REGION3]&amp;"_"&amp;_xlfn.XLOOKUP($A28,PROPERTIES[VEHIDCODE],PROPERTIES[REGION4])))</f>
        <v>WESTERN_EUROPE_NO_REGION_NO_REGION_NO_REGION</v>
      </c>
      <c r="G28" t="b">
        <f t="shared" si="0"/>
        <v>0</v>
      </c>
      <c r="H28" t="b">
        <f t="shared" si="7"/>
        <v>0</v>
      </c>
      <c r="I28" t="b">
        <f t="shared" si="1"/>
        <v>0</v>
      </c>
      <c r="J28" t="b">
        <f t="shared" si="8"/>
        <v>0</v>
      </c>
      <c r="K28" t="b">
        <f t="shared" si="2"/>
        <v>1</v>
      </c>
      <c r="L28" t="b">
        <f t="shared" si="3"/>
        <v>0</v>
      </c>
      <c r="M28" t="b">
        <f t="shared" si="4"/>
        <v>0</v>
      </c>
      <c r="N28" t="b">
        <f t="shared" si="5"/>
        <v>0</v>
      </c>
      <c r="O28" t="b">
        <f t="shared" si="6"/>
        <v>0</v>
      </c>
    </row>
    <row r="29" spans="1:15" x14ac:dyDescent="0.35">
      <c r="A29" t="str">
        <v>rbd_McKeen_Motor_Car_70</v>
      </c>
      <c r="B29" t="b" cm="1">
        <f t="array" ref="B29">_xlfn.XLOOKUP(A29,CONTROL[VEHIDCODE],PROPERTIES[EXCLUDE])</f>
        <v>0</v>
      </c>
      <c r="C29" t="b">
        <f>_xlfn.XLOOKUP(A29,CONTROL[VEHIDCODE],CONTROL[IS_WAGON_OR_COACH])</f>
        <v>0</v>
      </c>
      <c r="D29">
        <f>FLOOR(_xlfn.XLOOKUP($A29,PROPERTIES[VEHIDCODE],PROPERTIES[INTRODUCTION_YEAR]),20)</f>
        <v>1900</v>
      </c>
      <c r="E29" t="e">
        <f>_xlfn.XLOOKUP($A29,PROPERTIES[VEHIDCODE],#REF!)</f>
        <v>#REF!</v>
      </c>
      <c r="F29" s="25" t="str" cm="1">
        <f t="array" ref="F29">_xlfn.CONCAT(_xlfn.XLOOKUP($A29,PROPERTIES[VEHIDCODE],PROPERTIES[REGION1]),"_",_xlfn.XLOOKUP($A29,PROPERTIES[VEHIDCODE],PROPERTIES[REGION2]),"_",_xlfn.XLOOKUP($A29,PROPERTIES[VEHIDCODE],PROPERTIES[REGION3]&amp;"_"&amp;_xlfn.XLOOKUP($A29,PROPERTIES[VEHIDCODE],PROPERTIES[REGION4])))</f>
        <v>NORTH_AMERICA_NO_REGION_NO_REGION_NO_REGION</v>
      </c>
      <c r="G29" t="b">
        <f t="shared" si="0"/>
        <v>0</v>
      </c>
      <c r="H29" t="b">
        <f t="shared" si="7"/>
        <v>0</v>
      </c>
      <c r="I29" t="b">
        <f t="shared" si="1"/>
        <v>0</v>
      </c>
      <c r="J29" t="b">
        <f t="shared" si="8"/>
        <v>0</v>
      </c>
      <c r="K29" t="b">
        <f t="shared" si="2"/>
        <v>0</v>
      </c>
      <c r="L29" t="b">
        <f t="shared" si="3"/>
        <v>0</v>
      </c>
      <c r="M29" t="b">
        <f t="shared" si="4"/>
        <v>1</v>
      </c>
      <c r="N29" t="b">
        <f t="shared" si="5"/>
        <v>0</v>
      </c>
      <c r="O29" t="b">
        <f t="shared" si="6"/>
        <v>0</v>
      </c>
    </row>
    <row r="30" spans="1:15" x14ac:dyDescent="0.35">
      <c r="A30" t="str">
        <v>rbd_BBC_DET_1_2_Sachsischer</v>
      </c>
      <c r="B30" t="b" cm="1">
        <f t="array" ref="B30">_xlfn.XLOOKUP(A30,CONTROL[VEHIDCODE],PROPERTIES[EXCLUDE])</f>
        <v>0</v>
      </c>
      <c r="C30" t="b">
        <f>_xlfn.XLOOKUP(A30,CONTROL[VEHIDCODE],CONTROL[IS_WAGON_OR_COACH])</f>
        <v>0</v>
      </c>
      <c r="D30">
        <f>FLOOR(_xlfn.XLOOKUP($A30,PROPERTIES[VEHIDCODE],PROPERTIES[INTRODUCTION_YEAR]),20)</f>
        <v>1900</v>
      </c>
      <c r="E30" t="e">
        <f>_xlfn.XLOOKUP($A30,PROPERTIES[VEHIDCODE],#REF!)</f>
        <v>#REF!</v>
      </c>
      <c r="F30" s="25" t="str" cm="1">
        <f t="array" ref="F30">_xlfn.CONCAT(_xlfn.XLOOKUP($A30,PROPERTIES[VEHIDCODE],PROPERTIES[REGION1]),"_",_xlfn.XLOOKUP($A30,PROPERTIES[VEHIDCODE],PROPERTIES[REGION2]),"_",_xlfn.XLOOKUP($A30,PROPERTIES[VEHIDCODE],PROPERTIES[REGION3]&amp;"_"&amp;_xlfn.XLOOKUP($A30,PROPERTIES[VEHIDCODE],PROPERTIES[REGION4])))</f>
        <v>WESTERN_EUROPE_NO_REGION_NO_REGION_NO_REGION</v>
      </c>
      <c r="G30" t="b">
        <f t="shared" si="0"/>
        <v>0</v>
      </c>
      <c r="H30" t="b">
        <f t="shared" si="7"/>
        <v>0</v>
      </c>
      <c r="I30" t="b">
        <f t="shared" si="1"/>
        <v>0</v>
      </c>
      <c r="J30" t="b">
        <f t="shared" si="8"/>
        <v>0</v>
      </c>
      <c r="K30" t="b">
        <f t="shared" si="2"/>
        <v>1</v>
      </c>
      <c r="L30" t="b">
        <f t="shared" si="3"/>
        <v>0</v>
      </c>
      <c r="M30" t="b">
        <f t="shared" si="4"/>
        <v>0</v>
      </c>
      <c r="N30" t="b">
        <f t="shared" si="5"/>
        <v>0</v>
      </c>
      <c r="O30" t="b">
        <f t="shared" si="6"/>
        <v>0</v>
      </c>
    </row>
    <row r="31" spans="1:15" x14ac:dyDescent="0.35">
      <c r="A31" t="str">
        <v>rbd_WC_PR_Drewry_Railcar</v>
      </c>
      <c r="B31" t="b" cm="1">
        <f t="array" ref="B31">_xlfn.XLOOKUP(A31,CONTROL[VEHIDCODE],PROPERTIES[EXCLUDE])</f>
        <v>0</v>
      </c>
      <c r="C31" t="b">
        <f>_xlfn.XLOOKUP(A31,CONTROL[VEHIDCODE],CONTROL[IS_WAGON_OR_COACH])</f>
        <v>0</v>
      </c>
      <c r="D31">
        <f>FLOOR(_xlfn.XLOOKUP($A31,PROPERTIES[VEHIDCODE],PROPERTIES[INTRODUCTION_YEAR]),20)</f>
        <v>1920</v>
      </c>
      <c r="E31" t="e">
        <f>_xlfn.XLOOKUP($A31,PROPERTIES[VEHIDCODE],#REF!)</f>
        <v>#REF!</v>
      </c>
      <c r="F31" s="25" t="str" cm="1">
        <f t="array" ref="F31">_xlfn.CONCAT(_xlfn.XLOOKUP($A31,PROPERTIES[VEHIDCODE],PROPERTIES[REGION1]),"_",_xlfn.XLOOKUP($A31,PROPERTIES[VEHIDCODE],PROPERTIES[REGION2]),"_",_xlfn.XLOOKUP($A31,PROPERTIES[VEHIDCODE],PROPERTIES[REGION3]&amp;"_"&amp;_xlfn.XLOOKUP($A31,PROPERTIES[VEHIDCODE],PROPERTIES[REGION4])))</f>
        <v>NORTHERN_EUROPE_NO_REGION_NO_REGION_NO_REGION</v>
      </c>
      <c r="G31" t="b">
        <f t="shared" si="0"/>
        <v>0</v>
      </c>
      <c r="H31" t="b">
        <f t="shared" si="7"/>
        <v>0</v>
      </c>
      <c r="I31" t="b">
        <f t="shared" si="1"/>
        <v>0</v>
      </c>
      <c r="J31" t="b">
        <f t="shared" si="8"/>
        <v>0</v>
      </c>
      <c r="K31" t="b">
        <f t="shared" si="2"/>
        <v>0</v>
      </c>
      <c r="L31" t="b">
        <f t="shared" si="3"/>
        <v>1</v>
      </c>
      <c r="M31" t="b">
        <f t="shared" si="4"/>
        <v>0</v>
      </c>
      <c r="N31" t="b">
        <f t="shared" si="5"/>
        <v>0</v>
      </c>
      <c r="O31" t="b">
        <f t="shared" si="6"/>
        <v>0</v>
      </c>
    </row>
    <row r="32" spans="1:15" x14ac:dyDescent="0.35">
      <c r="A32" t="str">
        <v>rbd_LHW_BSt_6001</v>
      </c>
      <c r="B32" t="b" cm="1">
        <f t="array" ref="B32">_xlfn.XLOOKUP(A32,CONTROL[VEHIDCODE],PROPERTIES[EXCLUDE])</f>
        <v>0</v>
      </c>
      <c r="C32" t="b">
        <f>_xlfn.XLOOKUP(A32,CONTROL[VEHIDCODE],CONTROL[IS_WAGON_OR_COACH])</f>
        <v>0</v>
      </c>
      <c r="D32">
        <f>FLOOR(_xlfn.XLOOKUP($A32,PROPERTIES[VEHIDCODE],PROPERTIES[INTRODUCTION_YEAR]),20)</f>
        <v>1920</v>
      </c>
      <c r="E32" t="e">
        <f>_xlfn.XLOOKUP($A32,PROPERTIES[VEHIDCODE],#REF!)</f>
        <v>#REF!</v>
      </c>
      <c r="F32" s="25" t="str" cm="1">
        <f t="array" ref="F32">_xlfn.CONCAT(_xlfn.XLOOKUP($A32,PROPERTIES[VEHIDCODE],PROPERTIES[REGION1]),"_",_xlfn.XLOOKUP($A32,PROPERTIES[VEHIDCODE],PROPERTIES[REGION2]),"_",_xlfn.XLOOKUP($A32,PROPERTIES[VEHIDCODE],PROPERTIES[REGION3]&amp;"_"&amp;_xlfn.XLOOKUP($A32,PROPERTIES[VEHIDCODE],PROPERTIES[REGION4])))</f>
        <v>WESTERN_EUROPE_NO_REGION_NO_REGION_NO_REGION</v>
      </c>
      <c r="G32" t="b">
        <f t="shared" si="0"/>
        <v>0</v>
      </c>
      <c r="H32" t="b">
        <f t="shared" si="7"/>
        <v>0</v>
      </c>
      <c r="I32" t="b">
        <f t="shared" si="1"/>
        <v>0</v>
      </c>
      <c r="J32" t="b">
        <f t="shared" si="8"/>
        <v>0</v>
      </c>
      <c r="K32" t="b">
        <f t="shared" si="2"/>
        <v>1</v>
      </c>
      <c r="L32" t="b">
        <f t="shared" si="3"/>
        <v>0</v>
      </c>
      <c r="M32" t="b">
        <f t="shared" si="4"/>
        <v>0</v>
      </c>
      <c r="N32" t="b">
        <f t="shared" si="5"/>
        <v>0</v>
      </c>
      <c r="O32" t="b">
        <f t="shared" si="6"/>
        <v>0</v>
      </c>
    </row>
    <row r="33" spans="1:15" x14ac:dyDescent="0.35">
      <c r="A33" t="str">
        <v>rbd_EMC_DERM</v>
      </c>
      <c r="B33" t="b" cm="1">
        <f t="array" ref="B33">_xlfn.XLOOKUP(A33,CONTROL[VEHIDCODE],PROPERTIES[EXCLUDE])</f>
        <v>0</v>
      </c>
      <c r="C33" t="b">
        <f>_xlfn.XLOOKUP(A33,CONTROL[VEHIDCODE],CONTROL[IS_WAGON_OR_COACH])</f>
        <v>0</v>
      </c>
      <c r="D33">
        <f>FLOOR(_xlfn.XLOOKUP($A33,PROPERTIES[VEHIDCODE],PROPERTIES[INTRODUCTION_YEAR]),20)</f>
        <v>1920</v>
      </c>
      <c r="E33" t="e">
        <f>_xlfn.XLOOKUP($A33,PROPERTIES[VEHIDCODE],#REF!)</f>
        <v>#REF!</v>
      </c>
      <c r="F33" s="25" t="str" cm="1">
        <f t="array" ref="F33">_xlfn.CONCAT(_xlfn.XLOOKUP($A33,PROPERTIES[VEHIDCODE],PROPERTIES[REGION1]),"_",_xlfn.XLOOKUP($A33,PROPERTIES[VEHIDCODE],PROPERTIES[REGION2]),"_",_xlfn.XLOOKUP($A33,PROPERTIES[VEHIDCODE],PROPERTIES[REGION3]&amp;"_"&amp;_xlfn.XLOOKUP($A33,PROPERTIES[VEHIDCODE],PROPERTIES[REGION4])))</f>
        <v>OCEANIA_NO_REGION_NO_REGION_NO_REGION</v>
      </c>
      <c r="G33" t="b">
        <f t="shared" si="0"/>
        <v>0</v>
      </c>
      <c r="H33" t="b">
        <f t="shared" si="7"/>
        <v>0</v>
      </c>
      <c r="I33" t="b">
        <f t="shared" si="1"/>
        <v>0</v>
      </c>
      <c r="J33" t="b">
        <f t="shared" si="8"/>
        <v>0</v>
      </c>
      <c r="K33" t="b">
        <f t="shared" si="2"/>
        <v>0</v>
      </c>
      <c r="L33" t="b">
        <f t="shared" si="3"/>
        <v>0</v>
      </c>
      <c r="M33" t="b">
        <f t="shared" si="4"/>
        <v>0</v>
      </c>
      <c r="N33" t="b">
        <f t="shared" si="5"/>
        <v>0</v>
      </c>
      <c r="O33" t="b">
        <f t="shared" si="6"/>
        <v>1</v>
      </c>
    </row>
    <row r="34" spans="1:15" x14ac:dyDescent="0.35">
      <c r="A34" t="str">
        <v>rbd_Tatra_M120_4</v>
      </c>
      <c r="B34" t="b" cm="1">
        <f t="array" ref="B34">_xlfn.XLOOKUP(A34,CONTROL[VEHIDCODE],PROPERTIES[EXCLUDE])</f>
        <v>0</v>
      </c>
      <c r="C34" t="b">
        <f>_xlfn.XLOOKUP(A34,CONTROL[VEHIDCODE],CONTROL[IS_WAGON_OR_COACH])</f>
        <v>0</v>
      </c>
      <c r="D34">
        <f>FLOOR(_xlfn.XLOOKUP($A34,PROPERTIES[VEHIDCODE],PROPERTIES[INTRODUCTION_YEAR]),20)</f>
        <v>1920</v>
      </c>
      <c r="E34" t="e">
        <f>_xlfn.XLOOKUP($A34,PROPERTIES[VEHIDCODE],#REF!)</f>
        <v>#REF!</v>
      </c>
      <c r="F34" s="25" t="str" cm="1">
        <f t="array" ref="F34">_xlfn.CONCAT(_xlfn.XLOOKUP($A34,PROPERTIES[VEHIDCODE],PROPERTIES[REGION1]),"_",_xlfn.XLOOKUP($A34,PROPERTIES[VEHIDCODE],PROPERTIES[REGION2]),"_",_xlfn.XLOOKUP($A34,PROPERTIES[VEHIDCODE],PROPERTIES[REGION3]&amp;"_"&amp;_xlfn.XLOOKUP($A34,PROPERTIES[VEHIDCODE],PROPERTIES[REGION4])))</f>
        <v>EASTERN_EUROPE_NO_REGION_NO_REGION_NO_REGION</v>
      </c>
      <c r="G34" t="b">
        <f t="shared" si="0"/>
        <v>0</v>
      </c>
      <c r="H34" t="b">
        <f t="shared" si="7"/>
        <v>0</v>
      </c>
      <c r="I34" t="b">
        <f t="shared" si="1"/>
        <v>0</v>
      </c>
      <c r="J34" t="b">
        <f t="shared" si="8"/>
        <v>1</v>
      </c>
      <c r="K34" t="b">
        <f t="shared" si="2"/>
        <v>0</v>
      </c>
      <c r="L34" t="b">
        <f t="shared" si="3"/>
        <v>0</v>
      </c>
      <c r="M34" t="b">
        <f t="shared" si="4"/>
        <v>0</v>
      </c>
      <c r="N34" t="b">
        <f t="shared" si="5"/>
        <v>0</v>
      </c>
      <c r="O34" t="b">
        <f t="shared" si="6"/>
        <v>0</v>
      </c>
    </row>
    <row r="35" spans="1:15" x14ac:dyDescent="0.35">
      <c r="A35" t="str">
        <v>rbd_Franz_Kruckenberg_Schienenzeppelin</v>
      </c>
      <c r="B35" t="b" cm="1">
        <f t="array" ref="B35">_xlfn.XLOOKUP(A35,CONTROL[VEHIDCODE],PROPERTIES[EXCLUDE])</f>
        <v>0</v>
      </c>
      <c r="C35" t="b">
        <f>_xlfn.XLOOKUP(A35,CONTROL[VEHIDCODE],CONTROL[IS_WAGON_OR_COACH])</f>
        <v>0</v>
      </c>
      <c r="D35">
        <f>FLOOR(_xlfn.XLOOKUP($A35,PROPERTIES[VEHIDCODE],PROPERTIES[INTRODUCTION_YEAR]),20)</f>
        <v>1920</v>
      </c>
      <c r="E35" t="e">
        <f>_xlfn.XLOOKUP($A35,PROPERTIES[VEHIDCODE],#REF!)</f>
        <v>#REF!</v>
      </c>
      <c r="F35" s="25" t="str" cm="1">
        <f t="array" ref="F35">_xlfn.CONCAT(_xlfn.XLOOKUP($A35,PROPERTIES[VEHIDCODE],PROPERTIES[REGION1]),"_",_xlfn.XLOOKUP($A35,PROPERTIES[VEHIDCODE],PROPERTIES[REGION2]),"_",_xlfn.XLOOKUP($A35,PROPERTIES[VEHIDCODE],PROPERTIES[REGION3]&amp;"_"&amp;_xlfn.XLOOKUP($A35,PROPERTIES[VEHIDCODE],PROPERTIES[REGION4])))</f>
        <v>WESTERN_EUROPE_NO_REGION_NO_REGION_NO_REGION</v>
      </c>
      <c r="G35" t="b">
        <f t="shared" si="0"/>
        <v>0</v>
      </c>
      <c r="H35" t="b">
        <f t="shared" si="7"/>
        <v>0</v>
      </c>
      <c r="I35" t="b">
        <f t="shared" si="1"/>
        <v>0</v>
      </c>
      <c r="J35" t="b">
        <f t="shared" si="8"/>
        <v>0</v>
      </c>
      <c r="K35" t="b">
        <f t="shared" si="2"/>
        <v>1</v>
      </c>
      <c r="L35" t="b">
        <f t="shared" si="3"/>
        <v>0</v>
      </c>
      <c r="M35" t="b">
        <f t="shared" si="4"/>
        <v>0</v>
      </c>
      <c r="N35" t="b">
        <f t="shared" si="5"/>
        <v>0</v>
      </c>
      <c r="O35" t="b">
        <f t="shared" si="6"/>
        <v>0</v>
      </c>
    </row>
    <row r="36" spans="1:15" x14ac:dyDescent="0.35">
      <c r="A36" t="str">
        <v>rbd_DSB_MO_Serie_1</v>
      </c>
      <c r="B36" t="b" cm="1">
        <f t="array" ref="B36">_xlfn.XLOOKUP(A36,CONTROL[VEHIDCODE],PROPERTIES[EXCLUDE])</f>
        <v>0</v>
      </c>
      <c r="C36" t="b">
        <f>_xlfn.XLOOKUP(A36,CONTROL[VEHIDCODE],CONTROL[IS_WAGON_OR_COACH])</f>
        <v>0</v>
      </c>
      <c r="D36">
        <f>FLOOR(_xlfn.XLOOKUP($A36,PROPERTIES[VEHIDCODE],PROPERTIES[INTRODUCTION_YEAR]),20)</f>
        <v>1920</v>
      </c>
      <c r="E36" t="e">
        <f>_xlfn.XLOOKUP($A36,PROPERTIES[VEHIDCODE],#REF!)</f>
        <v>#REF!</v>
      </c>
      <c r="F36" s="25" t="str" cm="1">
        <f t="array" ref="F36">_xlfn.CONCAT(_xlfn.XLOOKUP($A36,PROPERTIES[VEHIDCODE],PROPERTIES[REGION1]),"_",_xlfn.XLOOKUP($A36,PROPERTIES[VEHIDCODE],PROPERTIES[REGION2]),"_",_xlfn.XLOOKUP($A36,PROPERTIES[VEHIDCODE],PROPERTIES[REGION3]&amp;"_"&amp;_xlfn.XLOOKUP($A36,PROPERTIES[VEHIDCODE],PROPERTIES[REGION4])))</f>
        <v>NORTHERN_EUROPE_NO_REGION_NO_REGION_NO_REGION</v>
      </c>
      <c r="G36" t="b">
        <f t="shared" si="0"/>
        <v>0</v>
      </c>
      <c r="H36" t="b">
        <f t="shared" si="7"/>
        <v>0</v>
      </c>
      <c r="I36" t="b">
        <f t="shared" si="1"/>
        <v>0</v>
      </c>
      <c r="J36" t="b">
        <f t="shared" si="8"/>
        <v>0</v>
      </c>
      <c r="K36" t="b">
        <f t="shared" si="2"/>
        <v>0</v>
      </c>
      <c r="L36" t="b">
        <f t="shared" si="3"/>
        <v>1</v>
      </c>
      <c r="M36" t="b">
        <f t="shared" si="4"/>
        <v>0</v>
      </c>
      <c r="N36" t="b">
        <f t="shared" si="5"/>
        <v>0</v>
      </c>
      <c r="O36" t="b">
        <f t="shared" si="6"/>
        <v>0</v>
      </c>
    </row>
    <row r="37" spans="1:15" x14ac:dyDescent="0.35">
      <c r="A37" t="str">
        <v>rbd_Strommens_Kristine_Valdresdatter</v>
      </c>
      <c r="B37" t="b" cm="1">
        <f t="array" ref="B37">_xlfn.XLOOKUP(A37,CONTROL[VEHIDCODE],PROPERTIES[EXCLUDE])</f>
        <v>0</v>
      </c>
      <c r="C37" t="b">
        <f>_xlfn.XLOOKUP(A37,CONTROL[VEHIDCODE],CONTROL[IS_WAGON_OR_COACH])</f>
        <v>0</v>
      </c>
      <c r="D37">
        <f>FLOOR(_xlfn.XLOOKUP($A37,PROPERTIES[VEHIDCODE],PROPERTIES[INTRODUCTION_YEAR]),20)</f>
        <v>1920</v>
      </c>
      <c r="E37" t="e">
        <f>_xlfn.XLOOKUP($A37,PROPERTIES[VEHIDCODE],#REF!)</f>
        <v>#REF!</v>
      </c>
      <c r="F37" s="25" t="str" cm="1">
        <f t="array" ref="F37">_xlfn.CONCAT(_xlfn.XLOOKUP($A37,PROPERTIES[VEHIDCODE],PROPERTIES[REGION1]),"_",_xlfn.XLOOKUP($A37,PROPERTIES[VEHIDCODE],PROPERTIES[REGION2]),"_",_xlfn.XLOOKUP($A37,PROPERTIES[VEHIDCODE],PROPERTIES[REGION3]&amp;"_"&amp;_xlfn.XLOOKUP($A37,PROPERTIES[VEHIDCODE],PROPERTIES[REGION4])))</f>
        <v>NORTHERN_EUROPE_NO_REGION_NO_REGION_NO_REGION</v>
      </c>
      <c r="G37" t="b">
        <f t="shared" si="0"/>
        <v>0</v>
      </c>
      <c r="H37" t="b">
        <f t="shared" si="7"/>
        <v>0</v>
      </c>
      <c r="I37" t="b">
        <f t="shared" si="1"/>
        <v>0</v>
      </c>
      <c r="J37" t="b">
        <f t="shared" si="8"/>
        <v>0</v>
      </c>
      <c r="K37" t="b">
        <f t="shared" si="2"/>
        <v>0</v>
      </c>
      <c r="L37" t="b">
        <f t="shared" si="3"/>
        <v>1</v>
      </c>
      <c r="M37" t="b">
        <f t="shared" si="4"/>
        <v>0</v>
      </c>
      <c r="N37" t="b">
        <f t="shared" si="5"/>
        <v>0</v>
      </c>
      <c r="O37" t="b">
        <f t="shared" si="6"/>
        <v>0</v>
      </c>
    </row>
    <row r="38" spans="1:15" x14ac:dyDescent="0.35">
      <c r="A38" t="str">
        <v>rbd_Tatra_M290</v>
      </c>
      <c r="B38" t="b" cm="1">
        <f t="array" ref="B38">_xlfn.XLOOKUP(A38,CONTROL[VEHIDCODE],PROPERTIES[EXCLUDE])</f>
        <v>0</v>
      </c>
      <c r="C38" t="b">
        <f>_xlfn.XLOOKUP(A38,CONTROL[VEHIDCODE],CONTROL[IS_WAGON_OR_COACH])</f>
        <v>0</v>
      </c>
      <c r="D38">
        <f>FLOOR(_xlfn.XLOOKUP($A38,PROPERTIES[VEHIDCODE],PROPERTIES[INTRODUCTION_YEAR]),20)</f>
        <v>1920</v>
      </c>
      <c r="E38" t="e">
        <f>_xlfn.XLOOKUP($A38,PROPERTIES[VEHIDCODE],#REF!)</f>
        <v>#REF!</v>
      </c>
      <c r="F38" s="25" t="str" cm="1">
        <f t="array" ref="F38">_xlfn.CONCAT(_xlfn.XLOOKUP($A38,PROPERTIES[VEHIDCODE],PROPERTIES[REGION1]),"_",_xlfn.XLOOKUP($A38,PROPERTIES[VEHIDCODE],PROPERTIES[REGION2]),"_",_xlfn.XLOOKUP($A38,PROPERTIES[VEHIDCODE],PROPERTIES[REGION3]&amp;"_"&amp;_xlfn.XLOOKUP($A38,PROPERTIES[VEHIDCODE],PROPERTIES[REGION4])))</f>
        <v>EASTERN_EUROPE_NO_REGION_NO_REGION_NO_REGION</v>
      </c>
      <c r="G38" t="b">
        <f t="shared" si="0"/>
        <v>0</v>
      </c>
      <c r="H38" t="b">
        <f t="shared" si="7"/>
        <v>0</v>
      </c>
      <c r="I38" t="b">
        <f t="shared" si="1"/>
        <v>0</v>
      </c>
      <c r="J38" t="b">
        <f t="shared" si="8"/>
        <v>1</v>
      </c>
      <c r="K38" t="b">
        <f t="shared" si="2"/>
        <v>0</v>
      </c>
      <c r="L38" t="b">
        <f t="shared" si="3"/>
        <v>0</v>
      </c>
      <c r="M38" t="b">
        <f t="shared" si="4"/>
        <v>0</v>
      </c>
      <c r="N38" t="b">
        <f t="shared" si="5"/>
        <v>0</v>
      </c>
      <c r="O38" t="b">
        <f t="shared" si="6"/>
        <v>0</v>
      </c>
    </row>
    <row r="39" spans="1:15" x14ac:dyDescent="0.35">
      <c r="A39" t="str">
        <v>rbd_Werkspoor_DM37</v>
      </c>
      <c r="B39" t="b" cm="1">
        <f t="array" ref="B39">_xlfn.XLOOKUP(A39,CONTROL[VEHIDCODE],PROPERTIES[EXCLUDE])</f>
        <v>0</v>
      </c>
      <c r="C39" t="b">
        <f>_xlfn.XLOOKUP(A39,CONTROL[VEHIDCODE],CONTROL[IS_WAGON_OR_COACH])</f>
        <v>0</v>
      </c>
      <c r="D39">
        <f>FLOOR(_xlfn.XLOOKUP($A39,PROPERTIES[VEHIDCODE],PROPERTIES[INTRODUCTION_YEAR]),20)</f>
        <v>1920</v>
      </c>
      <c r="E39" t="e">
        <f>_xlfn.XLOOKUP($A39,PROPERTIES[VEHIDCODE],#REF!)</f>
        <v>#REF!</v>
      </c>
      <c r="F39" s="25" t="str" cm="1">
        <f t="array" ref="F39">_xlfn.CONCAT(_xlfn.XLOOKUP($A39,PROPERTIES[VEHIDCODE],PROPERTIES[REGION1]),"_",_xlfn.XLOOKUP($A39,PROPERTIES[VEHIDCODE],PROPERTIES[REGION2]),"_",_xlfn.XLOOKUP($A39,PROPERTIES[VEHIDCODE],PROPERTIES[REGION3]&amp;"_"&amp;_xlfn.XLOOKUP($A39,PROPERTIES[VEHIDCODE],PROPERTIES[REGION4])))</f>
        <v>WESTERN_EUROPE_NO_REGION_NO_REGION_NO_REGION</v>
      </c>
      <c r="G39" t="b">
        <f t="shared" si="0"/>
        <v>0</v>
      </c>
      <c r="H39" t="b">
        <f t="shared" si="7"/>
        <v>0</v>
      </c>
      <c r="I39" t="b">
        <f t="shared" si="1"/>
        <v>0</v>
      </c>
      <c r="J39" t="b">
        <f t="shared" si="8"/>
        <v>0</v>
      </c>
      <c r="K39" t="b">
        <f t="shared" si="2"/>
        <v>1</v>
      </c>
      <c r="L39" t="b">
        <f t="shared" si="3"/>
        <v>0</v>
      </c>
      <c r="M39" t="b">
        <f t="shared" si="4"/>
        <v>0</v>
      </c>
      <c r="N39" t="b">
        <f t="shared" si="5"/>
        <v>0</v>
      </c>
      <c r="O39" t="b">
        <f t="shared" si="6"/>
        <v>0</v>
      </c>
    </row>
    <row r="40" spans="1:15" x14ac:dyDescent="0.35">
      <c r="A40" t="str">
        <v>rbd_Eveleigh_400_Class</v>
      </c>
      <c r="B40" t="b" cm="1">
        <f t="array" ref="B40">_xlfn.XLOOKUP(A40,CONTROL[VEHIDCODE],PROPERTIES[EXCLUDE])</f>
        <v>0</v>
      </c>
      <c r="C40" t="b">
        <f>_xlfn.XLOOKUP(A40,CONTROL[VEHIDCODE],CONTROL[IS_WAGON_OR_COACH])</f>
        <v>0</v>
      </c>
      <c r="D40">
        <f>FLOOR(_xlfn.XLOOKUP($A40,PROPERTIES[VEHIDCODE],PROPERTIES[INTRODUCTION_YEAR]),20)</f>
        <v>1920</v>
      </c>
      <c r="E40" t="e">
        <f>_xlfn.XLOOKUP($A40,PROPERTIES[VEHIDCODE],#REF!)</f>
        <v>#REF!</v>
      </c>
      <c r="F40" s="25" t="str" cm="1">
        <f t="array" ref="F40">_xlfn.CONCAT(_xlfn.XLOOKUP($A40,PROPERTIES[VEHIDCODE],PROPERTIES[REGION1]),"_",_xlfn.XLOOKUP($A40,PROPERTIES[VEHIDCODE],PROPERTIES[REGION2]),"_",_xlfn.XLOOKUP($A40,PROPERTIES[VEHIDCODE],PROPERTIES[REGION3]&amp;"_"&amp;_xlfn.XLOOKUP($A40,PROPERTIES[VEHIDCODE],PROPERTIES[REGION4])))</f>
        <v>OCEANIA_NO_REGION_NO_REGION_NO_REGION</v>
      </c>
      <c r="G40" t="b">
        <f t="shared" si="0"/>
        <v>0</v>
      </c>
      <c r="H40" t="b">
        <f t="shared" si="7"/>
        <v>0</v>
      </c>
      <c r="I40" t="b">
        <f t="shared" si="1"/>
        <v>0</v>
      </c>
      <c r="J40" t="b">
        <f t="shared" si="8"/>
        <v>0</v>
      </c>
      <c r="K40" t="b">
        <f t="shared" si="2"/>
        <v>0</v>
      </c>
      <c r="L40" t="b">
        <f t="shared" si="3"/>
        <v>0</v>
      </c>
      <c r="M40" t="b">
        <f t="shared" si="4"/>
        <v>0</v>
      </c>
      <c r="N40" t="b">
        <f t="shared" si="5"/>
        <v>0</v>
      </c>
      <c r="O40" t="b">
        <f t="shared" si="6"/>
        <v>1</v>
      </c>
    </row>
    <row r="41" spans="1:15" x14ac:dyDescent="0.35">
      <c r="A41" t="str">
        <v>rbd_Vale_do_Vouga_ME51_55</v>
      </c>
      <c r="B41" t="b" cm="1">
        <f t="array" ref="B41">_xlfn.XLOOKUP(A41,CONTROL[VEHIDCODE],PROPERTIES[EXCLUDE])</f>
        <v>0</v>
      </c>
      <c r="C41" t="b">
        <f>_xlfn.XLOOKUP(A41,CONTROL[VEHIDCODE],CONTROL[IS_WAGON_OR_COACH])</f>
        <v>0</v>
      </c>
      <c r="D41">
        <f>FLOOR(_xlfn.XLOOKUP($A41,PROPERTIES[VEHIDCODE],PROPERTIES[INTRODUCTION_YEAR]),20)</f>
        <v>1940</v>
      </c>
      <c r="E41" t="e">
        <f>_xlfn.XLOOKUP($A41,PROPERTIES[VEHIDCODE],#REF!)</f>
        <v>#REF!</v>
      </c>
      <c r="F41" s="25" t="str" cm="1">
        <f t="array" ref="F41">_xlfn.CONCAT(_xlfn.XLOOKUP($A41,PROPERTIES[VEHIDCODE],PROPERTIES[REGION1]),"_",_xlfn.XLOOKUP($A41,PROPERTIES[VEHIDCODE],PROPERTIES[REGION2]),"_",_xlfn.XLOOKUP($A41,PROPERTIES[VEHIDCODE],PROPERTIES[REGION3]&amp;"_"&amp;_xlfn.XLOOKUP($A41,PROPERTIES[VEHIDCODE],PROPERTIES[REGION4])))</f>
        <v>SOUTHERN_EUROPE_NO_REGION_NO_REGION_NO_REGION</v>
      </c>
      <c r="G41" t="b">
        <f t="shared" si="0"/>
        <v>0</v>
      </c>
      <c r="H41" t="b">
        <f t="shared" si="7"/>
        <v>0</v>
      </c>
      <c r="I41" t="b">
        <f t="shared" si="1"/>
        <v>1</v>
      </c>
      <c r="J41" t="b">
        <f t="shared" si="8"/>
        <v>0</v>
      </c>
      <c r="K41" t="b">
        <f t="shared" si="2"/>
        <v>0</v>
      </c>
      <c r="L41" t="b">
        <f t="shared" si="3"/>
        <v>0</v>
      </c>
      <c r="M41" t="b">
        <f t="shared" si="4"/>
        <v>0</v>
      </c>
      <c r="N41" t="b">
        <f t="shared" si="5"/>
        <v>0</v>
      </c>
      <c r="O41" t="b">
        <f t="shared" si="6"/>
        <v>0</v>
      </c>
    </row>
    <row r="42" spans="1:15" x14ac:dyDescent="0.35">
      <c r="A42" t="str">
        <v>rbd_Ateliers_Germain_42_43</v>
      </c>
      <c r="B42" t="b" cm="1">
        <f t="array" ref="B42">_xlfn.XLOOKUP(A42,CONTROL[VEHIDCODE],PROPERTIES[EXCLUDE])</f>
        <v>0</v>
      </c>
      <c r="C42" t="b">
        <f>_xlfn.XLOOKUP(A42,CONTROL[VEHIDCODE],CONTROL[IS_WAGON_OR_COACH])</f>
        <v>0</v>
      </c>
      <c r="D42">
        <f>FLOOR(_xlfn.XLOOKUP($A42,PROPERTIES[VEHIDCODE],PROPERTIES[INTRODUCTION_YEAR]),20)</f>
        <v>1940</v>
      </c>
      <c r="E42" t="e">
        <f>_xlfn.XLOOKUP($A42,PROPERTIES[VEHIDCODE],#REF!)</f>
        <v>#REF!</v>
      </c>
      <c r="F42" s="25" t="str" cm="1">
        <f t="array" ref="F42">_xlfn.CONCAT(_xlfn.XLOOKUP($A42,PROPERTIES[VEHIDCODE],PROPERTIES[REGION1]),"_",_xlfn.XLOOKUP($A42,PROPERTIES[VEHIDCODE],PROPERTIES[REGION2]),"_",_xlfn.XLOOKUP($A42,PROPERTIES[VEHIDCODE],PROPERTIES[REGION3]&amp;"_"&amp;_xlfn.XLOOKUP($A42,PROPERTIES[VEHIDCODE],PROPERTIES[REGION4])))</f>
        <v>WESTERN_EUROPE_NO_REGION_NO_REGION_NO_REGION</v>
      </c>
      <c r="G42" t="b">
        <f t="shared" si="0"/>
        <v>0</v>
      </c>
      <c r="H42" t="b">
        <f t="shared" si="7"/>
        <v>0</v>
      </c>
      <c r="I42" t="b">
        <f t="shared" si="1"/>
        <v>0</v>
      </c>
      <c r="J42" t="b">
        <f t="shared" si="8"/>
        <v>0</v>
      </c>
      <c r="K42" t="b">
        <f t="shared" si="2"/>
        <v>1</v>
      </c>
      <c r="L42" t="b">
        <f t="shared" si="3"/>
        <v>0</v>
      </c>
      <c r="M42" t="b">
        <f t="shared" si="4"/>
        <v>0</v>
      </c>
      <c r="N42" t="b">
        <f t="shared" si="5"/>
        <v>0</v>
      </c>
      <c r="O42" t="b">
        <f t="shared" si="6"/>
        <v>0</v>
      </c>
    </row>
    <row r="43" spans="1:15" x14ac:dyDescent="0.35">
      <c r="A43" t="str">
        <v>rbd_SGP_77783_1960</v>
      </c>
      <c r="B43" t="b" cm="1">
        <f t="array" ref="B43">_xlfn.XLOOKUP(A43,CONTROL[VEHIDCODE],PROPERTIES[EXCLUDE])</f>
        <v>0</v>
      </c>
      <c r="C43" t="b">
        <f>_xlfn.XLOOKUP(A43,CONTROL[VEHIDCODE],CONTROL[IS_WAGON_OR_COACH])</f>
        <v>0</v>
      </c>
      <c r="D43">
        <f>FLOOR(_xlfn.XLOOKUP($A43,PROPERTIES[VEHIDCODE],PROPERTIES[INTRODUCTION_YEAR]),20)</f>
        <v>1960</v>
      </c>
      <c r="E43" t="e">
        <f>_xlfn.XLOOKUP($A43,PROPERTIES[VEHIDCODE],#REF!)</f>
        <v>#REF!</v>
      </c>
      <c r="F43" s="25" t="str" cm="1">
        <f t="array" ref="F43">_xlfn.CONCAT(_xlfn.XLOOKUP($A43,PROPERTIES[VEHIDCODE],PROPERTIES[REGION1]),"_",_xlfn.XLOOKUP($A43,PROPERTIES[VEHIDCODE],PROPERTIES[REGION2]),"_",_xlfn.XLOOKUP($A43,PROPERTIES[VEHIDCODE],PROPERTIES[REGION3]&amp;"_"&amp;_xlfn.XLOOKUP($A43,PROPERTIES[VEHIDCODE],PROPERTIES[REGION4])))</f>
        <v>EASTERN_EUROPE_NO_REGION_NO_REGION_NO_REGION</v>
      </c>
      <c r="G43" t="b">
        <f t="shared" si="0"/>
        <v>0</v>
      </c>
      <c r="H43" t="b">
        <f t="shared" si="7"/>
        <v>0</v>
      </c>
      <c r="I43" t="b">
        <f t="shared" si="1"/>
        <v>0</v>
      </c>
      <c r="J43" t="b">
        <f t="shared" si="8"/>
        <v>1</v>
      </c>
      <c r="K43" t="b">
        <f t="shared" si="2"/>
        <v>0</v>
      </c>
      <c r="L43" t="b">
        <f t="shared" si="3"/>
        <v>0</v>
      </c>
      <c r="M43" t="b">
        <f t="shared" si="4"/>
        <v>0</v>
      </c>
      <c r="N43" t="b">
        <f t="shared" si="5"/>
        <v>0</v>
      </c>
      <c r="O43" t="b">
        <f t="shared" si="6"/>
        <v>0</v>
      </c>
    </row>
    <row r="44" spans="1:15" x14ac:dyDescent="0.35">
      <c r="A44" t="str">
        <v>rbd_Ferrostaal_Esslingen_AA_71</v>
      </c>
      <c r="B44" t="b" cm="1">
        <f t="array" ref="B44">_xlfn.XLOOKUP(A44,CONTROL[VEHIDCODE],PROPERTIES[EXCLUDE])</f>
        <v>0</v>
      </c>
      <c r="C44" t="b">
        <f>_xlfn.XLOOKUP(A44,CONTROL[VEHIDCODE],CONTROL[IS_WAGON_OR_COACH])</f>
        <v>0</v>
      </c>
      <c r="D44">
        <f>FLOOR(_xlfn.XLOOKUP($A44,PROPERTIES[VEHIDCODE],PROPERTIES[INTRODUCTION_YEAR]),20)</f>
        <v>1960</v>
      </c>
      <c r="E44" t="e">
        <f>_xlfn.XLOOKUP($A44,PROPERTIES[VEHIDCODE],#REF!)</f>
        <v>#REF!</v>
      </c>
      <c r="F44" s="25" t="str" cm="1">
        <f t="array" ref="F44">_xlfn.CONCAT(_xlfn.XLOOKUP($A44,PROPERTIES[VEHIDCODE],PROPERTIES[REGION1]),"_",_xlfn.XLOOKUP($A44,PROPERTIES[VEHIDCODE],PROPERTIES[REGION2]),"_",_xlfn.XLOOKUP($A44,PROPERTIES[VEHIDCODE],PROPERTIES[REGION3]&amp;"_"&amp;_xlfn.XLOOKUP($A44,PROPERTIES[VEHIDCODE],PROPERTIES[REGION4])))</f>
        <v>SOUTHERN_EUROPE_NO_REGION_NO_REGION_NO_REGION</v>
      </c>
      <c r="G44" t="b">
        <f t="shared" si="0"/>
        <v>0</v>
      </c>
      <c r="H44" t="b">
        <f t="shared" si="7"/>
        <v>0</v>
      </c>
      <c r="I44" t="b">
        <f t="shared" si="1"/>
        <v>1</v>
      </c>
      <c r="J44" t="b">
        <f t="shared" si="8"/>
        <v>0</v>
      </c>
      <c r="K44" t="b">
        <f t="shared" si="2"/>
        <v>0</v>
      </c>
      <c r="L44" t="b">
        <f t="shared" si="3"/>
        <v>0</v>
      </c>
      <c r="M44" t="b">
        <f t="shared" si="4"/>
        <v>0</v>
      </c>
      <c r="N44" t="b">
        <f t="shared" si="5"/>
        <v>0</v>
      </c>
      <c r="O44" t="b">
        <f t="shared" si="6"/>
        <v>0</v>
      </c>
    </row>
    <row r="45" spans="1:15" x14ac:dyDescent="0.35">
      <c r="A45" t="str">
        <v>rbd_Alsthom_Z_431</v>
      </c>
      <c r="B45" t="b" cm="1">
        <f t="array" ref="B45">_xlfn.XLOOKUP(A45,CONTROL[VEHIDCODE],PROPERTIES[EXCLUDE])</f>
        <v>0</v>
      </c>
      <c r="C45" t="b">
        <f>_xlfn.XLOOKUP(A45,CONTROL[VEHIDCODE],CONTROL[IS_WAGON_OR_COACH])</f>
        <v>0</v>
      </c>
      <c r="D45">
        <f>FLOOR(_xlfn.XLOOKUP($A45,PROPERTIES[VEHIDCODE],PROPERTIES[INTRODUCTION_YEAR]),20)</f>
        <v>1960</v>
      </c>
      <c r="E45" t="e">
        <f>_xlfn.XLOOKUP($A45,PROPERTIES[VEHIDCODE],#REF!)</f>
        <v>#REF!</v>
      </c>
      <c r="F45" s="25" t="str" cm="1">
        <f t="array" ref="F45">_xlfn.CONCAT(_xlfn.XLOOKUP($A45,PROPERTIES[VEHIDCODE],PROPERTIES[REGION1]),"_",_xlfn.XLOOKUP($A45,PROPERTIES[VEHIDCODE],PROPERTIES[REGION2]),"_",_xlfn.XLOOKUP($A45,PROPERTIES[VEHIDCODE],PROPERTIES[REGION3]&amp;"_"&amp;_xlfn.XLOOKUP($A45,PROPERTIES[VEHIDCODE],PROPERTIES[REGION4])))</f>
        <v>AFRICA_NO_REGION_NO_REGION_NO_REGION</v>
      </c>
      <c r="G45" t="b">
        <f t="shared" si="0"/>
        <v>1</v>
      </c>
      <c r="H45" t="b">
        <f t="shared" si="7"/>
        <v>0</v>
      </c>
      <c r="I45" t="b">
        <f t="shared" si="1"/>
        <v>0</v>
      </c>
      <c r="J45" t="b">
        <f t="shared" si="8"/>
        <v>0</v>
      </c>
      <c r="K45" t="b">
        <f t="shared" si="2"/>
        <v>0</v>
      </c>
      <c r="L45" t="b">
        <f t="shared" si="3"/>
        <v>0</v>
      </c>
      <c r="M45" t="b">
        <f t="shared" si="4"/>
        <v>0</v>
      </c>
      <c r="N45" t="b">
        <f t="shared" si="5"/>
        <v>0</v>
      </c>
      <c r="O45" t="b">
        <f t="shared" si="6"/>
        <v>0</v>
      </c>
    </row>
    <row r="46" spans="1:15" x14ac:dyDescent="0.35">
      <c r="A46" t="str">
        <v>rbd_Budd_SPV_2000</v>
      </c>
      <c r="B46" t="b" cm="1">
        <f t="array" ref="B46">_xlfn.XLOOKUP(A46,CONTROL[VEHIDCODE],PROPERTIES[EXCLUDE])</f>
        <v>0</v>
      </c>
      <c r="C46" t="b">
        <f>_xlfn.XLOOKUP(A46,CONTROL[VEHIDCODE],CONTROL[IS_WAGON_OR_COACH])</f>
        <v>0</v>
      </c>
      <c r="D46">
        <f>FLOOR(_xlfn.XLOOKUP($A46,PROPERTIES[VEHIDCODE],PROPERTIES[INTRODUCTION_YEAR]),20)</f>
        <v>1960</v>
      </c>
      <c r="E46" t="e">
        <f>_xlfn.XLOOKUP($A46,PROPERTIES[VEHIDCODE],#REF!)</f>
        <v>#REF!</v>
      </c>
      <c r="F46" s="25" t="str" cm="1">
        <f t="array" ref="F46">_xlfn.CONCAT(_xlfn.XLOOKUP($A46,PROPERTIES[VEHIDCODE],PROPERTIES[REGION1]),"_",_xlfn.XLOOKUP($A46,PROPERTIES[VEHIDCODE],PROPERTIES[REGION2]),"_",_xlfn.XLOOKUP($A46,PROPERTIES[VEHIDCODE],PROPERTIES[REGION3]&amp;"_"&amp;_xlfn.XLOOKUP($A46,PROPERTIES[VEHIDCODE],PROPERTIES[REGION4])))</f>
        <v>NORTH_AMERICA_AFRICA_NO_REGION_NO_REGION</v>
      </c>
      <c r="G46" t="b">
        <f t="shared" si="0"/>
        <v>1</v>
      </c>
      <c r="H46" t="b">
        <f t="shared" si="7"/>
        <v>0</v>
      </c>
      <c r="I46" t="b">
        <f t="shared" si="1"/>
        <v>0</v>
      </c>
      <c r="J46" t="b">
        <f t="shared" si="8"/>
        <v>0</v>
      </c>
      <c r="K46" t="b">
        <f t="shared" si="2"/>
        <v>0</v>
      </c>
      <c r="L46" t="b">
        <f t="shared" si="3"/>
        <v>0</v>
      </c>
      <c r="M46" t="b">
        <f t="shared" si="4"/>
        <v>1</v>
      </c>
      <c r="N46" t="b">
        <f t="shared" si="5"/>
        <v>0</v>
      </c>
      <c r="O46" t="b">
        <f t="shared" si="6"/>
        <v>0</v>
      </c>
    </row>
    <row r="47" spans="1:15" x14ac:dyDescent="0.35">
      <c r="A47" t="str">
        <v>rbd_CKD_Vagonka_Dm12</v>
      </c>
      <c r="B47" t="b" cm="1">
        <f t="array" ref="B47">_xlfn.XLOOKUP(A47,CONTROL[VEHIDCODE],PROPERTIES[EXCLUDE])</f>
        <v>0</v>
      </c>
      <c r="C47" t="b">
        <f>_xlfn.XLOOKUP(A47,CONTROL[VEHIDCODE],CONTROL[IS_WAGON_OR_COACH])</f>
        <v>0</v>
      </c>
      <c r="D47">
        <f>FLOOR(_xlfn.XLOOKUP($A47,PROPERTIES[VEHIDCODE],PROPERTIES[INTRODUCTION_YEAR]),20)</f>
        <v>2000</v>
      </c>
      <c r="E47" t="e">
        <f>_xlfn.XLOOKUP($A47,PROPERTIES[VEHIDCODE],#REF!)</f>
        <v>#REF!</v>
      </c>
      <c r="F47" s="25" t="str" cm="1">
        <f t="array" ref="F47">_xlfn.CONCAT(_xlfn.XLOOKUP($A47,PROPERTIES[VEHIDCODE],PROPERTIES[REGION1]),"_",_xlfn.XLOOKUP($A47,PROPERTIES[VEHIDCODE],PROPERTIES[REGION2]),"_",_xlfn.XLOOKUP($A47,PROPERTIES[VEHIDCODE],PROPERTIES[REGION3]&amp;"_"&amp;_xlfn.XLOOKUP($A47,PROPERTIES[VEHIDCODE],PROPERTIES[REGION4])))</f>
        <v>NORTHERN_EUROPE_NO_REGION_NO_REGION_NO_REGION</v>
      </c>
      <c r="G47" t="b">
        <f t="shared" si="0"/>
        <v>0</v>
      </c>
      <c r="H47" t="b">
        <f t="shared" si="7"/>
        <v>0</v>
      </c>
      <c r="I47" t="b">
        <f t="shared" si="1"/>
        <v>0</v>
      </c>
      <c r="J47" t="b">
        <f t="shared" si="8"/>
        <v>0</v>
      </c>
      <c r="K47" t="b">
        <f t="shared" si="2"/>
        <v>0</v>
      </c>
      <c r="L47" t="b">
        <f t="shared" si="3"/>
        <v>1</v>
      </c>
      <c r="M47" t="b">
        <f t="shared" si="4"/>
        <v>0</v>
      </c>
      <c r="N47" t="b">
        <f t="shared" si="5"/>
        <v>0</v>
      </c>
      <c r="O47" t="b">
        <f t="shared" si="6"/>
        <v>0</v>
      </c>
    </row>
    <row r="48" spans="1:15" x14ac:dyDescent="0.35">
      <c r="A48" t="str">
        <v>rbd_Stadler_Regio_Shuttle_RS1</v>
      </c>
      <c r="B48" t="b" cm="1">
        <f t="array" ref="B48">_xlfn.XLOOKUP(A48,CONTROL[VEHIDCODE],PROPERTIES[EXCLUDE])</f>
        <v>0</v>
      </c>
      <c r="C48" t="b">
        <f>_xlfn.XLOOKUP(A48,CONTROL[VEHIDCODE],CONTROL[IS_WAGON_OR_COACH])</f>
        <v>0</v>
      </c>
      <c r="D48">
        <f>FLOOR(_xlfn.XLOOKUP($A48,PROPERTIES[VEHIDCODE],PROPERTIES[INTRODUCTION_YEAR]),20)</f>
        <v>2000</v>
      </c>
      <c r="E48" t="e">
        <f>_xlfn.XLOOKUP($A48,PROPERTIES[VEHIDCODE],#REF!)</f>
        <v>#REF!</v>
      </c>
      <c r="F48" s="25" t="str" cm="1">
        <f t="array" ref="F48">_xlfn.CONCAT(_xlfn.XLOOKUP($A48,PROPERTIES[VEHIDCODE],PROPERTIES[REGION1]),"_",_xlfn.XLOOKUP($A48,PROPERTIES[VEHIDCODE],PROPERTIES[REGION2]),"_",_xlfn.XLOOKUP($A48,PROPERTIES[VEHIDCODE],PROPERTIES[REGION3]&amp;"_"&amp;_xlfn.XLOOKUP($A48,PROPERTIES[VEHIDCODE],PROPERTIES[REGION4])))</f>
        <v>EASTERN_EUROPE_NO_REGION_NO_REGION_NO_REGION</v>
      </c>
      <c r="G48" t="b">
        <f t="shared" si="0"/>
        <v>0</v>
      </c>
      <c r="H48" t="b">
        <f t="shared" si="7"/>
        <v>0</v>
      </c>
      <c r="I48" t="b">
        <f t="shared" si="1"/>
        <v>0</v>
      </c>
      <c r="J48" t="b">
        <f t="shared" si="8"/>
        <v>1</v>
      </c>
      <c r="K48" t="b">
        <f t="shared" si="2"/>
        <v>0</v>
      </c>
      <c r="L48" t="b">
        <f t="shared" si="3"/>
        <v>0</v>
      </c>
      <c r="M48" t="b">
        <f t="shared" si="4"/>
        <v>0</v>
      </c>
      <c r="N48" t="b">
        <f t="shared" si="5"/>
        <v>0</v>
      </c>
      <c r="O48" t="b">
        <f t="shared" si="6"/>
        <v>0</v>
      </c>
    </row>
    <row r="49" spans="1:15" x14ac:dyDescent="0.35">
      <c r="A49" t="str">
        <v>rbd_Fiat_Ferroviaria_ALn_668_1400</v>
      </c>
      <c r="B49" t="b" cm="1">
        <f t="array" ref="B49">_xlfn.XLOOKUP(A49,CONTROL[VEHIDCODE],PROPERTIES[EXCLUDE])</f>
        <v>0</v>
      </c>
      <c r="C49" t="b">
        <f>_xlfn.XLOOKUP(A49,CONTROL[VEHIDCODE],CONTROL[IS_WAGON_OR_COACH])</f>
        <v>0</v>
      </c>
      <c r="D49">
        <f>FLOOR(_xlfn.XLOOKUP($A49,PROPERTIES[VEHIDCODE],PROPERTIES[INTRODUCTION_YEAR]),20)</f>
        <v>1940</v>
      </c>
      <c r="E49" t="e">
        <f>_xlfn.XLOOKUP($A49,PROPERTIES[VEHIDCODE],#REF!)</f>
        <v>#REF!</v>
      </c>
      <c r="F49" s="25" t="str" cm="1">
        <f t="array" ref="F49">_xlfn.CONCAT(_xlfn.XLOOKUP($A49,PROPERTIES[VEHIDCODE],PROPERTIES[REGION1]),"_",_xlfn.XLOOKUP($A49,PROPERTIES[VEHIDCODE],PROPERTIES[REGION2]),"_",_xlfn.XLOOKUP($A49,PROPERTIES[VEHIDCODE],PROPERTIES[REGION3]&amp;"_"&amp;_xlfn.XLOOKUP($A49,PROPERTIES[VEHIDCODE],PROPERTIES[REGION4])))</f>
        <v>SOUTHERN_EUROPE_NO_REGION_NO_REGION_NO_REGION</v>
      </c>
      <c r="G49" t="b">
        <f t="shared" si="0"/>
        <v>0</v>
      </c>
      <c r="H49" t="b">
        <f t="shared" si="7"/>
        <v>0</v>
      </c>
      <c r="I49" t="b">
        <f t="shared" si="1"/>
        <v>1</v>
      </c>
      <c r="J49" t="b">
        <f t="shared" si="8"/>
        <v>0</v>
      </c>
      <c r="K49" t="b">
        <f t="shared" si="2"/>
        <v>0</v>
      </c>
      <c r="L49" t="b">
        <f t="shared" si="3"/>
        <v>0</v>
      </c>
      <c r="M49" t="b">
        <f t="shared" si="4"/>
        <v>0</v>
      </c>
      <c r="N49" t="b">
        <f t="shared" si="5"/>
        <v>0</v>
      </c>
      <c r="O49" t="b">
        <f t="shared" si="6"/>
        <v>0</v>
      </c>
    </row>
    <row r="50" spans="1:15" x14ac:dyDescent="0.35">
      <c r="A50" t="str">
        <v>rbe_Ringhoffer_40_001</v>
      </c>
      <c r="B50" t="b" cm="1">
        <f t="array" ref="B50">_xlfn.XLOOKUP(A50,CONTROL[VEHIDCODE],PROPERTIES[EXCLUDE])</f>
        <v>0</v>
      </c>
      <c r="C50" t="b">
        <f>_xlfn.XLOOKUP(A50,CONTROL[VEHIDCODE],CONTROL[IS_WAGON_OR_COACH])</f>
        <v>0</v>
      </c>
      <c r="D50">
        <f>FLOOR(_xlfn.XLOOKUP($A50,PROPERTIES[VEHIDCODE],PROPERTIES[INTRODUCTION_YEAR]),20)</f>
        <v>1900</v>
      </c>
      <c r="E50" t="e">
        <f>_xlfn.XLOOKUP($A50,PROPERTIES[VEHIDCODE],#REF!)</f>
        <v>#REF!</v>
      </c>
      <c r="F50" s="25" t="str" cm="1">
        <f t="array" ref="F50">_xlfn.CONCAT(_xlfn.XLOOKUP($A50,PROPERTIES[VEHIDCODE],PROPERTIES[REGION1]),"_",_xlfn.XLOOKUP($A50,PROPERTIES[VEHIDCODE],PROPERTIES[REGION2]),"_",_xlfn.XLOOKUP($A50,PROPERTIES[VEHIDCODE],PROPERTIES[REGION3]&amp;"_"&amp;_xlfn.XLOOKUP($A50,PROPERTIES[VEHIDCODE],PROPERTIES[REGION4])))</f>
        <v>EASTERN_EUROPE_NO_REGION_NO_REGION_NO_REGION</v>
      </c>
      <c r="G50" t="b">
        <f t="shared" si="0"/>
        <v>0</v>
      </c>
      <c r="H50" t="b">
        <f t="shared" si="7"/>
        <v>0</v>
      </c>
      <c r="I50" t="b">
        <f t="shared" si="1"/>
        <v>0</v>
      </c>
      <c r="J50" t="b">
        <f t="shared" si="8"/>
        <v>1</v>
      </c>
      <c r="K50" t="b">
        <f t="shared" si="2"/>
        <v>0</v>
      </c>
      <c r="L50" t="b">
        <f t="shared" si="3"/>
        <v>0</v>
      </c>
      <c r="M50" t="b">
        <f t="shared" si="4"/>
        <v>0</v>
      </c>
      <c r="N50" t="b">
        <f t="shared" si="5"/>
        <v>0</v>
      </c>
      <c r="O50" t="b">
        <f t="shared" si="6"/>
        <v>0</v>
      </c>
    </row>
    <row r="51" spans="1:15" x14ac:dyDescent="0.35">
      <c r="A51" t="str">
        <v>rbe_Decauville_Z_7100</v>
      </c>
      <c r="B51" t="b" cm="1">
        <f t="array" ref="B51">_xlfn.XLOOKUP(A51,CONTROL[VEHIDCODE],PROPERTIES[EXCLUDE])</f>
        <v>0</v>
      </c>
      <c r="C51" t="b">
        <f>_xlfn.XLOOKUP(A51,CONTROL[VEHIDCODE],CONTROL[IS_WAGON_OR_COACH])</f>
        <v>0</v>
      </c>
      <c r="D51">
        <f>FLOOR(_xlfn.XLOOKUP($A51,PROPERTIES[VEHIDCODE],PROPERTIES[INTRODUCTION_YEAR]),20)</f>
        <v>1960</v>
      </c>
      <c r="E51" t="e">
        <f>_xlfn.XLOOKUP($A51,PROPERTIES[VEHIDCODE],#REF!)</f>
        <v>#REF!</v>
      </c>
      <c r="F51" s="25" t="str" cm="1">
        <f t="array" ref="F51">_xlfn.CONCAT(_xlfn.XLOOKUP($A51,PROPERTIES[VEHIDCODE],PROPERTIES[REGION1]),"_",_xlfn.XLOOKUP($A51,PROPERTIES[VEHIDCODE],PROPERTIES[REGION2]),"_",_xlfn.XLOOKUP($A51,PROPERTIES[VEHIDCODE],PROPERTIES[REGION3]&amp;"_"&amp;_xlfn.XLOOKUP($A51,PROPERTIES[VEHIDCODE],PROPERTIES[REGION4])))</f>
        <v>WESTERN_EUROPE_NO_REGION_NO_REGION_NO_REGION</v>
      </c>
      <c r="G51" t="b">
        <f t="shared" si="0"/>
        <v>0</v>
      </c>
      <c r="H51" t="b">
        <f t="shared" si="7"/>
        <v>0</v>
      </c>
      <c r="I51" t="b">
        <f t="shared" si="1"/>
        <v>0</v>
      </c>
      <c r="J51" t="b">
        <f t="shared" si="8"/>
        <v>0</v>
      </c>
      <c r="K51" t="b">
        <f t="shared" si="2"/>
        <v>1</v>
      </c>
      <c r="L51" t="b">
        <f t="shared" si="3"/>
        <v>0</v>
      </c>
      <c r="M51" t="b">
        <f t="shared" si="4"/>
        <v>0</v>
      </c>
      <c r="N51" t="b">
        <f t="shared" si="5"/>
        <v>0</v>
      </c>
      <c r="O51" t="b">
        <f t="shared" si="6"/>
        <v>0</v>
      </c>
    </row>
    <row r="52" spans="1:15" x14ac:dyDescent="0.35">
      <c r="A52" t="str">
        <v>rbe_HAWA_AEG_Kleinbahn_Nr__1_3</v>
      </c>
      <c r="B52" t="b" cm="1">
        <f t="array" ref="B52">_xlfn.XLOOKUP(A52,CONTROL[VEHIDCODE],PROPERTIES[EXCLUDE])</f>
        <v>0</v>
      </c>
      <c r="C52" t="b">
        <f>_xlfn.XLOOKUP(A52,CONTROL[VEHIDCODE],CONTROL[IS_WAGON_OR_COACH])</f>
        <v>0</v>
      </c>
      <c r="D52">
        <f>FLOOR(_xlfn.XLOOKUP($A52,PROPERTIES[VEHIDCODE],PROPERTIES[INTRODUCTION_YEAR]),20)</f>
        <v>1920</v>
      </c>
      <c r="E52" t="e">
        <f>_xlfn.XLOOKUP($A52,PROPERTIES[VEHIDCODE],#REF!)</f>
        <v>#REF!</v>
      </c>
      <c r="F52" s="25" t="str" cm="1">
        <f t="array" ref="F52">_xlfn.CONCAT(_xlfn.XLOOKUP($A52,PROPERTIES[VEHIDCODE],PROPERTIES[REGION1]),"_",_xlfn.XLOOKUP($A52,PROPERTIES[VEHIDCODE],PROPERTIES[REGION2]),"_",_xlfn.XLOOKUP($A52,PROPERTIES[VEHIDCODE],PROPERTIES[REGION3]&amp;"_"&amp;_xlfn.XLOOKUP($A52,PROPERTIES[VEHIDCODE],PROPERTIES[REGION4])))</f>
        <v>WESTERN_EUROPE_NO_REGION_NO_REGION_NO_REGION</v>
      </c>
      <c r="G52" t="b">
        <f t="shared" si="0"/>
        <v>0</v>
      </c>
      <c r="H52" t="b">
        <f t="shared" si="7"/>
        <v>0</v>
      </c>
      <c r="I52" t="b">
        <f t="shared" si="1"/>
        <v>0</v>
      </c>
      <c r="J52" t="b">
        <f t="shared" si="8"/>
        <v>0</v>
      </c>
      <c r="K52" t="b">
        <f t="shared" si="2"/>
        <v>1</v>
      </c>
      <c r="L52" t="b">
        <f t="shared" si="3"/>
        <v>0</v>
      </c>
      <c r="M52" t="b">
        <f t="shared" si="4"/>
        <v>0</v>
      </c>
      <c r="N52" t="b">
        <f t="shared" si="5"/>
        <v>0</v>
      </c>
      <c r="O52" t="b">
        <f t="shared" si="6"/>
        <v>0</v>
      </c>
    </row>
    <row r="53" spans="1:15" x14ac:dyDescent="0.35">
      <c r="A53" t="str">
        <v>rbe_Raw_Schoneweide_479_201</v>
      </c>
      <c r="B53" t="b" cm="1">
        <f t="array" ref="B53">_xlfn.XLOOKUP(A53,CONTROL[VEHIDCODE],PROPERTIES[EXCLUDE])</f>
        <v>0</v>
      </c>
      <c r="C53" t="b">
        <f>_xlfn.XLOOKUP(A53,CONTROL[VEHIDCODE],CONTROL[IS_WAGON_OR_COACH])</f>
        <v>0</v>
      </c>
      <c r="D53">
        <f>FLOOR(_xlfn.XLOOKUP($A53,PROPERTIES[VEHIDCODE],PROPERTIES[INTRODUCTION_YEAR]),20)</f>
        <v>1980</v>
      </c>
      <c r="E53" t="e">
        <f>_xlfn.XLOOKUP($A53,PROPERTIES[VEHIDCODE],#REF!)</f>
        <v>#REF!</v>
      </c>
      <c r="F53" s="25" t="str" cm="1">
        <f t="array" ref="F53">_xlfn.CONCAT(_xlfn.XLOOKUP($A53,PROPERTIES[VEHIDCODE],PROPERTIES[REGION1]),"_",_xlfn.XLOOKUP($A53,PROPERTIES[VEHIDCODE],PROPERTIES[REGION2]),"_",_xlfn.XLOOKUP($A53,PROPERTIES[VEHIDCODE],PROPERTIES[REGION3]&amp;"_"&amp;_xlfn.XLOOKUP($A53,PROPERTIES[VEHIDCODE],PROPERTIES[REGION4])))</f>
        <v>WESTERN_EUROPE_NO_REGION_NO_REGION_NO_REGION</v>
      </c>
      <c r="G53" t="b">
        <f t="shared" si="0"/>
        <v>0</v>
      </c>
      <c r="H53" t="b">
        <f t="shared" si="7"/>
        <v>0</v>
      </c>
      <c r="I53" t="b">
        <f t="shared" si="1"/>
        <v>0</v>
      </c>
      <c r="J53" t="b">
        <f t="shared" si="8"/>
        <v>0</v>
      </c>
      <c r="K53" t="b">
        <f t="shared" si="2"/>
        <v>1</v>
      </c>
      <c r="L53" t="b">
        <f t="shared" si="3"/>
        <v>0</v>
      </c>
      <c r="M53" t="b">
        <f t="shared" si="4"/>
        <v>0</v>
      </c>
      <c r="N53" t="b">
        <f t="shared" si="5"/>
        <v>0</v>
      </c>
      <c r="O53" t="b">
        <f t="shared" si="6"/>
        <v>0</v>
      </c>
    </row>
    <row r="54" spans="1:15" x14ac:dyDescent="0.35">
      <c r="A54" t="str">
        <v>rbe_Studenka_425_95</v>
      </c>
      <c r="B54" t="b" cm="1">
        <f t="array" ref="B54">_xlfn.XLOOKUP(A54,CONTROL[VEHIDCODE],PROPERTIES[EXCLUDE])</f>
        <v>0</v>
      </c>
      <c r="C54" t="b">
        <f>_xlfn.XLOOKUP(A54,CONTROL[VEHIDCODE],CONTROL[IS_WAGON_OR_COACH])</f>
        <v>0</v>
      </c>
      <c r="D54">
        <f>FLOOR(_xlfn.XLOOKUP($A54,PROPERTIES[VEHIDCODE],PROPERTIES[INTRODUCTION_YEAR]),20)</f>
        <v>1920</v>
      </c>
      <c r="E54" t="e">
        <f>_xlfn.XLOOKUP($A54,PROPERTIES[VEHIDCODE],#REF!)</f>
        <v>#REF!</v>
      </c>
      <c r="F54" s="25" t="str" cm="1">
        <f t="array" ref="F54">_xlfn.CONCAT(_xlfn.XLOOKUP($A54,PROPERTIES[VEHIDCODE],PROPERTIES[REGION1]),"_",_xlfn.XLOOKUP($A54,PROPERTIES[VEHIDCODE],PROPERTIES[REGION2]),"_",_xlfn.XLOOKUP($A54,PROPERTIES[VEHIDCODE],PROPERTIES[REGION3]&amp;"_"&amp;_xlfn.XLOOKUP($A54,PROPERTIES[VEHIDCODE],PROPERTIES[REGION4])))</f>
        <v>EASTERN_EUROPE_NO_REGION_NO_REGION_NO_REGION</v>
      </c>
      <c r="G54" t="b">
        <f t="shared" si="0"/>
        <v>0</v>
      </c>
      <c r="H54" t="b">
        <f t="shared" si="7"/>
        <v>0</v>
      </c>
      <c r="I54" t="b">
        <f t="shared" si="1"/>
        <v>0</v>
      </c>
      <c r="J54" t="b">
        <f t="shared" si="8"/>
        <v>1</v>
      </c>
      <c r="K54" t="b">
        <f t="shared" si="2"/>
        <v>0</v>
      </c>
      <c r="L54" t="b">
        <f t="shared" si="3"/>
        <v>0</v>
      </c>
      <c r="M54" t="b">
        <f t="shared" si="4"/>
        <v>0</v>
      </c>
      <c r="N54" t="b">
        <f t="shared" si="5"/>
        <v>0</v>
      </c>
      <c r="O54" t="b">
        <f t="shared" si="6"/>
        <v>0</v>
      </c>
    </row>
    <row r="55" spans="1:15" x14ac:dyDescent="0.35">
      <c r="A55" t="str">
        <v>rbe_Pozzuoli___OCREN_OM_ALe_840</v>
      </c>
      <c r="B55" t="b" cm="1">
        <f t="array" ref="B55">_xlfn.XLOOKUP(A55,CONTROL[VEHIDCODE],PROPERTIES[EXCLUDE])</f>
        <v>0</v>
      </c>
      <c r="C55" t="b">
        <f>_xlfn.XLOOKUP(A55,CONTROL[VEHIDCODE],CONTROL[IS_WAGON_OR_COACH])</f>
        <v>0</v>
      </c>
      <c r="D55">
        <f>FLOOR(_xlfn.XLOOKUP($A55,PROPERTIES[VEHIDCODE],PROPERTIES[INTRODUCTION_YEAR]),20)</f>
        <v>1940</v>
      </c>
      <c r="E55" t="e">
        <f>_xlfn.XLOOKUP($A55,PROPERTIES[VEHIDCODE],#REF!)</f>
        <v>#REF!</v>
      </c>
      <c r="F55" s="25" t="str" cm="1">
        <f t="array" ref="F55">_xlfn.CONCAT(_xlfn.XLOOKUP($A55,PROPERTIES[VEHIDCODE],PROPERTIES[REGION1]),"_",_xlfn.XLOOKUP($A55,PROPERTIES[VEHIDCODE],PROPERTIES[REGION2]),"_",_xlfn.XLOOKUP($A55,PROPERTIES[VEHIDCODE],PROPERTIES[REGION3]&amp;"_"&amp;_xlfn.XLOOKUP($A55,PROPERTIES[VEHIDCODE],PROPERTIES[REGION4])))</f>
        <v>SOUTHERN_EUROPE_NO_REGION_NO_REGION_NO_REGION</v>
      </c>
      <c r="G55" t="b">
        <f t="shared" si="0"/>
        <v>0</v>
      </c>
      <c r="H55" t="b">
        <f t="shared" si="7"/>
        <v>0</v>
      </c>
      <c r="I55" t="b">
        <f t="shared" si="1"/>
        <v>1</v>
      </c>
      <c r="J55" t="b">
        <f t="shared" si="8"/>
        <v>0</v>
      </c>
      <c r="K55" t="b">
        <f t="shared" si="2"/>
        <v>0</v>
      </c>
      <c r="L55" t="b">
        <f t="shared" si="3"/>
        <v>0</v>
      </c>
      <c r="M55" t="b">
        <f t="shared" si="4"/>
        <v>0</v>
      </c>
      <c r="N55" t="b">
        <f t="shared" si="5"/>
        <v>0</v>
      </c>
      <c r="O55" t="b">
        <f t="shared" si="6"/>
        <v>0</v>
      </c>
    </row>
    <row r="56" spans="1:15" x14ac:dyDescent="0.35">
      <c r="A56" t="str">
        <v>rbe_Stanga_ALe_80</v>
      </c>
      <c r="B56" t="b" cm="1">
        <f t="array" ref="B56">_xlfn.XLOOKUP(A56,CONTROL[VEHIDCODE],PROPERTIES[EXCLUDE])</f>
        <v>0</v>
      </c>
      <c r="C56" t="b">
        <f>_xlfn.XLOOKUP(A56,CONTROL[VEHIDCODE],CONTROL[IS_WAGON_OR_COACH])</f>
        <v>0</v>
      </c>
      <c r="D56">
        <f>FLOOR(_xlfn.XLOOKUP($A56,PROPERTIES[VEHIDCODE],PROPERTIES[INTRODUCTION_YEAR]),20)</f>
        <v>1980</v>
      </c>
      <c r="E56" t="e">
        <f>_xlfn.XLOOKUP($A56,PROPERTIES[VEHIDCODE],#REF!)</f>
        <v>#REF!</v>
      </c>
      <c r="F56" s="25" t="str" cm="1">
        <f t="array" ref="F56">_xlfn.CONCAT(_xlfn.XLOOKUP($A56,PROPERTIES[VEHIDCODE],PROPERTIES[REGION1]),"_",_xlfn.XLOOKUP($A56,PROPERTIES[VEHIDCODE],PROPERTIES[REGION2]),"_",_xlfn.XLOOKUP($A56,PROPERTIES[VEHIDCODE],PROPERTIES[REGION3]&amp;"_"&amp;_xlfn.XLOOKUP($A56,PROPERTIES[VEHIDCODE],PROPERTIES[REGION4])))</f>
        <v>SOUTHERN_EUROPE_NO_REGION_NO_REGION_NO_REGION</v>
      </c>
      <c r="G56" t="b">
        <f t="shared" si="0"/>
        <v>0</v>
      </c>
      <c r="H56" t="b">
        <f t="shared" si="7"/>
        <v>0</v>
      </c>
      <c r="I56" t="b">
        <f t="shared" si="1"/>
        <v>1</v>
      </c>
      <c r="J56" t="b">
        <f t="shared" si="8"/>
        <v>0</v>
      </c>
      <c r="K56" t="b">
        <f t="shared" si="2"/>
        <v>0</v>
      </c>
      <c r="L56" t="b">
        <f t="shared" si="3"/>
        <v>0</v>
      </c>
      <c r="M56" t="b">
        <f t="shared" si="4"/>
        <v>0</v>
      </c>
      <c r="N56" t="b">
        <f t="shared" si="5"/>
        <v>0</v>
      </c>
      <c r="O56" t="b">
        <f t="shared" si="6"/>
        <v>0</v>
      </c>
    </row>
    <row r="57" spans="1:15" x14ac:dyDescent="0.35">
      <c r="A57" t="str">
        <v>rbe_FS_E_623</v>
      </c>
      <c r="B57" t="b" cm="1">
        <f t="array" ref="B57">_xlfn.XLOOKUP(A57,CONTROL[VEHIDCODE],PROPERTIES[EXCLUDE])</f>
        <v>0</v>
      </c>
      <c r="C57" t="b">
        <f>_xlfn.XLOOKUP(A57,CONTROL[VEHIDCODE],CONTROL[IS_WAGON_OR_COACH])</f>
        <v>0</v>
      </c>
      <c r="D57">
        <f>FLOOR(_xlfn.XLOOKUP($A57,PROPERTIES[VEHIDCODE],PROPERTIES[INTRODUCTION_YEAR]),20)</f>
        <v>1940</v>
      </c>
      <c r="E57" t="e">
        <f>_xlfn.XLOOKUP($A57,PROPERTIES[VEHIDCODE],#REF!)</f>
        <v>#REF!</v>
      </c>
      <c r="F57" s="25" t="str" cm="1">
        <f t="array" ref="F57">_xlfn.CONCAT(_xlfn.XLOOKUP($A57,PROPERTIES[VEHIDCODE],PROPERTIES[REGION1]),"_",_xlfn.XLOOKUP($A57,PROPERTIES[VEHIDCODE],PROPERTIES[REGION2]),"_",_xlfn.XLOOKUP($A57,PROPERTIES[VEHIDCODE],PROPERTIES[REGION3]&amp;"_"&amp;_xlfn.XLOOKUP($A57,PROPERTIES[VEHIDCODE],PROPERTIES[REGION4])))</f>
        <v>SOUTHERN_EUROPE_NO_REGION_NO_REGION_NO_REGION</v>
      </c>
      <c r="G57" t="b">
        <f t="shared" si="0"/>
        <v>0</v>
      </c>
      <c r="H57" t="b">
        <f t="shared" si="7"/>
        <v>0</v>
      </c>
      <c r="I57" t="b">
        <f t="shared" si="1"/>
        <v>1</v>
      </c>
      <c r="J57" t="b">
        <f t="shared" si="8"/>
        <v>0</v>
      </c>
      <c r="K57" t="b">
        <f t="shared" si="2"/>
        <v>0</v>
      </c>
      <c r="L57" t="b">
        <f t="shared" si="3"/>
        <v>0</v>
      </c>
      <c r="M57" t="b">
        <f t="shared" si="4"/>
        <v>0</v>
      </c>
      <c r="N57" t="b">
        <f t="shared" si="5"/>
        <v>0</v>
      </c>
      <c r="O57" t="b">
        <f t="shared" si="6"/>
        <v>0</v>
      </c>
    </row>
    <row r="58" spans="1:15" x14ac:dyDescent="0.35">
      <c r="A58" t="str">
        <v>rbe_ONCF_ZAB1000</v>
      </c>
      <c r="B58" t="b" cm="1">
        <f t="array" ref="B58">_xlfn.XLOOKUP(A58,CONTROL[VEHIDCODE],PROPERTIES[EXCLUDE])</f>
        <v>0</v>
      </c>
      <c r="C58" t="b">
        <f>_xlfn.XLOOKUP(A58,CONTROL[VEHIDCODE],CONTROL[IS_WAGON_OR_COACH])</f>
        <v>0</v>
      </c>
      <c r="D58">
        <f>FLOOR(_xlfn.XLOOKUP($A58,PROPERTIES[VEHIDCODE],PROPERTIES[INTRODUCTION_YEAR]),20)</f>
        <v>1920</v>
      </c>
      <c r="E58" t="e">
        <f>_xlfn.XLOOKUP($A58,PROPERTIES[VEHIDCODE],#REF!)</f>
        <v>#REF!</v>
      </c>
      <c r="F58" s="25" t="str" cm="1">
        <f t="array" ref="F58">_xlfn.CONCAT(_xlfn.XLOOKUP($A58,PROPERTIES[VEHIDCODE],PROPERTIES[REGION1]),"_",_xlfn.XLOOKUP($A58,PROPERTIES[VEHIDCODE],PROPERTIES[REGION2]),"_",_xlfn.XLOOKUP($A58,PROPERTIES[VEHIDCODE],PROPERTIES[REGION3]&amp;"_"&amp;_xlfn.XLOOKUP($A58,PROPERTIES[VEHIDCODE],PROPERTIES[REGION4])))</f>
        <v>AFRICA_NO_REGION_NO_REGION_NO_REGION</v>
      </c>
      <c r="G58" t="b">
        <f t="shared" si="0"/>
        <v>1</v>
      </c>
      <c r="H58" t="b">
        <f t="shared" si="7"/>
        <v>0</v>
      </c>
      <c r="I58" t="b">
        <f t="shared" si="1"/>
        <v>0</v>
      </c>
      <c r="J58" t="b">
        <f t="shared" si="8"/>
        <v>0</v>
      </c>
      <c r="K58" t="b">
        <f t="shared" si="2"/>
        <v>0</v>
      </c>
      <c r="L58" t="b">
        <f t="shared" si="3"/>
        <v>0</v>
      </c>
      <c r="M58" t="b">
        <f t="shared" si="4"/>
        <v>0</v>
      </c>
      <c r="N58" t="b">
        <f t="shared" si="5"/>
        <v>0</v>
      </c>
      <c r="O58" t="b">
        <f t="shared" si="6"/>
        <v>0</v>
      </c>
    </row>
    <row r="59" spans="1:15" x14ac:dyDescent="0.35">
      <c r="A59" t="str">
        <v>rbe_Pesa_308B</v>
      </c>
      <c r="B59" t="b" cm="1">
        <f t="array" ref="B59">_xlfn.XLOOKUP(A59,CONTROL[VEHIDCODE],PROPERTIES[EXCLUDE])</f>
        <v>0</v>
      </c>
      <c r="C59" t="b">
        <f>_xlfn.XLOOKUP(A59,CONTROL[VEHIDCODE],CONTROL[IS_WAGON_OR_COACH])</f>
        <v>0</v>
      </c>
      <c r="D59">
        <f>FLOOR(_xlfn.XLOOKUP($A59,PROPERTIES[VEHIDCODE],PROPERTIES[INTRODUCTION_YEAR]),20)</f>
        <v>2000</v>
      </c>
      <c r="E59" t="e">
        <f>_xlfn.XLOOKUP($A59,PROPERTIES[VEHIDCODE],#REF!)</f>
        <v>#REF!</v>
      </c>
      <c r="F59" s="25" t="str" cm="1">
        <f t="array" ref="F59">_xlfn.CONCAT(_xlfn.XLOOKUP($A59,PROPERTIES[VEHIDCODE],PROPERTIES[REGION1]),"_",_xlfn.XLOOKUP($A59,PROPERTIES[VEHIDCODE],PROPERTIES[REGION2]),"_",_xlfn.XLOOKUP($A59,PROPERTIES[VEHIDCODE],PROPERTIES[REGION3]&amp;"_"&amp;_xlfn.XLOOKUP($A59,PROPERTIES[VEHIDCODE],PROPERTIES[REGION4])))</f>
        <v>EASTERN_EUROPE_NO_REGION_NO_REGION_NO_REGION</v>
      </c>
      <c r="G59" t="b">
        <f t="shared" si="0"/>
        <v>0</v>
      </c>
      <c r="H59" t="b">
        <f t="shared" si="7"/>
        <v>0</v>
      </c>
      <c r="I59" t="b">
        <f t="shared" si="1"/>
        <v>0</v>
      </c>
      <c r="J59" t="b">
        <f t="shared" si="8"/>
        <v>1</v>
      </c>
      <c r="K59" t="b">
        <f t="shared" si="2"/>
        <v>0</v>
      </c>
      <c r="L59" t="b">
        <f t="shared" si="3"/>
        <v>0</v>
      </c>
      <c r="M59" t="b">
        <f t="shared" si="4"/>
        <v>0</v>
      </c>
      <c r="N59" t="b">
        <f t="shared" si="5"/>
        <v>0</v>
      </c>
      <c r="O59" t="b">
        <f t="shared" si="6"/>
        <v>0</v>
      </c>
    </row>
    <row r="60" spans="1:15" x14ac:dyDescent="0.35">
      <c r="A60" t="str">
        <v>rbe_Franz_Knotz_4855</v>
      </c>
      <c r="B60" t="b" cm="1">
        <f t="array" ref="B60">_xlfn.XLOOKUP(A60,CONTROL[VEHIDCODE],PROPERTIES[EXCLUDE])</f>
        <v>0</v>
      </c>
      <c r="C60" t="b">
        <f>_xlfn.XLOOKUP(A60,CONTROL[VEHIDCODE],CONTROL[IS_WAGON_OR_COACH])</f>
        <v>0</v>
      </c>
      <c r="D60">
        <f>FLOOR(_xlfn.XLOOKUP($A60,PROPERTIES[VEHIDCODE],PROPERTIES[INTRODUCTION_YEAR]),20)</f>
        <v>1980</v>
      </c>
      <c r="E60" t="e">
        <f>_xlfn.XLOOKUP($A60,PROPERTIES[VEHIDCODE],#REF!)</f>
        <v>#REF!</v>
      </c>
      <c r="F60" s="25" t="str" cm="1">
        <f t="array" ref="F60">_xlfn.CONCAT(_xlfn.XLOOKUP($A60,PROPERTIES[VEHIDCODE],PROPERTIES[REGION1]),"_",_xlfn.XLOOKUP($A60,PROPERTIES[VEHIDCODE],PROPERTIES[REGION2]),"_",_xlfn.XLOOKUP($A60,PROPERTIES[VEHIDCODE],PROPERTIES[REGION3]&amp;"_"&amp;_xlfn.XLOOKUP($A60,PROPERTIES[VEHIDCODE],PROPERTIES[REGION4])))</f>
        <v>WESTERN_EUROPE_NO_REGION_NO_REGION_NO_REGION</v>
      </c>
      <c r="G60" t="b">
        <f t="shared" si="0"/>
        <v>0</v>
      </c>
      <c r="H60" t="b">
        <f t="shared" si="7"/>
        <v>0</v>
      </c>
      <c r="I60" t="b">
        <f t="shared" si="1"/>
        <v>0</v>
      </c>
      <c r="J60" t="b">
        <f t="shared" si="8"/>
        <v>0</v>
      </c>
      <c r="K60" t="b">
        <f t="shared" si="2"/>
        <v>1</v>
      </c>
      <c r="L60" t="b">
        <f t="shared" si="3"/>
        <v>0</v>
      </c>
      <c r="M60" t="b">
        <f t="shared" si="4"/>
        <v>0</v>
      </c>
      <c r="N60" t="b">
        <f t="shared" si="5"/>
        <v>0</v>
      </c>
      <c r="O60" t="b">
        <f t="shared" si="6"/>
        <v>0</v>
      </c>
    </row>
    <row r="61" spans="1:15" x14ac:dyDescent="0.35">
      <c r="A61" t="str">
        <v>rbe_Lindner_Talbot_ET_10_109</v>
      </c>
      <c r="B61" t="b" cm="1">
        <f t="array" ref="B61">_xlfn.XLOOKUP(A61,CONTROL[VEHIDCODE],PROPERTIES[EXCLUDE])</f>
        <v>0</v>
      </c>
      <c r="C61" t="b">
        <f>_xlfn.XLOOKUP(A61,CONTROL[VEHIDCODE],CONTROL[IS_WAGON_OR_COACH])</f>
        <v>0</v>
      </c>
      <c r="D61">
        <f>FLOOR(_xlfn.XLOOKUP($A61,PROPERTIES[VEHIDCODE],PROPERTIES[INTRODUCTION_YEAR]),20)</f>
        <v>2000</v>
      </c>
      <c r="E61" t="e">
        <f>_xlfn.XLOOKUP($A61,PROPERTIES[VEHIDCODE],#REF!)</f>
        <v>#REF!</v>
      </c>
      <c r="F61" s="25" t="str" cm="1">
        <f t="array" ref="F61">_xlfn.CONCAT(_xlfn.XLOOKUP($A61,PROPERTIES[VEHIDCODE],PROPERTIES[REGION1]),"_",_xlfn.XLOOKUP($A61,PROPERTIES[VEHIDCODE],PROPERTIES[REGION2]),"_",_xlfn.XLOOKUP($A61,PROPERTIES[VEHIDCODE],PROPERTIES[REGION3]&amp;"_"&amp;_xlfn.XLOOKUP($A61,PROPERTIES[VEHIDCODE],PROPERTIES[REGION4])))</f>
        <v>WESTERN_EUROPE_NO_REGION_NO_REGION_NO_REGION</v>
      </c>
      <c r="G61" t="b">
        <f t="shared" si="0"/>
        <v>0</v>
      </c>
      <c r="H61" t="b">
        <f t="shared" si="7"/>
        <v>0</v>
      </c>
      <c r="I61" t="b">
        <f t="shared" si="1"/>
        <v>0</v>
      </c>
      <c r="J61" t="b">
        <f t="shared" si="8"/>
        <v>0</v>
      </c>
      <c r="K61" t="b">
        <f t="shared" si="2"/>
        <v>1</v>
      </c>
      <c r="L61" t="b">
        <f t="shared" si="3"/>
        <v>0</v>
      </c>
      <c r="M61" t="b">
        <f t="shared" si="4"/>
        <v>0</v>
      </c>
      <c r="N61" t="b">
        <f t="shared" si="5"/>
        <v>0</v>
      </c>
      <c r="O61" t="b">
        <f t="shared" si="6"/>
        <v>0</v>
      </c>
    </row>
    <row r="62" spans="1:15" x14ac:dyDescent="0.35">
      <c r="A62" t="str">
        <v>rbe_Waggonfabrik_Fuchs_ET_85</v>
      </c>
      <c r="B62" t="b" cm="1">
        <f t="array" ref="B62">_xlfn.XLOOKUP(A62,CONTROL[VEHIDCODE],PROPERTIES[EXCLUDE])</f>
        <v>0</v>
      </c>
      <c r="C62" t="b">
        <f>_xlfn.XLOOKUP(A62,CONTROL[VEHIDCODE],CONTROL[IS_WAGON_OR_COACH])</f>
        <v>0</v>
      </c>
      <c r="D62">
        <f>FLOOR(_xlfn.XLOOKUP($A62,PROPERTIES[VEHIDCODE],PROPERTIES[INTRODUCTION_YEAR]),20)</f>
        <v>1920</v>
      </c>
      <c r="E62" t="e">
        <f>_xlfn.XLOOKUP($A62,PROPERTIES[VEHIDCODE],#REF!)</f>
        <v>#REF!</v>
      </c>
      <c r="F62" s="25" t="str" cm="1">
        <f t="array" ref="F62">_xlfn.CONCAT(_xlfn.XLOOKUP($A62,PROPERTIES[VEHIDCODE],PROPERTIES[REGION1]),"_",_xlfn.XLOOKUP($A62,PROPERTIES[VEHIDCODE],PROPERTIES[REGION2]),"_",_xlfn.XLOOKUP($A62,PROPERTIES[VEHIDCODE],PROPERTIES[REGION3]&amp;"_"&amp;_xlfn.XLOOKUP($A62,PROPERTIES[VEHIDCODE],PROPERTIES[REGION4])))</f>
        <v>WESTERN_EUROPE_NO_REGION_NO_REGION_NO_REGION</v>
      </c>
      <c r="G62" t="b">
        <f t="shared" si="0"/>
        <v>0</v>
      </c>
      <c r="H62" t="b">
        <f t="shared" si="7"/>
        <v>0</v>
      </c>
      <c r="I62" t="b">
        <f t="shared" si="1"/>
        <v>0</v>
      </c>
      <c r="J62" t="b">
        <f t="shared" si="8"/>
        <v>0</v>
      </c>
      <c r="K62" t="b">
        <f t="shared" si="2"/>
        <v>1</v>
      </c>
      <c r="L62" t="b">
        <f t="shared" si="3"/>
        <v>0</v>
      </c>
      <c r="M62" t="b">
        <f t="shared" si="4"/>
        <v>0</v>
      </c>
      <c r="N62" t="b">
        <f t="shared" si="5"/>
        <v>0</v>
      </c>
      <c r="O62" t="b">
        <f t="shared" si="6"/>
        <v>0</v>
      </c>
    </row>
    <row r="63" spans="1:15" x14ac:dyDescent="0.35">
      <c r="A63" t="str">
        <v>rbe_ASJ_Y6</v>
      </c>
      <c r="B63" t="b" cm="1">
        <f t="array" ref="B63">_xlfn.XLOOKUP(A63,CONTROL[VEHIDCODE],PROPERTIES[EXCLUDE])</f>
        <v>0</v>
      </c>
      <c r="C63" t="b">
        <f>_xlfn.XLOOKUP(A63,CONTROL[VEHIDCODE],CONTROL[IS_WAGON_OR_COACH])</f>
        <v>0</v>
      </c>
      <c r="D63">
        <f>FLOOR(_xlfn.XLOOKUP($A63,PROPERTIES[VEHIDCODE],PROPERTIES[INTRODUCTION_YEAR]),20)</f>
        <v>1940</v>
      </c>
      <c r="E63" t="e">
        <f>_xlfn.XLOOKUP($A63,PROPERTIES[VEHIDCODE],#REF!)</f>
        <v>#REF!</v>
      </c>
      <c r="F63" s="25" t="str" cm="1">
        <f t="array" ref="F63">_xlfn.CONCAT(_xlfn.XLOOKUP($A63,PROPERTIES[VEHIDCODE],PROPERTIES[REGION1]),"_",_xlfn.XLOOKUP($A63,PROPERTIES[VEHIDCODE],PROPERTIES[REGION2]),"_",_xlfn.XLOOKUP($A63,PROPERTIES[VEHIDCODE],PROPERTIES[REGION3]&amp;"_"&amp;_xlfn.XLOOKUP($A63,PROPERTIES[VEHIDCODE],PROPERTIES[REGION4])))</f>
        <v>NORTHERN_EUROPE_NO_REGION_NO_REGION_NO_REGION</v>
      </c>
      <c r="G63" t="b">
        <f t="shared" si="0"/>
        <v>0</v>
      </c>
      <c r="H63" t="b">
        <f t="shared" si="7"/>
        <v>0</v>
      </c>
      <c r="I63" t="b">
        <f t="shared" si="1"/>
        <v>0</v>
      </c>
      <c r="J63" t="b">
        <f t="shared" si="8"/>
        <v>0</v>
      </c>
      <c r="K63" t="b">
        <f t="shared" si="2"/>
        <v>0</v>
      </c>
      <c r="L63" t="b">
        <f t="shared" si="3"/>
        <v>1</v>
      </c>
      <c r="M63" t="b">
        <f t="shared" si="4"/>
        <v>0</v>
      </c>
      <c r="N63" t="b">
        <f t="shared" si="5"/>
        <v>0</v>
      </c>
      <c r="O63" t="b">
        <f t="shared" si="6"/>
        <v>0</v>
      </c>
    </row>
    <row r="64" spans="1:15" x14ac:dyDescent="0.35">
      <c r="A64" t="str">
        <v>rbe_Budd_Silverliner_II</v>
      </c>
      <c r="B64" t="b" cm="1">
        <f t="array" ref="B64">_xlfn.XLOOKUP(A64,CONTROL[VEHIDCODE],PROPERTIES[EXCLUDE])</f>
        <v>0</v>
      </c>
      <c r="C64" t="b">
        <f>_xlfn.XLOOKUP(A64,CONTROL[VEHIDCODE],CONTROL[IS_WAGON_OR_COACH])</f>
        <v>0</v>
      </c>
      <c r="D64">
        <f>FLOOR(_xlfn.XLOOKUP($A64,PROPERTIES[VEHIDCODE],PROPERTIES[INTRODUCTION_YEAR]),20)</f>
        <v>1960</v>
      </c>
      <c r="E64" t="e">
        <f>_xlfn.XLOOKUP($A64,PROPERTIES[VEHIDCODE],#REF!)</f>
        <v>#REF!</v>
      </c>
      <c r="F64" s="25" t="str" cm="1">
        <f t="array" ref="F64">_xlfn.CONCAT(_xlfn.XLOOKUP($A64,PROPERTIES[VEHIDCODE],PROPERTIES[REGION1]),"_",_xlfn.XLOOKUP($A64,PROPERTIES[VEHIDCODE],PROPERTIES[REGION2]),"_",_xlfn.XLOOKUP($A64,PROPERTIES[VEHIDCODE],PROPERTIES[REGION3]&amp;"_"&amp;_xlfn.XLOOKUP($A64,PROPERTIES[VEHIDCODE],PROPERTIES[REGION4])))</f>
        <v>NORTH_AMERICA_NO_REGION_NO_REGION_NO_REGION</v>
      </c>
      <c r="G64" t="b">
        <f t="shared" si="0"/>
        <v>0</v>
      </c>
      <c r="H64" t="b">
        <f t="shared" si="7"/>
        <v>0</v>
      </c>
      <c r="I64" t="b">
        <f t="shared" si="1"/>
        <v>0</v>
      </c>
      <c r="J64" t="b">
        <f t="shared" si="8"/>
        <v>0</v>
      </c>
      <c r="K64" t="b">
        <f t="shared" si="2"/>
        <v>0</v>
      </c>
      <c r="L64" t="b">
        <f t="shared" si="3"/>
        <v>0</v>
      </c>
      <c r="M64" t="b">
        <f t="shared" si="4"/>
        <v>1</v>
      </c>
      <c r="N64" t="b">
        <f t="shared" si="5"/>
        <v>0</v>
      </c>
      <c r="O64" t="b">
        <f t="shared" si="6"/>
        <v>0</v>
      </c>
    </row>
    <row r="65" spans="1:15" x14ac:dyDescent="0.35">
      <c r="A65" t="str">
        <v>rbe_Hyundai_Rotem_Silverliner_V</v>
      </c>
      <c r="B65" t="b" cm="1">
        <f t="array" ref="B65">_xlfn.XLOOKUP(A65,CONTROL[VEHIDCODE],PROPERTIES[EXCLUDE])</f>
        <v>0</v>
      </c>
      <c r="C65" t="b">
        <f>_xlfn.XLOOKUP(A65,CONTROL[VEHIDCODE],CONTROL[IS_WAGON_OR_COACH])</f>
        <v>0</v>
      </c>
      <c r="D65">
        <f>FLOOR(_xlfn.XLOOKUP($A65,PROPERTIES[VEHIDCODE],PROPERTIES[INTRODUCTION_YEAR]),20)</f>
        <v>2000</v>
      </c>
      <c r="E65" t="e">
        <f>_xlfn.XLOOKUP($A65,PROPERTIES[VEHIDCODE],#REF!)</f>
        <v>#REF!</v>
      </c>
      <c r="F65" s="25" t="str" cm="1">
        <f t="array" ref="F65">_xlfn.CONCAT(_xlfn.XLOOKUP($A65,PROPERTIES[VEHIDCODE],PROPERTIES[REGION1]),"_",_xlfn.XLOOKUP($A65,PROPERTIES[VEHIDCODE],PROPERTIES[REGION2]),"_",_xlfn.XLOOKUP($A65,PROPERTIES[VEHIDCODE],PROPERTIES[REGION3]&amp;"_"&amp;_xlfn.XLOOKUP($A65,PROPERTIES[VEHIDCODE],PROPERTIES[REGION4])))</f>
        <v>NORTH_AMERICA_NO_REGION_NO_REGION_NO_REGION</v>
      </c>
      <c r="G65" t="b">
        <f t="shared" si="0"/>
        <v>0</v>
      </c>
      <c r="H65" t="b">
        <f t="shared" si="7"/>
        <v>0</v>
      </c>
      <c r="I65" t="b">
        <f t="shared" si="1"/>
        <v>0</v>
      </c>
      <c r="J65" t="b">
        <f t="shared" si="8"/>
        <v>0</v>
      </c>
      <c r="K65" t="b">
        <f t="shared" si="2"/>
        <v>0</v>
      </c>
      <c r="L65" t="b">
        <f t="shared" si="3"/>
        <v>0</v>
      </c>
      <c r="M65" t="b">
        <f t="shared" si="4"/>
        <v>1</v>
      </c>
      <c r="N65" t="b">
        <f t="shared" si="5"/>
        <v>0</v>
      </c>
      <c r="O65" t="b">
        <f t="shared" si="6"/>
        <v>0</v>
      </c>
    </row>
    <row r="66" spans="1:15" x14ac:dyDescent="0.35">
      <c r="A66" t="str">
        <v>steam_John_Cockerill___Cie__Le_Belge</v>
      </c>
      <c r="B66" t="b" cm="1">
        <f t="array" ref="B66">_xlfn.XLOOKUP(A66,CONTROL[VEHIDCODE],PROPERTIES[EXCLUDE])</f>
        <v>0</v>
      </c>
      <c r="C66" t="b">
        <f>_xlfn.XLOOKUP(A66,CONTROL[VEHIDCODE],CONTROL[IS_WAGON_OR_COACH])</f>
        <v>0</v>
      </c>
      <c r="D66">
        <f>FLOOR(_xlfn.XLOOKUP($A66,PROPERTIES[VEHIDCODE],PROPERTIES[INTRODUCTION_YEAR]),20)</f>
        <v>1820</v>
      </c>
      <c r="E66" t="e">
        <f>_xlfn.XLOOKUP($A66,PROPERTIES[VEHIDCODE],#REF!)</f>
        <v>#REF!</v>
      </c>
      <c r="F66" s="25" t="str" cm="1">
        <f t="array" ref="F66">_xlfn.CONCAT(_xlfn.XLOOKUP($A66,PROPERTIES[VEHIDCODE],PROPERTIES[REGION1]),"_",_xlfn.XLOOKUP($A66,PROPERTIES[VEHIDCODE],PROPERTIES[REGION2]),"_",_xlfn.XLOOKUP($A66,PROPERTIES[VEHIDCODE],PROPERTIES[REGION3]&amp;"_"&amp;_xlfn.XLOOKUP($A66,PROPERTIES[VEHIDCODE],PROPERTIES[REGION4])))</f>
        <v>WESTERN_EUROPE_NO_REGION_NO_REGION_NO_REGION</v>
      </c>
      <c r="G66" t="b">
        <f t="shared" ref="G66:G129" si="9">OR(ISNUMBER(SEARCH("ALL_REGION",$F66)),
ISNUMBER(SEARCH("AFRICA",$F66)),
ISNUMBER(SEARCH("OLD_WORLD",$F66)),
ISNUMBER(SEARCH("NON_EUROPEAN",$F66)))</f>
        <v>0</v>
      </c>
      <c r="H66" t="b">
        <f t="shared" si="7"/>
        <v>0</v>
      </c>
      <c r="I66" t="b">
        <f t="shared" ref="I66:I129" si="10">OR(ISNUMBER(SEARCH("ALL_REGION",$F66)),
ISNUMBER(SEARCH("ALL_EUROPE",$F66)),
ISNUMBER(SEARCH(I$1,$F66)),
ISNUMBER(SEARCH("OLD_WORLD",$F66)))</f>
        <v>0</v>
      </c>
      <c r="J66" t="b">
        <f t="shared" si="8"/>
        <v>0</v>
      </c>
      <c r="K66" t="b">
        <f t="shared" ref="K66:K129" si="11">OR(ISNUMBER(SEARCH("ALL_REGION",$F66)),
ISNUMBER(SEARCH("ALL_EUROPE",$F66)),
ISNUMBER(SEARCH(K$1,$F66)),
ISNUMBER(SEARCH("OLD_WORLD",$F66)),
ISNUMBER(SEARCH("NORTH_WEST_EUROPE",$F66)))</f>
        <v>1</v>
      </c>
      <c r="L66" t="b">
        <f t="shared" ref="L66:L129" si="12">OR(ISNUMBER(SEARCH("ALL_REGION",$F66)),
ISNUMBER(SEARCH("ALL_EUROPE",$F66)),
ISNUMBER(SEARCH(L$1,$F66)),
ISNUMBER(SEARCH("OLD_WORLD",$F66)),
ISNUMBER(SEARCH("NORTH_WEST_EUROPE",$F66)),
ISNUMBER(SEARCH("POST_SOVIET_BALTIC",$F66)))</f>
        <v>0</v>
      </c>
      <c r="M66" t="b">
        <f t="shared" ref="M66:M129" si="13">OR(ISNUMBER(SEARCH("ALL_REGION",$F66)),
ISNUMBER(SEARCH("ALL_AMERICA",$F66)),
ISNUMBER(SEARCH(M$1,$F66)),
ISNUMBER(SEARCH("NON_EUROPEAN",$F66)))</f>
        <v>0</v>
      </c>
      <c r="N66" t="b">
        <f t="shared" ref="N66:N129" si="14">OR(ISNUMBER(SEARCH("ALL_REGION",$F66)),
ISNUMBER(SEARCH("ALL_AMERICA",$F66)),
ISNUMBER(SEARCH(N$1,$F66)),
ISNUMBER(SEARCH("NON_EUROPEAN",$F66)),
ISNUMBER(SEARCH("COMECON_EXTENDED",$F66)))</f>
        <v>0</v>
      </c>
      <c r="O66" t="b">
        <f t="shared" ref="O66:O129" si="15">OR(ISNUMBER(SEARCH("ALL_REGION",$F66)),
ISNUMBER(SEARCH(O$1,$F66)),
ISNUMBER(SEARCH("APAC",$F66)))</f>
        <v>0</v>
      </c>
    </row>
    <row r="67" spans="1:15" x14ac:dyDescent="0.35">
      <c r="A67" t="str">
        <v>steam_GWR_4_4_0_American</v>
      </c>
      <c r="B67" t="b" cm="1">
        <f t="array" ref="B67">_xlfn.XLOOKUP(A67,CONTROL[VEHIDCODE],PROPERTIES[EXCLUDE])</f>
        <v>0</v>
      </c>
      <c r="C67" t="b">
        <f>_xlfn.XLOOKUP(A67,CONTROL[VEHIDCODE],CONTROL[IS_WAGON_OR_COACH])</f>
        <v>0</v>
      </c>
      <c r="D67">
        <f>FLOOR(_xlfn.XLOOKUP($A67,PROPERTIES[VEHIDCODE],PROPERTIES[INTRODUCTION_YEAR]),20)</f>
        <v>1840</v>
      </c>
      <c r="E67" t="e">
        <f>_xlfn.XLOOKUP($A67,PROPERTIES[VEHIDCODE],#REF!)</f>
        <v>#REF!</v>
      </c>
      <c r="F67" s="25" t="str" cm="1">
        <f t="array" ref="F67">_xlfn.CONCAT(_xlfn.XLOOKUP($A67,PROPERTIES[VEHIDCODE],PROPERTIES[REGION1]),"_",_xlfn.XLOOKUP($A67,PROPERTIES[VEHIDCODE],PROPERTIES[REGION2]),"_",_xlfn.XLOOKUP($A67,PROPERTIES[VEHIDCODE],PROPERTIES[REGION3]&amp;"_"&amp;_xlfn.XLOOKUP($A67,PROPERTIES[VEHIDCODE],PROPERTIES[REGION4])))</f>
        <v>NORTH_AMERICA_NO_REGION_NO_REGION_NO_REGION</v>
      </c>
      <c r="G67" t="b">
        <f t="shared" si="9"/>
        <v>0</v>
      </c>
      <c r="H67" t="b">
        <f t="shared" ref="H67:H130" si="16">OR(ISNUMBER(SEARCH("ALL_REGION",$F67)),
ISNUMBER(SEARCH("ASIA",$F67)),
ISNUMBER(SEARCH("OLD_WORLD",$F67)),
ISNUMBER(SEARCH("NON_EUROPEAN",$F67)),
ISNUMBER(SEARCH("APAC",$F67)),
ISNUMBER(SEARCH("COMECON",$F67)),
ISNUMBER(SEARCH("COMECON_EXTENDED",$F67)),
ISNUMBER(SEARCH("POST_SOVIET_BALTIC",$F67)))</f>
        <v>0</v>
      </c>
      <c r="I67" t="b">
        <f t="shared" si="10"/>
        <v>0</v>
      </c>
      <c r="J67" t="b">
        <f t="shared" ref="J67:J130" si="17">OR(ISNUMBER(SEARCH("ALL_REGION",$F67)),
ISNUMBER(SEARCH("ALL_EUROPE",$F67)),
ISNUMBER(SEARCH(J$1,$F67)),
ISNUMBER(SEARCH("OLD_WORLD",$F67)),
ISNUMBER(SEARCH("COMECON",$F67)),
ISNUMBER(SEARCH("POST_SOVIET_BALTIC",$F67)))</f>
        <v>0</v>
      </c>
      <c r="K67" t="b">
        <f t="shared" si="11"/>
        <v>0</v>
      </c>
      <c r="L67" t="b">
        <f t="shared" si="12"/>
        <v>0</v>
      </c>
      <c r="M67" t="b">
        <f t="shared" si="13"/>
        <v>1</v>
      </c>
      <c r="N67" t="b">
        <f t="shared" si="14"/>
        <v>0</v>
      </c>
      <c r="O67" t="b">
        <f t="shared" si="15"/>
        <v>0</v>
      </c>
    </row>
    <row r="68" spans="1:15" x14ac:dyDescent="0.35">
      <c r="A68" t="str">
        <v>steam_Esslingen_Ec_2_5</v>
      </c>
      <c r="B68" t="b" cm="1">
        <f t="array" ref="B68">_xlfn.XLOOKUP(A68,CONTROL[VEHIDCODE],PROPERTIES[EXCLUDE])</f>
        <v>0</v>
      </c>
      <c r="C68" t="b">
        <f>_xlfn.XLOOKUP(A68,CONTROL[VEHIDCODE],CONTROL[IS_WAGON_OR_COACH])</f>
        <v>0</v>
      </c>
      <c r="D68">
        <f>FLOOR(_xlfn.XLOOKUP($A68,PROPERTIES[VEHIDCODE],PROPERTIES[INTRODUCTION_YEAR]),20)</f>
        <v>1840</v>
      </c>
      <c r="E68" t="e">
        <f>_xlfn.XLOOKUP($A68,PROPERTIES[VEHIDCODE],#REF!)</f>
        <v>#REF!</v>
      </c>
      <c r="F68" s="25" t="str" cm="1">
        <f t="array" ref="F68">_xlfn.CONCAT(_xlfn.XLOOKUP($A68,PROPERTIES[VEHIDCODE],PROPERTIES[REGION1]),"_",_xlfn.XLOOKUP($A68,PROPERTIES[VEHIDCODE],PROPERTIES[REGION2]),"_",_xlfn.XLOOKUP($A68,PROPERTIES[VEHIDCODE],PROPERTIES[REGION3]&amp;"_"&amp;_xlfn.XLOOKUP($A68,PROPERTIES[VEHIDCODE],PROPERTIES[REGION4])))</f>
        <v>WESTERN_EUROPE_NO_REGION_NO_REGION_NO_REGION</v>
      </c>
      <c r="G68" t="b">
        <f t="shared" si="9"/>
        <v>0</v>
      </c>
      <c r="H68" t="b">
        <f t="shared" si="16"/>
        <v>0</v>
      </c>
      <c r="I68" t="b">
        <f t="shared" si="10"/>
        <v>0</v>
      </c>
      <c r="J68" t="b">
        <f t="shared" si="17"/>
        <v>0</v>
      </c>
      <c r="K68" t="b">
        <f t="shared" si="11"/>
        <v>1</v>
      </c>
      <c r="L68" t="b">
        <f t="shared" si="12"/>
        <v>0</v>
      </c>
      <c r="M68" t="b">
        <f t="shared" si="13"/>
        <v>0</v>
      </c>
      <c r="N68" t="b">
        <f t="shared" si="14"/>
        <v>0</v>
      </c>
      <c r="O68" t="b">
        <f t="shared" si="15"/>
        <v>0</v>
      </c>
    </row>
    <row r="69" spans="1:15" x14ac:dyDescent="0.35">
      <c r="A69" t="str">
        <v>steam_Norris_4_6_0_Ten_wheeler</v>
      </c>
      <c r="B69" t="b" cm="1">
        <f t="array" ref="B69">_xlfn.XLOOKUP(A69,CONTROL[VEHIDCODE],PROPERTIES[EXCLUDE])</f>
        <v>0</v>
      </c>
      <c r="C69" t="b">
        <f>_xlfn.XLOOKUP(A69,CONTROL[VEHIDCODE],CONTROL[IS_WAGON_OR_COACH])</f>
        <v>0</v>
      </c>
      <c r="D69">
        <f>FLOOR(_xlfn.XLOOKUP($A69,PROPERTIES[VEHIDCODE],PROPERTIES[INTRODUCTION_YEAR]),20)</f>
        <v>1860</v>
      </c>
      <c r="E69" t="e">
        <f>_xlfn.XLOOKUP($A69,PROPERTIES[VEHIDCODE],#REF!)</f>
        <v>#REF!</v>
      </c>
      <c r="F69" s="25" t="str" cm="1">
        <f t="array" ref="F69">_xlfn.CONCAT(_xlfn.XLOOKUP($A69,PROPERTIES[VEHIDCODE],PROPERTIES[REGION1]),"_",_xlfn.XLOOKUP($A69,PROPERTIES[VEHIDCODE],PROPERTIES[REGION2]),"_",_xlfn.XLOOKUP($A69,PROPERTIES[VEHIDCODE],PROPERTIES[REGION3]&amp;"_"&amp;_xlfn.XLOOKUP($A69,PROPERTIES[VEHIDCODE],PROPERTIES[REGION4])))</f>
        <v>NORTH_AMERICA_NO_REGION_NO_REGION_NO_REGION</v>
      </c>
      <c r="G69" t="b">
        <f t="shared" si="9"/>
        <v>0</v>
      </c>
      <c r="H69" t="b">
        <f t="shared" si="16"/>
        <v>0</v>
      </c>
      <c r="I69" t="b">
        <f t="shared" si="10"/>
        <v>0</v>
      </c>
      <c r="J69" t="b">
        <f t="shared" si="17"/>
        <v>0</v>
      </c>
      <c r="K69" t="b">
        <f t="shared" si="11"/>
        <v>0</v>
      </c>
      <c r="L69" t="b">
        <f t="shared" si="12"/>
        <v>0</v>
      </c>
      <c r="M69" t="b">
        <f t="shared" si="13"/>
        <v>1</v>
      </c>
      <c r="N69" t="b">
        <f t="shared" si="14"/>
        <v>0</v>
      </c>
      <c r="O69" t="b">
        <f t="shared" si="15"/>
        <v>0</v>
      </c>
    </row>
    <row r="70" spans="1:15" x14ac:dyDescent="0.35">
      <c r="A70" t="str">
        <v>steam_Baldwin_2_8_0_Consolidation</v>
      </c>
      <c r="B70" t="b" cm="1">
        <f t="array" ref="B70">_xlfn.XLOOKUP(A70,CONTROL[VEHIDCODE],PROPERTIES[EXCLUDE])</f>
        <v>0</v>
      </c>
      <c r="C70" t="b">
        <f>_xlfn.XLOOKUP(A70,CONTROL[VEHIDCODE],CONTROL[IS_WAGON_OR_COACH])</f>
        <v>0</v>
      </c>
      <c r="D70">
        <f>FLOOR(_xlfn.XLOOKUP($A70,PROPERTIES[VEHIDCODE],PROPERTIES[INTRODUCTION_YEAR]),20)</f>
        <v>1860</v>
      </c>
      <c r="E70" t="e">
        <f>_xlfn.XLOOKUP($A70,PROPERTIES[VEHIDCODE],#REF!)</f>
        <v>#REF!</v>
      </c>
      <c r="F70" s="25" t="str" cm="1">
        <f t="array" ref="F70">_xlfn.CONCAT(_xlfn.XLOOKUP($A70,PROPERTIES[VEHIDCODE],PROPERTIES[REGION1]),"_",_xlfn.XLOOKUP($A70,PROPERTIES[VEHIDCODE],PROPERTIES[REGION2]),"_",_xlfn.XLOOKUP($A70,PROPERTIES[VEHIDCODE],PROPERTIES[REGION3]&amp;"_"&amp;_xlfn.XLOOKUP($A70,PROPERTIES[VEHIDCODE],PROPERTIES[REGION4])))</f>
        <v>NORTH_AMERICA_NO_REGION_NO_REGION_NO_REGION</v>
      </c>
      <c r="G70" t="b">
        <f t="shared" si="9"/>
        <v>0</v>
      </c>
      <c r="H70" t="b">
        <f t="shared" si="16"/>
        <v>0</v>
      </c>
      <c r="I70" t="b">
        <f t="shared" si="10"/>
        <v>0</v>
      </c>
      <c r="J70" t="b">
        <f t="shared" si="17"/>
        <v>0</v>
      </c>
      <c r="K70" t="b">
        <f t="shared" si="11"/>
        <v>0</v>
      </c>
      <c r="L70" t="b">
        <f t="shared" si="12"/>
        <v>0</v>
      </c>
      <c r="M70" t="b">
        <f t="shared" si="13"/>
        <v>1</v>
      </c>
      <c r="N70" t="b">
        <f t="shared" si="14"/>
        <v>0</v>
      </c>
      <c r="O70" t="b">
        <f t="shared" si="15"/>
        <v>0</v>
      </c>
    </row>
    <row r="71" spans="1:15" x14ac:dyDescent="0.35">
      <c r="A71" t="str">
        <v>steam_MAV_377</v>
      </c>
      <c r="B71" t="b" cm="1">
        <f t="array" ref="B71">_xlfn.XLOOKUP(A71,CONTROL[VEHIDCODE],PROPERTIES[EXCLUDE])</f>
        <v>0</v>
      </c>
      <c r="C71" t="b">
        <f>_xlfn.XLOOKUP(A71,CONTROL[VEHIDCODE],CONTROL[IS_WAGON_OR_COACH])</f>
        <v>0</v>
      </c>
      <c r="D71">
        <f>FLOOR(_xlfn.XLOOKUP($A71,PROPERTIES[VEHIDCODE],PROPERTIES[INTRODUCTION_YEAR]),20)</f>
        <v>1880</v>
      </c>
      <c r="E71" t="e">
        <f>_xlfn.XLOOKUP($A71,PROPERTIES[VEHIDCODE],#REF!)</f>
        <v>#REF!</v>
      </c>
      <c r="F71" s="25" t="str" cm="1">
        <f t="array" ref="F71">_xlfn.CONCAT(_xlfn.XLOOKUP($A71,PROPERTIES[VEHIDCODE],PROPERTIES[REGION1]),"_",_xlfn.XLOOKUP($A71,PROPERTIES[VEHIDCODE],PROPERTIES[REGION2]),"_",_xlfn.XLOOKUP($A71,PROPERTIES[VEHIDCODE],PROPERTIES[REGION3]&amp;"_"&amp;_xlfn.XLOOKUP($A71,PROPERTIES[VEHIDCODE],PROPERTIES[REGION4])))</f>
        <v>EASTERN_EUROPE_NO_REGION_NO_REGION_NO_REGION</v>
      </c>
      <c r="G71" t="b">
        <f t="shared" si="9"/>
        <v>0</v>
      </c>
      <c r="H71" t="b">
        <f t="shared" si="16"/>
        <v>0</v>
      </c>
      <c r="I71" t="b">
        <f t="shared" si="10"/>
        <v>0</v>
      </c>
      <c r="J71" t="b">
        <f t="shared" si="17"/>
        <v>1</v>
      </c>
      <c r="K71" t="b">
        <f t="shared" si="11"/>
        <v>0</v>
      </c>
      <c r="L71" t="b">
        <f t="shared" si="12"/>
        <v>0</v>
      </c>
      <c r="M71" t="b">
        <f t="shared" si="13"/>
        <v>0</v>
      </c>
      <c r="N71" t="b">
        <f t="shared" si="14"/>
        <v>0</v>
      </c>
      <c r="O71" t="b">
        <f t="shared" si="15"/>
        <v>0</v>
      </c>
    </row>
    <row r="72" spans="1:15" x14ac:dyDescent="0.35">
      <c r="A72" t="str">
        <v>steam_Krauss_KkStB_99</v>
      </c>
      <c r="B72" t="b" cm="1">
        <f t="array" ref="B72">_xlfn.XLOOKUP(A72,CONTROL[VEHIDCODE],PROPERTIES[EXCLUDE])</f>
        <v>0</v>
      </c>
      <c r="C72" t="b">
        <f>_xlfn.XLOOKUP(A72,CONTROL[VEHIDCODE],CONTROL[IS_WAGON_OR_COACH])</f>
        <v>0</v>
      </c>
      <c r="D72">
        <f>FLOOR(_xlfn.XLOOKUP($A72,PROPERTIES[VEHIDCODE],PROPERTIES[INTRODUCTION_YEAR]),20)</f>
        <v>1880</v>
      </c>
      <c r="E72" t="e">
        <f>_xlfn.XLOOKUP($A72,PROPERTIES[VEHIDCODE],#REF!)</f>
        <v>#REF!</v>
      </c>
      <c r="F72" s="25" t="str" cm="1">
        <f t="array" ref="F72">_xlfn.CONCAT(_xlfn.XLOOKUP($A72,PROPERTIES[VEHIDCODE],PROPERTIES[REGION1]),"_",_xlfn.XLOOKUP($A72,PROPERTIES[VEHIDCODE],PROPERTIES[REGION2]),"_",_xlfn.XLOOKUP($A72,PROPERTIES[VEHIDCODE],PROPERTIES[REGION3]&amp;"_"&amp;_xlfn.XLOOKUP($A72,PROPERTIES[VEHIDCODE],PROPERTIES[REGION4])))</f>
        <v>WESTERN_EUROPE_NO_REGION_NO_REGION_NO_REGION</v>
      </c>
      <c r="G72" t="b">
        <f t="shared" si="9"/>
        <v>0</v>
      </c>
      <c r="H72" t="b">
        <f t="shared" si="16"/>
        <v>0</v>
      </c>
      <c r="I72" t="b">
        <f t="shared" si="10"/>
        <v>0</v>
      </c>
      <c r="J72" t="b">
        <f t="shared" si="17"/>
        <v>0</v>
      </c>
      <c r="K72" t="b">
        <f t="shared" si="11"/>
        <v>1</v>
      </c>
      <c r="L72" t="b">
        <f t="shared" si="12"/>
        <v>0</v>
      </c>
      <c r="M72" t="b">
        <f t="shared" si="13"/>
        <v>0</v>
      </c>
      <c r="N72" t="b">
        <f t="shared" si="14"/>
        <v>0</v>
      </c>
      <c r="O72" t="b">
        <f t="shared" si="15"/>
        <v>0</v>
      </c>
    </row>
    <row r="73" spans="1:15" x14ac:dyDescent="0.35">
      <c r="A73" t="str">
        <v>steam_McIntosh__Caledonian_Railway__439</v>
      </c>
      <c r="B73" t="b" cm="1">
        <f t="array" ref="B73">_xlfn.XLOOKUP(A73,CONTROL[VEHIDCODE],PROPERTIES[EXCLUDE])</f>
        <v>0</v>
      </c>
      <c r="C73" t="b">
        <f>_xlfn.XLOOKUP(A73,CONTROL[VEHIDCODE],CONTROL[IS_WAGON_OR_COACH])</f>
        <v>0</v>
      </c>
      <c r="D73">
        <f>FLOOR(_xlfn.XLOOKUP($A73,PROPERTIES[VEHIDCODE],PROPERTIES[INTRODUCTION_YEAR]),20)</f>
        <v>1900</v>
      </c>
      <c r="E73" t="e">
        <f>_xlfn.XLOOKUP($A73,PROPERTIES[VEHIDCODE],#REF!)</f>
        <v>#REF!</v>
      </c>
      <c r="F73" s="25" t="str" cm="1">
        <f t="array" ref="F73">_xlfn.CONCAT(_xlfn.XLOOKUP($A73,PROPERTIES[VEHIDCODE],PROPERTIES[REGION1]),"_",_xlfn.XLOOKUP($A73,PROPERTIES[VEHIDCODE],PROPERTIES[REGION2]),"_",_xlfn.XLOOKUP($A73,PROPERTIES[VEHIDCODE],PROPERTIES[REGION3]&amp;"_"&amp;_xlfn.XLOOKUP($A73,PROPERTIES[VEHIDCODE],PROPERTIES[REGION4])))</f>
        <v>NORTHERN_EUROPE_NO_REGION_NO_REGION_NO_REGION</v>
      </c>
      <c r="G73" t="b">
        <f t="shared" si="9"/>
        <v>0</v>
      </c>
      <c r="H73" t="b">
        <f t="shared" si="16"/>
        <v>0</v>
      </c>
      <c r="I73" t="b">
        <f t="shared" si="10"/>
        <v>0</v>
      </c>
      <c r="J73" t="b">
        <f t="shared" si="17"/>
        <v>0</v>
      </c>
      <c r="K73" t="b">
        <f t="shared" si="11"/>
        <v>0</v>
      </c>
      <c r="L73" t="b">
        <f t="shared" si="12"/>
        <v>1</v>
      </c>
      <c r="M73" t="b">
        <f t="shared" si="13"/>
        <v>0</v>
      </c>
      <c r="N73" t="b">
        <f t="shared" si="14"/>
        <v>0</v>
      </c>
      <c r="O73" t="b">
        <f t="shared" si="15"/>
        <v>0</v>
      </c>
    </row>
    <row r="74" spans="1:15" x14ac:dyDescent="0.35">
      <c r="A74" t="str">
        <v>steam_SLM_Winterthur_A_3_5</v>
      </c>
      <c r="B74" t="b" cm="1">
        <f t="array" ref="B74">_xlfn.XLOOKUP(A74,CONTROL[VEHIDCODE],PROPERTIES[EXCLUDE])</f>
        <v>0</v>
      </c>
      <c r="C74" t="b">
        <f>_xlfn.XLOOKUP(A74,CONTROL[VEHIDCODE],CONTROL[IS_WAGON_OR_COACH])</f>
        <v>0</v>
      </c>
      <c r="D74">
        <f>FLOOR(_xlfn.XLOOKUP($A74,PROPERTIES[VEHIDCODE],PROPERTIES[INTRODUCTION_YEAR]),20)</f>
        <v>1900</v>
      </c>
      <c r="E74" t="e">
        <f>_xlfn.XLOOKUP($A74,PROPERTIES[VEHIDCODE],#REF!)</f>
        <v>#REF!</v>
      </c>
      <c r="F74" s="25" t="str" cm="1">
        <f t="array" ref="F74">_xlfn.CONCAT(_xlfn.XLOOKUP($A74,PROPERTIES[VEHIDCODE],PROPERTIES[REGION1]),"_",_xlfn.XLOOKUP($A74,PROPERTIES[VEHIDCODE],PROPERTIES[REGION2]),"_",_xlfn.XLOOKUP($A74,PROPERTIES[VEHIDCODE],PROPERTIES[REGION3]&amp;"_"&amp;_xlfn.XLOOKUP($A74,PROPERTIES[VEHIDCODE],PROPERTIES[REGION4])))</f>
        <v>WESTERN_EUROPE_NO_REGION_NO_REGION_NO_REGION</v>
      </c>
      <c r="G74" t="b">
        <f t="shared" si="9"/>
        <v>0</v>
      </c>
      <c r="H74" t="b">
        <f t="shared" si="16"/>
        <v>0</v>
      </c>
      <c r="I74" t="b">
        <f t="shared" si="10"/>
        <v>0</v>
      </c>
      <c r="J74" t="b">
        <f t="shared" si="17"/>
        <v>0</v>
      </c>
      <c r="K74" t="b">
        <f t="shared" si="11"/>
        <v>1</v>
      </c>
      <c r="L74" t="b">
        <f t="shared" si="12"/>
        <v>0</v>
      </c>
      <c r="M74" t="b">
        <f t="shared" si="13"/>
        <v>0</v>
      </c>
      <c r="N74" t="b">
        <f t="shared" si="14"/>
        <v>0</v>
      </c>
      <c r="O74" t="b">
        <f t="shared" si="15"/>
        <v>0</v>
      </c>
    </row>
    <row r="75" spans="1:15" x14ac:dyDescent="0.35">
      <c r="A75" t="str">
        <v>steam_SLM_Winterthur_E_3_3</v>
      </c>
      <c r="B75" t="b" cm="1">
        <f t="array" ref="B75">_xlfn.XLOOKUP(A75,CONTROL[VEHIDCODE],PROPERTIES[EXCLUDE])</f>
        <v>0</v>
      </c>
      <c r="C75" t="b">
        <f>_xlfn.XLOOKUP(A75,CONTROL[VEHIDCODE],CONTROL[IS_WAGON_OR_COACH])</f>
        <v>0</v>
      </c>
      <c r="D75">
        <f>FLOOR(_xlfn.XLOOKUP($A75,PROPERTIES[VEHIDCODE],PROPERTIES[INTRODUCTION_YEAR]),20)</f>
        <v>1900</v>
      </c>
      <c r="E75" t="e">
        <f>_xlfn.XLOOKUP($A75,PROPERTIES[VEHIDCODE],#REF!)</f>
        <v>#REF!</v>
      </c>
      <c r="F75" s="25" t="str" cm="1">
        <f t="array" ref="F75">_xlfn.CONCAT(_xlfn.XLOOKUP($A75,PROPERTIES[VEHIDCODE],PROPERTIES[REGION1]),"_",_xlfn.XLOOKUP($A75,PROPERTIES[VEHIDCODE],PROPERTIES[REGION2]),"_",_xlfn.XLOOKUP($A75,PROPERTIES[VEHIDCODE],PROPERTIES[REGION3]&amp;"_"&amp;_xlfn.XLOOKUP($A75,PROPERTIES[VEHIDCODE],PROPERTIES[REGION4])))</f>
        <v>WESTERN_EUROPE_NO_REGION_NO_REGION_NO_REGION</v>
      </c>
      <c r="G75" t="b">
        <f t="shared" si="9"/>
        <v>0</v>
      </c>
      <c r="H75" t="b">
        <f t="shared" si="16"/>
        <v>0</v>
      </c>
      <c r="I75" t="b">
        <f t="shared" si="10"/>
        <v>0</v>
      </c>
      <c r="J75" t="b">
        <f t="shared" si="17"/>
        <v>0</v>
      </c>
      <c r="K75" t="b">
        <f t="shared" si="11"/>
        <v>1</v>
      </c>
      <c r="L75" t="b">
        <f t="shared" si="12"/>
        <v>0</v>
      </c>
      <c r="M75" t="b">
        <f t="shared" si="13"/>
        <v>0</v>
      </c>
      <c r="N75" t="b">
        <f t="shared" si="14"/>
        <v>0</v>
      </c>
      <c r="O75" t="b">
        <f t="shared" si="15"/>
        <v>0</v>
      </c>
    </row>
    <row r="76" spans="1:15" x14ac:dyDescent="0.35">
      <c r="A76" t="str">
        <v>steam_Krauss_299</v>
      </c>
      <c r="B76" t="b" cm="1">
        <f t="array" ref="B76">_xlfn.XLOOKUP(A76,CONTROL[VEHIDCODE],PROPERTIES[EXCLUDE])</f>
        <v>0</v>
      </c>
      <c r="C76" t="b">
        <f>_xlfn.XLOOKUP(A76,CONTROL[VEHIDCODE],CONTROL[IS_WAGON_OR_COACH])</f>
        <v>0</v>
      </c>
      <c r="D76">
        <f>FLOOR(_xlfn.XLOOKUP($A76,PROPERTIES[VEHIDCODE],PROPERTIES[INTRODUCTION_YEAR]),20)</f>
        <v>1900</v>
      </c>
      <c r="E76" t="e">
        <f>_xlfn.XLOOKUP($A76,PROPERTIES[VEHIDCODE],#REF!)</f>
        <v>#REF!</v>
      </c>
      <c r="F76" s="25" t="str" cm="1">
        <f t="array" ref="F76">_xlfn.CONCAT(_xlfn.XLOOKUP($A76,PROPERTIES[VEHIDCODE],PROPERTIES[REGION1]),"_",_xlfn.XLOOKUP($A76,PROPERTIES[VEHIDCODE],PROPERTIES[REGION2]),"_",_xlfn.XLOOKUP($A76,PROPERTIES[VEHIDCODE],PROPERTIES[REGION3]&amp;"_"&amp;_xlfn.XLOOKUP($A76,PROPERTIES[VEHIDCODE],PROPERTIES[REGION4])))</f>
        <v>WESTERN_EUROPE_NO_REGION_NO_REGION_NO_REGION</v>
      </c>
      <c r="G76" t="b">
        <f t="shared" si="9"/>
        <v>0</v>
      </c>
      <c r="H76" t="b">
        <f t="shared" si="16"/>
        <v>0</v>
      </c>
      <c r="I76" t="b">
        <f t="shared" si="10"/>
        <v>0</v>
      </c>
      <c r="J76" t="b">
        <f t="shared" si="17"/>
        <v>0</v>
      </c>
      <c r="K76" t="b">
        <f t="shared" si="11"/>
        <v>1</v>
      </c>
      <c r="L76" t="b">
        <f t="shared" si="12"/>
        <v>0</v>
      </c>
      <c r="M76" t="b">
        <f t="shared" si="13"/>
        <v>0</v>
      </c>
      <c r="N76" t="b">
        <f t="shared" si="14"/>
        <v>0</v>
      </c>
      <c r="O76" t="b">
        <f t="shared" si="15"/>
        <v>0</v>
      </c>
    </row>
    <row r="77" spans="1:15" x14ac:dyDescent="0.35">
      <c r="A77" t="str">
        <v>steam_NZR_X</v>
      </c>
      <c r="B77" t="b" cm="1">
        <f t="array" ref="B77">_xlfn.XLOOKUP(A77,CONTROL[VEHIDCODE],PROPERTIES[EXCLUDE])</f>
        <v>0</v>
      </c>
      <c r="C77" t="b">
        <f>_xlfn.XLOOKUP(A77,CONTROL[VEHIDCODE],CONTROL[IS_WAGON_OR_COACH])</f>
        <v>0</v>
      </c>
      <c r="D77">
        <f>FLOOR(_xlfn.XLOOKUP($A77,PROPERTIES[VEHIDCODE],PROPERTIES[INTRODUCTION_YEAR]),20)</f>
        <v>1900</v>
      </c>
      <c r="E77" t="e">
        <f>_xlfn.XLOOKUP($A77,PROPERTIES[VEHIDCODE],#REF!)</f>
        <v>#REF!</v>
      </c>
      <c r="F77" s="25" t="str" cm="1">
        <f t="array" ref="F77">_xlfn.CONCAT(_xlfn.XLOOKUP($A77,PROPERTIES[VEHIDCODE],PROPERTIES[REGION1]),"_",_xlfn.XLOOKUP($A77,PROPERTIES[VEHIDCODE],PROPERTIES[REGION2]),"_",_xlfn.XLOOKUP($A77,PROPERTIES[VEHIDCODE],PROPERTIES[REGION3]&amp;"_"&amp;_xlfn.XLOOKUP($A77,PROPERTIES[VEHIDCODE],PROPERTIES[REGION4])))</f>
        <v>OCEANIA_NO_REGION_NO_REGION_NO_REGION</v>
      </c>
      <c r="G77" t="b">
        <f t="shared" si="9"/>
        <v>0</v>
      </c>
      <c r="H77" t="b">
        <f t="shared" si="16"/>
        <v>0</v>
      </c>
      <c r="I77" t="b">
        <f t="shared" si="10"/>
        <v>0</v>
      </c>
      <c r="J77" t="b">
        <f t="shared" si="17"/>
        <v>0</v>
      </c>
      <c r="K77" t="b">
        <f t="shared" si="11"/>
        <v>0</v>
      </c>
      <c r="L77" t="b">
        <f t="shared" si="12"/>
        <v>0</v>
      </c>
      <c r="M77" t="b">
        <f t="shared" si="13"/>
        <v>0</v>
      </c>
      <c r="N77" t="b">
        <f t="shared" si="14"/>
        <v>0</v>
      </c>
      <c r="O77" t="b">
        <f t="shared" si="15"/>
        <v>1</v>
      </c>
    </row>
    <row r="78" spans="1:15" x14ac:dyDescent="0.35">
      <c r="A78" t="str">
        <v>steam_MaVAG_375</v>
      </c>
      <c r="B78" t="b" cm="1">
        <f t="array" ref="B78">_xlfn.XLOOKUP(A78,CONTROL[VEHIDCODE],PROPERTIES[EXCLUDE])</f>
        <v>0</v>
      </c>
      <c r="C78" t="b">
        <f>_xlfn.XLOOKUP(A78,CONTROL[VEHIDCODE],CONTROL[IS_WAGON_OR_COACH])</f>
        <v>0</v>
      </c>
      <c r="D78">
        <f>FLOOR(_xlfn.XLOOKUP($A78,PROPERTIES[VEHIDCODE],PROPERTIES[INTRODUCTION_YEAR]),20)</f>
        <v>1900</v>
      </c>
      <c r="E78" t="e">
        <f>_xlfn.XLOOKUP($A78,PROPERTIES[VEHIDCODE],#REF!)</f>
        <v>#REF!</v>
      </c>
      <c r="F78" s="25" t="str" cm="1">
        <f t="array" ref="F78">_xlfn.CONCAT(_xlfn.XLOOKUP($A78,PROPERTIES[VEHIDCODE],PROPERTIES[REGION1]),"_",_xlfn.XLOOKUP($A78,PROPERTIES[VEHIDCODE],PROPERTIES[REGION2]),"_",_xlfn.XLOOKUP($A78,PROPERTIES[VEHIDCODE],PROPERTIES[REGION3]&amp;"_"&amp;_xlfn.XLOOKUP($A78,PROPERTIES[VEHIDCODE],PROPERTIES[REGION4])))</f>
        <v>EASTERN_EUROPE_NO_REGION_NO_REGION_NO_REGION</v>
      </c>
      <c r="G78" t="b">
        <f t="shared" si="9"/>
        <v>0</v>
      </c>
      <c r="H78" t="b">
        <f t="shared" si="16"/>
        <v>0</v>
      </c>
      <c r="I78" t="b">
        <f t="shared" si="10"/>
        <v>0</v>
      </c>
      <c r="J78" t="b">
        <f t="shared" si="17"/>
        <v>1</v>
      </c>
      <c r="K78" t="b">
        <f t="shared" si="11"/>
        <v>0</v>
      </c>
      <c r="L78" t="b">
        <f t="shared" si="12"/>
        <v>0</v>
      </c>
      <c r="M78" t="b">
        <f t="shared" si="13"/>
        <v>0</v>
      </c>
      <c r="N78" t="b">
        <f t="shared" si="14"/>
        <v>0</v>
      </c>
      <c r="O78" t="b">
        <f t="shared" si="15"/>
        <v>0</v>
      </c>
    </row>
    <row r="79" spans="1:15" x14ac:dyDescent="0.35">
      <c r="A79" t="str">
        <v>steam_FS_880</v>
      </c>
      <c r="B79" t="b" cm="1">
        <f t="array" ref="B79">_xlfn.XLOOKUP(A79,CONTROL[VEHIDCODE],PROPERTIES[EXCLUDE])</f>
        <v>0</v>
      </c>
      <c r="C79" t="b">
        <f>_xlfn.XLOOKUP(A79,CONTROL[VEHIDCODE],CONTROL[IS_WAGON_OR_COACH])</f>
        <v>0</v>
      </c>
      <c r="D79">
        <f>FLOOR(_xlfn.XLOOKUP($A79,PROPERTIES[VEHIDCODE],PROPERTIES[INTRODUCTION_YEAR]),20)</f>
        <v>1900</v>
      </c>
      <c r="E79" t="e">
        <f>_xlfn.XLOOKUP($A79,PROPERTIES[VEHIDCODE],#REF!)</f>
        <v>#REF!</v>
      </c>
      <c r="F79" s="25" t="str" cm="1">
        <f t="array" ref="F79">_xlfn.CONCAT(_xlfn.XLOOKUP($A79,PROPERTIES[VEHIDCODE],PROPERTIES[REGION1]),"_",_xlfn.XLOOKUP($A79,PROPERTIES[VEHIDCODE],PROPERTIES[REGION2]),"_",_xlfn.XLOOKUP($A79,PROPERTIES[VEHIDCODE],PROPERTIES[REGION3]&amp;"_"&amp;_xlfn.XLOOKUP($A79,PROPERTIES[VEHIDCODE],PROPERTIES[REGION4])))</f>
        <v>SOUTHERN_EUROPE_NO_REGION_NO_REGION_NO_REGION</v>
      </c>
      <c r="G79" t="b">
        <f t="shared" si="9"/>
        <v>0</v>
      </c>
      <c r="H79" t="b">
        <f t="shared" si="16"/>
        <v>0</v>
      </c>
      <c r="I79" t="b">
        <f t="shared" si="10"/>
        <v>1</v>
      </c>
      <c r="J79" t="b">
        <f t="shared" si="17"/>
        <v>0</v>
      </c>
      <c r="K79" t="b">
        <f t="shared" si="11"/>
        <v>0</v>
      </c>
      <c r="L79" t="b">
        <f t="shared" si="12"/>
        <v>0</v>
      </c>
      <c r="M79" t="b">
        <f t="shared" si="13"/>
        <v>0</v>
      </c>
      <c r="N79" t="b">
        <f t="shared" si="14"/>
        <v>0</v>
      </c>
      <c r="O79" t="b">
        <f t="shared" si="15"/>
        <v>0</v>
      </c>
    </row>
    <row r="80" spans="1:15" x14ac:dyDescent="0.35">
      <c r="A80" t="str">
        <v>steam_FCNEA_11B_2_8_0</v>
      </c>
      <c r="B80" t="b" cm="1">
        <f t="array" ref="B80">_xlfn.XLOOKUP(A80,CONTROL[VEHIDCODE],PROPERTIES[EXCLUDE])</f>
        <v>0</v>
      </c>
      <c r="C80" t="b">
        <f>_xlfn.XLOOKUP(A80,CONTROL[VEHIDCODE],CONTROL[IS_WAGON_OR_COACH])</f>
        <v>0</v>
      </c>
      <c r="D80">
        <f>FLOOR(_xlfn.XLOOKUP($A80,PROPERTIES[VEHIDCODE],PROPERTIES[INTRODUCTION_YEAR]),20)</f>
        <v>1900</v>
      </c>
      <c r="E80" t="e">
        <f>_xlfn.XLOOKUP($A80,PROPERTIES[VEHIDCODE],#REF!)</f>
        <v>#REF!</v>
      </c>
      <c r="F80" s="25" t="str" cm="1">
        <f t="array" ref="F80">_xlfn.CONCAT(_xlfn.XLOOKUP($A80,PROPERTIES[VEHIDCODE],PROPERTIES[REGION1]),"_",_xlfn.XLOOKUP($A80,PROPERTIES[VEHIDCODE],PROPERTIES[REGION2]),"_",_xlfn.XLOOKUP($A80,PROPERTIES[VEHIDCODE],PROPERTIES[REGION3]&amp;"_"&amp;_xlfn.XLOOKUP($A80,PROPERTIES[VEHIDCODE],PROPERTIES[REGION4])))</f>
        <v>SOUTH_AMERICA_NO_REGION_NO_REGION_NO_REGION</v>
      </c>
      <c r="G80" t="b">
        <f t="shared" si="9"/>
        <v>0</v>
      </c>
      <c r="H80" t="b">
        <f t="shared" si="16"/>
        <v>0</v>
      </c>
      <c r="I80" t="b">
        <f t="shared" si="10"/>
        <v>0</v>
      </c>
      <c r="J80" t="b">
        <f t="shared" si="17"/>
        <v>0</v>
      </c>
      <c r="K80" t="b">
        <f t="shared" si="11"/>
        <v>0</v>
      </c>
      <c r="L80" t="b">
        <f t="shared" si="12"/>
        <v>0</v>
      </c>
      <c r="M80" t="b">
        <f t="shared" si="13"/>
        <v>0</v>
      </c>
      <c r="N80" t="b">
        <f t="shared" si="14"/>
        <v>1</v>
      </c>
      <c r="O80" t="b">
        <f t="shared" si="15"/>
        <v>0</v>
      </c>
    </row>
    <row r="81" spans="1:15" x14ac:dyDescent="0.35">
      <c r="A81" t="str">
        <v>steam_Schneider_et_Cie_140C</v>
      </c>
      <c r="B81" t="b" cm="1">
        <f t="array" ref="B81">_xlfn.XLOOKUP(A81,CONTROL[VEHIDCODE],PROPERTIES[EXCLUDE])</f>
        <v>0</v>
      </c>
      <c r="C81" t="b">
        <f>_xlfn.XLOOKUP(A81,CONTROL[VEHIDCODE],CONTROL[IS_WAGON_OR_COACH])</f>
        <v>0</v>
      </c>
      <c r="D81">
        <f>FLOOR(_xlfn.XLOOKUP($A81,PROPERTIES[VEHIDCODE],PROPERTIES[INTRODUCTION_YEAR]),20)</f>
        <v>1900</v>
      </c>
      <c r="E81" t="e">
        <f>_xlfn.XLOOKUP($A81,PROPERTIES[VEHIDCODE],#REF!)</f>
        <v>#REF!</v>
      </c>
      <c r="F81" s="25" t="str" cm="1">
        <f t="array" ref="F81">_xlfn.CONCAT(_xlfn.XLOOKUP($A81,PROPERTIES[VEHIDCODE],PROPERTIES[REGION1]),"_",_xlfn.XLOOKUP($A81,PROPERTIES[VEHIDCODE],PROPERTIES[REGION2]),"_",_xlfn.XLOOKUP($A81,PROPERTIES[VEHIDCODE],PROPERTIES[REGION3]&amp;"_"&amp;_xlfn.XLOOKUP($A81,PROPERTIES[VEHIDCODE],PROPERTIES[REGION4])))</f>
        <v>WESTERN_EUROPE_NO_REGION_NO_REGION_NO_REGION</v>
      </c>
      <c r="G81" t="b">
        <f t="shared" si="9"/>
        <v>0</v>
      </c>
      <c r="H81" t="b">
        <f t="shared" si="16"/>
        <v>0</v>
      </c>
      <c r="I81" t="b">
        <f t="shared" si="10"/>
        <v>0</v>
      </c>
      <c r="J81" t="b">
        <f t="shared" si="17"/>
        <v>0</v>
      </c>
      <c r="K81" t="b">
        <f t="shared" si="11"/>
        <v>1</v>
      </c>
      <c r="L81" t="b">
        <f t="shared" si="12"/>
        <v>0</v>
      </c>
      <c r="M81" t="b">
        <f t="shared" si="13"/>
        <v>0</v>
      </c>
      <c r="N81" t="b">
        <f t="shared" si="14"/>
        <v>0</v>
      </c>
      <c r="O81" t="b">
        <f t="shared" si="15"/>
        <v>0</v>
      </c>
    </row>
    <row r="82" spans="1:15" x14ac:dyDescent="0.35">
      <c r="A82" t="str">
        <v>steam_Union_Giesserei_2_8_2T</v>
      </c>
      <c r="B82" t="b" cm="1">
        <f t="array" ref="B82">_xlfn.XLOOKUP(A82,CONTROL[VEHIDCODE],PROPERTIES[EXCLUDE])</f>
        <v>0</v>
      </c>
      <c r="C82" t="b">
        <f>_xlfn.XLOOKUP(A82,CONTROL[VEHIDCODE],CONTROL[IS_WAGON_OR_COACH])</f>
        <v>0</v>
      </c>
      <c r="D82">
        <f>FLOOR(_xlfn.XLOOKUP($A82,PROPERTIES[VEHIDCODE],PROPERTIES[INTRODUCTION_YEAR]),20)</f>
        <v>1900</v>
      </c>
      <c r="E82" t="e">
        <f>_xlfn.XLOOKUP($A82,PROPERTIES[VEHIDCODE],#REF!)</f>
        <v>#REF!</v>
      </c>
      <c r="F82" s="25" t="str" cm="1">
        <f t="array" ref="F82">_xlfn.CONCAT(_xlfn.XLOOKUP($A82,PROPERTIES[VEHIDCODE],PROPERTIES[REGION1]),"_",_xlfn.XLOOKUP($A82,PROPERTIES[VEHIDCODE],PROPERTIES[REGION2]),"_",_xlfn.XLOOKUP($A82,PROPERTIES[VEHIDCODE],PROPERTIES[REGION3]&amp;"_"&amp;_xlfn.XLOOKUP($A82,PROPERTIES[VEHIDCODE],PROPERTIES[REGION4])))</f>
        <v>WESTERN_EUROPE_NO_REGION_NO_REGION_NO_REGION</v>
      </c>
      <c r="G82" t="b">
        <f t="shared" si="9"/>
        <v>0</v>
      </c>
      <c r="H82" t="b">
        <f t="shared" si="16"/>
        <v>0</v>
      </c>
      <c r="I82" t="b">
        <f t="shared" si="10"/>
        <v>0</v>
      </c>
      <c r="J82" t="b">
        <f t="shared" si="17"/>
        <v>0</v>
      </c>
      <c r="K82" t="b">
        <f t="shared" si="11"/>
        <v>1</v>
      </c>
      <c r="L82" t="b">
        <f t="shared" si="12"/>
        <v>0</v>
      </c>
      <c r="M82" t="b">
        <f t="shared" si="13"/>
        <v>0</v>
      </c>
      <c r="N82" t="b">
        <f t="shared" si="14"/>
        <v>0</v>
      </c>
      <c r="O82" t="b">
        <f t="shared" si="15"/>
        <v>0</v>
      </c>
    </row>
    <row r="83" spans="1:15" x14ac:dyDescent="0.35">
      <c r="A83" t="str">
        <v>steam_GWR_4900_Hall</v>
      </c>
      <c r="B83" t="b" cm="1">
        <f t="array" ref="B83">_xlfn.XLOOKUP(A83,CONTROL[VEHIDCODE],PROPERTIES[EXCLUDE])</f>
        <v>0</v>
      </c>
      <c r="C83" t="b">
        <f>_xlfn.XLOOKUP(A83,CONTROL[VEHIDCODE],CONTROL[IS_WAGON_OR_COACH])</f>
        <v>0</v>
      </c>
      <c r="D83">
        <f>FLOOR(_xlfn.XLOOKUP($A83,PROPERTIES[VEHIDCODE],PROPERTIES[INTRODUCTION_YEAR]),20)</f>
        <v>1920</v>
      </c>
      <c r="E83" t="e">
        <f>_xlfn.XLOOKUP($A83,PROPERTIES[VEHIDCODE],#REF!)</f>
        <v>#REF!</v>
      </c>
      <c r="F83" s="25" t="str" cm="1">
        <f t="array" ref="F83">_xlfn.CONCAT(_xlfn.XLOOKUP($A83,PROPERTIES[VEHIDCODE],PROPERTIES[REGION1]),"_",_xlfn.XLOOKUP($A83,PROPERTIES[VEHIDCODE],PROPERTIES[REGION2]),"_",_xlfn.XLOOKUP($A83,PROPERTIES[VEHIDCODE],PROPERTIES[REGION3]&amp;"_"&amp;_xlfn.XLOOKUP($A83,PROPERTIES[VEHIDCODE],PROPERTIES[REGION4])))</f>
        <v>NORTHERN_EUROPE_NO_REGION_NO_REGION_NO_REGION</v>
      </c>
      <c r="G83" t="b">
        <f t="shared" si="9"/>
        <v>0</v>
      </c>
      <c r="H83" t="b">
        <f t="shared" si="16"/>
        <v>0</v>
      </c>
      <c r="I83" t="b">
        <f t="shared" si="10"/>
        <v>0</v>
      </c>
      <c r="J83" t="b">
        <f t="shared" si="17"/>
        <v>0</v>
      </c>
      <c r="K83" t="b">
        <f t="shared" si="11"/>
        <v>0</v>
      </c>
      <c r="L83" t="b">
        <f t="shared" si="12"/>
        <v>1</v>
      </c>
      <c r="M83" t="b">
        <f t="shared" si="13"/>
        <v>0</v>
      </c>
      <c r="N83" t="b">
        <f t="shared" si="14"/>
        <v>0</v>
      </c>
      <c r="O83" t="b">
        <f t="shared" si="15"/>
        <v>0</v>
      </c>
    </row>
    <row r="84" spans="1:15" x14ac:dyDescent="0.35">
      <c r="A84" t="str">
        <v>steam_GWR_5700_Pannier</v>
      </c>
      <c r="B84" t="b" cm="1">
        <f t="array" ref="B84">_xlfn.XLOOKUP(A84,CONTROL[VEHIDCODE],PROPERTIES[EXCLUDE])</f>
        <v>0</v>
      </c>
      <c r="C84" t="b">
        <f>_xlfn.XLOOKUP(A84,CONTROL[VEHIDCODE],CONTROL[IS_WAGON_OR_COACH])</f>
        <v>0</v>
      </c>
      <c r="D84">
        <f>FLOOR(_xlfn.XLOOKUP($A84,PROPERTIES[VEHIDCODE],PROPERTIES[INTRODUCTION_YEAR]),20)</f>
        <v>1920</v>
      </c>
      <c r="E84" t="e">
        <f>_xlfn.XLOOKUP($A84,PROPERTIES[VEHIDCODE],#REF!)</f>
        <v>#REF!</v>
      </c>
      <c r="F84" s="25" t="str" cm="1">
        <f t="array" ref="F84">_xlfn.CONCAT(_xlfn.XLOOKUP($A84,PROPERTIES[VEHIDCODE],PROPERTIES[REGION1]),"_",_xlfn.XLOOKUP($A84,PROPERTIES[VEHIDCODE],PROPERTIES[REGION2]),"_",_xlfn.XLOOKUP($A84,PROPERTIES[VEHIDCODE],PROPERTIES[REGION3]&amp;"_"&amp;_xlfn.XLOOKUP($A84,PROPERTIES[VEHIDCODE],PROPERTIES[REGION4])))</f>
        <v>NORTHERN_EUROPE_NO_REGION_NO_REGION_NO_REGION</v>
      </c>
      <c r="G84" t="b">
        <f t="shared" si="9"/>
        <v>0</v>
      </c>
      <c r="H84" t="b">
        <f t="shared" si="16"/>
        <v>0</v>
      </c>
      <c r="I84" t="b">
        <f t="shared" si="10"/>
        <v>0</v>
      </c>
      <c r="J84" t="b">
        <f t="shared" si="17"/>
        <v>0</v>
      </c>
      <c r="K84" t="b">
        <f t="shared" si="11"/>
        <v>0</v>
      </c>
      <c r="L84" t="b">
        <f t="shared" si="12"/>
        <v>1</v>
      </c>
      <c r="M84" t="b">
        <f t="shared" si="13"/>
        <v>0</v>
      </c>
      <c r="N84" t="b">
        <f t="shared" si="14"/>
        <v>0</v>
      </c>
      <c r="O84" t="b">
        <f t="shared" si="15"/>
        <v>0</v>
      </c>
    </row>
    <row r="85" spans="1:15" x14ac:dyDescent="0.35">
      <c r="A85" t="str">
        <v>steam_Henschel___Sohn_series_6300</v>
      </c>
      <c r="B85" t="b" cm="1">
        <f t="array" ref="B85">_xlfn.XLOOKUP(A85,CONTROL[VEHIDCODE],PROPERTIES[EXCLUDE])</f>
        <v>0</v>
      </c>
      <c r="C85" t="b">
        <f>_xlfn.XLOOKUP(A85,CONTROL[VEHIDCODE],CONTROL[IS_WAGON_OR_COACH])</f>
        <v>0</v>
      </c>
      <c r="D85">
        <f>FLOOR(_xlfn.XLOOKUP($A85,PROPERTIES[VEHIDCODE],PROPERTIES[INTRODUCTION_YEAR]),20)</f>
        <v>1920</v>
      </c>
      <c r="E85" t="e">
        <f>_xlfn.XLOOKUP($A85,PROPERTIES[VEHIDCODE],#REF!)</f>
        <v>#REF!</v>
      </c>
      <c r="F85" s="25" t="str" cm="1">
        <f t="array" ref="F85">_xlfn.CONCAT(_xlfn.XLOOKUP($A85,PROPERTIES[VEHIDCODE],PROPERTIES[REGION1]),"_",_xlfn.XLOOKUP($A85,PROPERTIES[VEHIDCODE],PROPERTIES[REGION2]),"_",_xlfn.XLOOKUP($A85,PROPERTIES[VEHIDCODE],PROPERTIES[REGION3]&amp;"_"&amp;_xlfn.XLOOKUP($A85,PROPERTIES[VEHIDCODE],PROPERTIES[REGION4])))</f>
        <v>WESTERN_EUROPE_NO_REGION_NO_REGION_NO_REGION</v>
      </c>
      <c r="G85" t="b">
        <f t="shared" si="9"/>
        <v>0</v>
      </c>
      <c r="H85" t="b">
        <f t="shared" si="16"/>
        <v>0</v>
      </c>
      <c r="I85" t="b">
        <f t="shared" si="10"/>
        <v>0</v>
      </c>
      <c r="J85" t="b">
        <f t="shared" si="17"/>
        <v>0</v>
      </c>
      <c r="K85" t="b">
        <f t="shared" si="11"/>
        <v>1</v>
      </c>
      <c r="L85" t="b">
        <f t="shared" si="12"/>
        <v>0</v>
      </c>
      <c r="M85" t="b">
        <f t="shared" si="13"/>
        <v>0</v>
      </c>
      <c r="N85" t="b">
        <f t="shared" si="14"/>
        <v>0</v>
      </c>
      <c r="O85" t="b">
        <f t="shared" si="15"/>
        <v>0</v>
      </c>
    </row>
    <row r="86" spans="1:15" x14ac:dyDescent="0.35">
      <c r="A86" t="str">
        <v>steam_Baldwin_5000_Madame_Queen</v>
      </c>
      <c r="B86" t="b" cm="1">
        <f t="array" ref="B86">_xlfn.XLOOKUP(A86,CONTROL[VEHIDCODE],PROPERTIES[EXCLUDE])</f>
        <v>0</v>
      </c>
      <c r="C86" t="b">
        <f>_xlfn.XLOOKUP(A86,CONTROL[VEHIDCODE],CONTROL[IS_WAGON_OR_COACH])</f>
        <v>0</v>
      </c>
      <c r="D86">
        <f>FLOOR(_xlfn.XLOOKUP($A86,PROPERTIES[VEHIDCODE],PROPERTIES[INTRODUCTION_YEAR]),20)</f>
        <v>1920</v>
      </c>
      <c r="E86" t="e">
        <f>_xlfn.XLOOKUP($A86,PROPERTIES[VEHIDCODE],#REF!)</f>
        <v>#REF!</v>
      </c>
      <c r="F86" s="25" t="str" cm="1">
        <f t="array" ref="F86">_xlfn.CONCAT(_xlfn.XLOOKUP($A86,PROPERTIES[VEHIDCODE],PROPERTIES[REGION1]),"_",_xlfn.XLOOKUP($A86,PROPERTIES[VEHIDCODE],PROPERTIES[REGION2]),"_",_xlfn.XLOOKUP($A86,PROPERTIES[VEHIDCODE],PROPERTIES[REGION3]&amp;"_"&amp;_xlfn.XLOOKUP($A86,PROPERTIES[VEHIDCODE],PROPERTIES[REGION4])))</f>
        <v>NORTH_AMERICA_NO_REGION_NO_REGION_NO_REGION</v>
      </c>
      <c r="G86" t="b">
        <f t="shared" si="9"/>
        <v>0</v>
      </c>
      <c r="H86" t="b">
        <f t="shared" si="16"/>
        <v>0</v>
      </c>
      <c r="I86" t="b">
        <f t="shared" si="10"/>
        <v>0</v>
      </c>
      <c r="J86" t="b">
        <f t="shared" si="17"/>
        <v>0</v>
      </c>
      <c r="K86" t="b">
        <f t="shared" si="11"/>
        <v>0</v>
      </c>
      <c r="L86" t="b">
        <f t="shared" si="12"/>
        <v>0</v>
      </c>
      <c r="M86" t="b">
        <f t="shared" si="13"/>
        <v>1</v>
      </c>
      <c r="N86" t="b">
        <f t="shared" si="14"/>
        <v>0</v>
      </c>
      <c r="O86" t="b">
        <f t="shared" si="15"/>
        <v>0</v>
      </c>
    </row>
    <row r="87" spans="1:15" x14ac:dyDescent="0.35">
      <c r="A87" t="str">
        <v>steam_Schwartzkopff_S_10_Prussian</v>
      </c>
      <c r="B87" t="b" cm="1">
        <f t="array" ref="B87">_xlfn.XLOOKUP(A87,CONTROL[VEHIDCODE],PROPERTIES[EXCLUDE])</f>
        <v>0</v>
      </c>
      <c r="C87" t="b">
        <f>_xlfn.XLOOKUP(A87,CONTROL[VEHIDCODE],CONTROL[IS_WAGON_OR_COACH])</f>
        <v>0</v>
      </c>
      <c r="D87">
        <f>FLOOR(_xlfn.XLOOKUP($A87,PROPERTIES[VEHIDCODE],PROPERTIES[INTRODUCTION_YEAR]),20)</f>
        <v>1900</v>
      </c>
      <c r="E87" t="e">
        <f>_xlfn.XLOOKUP($A87,PROPERTIES[VEHIDCODE],#REF!)</f>
        <v>#REF!</v>
      </c>
      <c r="F87" s="25" t="str" cm="1">
        <f t="array" ref="F87">_xlfn.CONCAT(_xlfn.XLOOKUP($A87,PROPERTIES[VEHIDCODE],PROPERTIES[REGION1]),"_",_xlfn.XLOOKUP($A87,PROPERTIES[VEHIDCODE],PROPERTIES[REGION2]),"_",_xlfn.XLOOKUP($A87,PROPERTIES[VEHIDCODE],PROPERTIES[REGION3]&amp;"_"&amp;_xlfn.XLOOKUP($A87,PROPERTIES[VEHIDCODE],PROPERTIES[REGION4])))</f>
        <v>EASTERN_EUROPE_NO_REGION_NO_REGION_NO_REGION</v>
      </c>
      <c r="G87" t="b">
        <f t="shared" si="9"/>
        <v>0</v>
      </c>
      <c r="H87" t="b">
        <f t="shared" si="16"/>
        <v>0</v>
      </c>
      <c r="I87" t="b">
        <f t="shared" si="10"/>
        <v>0</v>
      </c>
      <c r="J87" t="b">
        <f t="shared" si="17"/>
        <v>1</v>
      </c>
      <c r="K87" t="b">
        <f t="shared" si="11"/>
        <v>0</v>
      </c>
      <c r="L87" t="b">
        <f t="shared" si="12"/>
        <v>0</v>
      </c>
      <c r="M87" t="b">
        <f t="shared" si="13"/>
        <v>0</v>
      </c>
      <c r="N87" t="b">
        <f t="shared" si="14"/>
        <v>0</v>
      </c>
      <c r="O87" t="b">
        <f t="shared" si="15"/>
        <v>0</v>
      </c>
    </row>
    <row r="88" spans="1:15" x14ac:dyDescent="0.35">
      <c r="A88" t="str">
        <v>steam_LMS_5MT_Black_Five</v>
      </c>
      <c r="B88" t="b" cm="1">
        <f t="array" ref="B88">_xlfn.XLOOKUP(A88,CONTROL[VEHIDCODE],PROPERTIES[EXCLUDE])</f>
        <v>0</v>
      </c>
      <c r="C88" t="b">
        <f>_xlfn.XLOOKUP(A88,CONTROL[VEHIDCODE],CONTROL[IS_WAGON_OR_COACH])</f>
        <v>0</v>
      </c>
      <c r="D88">
        <f>FLOOR(_xlfn.XLOOKUP($A88,PROPERTIES[VEHIDCODE],PROPERTIES[INTRODUCTION_YEAR]),20)</f>
        <v>1920</v>
      </c>
      <c r="E88" t="e">
        <f>_xlfn.XLOOKUP($A88,PROPERTIES[VEHIDCODE],#REF!)</f>
        <v>#REF!</v>
      </c>
      <c r="F88" s="25" t="str" cm="1">
        <f t="array" ref="F88">_xlfn.CONCAT(_xlfn.XLOOKUP($A88,PROPERTIES[VEHIDCODE],PROPERTIES[REGION1]),"_",_xlfn.XLOOKUP($A88,PROPERTIES[VEHIDCODE],PROPERTIES[REGION2]),"_",_xlfn.XLOOKUP($A88,PROPERTIES[VEHIDCODE],PROPERTIES[REGION3]&amp;"_"&amp;_xlfn.XLOOKUP($A88,PROPERTIES[VEHIDCODE],PROPERTIES[REGION4])))</f>
        <v>NORTHERN_EUROPE_NO_REGION_NO_REGION_NO_REGION</v>
      </c>
      <c r="G88" t="b">
        <f t="shared" si="9"/>
        <v>0</v>
      </c>
      <c r="H88" t="b">
        <f t="shared" si="16"/>
        <v>0</v>
      </c>
      <c r="I88" t="b">
        <f t="shared" si="10"/>
        <v>0</v>
      </c>
      <c r="J88" t="b">
        <f t="shared" si="17"/>
        <v>0</v>
      </c>
      <c r="K88" t="b">
        <f t="shared" si="11"/>
        <v>0</v>
      </c>
      <c r="L88" t="b">
        <f t="shared" si="12"/>
        <v>1</v>
      </c>
      <c r="M88" t="b">
        <f t="shared" si="13"/>
        <v>0</v>
      </c>
      <c r="N88" t="b">
        <f t="shared" si="14"/>
        <v>0</v>
      </c>
      <c r="O88" t="b">
        <f t="shared" si="15"/>
        <v>0</v>
      </c>
    </row>
    <row r="89" spans="1:15" x14ac:dyDescent="0.35">
      <c r="A89" t="str">
        <v>steam_Kolomena_9P</v>
      </c>
      <c r="B89" t="b" cm="1">
        <f t="array" ref="B89">_xlfn.XLOOKUP(A89,CONTROL[VEHIDCODE],PROPERTIES[EXCLUDE])</f>
        <v>0</v>
      </c>
      <c r="C89" t="b">
        <f>_xlfn.XLOOKUP(A89,CONTROL[VEHIDCODE],CONTROL[IS_WAGON_OR_COACH])</f>
        <v>0</v>
      </c>
      <c r="D89">
        <f>FLOOR(_xlfn.XLOOKUP($A89,PROPERTIES[VEHIDCODE],PROPERTIES[INTRODUCTION_YEAR]),20)</f>
        <v>1920</v>
      </c>
      <c r="E89" t="e">
        <f>_xlfn.XLOOKUP($A89,PROPERTIES[VEHIDCODE],#REF!)</f>
        <v>#REF!</v>
      </c>
      <c r="F89" s="25" t="str" cm="1">
        <f t="array" ref="F89">_xlfn.CONCAT(_xlfn.XLOOKUP($A89,PROPERTIES[VEHIDCODE],PROPERTIES[REGION1]),"_",_xlfn.XLOOKUP($A89,PROPERTIES[VEHIDCODE],PROPERTIES[REGION2]),"_",_xlfn.XLOOKUP($A89,PROPERTIES[VEHIDCODE],PROPERTIES[REGION3]&amp;"_"&amp;_xlfn.XLOOKUP($A89,PROPERTIES[VEHIDCODE],PROPERTIES[REGION4])))</f>
        <v>POST_SOVIET_BALTIC_NO_REGION_NO_REGION_NO_REGION</v>
      </c>
      <c r="G89" t="b">
        <f t="shared" si="9"/>
        <v>0</v>
      </c>
      <c r="H89" t="b">
        <f t="shared" si="16"/>
        <v>1</v>
      </c>
      <c r="I89" t="b">
        <f t="shared" si="10"/>
        <v>0</v>
      </c>
      <c r="J89" t="b">
        <f t="shared" si="17"/>
        <v>1</v>
      </c>
      <c r="K89" t="b">
        <f t="shared" si="11"/>
        <v>0</v>
      </c>
      <c r="L89" t="b">
        <f t="shared" si="12"/>
        <v>1</v>
      </c>
      <c r="M89" t="b">
        <f t="shared" si="13"/>
        <v>0</v>
      </c>
      <c r="N89" t="b">
        <f t="shared" si="14"/>
        <v>0</v>
      </c>
      <c r="O89" t="b">
        <f t="shared" si="15"/>
        <v>0</v>
      </c>
    </row>
    <row r="90" spans="1:15" x14ac:dyDescent="0.35">
      <c r="A90" t="str">
        <v>steam_LNER_A4_Gresley</v>
      </c>
      <c r="B90" t="b" cm="1">
        <f t="array" ref="B90">_xlfn.XLOOKUP(A90,CONTROL[VEHIDCODE],PROPERTIES[EXCLUDE])</f>
        <v>0</v>
      </c>
      <c r="C90" t="b">
        <f>_xlfn.XLOOKUP(A90,CONTROL[VEHIDCODE],CONTROL[IS_WAGON_OR_COACH])</f>
        <v>0</v>
      </c>
      <c r="D90">
        <f>FLOOR(_xlfn.XLOOKUP($A90,PROPERTIES[VEHIDCODE],PROPERTIES[INTRODUCTION_YEAR]),20)</f>
        <v>1920</v>
      </c>
      <c r="E90" t="e">
        <f>_xlfn.XLOOKUP($A90,PROPERTIES[VEHIDCODE],#REF!)</f>
        <v>#REF!</v>
      </c>
      <c r="F90" s="25" t="str" cm="1">
        <f t="array" ref="F90">_xlfn.CONCAT(_xlfn.XLOOKUP($A90,PROPERTIES[VEHIDCODE],PROPERTIES[REGION1]),"_",_xlfn.XLOOKUP($A90,PROPERTIES[VEHIDCODE],PROPERTIES[REGION2]),"_",_xlfn.XLOOKUP($A90,PROPERTIES[VEHIDCODE],PROPERTIES[REGION3]&amp;"_"&amp;_xlfn.XLOOKUP($A90,PROPERTIES[VEHIDCODE],PROPERTIES[REGION4])))</f>
        <v>NORTHERN_EUROPE_NO_REGION_NO_REGION_NO_REGION</v>
      </c>
      <c r="G90" t="b">
        <f t="shared" si="9"/>
        <v>0</v>
      </c>
      <c r="H90" t="b">
        <f t="shared" si="16"/>
        <v>0</v>
      </c>
      <c r="I90" t="b">
        <f t="shared" si="10"/>
        <v>0</v>
      </c>
      <c r="J90" t="b">
        <f t="shared" si="17"/>
        <v>0</v>
      </c>
      <c r="K90" t="b">
        <f t="shared" si="11"/>
        <v>0</v>
      </c>
      <c r="L90" t="b">
        <f t="shared" si="12"/>
        <v>1</v>
      </c>
      <c r="M90" t="b">
        <f t="shared" si="13"/>
        <v>0</v>
      </c>
      <c r="N90" t="b">
        <f t="shared" si="14"/>
        <v>0</v>
      </c>
      <c r="O90" t="b">
        <f t="shared" si="15"/>
        <v>0</v>
      </c>
    </row>
    <row r="91" spans="1:15" x14ac:dyDescent="0.35">
      <c r="A91" t="str">
        <v>steam_MLW_Royal_Hudson</v>
      </c>
      <c r="B91" t="b" cm="1">
        <f t="array" ref="B91">_xlfn.XLOOKUP(A91,CONTROL[VEHIDCODE],PROPERTIES[EXCLUDE])</f>
        <v>0</v>
      </c>
      <c r="C91" t="b">
        <f>_xlfn.XLOOKUP(A91,CONTROL[VEHIDCODE],CONTROL[IS_WAGON_OR_COACH])</f>
        <v>0</v>
      </c>
      <c r="D91">
        <f>FLOOR(_xlfn.XLOOKUP($A91,PROPERTIES[VEHIDCODE],PROPERTIES[INTRODUCTION_YEAR]),20)</f>
        <v>1920</v>
      </c>
      <c r="E91" t="e">
        <f>_xlfn.XLOOKUP($A91,PROPERTIES[VEHIDCODE],#REF!)</f>
        <v>#REF!</v>
      </c>
      <c r="F91" s="25" t="str" cm="1">
        <f t="array" ref="F91">_xlfn.CONCAT(_xlfn.XLOOKUP($A91,PROPERTIES[VEHIDCODE],PROPERTIES[REGION1]),"_",_xlfn.XLOOKUP($A91,PROPERTIES[VEHIDCODE],PROPERTIES[REGION2]),"_",_xlfn.XLOOKUP($A91,PROPERTIES[VEHIDCODE],PROPERTIES[REGION3]&amp;"_"&amp;_xlfn.XLOOKUP($A91,PROPERTIES[VEHIDCODE],PROPERTIES[REGION4])))</f>
        <v>NORTH_AMERICA_NO_REGION_NO_REGION_NO_REGION</v>
      </c>
      <c r="G91" t="b">
        <f t="shared" si="9"/>
        <v>0</v>
      </c>
      <c r="H91" t="b">
        <f t="shared" si="16"/>
        <v>0</v>
      </c>
      <c r="I91" t="b">
        <f t="shared" si="10"/>
        <v>0</v>
      </c>
      <c r="J91" t="b">
        <f t="shared" si="17"/>
        <v>0</v>
      </c>
      <c r="K91" t="b">
        <f t="shared" si="11"/>
        <v>0</v>
      </c>
      <c r="L91" t="b">
        <f t="shared" si="12"/>
        <v>0</v>
      </c>
      <c r="M91" t="b">
        <f t="shared" si="13"/>
        <v>1</v>
      </c>
      <c r="N91" t="b">
        <f t="shared" si="14"/>
        <v>0</v>
      </c>
      <c r="O91" t="b">
        <f t="shared" si="15"/>
        <v>0</v>
      </c>
    </row>
    <row r="92" spans="1:15" x14ac:dyDescent="0.35">
      <c r="A92" t="str">
        <v>steam_NOHAB_4_6_2_F</v>
      </c>
      <c r="B92" t="b" cm="1">
        <f t="array" ref="B92">_xlfn.XLOOKUP(A92,CONTROL[VEHIDCODE],PROPERTIES[EXCLUDE])</f>
        <v>0</v>
      </c>
      <c r="C92" t="b">
        <f>_xlfn.XLOOKUP(A92,CONTROL[VEHIDCODE],CONTROL[IS_WAGON_OR_COACH])</f>
        <v>0</v>
      </c>
      <c r="D92">
        <f>FLOOR(_xlfn.XLOOKUP($A92,PROPERTIES[VEHIDCODE],PROPERTIES[INTRODUCTION_YEAR]),20)</f>
        <v>1920</v>
      </c>
      <c r="E92" t="e">
        <f>_xlfn.XLOOKUP($A92,PROPERTIES[VEHIDCODE],#REF!)</f>
        <v>#REF!</v>
      </c>
      <c r="F92" s="25" t="str" cm="1">
        <f t="array" ref="F92">_xlfn.CONCAT(_xlfn.XLOOKUP($A92,PROPERTIES[VEHIDCODE],PROPERTIES[REGION1]),"_",_xlfn.XLOOKUP($A92,PROPERTIES[VEHIDCODE],PROPERTIES[REGION2]),"_",_xlfn.XLOOKUP($A92,PROPERTIES[VEHIDCODE],PROPERTIES[REGION3]&amp;"_"&amp;_xlfn.XLOOKUP($A92,PROPERTIES[VEHIDCODE],PROPERTIES[REGION4])))</f>
        <v>NORTHERN_EUROPE_NO_REGION_NO_REGION_NO_REGION</v>
      </c>
      <c r="G92" t="b">
        <f t="shared" si="9"/>
        <v>0</v>
      </c>
      <c r="H92" t="b">
        <f t="shared" si="16"/>
        <v>0</v>
      </c>
      <c r="I92" t="b">
        <f t="shared" si="10"/>
        <v>0</v>
      </c>
      <c r="J92" t="b">
        <f t="shared" si="17"/>
        <v>0</v>
      </c>
      <c r="K92" t="b">
        <f t="shared" si="11"/>
        <v>0</v>
      </c>
      <c r="L92" t="b">
        <f t="shared" si="12"/>
        <v>1</v>
      </c>
      <c r="M92" t="b">
        <f t="shared" si="13"/>
        <v>0</v>
      </c>
      <c r="N92" t="b">
        <f t="shared" si="14"/>
        <v>0</v>
      </c>
      <c r="O92" t="b">
        <f t="shared" si="15"/>
        <v>0</v>
      </c>
    </row>
    <row r="93" spans="1:15" x14ac:dyDescent="0.35">
      <c r="A93" t="str">
        <v>steam_GGL_HAS_52</v>
      </c>
      <c r="B93" t="b" cm="1">
        <f t="array" ref="B93">_xlfn.XLOOKUP(A93,CONTROL[VEHIDCODE],PROPERTIES[EXCLUDE])</f>
        <v>0</v>
      </c>
      <c r="C93" t="b">
        <f>_xlfn.XLOOKUP(A93,CONTROL[VEHIDCODE],CONTROL[IS_WAGON_OR_COACH])</f>
        <v>0</v>
      </c>
      <c r="D93">
        <f>FLOOR(_xlfn.XLOOKUP($A93,PROPERTIES[VEHIDCODE],PROPERTIES[INTRODUCTION_YEAR]),20)</f>
        <v>1940</v>
      </c>
      <c r="E93" t="e">
        <f>_xlfn.XLOOKUP($A93,PROPERTIES[VEHIDCODE],#REF!)</f>
        <v>#REF!</v>
      </c>
      <c r="F93" s="25" t="str" cm="1">
        <f t="array" ref="F93">_xlfn.CONCAT(_xlfn.XLOOKUP($A93,PROPERTIES[VEHIDCODE],PROPERTIES[REGION1]),"_",_xlfn.XLOOKUP($A93,PROPERTIES[VEHIDCODE],PROPERTIES[REGION2]),"_",_xlfn.XLOOKUP($A93,PROPERTIES[VEHIDCODE],PROPERTIES[REGION3]&amp;"_"&amp;_xlfn.XLOOKUP($A93,PROPERTIES[VEHIDCODE],PROPERTIES[REGION4])))</f>
        <v>ALL_EUROPE_ASIA_NO_REGION_NO_REGION</v>
      </c>
      <c r="G93" t="b">
        <f t="shared" si="9"/>
        <v>0</v>
      </c>
      <c r="H93" t="b">
        <f t="shared" si="16"/>
        <v>1</v>
      </c>
      <c r="I93" t="b">
        <f t="shared" si="10"/>
        <v>1</v>
      </c>
      <c r="J93" t="b">
        <f t="shared" si="17"/>
        <v>1</v>
      </c>
      <c r="K93" t="b">
        <f t="shared" si="11"/>
        <v>1</v>
      </c>
      <c r="L93" t="b">
        <f t="shared" si="12"/>
        <v>1</v>
      </c>
      <c r="M93" t="b">
        <f t="shared" si="13"/>
        <v>0</v>
      </c>
      <c r="N93" t="b">
        <f t="shared" si="14"/>
        <v>0</v>
      </c>
      <c r="O93" t="b">
        <f t="shared" si="15"/>
        <v>0</v>
      </c>
    </row>
    <row r="94" spans="1:15" x14ac:dyDescent="0.35">
      <c r="A94" t="str">
        <v>steam_Doncaster_Darlington_Peppercorn</v>
      </c>
      <c r="B94" t="b" cm="1">
        <f t="array" ref="B94">_xlfn.XLOOKUP(A94,CONTROL[VEHIDCODE],PROPERTIES[EXCLUDE])</f>
        <v>0</v>
      </c>
      <c r="C94" t="b">
        <f>_xlfn.XLOOKUP(A94,CONTROL[VEHIDCODE],CONTROL[IS_WAGON_OR_COACH])</f>
        <v>0</v>
      </c>
      <c r="D94">
        <f>FLOOR(_xlfn.XLOOKUP($A94,PROPERTIES[VEHIDCODE],PROPERTIES[INTRODUCTION_YEAR]),20)</f>
        <v>1940</v>
      </c>
      <c r="E94" t="e">
        <f>_xlfn.XLOOKUP($A94,PROPERTIES[VEHIDCODE],#REF!)</f>
        <v>#REF!</v>
      </c>
      <c r="F94" s="25" t="str" cm="1">
        <f t="array" ref="F94">_xlfn.CONCAT(_xlfn.XLOOKUP($A94,PROPERTIES[VEHIDCODE],PROPERTIES[REGION1]),"_",_xlfn.XLOOKUP($A94,PROPERTIES[VEHIDCODE],PROPERTIES[REGION2]),"_",_xlfn.XLOOKUP($A94,PROPERTIES[VEHIDCODE],PROPERTIES[REGION3]&amp;"_"&amp;_xlfn.XLOOKUP($A94,PROPERTIES[VEHIDCODE],PROPERTIES[REGION4])))</f>
        <v>NORTHERN_EUROPE_NO_REGION_NO_REGION_NO_REGION</v>
      </c>
      <c r="G94" t="b">
        <f t="shared" si="9"/>
        <v>0</v>
      </c>
      <c r="H94" t="b">
        <f t="shared" si="16"/>
        <v>0</v>
      </c>
      <c r="I94" t="b">
        <f t="shared" si="10"/>
        <v>0</v>
      </c>
      <c r="J94" t="b">
        <f t="shared" si="17"/>
        <v>0</v>
      </c>
      <c r="K94" t="b">
        <f t="shared" si="11"/>
        <v>0</v>
      </c>
      <c r="L94" t="b">
        <f t="shared" si="12"/>
        <v>1</v>
      </c>
      <c r="M94" t="b">
        <f t="shared" si="13"/>
        <v>0</v>
      </c>
      <c r="N94" t="b">
        <f t="shared" si="14"/>
        <v>0</v>
      </c>
      <c r="O94" t="b">
        <f t="shared" si="15"/>
        <v>0</v>
      </c>
    </row>
    <row r="95" spans="1:15" x14ac:dyDescent="0.35">
      <c r="A95" t="str">
        <v>steam_Henschel___Son_Condenser</v>
      </c>
      <c r="B95" t="b" cm="1">
        <f t="array" ref="B95">_xlfn.XLOOKUP(A95,CONTROL[VEHIDCODE],PROPERTIES[EXCLUDE])</f>
        <v>0</v>
      </c>
      <c r="C95" t="b">
        <f>_xlfn.XLOOKUP(A95,CONTROL[VEHIDCODE],CONTROL[IS_WAGON_OR_COACH])</f>
        <v>0</v>
      </c>
      <c r="D95">
        <f>FLOOR(_xlfn.XLOOKUP($A95,PROPERTIES[VEHIDCODE],PROPERTIES[INTRODUCTION_YEAR]),20)</f>
        <v>1940</v>
      </c>
      <c r="E95" t="e">
        <f>_xlfn.XLOOKUP($A95,PROPERTIES[VEHIDCODE],#REF!)</f>
        <v>#REF!</v>
      </c>
      <c r="F95" s="25" t="str" cm="1">
        <f t="array" ref="F95">_xlfn.CONCAT(_xlfn.XLOOKUP($A95,PROPERTIES[VEHIDCODE],PROPERTIES[REGION1]),"_",_xlfn.XLOOKUP($A95,PROPERTIES[VEHIDCODE],PROPERTIES[REGION2]),"_",_xlfn.XLOOKUP($A95,PROPERTIES[VEHIDCODE],PROPERTIES[REGION3]&amp;"_"&amp;_xlfn.XLOOKUP($A95,PROPERTIES[VEHIDCODE],PROPERTIES[REGION4])))</f>
        <v>AFRICA_NO_REGION_NO_REGION_NO_REGION</v>
      </c>
      <c r="G95" t="b">
        <f t="shared" si="9"/>
        <v>1</v>
      </c>
      <c r="H95" t="b">
        <f t="shared" si="16"/>
        <v>0</v>
      </c>
      <c r="I95" t="b">
        <f t="shared" si="10"/>
        <v>0</v>
      </c>
      <c r="J95" t="b">
        <f t="shared" si="17"/>
        <v>0</v>
      </c>
      <c r="K95" t="b">
        <f t="shared" si="11"/>
        <v>0</v>
      </c>
      <c r="L95" t="b">
        <f t="shared" si="12"/>
        <v>0</v>
      </c>
      <c r="M95" t="b">
        <f t="shared" si="13"/>
        <v>0</v>
      </c>
      <c r="N95" t="b">
        <f t="shared" si="14"/>
        <v>0</v>
      </c>
      <c r="O95" t="b">
        <f t="shared" si="15"/>
        <v>0</v>
      </c>
    </row>
    <row r="96" spans="1:15" x14ac:dyDescent="0.35">
      <c r="A96" t="str">
        <v>steam_Kolomena_P36</v>
      </c>
      <c r="B96" t="b" cm="1">
        <f t="array" ref="B96">_xlfn.XLOOKUP(A96,CONTROL[VEHIDCODE],PROPERTIES[EXCLUDE])</f>
        <v>0</v>
      </c>
      <c r="C96" t="b">
        <f>_xlfn.XLOOKUP(A96,CONTROL[VEHIDCODE],CONTROL[IS_WAGON_OR_COACH])</f>
        <v>0</v>
      </c>
      <c r="D96">
        <f>FLOOR(_xlfn.XLOOKUP($A96,PROPERTIES[VEHIDCODE],PROPERTIES[INTRODUCTION_YEAR]),20)</f>
        <v>1940</v>
      </c>
      <c r="E96" t="e">
        <f>_xlfn.XLOOKUP($A96,PROPERTIES[VEHIDCODE],#REF!)</f>
        <v>#REF!</v>
      </c>
      <c r="F96" s="25" t="str" cm="1">
        <f t="array" ref="F96">_xlfn.CONCAT(_xlfn.XLOOKUP($A96,PROPERTIES[VEHIDCODE],PROPERTIES[REGION1]),"_",_xlfn.XLOOKUP($A96,PROPERTIES[VEHIDCODE],PROPERTIES[REGION2]),"_",_xlfn.XLOOKUP($A96,PROPERTIES[VEHIDCODE],PROPERTIES[REGION3]&amp;"_"&amp;_xlfn.XLOOKUP($A96,PROPERTIES[VEHIDCODE],PROPERTIES[REGION4])))</f>
        <v>POST_SOVIET_BALTIC_NO_REGION_NO_REGION_NO_REGION</v>
      </c>
      <c r="G96" t="b">
        <f t="shared" si="9"/>
        <v>0</v>
      </c>
      <c r="H96" t="b">
        <f t="shared" si="16"/>
        <v>1</v>
      </c>
      <c r="I96" t="b">
        <f t="shared" si="10"/>
        <v>0</v>
      </c>
      <c r="J96" t="b">
        <f t="shared" si="17"/>
        <v>1</v>
      </c>
      <c r="K96" t="b">
        <f t="shared" si="11"/>
        <v>0</v>
      </c>
      <c r="L96" t="b">
        <f t="shared" si="12"/>
        <v>1</v>
      </c>
      <c r="M96" t="b">
        <f t="shared" si="13"/>
        <v>0</v>
      </c>
      <c r="N96" t="b">
        <f t="shared" si="14"/>
        <v>0</v>
      </c>
      <c r="O96" t="b">
        <f t="shared" si="15"/>
        <v>0</v>
      </c>
    </row>
    <row r="97" spans="1:15" x14ac:dyDescent="0.35">
      <c r="A97" t="str">
        <v>steam_ANF_DEL_150B</v>
      </c>
      <c r="B97" t="b" cm="1">
        <f t="array" ref="B97">_xlfn.XLOOKUP(A97,CONTROL[VEHIDCODE],PROPERTIES[EXCLUDE])</f>
        <v>0</v>
      </c>
      <c r="C97" t="b">
        <f>_xlfn.XLOOKUP(A97,CONTROL[VEHIDCODE],CONTROL[IS_WAGON_OR_COACH])</f>
        <v>0</v>
      </c>
      <c r="D97">
        <f>FLOOR(_xlfn.XLOOKUP($A97,PROPERTIES[VEHIDCODE],PROPERTIES[INTRODUCTION_YEAR]),20)</f>
        <v>1920</v>
      </c>
      <c r="E97" t="e">
        <f>_xlfn.XLOOKUP($A97,PROPERTIES[VEHIDCODE],#REF!)</f>
        <v>#REF!</v>
      </c>
      <c r="F97" s="25" t="str" cm="1">
        <f t="array" ref="F97">_xlfn.CONCAT(_xlfn.XLOOKUP($A97,PROPERTIES[VEHIDCODE],PROPERTIES[REGION1]),"_",_xlfn.XLOOKUP($A97,PROPERTIES[VEHIDCODE],PROPERTIES[REGION2]),"_",_xlfn.XLOOKUP($A97,PROPERTIES[VEHIDCODE],PROPERTIES[REGION3]&amp;"_"&amp;_xlfn.XLOOKUP($A97,PROPERTIES[VEHIDCODE],PROPERTIES[REGION4])))</f>
        <v>WESTERN_EUROPE_NO_REGION_NO_REGION_NO_REGION</v>
      </c>
      <c r="G97" t="b">
        <f t="shared" si="9"/>
        <v>0</v>
      </c>
      <c r="H97" t="b">
        <f t="shared" si="16"/>
        <v>0</v>
      </c>
      <c r="I97" t="b">
        <f t="shared" si="10"/>
        <v>0</v>
      </c>
      <c r="J97" t="b">
        <f t="shared" si="17"/>
        <v>0</v>
      </c>
      <c r="K97" t="b">
        <f t="shared" si="11"/>
        <v>1</v>
      </c>
      <c r="L97" t="b">
        <f t="shared" si="12"/>
        <v>0</v>
      </c>
      <c r="M97" t="b">
        <f t="shared" si="13"/>
        <v>0</v>
      </c>
      <c r="N97" t="b">
        <f t="shared" si="14"/>
        <v>0</v>
      </c>
      <c r="O97" t="b">
        <f t="shared" si="15"/>
        <v>0</v>
      </c>
    </row>
    <row r="98" spans="1:15" x14ac:dyDescent="0.35">
      <c r="A98" t="str">
        <v>steam_Henschel_895</v>
      </c>
      <c r="B98" t="b" cm="1">
        <f t="array" ref="B98">_xlfn.XLOOKUP(A98,CONTROL[VEHIDCODE],PROPERTIES[EXCLUDE])</f>
        <v>0</v>
      </c>
      <c r="C98" t="b">
        <f>_xlfn.XLOOKUP(A98,CONTROL[VEHIDCODE],CONTROL[IS_WAGON_OR_COACH])</f>
        <v>0</v>
      </c>
      <c r="D98">
        <f>FLOOR(_xlfn.XLOOKUP($A98,PROPERTIES[VEHIDCODE],PROPERTIES[INTRODUCTION_YEAR]),20)</f>
        <v>1900</v>
      </c>
      <c r="E98" t="e">
        <f>_xlfn.XLOOKUP($A98,PROPERTIES[VEHIDCODE],#REF!)</f>
        <v>#REF!</v>
      </c>
      <c r="F98" s="25" t="str" cm="1">
        <f t="array" ref="F98">_xlfn.CONCAT(_xlfn.XLOOKUP($A98,PROPERTIES[VEHIDCODE],PROPERTIES[REGION1]),"_",_xlfn.XLOOKUP($A98,PROPERTIES[VEHIDCODE],PROPERTIES[REGION2]),"_",_xlfn.XLOOKUP($A98,PROPERTIES[VEHIDCODE],PROPERTIES[REGION3]&amp;"_"&amp;_xlfn.XLOOKUP($A98,PROPERTIES[VEHIDCODE],PROPERTIES[REGION4])))</f>
        <v>SOUTHERN_EUROPE_NO_REGION_NO_REGION_NO_REGION</v>
      </c>
      <c r="G98" t="b">
        <f t="shared" si="9"/>
        <v>0</v>
      </c>
      <c r="H98" t="b">
        <f t="shared" si="16"/>
        <v>0</v>
      </c>
      <c r="I98" t="b">
        <f t="shared" si="10"/>
        <v>1</v>
      </c>
      <c r="J98" t="b">
        <f t="shared" si="17"/>
        <v>0</v>
      </c>
      <c r="K98" t="b">
        <f t="shared" si="11"/>
        <v>0</v>
      </c>
      <c r="L98" t="b">
        <f t="shared" si="12"/>
        <v>0</v>
      </c>
      <c r="M98" t="b">
        <f t="shared" si="13"/>
        <v>0</v>
      </c>
      <c r="N98" t="b">
        <f t="shared" si="14"/>
        <v>0</v>
      </c>
      <c r="O98" t="b">
        <f t="shared" si="15"/>
        <v>0</v>
      </c>
    </row>
    <row r="99" spans="1:15" x14ac:dyDescent="0.35">
      <c r="A99" t="str">
        <v>steam_H__Cegielski_OKz32</v>
      </c>
      <c r="B99" t="b" cm="1">
        <f t="array" ref="B99">_xlfn.XLOOKUP(A99,CONTROL[VEHIDCODE],PROPERTIES[EXCLUDE])</f>
        <v>0</v>
      </c>
      <c r="C99" t="b">
        <f>_xlfn.XLOOKUP(A99,CONTROL[VEHIDCODE],CONTROL[IS_WAGON_OR_COACH])</f>
        <v>0</v>
      </c>
      <c r="D99">
        <f>FLOOR(_xlfn.XLOOKUP($A99,PROPERTIES[VEHIDCODE],PROPERTIES[INTRODUCTION_YEAR]),20)</f>
        <v>1920</v>
      </c>
      <c r="E99" t="e">
        <f>_xlfn.XLOOKUP($A99,PROPERTIES[VEHIDCODE],#REF!)</f>
        <v>#REF!</v>
      </c>
      <c r="F99" s="25" t="str" cm="1">
        <f t="array" ref="F99">_xlfn.CONCAT(_xlfn.XLOOKUP($A99,PROPERTIES[VEHIDCODE],PROPERTIES[REGION1]),"_",_xlfn.XLOOKUP($A99,PROPERTIES[VEHIDCODE],PROPERTIES[REGION2]),"_",_xlfn.XLOOKUP($A99,PROPERTIES[VEHIDCODE],PROPERTIES[REGION3]&amp;"_"&amp;_xlfn.XLOOKUP($A99,PROPERTIES[VEHIDCODE],PROPERTIES[REGION4])))</f>
        <v>EASTERN_EUROPE_NO_REGION_NO_REGION_NO_REGION</v>
      </c>
      <c r="G99" t="b">
        <f t="shared" si="9"/>
        <v>0</v>
      </c>
      <c r="H99" t="b">
        <f t="shared" si="16"/>
        <v>0</v>
      </c>
      <c r="I99" t="b">
        <f t="shared" si="10"/>
        <v>0</v>
      </c>
      <c r="J99" t="b">
        <f t="shared" si="17"/>
        <v>1</v>
      </c>
      <c r="K99" t="b">
        <f t="shared" si="11"/>
        <v>0</v>
      </c>
      <c r="L99" t="b">
        <f t="shared" si="12"/>
        <v>0</v>
      </c>
      <c r="M99" t="b">
        <f t="shared" si="13"/>
        <v>0</v>
      </c>
      <c r="N99" t="b">
        <f t="shared" si="14"/>
        <v>0</v>
      </c>
      <c r="O99" t="b">
        <f t="shared" si="15"/>
        <v>0</v>
      </c>
    </row>
    <row r="100" spans="1:15" x14ac:dyDescent="0.35">
      <c r="A100" t="str">
        <v>steam_SLM_C_5_6_Elephant</v>
      </c>
      <c r="B100" t="b" cm="1">
        <f t="array" ref="B100">_xlfn.XLOOKUP(A100,CONTROL[VEHIDCODE],PROPERTIES[EXCLUDE])</f>
        <v>0</v>
      </c>
      <c r="C100" t="b">
        <f>_xlfn.XLOOKUP(A100,CONTROL[VEHIDCODE],CONTROL[IS_WAGON_OR_COACH])</f>
        <v>0</v>
      </c>
      <c r="D100">
        <f>FLOOR(_xlfn.XLOOKUP($A100,PROPERTIES[VEHIDCODE],PROPERTIES[INTRODUCTION_YEAR]),20)</f>
        <v>1900</v>
      </c>
      <c r="E100" t="e">
        <f>_xlfn.XLOOKUP($A100,PROPERTIES[VEHIDCODE],#REF!)</f>
        <v>#REF!</v>
      </c>
      <c r="F100" s="25" t="str" cm="1">
        <f t="array" ref="F100">_xlfn.CONCAT(_xlfn.XLOOKUP($A100,PROPERTIES[VEHIDCODE],PROPERTIES[REGION1]),"_",_xlfn.XLOOKUP($A100,PROPERTIES[VEHIDCODE],PROPERTIES[REGION2]),"_",_xlfn.XLOOKUP($A100,PROPERTIES[VEHIDCODE],PROPERTIES[REGION3]&amp;"_"&amp;_xlfn.XLOOKUP($A100,PROPERTIES[VEHIDCODE],PROPERTIES[REGION4])))</f>
        <v>WESTERN_EUROPE_NO_REGION_NO_REGION_NO_REGION</v>
      </c>
      <c r="G100" t="b">
        <f t="shared" si="9"/>
        <v>0</v>
      </c>
      <c r="H100" t="b">
        <f t="shared" si="16"/>
        <v>0</v>
      </c>
      <c r="I100" t="b">
        <f t="shared" si="10"/>
        <v>0</v>
      </c>
      <c r="J100" t="b">
        <f t="shared" si="17"/>
        <v>0</v>
      </c>
      <c r="K100" t="b">
        <f t="shared" si="11"/>
        <v>1</v>
      </c>
      <c r="L100" t="b">
        <f t="shared" si="12"/>
        <v>0</v>
      </c>
      <c r="M100" t="b">
        <f t="shared" si="13"/>
        <v>0</v>
      </c>
      <c r="N100" t="b">
        <f t="shared" si="14"/>
        <v>0</v>
      </c>
      <c r="O100" t="b">
        <f t="shared" si="15"/>
        <v>0</v>
      </c>
    </row>
    <row r="101" spans="1:15" x14ac:dyDescent="0.35">
      <c r="A101" t="str">
        <v>steam_ALCO_series_4000_4_8_8_4_Big_Boy</v>
      </c>
      <c r="B101" t="b" cm="1">
        <f t="array" ref="B101">_xlfn.XLOOKUP(A101,CONTROL[VEHIDCODE],PROPERTIES[EXCLUDE])</f>
        <v>0</v>
      </c>
      <c r="C101" t="b">
        <f>_xlfn.XLOOKUP(A101,CONTROL[VEHIDCODE],CONTROL[IS_WAGON_OR_COACH])</f>
        <v>0</v>
      </c>
      <c r="D101">
        <f>FLOOR(_xlfn.XLOOKUP($A101,PROPERTIES[VEHIDCODE],PROPERTIES[INTRODUCTION_YEAR]),20)</f>
        <v>1940</v>
      </c>
      <c r="E101" t="e">
        <f>_xlfn.XLOOKUP($A101,PROPERTIES[VEHIDCODE],#REF!)</f>
        <v>#REF!</v>
      </c>
      <c r="F101" s="25" t="str" cm="1">
        <f t="array" ref="F101">_xlfn.CONCAT(_xlfn.XLOOKUP($A101,PROPERTIES[VEHIDCODE],PROPERTIES[REGION1]),"_",_xlfn.XLOOKUP($A101,PROPERTIES[VEHIDCODE],PROPERTIES[REGION2]),"_",_xlfn.XLOOKUP($A101,PROPERTIES[VEHIDCODE],PROPERTIES[REGION3]&amp;"_"&amp;_xlfn.XLOOKUP($A101,PROPERTIES[VEHIDCODE],PROPERTIES[REGION4])))</f>
        <v>NORTH_AMERICA_NO_REGION_NO_REGION_NO_REGION</v>
      </c>
      <c r="G101" t="b">
        <f t="shared" si="9"/>
        <v>0</v>
      </c>
      <c r="H101" t="b">
        <f t="shared" si="16"/>
        <v>0</v>
      </c>
      <c r="I101" t="b">
        <f t="shared" si="10"/>
        <v>0</v>
      </c>
      <c r="J101" t="b">
        <f t="shared" si="17"/>
        <v>0</v>
      </c>
      <c r="K101" t="b">
        <f t="shared" si="11"/>
        <v>0</v>
      </c>
      <c r="L101" t="b">
        <f t="shared" si="12"/>
        <v>0</v>
      </c>
      <c r="M101" t="b">
        <f t="shared" si="13"/>
        <v>1</v>
      </c>
      <c r="N101" t="b">
        <f t="shared" si="14"/>
        <v>0</v>
      </c>
      <c r="O101" t="b">
        <f t="shared" si="15"/>
        <v>0</v>
      </c>
    </row>
    <row r="102" spans="1:15" x14ac:dyDescent="0.35">
      <c r="A102" t="str">
        <v>steam_Sharp_Stewart_3557_3565</v>
      </c>
      <c r="B102" t="b" cm="1">
        <f t="array" ref="B102">_xlfn.XLOOKUP(A102,CONTROL[VEHIDCODE],PROPERTIES[EXCLUDE])</f>
        <v>0</v>
      </c>
      <c r="C102" t="b">
        <f>_xlfn.XLOOKUP(A102,CONTROL[VEHIDCODE],CONTROL[IS_WAGON_OR_COACH])</f>
        <v>0</v>
      </c>
      <c r="D102">
        <f>FLOOR(_xlfn.XLOOKUP($A102,PROPERTIES[VEHIDCODE],PROPERTIES[INTRODUCTION_YEAR]),20)</f>
        <v>1880</v>
      </c>
      <c r="E102" t="e">
        <f>_xlfn.XLOOKUP($A102,PROPERTIES[VEHIDCODE],#REF!)</f>
        <v>#REF!</v>
      </c>
      <c r="F102" s="25" t="str" cm="1">
        <f t="array" ref="F102">_xlfn.CONCAT(_xlfn.XLOOKUP($A102,PROPERTIES[VEHIDCODE],PROPERTIES[REGION1]),"_",_xlfn.XLOOKUP($A102,PROPERTIES[VEHIDCODE],PROPERTIES[REGION2]),"_",_xlfn.XLOOKUP($A102,PROPERTIES[VEHIDCODE],PROPERTIES[REGION3]&amp;"_"&amp;_xlfn.XLOOKUP($A102,PROPERTIES[VEHIDCODE],PROPERTIES[REGION4])))</f>
        <v>WESTERN_EUROPE_NO_REGION_NO_REGION_NO_REGION</v>
      </c>
      <c r="G102" t="b">
        <f t="shared" si="9"/>
        <v>0</v>
      </c>
      <c r="H102" t="b">
        <f t="shared" si="16"/>
        <v>0</v>
      </c>
      <c r="I102" t="b">
        <f t="shared" si="10"/>
        <v>0</v>
      </c>
      <c r="J102" t="b">
        <f t="shared" si="17"/>
        <v>0</v>
      </c>
      <c r="K102" t="b">
        <f t="shared" si="11"/>
        <v>1</v>
      </c>
      <c r="L102" t="b">
        <f t="shared" si="12"/>
        <v>0</v>
      </c>
      <c r="M102" t="b">
        <f t="shared" si="13"/>
        <v>0</v>
      </c>
      <c r="N102" t="b">
        <f t="shared" si="14"/>
        <v>0</v>
      </c>
      <c r="O102" t="b">
        <f t="shared" si="15"/>
        <v>0</v>
      </c>
    </row>
    <row r="103" spans="1:15" x14ac:dyDescent="0.35">
      <c r="A103" t="str">
        <v>steam_GWR_Iron_Duke</v>
      </c>
      <c r="B103" t="b" cm="1">
        <f t="array" ref="B103">_xlfn.XLOOKUP(A103,CONTROL[VEHIDCODE],PROPERTIES[EXCLUDE])</f>
        <v>0</v>
      </c>
      <c r="C103" t="b">
        <f>_xlfn.XLOOKUP(A103,CONTROL[VEHIDCODE],CONTROL[IS_WAGON_OR_COACH])</f>
        <v>0</v>
      </c>
      <c r="D103">
        <f>FLOOR(_xlfn.XLOOKUP($A103,PROPERTIES[VEHIDCODE],PROPERTIES[INTRODUCTION_YEAR]),20)</f>
        <v>1840</v>
      </c>
      <c r="E103" t="e">
        <f>_xlfn.XLOOKUP($A103,PROPERTIES[VEHIDCODE],#REF!)</f>
        <v>#REF!</v>
      </c>
      <c r="F103" s="25" t="str" cm="1">
        <f t="array" ref="F103">_xlfn.CONCAT(_xlfn.XLOOKUP($A103,PROPERTIES[VEHIDCODE],PROPERTIES[REGION1]),"_",_xlfn.XLOOKUP($A103,PROPERTIES[VEHIDCODE],PROPERTIES[REGION2]),"_",_xlfn.XLOOKUP($A103,PROPERTIES[VEHIDCODE],PROPERTIES[REGION3]&amp;"_"&amp;_xlfn.XLOOKUP($A103,PROPERTIES[VEHIDCODE],PROPERTIES[REGION4])))</f>
        <v>NORTHERN_EUROPE_NO_REGION_NO_REGION_NO_REGION</v>
      </c>
      <c r="G103" t="b">
        <f t="shared" si="9"/>
        <v>0</v>
      </c>
      <c r="H103" t="b">
        <f t="shared" si="16"/>
        <v>0</v>
      </c>
      <c r="I103" t="b">
        <f t="shared" si="10"/>
        <v>0</v>
      </c>
      <c r="J103" t="b">
        <f t="shared" si="17"/>
        <v>0</v>
      </c>
      <c r="K103" t="b">
        <f t="shared" si="11"/>
        <v>0</v>
      </c>
      <c r="L103" t="b">
        <f t="shared" si="12"/>
        <v>1</v>
      </c>
      <c r="M103" t="b">
        <f t="shared" si="13"/>
        <v>0</v>
      </c>
      <c r="N103" t="b">
        <f t="shared" si="14"/>
        <v>0</v>
      </c>
      <c r="O103" t="b">
        <f t="shared" si="15"/>
        <v>0</v>
      </c>
    </row>
    <row r="104" spans="1:15" x14ac:dyDescent="0.35">
      <c r="A104" t="str">
        <v>steam_Stephenson_0_4_2_Locomotive_No_1</v>
      </c>
      <c r="B104" t="b" cm="1">
        <f t="array" ref="B104">_xlfn.XLOOKUP(A104,CONTROL[VEHIDCODE],PROPERTIES[EXCLUDE])</f>
        <v>0</v>
      </c>
      <c r="C104" t="b">
        <f>_xlfn.XLOOKUP(A104,CONTROL[VEHIDCODE],CONTROL[IS_WAGON_OR_COACH])</f>
        <v>0</v>
      </c>
      <c r="D104">
        <f>FLOOR(_xlfn.XLOOKUP($A104,PROPERTIES[VEHIDCODE],PROPERTIES[INTRODUCTION_YEAR]),20)</f>
        <v>1840</v>
      </c>
      <c r="E104" t="e">
        <f>_xlfn.XLOOKUP($A104,PROPERTIES[VEHIDCODE],#REF!)</f>
        <v>#REF!</v>
      </c>
      <c r="F104" s="25" t="str" cm="1">
        <f t="array" ref="F104">_xlfn.CONCAT(_xlfn.XLOOKUP($A104,PROPERTIES[VEHIDCODE],PROPERTIES[REGION1]),"_",_xlfn.XLOOKUP($A104,PROPERTIES[VEHIDCODE],PROPERTIES[REGION2]),"_",_xlfn.XLOOKUP($A104,PROPERTIES[VEHIDCODE],PROPERTIES[REGION3]&amp;"_"&amp;_xlfn.XLOOKUP($A104,PROPERTIES[VEHIDCODE],PROPERTIES[REGION4])))</f>
        <v>OCEANIA_NO_REGION_NO_REGION_NO_REGION</v>
      </c>
      <c r="G104" t="b">
        <f t="shared" si="9"/>
        <v>0</v>
      </c>
      <c r="H104" t="b">
        <f t="shared" si="16"/>
        <v>0</v>
      </c>
      <c r="I104" t="b">
        <f t="shared" si="10"/>
        <v>0</v>
      </c>
      <c r="J104" t="b">
        <f t="shared" si="17"/>
        <v>0</v>
      </c>
      <c r="K104" t="b">
        <f t="shared" si="11"/>
        <v>0</v>
      </c>
      <c r="L104" t="b">
        <f t="shared" si="12"/>
        <v>0</v>
      </c>
      <c r="M104" t="b">
        <f t="shared" si="13"/>
        <v>0</v>
      </c>
      <c r="N104" t="b">
        <f t="shared" si="14"/>
        <v>0</v>
      </c>
      <c r="O104" t="b">
        <f t="shared" si="15"/>
        <v>1</v>
      </c>
    </row>
    <row r="105" spans="1:15" x14ac:dyDescent="0.35">
      <c r="A105" t="str">
        <v>steam_Cooke_4_2_2_T__D__Judah</v>
      </c>
      <c r="B105" t="b" cm="1">
        <f t="array" ref="B105">_xlfn.XLOOKUP(A105,CONTROL[VEHIDCODE],PROPERTIES[EXCLUDE])</f>
        <v>0</v>
      </c>
      <c r="C105" t="b">
        <f>_xlfn.XLOOKUP(A105,CONTROL[VEHIDCODE],CONTROL[IS_WAGON_OR_COACH])</f>
        <v>0</v>
      </c>
      <c r="D105">
        <f>FLOOR(_xlfn.XLOOKUP($A105,PROPERTIES[VEHIDCODE],PROPERTIES[INTRODUCTION_YEAR]),20)</f>
        <v>1860</v>
      </c>
      <c r="E105" t="e">
        <f>_xlfn.XLOOKUP($A105,PROPERTIES[VEHIDCODE],#REF!)</f>
        <v>#REF!</v>
      </c>
      <c r="F105" s="25" t="str" cm="1">
        <f t="array" ref="F105">_xlfn.CONCAT(_xlfn.XLOOKUP($A105,PROPERTIES[VEHIDCODE],PROPERTIES[REGION1]),"_",_xlfn.XLOOKUP($A105,PROPERTIES[VEHIDCODE],PROPERTIES[REGION2]),"_",_xlfn.XLOOKUP($A105,PROPERTIES[VEHIDCODE],PROPERTIES[REGION3]&amp;"_"&amp;_xlfn.XLOOKUP($A105,PROPERTIES[VEHIDCODE],PROPERTIES[REGION4])))</f>
        <v>NORTH_AMERICA_NO_REGION_NO_REGION_NO_REGION</v>
      </c>
      <c r="G105" t="b">
        <f t="shared" si="9"/>
        <v>0</v>
      </c>
      <c r="H105" t="b">
        <f t="shared" si="16"/>
        <v>0</v>
      </c>
      <c r="I105" t="b">
        <f t="shared" si="10"/>
        <v>0</v>
      </c>
      <c r="J105" t="b">
        <f t="shared" si="17"/>
        <v>0</v>
      </c>
      <c r="K105" t="b">
        <f t="shared" si="11"/>
        <v>0</v>
      </c>
      <c r="L105" t="b">
        <f t="shared" si="12"/>
        <v>0</v>
      </c>
      <c r="M105" t="b">
        <f t="shared" si="13"/>
        <v>1</v>
      </c>
      <c r="N105" t="b">
        <f t="shared" si="14"/>
        <v>0</v>
      </c>
      <c r="O105" t="b">
        <f t="shared" si="15"/>
        <v>0</v>
      </c>
    </row>
    <row r="106" spans="1:15" x14ac:dyDescent="0.35">
      <c r="A106" t="str">
        <v>steam_Beyer__P___Co_2_4_0_SS_9_16__21_78</v>
      </c>
      <c r="B106" t="b" cm="1">
        <f t="array" ref="B106">_xlfn.XLOOKUP(A106,CONTROL[VEHIDCODE],PROPERTIES[EXCLUDE])</f>
        <v>0</v>
      </c>
      <c r="C106" t="b">
        <f>_xlfn.XLOOKUP(A106,CONTROL[VEHIDCODE],CONTROL[IS_WAGON_OR_COACH])</f>
        <v>0</v>
      </c>
      <c r="D106">
        <f>FLOOR(_xlfn.XLOOKUP($A106,PROPERTIES[VEHIDCODE],PROPERTIES[INTRODUCTION_YEAR]),20)</f>
        <v>1860</v>
      </c>
      <c r="E106" t="e">
        <f>_xlfn.XLOOKUP($A106,PROPERTIES[VEHIDCODE],#REF!)</f>
        <v>#REF!</v>
      </c>
      <c r="F106" s="25" t="str" cm="1">
        <f t="array" ref="F106">_xlfn.CONCAT(_xlfn.XLOOKUP($A106,PROPERTIES[VEHIDCODE],PROPERTIES[REGION1]),"_",_xlfn.XLOOKUP($A106,PROPERTIES[VEHIDCODE],PROPERTIES[REGION2]),"_",_xlfn.XLOOKUP($A106,PROPERTIES[VEHIDCODE],PROPERTIES[REGION3]&amp;"_"&amp;_xlfn.XLOOKUP($A106,PROPERTIES[VEHIDCODE],PROPERTIES[REGION4])))</f>
        <v>WESTERN_EUROPE_NO_REGION_NO_REGION_NO_REGION</v>
      </c>
      <c r="G106" t="b">
        <f t="shared" si="9"/>
        <v>0</v>
      </c>
      <c r="H106" t="b">
        <f t="shared" si="16"/>
        <v>0</v>
      </c>
      <c r="I106" t="b">
        <f t="shared" si="10"/>
        <v>0</v>
      </c>
      <c r="J106" t="b">
        <f t="shared" si="17"/>
        <v>0</v>
      </c>
      <c r="K106" t="b">
        <f t="shared" si="11"/>
        <v>1</v>
      </c>
      <c r="L106" t="b">
        <f t="shared" si="12"/>
        <v>0</v>
      </c>
      <c r="M106" t="b">
        <f t="shared" si="13"/>
        <v>0</v>
      </c>
      <c r="N106" t="b">
        <f t="shared" si="14"/>
        <v>0</v>
      </c>
      <c r="O106" t="b">
        <f t="shared" si="15"/>
        <v>0</v>
      </c>
    </row>
    <row r="107" spans="1:15" x14ac:dyDescent="0.35">
      <c r="A107" t="str">
        <v>steam_Beyer__P___Co_2_6_0T_1702_1706</v>
      </c>
      <c r="B107" t="b" cm="1">
        <f t="array" ref="B107">_xlfn.XLOOKUP(A107,CONTROL[VEHIDCODE],PROPERTIES[EXCLUDE])</f>
        <v>0</v>
      </c>
      <c r="C107" t="b">
        <f>_xlfn.XLOOKUP(A107,CONTROL[VEHIDCODE],CONTROL[IS_WAGON_OR_COACH])</f>
        <v>0</v>
      </c>
      <c r="D107">
        <f>FLOOR(_xlfn.XLOOKUP($A107,PROPERTIES[VEHIDCODE],PROPERTIES[INTRODUCTION_YEAR]),20)</f>
        <v>1860</v>
      </c>
      <c r="E107" t="e">
        <f>_xlfn.XLOOKUP($A107,PROPERTIES[VEHIDCODE],#REF!)</f>
        <v>#REF!</v>
      </c>
      <c r="F107" s="25" t="str" cm="1">
        <f t="array" ref="F107">_xlfn.CONCAT(_xlfn.XLOOKUP($A107,PROPERTIES[VEHIDCODE],PROPERTIES[REGION1]),"_",_xlfn.XLOOKUP($A107,PROPERTIES[VEHIDCODE],PROPERTIES[REGION2]),"_",_xlfn.XLOOKUP($A107,PROPERTIES[VEHIDCODE],PROPERTIES[REGION3]&amp;"_"&amp;_xlfn.XLOOKUP($A107,PROPERTIES[VEHIDCODE],PROPERTIES[REGION4])))</f>
        <v>AFRICA_NO_REGION_NO_REGION_NO_REGION</v>
      </c>
      <c r="G107" t="b">
        <f t="shared" si="9"/>
        <v>1</v>
      </c>
      <c r="H107" t="b">
        <f t="shared" si="16"/>
        <v>0</v>
      </c>
      <c r="I107" t="b">
        <f t="shared" si="10"/>
        <v>0</v>
      </c>
      <c r="J107" t="b">
        <f t="shared" si="17"/>
        <v>0</v>
      </c>
      <c r="K107" t="b">
        <f t="shared" si="11"/>
        <v>0</v>
      </c>
      <c r="L107" t="b">
        <f t="shared" si="12"/>
        <v>0</v>
      </c>
      <c r="M107" t="b">
        <f t="shared" si="13"/>
        <v>0</v>
      </c>
      <c r="N107" t="b">
        <f t="shared" si="14"/>
        <v>0</v>
      </c>
      <c r="O107" t="b">
        <f t="shared" si="15"/>
        <v>0</v>
      </c>
    </row>
    <row r="108" spans="1:15" x14ac:dyDescent="0.35">
      <c r="A108" t="str">
        <v>steam_Beyer__P___Co_2_6_0_2073_2092</v>
      </c>
      <c r="B108" t="b" cm="1">
        <f t="array" ref="B108">_xlfn.XLOOKUP(A108,CONTROL[VEHIDCODE],PROPERTIES[EXCLUDE])</f>
        <v>0</v>
      </c>
      <c r="C108" t="b">
        <f>_xlfn.XLOOKUP(A108,CONTROL[VEHIDCODE],CONTROL[IS_WAGON_OR_COACH])</f>
        <v>0</v>
      </c>
      <c r="D108">
        <f>FLOOR(_xlfn.XLOOKUP($A108,PROPERTIES[VEHIDCODE],PROPERTIES[INTRODUCTION_YEAR]),20)</f>
        <v>1880</v>
      </c>
      <c r="E108" t="e">
        <f>_xlfn.XLOOKUP($A108,PROPERTIES[VEHIDCODE],#REF!)</f>
        <v>#REF!</v>
      </c>
      <c r="F108" s="25" t="str" cm="1">
        <f t="array" ref="F108">_xlfn.CONCAT(_xlfn.XLOOKUP($A108,PROPERTIES[VEHIDCODE],PROPERTIES[REGION1]),"_",_xlfn.XLOOKUP($A108,PROPERTIES[VEHIDCODE],PROPERTIES[REGION2]),"_",_xlfn.XLOOKUP($A108,PROPERTIES[VEHIDCODE],PROPERTIES[REGION3]&amp;"_"&amp;_xlfn.XLOOKUP($A108,PROPERTIES[VEHIDCODE],PROPERTIES[REGION4])))</f>
        <v>OCEANIA_NO_REGION_NO_REGION_NO_REGION</v>
      </c>
      <c r="G108" t="b">
        <f t="shared" si="9"/>
        <v>0</v>
      </c>
      <c r="H108" t="b">
        <f t="shared" si="16"/>
        <v>0</v>
      </c>
      <c r="I108" t="b">
        <f t="shared" si="10"/>
        <v>0</v>
      </c>
      <c r="J108" t="b">
        <f t="shared" si="17"/>
        <v>0</v>
      </c>
      <c r="K108" t="b">
        <f t="shared" si="11"/>
        <v>0</v>
      </c>
      <c r="L108" t="b">
        <f t="shared" si="12"/>
        <v>0</v>
      </c>
      <c r="M108" t="b">
        <f t="shared" si="13"/>
        <v>0</v>
      </c>
      <c r="N108" t="b">
        <f t="shared" si="14"/>
        <v>0</v>
      </c>
      <c r="O108" t="b">
        <f t="shared" si="15"/>
        <v>1</v>
      </c>
    </row>
    <row r="109" spans="1:15" x14ac:dyDescent="0.35">
      <c r="A109" t="str">
        <v>steam_Canadian_Pacific_374</v>
      </c>
      <c r="B109" t="b" cm="1">
        <f t="array" ref="B109">_xlfn.XLOOKUP(A109,CONTROL[VEHIDCODE],PROPERTIES[EXCLUDE])</f>
        <v>0</v>
      </c>
      <c r="C109" t="b">
        <f>_xlfn.XLOOKUP(A109,CONTROL[VEHIDCODE],CONTROL[IS_WAGON_OR_COACH])</f>
        <v>0</v>
      </c>
      <c r="D109">
        <f>FLOOR(_xlfn.XLOOKUP($A109,PROPERTIES[VEHIDCODE],PROPERTIES[INTRODUCTION_YEAR]),20)</f>
        <v>1880</v>
      </c>
      <c r="E109" t="e">
        <f>_xlfn.XLOOKUP($A109,PROPERTIES[VEHIDCODE],#REF!)</f>
        <v>#REF!</v>
      </c>
      <c r="F109" s="25" t="str" cm="1">
        <f t="array" ref="F109">_xlfn.CONCAT(_xlfn.XLOOKUP($A109,PROPERTIES[VEHIDCODE],PROPERTIES[REGION1]),"_",_xlfn.XLOOKUP($A109,PROPERTIES[VEHIDCODE],PROPERTIES[REGION2]),"_",_xlfn.XLOOKUP($A109,PROPERTIES[VEHIDCODE],PROPERTIES[REGION3]&amp;"_"&amp;_xlfn.XLOOKUP($A109,PROPERTIES[VEHIDCODE],PROPERTIES[REGION4])))</f>
        <v>NORTH_AMERICA_NO_REGION_NO_REGION_NO_REGION</v>
      </c>
      <c r="G109" t="b">
        <f t="shared" si="9"/>
        <v>0</v>
      </c>
      <c r="H109" t="b">
        <f t="shared" si="16"/>
        <v>0</v>
      </c>
      <c r="I109" t="b">
        <f t="shared" si="10"/>
        <v>0</v>
      </c>
      <c r="J109" t="b">
        <f t="shared" si="17"/>
        <v>0</v>
      </c>
      <c r="K109" t="b">
        <f t="shared" si="11"/>
        <v>0</v>
      </c>
      <c r="L109" t="b">
        <f t="shared" si="12"/>
        <v>0</v>
      </c>
      <c r="M109" t="b">
        <f t="shared" si="13"/>
        <v>1</v>
      </c>
      <c r="N109" t="b">
        <f t="shared" si="14"/>
        <v>0</v>
      </c>
      <c r="O109" t="b">
        <f t="shared" si="15"/>
        <v>0</v>
      </c>
    </row>
    <row r="110" spans="1:15" x14ac:dyDescent="0.35">
      <c r="A110" t="str">
        <v>steam_Nasmyth__Wilson___Co_35_tonner_4_6_0T</v>
      </c>
      <c r="B110" t="b" cm="1">
        <f t="array" ref="B110">_xlfn.XLOOKUP(A110,CONTROL[VEHIDCODE],PROPERTIES[EXCLUDE])</f>
        <v>0</v>
      </c>
      <c r="C110" t="b">
        <f>_xlfn.XLOOKUP(A110,CONTROL[VEHIDCODE],CONTROL[IS_WAGON_OR_COACH])</f>
        <v>0</v>
      </c>
      <c r="D110">
        <f>FLOOR(_xlfn.XLOOKUP($A110,PROPERTIES[VEHIDCODE],PROPERTIES[INTRODUCTION_YEAR]),20)</f>
        <v>1880</v>
      </c>
      <c r="E110" t="e">
        <f>_xlfn.XLOOKUP($A110,PROPERTIES[VEHIDCODE],#REF!)</f>
        <v>#REF!</v>
      </c>
      <c r="F110" s="25" t="str" cm="1">
        <f t="array" ref="F110">_xlfn.CONCAT(_xlfn.XLOOKUP($A110,PROPERTIES[VEHIDCODE],PROPERTIES[REGION1]),"_",_xlfn.XLOOKUP($A110,PROPERTIES[VEHIDCODE],PROPERTIES[REGION2]),"_",_xlfn.XLOOKUP($A110,PROPERTIES[VEHIDCODE],PROPERTIES[REGION3]&amp;"_"&amp;_xlfn.XLOOKUP($A110,PROPERTIES[VEHIDCODE],PROPERTIES[REGION4])))</f>
        <v>AFRICA_NO_REGION_NO_REGION_NO_REGION</v>
      </c>
      <c r="G110" t="b">
        <f t="shared" si="9"/>
        <v>1</v>
      </c>
      <c r="H110" t="b">
        <f t="shared" si="16"/>
        <v>0</v>
      </c>
      <c r="I110" t="b">
        <f t="shared" si="10"/>
        <v>0</v>
      </c>
      <c r="J110" t="b">
        <f t="shared" si="17"/>
        <v>0</v>
      </c>
      <c r="K110" t="b">
        <f t="shared" si="11"/>
        <v>0</v>
      </c>
      <c r="L110" t="b">
        <f t="shared" si="12"/>
        <v>0</v>
      </c>
      <c r="M110" t="b">
        <f t="shared" si="13"/>
        <v>0</v>
      </c>
      <c r="N110" t="b">
        <f t="shared" si="14"/>
        <v>0</v>
      </c>
      <c r="O110" t="b">
        <f t="shared" si="15"/>
        <v>0</v>
      </c>
    </row>
    <row r="111" spans="1:15" x14ac:dyDescent="0.35">
      <c r="A111" t="str">
        <v>steam_Schneider_RENFE_040</v>
      </c>
      <c r="B111" t="b" cm="1">
        <f t="array" ref="B111">_xlfn.XLOOKUP(A111,CONTROL[VEHIDCODE],PROPERTIES[EXCLUDE])</f>
        <v>0</v>
      </c>
      <c r="C111" t="b">
        <f>_xlfn.XLOOKUP(A111,CONTROL[VEHIDCODE],CONTROL[IS_WAGON_OR_COACH])</f>
        <v>0</v>
      </c>
      <c r="D111">
        <f>FLOOR(_xlfn.XLOOKUP($A111,PROPERTIES[VEHIDCODE],PROPERTIES[INTRODUCTION_YEAR]),20)</f>
        <v>1880</v>
      </c>
      <c r="E111" t="e">
        <f>_xlfn.XLOOKUP($A111,PROPERTIES[VEHIDCODE],#REF!)</f>
        <v>#REF!</v>
      </c>
      <c r="F111" s="25" t="str" cm="1">
        <f t="array" ref="F111">_xlfn.CONCAT(_xlfn.XLOOKUP($A111,PROPERTIES[VEHIDCODE],PROPERTIES[REGION1]),"_",_xlfn.XLOOKUP($A111,PROPERTIES[VEHIDCODE],PROPERTIES[REGION2]),"_",_xlfn.XLOOKUP($A111,PROPERTIES[VEHIDCODE],PROPERTIES[REGION3]&amp;"_"&amp;_xlfn.XLOOKUP($A111,PROPERTIES[VEHIDCODE],PROPERTIES[REGION4])))</f>
        <v>SOUTHERN_EUROPE_NO_REGION_NO_REGION_NO_REGION</v>
      </c>
      <c r="G111" t="b">
        <f t="shared" si="9"/>
        <v>0</v>
      </c>
      <c r="H111" t="b">
        <f t="shared" si="16"/>
        <v>0</v>
      </c>
      <c r="I111" t="b">
        <f t="shared" si="10"/>
        <v>1</v>
      </c>
      <c r="J111" t="b">
        <f t="shared" si="17"/>
        <v>0</v>
      </c>
      <c r="K111" t="b">
        <f t="shared" si="11"/>
        <v>0</v>
      </c>
      <c r="L111" t="b">
        <f t="shared" si="12"/>
        <v>0</v>
      </c>
      <c r="M111" t="b">
        <f t="shared" si="13"/>
        <v>0</v>
      </c>
      <c r="N111" t="b">
        <f t="shared" si="14"/>
        <v>0</v>
      </c>
      <c r="O111" t="b">
        <f t="shared" si="15"/>
        <v>0</v>
      </c>
    </row>
    <row r="112" spans="1:15" x14ac:dyDescent="0.35">
      <c r="A112" t="str">
        <v>steam_Sachsische_Maschinenfabrik_IV_K</v>
      </c>
      <c r="B112" t="b" cm="1">
        <f t="array" ref="B112">_xlfn.XLOOKUP(A112,CONTROL[VEHIDCODE],PROPERTIES[EXCLUDE])</f>
        <v>0</v>
      </c>
      <c r="C112" t="b">
        <f>_xlfn.XLOOKUP(A112,CONTROL[VEHIDCODE],CONTROL[IS_WAGON_OR_COACH])</f>
        <v>0</v>
      </c>
      <c r="D112">
        <f>FLOOR(_xlfn.XLOOKUP($A112,PROPERTIES[VEHIDCODE],PROPERTIES[INTRODUCTION_YEAR]),20)</f>
        <v>1880</v>
      </c>
      <c r="E112" t="e">
        <f>_xlfn.XLOOKUP($A112,PROPERTIES[VEHIDCODE],#REF!)</f>
        <v>#REF!</v>
      </c>
      <c r="F112" s="25" t="str" cm="1">
        <f t="array" ref="F112">_xlfn.CONCAT(_xlfn.XLOOKUP($A112,PROPERTIES[VEHIDCODE],PROPERTIES[REGION1]),"_",_xlfn.XLOOKUP($A112,PROPERTIES[VEHIDCODE],PROPERTIES[REGION2]),"_",_xlfn.XLOOKUP($A112,PROPERTIES[VEHIDCODE],PROPERTIES[REGION3]&amp;"_"&amp;_xlfn.XLOOKUP($A112,PROPERTIES[VEHIDCODE],PROPERTIES[REGION4])))</f>
        <v>WESTERN_EUROPE_NO_REGION_NO_REGION_NO_REGION</v>
      </c>
      <c r="G112" t="b">
        <f t="shared" si="9"/>
        <v>0</v>
      </c>
      <c r="H112" t="b">
        <f t="shared" si="16"/>
        <v>0</v>
      </c>
      <c r="I112" t="b">
        <f t="shared" si="10"/>
        <v>0</v>
      </c>
      <c r="J112" t="b">
        <f t="shared" si="17"/>
        <v>0</v>
      </c>
      <c r="K112" t="b">
        <f t="shared" si="11"/>
        <v>1</v>
      </c>
      <c r="L112" t="b">
        <f t="shared" si="12"/>
        <v>0</v>
      </c>
      <c r="M112" t="b">
        <f t="shared" si="13"/>
        <v>0</v>
      </c>
      <c r="N112" t="b">
        <f t="shared" si="14"/>
        <v>0</v>
      </c>
      <c r="O112" t="b">
        <f t="shared" si="15"/>
        <v>0</v>
      </c>
    </row>
    <row r="113" spans="1:15" x14ac:dyDescent="0.35">
      <c r="A113" t="str">
        <v>steam_Hanomag_S_3</v>
      </c>
      <c r="B113" t="b" cm="1">
        <f t="array" ref="B113">_xlfn.XLOOKUP(A113,CONTROL[VEHIDCODE],PROPERTIES[EXCLUDE])</f>
        <v>0</v>
      </c>
      <c r="C113" t="b">
        <f>_xlfn.XLOOKUP(A113,CONTROL[VEHIDCODE],CONTROL[IS_WAGON_OR_COACH])</f>
        <v>0</v>
      </c>
      <c r="D113">
        <f>FLOOR(_xlfn.XLOOKUP($A113,PROPERTIES[VEHIDCODE],PROPERTIES[INTRODUCTION_YEAR]),20)</f>
        <v>1880</v>
      </c>
      <c r="E113" t="e">
        <f>_xlfn.XLOOKUP($A113,PROPERTIES[VEHIDCODE],#REF!)</f>
        <v>#REF!</v>
      </c>
      <c r="F113" s="25" t="str" cm="1">
        <f t="array" ref="F113">_xlfn.CONCAT(_xlfn.XLOOKUP($A113,PROPERTIES[VEHIDCODE],PROPERTIES[REGION1]),"_",_xlfn.XLOOKUP($A113,PROPERTIES[VEHIDCODE],PROPERTIES[REGION2]),"_",_xlfn.XLOOKUP($A113,PROPERTIES[VEHIDCODE],PROPERTIES[REGION3]&amp;"_"&amp;_xlfn.XLOOKUP($A113,PROPERTIES[VEHIDCODE],PROPERTIES[REGION4])))</f>
        <v>WESTERN_EUROPE_NO_REGION_NO_REGION_NO_REGION</v>
      </c>
      <c r="G113" t="b">
        <f t="shared" si="9"/>
        <v>0</v>
      </c>
      <c r="H113" t="b">
        <f t="shared" si="16"/>
        <v>0</v>
      </c>
      <c r="I113" t="b">
        <f t="shared" si="10"/>
        <v>0</v>
      </c>
      <c r="J113" t="b">
        <f t="shared" si="17"/>
        <v>0</v>
      </c>
      <c r="K113" t="b">
        <f t="shared" si="11"/>
        <v>1</v>
      </c>
      <c r="L113" t="b">
        <f t="shared" si="12"/>
        <v>0</v>
      </c>
      <c r="M113" t="b">
        <f t="shared" si="13"/>
        <v>0</v>
      </c>
      <c r="N113" t="b">
        <f t="shared" si="14"/>
        <v>0</v>
      </c>
      <c r="O113" t="b">
        <f t="shared" si="15"/>
        <v>0</v>
      </c>
    </row>
    <row r="114" spans="1:15" x14ac:dyDescent="0.35">
      <c r="A114" t="str">
        <v>steam_Thune_XXIa</v>
      </c>
      <c r="B114" t="b" cm="1">
        <f t="array" ref="B114">_xlfn.XLOOKUP(A114,CONTROL[VEHIDCODE],PROPERTIES[EXCLUDE])</f>
        <v>0</v>
      </c>
      <c r="C114" t="b">
        <f>_xlfn.XLOOKUP(A114,CONTROL[VEHIDCODE],CONTROL[IS_WAGON_OR_COACH])</f>
        <v>0</v>
      </c>
      <c r="D114">
        <f>FLOOR(_xlfn.XLOOKUP($A114,PROPERTIES[VEHIDCODE],PROPERTIES[INTRODUCTION_YEAR]),20)</f>
        <v>1880</v>
      </c>
      <c r="E114" t="e">
        <f>_xlfn.XLOOKUP($A114,PROPERTIES[VEHIDCODE],#REF!)</f>
        <v>#REF!</v>
      </c>
      <c r="F114" s="25" t="str" cm="1">
        <f t="array" ref="F114">_xlfn.CONCAT(_xlfn.XLOOKUP($A114,PROPERTIES[VEHIDCODE],PROPERTIES[REGION1]),"_",_xlfn.XLOOKUP($A114,PROPERTIES[VEHIDCODE],PROPERTIES[REGION2]),"_",_xlfn.XLOOKUP($A114,PROPERTIES[VEHIDCODE],PROPERTIES[REGION3]&amp;"_"&amp;_xlfn.XLOOKUP($A114,PROPERTIES[VEHIDCODE],PROPERTIES[REGION4])))</f>
        <v>NORTHERN_EUROPE_NO_REGION_NO_REGION_NO_REGION</v>
      </c>
      <c r="G114" t="b">
        <f t="shared" si="9"/>
        <v>0</v>
      </c>
      <c r="H114" t="b">
        <f t="shared" si="16"/>
        <v>0</v>
      </c>
      <c r="I114" t="b">
        <f t="shared" si="10"/>
        <v>0</v>
      </c>
      <c r="J114" t="b">
        <f t="shared" si="17"/>
        <v>0</v>
      </c>
      <c r="K114" t="b">
        <f t="shared" si="11"/>
        <v>0</v>
      </c>
      <c r="L114" t="b">
        <f t="shared" si="12"/>
        <v>1</v>
      </c>
      <c r="M114" t="b">
        <f t="shared" si="13"/>
        <v>0</v>
      </c>
      <c r="N114" t="b">
        <f t="shared" si="14"/>
        <v>0</v>
      </c>
      <c r="O114" t="b">
        <f t="shared" si="15"/>
        <v>0</v>
      </c>
    </row>
    <row r="115" spans="1:15" x14ac:dyDescent="0.35">
      <c r="A115" t="str">
        <v>steam_PRR_D16</v>
      </c>
      <c r="B115" t="b" cm="1">
        <f t="array" ref="B115">_xlfn.XLOOKUP(A115,CONTROL[VEHIDCODE],PROPERTIES[EXCLUDE])</f>
        <v>0</v>
      </c>
      <c r="C115" t="b">
        <f>_xlfn.XLOOKUP(A115,CONTROL[VEHIDCODE],CONTROL[IS_WAGON_OR_COACH])</f>
        <v>0</v>
      </c>
      <c r="D115">
        <f>FLOOR(_xlfn.XLOOKUP($A115,PROPERTIES[VEHIDCODE],PROPERTIES[INTRODUCTION_YEAR]),20)</f>
        <v>1880</v>
      </c>
      <c r="E115" t="e">
        <f>_xlfn.XLOOKUP($A115,PROPERTIES[VEHIDCODE],#REF!)</f>
        <v>#REF!</v>
      </c>
      <c r="F115" s="25" t="str" cm="1">
        <f t="array" ref="F115">_xlfn.CONCAT(_xlfn.XLOOKUP($A115,PROPERTIES[VEHIDCODE],PROPERTIES[REGION1]),"_",_xlfn.XLOOKUP($A115,PROPERTIES[VEHIDCODE],PROPERTIES[REGION2]),"_",_xlfn.XLOOKUP($A115,PROPERTIES[VEHIDCODE],PROPERTIES[REGION3]&amp;"_"&amp;_xlfn.XLOOKUP($A115,PROPERTIES[VEHIDCODE],PROPERTIES[REGION4])))</f>
        <v>NORTH_AMERICA_NO_REGION_NO_REGION_NO_REGION</v>
      </c>
      <c r="G115" t="b">
        <f t="shared" si="9"/>
        <v>0</v>
      </c>
      <c r="H115" t="b">
        <f t="shared" si="16"/>
        <v>0</v>
      </c>
      <c r="I115" t="b">
        <f t="shared" si="10"/>
        <v>0</v>
      </c>
      <c r="J115" t="b">
        <f t="shared" si="17"/>
        <v>0</v>
      </c>
      <c r="K115" t="b">
        <f t="shared" si="11"/>
        <v>0</v>
      </c>
      <c r="L115" t="b">
        <f t="shared" si="12"/>
        <v>0</v>
      </c>
      <c r="M115" t="b">
        <f t="shared" si="13"/>
        <v>1</v>
      </c>
      <c r="N115" t="b">
        <f t="shared" si="14"/>
        <v>0</v>
      </c>
      <c r="O115" t="b">
        <f t="shared" si="15"/>
        <v>0</v>
      </c>
    </row>
    <row r="116" spans="1:15" x14ac:dyDescent="0.35">
      <c r="A116" t="str">
        <v>steam_Machinefabriek_Breda_661_667</v>
      </c>
      <c r="B116" t="b" cm="1">
        <f t="array" ref="B116">_xlfn.XLOOKUP(A116,CONTROL[VEHIDCODE],PROPERTIES[EXCLUDE])</f>
        <v>0</v>
      </c>
      <c r="C116" t="b">
        <f>_xlfn.XLOOKUP(A116,CONTROL[VEHIDCODE],CONTROL[IS_WAGON_OR_COACH])</f>
        <v>0</v>
      </c>
      <c r="D116">
        <f>FLOOR(_xlfn.XLOOKUP($A116,PROPERTIES[VEHIDCODE],PROPERTIES[INTRODUCTION_YEAR]),20)</f>
        <v>1900</v>
      </c>
      <c r="E116" t="e">
        <f>_xlfn.XLOOKUP($A116,PROPERTIES[VEHIDCODE],#REF!)</f>
        <v>#REF!</v>
      </c>
      <c r="F116" s="25" t="str" cm="1">
        <f t="array" ref="F116">_xlfn.CONCAT(_xlfn.XLOOKUP($A116,PROPERTIES[VEHIDCODE],PROPERTIES[REGION1]),"_",_xlfn.XLOOKUP($A116,PROPERTIES[VEHIDCODE],PROPERTIES[REGION2]),"_",_xlfn.XLOOKUP($A116,PROPERTIES[VEHIDCODE],PROPERTIES[REGION3]&amp;"_"&amp;_xlfn.XLOOKUP($A116,PROPERTIES[VEHIDCODE],PROPERTIES[REGION4])))</f>
        <v>WESTERN_EUROPE_NO_REGION_NO_REGION_NO_REGION</v>
      </c>
      <c r="G116" t="b">
        <f t="shared" si="9"/>
        <v>0</v>
      </c>
      <c r="H116" t="b">
        <f t="shared" si="16"/>
        <v>0</v>
      </c>
      <c r="I116" t="b">
        <f t="shared" si="10"/>
        <v>0</v>
      </c>
      <c r="J116" t="b">
        <f t="shared" si="17"/>
        <v>0</v>
      </c>
      <c r="K116" t="b">
        <f t="shared" si="11"/>
        <v>1</v>
      </c>
      <c r="L116" t="b">
        <f t="shared" si="12"/>
        <v>0</v>
      </c>
      <c r="M116" t="b">
        <f t="shared" si="13"/>
        <v>0</v>
      </c>
      <c r="N116" t="b">
        <f t="shared" si="14"/>
        <v>0</v>
      </c>
      <c r="O116" t="b">
        <f t="shared" si="15"/>
        <v>0</v>
      </c>
    </row>
    <row r="117" spans="1:15" x14ac:dyDescent="0.35">
      <c r="A117" t="str">
        <v>steam_ALCO_46581_2_6_6_2_Mallet</v>
      </c>
      <c r="B117" t="b" cm="1">
        <f t="array" ref="B117">_xlfn.XLOOKUP(A117,CONTROL[VEHIDCODE],PROPERTIES[EXCLUDE])</f>
        <v>0</v>
      </c>
      <c r="C117" t="b">
        <f>_xlfn.XLOOKUP(A117,CONTROL[VEHIDCODE],CONTROL[IS_WAGON_OR_COACH])</f>
        <v>0</v>
      </c>
      <c r="D117">
        <f>FLOOR(_xlfn.XLOOKUP($A117,PROPERTIES[VEHIDCODE],PROPERTIES[INTRODUCTION_YEAR]),20)</f>
        <v>1900</v>
      </c>
      <c r="E117" t="e">
        <f>_xlfn.XLOOKUP($A117,PROPERTIES[VEHIDCODE],#REF!)</f>
        <v>#REF!</v>
      </c>
      <c r="F117" s="25" t="str" cm="1">
        <f t="array" ref="F117">_xlfn.CONCAT(_xlfn.XLOOKUP($A117,PROPERTIES[VEHIDCODE],PROPERTIES[REGION1]),"_",_xlfn.XLOOKUP($A117,PROPERTIES[VEHIDCODE],PROPERTIES[REGION2]),"_",_xlfn.XLOOKUP($A117,PROPERTIES[VEHIDCODE],PROPERTIES[REGION3]&amp;"_"&amp;_xlfn.XLOOKUP($A117,PROPERTIES[VEHIDCODE],PROPERTIES[REGION4])))</f>
        <v>AFRICA_NO_REGION_NO_REGION_NO_REGION</v>
      </c>
      <c r="G117" t="b">
        <f t="shared" si="9"/>
        <v>1</v>
      </c>
      <c r="H117" t="b">
        <f t="shared" si="16"/>
        <v>0</v>
      </c>
      <c r="I117" t="b">
        <f t="shared" si="10"/>
        <v>0</v>
      </c>
      <c r="J117" t="b">
        <f t="shared" si="17"/>
        <v>0</v>
      </c>
      <c r="K117" t="b">
        <f t="shared" si="11"/>
        <v>0</v>
      </c>
      <c r="L117" t="b">
        <f t="shared" si="12"/>
        <v>0</v>
      </c>
      <c r="M117" t="b">
        <f t="shared" si="13"/>
        <v>0</v>
      </c>
      <c r="N117" t="b">
        <f t="shared" si="14"/>
        <v>0</v>
      </c>
      <c r="O117" t="b">
        <f t="shared" si="15"/>
        <v>0</v>
      </c>
    </row>
    <row r="118" spans="1:15" x14ac:dyDescent="0.35">
      <c r="A118" t="str">
        <v>steam_Orenstein___Koppel_2_8_0_8_Tender</v>
      </c>
      <c r="B118" t="b" cm="1">
        <f t="array" ref="B118">_xlfn.XLOOKUP(A118,CONTROL[VEHIDCODE],PROPERTIES[EXCLUDE])</f>
        <v>0</v>
      </c>
      <c r="C118" t="b">
        <f>_xlfn.XLOOKUP(A118,CONTROL[VEHIDCODE],CONTROL[IS_WAGON_OR_COACH])</f>
        <v>0</v>
      </c>
      <c r="D118">
        <f>FLOOR(_xlfn.XLOOKUP($A118,PROPERTIES[VEHIDCODE],PROPERTIES[INTRODUCTION_YEAR]),20)</f>
        <v>1900</v>
      </c>
      <c r="E118" t="e">
        <f>_xlfn.XLOOKUP($A118,PROPERTIES[VEHIDCODE],#REF!)</f>
        <v>#REF!</v>
      </c>
      <c r="F118" s="25" t="str" cm="1">
        <f t="array" ref="F118">_xlfn.CONCAT(_xlfn.XLOOKUP($A118,PROPERTIES[VEHIDCODE],PROPERTIES[REGION1]),"_",_xlfn.XLOOKUP($A118,PROPERTIES[VEHIDCODE],PROPERTIES[REGION2]),"_",_xlfn.XLOOKUP($A118,PROPERTIES[VEHIDCODE],PROPERTIES[REGION3]&amp;"_"&amp;_xlfn.XLOOKUP($A118,PROPERTIES[VEHIDCODE],PROPERTIES[REGION4])))</f>
        <v>AFRICA_NO_REGION_NO_REGION_NO_REGION</v>
      </c>
      <c r="G118" t="b">
        <f t="shared" si="9"/>
        <v>1</v>
      </c>
      <c r="H118" t="b">
        <f t="shared" si="16"/>
        <v>0</v>
      </c>
      <c r="I118" t="b">
        <f t="shared" si="10"/>
        <v>0</v>
      </c>
      <c r="J118" t="b">
        <f t="shared" si="17"/>
        <v>0</v>
      </c>
      <c r="K118" t="b">
        <f t="shared" si="11"/>
        <v>0</v>
      </c>
      <c r="L118" t="b">
        <f t="shared" si="12"/>
        <v>0</v>
      </c>
      <c r="M118" t="b">
        <f t="shared" si="13"/>
        <v>0</v>
      </c>
      <c r="N118" t="b">
        <f t="shared" si="14"/>
        <v>0</v>
      </c>
      <c r="O118" t="b">
        <f t="shared" si="15"/>
        <v>0</v>
      </c>
    </row>
    <row r="119" spans="1:15" x14ac:dyDescent="0.35">
      <c r="A119" t="str">
        <v>steam_Stratford_Works_L77_LNER_N7</v>
      </c>
      <c r="B119" t="b" cm="1">
        <f t="array" ref="B119">_xlfn.XLOOKUP(A119,CONTROL[VEHIDCODE],PROPERTIES[EXCLUDE])</f>
        <v>0</v>
      </c>
      <c r="C119" t="b">
        <f>_xlfn.XLOOKUP(A119,CONTROL[VEHIDCODE],CONTROL[IS_WAGON_OR_COACH])</f>
        <v>0</v>
      </c>
      <c r="D119">
        <f>FLOOR(_xlfn.XLOOKUP($A119,PROPERTIES[VEHIDCODE],PROPERTIES[INTRODUCTION_YEAR]),20)</f>
        <v>1900</v>
      </c>
      <c r="E119" t="e">
        <f>_xlfn.XLOOKUP($A119,PROPERTIES[VEHIDCODE],#REF!)</f>
        <v>#REF!</v>
      </c>
      <c r="F119" s="25" t="str" cm="1">
        <f t="array" ref="F119">_xlfn.CONCAT(_xlfn.XLOOKUP($A119,PROPERTIES[VEHIDCODE],PROPERTIES[REGION1]),"_",_xlfn.XLOOKUP($A119,PROPERTIES[VEHIDCODE],PROPERTIES[REGION2]),"_",_xlfn.XLOOKUP($A119,PROPERTIES[VEHIDCODE],PROPERTIES[REGION3]&amp;"_"&amp;_xlfn.XLOOKUP($A119,PROPERTIES[VEHIDCODE],PROPERTIES[REGION4])))</f>
        <v>NORTHERN_EUROPE_NO_REGION_NO_REGION_NO_REGION</v>
      </c>
      <c r="G119" t="b">
        <f t="shared" si="9"/>
        <v>0</v>
      </c>
      <c r="H119" t="b">
        <f t="shared" si="16"/>
        <v>0</v>
      </c>
      <c r="I119" t="b">
        <f t="shared" si="10"/>
        <v>0</v>
      </c>
      <c r="J119" t="b">
        <f t="shared" si="17"/>
        <v>0</v>
      </c>
      <c r="K119" t="b">
        <f t="shared" si="11"/>
        <v>0</v>
      </c>
      <c r="L119" t="b">
        <f t="shared" si="12"/>
        <v>1</v>
      </c>
      <c r="M119" t="b">
        <f t="shared" si="13"/>
        <v>0</v>
      </c>
      <c r="N119" t="b">
        <f t="shared" si="14"/>
        <v>0</v>
      </c>
      <c r="O119" t="b">
        <f t="shared" si="15"/>
        <v>0</v>
      </c>
    </row>
    <row r="120" spans="1:15" x14ac:dyDescent="0.35">
      <c r="A120" t="str">
        <v>steam_Sachsische_Maschinenfabrik_XX_HV</v>
      </c>
      <c r="B120" t="b" cm="1">
        <f t="array" ref="B120">_xlfn.XLOOKUP(A120,CONTROL[VEHIDCODE],PROPERTIES[EXCLUDE])</f>
        <v>0</v>
      </c>
      <c r="C120" t="b">
        <f>_xlfn.XLOOKUP(A120,CONTROL[VEHIDCODE],CONTROL[IS_WAGON_OR_COACH])</f>
        <v>0</v>
      </c>
      <c r="D120">
        <f>FLOOR(_xlfn.XLOOKUP($A120,PROPERTIES[VEHIDCODE],PROPERTIES[INTRODUCTION_YEAR]),20)</f>
        <v>1900</v>
      </c>
      <c r="E120" t="e">
        <f>_xlfn.XLOOKUP($A120,PROPERTIES[VEHIDCODE],#REF!)</f>
        <v>#REF!</v>
      </c>
      <c r="F120" s="25" t="str" cm="1">
        <f t="array" ref="F120">_xlfn.CONCAT(_xlfn.XLOOKUP($A120,PROPERTIES[VEHIDCODE],PROPERTIES[REGION1]),"_",_xlfn.XLOOKUP($A120,PROPERTIES[VEHIDCODE],PROPERTIES[REGION2]),"_",_xlfn.XLOOKUP($A120,PROPERTIES[VEHIDCODE],PROPERTIES[REGION3]&amp;"_"&amp;_xlfn.XLOOKUP($A120,PROPERTIES[VEHIDCODE],PROPERTIES[REGION4])))</f>
        <v>WESTERN_EUROPE_NO_REGION_NO_REGION_NO_REGION</v>
      </c>
      <c r="G120" t="b">
        <f t="shared" si="9"/>
        <v>0</v>
      </c>
      <c r="H120" t="b">
        <f t="shared" si="16"/>
        <v>0</v>
      </c>
      <c r="I120" t="b">
        <f t="shared" si="10"/>
        <v>0</v>
      </c>
      <c r="J120" t="b">
        <f t="shared" si="17"/>
        <v>0</v>
      </c>
      <c r="K120" t="b">
        <f t="shared" si="11"/>
        <v>1</v>
      </c>
      <c r="L120" t="b">
        <f t="shared" si="12"/>
        <v>0</v>
      </c>
      <c r="M120" t="b">
        <f t="shared" si="13"/>
        <v>0</v>
      </c>
      <c r="N120" t="b">
        <f t="shared" si="14"/>
        <v>0</v>
      </c>
      <c r="O120" t="b">
        <f t="shared" si="15"/>
        <v>0</v>
      </c>
    </row>
    <row r="121" spans="1:15" x14ac:dyDescent="0.35">
      <c r="A121" t="str">
        <v>steam_Beyer__P___Co_2_4_0_SS_9_16</v>
      </c>
      <c r="B121" t="b" cm="1">
        <f t="array" ref="B121">_xlfn.XLOOKUP(A121,CONTROL[VEHIDCODE],PROPERTIES[EXCLUDE])</f>
        <v>0</v>
      </c>
      <c r="C121" t="b">
        <f>_xlfn.XLOOKUP(A121,CONTROL[VEHIDCODE],CONTROL[IS_WAGON_OR_COACH])</f>
        <v>0</v>
      </c>
      <c r="D121">
        <f>FLOOR(_xlfn.XLOOKUP($A121,PROPERTIES[VEHIDCODE],PROPERTIES[INTRODUCTION_YEAR]),20)</f>
        <v>1920</v>
      </c>
      <c r="E121" t="e">
        <f>_xlfn.XLOOKUP($A121,PROPERTIES[VEHIDCODE],#REF!)</f>
        <v>#REF!</v>
      </c>
      <c r="F121" s="25" t="str" cm="1">
        <f t="array" ref="F121">_xlfn.CONCAT(_xlfn.XLOOKUP($A121,PROPERTIES[VEHIDCODE],PROPERTIES[REGION1]),"_",_xlfn.XLOOKUP($A121,PROPERTIES[VEHIDCODE],PROPERTIES[REGION2]),"_",_xlfn.XLOOKUP($A121,PROPERTIES[VEHIDCODE],PROPERTIES[REGION3]&amp;"_"&amp;_xlfn.XLOOKUP($A121,PROPERTIES[VEHIDCODE],PROPERTIES[REGION4])))</f>
        <v>WESTERN_EUROPE_NO_REGION_NO_REGION_NO_REGION</v>
      </c>
      <c r="G121" t="b">
        <f t="shared" si="9"/>
        <v>0</v>
      </c>
      <c r="H121" t="b">
        <f t="shared" si="16"/>
        <v>0</v>
      </c>
      <c r="I121" t="b">
        <f t="shared" si="10"/>
        <v>0</v>
      </c>
      <c r="J121" t="b">
        <f t="shared" si="17"/>
        <v>0</v>
      </c>
      <c r="K121" t="b">
        <f t="shared" si="11"/>
        <v>1</v>
      </c>
      <c r="L121" t="b">
        <f t="shared" si="12"/>
        <v>0</v>
      </c>
      <c r="M121" t="b">
        <f t="shared" si="13"/>
        <v>0</v>
      </c>
      <c r="N121" t="b">
        <f t="shared" si="14"/>
        <v>0</v>
      </c>
      <c r="O121" t="b">
        <f t="shared" si="15"/>
        <v>0</v>
      </c>
    </row>
    <row r="122" spans="1:15" x14ac:dyDescent="0.35">
      <c r="A122" t="str">
        <v>steam_Beyer__P___Co_2_6_0_6112_6113</v>
      </c>
      <c r="B122" t="b" cm="1">
        <f t="array" ref="B122">_xlfn.XLOOKUP(A122,CONTROL[VEHIDCODE],PROPERTIES[EXCLUDE])</f>
        <v>0</v>
      </c>
      <c r="C122" t="b">
        <f>_xlfn.XLOOKUP(A122,CONTROL[VEHIDCODE],CONTROL[IS_WAGON_OR_COACH])</f>
        <v>0</v>
      </c>
      <c r="D122">
        <f>FLOOR(_xlfn.XLOOKUP($A122,PROPERTIES[VEHIDCODE],PROPERTIES[INTRODUCTION_YEAR]),20)</f>
        <v>1920</v>
      </c>
      <c r="E122" t="e">
        <f>_xlfn.XLOOKUP($A122,PROPERTIES[VEHIDCODE],#REF!)</f>
        <v>#REF!</v>
      </c>
      <c r="F122" s="25" t="str" cm="1">
        <f t="array" ref="F122">_xlfn.CONCAT(_xlfn.XLOOKUP($A122,PROPERTIES[VEHIDCODE],PROPERTIES[REGION1]),"_",_xlfn.XLOOKUP($A122,PROPERTIES[VEHIDCODE],PROPERTIES[REGION2]),"_",_xlfn.XLOOKUP($A122,PROPERTIES[VEHIDCODE],PROPERTIES[REGION3]&amp;"_"&amp;_xlfn.XLOOKUP($A122,PROPERTIES[VEHIDCODE],PROPERTIES[REGION4])))</f>
        <v>NORTHERN_EUROPE_NO_REGION_NO_REGION_NO_REGION</v>
      </c>
      <c r="G122" t="b">
        <f t="shared" si="9"/>
        <v>0</v>
      </c>
      <c r="H122" t="b">
        <f t="shared" si="16"/>
        <v>0</v>
      </c>
      <c r="I122" t="b">
        <f t="shared" si="10"/>
        <v>0</v>
      </c>
      <c r="J122" t="b">
        <f t="shared" si="17"/>
        <v>0</v>
      </c>
      <c r="K122" t="b">
        <f t="shared" si="11"/>
        <v>0</v>
      </c>
      <c r="L122" t="b">
        <f t="shared" si="12"/>
        <v>1</v>
      </c>
      <c r="M122" t="b">
        <f t="shared" si="13"/>
        <v>0</v>
      </c>
      <c r="N122" t="b">
        <f t="shared" si="14"/>
        <v>0</v>
      </c>
      <c r="O122" t="b">
        <f t="shared" si="15"/>
        <v>0</v>
      </c>
    </row>
    <row r="123" spans="1:15" x14ac:dyDescent="0.35">
      <c r="A123" t="str">
        <v>steam_Baldwin_10_32_E_55246</v>
      </c>
      <c r="B123" t="b" cm="1">
        <f t="array" ref="B123">_xlfn.XLOOKUP(A123,CONTROL[VEHIDCODE],PROPERTIES[EXCLUDE])</f>
        <v>0</v>
      </c>
      <c r="C123" t="b">
        <f>_xlfn.XLOOKUP(A123,CONTROL[VEHIDCODE],CONTROL[IS_WAGON_OR_COACH])</f>
        <v>0</v>
      </c>
      <c r="D123">
        <f>FLOOR(_xlfn.XLOOKUP($A123,PROPERTIES[VEHIDCODE],PROPERTIES[INTRODUCTION_YEAR]),20)</f>
        <v>1920</v>
      </c>
      <c r="E123" t="e">
        <f>_xlfn.XLOOKUP($A123,PROPERTIES[VEHIDCODE],#REF!)</f>
        <v>#REF!</v>
      </c>
      <c r="F123" s="25" t="str" cm="1">
        <f t="array" ref="F123">_xlfn.CONCAT(_xlfn.XLOOKUP($A123,PROPERTIES[VEHIDCODE],PROPERTIES[REGION1]),"_",_xlfn.XLOOKUP($A123,PROPERTIES[VEHIDCODE],PROPERTIES[REGION2]),"_",_xlfn.XLOOKUP($A123,PROPERTIES[VEHIDCODE],PROPERTIES[REGION3]&amp;"_"&amp;_xlfn.XLOOKUP($A123,PROPERTIES[VEHIDCODE],PROPERTIES[REGION4])))</f>
        <v>NORTH_AMERICA_NO_REGION_NO_REGION_NO_REGION</v>
      </c>
      <c r="G123" t="b">
        <f t="shared" si="9"/>
        <v>0</v>
      </c>
      <c r="H123" t="b">
        <f t="shared" si="16"/>
        <v>0</v>
      </c>
      <c r="I123" t="b">
        <f t="shared" si="10"/>
        <v>0</v>
      </c>
      <c r="J123" t="b">
        <f t="shared" si="17"/>
        <v>0</v>
      </c>
      <c r="K123" t="b">
        <f t="shared" si="11"/>
        <v>0</v>
      </c>
      <c r="L123" t="b">
        <f t="shared" si="12"/>
        <v>0</v>
      </c>
      <c r="M123" t="b">
        <f t="shared" si="13"/>
        <v>1</v>
      </c>
      <c r="N123" t="b">
        <f t="shared" si="14"/>
        <v>0</v>
      </c>
      <c r="O123" t="b">
        <f t="shared" si="15"/>
        <v>0</v>
      </c>
    </row>
    <row r="124" spans="1:15" x14ac:dyDescent="0.35">
      <c r="A124" t="str">
        <v>steam_Canadian_National_U_1_a_</v>
      </c>
      <c r="B124" t="b" cm="1">
        <f t="array" ref="B124">_xlfn.XLOOKUP(A124,CONTROL[VEHIDCODE],PROPERTIES[EXCLUDE])</f>
        <v>0</v>
      </c>
      <c r="C124" t="b">
        <f>_xlfn.XLOOKUP(A124,CONTROL[VEHIDCODE],CONTROL[IS_WAGON_OR_COACH])</f>
        <v>0</v>
      </c>
      <c r="D124">
        <f>FLOOR(_xlfn.XLOOKUP($A124,PROPERTIES[VEHIDCODE],PROPERTIES[INTRODUCTION_YEAR]),20)</f>
        <v>1920</v>
      </c>
      <c r="E124" t="e">
        <f>_xlfn.XLOOKUP($A124,PROPERTIES[VEHIDCODE],#REF!)</f>
        <v>#REF!</v>
      </c>
      <c r="F124" s="25" t="str" cm="1">
        <f t="array" ref="F124">_xlfn.CONCAT(_xlfn.XLOOKUP($A124,PROPERTIES[VEHIDCODE],PROPERTIES[REGION1]),"_",_xlfn.XLOOKUP($A124,PROPERTIES[VEHIDCODE],PROPERTIES[REGION2]),"_",_xlfn.XLOOKUP($A124,PROPERTIES[VEHIDCODE],PROPERTIES[REGION3]&amp;"_"&amp;_xlfn.XLOOKUP($A124,PROPERTIES[VEHIDCODE],PROPERTIES[REGION4])))</f>
        <v>NORTH_AMERICA_NO_REGION_NO_REGION_NO_REGION</v>
      </c>
      <c r="G124" t="b">
        <f t="shared" si="9"/>
        <v>0</v>
      </c>
      <c r="H124" t="b">
        <f t="shared" si="16"/>
        <v>0</v>
      </c>
      <c r="I124" t="b">
        <f t="shared" si="10"/>
        <v>0</v>
      </c>
      <c r="J124" t="b">
        <f t="shared" si="17"/>
        <v>0</v>
      </c>
      <c r="K124" t="b">
        <f t="shared" si="11"/>
        <v>0</v>
      </c>
      <c r="L124" t="b">
        <f t="shared" si="12"/>
        <v>0</v>
      </c>
      <c r="M124" t="b">
        <f t="shared" si="13"/>
        <v>1</v>
      </c>
      <c r="N124" t="b">
        <f t="shared" si="14"/>
        <v>0</v>
      </c>
      <c r="O124" t="b">
        <f t="shared" si="15"/>
        <v>0</v>
      </c>
    </row>
    <row r="125" spans="1:15" x14ac:dyDescent="0.35">
      <c r="A125" t="str">
        <v>steam_Vulcan_Foundry_2_6_4_Class_XB</v>
      </c>
      <c r="B125" t="b" cm="1">
        <f t="array" ref="B125">_xlfn.XLOOKUP(A125,CONTROL[VEHIDCODE],PROPERTIES[EXCLUDE])</f>
        <v>0</v>
      </c>
      <c r="C125" t="b">
        <f>_xlfn.XLOOKUP(A125,CONTROL[VEHIDCODE],CONTROL[IS_WAGON_OR_COACH])</f>
        <v>0</v>
      </c>
      <c r="D125">
        <f>FLOOR(_xlfn.XLOOKUP($A125,PROPERTIES[VEHIDCODE],PROPERTIES[INTRODUCTION_YEAR]),20)</f>
        <v>1920</v>
      </c>
      <c r="E125" t="e">
        <f>_xlfn.XLOOKUP($A125,PROPERTIES[VEHIDCODE],#REF!)</f>
        <v>#REF!</v>
      </c>
      <c r="F125" s="25" t="str" cm="1">
        <f t="array" ref="F125">_xlfn.CONCAT(_xlfn.XLOOKUP($A125,PROPERTIES[VEHIDCODE],PROPERTIES[REGION1]),"_",_xlfn.XLOOKUP($A125,PROPERTIES[VEHIDCODE],PROPERTIES[REGION2]),"_",_xlfn.XLOOKUP($A125,PROPERTIES[VEHIDCODE],PROPERTIES[REGION3]&amp;"_"&amp;_xlfn.XLOOKUP($A125,PROPERTIES[VEHIDCODE],PROPERTIES[REGION4])))</f>
        <v>ASIA_NO_REGION_NO_REGION_NO_REGION</v>
      </c>
      <c r="G125" t="b">
        <f t="shared" si="9"/>
        <v>0</v>
      </c>
      <c r="H125" t="b">
        <f t="shared" si="16"/>
        <v>1</v>
      </c>
      <c r="I125" t="b">
        <f t="shared" si="10"/>
        <v>0</v>
      </c>
      <c r="J125" t="b">
        <f t="shared" si="17"/>
        <v>0</v>
      </c>
      <c r="K125" t="b">
        <f t="shared" si="11"/>
        <v>0</v>
      </c>
      <c r="L125" t="b">
        <f t="shared" si="12"/>
        <v>0</v>
      </c>
      <c r="M125" t="b">
        <f t="shared" si="13"/>
        <v>0</v>
      </c>
      <c r="N125" t="b">
        <f t="shared" si="14"/>
        <v>0</v>
      </c>
      <c r="O125" t="b">
        <f t="shared" si="15"/>
        <v>0</v>
      </c>
    </row>
    <row r="126" spans="1:15" x14ac:dyDescent="0.35">
      <c r="A126" t="str">
        <v>steam_Robert_Stephenson_4_6_2_6982_6985</v>
      </c>
      <c r="B126" t="b" cm="1">
        <f t="array" ref="B126">_xlfn.XLOOKUP(A126,CONTROL[VEHIDCODE],PROPERTIES[EXCLUDE])</f>
        <v>0</v>
      </c>
      <c r="C126" t="b">
        <f>_xlfn.XLOOKUP(A126,CONTROL[VEHIDCODE],CONTROL[IS_WAGON_OR_COACH])</f>
        <v>0</v>
      </c>
      <c r="D126">
        <f>FLOOR(_xlfn.XLOOKUP($A126,PROPERTIES[VEHIDCODE],PROPERTIES[INTRODUCTION_YEAR]),20)</f>
        <v>1940</v>
      </c>
      <c r="E126" t="e">
        <f>_xlfn.XLOOKUP($A126,PROPERTIES[VEHIDCODE],#REF!)</f>
        <v>#REF!</v>
      </c>
      <c r="F126" s="25" t="str" cm="1">
        <f t="array" ref="F126">_xlfn.CONCAT(_xlfn.XLOOKUP($A126,PROPERTIES[VEHIDCODE],PROPERTIES[REGION1]),"_",_xlfn.XLOOKUP($A126,PROPERTIES[VEHIDCODE],PROPERTIES[REGION2]),"_",_xlfn.XLOOKUP($A126,PROPERTIES[VEHIDCODE],PROPERTIES[REGION3]&amp;"_"&amp;_xlfn.XLOOKUP($A126,PROPERTIES[VEHIDCODE],PROPERTIES[REGION4])))</f>
        <v>ASIA_NO_REGION_NO_REGION_NO_REGION</v>
      </c>
      <c r="G126" t="b">
        <f t="shared" si="9"/>
        <v>0</v>
      </c>
      <c r="H126" t="b">
        <f t="shared" si="16"/>
        <v>1</v>
      </c>
      <c r="I126" t="b">
        <f t="shared" si="10"/>
        <v>0</v>
      </c>
      <c r="J126" t="b">
        <f t="shared" si="17"/>
        <v>0</v>
      </c>
      <c r="K126" t="b">
        <f t="shared" si="11"/>
        <v>0</v>
      </c>
      <c r="L126" t="b">
        <f t="shared" si="12"/>
        <v>0</v>
      </c>
      <c r="M126" t="b">
        <f t="shared" si="13"/>
        <v>0</v>
      </c>
      <c r="N126" t="b">
        <f t="shared" si="14"/>
        <v>0</v>
      </c>
      <c r="O126" t="b">
        <f t="shared" si="15"/>
        <v>0</v>
      </c>
    </row>
    <row r="127" spans="1:15" x14ac:dyDescent="0.35">
      <c r="A127" t="str">
        <v>steam_ENR_1100__LMS_Fowler_3F___WD_0_6_0T_</v>
      </c>
      <c r="B127" t="b" cm="1">
        <f t="array" ref="B127">_xlfn.XLOOKUP(A127,CONTROL[VEHIDCODE],PROPERTIES[EXCLUDE])</f>
        <v>0</v>
      </c>
      <c r="C127" t="b">
        <f>_xlfn.XLOOKUP(A127,CONTROL[VEHIDCODE],CONTROL[IS_WAGON_OR_COACH])</f>
        <v>0</v>
      </c>
      <c r="D127">
        <f>FLOOR(_xlfn.XLOOKUP($A127,PROPERTIES[VEHIDCODE],PROPERTIES[INTRODUCTION_YEAR]),20)</f>
        <v>1920</v>
      </c>
      <c r="E127" t="e">
        <f>_xlfn.XLOOKUP($A127,PROPERTIES[VEHIDCODE],#REF!)</f>
        <v>#REF!</v>
      </c>
      <c r="F127" s="25" t="str" cm="1">
        <f t="array" ref="F127">_xlfn.CONCAT(_xlfn.XLOOKUP($A127,PROPERTIES[VEHIDCODE],PROPERTIES[REGION1]),"_",_xlfn.XLOOKUP($A127,PROPERTIES[VEHIDCODE],PROPERTIES[REGION2]),"_",_xlfn.XLOOKUP($A127,PROPERTIES[VEHIDCODE],PROPERTIES[REGION3]&amp;"_"&amp;_xlfn.XLOOKUP($A127,PROPERTIES[VEHIDCODE],PROPERTIES[REGION4])))</f>
        <v>AFRICA_NORTH_WEST_EUROPE_NO_REGION_NO_REGION</v>
      </c>
      <c r="G127" t="b">
        <f t="shared" si="9"/>
        <v>1</v>
      </c>
      <c r="H127" t="b">
        <f t="shared" si="16"/>
        <v>0</v>
      </c>
      <c r="I127" t="b">
        <f t="shared" si="10"/>
        <v>0</v>
      </c>
      <c r="J127" t="b">
        <f t="shared" si="17"/>
        <v>0</v>
      </c>
      <c r="K127" t="b">
        <f t="shared" si="11"/>
        <v>1</v>
      </c>
      <c r="L127" t="b">
        <f t="shared" si="12"/>
        <v>1</v>
      </c>
      <c r="M127" t="b">
        <f t="shared" si="13"/>
        <v>0</v>
      </c>
      <c r="N127" t="b">
        <f t="shared" si="14"/>
        <v>0</v>
      </c>
      <c r="O127" t="b">
        <f t="shared" si="15"/>
        <v>0</v>
      </c>
    </row>
    <row r="128" spans="1:15" x14ac:dyDescent="0.35">
      <c r="A128" t="str">
        <v>steam_Swindon_Works_381</v>
      </c>
      <c r="B128" t="b" cm="1">
        <f t="array" ref="B128">_xlfn.XLOOKUP(A128,CONTROL[VEHIDCODE],PROPERTIES[EXCLUDE])</f>
        <v>0</v>
      </c>
      <c r="C128" t="b">
        <f>_xlfn.XLOOKUP(A128,CONTROL[VEHIDCODE],CONTROL[IS_WAGON_OR_COACH])</f>
        <v>0</v>
      </c>
      <c r="D128">
        <f>FLOOR(_xlfn.XLOOKUP($A128,PROPERTIES[VEHIDCODE],PROPERTIES[INTRODUCTION_YEAR]),20)</f>
        <v>1940</v>
      </c>
      <c r="E128" t="e">
        <f>_xlfn.XLOOKUP($A128,PROPERTIES[VEHIDCODE],#REF!)</f>
        <v>#REF!</v>
      </c>
      <c r="F128" s="25" t="str" cm="1">
        <f t="array" ref="F128">_xlfn.CONCAT(_xlfn.XLOOKUP($A128,PROPERTIES[VEHIDCODE],PROPERTIES[REGION1]),"_",_xlfn.XLOOKUP($A128,PROPERTIES[VEHIDCODE],PROPERTIES[REGION2]),"_",_xlfn.XLOOKUP($A128,PROPERTIES[VEHIDCODE],PROPERTIES[REGION3]&amp;"_"&amp;_xlfn.XLOOKUP($A128,PROPERTIES[VEHIDCODE],PROPERTIES[REGION4])))</f>
        <v>NORTHERN_EUROPE_NO_REGION_NO_REGION_NO_REGION</v>
      </c>
      <c r="G128" t="b">
        <f t="shared" si="9"/>
        <v>0</v>
      </c>
      <c r="H128" t="b">
        <f t="shared" si="16"/>
        <v>0</v>
      </c>
      <c r="I128" t="b">
        <f t="shared" si="10"/>
        <v>0</v>
      </c>
      <c r="J128" t="b">
        <f t="shared" si="17"/>
        <v>0</v>
      </c>
      <c r="K128" t="b">
        <f t="shared" si="11"/>
        <v>0</v>
      </c>
      <c r="L128" t="b">
        <f t="shared" si="12"/>
        <v>1</v>
      </c>
      <c r="M128" t="b">
        <f t="shared" si="13"/>
        <v>0</v>
      </c>
      <c r="N128" t="b">
        <f t="shared" si="14"/>
        <v>0</v>
      </c>
      <c r="O128" t="b">
        <f t="shared" si="15"/>
        <v>0</v>
      </c>
    </row>
    <row r="129" spans="1:15" x14ac:dyDescent="0.35">
      <c r="A129" t="str">
        <v>steam_North_British_LC_R_4_6_4_Hudson</v>
      </c>
      <c r="B129" t="b" cm="1">
        <f t="array" ref="B129">_xlfn.XLOOKUP(A129,CONTROL[VEHIDCODE],PROPERTIES[EXCLUDE])</f>
        <v>0</v>
      </c>
      <c r="C129" t="b">
        <f>_xlfn.XLOOKUP(A129,CONTROL[VEHIDCODE],CONTROL[IS_WAGON_OR_COACH])</f>
        <v>0</v>
      </c>
      <c r="D129">
        <f>FLOOR(_xlfn.XLOOKUP($A129,PROPERTIES[VEHIDCODE],PROPERTIES[INTRODUCTION_YEAR]),20)</f>
        <v>1940</v>
      </c>
      <c r="E129" t="e">
        <f>_xlfn.XLOOKUP($A129,PROPERTIES[VEHIDCODE],#REF!)</f>
        <v>#REF!</v>
      </c>
      <c r="F129" s="25" t="str" cm="1">
        <f t="array" ref="F129">_xlfn.CONCAT(_xlfn.XLOOKUP($A129,PROPERTIES[VEHIDCODE],PROPERTIES[REGION1]),"_",_xlfn.XLOOKUP($A129,PROPERTIES[VEHIDCODE],PROPERTIES[REGION2]),"_",_xlfn.XLOOKUP($A129,PROPERTIES[VEHIDCODE],PROPERTIES[REGION3]&amp;"_"&amp;_xlfn.XLOOKUP($A129,PROPERTIES[VEHIDCODE],PROPERTIES[REGION4])))</f>
        <v>OCEANIA_NO_REGION_NO_REGION_NO_REGION</v>
      </c>
      <c r="G129" t="b">
        <f t="shared" si="9"/>
        <v>0</v>
      </c>
      <c r="H129" t="b">
        <f t="shared" si="16"/>
        <v>0</v>
      </c>
      <c r="I129" t="b">
        <f t="shared" si="10"/>
        <v>0</v>
      </c>
      <c r="J129" t="b">
        <f t="shared" si="17"/>
        <v>0</v>
      </c>
      <c r="K129" t="b">
        <f t="shared" si="11"/>
        <v>0</v>
      </c>
      <c r="L129" t="b">
        <f t="shared" si="12"/>
        <v>0</v>
      </c>
      <c r="M129" t="b">
        <f t="shared" si="13"/>
        <v>0</v>
      </c>
      <c r="N129" t="b">
        <f t="shared" si="14"/>
        <v>0</v>
      </c>
      <c r="O129" t="b">
        <f t="shared" si="15"/>
        <v>1</v>
      </c>
    </row>
    <row r="130" spans="1:15" x14ac:dyDescent="0.35">
      <c r="A130" t="str">
        <v>steam_VEB_2_10_2T_99_77_79</v>
      </c>
      <c r="B130" t="b" cm="1">
        <f t="array" ref="B130">_xlfn.XLOOKUP(A130,CONTROL[VEHIDCODE],PROPERTIES[EXCLUDE])</f>
        <v>0</v>
      </c>
      <c r="C130" t="b">
        <f>_xlfn.XLOOKUP(A130,CONTROL[VEHIDCODE],CONTROL[IS_WAGON_OR_COACH])</f>
        <v>0</v>
      </c>
      <c r="D130">
        <f>FLOOR(_xlfn.XLOOKUP($A130,PROPERTIES[VEHIDCODE],PROPERTIES[INTRODUCTION_YEAR]),20)</f>
        <v>1940</v>
      </c>
      <c r="E130" t="e">
        <f>_xlfn.XLOOKUP($A130,PROPERTIES[VEHIDCODE],#REF!)</f>
        <v>#REF!</v>
      </c>
      <c r="F130" s="25" t="str" cm="1">
        <f t="array" ref="F130">_xlfn.CONCAT(_xlfn.XLOOKUP($A130,PROPERTIES[VEHIDCODE],PROPERTIES[REGION1]),"_",_xlfn.XLOOKUP($A130,PROPERTIES[VEHIDCODE],PROPERTIES[REGION2]),"_",_xlfn.XLOOKUP($A130,PROPERTIES[VEHIDCODE],PROPERTIES[REGION3]&amp;"_"&amp;_xlfn.XLOOKUP($A130,PROPERTIES[VEHIDCODE],PROPERTIES[REGION4])))</f>
        <v>WESTERN_EUROPE_NO_REGION_NO_REGION_NO_REGION</v>
      </c>
      <c r="G130" t="b">
        <f t="shared" ref="G130:G193" si="18">OR(ISNUMBER(SEARCH("ALL_REGION",$F130)),
ISNUMBER(SEARCH("AFRICA",$F130)),
ISNUMBER(SEARCH("OLD_WORLD",$F130)),
ISNUMBER(SEARCH("NON_EUROPEAN",$F130)))</f>
        <v>0</v>
      </c>
      <c r="H130" t="b">
        <f t="shared" si="16"/>
        <v>0</v>
      </c>
      <c r="I130" t="b">
        <f t="shared" ref="I130:I193" si="19">OR(ISNUMBER(SEARCH("ALL_REGION",$F130)),
ISNUMBER(SEARCH("ALL_EUROPE",$F130)),
ISNUMBER(SEARCH(I$1,$F130)),
ISNUMBER(SEARCH("OLD_WORLD",$F130)))</f>
        <v>0</v>
      </c>
      <c r="J130" t="b">
        <f t="shared" si="17"/>
        <v>0</v>
      </c>
      <c r="K130" t="b">
        <f t="shared" ref="K130:K193" si="20">OR(ISNUMBER(SEARCH("ALL_REGION",$F130)),
ISNUMBER(SEARCH("ALL_EUROPE",$F130)),
ISNUMBER(SEARCH(K$1,$F130)),
ISNUMBER(SEARCH("OLD_WORLD",$F130)),
ISNUMBER(SEARCH("NORTH_WEST_EUROPE",$F130)))</f>
        <v>1</v>
      </c>
      <c r="L130" t="b">
        <f t="shared" ref="L130:L193" si="21">OR(ISNUMBER(SEARCH("ALL_REGION",$F130)),
ISNUMBER(SEARCH("ALL_EUROPE",$F130)),
ISNUMBER(SEARCH(L$1,$F130)),
ISNUMBER(SEARCH("OLD_WORLD",$F130)),
ISNUMBER(SEARCH("NORTH_WEST_EUROPE",$F130)),
ISNUMBER(SEARCH("POST_SOVIET_BALTIC",$F130)))</f>
        <v>0</v>
      </c>
      <c r="M130" t="b">
        <f t="shared" ref="M130:M193" si="22">OR(ISNUMBER(SEARCH("ALL_REGION",$F130)),
ISNUMBER(SEARCH("ALL_AMERICA",$F130)),
ISNUMBER(SEARCH(M$1,$F130)),
ISNUMBER(SEARCH("NON_EUROPEAN",$F130)))</f>
        <v>0</v>
      </c>
      <c r="N130" t="b">
        <f t="shared" ref="N130:N193" si="23">OR(ISNUMBER(SEARCH("ALL_REGION",$F130)),
ISNUMBER(SEARCH("ALL_AMERICA",$F130)),
ISNUMBER(SEARCH(N$1,$F130)),
ISNUMBER(SEARCH("NON_EUROPEAN",$F130)),
ISNUMBER(SEARCH("COMECON_EXTENDED",$F130)))</f>
        <v>0</v>
      </c>
      <c r="O130" t="b">
        <f t="shared" ref="O130:O193" si="24">OR(ISNUMBER(SEARCH("ALL_REGION",$F130)),
ISNUMBER(SEARCH(O$1,$F130)),
ISNUMBER(SEARCH("APAC",$F130)))</f>
        <v>0</v>
      </c>
    </row>
    <row r="131" spans="1:15" x14ac:dyDescent="0.35">
      <c r="A131" t="str">
        <v>steam_RAW_Meiningen_4_6_2_89_</v>
      </c>
      <c r="B131" t="b" cm="1">
        <f t="array" ref="B131">_xlfn.XLOOKUP(A131,CONTROL[VEHIDCODE],PROPERTIES[EXCLUDE])</f>
        <v>0</v>
      </c>
      <c r="C131" t="b">
        <f>_xlfn.XLOOKUP(A131,CONTROL[VEHIDCODE],CONTROL[IS_WAGON_OR_COACH])</f>
        <v>0</v>
      </c>
      <c r="D131">
        <f>FLOOR(_xlfn.XLOOKUP($A131,PROPERTIES[VEHIDCODE],PROPERTIES[INTRODUCTION_YEAR]),20)</f>
        <v>1960</v>
      </c>
      <c r="E131" t="e">
        <f>_xlfn.XLOOKUP($A131,PROPERTIES[VEHIDCODE],#REF!)</f>
        <v>#REF!</v>
      </c>
      <c r="F131" s="25" t="str" cm="1">
        <f t="array" ref="F131">_xlfn.CONCAT(_xlfn.XLOOKUP($A131,PROPERTIES[VEHIDCODE],PROPERTIES[REGION1]),"_",_xlfn.XLOOKUP($A131,PROPERTIES[VEHIDCODE],PROPERTIES[REGION2]),"_",_xlfn.XLOOKUP($A131,PROPERTIES[VEHIDCODE],PROPERTIES[REGION3]&amp;"_"&amp;_xlfn.XLOOKUP($A131,PROPERTIES[VEHIDCODE],PROPERTIES[REGION4])))</f>
        <v>WESTERN_EUROPE_NO_REGION_NO_REGION_NO_REGION</v>
      </c>
      <c r="G131" t="b">
        <f t="shared" si="18"/>
        <v>0</v>
      </c>
      <c r="H131" t="b">
        <f t="shared" ref="H131:H194" si="25">OR(ISNUMBER(SEARCH("ALL_REGION",$F131)),
ISNUMBER(SEARCH("ASIA",$F131)),
ISNUMBER(SEARCH("OLD_WORLD",$F131)),
ISNUMBER(SEARCH("NON_EUROPEAN",$F131)),
ISNUMBER(SEARCH("APAC",$F131)),
ISNUMBER(SEARCH("COMECON",$F131)),
ISNUMBER(SEARCH("COMECON_EXTENDED",$F131)),
ISNUMBER(SEARCH("POST_SOVIET_BALTIC",$F131)))</f>
        <v>0</v>
      </c>
      <c r="I131" t="b">
        <f t="shared" si="19"/>
        <v>0</v>
      </c>
      <c r="J131" t="b">
        <f t="shared" ref="J131:J194" si="26">OR(ISNUMBER(SEARCH("ALL_REGION",$F131)),
ISNUMBER(SEARCH("ALL_EUROPE",$F131)),
ISNUMBER(SEARCH(J$1,$F131)),
ISNUMBER(SEARCH("OLD_WORLD",$F131)),
ISNUMBER(SEARCH("COMECON",$F131)),
ISNUMBER(SEARCH("POST_SOVIET_BALTIC",$F131)))</f>
        <v>0</v>
      </c>
      <c r="K131" t="b">
        <f t="shared" si="20"/>
        <v>1</v>
      </c>
      <c r="L131" t="b">
        <f t="shared" si="21"/>
        <v>0</v>
      </c>
      <c r="M131" t="b">
        <f t="shared" si="22"/>
        <v>0</v>
      </c>
      <c r="N131" t="b">
        <f t="shared" si="23"/>
        <v>0</v>
      </c>
      <c r="O131" t="b">
        <f t="shared" si="24"/>
        <v>0</v>
      </c>
    </row>
    <row r="132" spans="1:15" x14ac:dyDescent="0.35">
      <c r="A132" t="str">
        <v>steam_NZR_4_6_4T_WAB</v>
      </c>
      <c r="B132" t="b" cm="1">
        <f t="array" ref="B132">_xlfn.XLOOKUP(A132,CONTROL[VEHIDCODE],PROPERTIES[EXCLUDE])</f>
        <v>0</v>
      </c>
      <c r="C132" t="b">
        <f>_xlfn.XLOOKUP(A132,CONTROL[VEHIDCODE],CONTROL[IS_WAGON_OR_COACH])</f>
        <v>0</v>
      </c>
      <c r="D132">
        <f>FLOOR(_xlfn.XLOOKUP($A132,PROPERTIES[VEHIDCODE],PROPERTIES[INTRODUCTION_YEAR]),20)</f>
        <v>1920</v>
      </c>
      <c r="E132" t="e">
        <f>_xlfn.XLOOKUP($A132,PROPERTIES[VEHIDCODE],#REF!)</f>
        <v>#REF!</v>
      </c>
      <c r="F132" s="25" t="str" cm="1">
        <f t="array" ref="F132">_xlfn.CONCAT(_xlfn.XLOOKUP($A132,PROPERTIES[VEHIDCODE],PROPERTIES[REGION1]),"_",_xlfn.XLOOKUP($A132,PROPERTIES[VEHIDCODE],PROPERTIES[REGION2]),"_",_xlfn.XLOOKUP($A132,PROPERTIES[VEHIDCODE],PROPERTIES[REGION3]&amp;"_"&amp;_xlfn.XLOOKUP($A132,PROPERTIES[VEHIDCODE],PROPERTIES[REGION4])))</f>
        <v>OCEANIA_NO_REGION_NO_REGION_NO_REGION</v>
      </c>
      <c r="G132" t="b">
        <f t="shared" si="18"/>
        <v>0</v>
      </c>
      <c r="H132" t="b">
        <f t="shared" si="25"/>
        <v>0</v>
      </c>
      <c r="I132" t="b">
        <f t="shared" si="19"/>
        <v>0</v>
      </c>
      <c r="J132" t="b">
        <f t="shared" si="26"/>
        <v>0</v>
      </c>
      <c r="K132" t="b">
        <f t="shared" si="20"/>
        <v>0</v>
      </c>
      <c r="L132" t="b">
        <f t="shared" si="21"/>
        <v>0</v>
      </c>
      <c r="M132" t="b">
        <f t="shared" si="22"/>
        <v>0</v>
      </c>
      <c r="N132" t="b">
        <f t="shared" si="23"/>
        <v>0</v>
      </c>
      <c r="O132" t="b">
        <f t="shared" si="24"/>
        <v>1</v>
      </c>
    </row>
    <row r="133" spans="1:15" x14ac:dyDescent="0.35">
      <c r="A133" t="str">
        <v>steam_Clyde_4_8_2_D57</v>
      </c>
      <c r="B133" t="b" cm="1">
        <f t="array" ref="B133">_xlfn.XLOOKUP(A133,CONTROL[VEHIDCODE],PROPERTIES[EXCLUDE])</f>
        <v>0</v>
      </c>
      <c r="C133" t="b">
        <f>_xlfn.XLOOKUP(A133,CONTROL[VEHIDCODE],CONTROL[IS_WAGON_OR_COACH])</f>
        <v>0</v>
      </c>
      <c r="D133">
        <f>FLOOR(_xlfn.XLOOKUP($A133,PROPERTIES[VEHIDCODE],PROPERTIES[INTRODUCTION_YEAR]),20)</f>
        <v>1920</v>
      </c>
      <c r="E133" t="e">
        <f>_xlfn.XLOOKUP($A133,PROPERTIES[VEHIDCODE],#REF!)</f>
        <v>#REF!</v>
      </c>
      <c r="F133" s="25" t="str" cm="1">
        <f t="array" ref="F133">_xlfn.CONCAT(_xlfn.XLOOKUP($A133,PROPERTIES[VEHIDCODE],PROPERTIES[REGION1]),"_",_xlfn.XLOOKUP($A133,PROPERTIES[VEHIDCODE],PROPERTIES[REGION2]),"_",_xlfn.XLOOKUP($A133,PROPERTIES[VEHIDCODE],PROPERTIES[REGION3]&amp;"_"&amp;_xlfn.XLOOKUP($A133,PROPERTIES[VEHIDCODE],PROPERTIES[REGION4])))</f>
        <v>OCEANIA_NO_REGION_NO_REGION_NO_REGION</v>
      </c>
      <c r="G133" t="b">
        <f t="shared" si="18"/>
        <v>0</v>
      </c>
      <c r="H133" t="b">
        <f t="shared" si="25"/>
        <v>0</v>
      </c>
      <c r="I133" t="b">
        <f t="shared" si="19"/>
        <v>0</v>
      </c>
      <c r="J133" t="b">
        <f t="shared" si="26"/>
        <v>0</v>
      </c>
      <c r="K133" t="b">
        <f t="shared" si="20"/>
        <v>0</v>
      </c>
      <c r="L133" t="b">
        <f t="shared" si="21"/>
        <v>0</v>
      </c>
      <c r="M133" t="b">
        <f t="shared" si="22"/>
        <v>0</v>
      </c>
      <c r="N133" t="b">
        <f t="shared" si="23"/>
        <v>0</v>
      </c>
      <c r="O133" t="b">
        <f t="shared" si="24"/>
        <v>1</v>
      </c>
    </row>
    <row r="134" spans="1:15" x14ac:dyDescent="0.35">
      <c r="A134" t="str">
        <v>steam_Islington_Railway_Workshops_81_92_520</v>
      </c>
      <c r="B134" t="b" cm="1">
        <f t="array" ref="B134">_xlfn.XLOOKUP(A134,CONTROL[VEHIDCODE],PROPERTIES[EXCLUDE])</f>
        <v>0</v>
      </c>
      <c r="C134" t="b">
        <f>_xlfn.XLOOKUP(A134,CONTROL[VEHIDCODE],CONTROL[IS_WAGON_OR_COACH])</f>
        <v>0</v>
      </c>
      <c r="D134">
        <f>FLOOR(_xlfn.XLOOKUP($A134,PROPERTIES[VEHIDCODE],PROPERTIES[INTRODUCTION_YEAR]),20)</f>
        <v>1940</v>
      </c>
      <c r="E134" t="e">
        <f>_xlfn.XLOOKUP($A134,PROPERTIES[VEHIDCODE],#REF!)</f>
        <v>#REF!</v>
      </c>
      <c r="F134" s="25" t="str" cm="1">
        <f t="array" ref="F134">_xlfn.CONCAT(_xlfn.XLOOKUP($A134,PROPERTIES[VEHIDCODE],PROPERTIES[REGION1]),"_",_xlfn.XLOOKUP($A134,PROPERTIES[VEHIDCODE],PROPERTIES[REGION2]),"_",_xlfn.XLOOKUP($A134,PROPERTIES[VEHIDCODE],PROPERTIES[REGION3]&amp;"_"&amp;_xlfn.XLOOKUP($A134,PROPERTIES[VEHIDCODE],PROPERTIES[REGION4])))</f>
        <v>OCEANIA_NO_REGION_NO_REGION_NO_REGION</v>
      </c>
      <c r="G134" t="b">
        <f t="shared" si="18"/>
        <v>0</v>
      </c>
      <c r="H134" t="b">
        <f t="shared" si="25"/>
        <v>0</v>
      </c>
      <c r="I134" t="b">
        <f t="shared" si="19"/>
        <v>0</v>
      </c>
      <c r="J134" t="b">
        <f t="shared" si="26"/>
        <v>0</v>
      </c>
      <c r="K134" t="b">
        <f t="shared" si="20"/>
        <v>0</v>
      </c>
      <c r="L134" t="b">
        <f t="shared" si="21"/>
        <v>0</v>
      </c>
      <c r="M134" t="b">
        <f t="shared" si="22"/>
        <v>0</v>
      </c>
      <c r="N134" t="b">
        <f t="shared" si="23"/>
        <v>0</v>
      </c>
      <c r="O134" t="b">
        <f t="shared" si="24"/>
        <v>1</v>
      </c>
    </row>
    <row r="135" spans="1:15" x14ac:dyDescent="0.35">
      <c r="A135" t="str">
        <v>steam_Beyer__P___Co_4_8_4_4_8_4_7473_7497</v>
      </c>
      <c r="B135" t="b" cm="1">
        <f t="array" ref="B135">_xlfn.XLOOKUP(A135,CONTROL[VEHIDCODE],PROPERTIES[EXCLUDE])</f>
        <v>0</v>
      </c>
      <c r="C135" t="b">
        <f>_xlfn.XLOOKUP(A135,CONTROL[VEHIDCODE],CONTROL[IS_WAGON_OR_COACH])</f>
        <v>0</v>
      </c>
      <c r="D135">
        <f>FLOOR(_xlfn.XLOOKUP($A135,PROPERTIES[VEHIDCODE],PROPERTIES[INTRODUCTION_YEAR]),20)</f>
        <v>1940</v>
      </c>
      <c r="E135" t="e">
        <f>_xlfn.XLOOKUP($A135,PROPERTIES[VEHIDCODE],#REF!)</f>
        <v>#REF!</v>
      </c>
      <c r="F135" s="25" t="str" cm="1">
        <f t="array" ref="F135">_xlfn.CONCAT(_xlfn.XLOOKUP($A135,PROPERTIES[VEHIDCODE],PROPERTIES[REGION1]),"_",_xlfn.XLOOKUP($A135,PROPERTIES[VEHIDCODE],PROPERTIES[REGION2]),"_",_xlfn.XLOOKUP($A135,PROPERTIES[VEHIDCODE],PROPERTIES[REGION3]&amp;"_"&amp;_xlfn.XLOOKUP($A135,PROPERTIES[VEHIDCODE],PROPERTIES[REGION4])))</f>
        <v>OCEANIA_NO_REGION_NO_REGION_NO_REGION</v>
      </c>
      <c r="G135" t="b">
        <f t="shared" si="18"/>
        <v>0</v>
      </c>
      <c r="H135" t="b">
        <f t="shared" si="25"/>
        <v>0</v>
      </c>
      <c r="I135" t="b">
        <f t="shared" si="19"/>
        <v>0</v>
      </c>
      <c r="J135" t="b">
        <f t="shared" si="26"/>
        <v>0</v>
      </c>
      <c r="K135" t="b">
        <f t="shared" si="20"/>
        <v>0</v>
      </c>
      <c r="L135" t="b">
        <f t="shared" si="21"/>
        <v>0</v>
      </c>
      <c r="M135" t="b">
        <f t="shared" si="22"/>
        <v>0</v>
      </c>
      <c r="N135" t="b">
        <f t="shared" si="23"/>
        <v>0</v>
      </c>
      <c r="O135" t="b">
        <f t="shared" si="24"/>
        <v>1</v>
      </c>
    </row>
    <row r="136" spans="1:15" x14ac:dyDescent="0.35">
      <c r="A136" t="str">
        <v>steam_AFE_N1_2_6_0</v>
      </c>
      <c r="B136" t="b" cm="1">
        <f t="array" ref="B136">_xlfn.XLOOKUP(A136,CONTROL[VEHIDCODE],PROPERTIES[EXCLUDE])</f>
        <v>0</v>
      </c>
      <c r="C136" t="b">
        <f>_xlfn.XLOOKUP(A136,CONTROL[VEHIDCODE],CONTROL[IS_WAGON_OR_COACH])</f>
        <v>0</v>
      </c>
      <c r="D136">
        <f>FLOOR(_xlfn.XLOOKUP($A136,PROPERTIES[VEHIDCODE],PROPERTIES[INTRODUCTION_YEAR]),20)</f>
        <v>1900</v>
      </c>
      <c r="E136" t="e">
        <f>_xlfn.XLOOKUP($A136,PROPERTIES[VEHIDCODE],#REF!)</f>
        <v>#REF!</v>
      </c>
      <c r="F136" s="25" t="str" cm="1">
        <f t="array" ref="F136">_xlfn.CONCAT(_xlfn.XLOOKUP($A136,PROPERTIES[VEHIDCODE],PROPERTIES[REGION1]),"_",_xlfn.XLOOKUP($A136,PROPERTIES[VEHIDCODE],PROPERTIES[REGION2]),"_",_xlfn.XLOOKUP($A136,PROPERTIES[VEHIDCODE],PROPERTIES[REGION3]&amp;"_"&amp;_xlfn.XLOOKUP($A136,PROPERTIES[VEHIDCODE],PROPERTIES[REGION4])))</f>
        <v>SOUTH_AMERICA_NO_REGION_NO_REGION_NO_REGION</v>
      </c>
      <c r="G136" t="b">
        <f t="shared" si="18"/>
        <v>0</v>
      </c>
      <c r="H136" t="b">
        <f t="shared" si="25"/>
        <v>0</v>
      </c>
      <c r="I136" t="b">
        <f t="shared" si="19"/>
        <v>0</v>
      </c>
      <c r="J136" t="b">
        <f t="shared" si="26"/>
        <v>0</v>
      </c>
      <c r="K136" t="b">
        <f t="shared" si="20"/>
        <v>0</v>
      </c>
      <c r="L136" t="b">
        <f t="shared" si="21"/>
        <v>0</v>
      </c>
      <c r="M136" t="b">
        <f t="shared" si="22"/>
        <v>0</v>
      </c>
      <c r="N136" t="b">
        <f t="shared" si="23"/>
        <v>1</v>
      </c>
      <c r="O136" t="b">
        <f t="shared" si="24"/>
        <v>0</v>
      </c>
    </row>
    <row r="137" spans="1:15" x14ac:dyDescent="0.35">
      <c r="A137" t="str">
        <v>steam_Sir_Armstrong_Whithworth___Co__PS11</v>
      </c>
      <c r="B137" t="b" cm="1">
        <f t="array" ref="B137">_xlfn.XLOOKUP(A137,CONTROL[VEHIDCODE],PROPERTIES[EXCLUDE])</f>
        <v>0</v>
      </c>
      <c r="C137" t="b">
        <f>_xlfn.XLOOKUP(A137,CONTROL[VEHIDCODE],CONTROL[IS_WAGON_OR_COACH])</f>
        <v>0</v>
      </c>
      <c r="D137">
        <f>FLOOR(_xlfn.XLOOKUP($A137,PROPERTIES[VEHIDCODE],PROPERTIES[INTRODUCTION_YEAR]),20)</f>
        <v>1920</v>
      </c>
      <c r="E137" t="e">
        <f>_xlfn.XLOOKUP($A137,PROPERTIES[VEHIDCODE],#REF!)</f>
        <v>#REF!</v>
      </c>
      <c r="F137" s="25" t="str" cm="1">
        <f t="array" ref="F137">_xlfn.CONCAT(_xlfn.XLOOKUP($A137,PROPERTIES[VEHIDCODE],PROPERTIES[REGION1]),"_",_xlfn.XLOOKUP($A137,PROPERTIES[VEHIDCODE],PROPERTIES[REGION2]),"_",_xlfn.XLOOKUP($A137,PROPERTIES[VEHIDCODE],PROPERTIES[REGION3]&amp;"_"&amp;_xlfn.XLOOKUP($A137,PROPERTIES[VEHIDCODE],PROPERTIES[REGION4])))</f>
        <v>SOUTH_AMERICA_NO_REGION_NO_REGION_NO_REGION</v>
      </c>
      <c r="G137" t="b">
        <f t="shared" si="18"/>
        <v>0</v>
      </c>
      <c r="H137" t="b">
        <f t="shared" si="25"/>
        <v>0</v>
      </c>
      <c r="I137" t="b">
        <f t="shared" si="19"/>
        <v>0</v>
      </c>
      <c r="J137" t="b">
        <f t="shared" si="26"/>
        <v>0</v>
      </c>
      <c r="K137" t="b">
        <f t="shared" si="20"/>
        <v>0</v>
      </c>
      <c r="L137" t="b">
        <f t="shared" si="21"/>
        <v>0</v>
      </c>
      <c r="M137" t="b">
        <f t="shared" si="22"/>
        <v>0</v>
      </c>
      <c r="N137" t="b">
        <f t="shared" si="23"/>
        <v>1</v>
      </c>
      <c r="O137" t="b">
        <f t="shared" si="24"/>
        <v>0</v>
      </c>
    </row>
    <row r="138" spans="1:15" x14ac:dyDescent="0.35">
      <c r="A138" t="str">
        <v>steam_Alexander_Chaplin___Co__1584_0_4_0VB</v>
      </c>
      <c r="B138" t="b" cm="1">
        <f t="array" ref="B138">_xlfn.XLOOKUP(A138,CONTROL[VEHIDCODE],PROPERTIES[EXCLUDE])</f>
        <v>0</v>
      </c>
      <c r="C138" t="b">
        <f>_xlfn.XLOOKUP(A138,CONTROL[VEHIDCODE],CONTROL[IS_WAGON_OR_COACH])</f>
        <v>0</v>
      </c>
      <c r="D138">
        <f>FLOOR(_xlfn.XLOOKUP($A138,PROPERTIES[VEHIDCODE],PROPERTIES[INTRODUCTION_YEAR]),20)</f>
        <v>1860</v>
      </c>
      <c r="E138" t="e">
        <f>_xlfn.XLOOKUP($A138,PROPERTIES[VEHIDCODE],#REF!)</f>
        <v>#REF!</v>
      </c>
      <c r="F138" s="25" t="str" cm="1">
        <f t="array" ref="F138">_xlfn.CONCAT(_xlfn.XLOOKUP($A138,PROPERTIES[VEHIDCODE],PROPERTIES[REGION1]),"_",_xlfn.XLOOKUP($A138,PROPERTIES[VEHIDCODE],PROPERTIES[REGION2]),"_",_xlfn.XLOOKUP($A138,PROPERTIES[VEHIDCODE],PROPERTIES[REGION3]&amp;"_"&amp;_xlfn.XLOOKUP($A138,PROPERTIES[VEHIDCODE],PROPERTIES[REGION4])))</f>
        <v>AFRICA_NO_REGION_NO_REGION_NO_REGION</v>
      </c>
      <c r="G138" t="b">
        <f t="shared" si="18"/>
        <v>1</v>
      </c>
      <c r="H138" t="b">
        <f t="shared" si="25"/>
        <v>0</v>
      </c>
      <c r="I138" t="b">
        <f t="shared" si="19"/>
        <v>0</v>
      </c>
      <c r="J138" t="b">
        <f t="shared" si="26"/>
        <v>0</v>
      </c>
      <c r="K138" t="b">
        <f t="shared" si="20"/>
        <v>0</v>
      </c>
      <c r="L138" t="b">
        <f t="shared" si="21"/>
        <v>0</v>
      </c>
      <c r="M138" t="b">
        <f t="shared" si="22"/>
        <v>0</v>
      </c>
      <c r="N138" t="b">
        <f t="shared" si="23"/>
        <v>0</v>
      </c>
      <c r="O138" t="b">
        <f t="shared" si="24"/>
        <v>0</v>
      </c>
    </row>
    <row r="139" spans="1:15" x14ac:dyDescent="0.35">
      <c r="A139" t="str">
        <v>steam_Falcon_Engine_and_Car_Works_F2</v>
      </c>
      <c r="B139" t="b" cm="1">
        <f t="array" ref="B139">_xlfn.XLOOKUP(A139,CONTROL[VEHIDCODE],PROPERTIES[EXCLUDE])</f>
        <v>0</v>
      </c>
      <c r="C139" t="b">
        <f>_xlfn.XLOOKUP(A139,CONTROL[VEHIDCODE],CONTROL[IS_WAGON_OR_COACH])</f>
        <v>0</v>
      </c>
      <c r="D139">
        <f>FLOOR(_xlfn.XLOOKUP($A139,PROPERTIES[VEHIDCODE],PROPERTIES[INTRODUCTION_YEAR]),20)</f>
        <v>1880</v>
      </c>
      <c r="E139" t="e">
        <f>_xlfn.XLOOKUP($A139,PROPERTIES[VEHIDCODE],#REF!)</f>
        <v>#REF!</v>
      </c>
      <c r="F139" s="25" t="str" cm="1">
        <f t="array" ref="F139">_xlfn.CONCAT(_xlfn.XLOOKUP($A139,PROPERTIES[VEHIDCODE],PROPERTIES[REGION1]),"_",_xlfn.XLOOKUP($A139,PROPERTIES[VEHIDCODE],PROPERTIES[REGION2]),"_",_xlfn.XLOOKUP($A139,PROPERTIES[VEHIDCODE],PROPERTIES[REGION3]&amp;"_"&amp;_xlfn.XLOOKUP($A139,PROPERTIES[VEHIDCODE],PROPERTIES[REGION4])))</f>
        <v>AFRICA_NO_REGION_NO_REGION_NO_REGION</v>
      </c>
      <c r="G139" t="b">
        <f t="shared" si="18"/>
        <v>1</v>
      </c>
      <c r="H139" t="b">
        <f t="shared" si="25"/>
        <v>0</v>
      </c>
      <c r="I139" t="b">
        <f t="shared" si="19"/>
        <v>0</v>
      </c>
      <c r="J139" t="b">
        <f t="shared" si="26"/>
        <v>0</v>
      </c>
      <c r="K139" t="b">
        <f t="shared" si="20"/>
        <v>0</v>
      </c>
      <c r="L139" t="b">
        <f t="shared" si="21"/>
        <v>0</v>
      </c>
      <c r="M139" t="b">
        <f t="shared" si="22"/>
        <v>0</v>
      </c>
      <c r="N139" t="b">
        <f t="shared" si="23"/>
        <v>0</v>
      </c>
      <c r="O139" t="b">
        <f t="shared" si="24"/>
        <v>0</v>
      </c>
    </row>
    <row r="140" spans="1:15" x14ac:dyDescent="0.35">
      <c r="A140" t="str">
        <v>steam_Ansaldo_R_440_Mallet</v>
      </c>
      <c r="B140" t="b" cm="1">
        <f t="array" ref="B140">_xlfn.XLOOKUP(A140,CONTROL[VEHIDCODE],PROPERTIES[EXCLUDE])</f>
        <v>0</v>
      </c>
      <c r="C140" t="b">
        <f>_xlfn.XLOOKUP(A140,CONTROL[VEHIDCODE],CONTROL[IS_WAGON_OR_COACH])</f>
        <v>0</v>
      </c>
      <c r="D140">
        <f>FLOOR(_xlfn.XLOOKUP($A140,PROPERTIES[VEHIDCODE],PROPERTIES[INTRODUCTION_YEAR]),20)</f>
        <v>1900</v>
      </c>
      <c r="E140" t="e">
        <f>_xlfn.XLOOKUP($A140,PROPERTIES[VEHIDCODE],#REF!)</f>
        <v>#REF!</v>
      </c>
      <c r="F140" s="25" t="str" cm="1">
        <f t="array" ref="F140">_xlfn.CONCAT(_xlfn.XLOOKUP($A140,PROPERTIES[VEHIDCODE],PROPERTIES[REGION1]),"_",_xlfn.XLOOKUP($A140,PROPERTIES[VEHIDCODE],PROPERTIES[REGION2]),"_",_xlfn.XLOOKUP($A140,PROPERTIES[VEHIDCODE],PROPERTIES[REGION3]&amp;"_"&amp;_xlfn.XLOOKUP($A140,PROPERTIES[VEHIDCODE],PROPERTIES[REGION4])))</f>
        <v>AFRICA_NO_REGION_NO_REGION_NO_REGION</v>
      </c>
      <c r="G140" t="b">
        <f t="shared" si="18"/>
        <v>1</v>
      </c>
      <c r="H140" t="b">
        <f t="shared" si="25"/>
        <v>0</v>
      </c>
      <c r="I140" t="b">
        <f t="shared" si="19"/>
        <v>0</v>
      </c>
      <c r="J140" t="b">
        <f t="shared" si="26"/>
        <v>0</v>
      </c>
      <c r="K140" t="b">
        <f t="shared" si="20"/>
        <v>0</v>
      </c>
      <c r="L140" t="b">
        <f t="shared" si="21"/>
        <v>0</v>
      </c>
      <c r="M140" t="b">
        <f t="shared" si="22"/>
        <v>0</v>
      </c>
      <c r="N140" t="b">
        <f t="shared" si="23"/>
        <v>0</v>
      </c>
      <c r="O140" t="b">
        <f t="shared" si="24"/>
        <v>0</v>
      </c>
    </row>
    <row r="141" spans="1:15" x14ac:dyDescent="0.35">
      <c r="A141" t="str">
        <v>steam_Beyer__P___Co__4_8_0_6128_6133</v>
      </c>
      <c r="B141" t="b" cm="1">
        <f t="array" ref="B141">_xlfn.XLOOKUP(A141,CONTROL[VEHIDCODE],PROPERTIES[EXCLUDE])</f>
        <v>0</v>
      </c>
      <c r="C141" t="b">
        <f>_xlfn.XLOOKUP(A141,CONTROL[VEHIDCODE],CONTROL[IS_WAGON_OR_COACH])</f>
        <v>0</v>
      </c>
      <c r="D141">
        <f>FLOOR(_xlfn.XLOOKUP($A141,PROPERTIES[VEHIDCODE],PROPERTIES[INTRODUCTION_YEAR]),20)</f>
        <v>1920</v>
      </c>
      <c r="E141" t="e">
        <f>_xlfn.XLOOKUP($A141,PROPERTIES[VEHIDCODE],#REF!)</f>
        <v>#REF!</v>
      </c>
      <c r="F141" s="25" t="str" cm="1">
        <f t="array" ref="F141">_xlfn.CONCAT(_xlfn.XLOOKUP($A141,PROPERTIES[VEHIDCODE],PROPERTIES[REGION1]),"_",_xlfn.XLOOKUP($A141,PROPERTIES[VEHIDCODE],PROPERTIES[REGION2]),"_",_xlfn.XLOOKUP($A141,PROPERTIES[VEHIDCODE],PROPERTIES[REGION3]&amp;"_"&amp;_xlfn.XLOOKUP($A141,PROPERTIES[VEHIDCODE],PROPERTIES[REGION4])))</f>
        <v>AFRICA_NO_REGION_NO_REGION_NO_REGION</v>
      </c>
      <c r="G141" t="b">
        <f t="shared" si="18"/>
        <v>1</v>
      </c>
      <c r="H141" t="b">
        <f t="shared" si="25"/>
        <v>0</v>
      </c>
      <c r="I141" t="b">
        <f t="shared" si="19"/>
        <v>0</v>
      </c>
      <c r="J141" t="b">
        <f t="shared" si="26"/>
        <v>0</v>
      </c>
      <c r="K141" t="b">
        <f t="shared" si="20"/>
        <v>0</v>
      </c>
      <c r="L141" t="b">
        <f t="shared" si="21"/>
        <v>0</v>
      </c>
      <c r="M141" t="b">
        <f t="shared" si="22"/>
        <v>0</v>
      </c>
      <c r="N141" t="b">
        <f t="shared" si="23"/>
        <v>0</v>
      </c>
      <c r="O141" t="b">
        <f t="shared" si="24"/>
        <v>0</v>
      </c>
    </row>
    <row r="142" spans="1:15" x14ac:dyDescent="0.35">
      <c r="A142" t="str">
        <v>steam_Vulcan_Foundry_4_8_2_4318_4320</v>
      </c>
      <c r="B142" t="b" cm="1">
        <f t="array" ref="B142">_xlfn.XLOOKUP(A142,CONTROL[VEHIDCODE],PROPERTIES[EXCLUDE])</f>
        <v>0</v>
      </c>
      <c r="C142" t="b">
        <f>_xlfn.XLOOKUP(A142,CONTROL[VEHIDCODE],CONTROL[IS_WAGON_OR_COACH])</f>
        <v>0</v>
      </c>
      <c r="D142">
        <f>FLOOR(_xlfn.XLOOKUP($A142,PROPERTIES[VEHIDCODE],PROPERTIES[INTRODUCTION_YEAR]),20)</f>
        <v>1920</v>
      </c>
      <c r="E142" t="e">
        <f>_xlfn.XLOOKUP($A142,PROPERTIES[VEHIDCODE],#REF!)</f>
        <v>#REF!</v>
      </c>
      <c r="F142" s="25" t="str" cm="1">
        <f t="array" ref="F142">_xlfn.CONCAT(_xlfn.XLOOKUP($A142,PROPERTIES[VEHIDCODE],PROPERTIES[REGION1]),"_",_xlfn.XLOOKUP($A142,PROPERTIES[VEHIDCODE],PROPERTIES[REGION2]),"_",_xlfn.XLOOKUP($A142,PROPERTIES[VEHIDCODE],PROPERTIES[REGION3]&amp;"_"&amp;_xlfn.XLOOKUP($A142,PROPERTIES[VEHIDCODE],PROPERTIES[REGION4])))</f>
        <v>AFRICA_NO_REGION_NO_REGION_NO_REGION</v>
      </c>
      <c r="G142" t="b">
        <f t="shared" si="18"/>
        <v>1</v>
      </c>
      <c r="H142" t="b">
        <f t="shared" si="25"/>
        <v>0</v>
      </c>
      <c r="I142" t="b">
        <f t="shared" si="19"/>
        <v>0</v>
      </c>
      <c r="J142" t="b">
        <f t="shared" si="26"/>
        <v>0</v>
      </c>
      <c r="K142" t="b">
        <f t="shared" si="20"/>
        <v>0</v>
      </c>
      <c r="L142" t="b">
        <f t="shared" si="21"/>
        <v>0</v>
      </c>
      <c r="M142" t="b">
        <f t="shared" si="22"/>
        <v>0</v>
      </c>
      <c r="N142" t="b">
        <f t="shared" si="23"/>
        <v>0</v>
      </c>
      <c r="O142" t="b">
        <f t="shared" si="24"/>
        <v>0</v>
      </c>
    </row>
    <row r="143" spans="1:15" x14ac:dyDescent="0.35">
      <c r="A143" t="str">
        <v>steam_Beyer__P___Co__4_6_4_4_6_4_15th</v>
      </c>
      <c r="B143" t="b" cm="1">
        <f t="array" ref="B143">_xlfn.XLOOKUP(A143,CONTROL[VEHIDCODE],PROPERTIES[EXCLUDE])</f>
        <v>0</v>
      </c>
      <c r="C143" t="b">
        <f>_xlfn.XLOOKUP(A143,CONTROL[VEHIDCODE],CONTROL[IS_WAGON_OR_COACH])</f>
        <v>0</v>
      </c>
      <c r="D143">
        <f>FLOOR(_xlfn.XLOOKUP($A143,PROPERTIES[VEHIDCODE],PROPERTIES[INTRODUCTION_YEAR]),20)</f>
        <v>1940</v>
      </c>
      <c r="E143" t="e">
        <f>_xlfn.XLOOKUP($A143,PROPERTIES[VEHIDCODE],#REF!)</f>
        <v>#REF!</v>
      </c>
      <c r="F143" s="25" t="str" cm="1">
        <f t="array" ref="F143">_xlfn.CONCAT(_xlfn.XLOOKUP($A143,PROPERTIES[VEHIDCODE],PROPERTIES[REGION1]),"_",_xlfn.XLOOKUP($A143,PROPERTIES[VEHIDCODE],PROPERTIES[REGION2]),"_",_xlfn.XLOOKUP($A143,PROPERTIES[VEHIDCODE],PROPERTIES[REGION3]&amp;"_"&amp;_xlfn.XLOOKUP($A143,PROPERTIES[VEHIDCODE],PROPERTIES[REGION4])))</f>
        <v>AFRICA_NO_REGION_NO_REGION_NO_REGION</v>
      </c>
      <c r="G143" t="b">
        <f t="shared" si="18"/>
        <v>1</v>
      </c>
      <c r="H143" t="b">
        <f t="shared" si="25"/>
        <v>0</v>
      </c>
      <c r="I143" t="b">
        <f t="shared" si="19"/>
        <v>0</v>
      </c>
      <c r="J143" t="b">
        <f t="shared" si="26"/>
        <v>0</v>
      </c>
      <c r="K143" t="b">
        <f t="shared" si="20"/>
        <v>0</v>
      </c>
      <c r="L143" t="b">
        <f t="shared" si="21"/>
        <v>0</v>
      </c>
      <c r="M143" t="b">
        <f t="shared" si="22"/>
        <v>0</v>
      </c>
      <c r="N143" t="b">
        <f t="shared" si="23"/>
        <v>0</v>
      </c>
      <c r="O143" t="b">
        <f t="shared" si="24"/>
        <v>0</v>
      </c>
    </row>
    <row r="144" spans="1:15" x14ac:dyDescent="0.35">
      <c r="A144" t="str">
        <v>steam_Beyer__P___Co__4_8_2_2_8_4_7550_7552</v>
      </c>
      <c r="B144" t="b" cm="1">
        <f t="array" ref="B144">_xlfn.XLOOKUP(A144,CONTROL[VEHIDCODE],PROPERTIES[EXCLUDE])</f>
        <v>0</v>
      </c>
      <c r="C144" t="b">
        <f>_xlfn.XLOOKUP(A144,CONTROL[VEHIDCODE],CONTROL[IS_WAGON_OR_COACH])</f>
        <v>0</v>
      </c>
      <c r="D144">
        <f>FLOOR(_xlfn.XLOOKUP($A144,PROPERTIES[VEHIDCODE],PROPERTIES[INTRODUCTION_YEAR]),20)</f>
        <v>1940</v>
      </c>
      <c r="E144" t="e">
        <f>_xlfn.XLOOKUP($A144,PROPERTIES[VEHIDCODE],#REF!)</f>
        <v>#REF!</v>
      </c>
      <c r="F144" s="25" t="str" cm="1">
        <f t="array" ref="F144">_xlfn.CONCAT(_xlfn.XLOOKUP($A144,PROPERTIES[VEHIDCODE],PROPERTIES[REGION1]),"_",_xlfn.XLOOKUP($A144,PROPERTIES[VEHIDCODE],PROPERTIES[REGION2]),"_",_xlfn.XLOOKUP($A144,PROPERTIES[VEHIDCODE],PROPERTIES[REGION3]&amp;"_"&amp;_xlfn.XLOOKUP($A144,PROPERTIES[VEHIDCODE],PROPERTIES[REGION4])))</f>
        <v>AFRICA_NO_REGION_NO_REGION_NO_REGION</v>
      </c>
      <c r="G144" t="b">
        <f t="shared" si="18"/>
        <v>1</v>
      </c>
      <c r="H144" t="b">
        <f t="shared" si="25"/>
        <v>0</v>
      </c>
      <c r="I144" t="b">
        <f t="shared" si="19"/>
        <v>0</v>
      </c>
      <c r="J144" t="b">
        <f t="shared" si="26"/>
        <v>0</v>
      </c>
      <c r="K144" t="b">
        <f t="shared" si="20"/>
        <v>0</v>
      </c>
      <c r="L144" t="b">
        <f t="shared" si="21"/>
        <v>0</v>
      </c>
      <c r="M144" t="b">
        <f t="shared" si="22"/>
        <v>0</v>
      </c>
      <c r="N144" t="b">
        <f t="shared" si="23"/>
        <v>0</v>
      </c>
      <c r="O144" t="b">
        <f t="shared" si="24"/>
        <v>0</v>
      </c>
    </row>
    <row r="145" spans="1:15" x14ac:dyDescent="0.35">
      <c r="A145" t="str">
        <v>steam_Vulcan_Foundry_2_8_4_6228</v>
      </c>
      <c r="B145" t="b" cm="1">
        <f t="array" ref="B145">_xlfn.XLOOKUP(A145,CONTROL[VEHIDCODE],PROPERTIES[EXCLUDE])</f>
        <v>0</v>
      </c>
      <c r="C145" t="b">
        <f>_xlfn.XLOOKUP(A145,CONTROL[VEHIDCODE],CONTROL[IS_WAGON_OR_COACH])</f>
        <v>0</v>
      </c>
      <c r="D145">
        <f>FLOOR(_xlfn.XLOOKUP($A145,PROPERTIES[VEHIDCODE],PROPERTIES[INTRODUCTION_YEAR]),20)</f>
        <v>1940</v>
      </c>
      <c r="E145" t="e">
        <f>_xlfn.XLOOKUP($A145,PROPERTIES[VEHIDCODE],#REF!)</f>
        <v>#REF!</v>
      </c>
      <c r="F145" s="25" t="str" cm="1">
        <f t="array" ref="F145">_xlfn.CONCAT(_xlfn.XLOOKUP($A145,PROPERTIES[VEHIDCODE],PROPERTIES[REGION1]),"_",_xlfn.XLOOKUP($A145,PROPERTIES[VEHIDCODE],PROPERTIES[REGION2]),"_",_xlfn.XLOOKUP($A145,PROPERTIES[VEHIDCODE],PROPERTIES[REGION3]&amp;"_"&amp;_xlfn.XLOOKUP($A145,PROPERTIES[VEHIDCODE],PROPERTIES[REGION4])))</f>
        <v>AFRICA_NO_REGION_NO_REGION_NO_REGION</v>
      </c>
      <c r="G145" t="b">
        <f t="shared" si="18"/>
        <v>1</v>
      </c>
      <c r="H145" t="b">
        <f t="shared" si="25"/>
        <v>0</v>
      </c>
      <c r="I145" t="b">
        <f t="shared" si="19"/>
        <v>0</v>
      </c>
      <c r="J145" t="b">
        <f t="shared" si="26"/>
        <v>0</v>
      </c>
      <c r="K145" t="b">
        <f t="shared" si="20"/>
        <v>0</v>
      </c>
      <c r="L145" t="b">
        <f t="shared" si="21"/>
        <v>0</v>
      </c>
      <c r="M145" t="b">
        <f t="shared" si="22"/>
        <v>0</v>
      </c>
      <c r="N145" t="b">
        <f t="shared" si="23"/>
        <v>0</v>
      </c>
      <c r="O145" t="b">
        <f t="shared" si="24"/>
        <v>0</v>
      </c>
    </row>
    <row r="146" spans="1:15" x14ac:dyDescent="0.35">
      <c r="A146" t="str">
        <v>steam_Kitson_2_2_2WT_481_Fairy_Queen</v>
      </c>
      <c r="B146" t="b" cm="1">
        <f t="array" ref="B146">_xlfn.XLOOKUP(A146,CONTROL[VEHIDCODE],PROPERTIES[EXCLUDE])</f>
        <v>0</v>
      </c>
      <c r="C146" t="b">
        <f>_xlfn.XLOOKUP(A146,CONTROL[VEHIDCODE],CONTROL[IS_WAGON_OR_COACH])</f>
        <v>0</v>
      </c>
      <c r="D146">
        <f>FLOOR(_xlfn.XLOOKUP($A146,PROPERTIES[VEHIDCODE],PROPERTIES[INTRODUCTION_YEAR]),20)</f>
        <v>1840</v>
      </c>
      <c r="E146" t="e">
        <f>_xlfn.XLOOKUP($A146,PROPERTIES[VEHIDCODE],#REF!)</f>
        <v>#REF!</v>
      </c>
      <c r="F146" s="25" t="str" cm="1">
        <f t="array" ref="F146">_xlfn.CONCAT(_xlfn.XLOOKUP($A146,PROPERTIES[VEHIDCODE],PROPERTIES[REGION1]),"_",_xlfn.XLOOKUP($A146,PROPERTIES[VEHIDCODE],PROPERTIES[REGION2]),"_",_xlfn.XLOOKUP($A146,PROPERTIES[VEHIDCODE],PROPERTIES[REGION3]&amp;"_"&amp;_xlfn.XLOOKUP($A146,PROPERTIES[VEHIDCODE],PROPERTIES[REGION4])))</f>
        <v>ASIA_NO_REGION_NO_REGION_NO_REGION</v>
      </c>
      <c r="G146" t="b">
        <f t="shared" si="18"/>
        <v>0</v>
      </c>
      <c r="H146" t="b">
        <f t="shared" si="25"/>
        <v>1</v>
      </c>
      <c r="I146" t="b">
        <f t="shared" si="19"/>
        <v>0</v>
      </c>
      <c r="J146" t="b">
        <f t="shared" si="26"/>
        <v>0</v>
      </c>
      <c r="K146" t="b">
        <f t="shared" si="20"/>
        <v>0</v>
      </c>
      <c r="L146" t="b">
        <f t="shared" si="21"/>
        <v>0</v>
      </c>
      <c r="M146" t="b">
        <f t="shared" si="22"/>
        <v>0</v>
      </c>
      <c r="N146" t="b">
        <f t="shared" si="23"/>
        <v>0</v>
      </c>
      <c r="O146" t="b">
        <f t="shared" si="24"/>
        <v>0</v>
      </c>
    </row>
    <row r="147" spans="1:15" x14ac:dyDescent="0.35">
      <c r="A147" t="str">
        <v>steam_Sharp__Stewart___Co_0_4_0ST_DHR_B</v>
      </c>
      <c r="B147" t="b" cm="1">
        <f t="array" ref="B147">_xlfn.XLOOKUP(A147,CONTROL[VEHIDCODE],PROPERTIES[EXCLUDE])</f>
        <v>0</v>
      </c>
      <c r="C147" t="b">
        <f>_xlfn.XLOOKUP(A147,CONTROL[VEHIDCODE],CONTROL[IS_WAGON_OR_COACH])</f>
        <v>0</v>
      </c>
      <c r="D147">
        <f>FLOOR(_xlfn.XLOOKUP($A147,PROPERTIES[VEHIDCODE],PROPERTIES[INTRODUCTION_YEAR]),20)</f>
        <v>1880</v>
      </c>
      <c r="E147" t="e">
        <f>_xlfn.XLOOKUP($A147,PROPERTIES[VEHIDCODE],#REF!)</f>
        <v>#REF!</v>
      </c>
      <c r="F147" s="25" t="str" cm="1">
        <f t="array" ref="F147">_xlfn.CONCAT(_xlfn.XLOOKUP($A147,PROPERTIES[VEHIDCODE],PROPERTIES[REGION1]),"_",_xlfn.XLOOKUP($A147,PROPERTIES[VEHIDCODE],PROPERTIES[REGION2]),"_",_xlfn.XLOOKUP($A147,PROPERTIES[VEHIDCODE],PROPERTIES[REGION3]&amp;"_"&amp;_xlfn.XLOOKUP($A147,PROPERTIES[VEHIDCODE],PROPERTIES[REGION4])))</f>
        <v>ASIA_NO_REGION_NO_REGION_NO_REGION</v>
      </c>
      <c r="G147" t="b">
        <f t="shared" si="18"/>
        <v>0</v>
      </c>
      <c r="H147" t="b">
        <f t="shared" si="25"/>
        <v>1</v>
      </c>
      <c r="I147" t="b">
        <f t="shared" si="19"/>
        <v>0</v>
      </c>
      <c r="J147" t="b">
        <f t="shared" si="26"/>
        <v>0</v>
      </c>
      <c r="K147" t="b">
        <f t="shared" si="20"/>
        <v>0</v>
      </c>
      <c r="L147" t="b">
        <f t="shared" si="21"/>
        <v>0</v>
      </c>
      <c r="M147" t="b">
        <f t="shared" si="22"/>
        <v>0</v>
      </c>
      <c r="N147" t="b">
        <f t="shared" si="23"/>
        <v>0</v>
      </c>
      <c r="O147" t="b">
        <f t="shared" si="24"/>
        <v>0</v>
      </c>
    </row>
    <row r="148" spans="1:15" x14ac:dyDescent="0.35">
      <c r="A148" t="str">
        <v>steam_Baldwin_2_8_0_Sentetsu_Sorii</v>
      </c>
      <c r="B148" t="b" cm="1">
        <f t="array" ref="B148">_xlfn.XLOOKUP(A148,CONTROL[VEHIDCODE],PROPERTIES[EXCLUDE])</f>
        <v>0</v>
      </c>
      <c r="C148" t="b">
        <f>_xlfn.XLOOKUP(A148,CONTROL[VEHIDCODE],CONTROL[IS_WAGON_OR_COACH])</f>
        <v>0</v>
      </c>
      <c r="D148">
        <f>FLOOR(_xlfn.XLOOKUP($A148,PROPERTIES[VEHIDCODE],PROPERTIES[INTRODUCTION_YEAR]),20)</f>
        <v>1880</v>
      </c>
      <c r="E148" t="e">
        <f>_xlfn.XLOOKUP($A148,PROPERTIES[VEHIDCODE],#REF!)</f>
        <v>#REF!</v>
      </c>
      <c r="F148" s="25" t="str" cm="1">
        <f t="array" ref="F148">_xlfn.CONCAT(_xlfn.XLOOKUP($A148,PROPERTIES[VEHIDCODE],PROPERTIES[REGION1]),"_",_xlfn.XLOOKUP($A148,PROPERTIES[VEHIDCODE],PROPERTIES[REGION2]),"_",_xlfn.XLOOKUP($A148,PROPERTIES[VEHIDCODE],PROPERTIES[REGION3]&amp;"_"&amp;_xlfn.XLOOKUP($A148,PROPERTIES[VEHIDCODE],PROPERTIES[REGION4])))</f>
        <v>ASIA_NO_REGION_NO_REGION_NO_REGION</v>
      </c>
      <c r="G148" t="b">
        <f t="shared" si="18"/>
        <v>0</v>
      </c>
      <c r="H148" t="b">
        <f t="shared" si="25"/>
        <v>1</v>
      </c>
      <c r="I148" t="b">
        <f t="shared" si="19"/>
        <v>0</v>
      </c>
      <c r="J148" t="b">
        <f t="shared" si="26"/>
        <v>0</v>
      </c>
      <c r="K148" t="b">
        <f t="shared" si="20"/>
        <v>0</v>
      </c>
      <c r="L148" t="b">
        <f t="shared" si="21"/>
        <v>0</v>
      </c>
      <c r="M148" t="b">
        <f t="shared" si="22"/>
        <v>0</v>
      </c>
      <c r="N148" t="b">
        <f t="shared" si="23"/>
        <v>0</v>
      </c>
      <c r="O148" t="b">
        <f t="shared" si="24"/>
        <v>0</v>
      </c>
    </row>
    <row r="149" spans="1:15" x14ac:dyDescent="0.35">
      <c r="A149" t="str">
        <v>steam_Putilov_4_6_0_U</v>
      </c>
      <c r="B149" t="b" cm="1">
        <f t="array" ref="B149">_xlfn.XLOOKUP(A149,CONTROL[VEHIDCODE],PROPERTIES[EXCLUDE])</f>
        <v>0</v>
      </c>
      <c r="C149" t="b">
        <f>_xlfn.XLOOKUP(A149,CONTROL[VEHIDCODE],CONTROL[IS_WAGON_OR_COACH])</f>
        <v>0</v>
      </c>
      <c r="D149">
        <f>FLOOR(_xlfn.XLOOKUP($A149,PROPERTIES[VEHIDCODE],PROPERTIES[INTRODUCTION_YEAR]),20)</f>
        <v>1900</v>
      </c>
      <c r="E149" t="e">
        <f>_xlfn.XLOOKUP($A149,PROPERTIES[VEHIDCODE],#REF!)</f>
        <v>#REF!</v>
      </c>
      <c r="F149" s="25" t="str" cm="1">
        <f t="array" ref="F149">_xlfn.CONCAT(_xlfn.XLOOKUP($A149,PROPERTIES[VEHIDCODE],PROPERTIES[REGION1]),"_",_xlfn.XLOOKUP($A149,PROPERTIES[VEHIDCODE],PROPERTIES[REGION2]),"_",_xlfn.XLOOKUP($A149,PROPERTIES[VEHIDCODE],PROPERTIES[REGION3]&amp;"_"&amp;_xlfn.XLOOKUP($A149,PROPERTIES[VEHIDCODE],PROPERTIES[REGION4])))</f>
        <v>POST_SOVIET_BALTIC_NO_REGION_NO_REGION_NO_REGION</v>
      </c>
      <c r="G149" t="b">
        <f t="shared" si="18"/>
        <v>0</v>
      </c>
      <c r="H149" t="b">
        <f t="shared" si="25"/>
        <v>1</v>
      </c>
      <c r="I149" t="b">
        <f t="shared" si="19"/>
        <v>0</v>
      </c>
      <c r="J149" t="b">
        <f t="shared" si="26"/>
        <v>1</v>
      </c>
      <c r="K149" t="b">
        <f t="shared" si="20"/>
        <v>0</v>
      </c>
      <c r="L149" t="b">
        <f t="shared" si="21"/>
        <v>1</v>
      </c>
      <c r="M149" t="b">
        <f t="shared" si="22"/>
        <v>0</v>
      </c>
      <c r="N149" t="b">
        <f t="shared" si="23"/>
        <v>0</v>
      </c>
      <c r="O149" t="b">
        <f t="shared" si="24"/>
        <v>0</v>
      </c>
    </row>
    <row r="150" spans="1:15" x14ac:dyDescent="0.35">
      <c r="A150" t="str">
        <v>steam_Baldwin_12_44_F_2_10_0_Ye</v>
      </c>
      <c r="B150" t="b" cm="1">
        <f t="array" ref="B150">_xlfn.XLOOKUP(A150,CONTROL[VEHIDCODE],PROPERTIES[EXCLUDE])</f>
        <v>0</v>
      </c>
      <c r="C150" t="b">
        <f>_xlfn.XLOOKUP(A150,CONTROL[VEHIDCODE],CONTROL[IS_WAGON_OR_COACH])</f>
        <v>0</v>
      </c>
      <c r="D150">
        <f>FLOOR(_xlfn.XLOOKUP($A150,PROPERTIES[VEHIDCODE],PROPERTIES[INTRODUCTION_YEAR]),20)</f>
        <v>1900</v>
      </c>
      <c r="E150" t="e">
        <f>_xlfn.XLOOKUP($A150,PROPERTIES[VEHIDCODE],#REF!)</f>
        <v>#REF!</v>
      </c>
      <c r="F150" s="25" t="str" cm="1">
        <f t="array" ref="F150">_xlfn.CONCAT(_xlfn.XLOOKUP($A150,PROPERTIES[VEHIDCODE],PROPERTIES[REGION1]),"_",_xlfn.XLOOKUP($A150,PROPERTIES[VEHIDCODE],PROPERTIES[REGION2]),"_",_xlfn.XLOOKUP($A150,PROPERTIES[VEHIDCODE],PROPERTIES[REGION3]&amp;"_"&amp;_xlfn.XLOOKUP($A150,PROPERTIES[VEHIDCODE],PROPERTIES[REGION4])))</f>
        <v>POST_SOVIET_BALTIC_NO_REGION_NO_REGION_NO_REGION</v>
      </c>
      <c r="G150" t="b">
        <f t="shared" si="18"/>
        <v>0</v>
      </c>
      <c r="H150" t="b">
        <f t="shared" si="25"/>
        <v>1</v>
      </c>
      <c r="I150" t="b">
        <f t="shared" si="19"/>
        <v>0</v>
      </c>
      <c r="J150" t="b">
        <f t="shared" si="26"/>
        <v>1</v>
      </c>
      <c r="K150" t="b">
        <f t="shared" si="20"/>
        <v>0</v>
      </c>
      <c r="L150" t="b">
        <f t="shared" si="21"/>
        <v>1</v>
      </c>
      <c r="M150" t="b">
        <f t="shared" si="22"/>
        <v>0</v>
      </c>
      <c r="N150" t="b">
        <f t="shared" si="23"/>
        <v>0</v>
      </c>
      <c r="O150" t="b">
        <f t="shared" si="24"/>
        <v>0</v>
      </c>
    </row>
    <row r="151" spans="1:15" x14ac:dyDescent="0.35">
      <c r="A151" t="str">
        <v>steam_Baldwin_4_6_0_50201</v>
      </c>
      <c r="B151" t="b" cm="1">
        <f t="array" ref="B151">_xlfn.XLOOKUP(A151,CONTROL[VEHIDCODE],PROPERTIES[EXCLUDE])</f>
        <v>0</v>
      </c>
      <c r="C151" t="b">
        <f>_xlfn.XLOOKUP(A151,CONTROL[VEHIDCODE],CONTROL[IS_WAGON_OR_COACH])</f>
        <v>0</v>
      </c>
      <c r="D151">
        <f>FLOOR(_xlfn.XLOOKUP($A151,PROPERTIES[VEHIDCODE],PROPERTIES[INTRODUCTION_YEAR]),20)</f>
        <v>1900</v>
      </c>
      <c r="E151" t="e">
        <f>_xlfn.XLOOKUP($A151,PROPERTIES[VEHIDCODE],#REF!)</f>
        <v>#REF!</v>
      </c>
      <c r="F151" s="25" t="str" cm="1">
        <f t="array" ref="F151">_xlfn.CONCAT(_xlfn.XLOOKUP($A151,PROPERTIES[VEHIDCODE],PROPERTIES[REGION1]),"_",_xlfn.XLOOKUP($A151,PROPERTIES[VEHIDCODE],PROPERTIES[REGION2]),"_",_xlfn.XLOOKUP($A151,PROPERTIES[VEHIDCODE],PROPERTIES[REGION3]&amp;"_"&amp;_xlfn.XLOOKUP($A151,PROPERTIES[VEHIDCODE],PROPERTIES[REGION4])))</f>
        <v>ASIA_NO_REGION_NO_REGION_NO_REGION</v>
      </c>
      <c r="G151" t="b">
        <f t="shared" si="18"/>
        <v>0</v>
      </c>
      <c r="H151" t="b">
        <f t="shared" si="25"/>
        <v>1</v>
      </c>
      <c r="I151" t="b">
        <f t="shared" si="19"/>
        <v>0</v>
      </c>
      <c r="J151" t="b">
        <f t="shared" si="26"/>
        <v>0</v>
      </c>
      <c r="K151" t="b">
        <f t="shared" si="20"/>
        <v>0</v>
      </c>
      <c r="L151" t="b">
        <f t="shared" si="21"/>
        <v>0</v>
      </c>
      <c r="M151" t="b">
        <f t="shared" si="22"/>
        <v>0</v>
      </c>
      <c r="N151" t="b">
        <f t="shared" si="23"/>
        <v>0</v>
      </c>
      <c r="O151" t="b">
        <f t="shared" si="24"/>
        <v>0</v>
      </c>
    </row>
    <row r="152" spans="1:15" x14ac:dyDescent="0.35">
      <c r="A152" t="str">
        <v>steam_FS_480</v>
      </c>
      <c r="B152" t="b" cm="1">
        <f t="array" ref="B152">_xlfn.XLOOKUP(A152,CONTROL[VEHIDCODE],PROPERTIES[EXCLUDE])</f>
        <v>0</v>
      </c>
      <c r="C152" t="b">
        <f>_xlfn.XLOOKUP(A152,CONTROL[VEHIDCODE],CONTROL[IS_WAGON_OR_COACH])</f>
        <v>0</v>
      </c>
      <c r="D152">
        <f>FLOOR(_xlfn.XLOOKUP($A152,PROPERTIES[VEHIDCODE],PROPERTIES[INTRODUCTION_YEAR]),20)</f>
        <v>1920</v>
      </c>
      <c r="E152" t="e">
        <f>_xlfn.XLOOKUP($A152,PROPERTIES[VEHIDCODE],#REF!)</f>
        <v>#REF!</v>
      </c>
      <c r="F152" s="25" t="str" cm="1">
        <f t="array" ref="F152">_xlfn.CONCAT(_xlfn.XLOOKUP($A152,PROPERTIES[VEHIDCODE],PROPERTIES[REGION1]),"_",_xlfn.XLOOKUP($A152,PROPERTIES[VEHIDCODE],PROPERTIES[REGION2]),"_",_xlfn.XLOOKUP($A152,PROPERTIES[VEHIDCODE],PROPERTIES[REGION3]&amp;"_"&amp;_xlfn.XLOOKUP($A152,PROPERTIES[VEHIDCODE],PROPERTIES[REGION4])))</f>
        <v>SOUTHERN_EUROPE_NO_REGION_NO_REGION_NO_REGION</v>
      </c>
      <c r="G152" t="b">
        <f t="shared" si="18"/>
        <v>0</v>
      </c>
      <c r="H152" t="b">
        <f t="shared" si="25"/>
        <v>0</v>
      </c>
      <c r="I152" t="b">
        <f t="shared" si="19"/>
        <v>1</v>
      </c>
      <c r="J152" t="b">
        <f t="shared" si="26"/>
        <v>0</v>
      </c>
      <c r="K152" t="b">
        <f t="shared" si="20"/>
        <v>0</v>
      </c>
      <c r="L152" t="b">
        <f t="shared" si="21"/>
        <v>0</v>
      </c>
      <c r="M152" t="b">
        <f t="shared" si="22"/>
        <v>0</v>
      </c>
      <c r="N152" t="b">
        <f t="shared" si="23"/>
        <v>0</v>
      </c>
      <c r="O152" t="b">
        <f t="shared" si="24"/>
        <v>0</v>
      </c>
    </row>
    <row r="153" spans="1:15" x14ac:dyDescent="0.35">
      <c r="A153" t="str">
        <v>steam_FS_691</v>
      </c>
      <c r="B153" t="b" cm="1">
        <f t="array" ref="B153">_xlfn.XLOOKUP(A153,CONTROL[VEHIDCODE],PROPERTIES[EXCLUDE])</f>
        <v>0</v>
      </c>
      <c r="C153" t="b">
        <f>_xlfn.XLOOKUP(A153,CONTROL[VEHIDCODE],CONTROL[IS_WAGON_OR_COACH])</f>
        <v>0</v>
      </c>
      <c r="D153">
        <f>FLOOR(_xlfn.XLOOKUP($A153,PROPERTIES[VEHIDCODE],PROPERTIES[INTRODUCTION_YEAR]),20)</f>
        <v>1920</v>
      </c>
      <c r="E153" t="e">
        <f>_xlfn.XLOOKUP($A153,PROPERTIES[VEHIDCODE],#REF!)</f>
        <v>#REF!</v>
      </c>
      <c r="F153" s="25" t="str" cm="1">
        <f t="array" ref="F153">_xlfn.CONCAT(_xlfn.XLOOKUP($A153,PROPERTIES[VEHIDCODE],PROPERTIES[REGION1]),"_",_xlfn.XLOOKUP($A153,PROPERTIES[VEHIDCODE],PROPERTIES[REGION2]),"_",_xlfn.XLOOKUP($A153,PROPERTIES[VEHIDCODE],PROPERTIES[REGION3]&amp;"_"&amp;_xlfn.XLOOKUP($A153,PROPERTIES[VEHIDCODE],PROPERTIES[REGION4])))</f>
        <v>SOUTHERN_EUROPE_NO_REGION_NO_REGION_NO_REGION</v>
      </c>
      <c r="G153" t="b">
        <f t="shared" si="18"/>
        <v>0</v>
      </c>
      <c r="H153" t="b">
        <f t="shared" si="25"/>
        <v>0</v>
      </c>
      <c r="I153" t="b">
        <f t="shared" si="19"/>
        <v>1</v>
      </c>
      <c r="J153" t="b">
        <f t="shared" si="26"/>
        <v>0</v>
      </c>
      <c r="K153" t="b">
        <f t="shared" si="20"/>
        <v>0</v>
      </c>
      <c r="L153" t="b">
        <f t="shared" si="21"/>
        <v>0</v>
      </c>
      <c r="M153" t="b">
        <f t="shared" si="22"/>
        <v>0</v>
      </c>
      <c r="N153" t="b">
        <f t="shared" si="23"/>
        <v>0</v>
      </c>
      <c r="O153" t="b">
        <f t="shared" si="24"/>
        <v>0</v>
      </c>
    </row>
    <row r="154" spans="1:15" x14ac:dyDescent="0.35">
      <c r="A154" t="str">
        <v>steam_North_British_Lb_2_10_0</v>
      </c>
      <c r="B154" t="b" cm="1">
        <f t="array" ref="B154">_xlfn.XLOOKUP(A154,CONTROL[VEHIDCODE],PROPERTIES[EXCLUDE])</f>
        <v>0</v>
      </c>
      <c r="C154" t="b">
        <f>_xlfn.XLOOKUP(A154,CONTROL[VEHIDCODE],CONTROL[IS_WAGON_OR_COACH])</f>
        <v>0</v>
      </c>
      <c r="D154">
        <f>FLOOR(_xlfn.XLOOKUP($A154,PROPERTIES[VEHIDCODE],PROPERTIES[INTRODUCTION_YEAR]),20)</f>
        <v>1940</v>
      </c>
      <c r="E154" t="e">
        <f>_xlfn.XLOOKUP($A154,PROPERTIES[VEHIDCODE],#REF!)</f>
        <v>#REF!</v>
      </c>
      <c r="F154" s="25" t="str" cm="1">
        <f t="array" ref="F154">_xlfn.CONCAT(_xlfn.XLOOKUP($A154,PROPERTIES[VEHIDCODE],PROPERTIES[REGION1]),"_",_xlfn.XLOOKUP($A154,PROPERTIES[VEHIDCODE],PROPERTIES[REGION2]),"_",_xlfn.XLOOKUP($A154,PROPERTIES[VEHIDCODE],PROPERTIES[REGION3]&amp;"_"&amp;_xlfn.XLOOKUP($A154,PROPERTIES[VEHIDCODE],PROPERTIES[REGION4])))</f>
        <v>SOUTHERN_EUROPE_NO_REGION_NO_REGION_NO_REGION</v>
      </c>
      <c r="G154" t="b">
        <f t="shared" si="18"/>
        <v>0</v>
      </c>
      <c r="H154" t="b">
        <f t="shared" si="25"/>
        <v>0</v>
      </c>
      <c r="I154" t="b">
        <f t="shared" si="19"/>
        <v>1</v>
      </c>
      <c r="J154" t="b">
        <f t="shared" si="26"/>
        <v>0</v>
      </c>
      <c r="K154" t="b">
        <f t="shared" si="20"/>
        <v>0</v>
      </c>
      <c r="L154" t="b">
        <f t="shared" si="21"/>
        <v>0</v>
      </c>
      <c r="M154" t="b">
        <f t="shared" si="22"/>
        <v>0</v>
      </c>
      <c r="N154" t="b">
        <f t="shared" si="23"/>
        <v>0</v>
      </c>
      <c r="O154" t="b">
        <f t="shared" si="24"/>
        <v>0</v>
      </c>
    </row>
    <row r="155" spans="1:15" x14ac:dyDescent="0.35">
      <c r="A155" t="str">
        <v>steam_ALCO_Baldwin_2_8_0_USATC_S160</v>
      </c>
      <c r="B155" t="b" cm="1">
        <f t="array" ref="B155">_xlfn.XLOOKUP(A155,CONTROL[VEHIDCODE],PROPERTIES[EXCLUDE])</f>
        <v>0</v>
      </c>
      <c r="C155" t="b">
        <f>_xlfn.XLOOKUP(A155,CONTROL[VEHIDCODE],CONTROL[IS_WAGON_OR_COACH])</f>
        <v>0</v>
      </c>
      <c r="D155">
        <f>FLOOR(_xlfn.XLOOKUP($A155,PROPERTIES[VEHIDCODE],PROPERTIES[INTRODUCTION_YEAR]),20)</f>
        <v>1940</v>
      </c>
      <c r="E155" t="e">
        <f>_xlfn.XLOOKUP($A155,PROPERTIES[VEHIDCODE],#REF!)</f>
        <v>#REF!</v>
      </c>
      <c r="F155" s="25" t="str" cm="1">
        <f t="array" ref="F155">_xlfn.CONCAT(_xlfn.XLOOKUP($A155,PROPERTIES[VEHIDCODE],PROPERTIES[REGION1]),"_",_xlfn.XLOOKUP($A155,PROPERTIES[VEHIDCODE],PROPERTIES[REGION2]),"_",_xlfn.XLOOKUP($A155,PROPERTIES[VEHIDCODE],PROPERTIES[REGION3]&amp;"_"&amp;_xlfn.XLOOKUP($A155,PROPERTIES[VEHIDCODE],PROPERTIES[REGION4])))</f>
        <v>SOUTHERN_EUROPE_NO_REGION_NO_REGION_NO_REGION</v>
      </c>
      <c r="G155" t="b">
        <f t="shared" si="18"/>
        <v>0</v>
      </c>
      <c r="H155" t="b">
        <f t="shared" si="25"/>
        <v>0</v>
      </c>
      <c r="I155" t="b">
        <f t="shared" si="19"/>
        <v>1</v>
      </c>
      <c r="J155" t="b">
        <f t="shared" si="26"/>
        <v>0</v>
      </c>
      <c r="K155" t="b">
        <f t="shared" si="20"/>
        <v>0</v>
      </c>
      <c r="L155" t="b">
        <f t="shared" si="21"/>
        <v>0</v>
      </c>
      <c r="M155" t="b">
        <f t="shared" si="22"/>
        <v>0</v>
      </c>
      <c r="N155" t="b">
        <f t="shared" si="23"/>
        <v>0</v>
      </c>
      <c r="O155" t="b">
        <f t="shared" si="24"/>
        <v>0</v>
      </c>
    </row>
    <row r="156" spans="1:15" x14ac:dyDescent="0.35">
      <c r="A156" t="str">
        <v>steam_RENFE_4_8_4_242F_Confederacion</v>
      </c>
      <c r="B156" t="b" cm="1">
        <f t="array" ref="B156">_xlfn.XLOOKUP(A156,CONTROL[VEHIDCODE],PROPERTIES[EXCLUDE])</f>
        <v>0</v>
      </c>
      <c r="C156" t="b">
        <f>_xlfn.XLOOKUP(A156,CONTROL[VEHIDCODE],CONTROL[IS_WAGON_OR_COACH])</f>
        <v>0</v>
      </c>
      <c r="D156">
        <f>FLOOR(_xlfn.XLOOKUP($A156,PROPERTIES[VEHIDCODE],PROPERTIES[INTRODUCTION_YEAR]),20)</f>
        <v>1940</v>
      </c>
      <c r="E156" t="e">
        <f>_xlfn.XLOOKUP($A156,PROPERTIES[VEHIDCODE],#REF!)</f>
        <v>#REF!</v>
      </c>
      <c r="F156" s="25" t="str" cm="1">
        <f t="array" ref="F156">_xlfn.CONCAT(_xlfn.XLOOKUP($A156,PROPERTIES[VEHIDCODE],PROPERTIES[REGION1]),"_",_xlfn.XLOOKUP($A156,PROPERTIES[VEHIDCODE],PROPERTIES[REGION2]),"_",_xlfn.XLOOKUP($A156,PROPERTIES[VEHIDCODE],PROPERTIES[REGION3]&amp;"_"&amp;_xlfn.XLOOKUP($A156,PROPERTIES[VEHIDCODE],PROPERTIES[REGION4])))</f>
        <v>SOUTHERN_EUROPE_NO_REGION_NO_REGION_NO_REGION</v>
      </c>
      <c r="G156" t="b">
        <f t="shared" si="18"/>
        <v>0</v>
      </c>
      <c r="H156" t="b">
        <f t="shared" si="25"/>
        <v>0</v>
      </c>
      <c r="I156" t="b">
        <f t="shared" si="19"/>
        <v>1</v>
      </c>
      <c r="J156" t="b">
        <f t="shared" si="26"/>
        <v>0</v>
      </c>
      <c r="K156" t="b">
        <f t="shared" si="20"/>
        <v>0</v>
      </c>
      <c r="L156" t="b">
        <f t="shared" si="21"/>
        <v>0</v>
      </c>
      <c r="M156" t="b">
        <f t="shared" si="22"/>
        <v>0</v>
      </c>
      <c r="N156" t="b">
        <f t="shared" si="23"/>
        <v>0</v>
      </c>
      <c r="O156" t="b">
        <f t="shared" si="24"/>
        <v>0</v>
      </c>
    </row>
    <row r="157" spans="1:15" x14ac:dyDescent="0.35">
      <c r="A157" t="str">
        <v>steam_Skoda_6Lo</v>
      </c>
      <c r="B157" t="b" cm="1">
        <f t="array" ref="B157">_xlfn.XLOOKUP(A157,CONTROL[VEHIDCODE],PROPERTIES[EXCLUDE])</f>
        <v>0</v>
      </c>
      <c r="C157" t="b">
        <f>_xlfn.XLOOKUP(A157,CONTROL[VEHIDCODE],CONTROL[IS_WAGON_OR_COACH])</f>
        <v>0</v>
      </c>
      <c r="D157">
        <f>FLOOR(_xlfn.XLOOKUP($A157,PROPERTIES[VEHIDCODE],PROPERTIES[INTRODUCTION_YEAR]),20)</f>
        <v>1900</v>
      </c>
      <c r="E157" t="e">
        <f>_xlfn.XLOOKUP($A157,PROPERTIES[VEHIDCODE],#REF!)</f>
        <v>#REF!</v>
      </c>
      <c r="F157" s="25" t="str" cm="1">
        <f t="array" ref="F157">_xlfn.CONCAT(_xlfn.XLOOKUP($A157,PROPERTIES[VEHIDCODE],PROPERTIES[REGION1]),"_",_xlfn.XLOOKUP($A157,PROPERTIES[VEHIDCODE],PROPERTIES[REGION2]),"_",_xlfn.XLOOKUP($A157,PROPERTIES[VEHIDCODE],PROPERTIES[REGION3]&amp;"_"&amp;_xlfn.XLOOKUP($A157,PROPERTIES[VEHIDCODE],PROPERTIES[REGION4])))</f>
        <v>EASTERN_EUROPE_NO_REGION_NO_REGION_NO_REGION</v>
      </c>
      <c r="G157" t="b">
        <f t="shared" si="18"/>
        <v>0</v>
      </c>
      <c r="H157" t="b">
        <f t="shared" si="25"/>
        <v>0</v>
      </c>
      <c r="I157" t="b">
        <f t="shared" si="19"/>
        <v>0</v>
      </c>
      <c r="J157" t="b">
        <f t="shared" si="26"/>
        <v>1</v>
      </c>
      <c r="K157" t="b">
        <f t="shared" si="20"/>
        <v>0</v>
      </c>
      <c r="L157" t="b">
        <f t="shared" si="21"/>
        <v>0</v>
      </c>
      <c r="M157" t="b">
        <f t="shared" si="22"/>
        <v>0</v>
      </c>
      <c r="N157" t="b">
        <f t="shared" si="23"/>
        <v>0</v>
      </c>
      <c r="O157" t="b">
        <f t="shared" si="24"/>
        <v>0</v>
      </c>
    </row>
    <row r="158" spans="1:15" x14ac:dyDescent="0.35">
      <c r="A158" t="str">
        <v>steam_Hanomag_Fablok_4_6_0_Ok22</v>
      </c>
      <c r="B158" t="b" cm="1">
        <f t="array" ref="B158">_xlfn.XLOOKUP(A158,CONTROL[VEHIDCODE],PROPERTIES[EXCLUDE])</f>
        <v>0</v>
      </c>
      <c r="C158" t="b">
        <f>_xlfn.XLOOKUP(A158,CONTROL[VEHIDCODE],CONTROL[IS_WAGON_OR_COACH])</f>
        <v>0</v>
      </c>
      <c r="D158">
        <f>FLOOR(_xlfn.XLOOKUP($A158,PROPERTIES[VEHIDCODE],PROPERTIES[INTRODUCTION_YEAR]),20)</f>
        <v>1920</v>
      </c>
      <c r="E158" t="e">
        <f>_xlfn.XLOOKUP($A158,PROPERTIES[VEHIDCODE],#REF!)</f>
        <v>#REF!</v>
      </c>
      <c r="F158" s="25" t="str" cm="1">
        <f t="array" ref="F158">_xlfn.CONCAT(_xlfn.XLOOKUP($A158,PROPERTIES[VEHIDCODE],PROPERTIES[REGION1]),"_",_xlfn.XLOOKUP($A158,PROPERTIES[VEHIDCODE],PROPERTIES[REGION2]),"_",_xlfn.XLOOKUP($A158,PROPERTIES[VEHIDCODE],PROPERTIES[REGION3]&amp;"_"&amp;_xlfn.XLOOKUP($A158,PROPERTIES[VEHIDCODE],PROPERTIES[REGION4])))</f>
        <v>EASTERN_EUROPE_NO_REGION_NO_REGION_NO_REGION</v>
      </c>
      <c r="G158" t="b">
        <f t="shared" si="18"/>
        <v>0</v>
      </c>
      <c r="H158" t="b">
        <f t="shared" si="25"/>
        <v>0</v>
      </c>
      <c r="I158" t="b">
        <f t="shared" si="19"/>
        <v>0</v>
      </c>
      <c r="J158" t="b">
        <f t="shared" si="26"/>
        <v>1</v>
      </c>
      <c r="K158" t="b">
        <f t="shared" si="20"/>
        <v>0</v>
      </c>
      <c r="L158" t="b">
        <f t="shared" si="21"/>
        <v>0</v>
      </c>
      <c r="M158" t="b">
        <f t="shared" si="22"/>
        <v>0</v>
      </c>
      <c r="N158" t="b">
        <f t="shared" si="23"/>
        <v>0</v>
      </c>
      <c r="O158" t="b">
        <f t="shared" si="24"/>
        <v>0</v>
      </c>
    </row>
    <row r="159" spans="1:15" x14ac:dyDescent="0.35">
      <c r="A159" t="str">
        <v>steam_MAVAG_4_8_0_424</v>
      </c>
      <c r="B159" t="b" cm="1">
        <f t="array" ref="B159">_xlfn.XLOOKUP(A159,CONTROL[VEHIDCODE],PROPERTIES[EXCLUDE])</f>
        <v>0</v>
      </c>
      <c r="C159" t="b">
        <f>_xlfn.XLOOKUP(A159,CONTROL[VEHIDCODE],CONTROL[IS_WAGON_OR_COACH])</f>
        <v>0</v>
      </c>
      <c r="D159">
        <f>FLOOR(_xlfn.XLOOKUP($A159,PROPERTIES[VEHIDCODE],PROPERTIES[INTRODUCTION_YEAR]),20)</f>
        <v>1920</v>
      </c>
      <c r="E159" t="e">
        <f>_xlfn.XLOOKUP($A159,PROPERTIES[VEHIDCODE],#REF!)</f>
        <v>#REF!</v>
      </c>
      <c r="F159" s="25" t="str" cm="1">
        <f t="array" ref="F159">_xlfn.CONCAT(_xlfn.XLOOKUP($A159,PROPERTIES[VEHIDCODE],PROPERTIES[REGION1]),"_",_xlfn.XLOOKUP($A159,PROPERTIES[VEHIDCODE],PROPERTIES[REGION2]),"_",_xlfn.XLOOKUP($A159,PROPERTIES[VEHIDCODE],PROPERTIES[REGION3]&amp;"_"&amp;_xlfn.XLOOKUP($A159,PROPERTIES[VEHIDCODE],PROPERTIES[REGION4])))</f>
        <v>EASTERN_EUROPE_NO_REGION_NO_REGION_NO_REGION</v>
      </c>
      <c r="G159" t="b">
        <f t="shared" si="18"/>
        <v>0</v>
      </c>
      <c r="H159" t="b">
        <f t="shared" si="25"/>
        <v>0</v>
      </c>
      <c r="I159" t="b">
        <f t="shared" si="19"/>
        <v>0</v>
      </c>
      <c r="J159" t="b">
        <f t="shared" si="26"/>
        <v>1</v>
      </c>
      <c r="K159" t="b">
        <f t="shared" si="20"/>
        <v>0</v>
      </c>
      <c r="L159" t="b">
        <f t="shared" si="21"/>
        <v>0</v>
      </c>
      <c r="M159" t="b">
        <f t="shared" si="22"/>
        <v>0</v>
      </c>
      <c r="N159" t="b">
        <f t="shared" si="23"/>
        <v>0</v>
      </c>
      <c r="O159" t="b">
        <f t="shared" si="24"/>
        <v>0</v>
      </c>
    </row>
    <row r="160" spans="1:15" x14ac:dyDescent="0.35">
      <c r="A160" t="str">
        <v>steam_MAVAG_4_4_4T_242</v>
      </c>
      <c r="B160" t="b" cm="1">
        <f t="array" ref="B160">_xlfn.XLOOKUP(A160,CONTROL[VEHIDCODE],PROPERTIES[EXCLUDE])</f>
        <v>0</v>
      </c>
      <c r="C160" t="b">
        <f>_xlfn.XLOOKUP(A160,CONTROL[VEHIDCODE],CONTROL[IS_WAGON_OR_COACH])</f>
        <v>0</v>
      </c>
      <c r="D160">
        <f>FLOOR(_xlfn.XLOOKUP($A160,PROPERTIES[VEHIDCODE],PROPERTIES[INTRODUCTION_YEAR]),20)</f>
        <v>1920</v>
      </c>
      <c r="E160" t="e">
        <f>_xlfn.XLOOKUP($A160,PROPERTIES[VEHIDCODE],#REF!)</f>
        <v>#REF!</v>
      </c>
      <c r="F160" s="25" t="str" cm="1">
        <f t="array" ref="F160">_xlfn.CONCAT(_xlfn.XLOOKUP($A160,PROPERTIES[VEHIDCODE],PROPERTIES[REGION1]),"_",_xlfn.XLOOKUP($A160,PROPERTIES[VEHIDCODE],PROPERTIES[REGION2]),"_",_xlfn.XLOOKUP($A160,PROPERTIES[VEHIDCODE],PROPERTIES[REGION3]&amp;"_"&amp;_xlfn.XLOOKUP($A160,PROPERTIES[VEHIDCODE],PROPERTIES[REGION4])))</f>
        <v>EASTERN_EUROPE_NO_REGION_NO_REGION_NO_REGION</v>
      </c>
      <c r="G160" t="b">
        <f t="shared" si="18"/>
        <v>0</v>
      </c>
      <c r="H160" t="b">
        <f t="shared" si="25"/>
        <v>0</v>
      </c>
      <c r="I160" t="b">
        <f t="shared" si="19"/>
        <v>0</v>
      </c>
      <c r="J160" t="b">
        <f t="shared" si="26"/>
        <v>1</v>
      </c>
      <c r="K160" t="b">
        <f t="shared" si="20"/>
        <v>0</v>
      </c>
      <c r="L160" t="b">
        <f t="shared" si="21"/>
        <v>0</v>
      </c>
      <c r="M160" t="b">
        <f t="shared" si="22"/>
        <v>0</v>
      </c>
      <c r="N160" t="b">
        <f t="shared" si="23"/>
        <v>0</v>
      </c>
      <c r="O160" t="b">
        <f t="shared" si="24"/>
        <v>0</v>
      </c>
    </row>
    <row r="161" spans="1:15" x14ac:dyDescent="0.35">
      <c r="A161" t="str">
        <v>steam_Vulcan_Foundry_2_8_0_Liberation</v>
      </c>
      <c r="B161" t="b" cm="1">
        <f t="array" ref="B161">_xlfn.XLOOKUP(A161,CONTROL[VEHIDCODE],PROPERTIES[EXCLUDE])</f>
        <v>0</v>
      </c>
      <c r="C161" t="b">
        <f>_xlfn.XLOOKUP(A161,CONTROL[VEHIDCODE],CONTROL[IS_WAGON_OR_COACH])</f>
        <v>0</v>
      </c>
      <c r="D161">
        <f>FLOOR(_xlfn.XLOOKUP($A161,PROPERTIES[VEHIDCODE],PROPERTIES[INTRODUCTION_YEAR]),20)</f>
        <v>1940</v>
      </c>
      <c r="E161" t="e">
        <f>_xlfn.XLOOKUP($A161,PROPERTIES[VEHIDCODE],#REF!)</f>
        <v>#REF!</v>
      </c>
      <c r="F161" s="25" t="str" cm="1">
        <f t="array" ref="F161">_xlfn.CONCAT(_xlfn.XLOOKUP($A161,PROPERTIES[VEHIDCODE],PROPERTIES[REGION1]),"_",_xlfn.XLOOKUP($A161,PROPERTIES[VEHIDCODE],PROPERTIES[REGION2]),"_",_xlfn.XLOOKUP($A161,PROPERTIES[VEHIDCODE],PROPERTIES[REGION3]&amp;"_"&amp;_xlfn.XLOOKUP($A161,PROPERTIES[VEHIDCODE],PROPERTIES[REGION4])))</f>
        <v>EASTERN_EUROPE_NO_REGION_NO_REGION_NO_REGION</v>
      </c>
      <c r="G161" t="b">
        <f t="shared" si="18"/>
        <v>0</v>
      </c>
      <c r="H161" t="b">
        <f t="shared" si="25"/>
        <v>0</v>
      </c>
      <c r="I161" t="b">
        <f t="shared" si="19"/>
        <v>0</v>
      </c>
      <c r="J161" t="b">
        <f t="shared" si="26"/>
        <v>1</v>
      </c>
      <c r="K161" t="b">
        <f t="shared" si="20"/>
        <v>0</v>
      </c>
      <c r="L161" t="b">
        <f t="shared" si="21"/>
        <v>0</v>
      </c>
      <c r="M161" t="b">
        <f t="shared" si="22"/>
        <v>0</v>
      </c>
      <c r="N161" t="b">
        <f t="shared" si="23"/>
        <v>0</v>
      </c>
      <c r="O161" t="b">
        <f t="shared" si="24"/>
        <v>0</v>
      </c>
    </row>
    <row r="162" spans="1:15" x14ac:dyDescent="0.35">
      <c r="A162" t="str">
        <v>steam_Fablok_2_6_2_OI49</v>
      </c>
      <c r="B162" t="b" cm="1">
        <f t="array" ref="B162">_xlfn.XLOOKUP(A162,CONTROL[VEHIDCODE],PROPERTIES[EXCLUDE])</f>
        <v>0</v>
      </c>
      <c r="C162" t="b">
        <f>_xlfn.XLOOKUP(A162,CONTROL[VEHIDCODE],CONTROL[IS_WAGON_OR_COACH])</f>
        <v>0</v>
      </c>
      <c r="D162">
        <f>FLOOR(_xlfn.XLOOKUP($A162,PROPERTIES[VEHIDCODE],PROPERTIES[INTRODUCTION_YEAR]),20)</f>
        <v>1940</v>
      </c>
      <c r="E162" t="e">
        <f>_xlfn.XLOOKUP($A162,PROPERTIES[VEHIDCODE],#REF!)</f>
        <v>#REF!</v>
      </c>
      <c r="F162" s="25" t="str" cm="1">
        <f t="array" ref="F162">_xlfn.CONCAT(_xlfn.XLOOKUP($A162,PROPERTIES[VEHIDCODE],PROPERTIES[REGION1]),"_",_xlfn.XLOOKUP($A162,PROPERTIES[VEHIDCODE],PROPERTIES[REGION2]),"_",_xlfn.XLOOKUP($A162,PROPERTIES[VEHIDCODE],PROPERTIES[REGION3]&amp;"_"&amp;_xlfn.XLOOKUP($A162,PROPERTIES[VEHIDCODE],PROPERTIES[REGION4])))</f>
        <v>EASTERN_EUROPE_ASIA_NO_REGION_NO_REGION</v>
      </c>
      <c r="G162" t="b">
        <f t="shared" si="18"/>
        <v>0</v>
      </c>
      <c r="H162" t="b">
        <f t="shared" si="25"/>
        <v>1</v>
      </c>
      <c r="I162" t="b">
        <f t="shared" si="19"/>
        <v>0</v>
      </c>
      <c r="J162" t="b">
        <f t="shared" si="26"/>
        <v>1</v>
      </c>
      <c r="K162" t="b">
        <f t="shared" si="20"/>
        <v>0</v>
      </c>
      <c r="L162" t="b">
        <f t="shared" si="21"/>
        <v>0</v>
      </c>
      <c r="M162" t="b">
        <f t="shared" si="22"/>
        <v>0</v>
      </c>
      <c r="N162" t="b">
        <f t="shared" si="23"/>
        <v>0</v>
      </c>
      <c r="O162" t="b">
        <f t="shared" si="24"/>
        <v>0</v>
      </c>
    </row>
    <row r="163" spans="1:15" x14ac:dyDescent="0.35">
      <c r="A163" t="str">
        <v>steam_Floridsdorf_2_6_2_KkStB_310</v>
      </c>
      <c r="B163" t="b" cm="1">
        <f t="array" ref="B163">_xlfn.XLOOKUP(A163,CONTROL[VEHIDCODE],PROPERTIES[EXCLUDE])</f>
        <v>0</v>
      </c>
      <c r="C163" t="b">
        <f>_xlfn.XLOOKUP(A163,CONTROL[VEHIDCODE],CONTROL[IS_WAGON_OR_COACH])</f>
        <v>0</v>
      </c>
      <c r="D163">
        <f>FLOOR(_xlfn.XLOOKUP($A163,PROPERTIES[VEHIDCODE],PROPERTIES[INTRODUCTION_YEAR]),20)</f>
        <v>1900</v>
      </c>
      <c r="E163" t="e">
        <f>_xlfn.XLOOKUP($A163,PROPERTIES[VEHIDCODE],#REF!)</f>
        <v>#REF!</v>
      </c>
      <c r="F163" s="25" t="str" cm="1">
        <f t="array" ref="F163">_xlfn.CONCAT(_xlfn.XLOOKUP($A163,PROPERTIES[VEHIDCODE],PROPERTIES[REGION1]),"_",_xlfn.XLOOKUP($A163,PROPERTIES[VEHIDCODE],PROPERTIES[REGION2]),"_",_xlfn.XLOOKUP($A163,PROPERTIES[VEHIDCODE],PROPERTIES[REGION3]&amp;"_"&amp;_xlfn.XLOOKUP($A163,PROPERTIES[VEHIDCODE],PROPERTIES[REGION4])))</f>
        <v>WESTERN_EUROPE_NO_REGION_NO_REGION_NO_REGION</v>
      </c>
      <c r="G163" t="b">
        <f t="shared" si="18"/>
        <v>0</v>
      </c>
      <c r="H163" t="b">
        <f t="shared" si="25"/>
        <v>0</v>
      </c>
      <c r="I163" t="b">
        <f t="shared" si="19"/>
        <v>0</v>
      </c>
      <c r="J163" t="b">
        <f t="shared" si="26"/>
        <v>0</v>
      </c>
      <c r="K163" t="b">
        <f t="shared" si="20"/>
        <v>1</v>
      </c>
      <c r="L163" t="b">
        <f t="shared" si="21"/>
        <v>0</v>
      </c>
      <c r="M163" t="b">
        <f t="shared" si="22"/>
        <v>0</v>
      </c>
      <c r="N163" t="b">
        <f t="shared" si="23"/>
        <v>0</v>
      </c>
      <c r="O163" t="b">
        <f t="shared" si="24"/>
        <v>0</v>
      </c>
    </row>
    <row r="164" spans="1:15" x14ac:dyDescent="0.35">
      <c r="A164" t="str">
        <v>steam_Lima__4_8_4_7798_7817_Daylight</v>
      </c>
      <c r="B164" t="b" cm="1">
        <f t="array" ref="B164">_xlfn.XLOOKUP(A164,CONTROL[VEHIDCODE],PROPERTIES[EXCLUDE])</f>
        <v>0</v>
      </c>
      <c r="C164" t="b">
        <f>_xlfn.XLOOKUP(A164,CONTROL[VEHIDCODE],CONTROL[IS_WAGON_OR_COACH])</f>
        <v>0</v>
      </c>
      <c r="D164">
        <f>FLOOR(_xlfn.XLOOKUP($A164,PROPERTIES[VEHIDCODE],PROPERTIES[INTRODUCTION_YEAR]),20)</f>
        <v>1940</v>
      </c>
      <c r="E164" t="e">
        <f>_xlfn.XLOOKUP($A164,PROPERTIES[VEHIDCODE],#REF!)</f>
        <v>#REF!</v>
      </c>
      <c r="F164" s="25" t="str" cm="1">
        <f t="array" ref="F164">_xlfn.CONCAT(_xlfn.XLOOKUP($A164,PROPERTIES[VEHIDCODE],PROPERTIES[REGION1]),"_",_xlfn.XLOOKUP($A164,PROPERTIES[VEHIDCODE],PROPERTIES[REGION2]),"_",_xlfn.XLOOKUP($A164,PROPERTIES[VEHIDCODE],PROPERTIES[REGION3]&amp;"_"&amp;_xlfn.XLOOKUP($A164,PROPERTIES[VEHIDCODE],PROPERTIES[REGION4])))</f>
        <v>NORTH_AMERICA_NO_REGION_NO_REGION_NO_REGION</v>
      </c>
      <c r="G164" t="b">
        <f t="shared" si="18"/>
        <v>0</v>
      </c>
      <c r="H164" t="b">
        <f t="shared" si="25"/>
        <v>0</v>
      </c>
      <c r="I164" t="b">
        <f t="shared" si="19"/>
        <v>0</v>
      </c>
      <c r="J164" t="b">
        <f t="shared" si="26"/>
        <v>0</v>
      </c>
      <c r="K164" t="b">
        <f t="shared" si="20"/>
        <v>0</v>
      </c>
      <c r="L164" t="b">
        <f t="shared" si="21"/>
        <v>0</v>
      </c>
      <c r="M164" t="b">
        <f t="shared" si="22"/>
        <v>1</v>
      </c>
      <c r="N164" t="b">
        <f t="shared" si="23"/>
        <v>0</v>
      </c>
      <c r="O164" t="b">
        <f t="shared" si="24"/>
        <v>0</v>
      </c>
    </row>
    <row r="165" spans="1:15" x14ac:dyDescent="0.35">
      <c r="A165" t="str">
        <v>steam_GS_WR_0_6_0_101</v>
      </c>
      <c r="B165" t="b" cm="1">
        <f t="array" ref="B165">_xlfn.XLOOKUP(A165,CONTROL[VEHIDCODE],PROPERTIES[EXCLUDE])</f>
        <v>0</v>
      </c>
      <c r="C165" t="b">
        <f>_xlfn.XLOOKUP(A165,CONTROL[VEHIDCODE],CONTROL[IS_WAGON_OR_COACH])</f>
        <v>0</v>
      </c>
      <c r="D165">
        <f>FLOOR(_xlfn.XLOOKUP($A165,PROPERTIES[VEHIDCODE],PROPERTIES[INTRODUCTION_YEAR]),20)</f>
        <v>1860</v>
      </c>
      <c r="E165" t="e">
        <f>_xlfn.XLOOKUP($A165,PROPERTIES[VEHIDCODE],#REF!)</f>
        <v>#REF!</v>
      </c>
      <c r="F165" s="25" t="str" cm="1">
        <f t="array" ref="F165">_xlfn.CONCAT(_xlfn.XLOOKUP($A165,PROPERTIES[VEHIDCODE],PROPERTIES[REGION1]),"_",_xlfn.XLOOKUP($A165,PROPERTIES[VEHIDCODE],PROPERTIES[REGION2]),"_",_xlfn.XLOOKUP($A165,PROPERTIES[VEHIDCODE],PROPERTIES[REGION3]&amp;"_"&amp;_xlfn.XLOOKUP($A165,PROPERTIES[VEHIDCODE],PROPERTIES[REGION4])))</f>
        <v>NORTHERN_EUROPE_NO_REGION_NO_REGION_NO_REGION</v>
      </c>
      <c r="G165" t="b">
        <f t="shared" si="18"/>
        <v>0</v>
      </c>
      <c r="H165" t="b">
        <f t="shared" si="25"/>
        <v>0</v>
      </c>
      <c r="I165" t="b">
        <f t="shared" si="19"/>
        <v>0</v>
      </c>
      <c r="J165" t="b">
        <f t="shared" si="26"/>
        <v>0</v>
      </c>
      <c r="K165" t="b">
        <f t="shared" si="20"/>
        <v>0</v>
      </c>
      <c r="L165" t="b">
        <f t="shared" si="21"/>
        <v>1</v>
      </c>
      <c r="M165" t="b">
        <f t="shared" si="22"/>
        <v>0</v>
      </c>
      <c r="N165" t="b">
        <f t="shared" si="23"/>
        <v>0</v>
      </c>
      <c r="O165" t="b">
        <f t="shared" si="24"/>
        <v>0</v>
      </c>
    </row>
    <row r="166" spans="1:15" x14ac:dyDescent="0.35">
      <c r="A166" t="str">
        <v>steam_ALCO_2_8_2_5100_5194_Light_Mikado</v>
      </c>
      <c r="B166" t="b" cm="1">
        <f t="array" ref="B166">_xlfn.XLOOKUP(A166,CONTROL[VEHIDCODE],PROPERTIES[EXCLUDE])</f>
        <v>0</v>
      </c>
      <c r="C166" t="b">
        <f>_xlfn.XLOOKUP(A166,CONTROL[VEHIDCODE],CONTROL[IS_WAGON_OR_COACH])</f>
        <v>0</v>
      </c>
      <c r="D166">
        <f>FLOOR(_xlfn.XLOOKUP($A166,PROPERTIES[VEHIDCODE],PROPERTIES[INTRODUCTION_YEAR]),20)</f>
        <v>1900</v>
      </c>
      <c r="E166" t="e">
        <f>_xlfn.XLOOKUP($A166,PROPERTIES[VEHIDCODE],#REF!)</f>
        <v>#REF!</v>
      </c>
      <c r="F166" s="25" t="str" cm="1">
        <f t="array" ref="F166">_xlfn.CONCAT(_xlfn.XLOOKUP($A166,PROPERTIES[VEHIDCODE],PROPERTIES[REGION1]),"_",_xlfn.XLOOKUP($A166,PROPERTIES[VEHIDCODE],PROPERTIES[REGION2]),"_",_xlfn.XLOOKUP($A166,PROPERTIES[VEHIDCODE],PROPERTIES[REGION3]&amp;"_"&amp;_xlfn.XLOOKUP($A166,PROPERTIES[VEHIDCODE],PROPERTIES[REGION4])))</f>
        <v>NORTH_AMERICA_NO_REGION_NO_REGION_NO_REGION</v>
      </c>
      <c r="G166" t="b">
        <f t="shared" si="18"/>
        <v>0</v>
      </c>
      <c r="H166" t="b">
        <f t="shared" si="25"/>
        <v>0</v>
      </c>
      <c r="I166" t="b">
        <f t="shared" si="19"/>
        <v>0</v>
      </c>
      <c r="J166" t="b">
        <f t="shared" si="26"/>
        <v>0</v>
      </c>
      <c r="K166" t="b">
        <f t="shared" si="20"/>
        <v>0</v>
      </c>
      <c r="L166" t="b">
        <f t="shared" si="21"/>
        <v>0</v>
      </c>
      <c r="M166" t="b">
        <f t="shared" si="22"/>
        <v>1</v>
      </c>
      <c r="N166" t="b">
        <f t="shared" si="23"/>
        <v>0</v>
      </c>
      <c r="O166" t="b">
        <f t="shared" si="24"/>
        <v>0</v>
      </c>
    </row>
    <row r="167" spans="1:15" x14ac:dyDescent="0.35">
      <c r="A167" t="str">
        <v>steam_FCGR__BAGS__No__315_2_4_0T</v>
      </c>
      <c r="B167" t="b" cm="1">
        <f t="array" ref="B167">_xlfn.XLOOKUP(A167,CONTROL[VEHIDCODE],PROPERTIES[EXCLUDE])</f>
        <v>0</v>
      </c>
      <c r="C167" t="b">
        <f>_xlfn.XLOOKUP(A167,CONTROL[VEHIDCODE],CONTROL[IS_WAGON_OR_COACH])</f>
        <v>0</v>
      </c>
      <c r="D167">
        <f>FLOOR(_xlfn.XLOOKUP($A167,PROPERTIES[VEHIDCODE],PROPERTIES[INTRODUCTION_YEAR]),20)</f>
        <v>1860</v>
      </c>
      <c r="E167" t="e">
        <f>_xlfn.XLOOKUP($A167,PROPERTIES[VEHIDCODE],#REF!)</f>
        <v>#REF!</v>
      </c>
      <c r="F167" s="25" t="str" cm="1">
        <f t="array" ref="F167">_xlfn.CONCAT(_xlfn.XLOOKUP($A167,PROPERTIES[VEHIDCODE],PROPERTIES[REGION1]),"_",_xlfn.XLOOKUP($A167,PROPERTIES[VEHIDCODE],PROPERTIES[REGION2]),"_",_xlfn.XLOOKUP($A167,PROPERTIES[VEHIDCODE],PROPERTIES[REGION3]&amp;"_"&amp;_xlfn.XLOOKUP($A167,PROPERTIES[VEHIDCODE],PROPERTIES[REGION4])))</f>
        <v>SOUTH_AMERICA_NO_REGION_NO_REGION_NO_REGION</v>
      </c>
      <c r="G167" t="b">
        <f t="shared" si="18"/>
        <v>0</v>
      </c>
      <c r="H167" t="b">
        <f t="shared" si="25"/>
        <v>0</v>
      </c>
      <c r="I167" t="b">
        <f t="shared" si="19"/>
        <v>0</v>
      </c>
      <c r="J167" t="b">
        <f t="shared" si="26"/>
        <v>0</v>
      </c>
      <c r="K167" t="b">
        <f t="shared" si="20"/>
        <v>0</v>
      </c>
      <c r="L167" t="b">
        <f t="shared" si="21"/>
        <v>0</v>
      </c>
      <c r="M167" t="b">
        <f t="shared" si="22"/>
        <v>0</v>
      </c>
      <c r="N167" t="b">
        <f t="shared" si="23"/>
        <v>1</v>
      </c>
      <c r="O167" t="b">
        <f t="shared" si="24"/>
        <v>0</v>
      </c>
    </row>
    <row r="168" spans="1:15" x14ac:dyDescent="0.35">
      <c r="A168" t="str">
        <v>steam_Eveleigh_4_6_0_C35</v>
      </c>
      <c r="B168" t="b" cm="1">
        <f t="array" ref="B168">_xlfn.XLOOKUP(A168,CONTROL[VEHIDCODE],PROPERTIES[EXCLUDE])</f>
        <v>0</v>
      </c>
      <c r="C168" t="b">
        <f>_xlfn.XLOOKUP(A168,CONTROL[VEHIDCODE],CONTROL[IS_WAGON_OR_COACH])</f>
        <v>0</v>
      </c>
      <c r="D168">
        <f>FLOOR(_xlfn.XLOOKUP($A168,PROPERTIES[VEHIDCODE],PROPERTIES[INTRODUCTION_YEAR]),20)</f>
        <v>1900</v>
      </c>
      <c r="E168" t="e">
        <f>_xlfn.XLOOKUP($A168,PROPERTIES[VEHIDCODE],#REF!)</f>
        <v>#REF!</v>
      </c>
      <c r="F168" s="25" t="str" cm="1">
        <f t="array" ref="F168">_xlfn.CONCAT(_xlfn.XLOOKUP($A168,PROPERTIES[VEHIDCODE],PROPERTIES[REGION1]),"_",_xlfn.XLOOKUP($A168,PROPERTIES[VEHIDCODE],PROPERTIES[REGION2]),"_",_xlfn.XLOOKUP($A168,PROPERTIES[VEHIDCODE],PROPERTIES[REGION3]&amp;"_"&amp;_xlfn.XLOOKUP($A168,PROPERTIES[VEHIDCODE],PROPERTIES[REGION4])))</f>
        <v>OCEANIA_NO_REGION_NO_REGION_NO_REGION</v>
      </c>
      <c r="G168" t="b">
        <f t="shared" si="18"/>
        <v>0</v>
      </c>
      <c r="H168" t="b">
        <f t="shared" si="25"/>
        <v>0</v>
      </c>
      <c r="I168" t="b">
        <f t="shared" si="19"/>
        <v>0</v>
      </c>
      <c r="J168" t="b">
        <f t="shared" si="26"/>
        <v>0</v>
      </c>
      <c r="K168" t="b">
        <f t="shared" si="20"/>
        <v>0</v>
      </c>
      <c r="L168" t="b">
        <f t="shared" si="21"/>
        <v>0</v>
      </c>
      <c r="M168" t="b">
        <f t="shared" si="22"/>
        <v>0</v>
      </c>
      <c r="N168" t="b">
        <f t="shared" si="23"/>
        <v>0</v>
      </c>
      <c r="O168" t="b">
        <f t="shared" si="24"/>
        <v>1</v>
      </c>
    </row>
    <row r="169" spans="1:15" x14ac:dyDescent="0.35">
      <c r="A169" t="str">
        <v>steam_ALCO_2_8_0_74707_74785_Type_29</v>
      </c>
      <c r="B169" t="b" cm="1">
        <f t="array" ref="B169">_xlfn.XLOOKUP(A169,CONTROL[VEHIDCODE],PROPERTIES[EXCLUDE])</f>
        <v>0</v>
      </c>
      <c r="C169" t="b">
        <f>_xlfn.XLOOKUP(A169,CONTROL[VEHIDCODE],CONTROL[IS_WAGON_OR_COACH])</f>
        <v>0</v>
      </c>
      <c r="D169">
        <f>FLOOR(_xlfn.XLOOKUP($A169,PROPERTIES[VEHIDCODE],PROPERTIES[INTRODUCTION_YEAR]),20)</f>
        <v>1940</v>
      </c>
      <c r="E169" t="e">
        <f>_xlfn.XLOOKUP($A169,PROPERTIES[VEHIDCODE],#REF!)</f>
        <v>#REF!</v>
      </c>
      <c r="F169" s="25" t="str" cm="1">
        <f t="array" ref="F169">_xlfn.CONCAT(_xlfn.XLOOKUP($A169,PROPERTIES[VEHIDCODE],PROPERTIES[REGION1]),"_",_xlfn.XLOOKUP($A169,PROPERTIES[VEHIDCODE],PROPERTIES[REGION2]),"_",_xlfn.XLOOKUP($A169,PROPERTIES[VEHIDCODE],PROPERTIES[REGION3]&amp;"_"&amp;_xlfn.XLOOKUP($A169,PROPERTIES[VEHIDCODE],PROPERTIES[REGION4])))</f>
        <v>WESTERN_EUROPE_NO_REGION_NO_REGION_NO_REGION</v>
      </c>
      <c r="G169" t="b">
        <f t="shared" si="18"/>
        <v>0</v>
      </c>
      <c r="H169" t="b">
        <f t="shared" si="25"/>
        <v>0</v>
      </c>
      <c r="I169" t="b">
        <f t="shared" si="19"/>
        <v>0</v>
      </c>
      <c r="J169" t="b">
        <f t="shared" si="26"/>
        <v>0</v>
      </c>
      <c r="K169" t="b">
        <f t="shared" si="20"/>
        <v>1</v>
      </c>
      <c r="L169" t="b">
        <f t="shared" si="21"/>
        <v>0</v>
      </c>
      <c r="M169" t="b">
        <f t="shared" si="22"/>
        <v>0</v>
      </c>
      <c r="N169" t="b">
        <f t="shared" si="23"/>
        <v>0</v>
      </c>
      <c r="O169" t="b">
        <f t="shared" si="24"/>
        <v>0</v>
      </c>
    </row>
    <row r="170" spans="1:15" x14ac:dyDescent="0.35">
      <c r="A170" t="str">
        <v>steam_FCAB_4_8_2_Vulcan_Mountain</v>
      </c>
      <c r="B170" t="b" cm="1">
        <f t="array" ref="B170">_xlfn.XLOOKUP(A170,CONTROL[VEHIDCODE],PROPERTIES[EXCLUDE])</f>
        <v>1</v>
      </c>
      <c r="C170" t="b">
        <f>_xlfn.XLOOKUP(A170,CONTROL[VEHIDCODE],CONTROL[IS_WAGON_OR_COACH])</f>
        <v>0</v>
      </c>
      <c r="D170">
        <f>FLOOR(_xlfn.XLOOKUP($A170,PROPERTIES[VEHIDCODE],PROPERTIES[INTRODUCTION_YEAR]),20)</f>
        <v>1940</v>
      </c>
      <c r="E170" t="e">
        <f>_xlfn.XLOOKUP($A170,PROPERTIES[VEHIDCODE],#REF!)</f>
        <v>#REF!</v>
      </c>
      <c r="F170" s="25" t="str" cm="1">
        <f t="array" ref="F170">_xlfn.CONCAT(_xlfn.XLOOKUP($A170,PROPERTIES[VEHIDCODE],PROPERTIES[REGION1]),"_",_xlfn.XLOOKUP($A170,PROPERTIES[VEHIDCODE],PROPERTIES[REGION2]),"_",_xlfn.XLOOKUP($A170,PROPERTIES[VEHIDCODE],PROPERTIES[REGION3]&amp;"_"&amp;_xlfn.XLOOKUP($A170,PROPERTIES[VEHIDCODE],PROPERTIES[REGION4])))</f>
        <v>SOUTH_AMERICA_NO_REGION_NO_REGION_NO_REGION</v>
      </c>
      <c r="G170" t="b">
        <f t="shared" si="18"/>
        <v>0</v>
      </c>
      <c r="H170" t="b">
        <f t="shared" si="25"/>
        <v>0</v>
      </c>
      <c r="I170" t="b">
        <f t="shared" si="19"/>
        <v>0</v>
      </c>
      <c r="J170" t="b">
        <f t="shared" si="26"/>
        <v>0</v>
      </c>
      <c r="K170" t="b">
        <f t="shared" si="20"/>
        <v>0</v>
      </c>
      <c r="L170" t="b">
        <f t="shared" si="21"/>
        <v>0</v>
      </c>
      <c r="M170" t="b">
        <f t="shared" si="22"/>
        <v>0</v>
      </c>
      <c r="N170" t="b">
        <f t="shared" si="23"/>
        <v>1</v>
      </c>
      <c r="O170" t="b">
        <f t="shared" si="24"/>
        <v>0</v>
      </c>
    </row>
    <row r="171" spans="1:15" x14ac:dyDescent="0.35">
      <c r="A171" t="str">
        <v>steam_Datong_QJ_2_10_2_101_3602</v>
      </c>
      <c r="B171" t="b" cm="1">
        <f t="array" ref="B171">_xlfn.XLOOKUP(A171,CONTROL[VEHIDCODE],PROPERTIES[EXCLUDE])</f>
        <v>0</v>
      </c>
      <c r="C171" t="b">
        <f>_xlfn.XLOOKUP(A171,CONTROL[VEHIDCODE],CONTROL[IS_WAGON_OR_COACH])</f>
        <v>0</v>
      </c>
      <c r="D171">
        <f>FLOOR(_xlfn.XLOOKUP($A171,PROPERTIES[VEHIDCODE],PROPERTIES[INTRODUCTION_YEAR]),20)</f>
        <v>1940</v>
      </c>
      <c r="E171" t="e">
        <f>_xlfn.XLOOKUP($A171,PROPERTIES[VEHIDCODE],#REF!)</f>
        <v>#REF!</v>
      </c>
      <c r="F171" s="25" t="str" cm="1">
        <f t="array" ref="F171">_xlfn.CONCAT(_xlfn.XLOOKUP($A171,PROPERTIES[VEHIDCODE],PROPERTIES[REGION1]),"_",_xlfn.XLOOKUP($A171,PROPERTIES[VEHIDCODE],PROPERTIES[REGION2]),"_",_xlfn.XLOOKUP($A171,PROPERTIES[VEHIDCODE],PROPERTIES[REGION3]&amp;"_"&amp;_xlfn.XLOOKUP($A171,PROPERTIES[VEHIDCODE],PROPERTIES[REGION4])))</f>
        <v>ASIA_NO_REGION_NO_REGION_NO_REGION</v>
      </c>
      <c r="G171" t="b">
        <f t="shared" si="18"/>
        <v>0</v>
      </c>
      <c r="H171" t="b">
        <f t="shared" si="25"/>
        <v>1</v>
      </c>
      <c r="I171" t="b">
        <f t="shared" si="19"/>
        <v>0</v>
      </c>
      <c r="J171" t="b">
        <f t="shared" si="26"/>
        <v>0</v>
      </c>
      <c r="K171" t="b">
        <f t="shared" si="20"/>
        <v>0</v>
      </c>
      <c r="L171" t="b">
        <f t="shared" si="21"/>
        <v>0</v>
      </c>
      <c r="M171" t="b">
        <f t="shared" si="22"/>
        <v>0</v>
      </c>
      <c r="N171" t="b">
        <f t="shared" si="23"/>
        <v>0</v>
      </c>
      <c r="O171" t="b">
        <f t="shared" si="24"/>
        <v>0</v>
      </c>
    </row>
    <row r="172" spans="1:15" x14ac:dyDescent="0.35">
      <c r="A172" t="str">
        <v>diesel_DB_Kof_II___DB_322</v>
      </c>
      <c r="B172" t="b" cm="1">
        <f t="array" ref="B172">_xlfn.XLOOKUP(A172,CONTROL[VEHIDCODE],PROPERTIES[EXCLUDE])</f>
        <v>0</v>
      </c>
      <c r="C172" t="b">
        <f>_xlfn.XLOOKUP(A172,CONTROL[VEHIDCODE],CONTROL[IS_WAGON_OR_COACH])</f>
        <v>0</v>
      </c>
      <c r="D172">
        <f>FLOOR(_xlfn.XLOOKUP($A172,PROPERTIES[VEHIDCODE],PROPERTIES[INTRODUCTION_YEAR]),20)</f>
        <v>1920</v>
      </c>
      <c r="E172" t="e">
        <f>_xlfn.XLOOKUP($A172,PROPERTIES[VEHIDCODE],#REF!)</f>
        <v>#REF!</v>
      </c>
      <c r="F172" s="25" t="str" cm="1">
        <f t="array" ref="F172">_xlfn.CONCAT(_xlfn.XLOOKUP($A172,PROPERTIES[VEHIDCODE],PROPERTIES[REGION1]),"_",_xlfn.XLOOKUP($A172,PROPERTIES[VEHIDCODE],PROPERTIES[REGION2]),"_",_xlfn.XLOOKUP($A172,PROPERTIES[VEHIDCODE],PROPERTIES[REGION3]&amp;"_"&amp;_xlfn.XLOOKUP($A172,PROPERTIES[VEHIDCODE],PROPERTIES[REGION4])))</f>
        <v>ALL_EUROPE_NO_REGION_NO_REGION_NO_REGION</v>
      </c>
      <c r="G172" t="b">
        <f t="shared" si="18"/>
        <v>0</v>
      </c>
      <c r="H172" t="b">
        <f t="shared" si="25"/>
        <v>0</v>
      </c>
      <c r="I172" t="b">
        <f t="shared" si="19"/>
        <v>1</v>
      </c>
      <c r="J172" t="b">
        <f t="shared" si="26"/>
        <v>1</v>
      </c>
      <c r="K172" t="b">
        <f t="shared" si="20"/>
        <v>1</v>
      </c>
      <c r="L172" t="b">
        <f t="shared" si="21"/>
        <v>1</v>
      </c>
      <c r="M172" t="b">
        <f t="shared" si="22"/>
        <v>0</v>
      </c>
      <c r="N172" t="b">
        <f t="shared" si="23"/>
        <v>0</v>
      </c>
      <c r="O172" t="b">
        <f t="shared" si="24"/>
        <v>0</v>
      </c>
    </row>
    <row r="173" spans="1:15" x14ac:dyDescent="0.35">
      <c r="A173" t="str">
        <v>diesel_CNJ_ALCo_GE_IR_Boxcab_100T</v>
      </c>
      <c r="B173" t="b" cm="1">
        <f t="array" ref="B173">_xlfn.XLOOKUP(A173,CONTROL[VEHIDCODE],PROPERTIES[EXCLUDE])</f>
        <v>0</v>
      </c>
      <c r="C173" t="b">
        <f>_xlfn.XLOOKUP(A173,CONTROL[VEHIDCODE],CONTROL[IS_WAGON_OR_COACH])</f>
        <v>0</v>
      </c>
      <c r="D173">
        <f>FLOOR(_xlfn.XLOOKUP($A173,PROPERTIES[VEHIDCODE],PROPERTIES[INTRODUCTION_YEAR]),20)</f>
        <v>1920</v>
      </c>
      <c r="E173" t="e">
        <f>_xlfn.XLOOKUP($A173,PROPERTIES[VEHIDCODE],#REF!)</f>
        <v>#REF!</v>
      </c>
      <c r="F173" s="25" t="str" cm="1">
        <f t="array" ref="F173">_xlfn.CONCAT(_xlfn.XLOOKUP($A173,PROPERTIES[VEHIDCODE],PROPERTIES[REGION1]),"_",_xlfn.XLOOKUP($A173,PROPERTIES[VEHIDCODE],PROPERTIES[REGION2]),"_",_xlfn.XLOOKUP($A173,PROPERTIES[VEHIDCODE],PROPERTIES[REGION3]&amp;"_"&amp;_xlfn.XLOOKUP($A173,PROPERTIES[VEHIDCODE],PROPERTIES[REGION4])))</f>
        <v>NORTH_AMERICA_NO_REGION_NO_REGION_NO_REGION</v>
      </c>
      <c r="G173" t="b">
        <f t="shared" si="18"/>
        <v>0</v>
      </c>
      <c r="H173" t="b">
        <f t="shared" si="25"/>
        <v>0</v>
      </c>
      <c r="I173" t="b">
        <f t="shared" si="19"/>
        <v>0</v>
      </c>
      <c r="J173" t="b">
        <f t="shared" si="26"/>
        <v>0</v>
      </c>
      <c r="K173" t="b">
        <f t="shared" si="20"/>
        <v>0</v>
      </c>
      <c r="L173" t="b">
        <f t="shared" si="21"/>
        <v>0</v>
      </c>
      <c r="M173" t="b">
        <f t="shared" si="22"/>
        <v>1</v>
      </c>
      <c r="N173" t="b">
        <f t="shared" si="23"/>
        <v>0</v>
      </c>
      <c r="O173" t="b">
        <f t="shared" si="24"/>
        <v>0</v>
      </c>
    </row>
    <row r="174" spans="1:15" x14ac:dyDescent="0.35">
      <c r="A174" t="str">
        <v>diesel_Werkspoor_200_Sik</v>
      </c>
      <c r="B174" t="b" cm="1">
        <f t="array" ref="B174">_xlfn.XLOOKUP(A174,CONTROL[VEHIDCODE],PROPERTIES[EXCLUDE])</f>
        <v>0</v>
      </c>
      <c r="C174" t="b">
        <f>_xlfn.XLOOKUP(A174,CONTROL[VEHIDCODE],CONTROL[IS_WAGON_OR_COACH])</f>
        <v>0</v>
      </c>
      <c r="D174">
        <f>FLOOR(_xlfn.XLOOKUP($A174,PROPERTIES[VEHIDCODE],PROPERTIES[INTRODUCTION_YEAR]),20)</f>
        <v>1920</v>
      </c>
      <c r="E174" t="e">
        <f>_xlfn.XLOOKUP($A174,PROPERTIES[VEHIDCODE],#REF!)</f>
        <v>#REF!</v>
      </c>
      <c r="F174" s="25" t="str" cm="1">
        <f t="array" ref="F174">_xlfn.CONCAT(_xlfn.XLOOKUP($A174,PROPERTIES[VEHIDCODE],PROPERTIES[REGION1]),"_",_xlfn.XLOOKUP($A174,PROPERTIES[VEHIDCODE],PROPERTIES[REGION2]),"_",_xlfn.XLOOKUP($A174,PROPERTIES[VEHIDCODE],PROPERTIES[REGION3]&amp;"_"&amp;_xlfn.XLOOKUP($A174,PROPERTIES[VEHIDCODE],PROPERTIES[REGION4])))</f>
        <v>WESTERN_EUROPE_NO_REGION_NO_REGION_NO_REGION</v>
      </c>
      <c r="G174" t="b">
        <f t="shared" si="18"/>
        <v>0</v>
      </c>
      <c r="H174" t="b">
        <f t="shared" si="25"/>
        <v>0</v>
      </c>
      <c r="I174" t="b">
        <f t="shared" si="19"/>
        <v>0</v>
      </c>
      <c r="J174" t="b">
        <f t="shared" si="26"/>
        <v>0</v>
      </c>
      <c r="K174" t="b">
        <f t="shared" si="20"/>
        <v>1</v>
      </c>
      <c r="L174" t="b">
        <f t="shared" si="21"/>
        <v>0</v>
      </c>
      <c r="M174" t="b">
        <f t="shared" si="22"/>
        <v>0</v>
      </c>
      <c r="N174" t="b">
        <f t="shared" si="23"/>
        <v>0</v>
      </c>
      <c r="O174" t="b">
        <f t="shared" si="24"/>
        <v>0</v>
      </c>
    </row>
    <row r="175" spans="1:15" x14ac:dyDescent="0.35">
      <c r="A175" t="str">
        <v>diesel_BMAG_WR_200_B_14</v>
      </c>
      <c r="B175" t="b" cm="1">
        <f t="array" ref="B175">_xlfn.XLOOKUP(A175,CONTROL[VEHIDCODE],PROPERTIES[EXCLUDE])</f>
        <v>0</v>
      </c>
      <c r="C175" t="b">
        <f>_xlfn.XLOOKUP(A175,CONTROL[VEHIDCODE],CONTROL[IS_WAGON_OR_COACH])</f>
        <v>0</v>
      </c>
      <c r="D175">
        <f>FLOOR(_xlfn.XLOOKUP($A175,PROPERTIES[VEHIDCODE],PROPERTIES[INTRODUCTION_YEAR]),20)</f>
        <v>1920</v>
      </c>
      <c r="E175" t="e">
        <f>_xlfn.XLOOKUP($A175,PROPERTIES[VEHIDCODE],#REF!)</f>
        <v>#REF!</v>
      </c>
      <c r="F175" s="25" t="str" cm="1">
        <f t="array" ref="F175">_xlfn.CONCAT(_xlfn.XLOOKUP($A175,PROPERTIES[VEHIDCODE],PROPERTIES[REGION1]),"_",_xlfn.XLOOKUP($A175,PROPERTIES[VEHIDCODE],PROPERTIES[REGION2]),"_",_xlfn.XLOOKUP($A175,PROPERTIES[VEHIDCODE],PROPERTIES[REGION3]&amp;"_"&amp;_xlfn.XLOOKUP($A175,PROPERTIES[VEHIDCODE],PROPERTIES[REGION4])))</f>
        <v>WESTERN_EUROPE_NO_REGION_NO_REGION_NO_REGION</v>
      </c>
      <c r="G175" t="b">
        <f t="shared" si="18"/>
        <v>0</v>
      </c>
      <c r="H175" t="b">
        <f t="shared" si="25"/>
        <v>0</v>
      </c>
      <c r="I175" t="b">
        <f t="shared" si="19"/>
        <v>0</v>
      </c>
      <c r="J175" t="b">
        <f t="shared" si="26"/>
        <v>0</v>
      </c>
      <c r="K175" t="b">
        <f t="shared" si="20"/>
        <v>1</v>
      </c>
      <c r="L175" t="b">
        <f t="shared" si="21"/>
        <v>0</v>
      </c>
      <c r="M175" t="b">
        <f t="shared" si="22"/>
        <v>0</v>
      </c>
      <c r="N175" t="b">
        <f t="shared" si="23"/>
        <v>0</v>
      </c>
      <c r="O175" t="b">
        <f t="shared" si="24"/>
        <v>0</v>
      </c>
    </row>
    <row r="176" spans="1:15" x14ac:dyDescent="0.35">
      <c r="A176" t="str">
        <v>diesel_BBC_SLM_Am_4_6</v>
      </c>
      <c r="B176" t="b" cm="1">
        <f t="array" ref="B176">_xlfn.XLOOKUP(A176,CONTROL[VEHIDCODE],PROPERTIES[EXCLUDE])</f>
        <v>0</v>
      </c>
      <c r="C176" t="b">
        <f>_xlfn.XLOOKUP(A176,CONTROL[VEHIDCODE],CONTROL[IS_WAGON_OR_COACH])</f>
        <v>0</v>
      </c>
      <c r="D176">
        <f>FLOOR(_xlfn.XLOOKUP($A176,PROPERTIES[VEHIDCODE],PROPERTIES[INTRODUCTION_YEAR]),20)</f>
        <v>1940</v>
      </c>
      <c r="E176" t="e">
        <f>_xlfn.XLOOKUP($A176,PROPERTIES[VEHIDCODE],#REF!)</f>
        <v>#REF!</v>
      </c>
      <c r="F176" s="25" t="str" cm="1">
        <f t="array" ref="F176">_xlfn.CONCAT(_xlfn.XLOOKUP($A176,PROPERTIES[VEHIDCODE],PROPERTIES[REGION1]),"_",_xlfn.XLOOKUP($A176,PROPERTIES[VEHIDCODE],PROPERTIES[REGION2]),"_",_xlfn.XLOOKUP($A176,PROPERTIES[VEHIDCODE],PROPERTIES[REGION3]&amp;"_"&amp;_xlfn.XLOOKUP($A176,PROPERTIES[VEHIDCODE],PROPERTIES[REGION4])))</f>
        <v>WESTERN_EUROPE_NO_REGION_NO_REGION_NO_REGION</v>
      </c>
      <c r="G176" t="b">
        <f t="shared" si="18"/>
        <v>0</v>
      </c>
      <c r="H176" t="b">
        <f t="shared" si="25"/>
        <v>0</v>
      </c>
      <c r="I176" t="b">
        <f t="shared" si="19"/>
        <v>0</v>
      </c>
      <c r="J176" t="b">
        <f t="shared" si="26"/>
        <v>0</v>
      </c>
      <c r="K176" t="b">
        <f t="shared" si="20"/>
        <v>1</v>
      </c>
      <c r="L176" t="b">
        <f t="shared" si="21"/>
        <v>0</v>
      </c>
      <c r="M176" t="b">
        <f t="shared" si="22"/>
        <v>0</v>
      </c>
      <c r="N176" t="b">
        <f t="shared" si="23"/>
        <v>0</v>
      </c>
      <c r="O176" t="b">
        <f t="shared" si="24"/>
        <v>0</v>
      </c>
    </row>
    <row r="177" spans="1:15" x14ac:dyDescent="0.35">
      <c r="A177" t="str">
        <v>diesel_GE_44_ton_switcher</v>
      </c>
      <c r="B177" t="b" cm="1">
        <f t="array" ref="B177">_xlfn.XLOOKUP(A177,CONTROL[VEHIDCODE],PROPERTIES[EXCLUDE])</f>
        <v>0</v>
      </c>
      <c r="C177" t="b">
        <f>_xlfn.XLOOKUP(A177,CONTROL[VEHIDCODE],CONTROL[IS_WAGON_OR_COACH])</f>
        <v>0</v>
      </c>
      <c r="D177">
        <f>FLOOR(_xlfn.XLOOKUP($A177,PROPERTIES[VEHIDCODE],PROPERTIES[INTRODUCTION_YEAR]),20)</f>
        <v>1940</v>
      </c>
      <c r="E177" t="e">
        <f>_xlfn.XLOOKUP($A177,PROPERTIES[VEHIDCODE],#REF!)</f>
        <v>#REF!</v>
      </c>
      <c r="F177" s="25" t="str" cm="1">
        <f t="array" ref="F177">_xlfn.CONCAT(_xlfn.XLOOKUP($A177,PROPERTIES[VEHIDCODE],PROPERTIES[REGION1]),"_",_xlfn.XLOOKUP($A177,PROPERTIES[VEHIDCODE],PROPERTIES[REGION2]),"_",_xlfn.XLOOKUP($A177,PROPERTIES[VEHIDCODE],PROPERTIES[REGION3]&amp;"_"&amp;_xlfn.XLOOKUP($A177,PROPERTIES[VEHIDCODE],PROPERTIES[REGION4])))</f>
        <v>APAC_ALL_AMERICA_NORTH_WEST_EUROPE_NORTH_WEST_EUROPE</v>
      </c>
      <c r="G177" t="b">
        <f t="shared" si="18"/>
        <v>0</v>
      </c>
      <c r="H177" t="b">
        <f t="shared" si="25"/>
        <v>1</v>
      </c>
      <c r="I177" t="b">
        <f t="shared" si="19"/>
        <v>0</v>
      </c>
      <c r="J177" t="b">
        <f t="shared" si="26"/>
        <v>0</v>
      </c>
      <c r="K177" t="b">
        <f t="shared" si="20"/>
        <v>1</v>
      </c>
      <c r="L177" t="b">
        <f t="shared" si="21"/>
        <v>1</v>
      </c>
      <c r="M177" t="b">
        <f t="shared" si="22"/>
        <v>1</v>
      </c>
      <c r="N177" t="b">
        <f t="shared" si="23"/>
        <v>1</v>
      </c>
      <c r="O177" t="b">
        <f t="shared" si="24"/>
        <v>1</v>
      </c>
    </row>
    <row r="178" spans="1:15" x14ac:dyDescent="0.35">
      <c r="A178" t="str">
        <v>diesel_ALCO_S_2</v>
      </c>
      <c r="B178" t="b" cm="1">
        <f t="array" ref="B178">_xlfn.XLOOKUP(A178,CONTROL[VEHIDCODE],PROPERTIES[EXCLUDE])</f>
        <v>0</v>
      </c>
      <c r="C178" t="b">
        <f>_xlfn.XLOOKUP(A178,CONTROL[VEHIDCODE],CONTROL[IS_WAGON_OR_COACH])</f>
        <v>0</v>
      </c>
      <c r="D178">
        <f>FLOOR(_xlfn.XLOOKUP($A178,PROPERTIES[VEHIDCODE],PROPERTIES[INTRODUCTION_YEAR]),20)</f>
        <v>1940</v>
      </c>
      <c r="E178" t="e">
        <f>_xlfn.XLOOKUP($A178,PROPERTIES[VEHIDCODE],#REF!)</f>
        <v>#REF!</v>
      </c>
      <c r="F178" s="25" t="str" cm="1">
        <f t="array" ref="F178">_xlfn.CONCAT(_xlfn.XLOOKUP($A178,PROPERTIES[VEHIDCODE],PROPERTIES[REGION1]),"_",_xlfn.XLOOKUP($A178,PROPERTIES[VEHIDCODE],PROPERTIES[REGION2]),"_",_xlfn.XLOOKUP($A178,PROPERTIES[VEHIDCODE],PROPERTIES[REGION3]&amp;"_"&amp;_xlfn.XLOOKUP($A178,PROPERTIES[VEHIDCODE],PROPERTIES[REGION4])))</f>
        <v>NORTH_AMERICA_OCEANIA_NO_REGION_NO_REGION</v>
      </c>
      <c r="G178" t="b">
        <f t="shared" si="18"/>
        <v>0</v>
      </c>
      <c r="H178" t="b">
        <f t="shared" si="25"/>
        <v>0</v>
      </c>
      <c r="I178" t="b">
        <f t="shared" si="19"/>
        <v>0</v>
      </c>
      <c r="J178" t="b">
        <f t="shared" si="26"/>
        <v>0</v>
      </c>
      <c r="K178" t="b">
        <f t="shared" si="20"/>
        <v>0</v>
      </c>
      <c r="L178" t="b">
        <f t="shared" si="21"/>
        <v>0</v>
      </c>
      <c r="M178" t="b">
        <f t="shared" si="22"/>
        <v>1</v>
      </c>
      <c r="N178" t="b">
        <f t="shared" si="23"/>
        <v>0</v>
      </c>
      <c r="O178" t="b">
        <f t="shared" si="24"/>
        <v>1</v>
      </c>
    </row>
    <row r="179" spans="1:15" x14ac:dyDescent="0.35">
      <c r="A179" t="str">
        <v>diesel_EMD_F3</v>
      </c>
      <c r="B179" t="b" cm="1">
        <f t="array" ref="B179">_xlfn.XLOOKUP(A179,CONTROL[VEHIDCODE],PROPERTIES[EXCLUDE])</f>
        <v>0</v>
      </c>
      <c r="C179" t="b">
        <f>_xlfn.XLOOKUP(A179,CONTROL[VEHIDCODE],CONTROL[IS_WAGON_OR_COACH])</f>
        <v>0</v>
      </c>
      <c r="D179">
        <f>FLOOR(_xlfn.XLOOKUP($A179,PROPERTIES[VEHIDCODE],PROPERTIES[INTRODUCTION_YEAR]),20)</f>
        <v>1940</v>
      </c>
      <c r="E179" t="e">
        <f>_xlfn.XLOOKUP($A179,PROPERTIES[VEHIDCODE],#REF!)</f>
        <v>#REF!</v>
      </c>
      <c r="F179" s="25" t="str" cm="1">
        <f t="array" ref="F179">_xlfn.CONCAT(_xlfn.XLOOKUP($A179,PROPERTIES[VEHIDCODE],PROPERTIES[REGION1]),"_",_xlfn.XLOOKUP($A179,PROPERTIES[VEHIDCODE],PROPERTIES[REGION2]),"_",_xlfn.XLOOKUP($A179,PROPERTIES[VEHIDCODE],PROPERTIES[REGION3]&amp;"_"&amp;_xlfn.XLOOKUP($A179,PROPERTIES[VEHIDCODE],PROPERTIES[REGION4])))</f>
        <v>NORTH_AMERICA_NO_REGION_NO_REGION_NO_REGION</v>
      </c>
      <c r="G179" t="b">
        <f t="shared" si="18"/>
        <v>0</v>
      </c>
      <c r="H179" t="b">
        <f t="shared" si="25"/>
        <v>0</v>
      </c>
      <c r="I179" t="b">
        <f t="shared" si="19"/>
        <v>0</v>
      </c>
      <c r="J179" t="b">
        <f t="shared" si="26"/>
        <v>0</v>
      </c>
      <c r="K179" t="b">
        <f t="shared" si="20"/>
        <v>0</v>
      </c>
      <c r="L179" t="b">
        <f t="shared" si="21"/>
        <v>0</v>
      </c>
      <c r="M179" t="b">
        <f t="shared" si="22"/>
        <v>1</v>
      </c>
      <c r="N179" t="b">
        <f t="shared" si="23"/>
        <v>0</v>
      </c>
      <c r="O179" t="b">
        <f t="shared" si="24"/>
        <v>0</v>
      </c>
    </row>
    <row r="180" spans="1:15" x14ac:dyDescent="0.35">
      <c r="A180" t="str">
        <v>diesel_EMD_E8</v>
      </c>
      <c r="B180" t="b" cm="1">
        <f t="array" ref="B180">_xlfn.XLOOKUP(A180,CONTROL[VEHIDCODE],PROPERTIES[EXCLUDE])</f>
        <v>0</v>
      </c>
      <c r="C180" t="b">
        <f>_xlfn.XLOOKUP(A180,CONTROL[VEHIDCODE],CONTROL[IS_WAGON_OR_COACH])</f>
        <v>0</v>
      </c>
      <c r="D180">
        <f>FLOOR(_xlfn.XLOOKUP($A180,PROPERTIES[VEHIDCODE],PROPERTIES[INTRODUCTION_YEAR]),20)</f>
        <v>1940</v>
      </c>
      <c r="E180" t="e">
        <f>_xlfn.XLOOKUP($A180,PROPERTIES[VEHIDCODE],#REF!)</f>
        <v>#REF!</v>
      </c>
      <c r="F180" s="25" t="str" cm="1">
        <f t="array" ref="F180">_xlfn.CONCAT(_xlfn.XLOOKUP($A180,PROPERTIES[VEHIDCODE],PROPERTIES[REGION1]),"_",_xlfn.XLOOKUP($A180,PROPERTIES[VEHIDCODE],PROPERTIES[REGION2]),"_",_xlfn.XLOOKUP($A180,PROPERTIES[VEHIDCODE],PROPERTIES[REGION3]&amp;"_"&amp;_xlfn.XLOOKUP($A180,PROPERTIES[VEHIDCODE],PROPERTIES[REGION4])))</f>
        <v>NORTH_AMERICA_NO_REGION_NO_REGION_NO_REGION</v>
      </c>
      <c r="G180" t="b">
        <f t="shared" si="18"/>
        <v>0</v>
      </c>
      <c r="H180" t="b">
        <f t="shared" si="25"/>
        <v>0</v>
      </c>
      <c r="I180" t="b">
        <f t="shared" si="19"/>
        <v>0</v>
      </c>
      <c r="J180" t="b">
        <f t="shared" si="26"/>
        <v>0</v>
      </c>
      <c r="K180" t="b">
        <f t="shared" si="20"/>
        <v>0</v>
      </c>
      <c r="L180" t="b">
        <f t="shared" si="21"/>
        <v>0</v>
      </c>
      <c r="M180" t="b">
        <f t="shared" si="22"/>
        <v>1</v>
      </c>
      <c r="N180" t="b">
        <f t="shared" si="23"/>
        <v>0</v>
      </c>
      <c r="O180" t="b">
        <f t="shared" si="24"/>
        <v>0</v>
      </c>
    </row>
    <row r="181" spans="1:15" x14ac:dyDescent="0.35">
      <c r="A181" t="str">
        <v>diesel_EFCB_ALCO_RS_3</v>
      </c>
      <c r="B181" t="b" cm="1">
        <f t="array" ref="B181">_xlfn.XLOOKUP(A181,CONTROL[VEHIDCODE],PROPERTIES[EXCLUDE])</f>
        <v>0</v>
      </c>
      <c r="C181" t="b">
        <f>_xlfn.XLOOKUP(A181,CONTROL[VEHIDCODE],CONTROL[IS_WAGON_OR_COACH])</f>
        <v>0</v>
      </c>
      <c r="D181">
        <f>FLOOR(_xlfn.XLOOKUP($A181,PROPERTIES[VEHIDCODE],PROPERTIES[INTRODUCTION_YEAR]),20)</f>
        <v>1940</v>
      </c>
      <c r="E181" t="e">
        <f>_xlfn.XLOOKUP($A181,PROPERTIES[VEHIDCODE],#REF!)</f>
        <v>#REF!</v>
      </c>
      <c r="F181" s="25" t="str" cm="1">
        <f t="array" ref="F181">_xlfn.CONCAT(_xlfn.XLOOKUP($A181,PROPERTIES[VEHIDCODE],PROPERTIES[REGION1]),"_",_xlfn.XLOOKUP($A181,PROPERTIES[VEHIDCODE],PROPERTIES[REGION2]),"_",_xlfn.XLOOKUP($A181,PROPERTIES[VEHIDCODE],PROPERTIES[REGION3]&amp;"_"&amp;_xlfn.XLOOKUP($A181,PROPERTIES[VEHIDCODE],PROPERTIES[REGION4])))</f>
        <v>ALL_AMERICA_SOUTHERN_EUROPE_NO_REGION_NO_REGION</v>
      </c>
      <c r="G181" t="b">
        <f t="shared" si="18"/>
        <v>0</v>
      </c>
      <c r="H181" t="b">
        <f t="shared" si="25"/>
        <v>0</v>
      </c>
      <c r="I181" t="b">
        <f t="shared" si="19"/>
        <v>1</v>
      </c>
      <c r="J181" t="b">
        <f t="shared" si="26"/>
        <v>0</v>
      </c>
      <c r="K181" t="b">
        <f t="shared" si="20"/>
        <v>0</v>
      </c>
      <c r="L181" t="b">
        <f t="shared" si="21"/>
        <v>0</v>
      </c>
      <c r="M181" t="b">
        <f t="shared" si="22"/>
        <v>1</v>
      </c>
      <c r="N181" t="b">
        <f t="shared" si="23"/>
        <v>1</v>
      </c>
      <c r="O181" t="b">
        <f t="shared" si="24"/>
        <v>0</v>
      </c>
    </row>
    <row r="182" spans="1:15" x14ac:dyDescent="0.35">
      <c r="A182" t="str">
        <v>diesel_English_Electric_Bakkie</v>
      </c>
      <c r="B182" t="b" cm="1">
        <f t="array" ref="B182">_xlfn.XLOOKUP(A182,CONTROL[VEHIDCODE],PROPERTIES[EXCLUDE])</f>
        <v>0</v>
      </c>
      <c r="C182" t="b">
        <f>_xlfn.XLOOKUP(A182,CONTROL[VEHIDCODE],CONTROL[IS_WAGON_OR_COACH])</f>
        <v>0</v>
      </c>
      <c r="D182">
        <f>FLOOR(_xlfn.XLOOKUP($A182,PROPERTIES[VEHIDCODE],PROPERTIES[INTRODUCTION_YEAR]),20)</f>
        <v>1940</v>
      </c>
      <c r="E182" t="e">
        <f>_xlfn.XLOOKUP($A182,PROPERTIES[VEHIDCODE],#REF!)</f>
        <v>#REF!</v>
      </c>
      <c r="F182" s="25" t="str" cm="1">
        <f t="array" ref="F182">_xlfn.CONCAT(_xlfn.XLOOKUP($A182,PROPERTIES[VEHIDCODE],PROPERTIES[REGION1]),"_",_xlfn.XLOOKUP($A182,PROPERTIES[VEHIDCODE],PROPERTIES[REGION2]),"_",_xlfn.XLOOKUP($A182,PROPERTIES[VEHIDCODE],PROPERTIES[REGION3]&amp;"_"&amp;_xlfn.XLOOKUP($A182,PROPERTIES[VEHIDCODE],PROPERTIES[REGION4])))</f>
        <v>NORTH_WEST_EUROPE_NO_REGION_NO_REGION_NO_REGION</v>
      </c>
      <c r="G182" t="b">
        <f t="shared" si="18"/>
        <v>0</v>
      </c>
      <c r="H182" t="b">
        <f t="shared" si="25"/>
        <v>0</v>
      </c>
      <c r="I182" t="b">
        <f t="shared" si="19"/>
        <v>0</v>
      </c>
      <c r="J182" t="b">
        <f t="shared" si="26"/>
        <v>0</v>
      </c>
      <c r="K182" t="b">
        <f t="shared" si="20"/>
        <v>1</v>
      </c>
      <c r="L182" t="b">
        <f t="shared" si="21"/>
        <v>1</v>
      </c>
      <c r="M182" t="b">
        <f t="shared" si="22"/>
        <v>0</v>
      </c>
      <c r="N182" t="b">
        <f t="shared" si="23"/>
        <v>0</v>
      </c>
      <c r="O182" t="b">
        <f t="shared" si="24"/>
        <v>0</v>
      </c>
    </row>
    <row r="183" spans="1:15" x14ac:dyDescent="0.35">
      <c r="A183" t="str">
        <v>diesel_Baldwin_RF_16_Sharknose</v>
      </c>
      <c r="B183" t="b" cm="1">
        <f t="array" ref="B183">_xlfn.XLOOKUP(A183,CONTROL[VEHIDCODE],PROPERTIES[EXCLUDE])</f>
        <v>0</v>
      </c>
      <c r="C183" t="b">
        <f>_xlfn.XLOOKUP(A183,CONTROL[VEHIDCODE],CONTROL[IS_WAGON_OR_COACH])</f>
        <v>0</v>
      </c>
      <c r="D183">
        <f>FLOOR(_xlfn.XLOOKUP($A183,PROPERTIES[VEHIDCODE],PROPERTIES[INTRODUCTION_YEAR]),20)</f>
        <v>1940</v>
      </c>
      <c r="E183" t="e">
        <f>_xlfn.XLOOKUP($A183,PROPERTIES[VEHIDCODE],#REF!)</f>
        <v>#REF!</v>
      </c>
      <c r="F183" s="25" t="str" cm="1">
        <f t="array" ref="F183">_xlfn.CONCAT(_xlfn.XLOOKUP($A183,PROPERTIES[VEHIDCODE],PROPERTIES[REGION1]),"_",_xlfn.XLOOKUP($A183,PROPERTIES[VEHIDCODE],PROPERTIES[REGION2]),"_",_xlfn.XLOOKUP($A183,PROPERTIES[VEHIDCODE],PROPERTIES[REGION3]&amp;"_"&amp;_xlfn.XLOOKUP($A183,PROPERTIES[VEHIDCODE],PROPERTIES[REGION4])))</f>
        <v>NORTH_AMERICA_NO_REGION_NO_REGION_NO_REGION</v>
      </c>
      <c r="G183" t="b">
        <f t="shared" si="18"/>
        <v>0</v>
      </c>
      <c r="H183" t="b">
        <f t="shared" si="25"/>
        <v>0</v>
      </c>
      <c r="I183" t="b">
        <f t="shared" si="19"/>
        <v>0</v>
      </c>
      <c r="J183" t="b">
        <f t="shared" si="26"/>
        <v>0</v>
      </c>
      <c r="K183" t="b">
        <f t="shared" si="20"/>
        <v>0</v>
      </c>
      <c r="L183" t="b">
        <f t="shared" si="21"/>
        <v>0</v>
      </c>
      <c r="M183" t="b">
        <f t="shared" si="22"/>
        <v>1</v>
      </c>
      <c r="N183" t="b">
        <f t="shared" si="23"/>
        <v>0</v>
      </c>
      <c r="O183" t="b">
        <f t="shared" si="24"/>
        <v>0</v>
      </c>
    </row>
    <row r="184" spans="1:15" x14ac:dyDescent="0.35">
      <c r="A184" t="str">
        <v>diesel_AFE_1500</v>
      </c>
      <c r="B184" t="b" cm="1">
        <f t="array" ref="B184">_xlfn.XLOOKUP(A184,CONTROL[VEHIDCODE],PROPERTIES[EXCLUDE])</f>
        <v>0</v>
      </c>
      <c r="C184" t="b">
        <f>_xlfn.XLOOKUP(A184,CONTROL[VEHIDCODE],CONTROL[IS_WAGON_OR_COACH])</f>
        <v>0</v>
      </c>
      <c r="D184">
        <f>FLOOR(_xlfn.XLOOKUP($A184,PROPERTIES[VEHIDCODE],PROPERTIES[INTRODUCTION_YEAR]),20)</f>
        <v>1940</v>
      </c>
      <c r="E184" t="e">
        <f>_xlfn.XLOOKUP($A184,PROPERTIES[VEHIDCODE],#REF!)</f>
        <v>#REF!</v>
      </c>
      <c r="F184" s="25" t="str" cm="1">
        <f t="array" ref="F184">_xlfn.CONCAT(_xlfn.XLOOKUP($A184,PROPERTIES[VEHIDCODE],PROPERTIES[REGION1]),"_",_xlfn.XLOOKUP($A184,PROPERTIES[VEHIDCODE],PROPERTIES[REGION2]),"_",_xlfn.XLOOKUP($A184,PROPERTIES[VEHIDCODE],PROPERTIES[REGION3]&amp;"_"&amp;_xlfn.XLOOKUP($A184,PROPERTIES[VEHIDCODE],PROPERTIES[REGION4])))</f>
        <v>SOUTH_AMERICA_NO_REGION_NO_REGION_NO_REGION</v>
      </c>
      <c r="G184" t="b">
        <f t="shared" si="18"/>
        <v>0</v>
      </c>
      <c r="H184" t="b">
        <f t="shared" si="25"/>
        <v>0</v>
      </c>
      <c r="I184" t="b">
        <f t="shared" si="19"/>
        <v>0</v>
      </c>
      <c r="J184" t="b">
        <f t="shared" si="26"/>
        <v>0</v>
      </c>
      <c r="K184" t="b">
        <f t="shared" si="20"/>
        <v>0</v>
      </c>
      <c r="L184" t="b">
        <f t="shared" si="21"/>
        <v>0</v>
      </c>
      <c r="M184" t="b">
        <f t="shared" si="22"/>
        <v>0</v>
      </c>
      <c r="N184" t="b">
        <f t="shared" si="23"/>
        <v>1</v>
      </c>
      <c r="O184" t="b">
        <f t="shared" si="24"/>
        <v>0</v>
      </c>
    </row>
    <row r="185" spans="1:15" x14ac:dyDescent="0.35">
      <c r="A185" t="str">
        <v>diesel_FM_H_24_66_Trainmaster</v>
      </c>
      <c r="B185" t="b" cm="1">
        <f t="array" ref="B185">_xlfn.XLOOKUP(A185,CONTROL[VEHIDCODE],PROPERTIES[EXCLUDE])</f>
        <v>0</v>
      </c>
      <c r="C185" t="b">
        <f>_xlfn.XLOOKUP(A185,CONTROL[VEHIDCODE],CONTROL[IS_WAGON_OR_COACH])</f>
        <v>0</v>
      </c>
      <c r="D185">
        <f>FLOOR(_xlfn.XLOOKUP($A185,PROPERTIES[VEHIDCODE],PROPERTIES[INTRODUCTION_YEAR]),20)</f>
        <v>1940</v>
      </c>
      <c r="E185" t="e">
        <f>_xlfn.XLOOKUP($A185,PROPERTIES[VEHIDCODE],#REF!)</f>
        <v>#REF!</v>
      </c>
      <c r="F185" s="25" t="str" cm="1">
        <f t="array" ref="F185">_xlfn.CONCAT(_xlfn.XLOOKUP($A185,PROPERTIES[VEHIDCODE],PROPERTIES[REGION1]),"_",_xlfn.XLOOKUP($A185,PROPERTIES[VEHIDCODE],PROPERTIES[REGION2]),"_",_xlfn.XLOOKUP($A185,PROPERTIES[VEHIDCODE],PROPERTIES[REGION3]&amp;"_"&amp;_xlfn.XLOOKUP($A185,PROPERTIES[VEHIDCODE],PROPERTIES[REGION4])))</f>
        <v>NORTH_AMERICA_NO_REGION_NO_REGION_NO_REGION</v>
      </c>
      <c r="G185" t="b">
        <f t="shared" si="18"/>
        <v>0</v>
      </c>
      <c r="H185" t="b">
        <f t="shared" si="25"/>
        <v>0</v>
      </c>
      <c r="I185" t="b">
        <f t="shared" si="19"/>
        <v>0</v>
      </c>
      <c r="J185" t="b">
        <f t="shared" si="26"/>
        <v>0</v>
      </c>
      <c r="K185" t="b">
        <f t="shared" si="20"/>
        <v>0</v>
      </c>
      <c r="L185" t="b">
        <f t="shared" si="21"/>
        <v>0</v>
      </c>
      <c r="M185" t="b">
        <f t="shared" si="22"/>
        <v>1</v>
      </c>
      <c r="N185" t="b">
        <f t="shared" si="23"/>
        <v>0</v>
      </c>
      <c r="O185" t="b">
        <f t="shared" si="24"/>
        <v>0</v>
      </c>
    </row>
    <row r="186" spans="1:15" x14ac:dyDescent="0.35">
      <c r="A186" t="str">
        <v>diesel_BR_Class_08_0_6_0DE</v>
      </c>
      <c r="B186" t="b" cm="1">
        <f t="array" ref="B186">_xlfn.XLOOKUP(A186,CONTROL[VEHIDCODE],PROPERTIES[EXCLUDE])</f>
        <v>0</v>
      </c>
      <c r="C186" t="b">
        <f>_xlfn.XLOOKUP(A186,CONTROL[VEHIDCODE],CONTROL[IS_WAGON_OR_COACH])</f>
        <v>0</v>
      </c>
      <c r="D186">
        <f>FLOOR(_xlfn.XLOOKUP($A186,PROPERTIES[VEHIDCODE],PROPERTIES[INTRODUCTION_YEAR]),20)</f>
        <v>1940</v>
      </c>
      <c r="E186" t="e">
        <f>_xlfn.XLOOKUP($A186,PROPERTIES[VEHIDCODE],#REF!)</f>
        <v>#REF!</v>
      </c>
      <c r="F186" s="25" t="str" cm="1">
        <f t="array" ref="F186">_xlfn.CONCAT(_xlfn.XLOOKUP($A186,PROPERTIES[VEHIDCODE],PROPERTIES[REGION1]),"_",_xlfn.XLOOKUP($A186,PROPERTIES[VEHIDCODE],PROPERTIES[REGION2]),"_",_xlfn.XLOOKUP($A186,PROPERTIES[VEHIDCODE],PROPERTIES[REGION3]&amp;"_"&amp;_xlfn.XLOOKUP($A186,PROPERTIES[VEHIDCODE],PROPERTIES[REGION4])))</f>
        <v>AFRICA_NORTHERN_EUROPE_NO_REGION_NO_REGION</v>
      </c>
      <c r="G186" t="b">
        <f t="shared" si="18"/>
        <v>1</v>
      </c>
      <c r="H186" t="b">
        <f t="shared" si="25"/>
        <v>0</v>
      </c>
      <c r="I186" t="b">
        <f t="shared" si="19"/>
        <v>0</v>
      </c>
      <c r="J186" t="b">
        <f t="shared" si="26"/>
        <v>0</v>
      </c>
      <c r="K186" t="b">
        <f t="shared" si="20"/>
        <v>0</v>
      </c>
      <c r="L186" t="b">
        <f t="shared" si="21"/>
        <v>1</v>
      </c>
      <c r="M186" t="b">
        <f t="shared" si="22"/>
        <v>0</v>
      </c>
      <c r="N186" t="b">
        <f t="shared" si="23"/>
        <v>0</v>
      </c>
      <c r="O186" t="b">
        <f t="shared" si="24"/>
        <v>0</v>
      </c>
    </row>
    <row r="187" spans="1:15" x14ac:dyDescent="0.35">
      <c r="A187" t="str">
        <v>diesel_Jenbacher_Werke_2060</v>
      </c>
      <c r="B187" t="b" cm="1">
        <f t="array" ref="B187">_xlfn.XLOOKUP(A187,CONTROL[VEHIDCODE],PROPERTIES[EXCLUDE])</f>
        <v>0</v>
      </c>
      <c r="C187" t="b">
        <f>_xlfn.XLOOKUP(A187,CONTROL[VEHIDCODE],CONTROL[IS_WAGON_OR_COACH])</f>
        <v>0</v>
      </c>
      <c r="D187">
        <f>FLOOR(_xlfn.XLOOKUP($A187,PROPERTIES[VEHIDCODE],PROPERTIES[INTRODUCTION_YEAR]),20)</f>
        <v>1940</v>
      </c>
      <c r="E187" t="e">
        <f>_xlfn.XLOOKUP($A187,PROPERTIES[VEHIDCODE],#REF!)</f>
        <v>#REF!</v>
      </c>
      <c r="F187" s="25" t="str" cm="1">
        <f t="array" ref="F187">_xlfn.CONCAT(_xlfn.XLOOKUP($A187,PROPERTIES[VEHIDCODE],PROPERTIES[REGION1]),"_",_xlfn.XLOOKUP($A187,PROPERTIES[VEHIDCODE],PROPERTIES[REGION2]),"_",_xlfn.XLOOKUP($A187,PROPERTIES[VEHIDCODE],PROPERTIES[REGION3]&amp;"_"&amp;_xlfn.XLOOKUP($A187,PROPERTIES[VEHIDCODE],PROPERTIES[REGION4])))</f>
        <v>WESTERN_EUROPE_EASTERN_EUROPE_NO_REGION_NO_REGION</v>
      </c>
      <c r="G187" t="b">
        <f t="shared" si="18"/>
        <v>0</v>
      </c>
      <c r="H187" t="b">
        <f t="shared" si="25"/>
        <v>0</v>
      </c>
      <c r="I187" t="b">
        <f t="shared" si="19"/>
        <v>0</v>
      </c>
      <c r="J187" t="b">
        <f t="shared" si="26"/>
        <v>1</v>
      </c>
      <c r="K187" t="b">
        <f t="shared" si="20"/>
        <v>1</v>
      </c>
      <c r="L187" t="b">
        <f t="shared" si="21"/>
        <v>0</v>
      </c>
      <c r="M187" t="b">
        <f t="shared" si="22"/>
        <v>0</v>
      </c>
      <c r="N187" t="b">
        <f t="shared" si="23"/>
        <v>0</v>
      </c>
      <c r="O187" t="b">
        <f t="shared" si="24"/>
        <v>0</v>
      </c>
    </row>
    <row r="188" spans="1:15" x14ac:dyDescent="0.35">
      <c r="A188" t="str">
        <v>diesel_EMD_SW1200</v>
      </c>
      <c r="B188" t="b" cm="1">
        <f t="array" ref="B188">_xlfn.XLOOKUP(A188,CONTROL[VEHIDCODE],PROPERTIES[EXCLUDE])</f>
        <v>0</v>
      </c>
      <c r="C188" t="b">
        <f>_xlfn.XLOOKUP(A188,CONTROL[VEHIDCODE],CONTROL[IS_WAGON_OR_COACH])</f>
        <v>0</v>
      </c>
      <c r="D188">
        <f>FLOOR(_xlfn.XLOOKUP($A188,PROPERTIES[VEHIDCODE],PROPERTIES[INTRODUCTION_YEAR]),20)</f>
        <v>1940</v>
      </c>
      <c r="E188" t="e">
        <f>_xlfn.XLOOKUP($A188,PROPERTIES[VEHIDCODE],#REF!)</f>
        <v>#REF!</v>
      </c>
      <c r="F188" s="25" t="str" cm="1">
        <f t="array" ref="F188">_xlfn.CONCAT(_xlfn.XLOOKUP($A188,PROPERTIES[VEHIDCODE],PROPERTIES[REGION1]),"_",_xlfn.XLOOKUP($A188,PROPERTIES[VEHIDCODE],PROPERTIES[REGION2]),"_",_xlfn.XLOOKUP($A188,PROPERTIES[VEHIDCODE],PROPERTIES[REGION3]&amp;"_"&amp;_xlfn.XLOOKUP($A188,PROPERTIES[VEHIDCODE],PROPERTIES[REGION4])))</f>
        <v>ALL_AMERICA_NO_REGION_NO_REGION_NO_REGION</v>
      </c>
      <c r="G188" t="b">
        <f t="shared" si="18"/>
        <v>0</v>
      </c>
      <c r="H188" t="b">
        <f t="shared" si="25"/>
        <v>0</v>
      </c>
      <c r="I188" t="b">
        <f t="shared" si="19"/>
        <v>0</v>
      </c>
      <c r="J188" t="b">
        <f t="shared" si="26"/>
        <v>0</v>
      </c>
      <c r="K188" t="b">
        <f t="shared" si="20"/>
        <v>0</v>
      </c>
      <c r="L188" t="b">
        <f t="shared" si="21"/>
        <v>0</v>
      </c>
      <c r="M188" t="b">
        <f t="shared" si="22"/>
        <v>1</v>
      </c>
      <c r="N188" t="b">
        <f t="shared" si="23"/>
        <v>1</v>
      </c>
      <c r="O188" t="b">
        <f t="shared" si="24"/>
        <v>0</v>
      </c>
    </row>
    <row r="189" spans="1:15" x14ac:dyDescent="0.35">
      <c r="A189" t="str">
        <v>diesel_EMD_FP9</v>
      </c>
      <c r="B189" t="b" cm="1">
        <f t="array" ref="B189">_xlfn.XLOOKUP(A189,CONTROL[VEHIDCODE],PROPERTIES[EXCLUDE])</f>
        <v>0</v>
      </c>
      <c r="C189" t="b">
        <f>_xlfn.XLOOKUP(A189,CONTROL[VEHIDCODE],CONTROL[IS_WAGON_OR_COACH])</f>
        <v>0</v>
      </c>
      <c r="D189">
        <f>FLOOR(_xlfn.XLOOKUP($A189,PROPERTIES[VEHIDCODE],PROPERTIES[INTRODUCTION_YEAR]),20)</f>
        <v>1940</v>
      </c>
      <c r="E189" t="e">
        <f>_xlfn.XLOOKUP($A189,PROPERTIES[VEHIDCODE],#REF!)</f>
        <v>#REF!</v>
      </c>
      <c r="F189" s="25" t="str" cm="1">
        <f t="array" ref="F189">_xlfn.CONCAT(_xlfn.XLOOKUP($A189,PROPERTIES[VEHIDCODE],PROPERTIES[REGION1]),"_",_xlfn.XLOOKUP($A189,PROPERTIES[VEHIDCODE],PROPERTIES[REGION2]),"_",_xlfn.XLOOKUP($A189,PROPERTIES[VEHIDCODE],PROPERTIES[REGION3]&amp;"_"&amp;_xlfn.XLOOKUP($A189,PROPERTIES[VEHIDCODE],PROPERTIES[REGION4])))</f>
        <v>NORTH_AMERICA_ASIA_NO_REGION_NO_REGION</v>
      </c>
      <c r="G189" t="b">
        <f t="shared" si="18"/>
        <v>0</v>
      </c>
      <c r="H189" t="b">
        <f t="shared" si="25"/>
        <v>1</v>
      </c>
      <c r="I189" t="b">
        <f t="shared" si="19"/>
        <v>0</v>
      </c>
      <c r="J189" t="b">
        <f t="shared" si="26"/>
        <v>0</v>
      </c>
      <c r="K189" t="b">
        <f t="shared" si="20"/>
        <v>0</v>
      </c>
      <c r="L189" t="b">
        <f t="shared" si="21"/>
        <v>0</v>
      </c>
      <c r="M189" t="b">
        <f t="shared" si="22"/>
        <v>1</v>
      </c>
      <c r="N189" t="b">
        <f t="shared" si="23"/>
        <v>0</v>
      </c>
      <c r="O189" t="b">
        <f t="shared" si="24"/>
        <v>0</v>
      </c>
    </row>
    <row r="190" spans="1:15" x14ac:dyDescent="0.35">
      <c r="A190" t="str">
        <v>diesel_Ganz_MAVAG_DVM2_M44</v>
      </c>
      <c r="B190" t="b" cm="1">
        <f t="array" ref="B190">_xlfn.XLOOKUP(A190,CONTROL[VEHIDCODE],PROPERTIES[EXCLUDE])</f>
        <v>0</v>
      </c>
      <c r="C190" t="b">
        <f>_xlfn.XLOOKUP(A190,CONTROL[VEHIDCODE],CONTROL[IS_WAGON_OR_COACH])</f>
        <v>0</v>
      </c>
      <c r="D190">
        <f>FLOOR(_xlfn.XLOOKUP($A190,PROPERTIES[VEHIDCODE],PROPERTIES[INTRODUCTION_YEAR]),20)</f>
        <v>1940</v>
      </c>
      <c r="E190" t="e">
        <f>_xlfn.XLOOKUP($A190,PROPERTIES[VEHIDCODE],#REF!)</f>
        <v>#REF!</v>
      </c>
      <c r="F190" s="25" t="str" cm="1">
        <f t="array" ref="F190">_xlfn.CONCAT(_xlfn.XLOOKUP($A190,PROPERTIES[VEHIDCODE],PROPERTIES[REGION1]),"_",_xlfn.XLOOKUP($A190,PROPERTIES[VEHIDCODE],PROPERTIES[REGION2]),"_",_xlfn.XLOOKUP($A190,PROPERTIES[VEHIDCODE],PROPERTIES[REGION3]&amp;"_"&amp;_xlfn.XLOOKUP($A190,PROPERTIES[VEHIDCODE],PROPERTIES[REGION4])))</f>
        <v>EASTERN_EUROPE_NO_REGION_NO_REGION_NO_REGION</v>
      </c>
      <c r="G190" t="b">
        <f t="shared" si="18"/>
        <v>0</v>
      </c>
      <c r="H190" t="b">
        <f t="shared" si="25"/>
        <v>0</v>
      </c>
      <c r="I190" t="b">
        <f t="shared" si="19"/>
        <v>0</v>
      </c>
      <c r="J190" t="b">
        <f t="shared" si="26"/>
        <v>1</v>
      </c>
      <c r="K190" t="b">
        <f t="shared" si="20"/>
        <v>0</v>
      </c>
      <c r="L190" t="b">
        <f t="shared" si="21"/>
        <v>0</v>
      </c>
      <c r="M190" t="b">
        <f t="shared" si="22"/>
        <v>0</v>
      </c>
      <c r="N190" t="b">
        <f t="shared" si="23"/>
        <v>0</v>
      </c>
      <c r="O190" t="b">
        <f t="shared" si="24"/>
        <v>0</v>
      </c>
    </row>
    <row r="191" spans="1:15" x14ac:dyDescent="0.35">
      <c r="A191" t="str">
        <v>diesel_Raba_M_030_M28</v>
      </c>
      <c r="B191" t="b" cm="1">
        <f t="array" ref="B191">_xlfn.XLOOKUP(A191,CONTROL[VEHIDCODE],PROPERTIES[EXCLUDE])</f>
        <v>0</v>
      </c>
      <c r="C191" t="b">
        <f>_xlfn.XLOOKUP(A191,CONTROL[VEHIDCODE],CONTROL[IS_WAGON_OR_COACH])</f>
        <v>0</v>
      </c>
      <c r="D191">
        <f>FLOOR(_xlfn.XLOOKUP($A191,PROPERTIES[VEHIDCODE],PROPERTIES[INTRODUCTION_YEAR]),20)</f>
        <v>1940</v>
      </c>
      <c r="E191" t="e">
        <f>_xlfn.XLOOKUP($A191,PROPERTIES[VEHIDCODE],#REF!)</f>
        <v>#REF!</v>
      </c>
      <c r="F191" s="25" t="str" cm="1">
        <f t="array" ref="F191">_xlfn.CONCAT(_xlfn.XLOOKUP($A191,PROPERTIES[VEHIDCODE],PROPERTIES[REGION1]),"_",_xlfn.XLOOKUP($A191,PROPERTIES[VEHIDCODE],PROPERTIES[REGION2]),"_",_xlfn.XLOOKUP($A191,PROPERTIES[VEHIDCODE],PROPERTIES[REGION3]&amp;"_"&amp;_xlfn.XLOOKUP($A191,PROPERTIES[VEHIDCODE],PROPERTIES[REGION4])))</f>
        <v>EASTERN_EUROPE_NO_REGION_NO_REGION_NO_REGION</v>
      </c>
      <c r="G191" t="b">
        <f t="shared" si="18"/>
        <v>0</v>
      </c>
      <c r="H191" t="b">
        <f t="shared" si="25"/>
        <v>0</v>
      </c>
      <c r="I191" t="b">
        <f t="shared" si="19"/>
        <v>0</v>
      </c>
      <c r="J191" t="b">
        <f t="shared" si="26"/>
        <v>1</v>
      </c>
      <c r="K191" t="b">
        <f t="shared" si="20"/>
        <v>0</v>
      </c>
      <c r="L191" t="b">
        <f t="shared" si="21"/>
        <v>0</v>
      </c>
      <c r="M191" t="b">
        <f t="shared" si="22"/>
        <v>0</v>
      </c>
      <c r="N191" t="b">
        <f t="shared" si="23"/>
        <v>0</v>
      </c>
      <c r="O191" t="b">
        <f t="shared" si="24"/>
        <v>0</v>
      </c>
    </row>
    <row r="192" spans="1:15" x14ac:dyDescent="0.35">
      <c r="A192" t="str">
        <v>diesel_Cockerill_Sambre_HLD_serie_83</v>
      </c>
      <c r="B192" t="b" cm="1">
        <f t="array" ref="B192">_xlfn.XLOOKUP(A192,CONTROL[VEHIDCODE],PROPERTIES[EXCLUDE])</f>
        <v>0</v>
      </c>
      <c r="C192" t="b">
        <f>_xlfn.XLOOKUP(A192,CONTROL[VEHIDCODE],CONTROL[IS_WAGON_OR_COACH])</f>
        <v>0</v>
      </c>
      <c r="D192">
        <f>FLOOR(_xlfn.XLOOKUP($A192,PROPERTIES[VEHIDCODE],PROPERTIES[INTRODUCTION_YEAR]),20)</f>
        <v>1940</v>
      </c>
      <c r="E192" t="e">
        <f>_xlfn.XLOOKUP($A192,PROPERTIES[VEHIDCODE],#REF!)</f>
        <v>#REF!</v>
      </c>
      <c r="F192" s="25" t="str" cm="1">
        <f t="array" ref="F192">_xlfn.CONCAT(_xlfn.XLOOKUP($A192,PROPERTIES[VEHIDCODE],PROPERTIES[REGION1]),"_",_xlfn.XLOOKUP($A192,PROPERTIES[VEHIDCODE],PROPERTIES[REGION2]),"_",_xlfn.XLOOKUP($A192,PROPERTIES[VEHIDCODE],PROPERTIES[REGION3]&amp;"_"&amp;_xlfn.XLOOKUP($A192,PROPERTIES[VEHIDCODE],PROPERTIES[REGION4])))</f>
        <v>WESTERN_EUROPE_NO_REGION_NO_REGION_NO_REGION</v>
      </c>
      <c r="G192" t="b">
        <f t="shared" si="18"/>
        <v>0</v>
      </c>
      <c r="H192" t="b">
        <f t="shared" si="25"/>
        <v>0</v>
      </c>
      <c r="I192" t="b">
        <f t="shared" si="19"/>
        <v>0</v>
      </c>
      <c r="J192" t="b">
        <f t="shared" si="26"/>
        <v>0</v>
      </c>
      <c r="K192" t="b">
        <f t="shared" si="20"/>
        <v>1</v>
      </c>
      <c r="L192" t="b">
        <f t="shared" si="21"/>
        <v>0</v>
      </c>
      <c r="M192" t="b">
        <f t="shared" si="22"/>
        <v>0</v>
      </c>
      <c r="N192" t="b">
        <f t="shared" si="23"/>
        <v>0</v>
      </c>
      <c r="O192" t="b">
        <f t="shared" si="24"/>
        <v>0</v>
      </c>
    </row>
    <row r="193" spans="1:15" x14ac:dyDescent="0.35">
      <c r="A193" t="str">
        <v>diesel_Krauss_Maffei_V200</v>
      </c>
      <c r="B193" t="b" cm="1">
        <f t="array" ref="B193">_xlfn.XLOOKUP(A193,CONTROL[VEHIDCODE],PROPERTIES[EXCLUDE])</f>
        <v>0</v>
      </c>
      <c r="C193" t="b">
        <f>_xlfn.XLOOKUP(A193,CONTROL[VEHIDCODE],CONTROL[IS_WAGON_OR_COACH])</f>
        <v>0</v>
      </c>
      <c r="D193">
        <f>FLOOR(_xlfn.XLOOKUP($A193,PROPERTIES[VEHIDCODE],PROPERTIES[INTRODUCTION_YEAR]),20)</f>
        <v>1940</v>
      </c>
      <c r="E193" t="e">
        <f>_xlfn.XLOOKUP($A193,PROPERTIES[VEHIDCODE],#REF!)</f>
        <v>#REF!</v>
      </c>
      <c r="F193" s="25" t="str" cm="1">
        <f t="array" ref="F193">_xlfn.CONCAT(_xlfn.XLOOKUP($A193,PROPERTIES[VEHIDCODE],PROPERTIES[REGION1]),"_",_xlfn.XLOOKUP($A193,PROPERTIES[VEHIDCODE],PROPERTIES[REGION2]),"_",_xlfn.XLOOKUP($A193,PROPERTIES[VEHIDCODE],PROPERTIES[REGION3]&amp;"_"&amp;_xlfn.XLOOKUP($A193,PROPERTIES[VEHIDCODE],PROPERTIES[REGION4])))</f>
        <v>WESTERN_EUROPE_SOUTHERN_EUROPE_NO_REGION_NO_REGION</v>
      </c>
      <c r="G193" t="b">
        <f t="shared" si="18"/>
        <v>0</v>
      </c>
      <c r="H193" t="b">
        <f t="shared" si="25"/>
        <v>0</v>
      </c>
      <c r="I193" t="b">
        <f t="shared" si="19"/>
        <v>1</v>
      </c>
      <c r="J193" t="b">
        <f t="shared" si="26"/>
        <v>0</v>
      </c>
      <c r="K193" t="b">
        <f t="shared" si="20"/>
        <v>1</v>
      </c>
      <c r="L193" t="b">
        <f t="shared" si="21"/>
        <v>0</v>
      </c>
      <c r="M193" t="b">
        <f t="shared" si="22"/>
        <v>0</v>
      </c>
      <c r="N193" t="b">
        <f t="shared" si="23"/>
        <v>0</v>
      </c>
      <c r="O193" t="b">
        <f t="shared" si="24"/>
        <v>0</v>
      </c>
    </row>
    <row r="194" spans="1:15" x14ac:dyDescent="0.35">
      <c r="A194" t="str">
        <v>diesel_EMD_FL9</v>
      </c>
      <c r="B194" t="b" cm="1">
        <f t="array" ref="B194">_xlfn.XLOOKUP(A194,CONTROL[VEHIDCODE],PROPERTIES[EXCLUDE])</f>
        <v>0</v>
      </c>
      <c r="C194" t="b">
        <f>_xlfn.XLOOKUP(A194,CONTROL[VEHIDCODE],CONTROL[IS_WAGON_OR_COACH])</f>
        <v>0</v>
      </c>
      <c r="D194">
        <f>FLOOR(_xlfn.XLOOKUP($A194,PROPERTIES[VEHIDCODE],PROPERTIES[INTRODUCTION_YEAR]),20)</f>
        <v>1940</v>
      </c>
      <c r="E194" t="e">
        <f>_xlfn.XLOOKUP($A194,PROPERTIES[VEHIDCODE],#REF!)</f>
        <v>#REF!</v>
      </c>
      <c r="F194" s="25" t="str" cm="1">
        <f t="array" ref="F194">_xlfn.CONCAT(_xlfn.XLOOKUP($A194,PROPERTIES[VEHIDCODE],PROPERTIES[REGION1]),"_",_xlfn.XLOOKUP($A194,PROPERTIES[VEHIDCODE],PROPERTIES[REGION2]),"_",_xlfn.XLOOKUP($A194,PROPERTIES[VEHIDCODE],PROPERTIES[REGION3]&amp;"_"&amp;_xlfn.XLOOKUP($A194,PROPERTIES[VEHIDCODE],PROPERTIES[REGION4])))</f>
        <v>NORTH_AMERICA_NO_REGION_NO_REGION_NO_REGION</v>
      </c>
      <c r="G194" t="b">
        <f t="shared" ref="G194:G257" si="27">OR(ISNUMBER(SEARCH("ALL_REGION",$F194)),
ISNUMBER(SEARCH("AFRICA",$F194)),
ISNUMBER(SEARCH("OLD_WORLD",$F194)),
ISNUMBER(SEARCH("NON_EUROPEAN",$F194)))</f>
        <v>0</v>
      </c>
      <c r="H194" t="b">
        <f t="shared" si="25"/>
        <v>0</v>
      </c>
      <c r="I194" t="b">
        <f t="shared" ref="I194:I257" si="28">OR(ISNUMBER(SEARCH("ALL_REGION",$F194)),
ISNUMBER(SEARCH("ALL_EUROPE",$F194)),
ISNUMBER(SEARCH(I$1,$F194)),
ISNUMBER(SEARCH("OLD_WORLD",$F194)))</f>
        <v>0</v>
      </c>
      <c r="J194" t="b">
        <f t="shared" si="26"/>
        <v>0</v>
      </c>
      <c r="K194" t="b">
        <f t="shared" ref="K194:K257" si="29">OR(ISNUMBER(SEARCH("ALL_REGION",$F194)),
ISNUMBER(SEARCH("ALL_EUROPE",$F194)),
ISNUMBER(SEARCH(K$1,$F194)),
ISNUMBER(SEARCH("OLD_WORLD",$F194)),
ISNUMBER(SEARCH("NORTH_WEST_EUROPE",$F194)))</f>
        <v>0</v>
      </c>
      <c r="L194" t="b">
        <f t="shared" ref="L194:L257" si="30">OR(ISNUMBER(SEARCH("ALL_REGION",$F194)),
ISNUMBER(SEARCH("ALL_EUROPE",$F194)),
ISNUMBER(SEARCH(L$1,$F194)),
ISNUMBER(SEARCH("OLD_WORLD",$F194)),
ISNUMBER(SEARCH("NORTH_WEST_EUROPE",$F194)),
ISNUMBER(SEARCH("POST_SOVIET_BALTIC",$F194)))</f>
        <v>0</v>
      </c>
      <c r="M194" t="b">
        <f t="shared" ref="M194:M257" si="31">OR(ISNUMBER(SEARCH("ALL_REGION",$F194)),
ISNUMBER(SEARCH("ALL_AMERICA",$F194)),
ISNUMBER(SEARCH(M$1,$F194)),
ISNUMBER(SEARCH("NON_EUROPEAN",$F194)))</f>
        <v>1</v>
      </c>
      <c r="N194" t="b">
        <f t="shared" ref="N194:N257" si="32">OR(ISNUMBER(SEARCH("ALL_REGION",$F194)),
ISNUMBER(SEARCH("ALL_AMERICA",$F194)),
ISNUMBER(SEARCH(N$1,$F194)),
ISNUMBER(SEARCH("NON_EUROPEAN",$F194)),
ISNUMBER(SEARCH("COMECON_EXTENDED",$F194)))</f>
        <v>0</v>
      </c>
      <c r="O194" t="b">
        <f t="shared" ref="O194:O257" si="33">OR(ISNUMBER(SEARCH("ALL_REGION",$F194)),
ISNUMBER(SEARCH(O$1,$F194)),
ISNUMBER(SEARCH("APAC",$F194)))</f>
        <v>0</v>
      </c>
    </row>
    <row r="195" spans="1:15" x14ac:dyDescent="0.35">
      <c r="A195" t="str">
        <v>diesel_CKD_T_435_0</v>
      </c>
      <c r="B195" t="b" cm="1">
        <f t="array" ref="B195">_xlfn.XLOOKUP(A195,CONTROL[VEHIDCODE],PROPERTIES[EXCLUDE])</f>
        <v>0</v>
      </c>
      <c r="C195" t="b">
        <f>_xlfn.XLOOKUP(A195,CONTROL[VEHIDCODE],CONTROL[IS_WAGON_OR_COACH])</f>
        <v>0</v>
      </c>
      <c r="D195">
        <f>FLOOR(_xlfn.XLOOKUP($A195,PROPERTIES[VEHIDCODE],PROPERTIES[INTRODUCTION_YEAR]),20)</f>
        <v>1940</v>
      </c>
      <c r="E195" t="e">
        <f>_xlfn.XLOOKUP($A195,PROPERTIES[VEHIDCODE],#REF!)</f>
        <v>#REF!</v>
      </c>
      <c r="F195" s="25" t="str" cm="1">
        <f t="array" ref="F195">_xlfn.CONCAT(_xlfn.XLOOKUP($A195,PROPERTIES[VEHIDCODE],PROPERTIES[REGION1]),"_",_xlfn.XLOOKUP($A195,PROPERTIES[VEHIDCODE],PROPERTIES[REGION2]),"_",_xlfn.XLOOKUP($A195,PROPERTIES[VEHIDCODE],PROPERTIES[REGION3]&amp;"_"&amp;_xlfn.XLOOKUP($A195,PROPERTIES[VEHIDCODE],PROPERTIES[REGION4])))</f>
        <v>COMECON_WESTERN_EUROPE_NO_REGION_NO_REGION</v>
      </c>
      <c r="G195" t="b">
        <f t="shared" si="27"/>
        <v>0</v>
      </c>
      <c r="H195" t="b">
        <f t="shared" ref="H195:H258" si="34">OR(ISNUMBER(SEARCH("ALL_REGION",$F195)),
ISNUMBER(SEARCH("ASIA",$F195)),
ISNUMBER(SEARCH("OLD_WORLD",$F195)),
ISNUMBER(SEARCH("NON_EUROPEAN",$F195)),
ISNUMBER(SEARCH("APAC",$F195)),
ISNUMBER(SEARCH("COMECON",$F195)),
ISNUMBER(SEARCH("COMECON_EXTENDED",$F195)),
ISNUMBER(SEARCH("POST_SOVIET_BALTIC",$F195)))</f>
        <v>1</v>
      </c>
      <c r="I195" t="b">
        <f t="shared" si="28"/>
        <v>0</v>
      </c>
      <c r="J195" t="b">
        <f t="shared" ref="J195:J258" si="35">OR(ISNUMBER(SEARCH("ALL_REGION",$F195)),
ISNUMBER(SEARCH("ALL_EUROPE",$F195)),
ISNUMBER(SEARCH(J$1,$F195)),
ISNUMBER(SEARCH("OLD_WORLD",$F195)),
ISNUMBER(SEARCH("COMECON",$F195)),
ISNUMBER(SEARCH("POST_SOVIET_BALTIC",$F195)))</f>
        <v>1</v>
      </c>
      <c r="K195" t="b">
        <f t="shared" si="29"/>
        <v>1</v>
      </c>
      <c r="L195" t="b">
        <f t="shared" si="30"/>
        <v>0</v>
      </c>
      <c r="M195" t="b">
        <f t="shared" si="31"/>
        <v>0</v>
      </c>
      <c r="N195" t="b">
        <f t="shared" si="32"/>
        <v>0</v>
      </c>
      <c r="O195" t="b">
        <f t="shared" si="33"/>
        <v>0</v>
      </c>
    </row>
    <row r="196" spans="1:15" x14ac:dyDescent="0.35">
      <c r="A196" t="str">
        <v>diesel_Valmet_Lokomo_Dr12</v>
      </c>
      <c r="B196" t="b" cm="1">
        <f t="array" ref="B196">_xlfn.XLOOKUP(A196,CONTROL[VEHIDCODE],PROPERTIES[EXCLUDE])</f>
        <v>0</v>
      </c>
      <c r="C196" t="b">
        <f>_xlfn.XLOOKUP(A196,CONTROL[VEHIDCODE],CONTROL[IS_WAGON_OR_COACH])</f>
        <v>0</v>
      </c>
      <c r="D196">
        <f>FLOOR(_xlfn.XLOOKUP($A196,PROPERTIES[VEHIDCODE],PROPERTIES[INTRODUCTION_YEAR]),20)</f>
        <v>1940</v>
      </c>
      <c r="E196" t="e">
        <f>_xlfn.XLOOKUP($A196,PROPERTIES[VEHIDCODE],#REF!)</f>
        <v>#REF!</v>
      </c>
      <c r="F196" s="25" t="str" cm="1">
        <f t="array" ref="F196">_xlfn.CONCAT(_xlfn.XLOOKUP($A196,PROPERTIES[VEHIDCODE],PROPERTIES[REGION1]),"_",_xlfn.XLOOKUP($A196,PROPERTIES[VEHIDCODE],PROPERTIES[REGION2]),"_",_xlfn.XLOOKUP($A196,PROPERTIES[VEHIDCODE],PROPERTIES[REGION3]&amp;"_"&amp;_xlfn.XLOOKUP($A196,PROPERTIES[VEHIDCODE],PROPERTIES[REGION4])))</f>
        <v>NORTHERN_EUROPE_NO_REGION_NO_REGION_NO_REGION</v>
      </c>
      <c r="G196" t="b">
        <f t="shared" si="27"/>
        <v>0</v>
      </c>
      <c r="H196" t="b">
        <f t="shared" si="34"/>
        <v>0</v>
      </c>
      <c r="I196" t="b">
        <f t="shared" si="28"/>
        <v>0</v>
      </c>
      <c r="J196" t="b">
        <f t="shared" si="35"/>
        <v>0</v>
      </c>
      <c r="K196" t="b">
        <f t="shared" si="29"/>
        <v>0</v>
      </c>
      <c r="L196" t="b">
        <f t="shared" si="30"/>
        <v>1</v>
      </c>
      <c r="M196" t="b">
        <f t="shared" si="31"/>
        <v>0</v>
      </c>
      <c r="N196" t="b">
        <f t="shared" si="32"/>
        <v>0</v>
      </c>
      <c r="O196" t="b">
        <f t="shared" si="33"/>
        <v>0</v>
      </c>
    </row>
    <row r="197" spans="1:15" x14ac:dyDescent="0.35">
      <c r="A197" t="str">
        <v>diesel_Electroputre_060_DA</v>
      </c>
      <c r="B197" t="b" cm="1">
        <f t="array" ref="B197">_xlfn.XLOOKUP(A197,CONTROL[VEHIDCODE],PROPERTIES[EXCLUDE])</f>
        <v>0</v>
      </c>
      <c r="C197" t="b">
        <f>_xlfn.XLOOKUP(A197,CONTROL[VEHIDCODE],CONTROL[IS_WAGON_OR_COACH])</f>
        <v>0</v>
      </c>
      <c r="D197">
        <f>FLOOR(_xlfn.XLOOKUP($A197,PROPERTIES[VEHIDCODE],PROPERTIES[INTRODUCTION_YEAR]),20)</f>
        <v>1940</v>
      </c>
      <c r="E197" t="e">
        <f>_xlfn.XLOOKUP($A197,PROPERTIES[VEHIDCODE],#REF!)</f>
        <v>#REF!</v>
      </c>
      <c r="F197" s="25" t="str" cm="1">
        <f t="array" ref="F197">_xlfn.CONCAT(_xlfn.XLOOKUP($A197,PROPERTIES[VEHIDCODE],PROPERTIES[REGION1]),"_",_xlfn.XLOOKUP($A197,PROPERTIES[VEHIDCODE],PROPERTIES[REGION2]),"_",_xlfn.XLOOKUP($A197,PROPERTIES[VEHIDCODE],PROPERTIES[REGION3]&amp;"_"&amp;_xlfn.XLOOKUP($A197,PROPERTIES[VEHIDCODE],PROPERTIES[REGION4])))</f>
        <v>COMECON_SOUTHERN_EUROPE_WESTERN_EUROPE_NO_REGION</v>
      </c>
      <c r="G197" t="b">
        <f t="shared" si="27"/>
        <v>0</v>
      </c>
      <c r="H197" t="b">
        <f t="shared" si="34"/>
        <v>1</v>
      </c>
      <c r="I197" t="b">
        <f t="shared" si="28"/>
        <v>1</v>
      </c>
      <c r="J197" t="b">
        <f t="shared" si="35"/>
        <v>1</v>
      </c>
      <c r="K197" t="b">
        <f t="shared" si="29"/>
        <v>1</v>
      </c>
      <c r="L197" t="b">
        <f t="shared" si="30"/>
        <v>0</v>
      </c>
      <c r="M197" t="b">
        <f t="shared" si="31"/>
        <v>0</v>
      </c>
      <c r="N197" t="b">
        <f t="shared" si="32"/>
        <v>0</v>
      </c>
      <c r="O197" t="b">
        <f t="shared" si="33"/>
        <v>0</v>
      </c>
    </row>
    <row r="198" spans="1:15" x14ac:dyDescent="0.35">
      <c r="A198" t="str">
        <v>diesel_EMD_GL8</v>
      </c>
      <c r="B198" t="b" cm="1">
        <f t="array" ref="B198">_xlfn.XLOOKUP(A198,CONTROL[VEHIDCODE],PROPERTIES[EXCLUDE])</f>
        <v>0</v>
      </c>
      <c r="C198" t="b">
        <f>_xlfn.XLOOKUP(A198,CONTROL[VEHIDCODE],CONTROL[IS_WAGON_OR_COACH])</f>
        <v>0</v>
      </c>
      <c r="D198">
        <f>FLOOR(_xlfn.XLOOKUP($A198,PROPERTIES[VEHIDCODE],PROPERTIES[INTRODUCTION_YEAR]),20)</f>
        <v>1960</v>
      </c>
      <c r="E198" t="e">
        <f>_xlfn.XLOOKUP($A198,PROPERTIES[VEHIDCODE],#REF!)</f>
        <v>#REF!</v>
      </c>
      <c r="F198" s="25" t="str" cm="1">
        <f t="array" ref="F198">_xlfn.CONCAT(_xlfn.XLOOKUP($A198,PROPERTIES[VEHIDCODE],PROPERTIES[REGION1]),"_",_xlfn.XLOOKUP($A198,PROPERTIES[VEHIDCODE],PROPERTIES[REGION2]),"_",_xlfn.XLOOKUP($A198,PROPERTIES[VEHIDCODE],PROPERTIES[REGION3]&amp;"_"&amp;_xlfn.XLOOKUP($A198,PROPERTIES[VEHIDCODE],PROPERTIES[REGION4])))</f>
        <v>SOUTH_AMERICA_APAC_AFRICA_NORTHERN_EUROPE</v>
      </c>
      <c r="G198" t="b">
        <f t="shared" si="27"/>
        <v>1</v>
      </c>
      <c r="H198" t="b">
        <f t="shared" si="34"/>
        <v>1</v>
      </c>
      <c r="I198" t="b">
        <f t="shared" si="28"/>
        <v>0</v>
      </c>
      <c r="J198" t="b">
        <f t="shared" si="35"/>
        <v>0</v>
      </c>
      <c r="K198" t="b">
        <f t="shared" si="29"/>
        <v>0</v>
      </c>
      <c r="L198" t="b">
        <f t="shared" si="30"/>
        <v>1</v>
      </c>
      <c r="M198" t="b">
        <f t="shared" si="31"/>
        <v>0</v>
      </c>
      <c r="N198" t="b">
        <f t="shared" si="32"/>
        <v>1</v>
      </c>
      <c r="O198" t="b">
        <f t="shared" si="33"/>
        <v>1</v>
      </c>
    </row>
    <row r="199" spans="1:15" x14ac:dyDescent="0.35">
      <c r="A199" t="str">
        <v>diesel_Krauss_Maffei_ML_4000</v>
      </c>
      <c r="B199" t="b" cm="1">
        <f t="array" ref="B199">_xlfn.XLOOKUP(A199,CONTROL[VEHIDCODE],PROPERTIES[EXCLUDE])</f>
        <v>0</v>
      </c>
      <c r="C199" t="b">
        <f>_xlfn.XLOOKUP(A199,CONTROL[VEHIDCODE],CONTROL[IS_WAGON_OR_COACH])</f>
        <v>0</v>
      </c>
      <c r="D199">
        <f>FLOOR(_xlfn.XLOOKUP($A199,PROPERTIES[VEHIDCODE],PROPERTIES[INTRODUCTION_YEAR]),20)</f>
        <v>1960</v>
      </c>
      <c r="E199" t="e">
        <f>_xlfn.XLOOKUP($A199,PROPERTIES[VEHIDCODE],#REF!)</f>
        <v>#REF!</v>
      </c>
      <c r="F199" s="25" t="str" cm="1">
        <f t="array" ref="F199">_xlfn.CONCAT(_xlfn.XLOOKUP($A199,PROPERTIES[VEHIDCODE],PROPERTIES[REGION1]),"_",_xlfn.XLOOKUP($A199,PROPERTIES[VEHIDCODE],PROPERTIES[REGION2]),"_",_xlfn.XLOOKUP($A199,PROPERTIES[VEHIDCODE],PROPERTIES[REGION3]&amp;"_"&amp;_xlfn.XLOOKUP($A199,PROPERTIES[VEHIDCODE],PROPERTIES[REGION4])))</f>
        <v>ALL_AMERICA_NO_REGION_NO_REGION_NO_REGION</v>
      </c>
      <c r="G199" t="b">
        <f t="shared" si="27"/>
        <v>0</v>
      </c>
      <c r="H199" t="b">
        <f t="shared" si="34"/>
        <v>0</v>
      </c>
      <c r="I199" t="b">
        <f t="shared" si="28"/>
        <v>0</v>
      </c>
      <c r="J199" t="b">
        <f t="shared" si="35"/>
        <v>0</v>
      </c>
      <c r="K199" t="b">
        <f t="shared" si="29"/>
        <v>0</v>
      </c>
      <c r="L199" t="b">
        <f t="shared" si="30"/>
        <v>0</v>
      </c>
      <c r="M199" t="b">
        <f t="shared" si="31"/>
        <v>1</v>
      </c>
      <c r="N199" t="b">
        <f t="shared" si="32"/>
        <v>1</v>
      </c>
      <c r="O199" t="b">
        <f t="shared" si="33"/>
        <v>0</v>
      </c>
    </row>
    <row r="200" spans="1:15" x14ac:dyDescent="0.35">
      <c r="A200" t="str">
        <v>diesel_Kolomna_TEP60</v>
      </c>
      <c r="B200" t="b" cm="1">
        <f t="array" ref="B200">_xlfn.XLOOKUP(A200,CONTROL[VEHIDCODE],PROPERTIES[EXCLUDE])</f>
        <v>0</v>
      </c>
      <c r="C200" t="b">
        <f>_xlfn.XLOOKUP(A200,CONTROL[VEHIDCODE],CONTROL[IS_WAGON_OR_COACH])</f>
        <v>0</v>
      </c>
      <c r="D200">
        <f>FLOOR(_xlfn.XLOOKUP($A200,PROPERTIES[VEHIDCODE],PROPERTIES[INTRODUCTION_YEAR]),20)</f>
        <v>1960</v>
      </c>
      <c r="E200" t="e">
        <f>_xlfn.XLOOKUP($A200,PROPERTIES[VEHIDCODE],#REF!)</f>
        <v>#REF!</v>
      </c>
      <c r="F200" s="25" t="str" cm="1">
        <f t="array" ref="F200">_xlfn.CONCAT(_xlfn.XLOOKUP($A200,PROPERTIES[VEHIDCODE],PROPERTIES[REGION1]),"_",_xlfn.XLOOKUP($A200,PROPERTIES[VEHIDCODE],PROPERTIES[REGION2]),"_",_xlfn.XLOOKUP($A200,PROPERTIES[VEHIDCODE],PROPERTIES[REGION3]&amp;"_"&amp;_xlfn.XLOOKUP($A200,PROPERTIES[VEHIDCODE],PROPERTIES[REGION4])))</f>
        <v>POST_SOVIET_BALTIC_NO_REGION_NO_REGION_NO_REGION</v>
      </c>
      <c r="G200" t="b">
        <f t="shared" si="27"/>
        <v>0</v>
      </c>
      <c r="H200" t="b">
        <f t="shared" si="34"/>
        <v>1</v>
      </c>
      <c r="I200" t="b">
        <f t="shared" si="28"/>
        <v>0</v>
      </c>
      <c r="J200" t="b">
        <f t="shared" si="35"/>
        <v>1</v>
      </c>
      <c r="K200" t="b">
        <f t="shared" si="29"/>
        <v>0</v>
      </c>
      <c r="L200" t="b">
        <f t="shared" si="30"/>
        <v>1</v>
      </c>
      <c r="M200" t="b">
        <f t="shared" si="31"/>
        <v>0</v>
      </c>
      <c r="N200" t="b">
        <f t="shared" si="32"/>
        <v>0</v>
      </c>
      <c r="O200" t="b">
        <f t="shared" si="33"/>
        <v>0</v>
      </c>
    </row>
    <row r="201" spans="1:15" x14ac:dyDescent="0.35">
      <c r="A201" t="str">
        <v>diesel_BN_ACEC_62</v>
      </c>
      <c r="B201" t="b" cm="1">
        <f t="array" ref="B201">_xlfn.XLOOKUP(A201,CONTROL[VEHIDCODE],PROPERTIES[EXCLUDE])</f>
        <v>0</v>
      </c>
      <c r="C201" t="b">
        <f>_xlfn.XLOOKUP(A201,CONTROL[VEHIDCODE],CONTROL[IS_WAGON_OR_COACH])</f>
        <v>0</v>
      </c>
      <c r="D201">
        <f>FLOOR(_xlfn.XLOOKUP($A201,PROPERTIES[VEHIDCODE],PROPERTIES[INTRODUCTION_YEAR]),20)</f>
        <v>1960</v>
      </c>
      <c r="E201" t="e">
        <f>_xlfn.XLOOKUP($A201,PROPERTIES[VEHIDCODE],#REF!)</f>
        <v>#REF!</v>
      </c>
      <c r="F201" s="25" t="str" cm="1">
        <f t="array" ref="F201">_xlfn.CONCAT(_xlfn.XLOOKUP($A201,PROPERTIES[VEHIDCODE],PROPERTIES[REGION1]),"_",_xlfn.XLOOKUP($A201,PROPERTIES[VEHIDCODE],PROPERTIES[REGION2]),"_",_xlfn.XLOOKUP($A201,PROPERTIES[VEHIDCODE],PROPERTIES[REGION3]&amp;"_"&amp;_xlfn.XLOOKUP($A201,PROPERTIES[VEHIDCODE],PROPERTIES[REGION4])))</f>
        <v>WESTERN_EUROPE_NO_REGION_NO_REGION_NO_REGION</v>
      </c>
      <c r="G201" t="b">
        <f t="shared" si="27"/>
        <v>0</v>
      </c>
      <c r="H201" t="b">
        <f t="shared" si="34"/>
        <v>0</v>
      </c>
      <c r="I201" t="b">
        <f t="shared" si="28"/>
        <v>0</v>
      </c>
      <c r="J201" t="b">
        <f t="shared" si="35"/>
        <v>0</v>
      </c>
      <c r="K201" t="b">
        <f t="shared" si="29"/>
        <v>1</v>
      </c>
      <c r="L201" t="b">
        <f t="shared" si="30"/>
        <v>0</v>
      </c>
      <c r="M201" t="b">
        <f t="shared" si="31"/>
        <v>0</v>
      </c>
      <c r="N201" t="b">
        <f t="shared" si="32"/>
        <v>0</v>
      </c>
      <c r="O201" t="b">
        <f t="shared" si="33"/>
        <v>0</v>
      </c>
    </row>
    <row r="202" spans="1:15" x14ac:dyDescent="0.35">
      <c r="A202" t="str">
        <v>diesel_MaK_100</v>
      </c>
      <c r="B202" t="b" cm="1">
        <f t="array" ref="B202">_xlfn.XLOOKUP(A202,CONTROL[VEHIDCODE],PROPERTIES[EXCLUDE])</f>
        <v>0</v>
      </c>
      <c r="C202" t="b">
        <f>_xlfn.XLOOKUP(A202,CONTROL[VEHIDCODE],CONTROL[IS_WAGON_OR_COACH])</f>
        <v>0</v>
      </c>
      <c r="D202">
        <f>FLOOR(_xlfn.XLOOKUP($A202,PROPERTIES[VEHIDCODE],PROPERTIES[INTRODUCTION_YEAR]),20)</f>
        <v>1960</v>
      </c>
      <c r="E202" t="e">
        <f>_xlfn.XLOOKUP($A202,PROPERTIES[VEHIDCODE],#REF!)</f>
        <v>#REF!</v>
      </c>
      <c r="F202" s="25" t="str" cm="1">
        <f t="array" ref="F202">_xlfn.CONCAT(_xlfn.XLOOKUP($A202,PROPERTIES[VEHIDCODE],PROPERTIES[REGION1]),"_",_xlfn.XLOOKUP($A202,PROPERTIES[VEHIDCODE],PROPERTIES[REGION2]),"_",_xlfn.XLOOKUP($A202,PROPERTIES[VEHIDCODE],PROPERTIES[REGION3]&amp;"_"&amp;_xlfn.XLOOKUP($A202,PROPERTIES[VEHIDCODE],PROPERTIES[REGION4])))</f>
        <v>NORTHERN_EUROPE_NO_REGION_NO_REGION_NO_REGION</v>
      </c>
      <c r="G202" t="b">
        <f t="shared" si="27"/>
        <v>0</v>
      </c>
      <c r="H202" t="b">
        <f t="shared" si="34"/>
        <v>0</v>
      </c>
      <c r="I202" t="b">
        <f t="shared" si="28"/>
        <v>0</v>
      </c>
      <c r="J202" t="b">
        <f t="shared" si="35"/>
        <v>0</v>
      </c>
      <c r="K202" t="b">
        <f t="shared" si="29"/>
        <v>0</v>
      </c>
      <c r="L202" t="b">
        <f t="shared" si="30"/>
        <v>1</v>
      </c>
      <c r="M202" t="b">
        <f t="shared" si="31"/>
        <v>0</v>
      </c>
      <c r="N202" t="b">
        <f t="shared" si="32"/>
        <v>0</v>
      </c>
      <c r="O202" t="b">
        <f t="shared" si="33"/>
        <v>0</v>
      </c>
    </row>
    <row r="203" spans="1:15" x14ac:dyDescent="0.35">
      <c r="A203" t="str">
        <v>diesel_ALCO_DL560C_WDM_2</v>
      </c>
      <c r="B203" t="b" cm="1">
        <f t="array" ref="B203">_xlfn.XLOOKUP(A203,CONTROL[VEHIDCODE],PROPERTIES[EXCLUDE])</f>
        <v>0</v>
      </c>
      <c r="C203" t="b">
        <f>_xlfn.XLOOKUP(A203,CONTROL[VEHIDCODE],CONTROL[IS_WAGON_OR_COACH])</f>
        <v>0</v>
      </c>
      <c r="D203">
        <f>FLOOR(_xlfn.XLOOKUP($A203,PROPERTIES[VEHIDCODE],PROPERTIES[INTRODUCTION_YEAR]),20)</f>
        <v>1960</v>
      </c>
      <c r="E203" t="e">
        <f>_xlfn.XLOOKUP($A203,PROPERTIES[VEHIDCODE],#REF!)</f>
        <v>#REF!</v>
      </c>
      <c r="F203" s="25" t="str" cm="1">
        <f t="array" ref="F203">_xlfn.CONCAT(_xlfn.XLOOKUP($A203,PROPERTIES[VEHIDCODE],PROPERTIES[REGION1]),"_",_xlfn.XLOOKUP($A203,PROPERTIES[VEHIDCODE],PROPERTIES[REGION2]),"_",_xlfn.XLOOKUP($A203,PROPERTIES[VEHIDCODE],PROPERTIES[REGION3]&amp;"_"&amp;_xlfn.XLOOKUP($A203,PROPERTIES[VEHIDCODE],PROPERTIES[REGION4])))</f>
        <v>ASIA_NO_REGION_NO_REGION_NO_REGION</v>
      </c>
      <c r="G203" t="b">
        <f t="shared" si="27"/>
        <v>0</v>
      </c>
      <c r="H203" t="b">
        <f t="shared" si="34"/>
        <v>1</v>
      </c>
      <c r="I203" t="b">
        <f t="shared" si="28"/>
        <v>0</v>
      </c>
      <c r="J203" t="b">
        <f t="shared" si="35"/>
        <v>0</v>
      </c>
      <c r="K203" t="b">
        <f t="shared" si="29"/>
        <v>0</v>
      </c>
      <c r="L203" t="b">
        <f t="shared" si="30"/>
        <v>0</v>
      </c>
      <c r="M203" t="b">
        <f t="shared" si="31"/>
        <v>0</v>
      </c>
      <c r="N203" t="b">
        <f t="shared" si="32"/>
        <v>0</v>
      </c>
      <c r="O203" t="b">
        <f t="shared" si="33"/>
        <v>0</v>
      </c>
    </row>
    <row r="204" spans="1:15" x14ac:dyDescent="0.35">
      <c r="A204" t="str">
        <v>diesel_BR_14_0_6_0DH</v>
      </c>
      <c r="B204" t="b" cm="1">
        <f t="array" ref="B204">_xlfn.XLOOKUP(A204,CONTROL[VEHIDCODE],PROPERTIES[EXCLUDE])</f>
        <v>0</v>
      </c>
      <c r="C204" t="b">
        <f>_xlfn.XLOOKUP(A204,CONTROL[VEHIDCODE],CONTROL[IS_WAGON_OR_COACH])</f>
        <v>0</v>
      </c>
      <c r="D204">
        <f>FLOOR(_xlfn.XLOOKUP($A204,PROPERTIES[VEHIDCODE],PROPERTIES[INTRODUCTION_YEAR]),20)</f>
        <v>1960</v>
      </c>
      <c r="E204" t="e">
        <f>_xlfn.XLOOKUP($A204,PROPERTIES[VEHIDCODE],#REF!)</f>
        <v>#REF!</v>
      </c>
      <c r="F204" s="25" t="str" cm="1">
        <f t="array" ref="F204">_xlfn.CONCAT(_xlfn.XLOOKUP($A204,PROPERTIES[VEHIDCODE],PROPERTIES[REGION1]),"_",_xlfn.XLOOKUP($A204,PROPERTIES[VEHIDCODE],PROPERTIES[REGION2]),"_",_xlfn.XLOOKUP($A204,PROPERTIES[VEHIDCODE],PROPERTIES[REGION3]&amp;"_"&amp;_xlfn.XLOOKUP($A204,PROPERTIES[VEHIDCODE],PROPERTIES[REGION4])))</f>
        <v>NORTHERN_EUROPE_NO_REGION_NO_REGION_NO_REGION</v>
      </c>
      <c r="G204" t="b">
        <f t="shared" si="27"/>
        <v>0</v>
      </c>
      <c r="H204" t="b">
        <f t="shared" si="34"/>
        <v>0</v>
      </c>
      <c r="I204" t="b">
        <f t="shared" si="28"/>
        <v>0</v>
      </c>
      <c r="J204" t="b">
        <f t="shared" si="35"/>
        <v>0</v>
      </c>
      <c r="K204" t="b">
        <f t="shared" si="29"/>
        <v>0</v>
      </c>
      <c r="L204" t="b">
        <f t="shared" si="30"/>
        <v>1</v>
      </c>
      <c r="M204" t="b">
        <f t="shared" si="31"/>
        <v>0</v>
      </c>
      <c r="N204" t="b">
        <f t="shared" si="32"/>
        <v>0</v>
      </c>
      <c r="O204" t="b">
        <f t="shared" si="33"/>
        <v>0</v>
      </c>
    </row>
    <row r="205" spans="1:15" x14ac:dyDescent="0.35">
      <c r="A205" t="str">
        <v>diesel_CKD_T_669</v>
      </c>
      <c r="B205" t="b" cm="1">
        <f t="array" ref="B205">_xlfn.XLOOKUP(A205,CONTROL[VEHIDCODE],PROPERTIES[EXCLUDE])</f>
        <v>0</v>
      </c>
      <c r="C205" t="b">
        <f>_xlfn.XLOOKUP(A205,CONTROL[VEHIDCODE],CONTROL[IS_WAGON_OR_COACH])</f>
        <v>0</v>
      </c>
      <c r="D205">
        <f>FLOOR(_xlfn.XLOOKUP($A205,PROPERTIES[VEHIDCODE],PROPERTIES[INTRODUCTION_YEAR]),20)</f>
        <v>1960</v>
      </c>
      <c r="E205" t="e">
        <f>_xlfn.XLOOKUP($A205,PROPERTIES[VEHIDCODE],#REF!)</f>
        <v>#REF!</v>
      </c>
      <c r="F205" s="25" t="str" cm="1">
        <f t="array" ref="F205">_xlfn.CONCAT(_xlfn.XLOOKUP($A205,PROPERTIES[VEHIDCODE],PROPERTIES[REGION1]),"_",_xlfn.XLOOKUP($A205,PROPERTIES[VEHIDCODE],PROPERTIES[REGION2]),"_",_xlfn.XLOOKUP($A205,PROPERTIES[VEHIDCODE],PROPERTIES[REGION3]&amp;"_"&amp;_xlfn.XLOOKUP($A205,PROPERTIES[VEHIDCODE],PROPERTIES[REGION4])))</f>
        <v>POST_SOVIET_BALTIC_NO_REGION_NO_REGION_NO_REGION</v>
      </c>
      <c r="G205" t="b">
        <f t="shared" si="27"/>
        <v>0</v>
      </c>
      <c r="H205" t="b">
        <f t="shared" si="34"/>
        <v>1</v>
      </c>
      <c r="I205" t="b">
        <f t="shared" si="28"/>
        <v>0</v>
      </c>
      <c r="J205" t="b">
        <f t="shared" si="35"/>
        <v>1</v>
      </c>
      <c r="K205" t="b">
        <f t="shared" si="29"/>
        <v>0</v>
      </c>
      <c r="L205" t="b">
        <f t="shared" si="30"/>
        <v>1</v>
      </c>
      <c r="M205" t="b">
        <f t="shared" si="31"/>
        <v>0</v>
      </c>
      <c r="N205" t="b">
        <f t="shared" si="32"/>
        <v>0</v>
      </c>
      <c r="O205" t="b">
        <f t="shared" si="33"/>
        <v>0</v>
      </c>
    </row>
    <row r="206" spans="1:15" x14ac:dyDescent="0.35">
      <c r="A206" t="str">
        <v>diesel_UGOFE_GM_EMD_J16CW_AC</v>
      </c>
      <c r="B206" t="b" cm="1">
        <f t="array" ref="B206">_xlfn.XLOOKUP(A206,CONTROL[VEHIDCODE],PROPERTIES[EXCLUDE])</f>
        <v>0</v>
      </c>
      <c r="C206" t="b">
        <f>_xlfn.XLOOKUP(A206,CONTROL[VEHIDCODE],CONTROL[IS_WAGON_OR_COACH])</f>
        <v>0</v>
      </c>
      <c r="D206">
        <f>FLOOR(_xlfn.XLOOKUP($A206,PROPERTIES[VEHIDCODE],PROPERTIES[INTRODUCTION_YEAR]),20)</f>
        <v>1980</v>
      </c>
      <c r="E206" t="e">
        <f>_xlfn.XLOOKUP($A206,PROPERTIES[VEHIDCODE],#REF!)</f>
        <v>#REF!</v>
      </c>
      <c r="F206" s="25" t="str" cm="1">
        <f t="array" ref="F206">_xlfn.CONCAT(_xlfn.XLOOKUP($A206,PROPERTIES[VEHIDCODE],PROPERTIES[REGION1]),"_",_xlfn.XLOOKUP($A206,PROPERTIES[VEHIDCODE],PROPERTIES[REGION2]),"_",_xlfn.XLOOKUP($A206,PROPERTIES[VEHIDCODE],PROPERTIES[REGION3]&amp;"_"&amp;_xlfn.XLOOKUP($A206,PROPERTIES[VEHIDCODE],PROPERTIES[REGION4])))</f>
        <v>SOUTH_AMERICA_NO_REGION_NO_REGION_NO_REGION</v>
      </c>
      <c r="G206" t="b">
        <f t="shared" si="27"/>
        <v>0</v>
      </c>
      <c r="H206" t="b">
        <f t="shared" si="34"/>
        <v>0</v>
      </c>
      <c r="I206" t="b">
        <f t="shared" si="28"/>
        <v>0</v>
      </c>
      <c r="J206" t="b">
        <f t="shared" si="35"/>
        <v>0</v>
      </c>
      <c r="K206" t="b">
        <f t="shared" si="29"/>
        <v>0</v>
      </c>
      <c r="L206" t="b">
        <f t="shared" si="30"/>
        <v>0</v>
      </c>
      <c r="M206" t="b">
        <f t="shared" si="31"/>
        <v>0</v>
      </c>
      <c r="N206" t="b">
        <f t="shared" si="32"/>
        <v>1</v>
      </c>
      <c r="O206" t="b">
        <f t="shared" si="33"/>
        <v>0</v>
      </c>
    </row>
    <row r="207" spans="1:15" x14ac:dyDescent="0.35">
      <c r="A207" t="str">
        <v>diesel_LTZ_M62</v>
      </c>
      <c r="B207" t="b" cm="1">
        <f t="array" ref="B207">_xlfn.XLOOKUP(A207,CONTROL[VEHIDCODE],PROPERTIES[EXCLUDE])</f>
        <v>0</v>
      </c>
      <c r="C207" t="b">
        <f>_xlfn.XLOOKUP(A207,CONTROL[VEHIDCODE],CONTROL[IS_WAGON_OR_COACH])</f>
        <v>0</v>
      </c>
      <c r="D207">
        <f>FLOOR(_xlfn.XLOOKUP($A207,PROPERTIES[VEHIDCODE],PROPERTIES[INTRODUCTION_YEAR]),20)</f>
        <v>1960</v>
      </c>
      <c r="E207" t="e">
        <f>_xlfn.XLOOKUP($A207,PROPERTIES[VEHIDCODE],#REF!)</f>
        <v>#REF!</v>
      </c>
      <c r="F207" s="25" t="str" cm="1">
        <f t="array" ref="F207">_xlfn.CONCAT(_xlfn.XLOOKUP($A207,PROPERTIES[VEHIDCODE],PROPERTIES[REGION1]),"_",_xlfn.XLOOKUP($A207,PROPERTIES[VEHIDCODE],PROPERTIES[REGION2]),"_",_xlfn.XLOOKUP($A207,PROPERTIES[VEHIDCODE],PROPERTIES[REGION3]&amp;"_"&amp;_xlfn.XLOOKUP($A207,PROPERTIES[VEHIDCODE],PROPERTIES[REGION4])))</f>
        <v>POST_SOVIET_BALTIC_SOUTH_AMERICA_NO_REGION_NO_REGION</v>
      </c>
      <c r="G207" t="b">
        <f t="shared" si="27"/>
        <v>0</v>
      </c>
      <c r="H207" t="b">
        <f t="shared" si="34"/>
        <v>1</v>
      </c>
      <c r="I207" t="b">
        <f t="shared" si="28"/>
        <v>0</v>
      </c>
      <c r="J207" t="b">
        <f t="shared" si="35"/>
        <v>1</v>
      </c>
      <c r="K207" t="b">
        <f t="shared" si="29"/>
        <v>0</v>
      </c>
      <c r="L207" t="b">
        <f t="shared" si="30"/>
        <v>1</v>
      </c>
      <c r="M207" t="b">
        <f t="shared" si="31"/>
        <v>0</v>
      </c>
      <c r="N207" t="b">
        <f t="shared" si="32"/>
        <v>1</v>
      </c>
      <c r="O207" t="b">
        <f t="shared" si="33"/>
        <v>0</v>
      </c>
    </row>
    <row r="208" spans="1:15" x14ac:dyDescent="0.35">
      <c r="A208" t="str">
        <v>diesel_EMD_Clyde_J26C</v>
      </c>
      <c r="B208" t="b" cm="1">
        <f t="array" ref="B208">_xlfn.XLOOKUP(A208,CONTROL[VEHIDCODE],PROPERTIES[EXCLUDE])</f>
        <v>0</v>
      </c>
      <c r="C208" t="b">
        <f>_xlfn.XLOOKUP(A208,CONTROL[VEHIDCODE],CONTROL[IS_WAGON_OR_COACH])</f>
        <v>0</v>
      </c>
      <c r="D208">
        <f>FLOOR(_xlfn.XLOOKUP($A208,PROPERTIES[VEHIDCODE],PROPERTIES[INTRODUCTION_YEAR]),20)</f>
        <v>1960</v>
      </c>
      <c r="E208" t="e">
        <f>_xlfn.XLOOKUP($A208,PROPERTIES[VEHIDCODE],#REF!)</f>
        <v>#REF!</v>
      </c>
      <c r="F208" s="25" t="str" cm="1">
        <f t="array" ref="F208">_xlfn.CONCAT(_xlfn.XLOOKUP($A208,PROPERTIES[VEHIDCODE],PROPERTIES[REGION1]),"_",_xlfn.XLOOKUP($A208,PROPERTIES[VEHIDCODE],PROPERTIES[REGION2]),"_",_xlfn.XLOOKUP($A208,PROPERTIES[VEHIDCODE],PROPERTIES[REGION3]&amp;"_"&amp;_xlfn.XLOOKUP($A208,PROPERTIES[VEHIDCODE],PROPERTIES[REGION4])))</f>
        <v>OCEANIA_NO_REGION_NO_REGION_NO_REGION</v>
      </c>
      <c r="G208" t="b">
        <f t="shared" si="27"/>
        <v>0</v>
      </c>
      <c r="H208" t="b">
        <f t="shared" si="34"/>
        <v>0</v>
      </c>
      <c r="I208" t="b">
        <f t="shared" si="28"/>
        <v>0</v>
      </c>
      <c r="J208" t="b">
        <f t="shared" si="35"/>
        <v>0</v>
      </c>
      <c r="K208" t="b">
        <f t="shared" si="29"/>
        <v>0</v>
      </c>
      <c r="L208" t="b">
        <f t="shared" si="30"/>
        <v>0</v>
      </c>
      <c r="M208" t="b">
        <f t="shared" si="31"/>
        <v>0</v>
      </c>
      <c r="N208" t="b">
        <f t="shared" si="32"/>
        <v>0</v>
      </c>
      <c r="O208" t="b">
        <f t="shared" si="33"/>
        <v>1</v>
      </c>
    </row>
    <row r="209" spans="1:15" x14ac:dyDescent="0.35">
      <c r="A209" t="str">
        <v>diesel_GE_G22W</v>
      </c>
      <c r="B209" t="b" cm="1">
        <f t="array" ref="B209">_xlfn.XLOOKUP(A209,CONTROL[VEHIDCODE],PROPERTIES[EXCLUDE])</f>
        <v>0</v>
      </c>
      <c r="C209" t="b">
        <f>_xlfn.XLOOKUP(A209,CONTROL[VEHIDCODE],CONTROL[IS_WAGON_OR_COACH])</f>
        <v>0</v>
      </c>
      <c r="D209">
        <f>FLOOR(_xlfn.XLOOKUP($A209,PROPERTIES[VEHIDCODE],PROPERTIES[INTRODUCTION_YEAR]),20)</f>
        <v>1960</v>
      </c>
      <c r="E209" t="e">
        <f>_xlfn.XLOOKUP($A209,PROPERTIES[VEHIDCODE],#REF!)</f>
        <v>#REF!</v>
      </c>
      <c r="F209" s="25" t="str" cm="1">
        <f t="array" ref="F209">_xlfn.CONCAT(_xlfn.XLOOKUP($A209,PROPERTIES[VEHIDCODE],PROPERTIES[REGION1]),"_",_xlfn.XLOOKUP($A209,PROPERTIES[VEHIDCODE],PROPERTIES[REGION2]),"_",_xlfn.XLOOKUP($A209,PROPERTIES[VEHIDCODE],PROPERTIES[REGION3]&amp;"_"&amp;_xlfn.XLOOKUP($A209,PROPERTIES[VEHIDCODE],PROPERTIES[REGION4])))</f>
        <v>AFRICA_NORTHERN_EUROPE_ASIA_NO_REGION</v>
      </c>
      <c r="G209" t="b">
        <f t="shared" si="27"/>
        <v>1</v>
      </c>
      <c r="H209" t="b">
        <f t="shared" si="34"/>
        <v>1</v>
      </c>
      <c r="I209" t="b">
        <f t="shared" si="28"/>
        <v>0</v>
      </c>
      <c r="J209" t="b">
        <f t="shared" si="35"/>
        <v>0</v>
      </c>
      <c r="K209" t="b">
        <f t="shared" si="29"/>
        <v>0</v>
      </c>
      <c r="L209" t="b">
        <f t="shared" si="30"/>
        <v>1</v>
      </c>
      <c r="M209" t="b">
        <f t="shared" si="31"/>
        <v>0</v>
      </c>
      <c r="N209" t="b">
        <f t="shared" si="32"/>
        <v>0</v>
      </c>
      <c r="O209" t="b">
        <f t="shared" si="33"/>
        <v>0</v>
      </c>
    </row>
    <row r="210" spans="1:15" x14ac:dyDescent="0.35">
      <c r="A210" t="str">
        <v>diesel_EMD_DDA40X</v>
      </c>
      <c r="B210" t="b" cm="1">
        <f t="array" ref="B210">_xlfn.XLOOKUP(A210,CONTROL[VEHIDCODE],PROPERTIES[EXCLUDE])</f>
        <v>0</v>
      </c>
      <c r="C210" t="b">
        <f>_xlfn.XLOOKUP(A210,CONTROL[VEHIDCODE],CONTROL[IS_WAGON_OR_COACH])</f>
        <v>0</v>
      </c>
      <c r="D210">
        <f>FLOOR(_xlfn.XLOOKUP($A210,PROPERTIES[VEHIDCODE],PROPERTIES[INTRODUCTION_YEAR]),20)</f>
        <v>1960</v>
      </c>
      <c r="E210" t="e">
        <f>_xlfn.XLOOKUP($A210,PROPERTIES[VEHIDCODE],#REF!)</f>
        <v>#REF!</v>
      </c>
      <c r="F210" s="25" t="str" cm="1">
        <f t="array" ref="F210">_xlfn.CONCAT(_xlfn.XLOOKUP($A210,PROPERTIES[VEHIDCODE],PROPERTIES[REGION1]),"_",_xlfn.XLOOKUP($A210,PROPERTIES[VEHIDCODE],PROPERTIES[REGION2]),"_",_xlfn.XLOOKUP($A210,PROPERTIES[VEHIDCODE],PROPERTIES[REGION3]&amp;"_"&amp;_xlfn.XLOOKUP($A210,PROPERTIES[VEHIDCODE],PROPERTIES[REGION4])))</f>
        <v>NORTH_AMERICA_NO_REGION_NO_REGION_NO_REGION</v>
      </c>
      <c r="G210" t="b">
        <f t="shared" si="27"/>
        <v>0</v>
      </c>
      <c r="H210" t="b">
        <f t="shared" si="34"/>
        <v>0</v>
      </c>
      <c r="I210" t="b">
        <f t="shared" si="28"/>
        <v>0</v>
      </c>
      <c r="J210" t="b">
        <f t="shared" si="35"/>
        <v>0</v>
      </c>
      <c r="K210" t="b">
        <f t="shared" si="29"/>
        <v>0</v>
      </c>
      <c r="L210" t="b">
        <f t="shared" si="30"/>
        <v>0</v>
      </c>
      <c r="M210" t="b">
        <f t="shared" si="31"/>
        <v>1</v>
      </c>
      <c r="N210" t="b">
        <f t="shared" si="32"/>
        <v>0</v>
      </c>
      <c r="O210" t="b">
        <f t="shared" si="33"/>
        <v>0</v>
      </c>
    </row>
    <row r="211" spans="1:15" x14ac:dyDescent="0.35">
      <c r="A211" t="str">
        <v>diesel_EMD_Clyde_GL26C</v>
      </c>
      <c r="B211" t="b" cm="1">
        <f t="array" ref="B211">_xlfn.XLOOKUP(A211,CONTROL[VEHIDCODE],PROPERTIES[EXCLUDE])</f>
        <v>0</v>
      </c>
      <c r="C211" t="b">
        <f>_xlfn.XLOOKUP(A211,CONTROL[VEHIDCODE],CONTROL[IS_WAGON_OR_COACH])</f>
        <v>0</v>
      </c>
      <c r="D211">
        <f>FLOOR(_xlfn.XLOOKUP($A211,PROPERTIES[VEHIDCODE],PROPERTIES[INTRODUCTION_YEAR]),20)</f>
        <v>1960</v>
      </c>
      <c r="E211" t="e">
        <f>_xlfn.XLOOKUP($A211,PROPERTIES[VEHIDCODE],#REF!)</f>
        <v>#REF!</v>
      </c>
      <c r="F211" s="25" t="str" cm="1">
        <f t="array" ref="F211">_xlfn.CONCAT(_xlfn.XLOOKUP($A211,PROPERTIES[VEHIDCODE],PROPERTIES[REGION1]),"_",_xlfn.XLOOKUP($A211,PROPERTIES[VEHIDCODE],PROPERTIES[REGION2]),"_",_xlfn.XLOOKUP($A211,PROPERTIES[VEHIDCODE],PROPERTIES[REGION3]&amp;"_"&amp;_xlfn.XLOOKUP($A211,PROPERTIES[VEHIDCODE],PROPERTIES[REGION4])))</f>
        <v>OCEANIA_NO_REGION_NO_REGION_NO_REGION</v>
      </c>
      <c r="G211" t="b">
        <f t="shared" si="27"/>
        <v>0</v>
      </c>
      <c r="H211" t="b">
        <f t="shared" si="34"/>
        <v>0</v>
      </c>
      <c r="I211" t="b">
        <f t="shared" si="28"/>
        <v>0</v>
      </c>
      <c r="J211" t="b">
        <f t="shared" si="35"/>
        <v>0</v>
      </c>
      <c r="K211" t="b">
        <f t="shared" si="29"/>
        <v>0</v>
      </c>
      <c r="L211" t="b">
        <f t="shared" si="30"/>
        <v>0</v>
      </c>
      <c r="M211" t="b">
        <f t="shared" si="31"/>
        <v>0</v>
      </c>
      <c r="N211" t="b">
        <f t="shared" si="32"/>
        <v>0</v>
      </c>
      <c r="O211" t="b">
        <f t="shared" si="33"/>
        <v>1</v>
      </c>
    </row>
    <row r="212" spans="1:15" x14ac:dyDescent="0.35">
      <c r="A212" t="str">
        <v>diesel_EMD_G26</v>
      </c>
      <c r="B212" t="b" cm="1">
        <f t="array" ref="B212">_xlfn.XLOOKUP(A212,CONTROL[VEHIDCODE],PROPERTIES[EXCLUDE])</f>
        <v>0</v>
      </c>
      <c r="C212" t="b">
        <f>_xlfn.XLOOKUP(A212,CONTROL[VEHIDCODE],CONTROL[IS_WAGON_OR_COACH])</f>
        <v>0</v>
      </c>
      <c r="D212">
        <f>FLOOR(_xlfn.XLOOKUP($A212,PROPERTIES[VEHIDCODE],PROPERTIES[INTRODUCTION_YEAR]),20)</f>
        <v>1960</v>
      </c>
      <c r="E212" t="e">
        <f>_xlfn.XLOOKUP($A212,PROPERTIES[VEHIDCODE],#REF!)</f>
        <v>#REF!</v>
      </c>
      <c r="F212" s="25" t="str" cm="1">
        <f t="array" ref="F212">_xlfn.CONCAT(_xlfn.XLOOKUP($A212,PROPERTIES[VEHIDCODE],PROPERTIES[REGION1]),"_",_xlfn.XLOOKUP($A212,PROPERTIES[VEHIDCODE],PROPERTIES[REGION2]),"_",_xlfn.XLOOKUP($A212,PROPERTIES[VEHIDCODE],PROPERTIES[REGION3]&amp;"_"&amp;_xlfn.XLOOKUP($A212,PROPERTIES[VEHIDCODE],PROPERTIES[REGION4])))</f>
        <v>EASTERN_EUROPE_AFRICA_APAC_SOUTH_AMERICA</v>
      </c>
      <c r="G212" t="b">
        <f t="shared" si="27"/>
        <v>1</v>
      </c>
      <c r="H212" t="b">
        <f t="shared" si="34"/>
        <v>1</v>
      </c>
      <c r="I212" t="b">
        <f t="shared" si="28"/>
        <v>0</v>
      </c>
      <c r="J212" t="b">
        <f t="shared" si="35"/>
        <v>1</v>
      </c>
      <c r="K212" t="b">
        <f t="shared" si="29"/>
        <v>0</v>
      </c>
      <c r="L212" t="b">
        <f t="shared" si="30"/>
        <v>0</v>
      </c>
      <c r="M212" t="b">
        <f t="shared" si="31"/>
        <v>0</v>
      </c>
      <c r="N212" t="b">
        <f t="shared" si="32"/>
        <v>1</v>
      </c>
      <c r="O212" t="b">
        <f t="shared" si="33"/>
        <v>1</v>
      </c>
    </row>
    <row r="213" spans="1:15" x14ac:dyDescent="0.35">
      <c r="A213" t="str">
        <v>diesel_Henschel_TGOJ_V4</v>
      </c>
      <c r="B213" t="b" cm="1">
        <f t="array" ref="B213">_xlfn.XLOOKUP(A213,CONTROL[VEHIDCODE],PROPERTIES[EXCLUDE])</f>
        <v>0</v>
      </c>
      <c r="C213" t="b">
        <f>_xlfn.XLOOKUP(A213,CONTROL[VEHIDCODE],CONTROL[IS_WAGON_OR_COACH])</f>
        <v>0</v>
      </c>
      <c r="D213">
        <f>FLOOR(_xlfn.XLOOKUP($A213,PROPERTIES[VEHIDCODE],PROPERTIES[INTRODUCTION_YEAR]),20)</f>
        <v>1960</v>
      </c>
      <c r="E213" t="e">
        <f>_xlfn.XLOOKUP($A213,PROPERTIES[VEHIDCODE],#REF!)</f>
        <v>#REF!</v>
      </c>
      <c r="F213" s="25" t="str" cm="1">
        <f t="array" ref="F213">_xlfn.CONCAT(_xlfn.XLOOKUP($A213,PROPERTIES[VEHIDCODE],PROPERTIES[REGION1]),"_",_xlfn.XLOOKUP($A213,PROPERTIES[VEHIDCODE],PROPERTIES[REGION2]),"_",_xlfn.XLOOKUP($A213,PROPERTIES[VEHIDCODE],PROPERTIES[REGION3]&amp;"_"&amp;_xlfn.XLOOKUP($A213,PROPERTIES[VEHIDCODE],PROPERTIES[REGION4])))</f>
        <v>NORTHERN_EUROPE_NO_REGION_NO_REGION_NO_REGION</v>
      </c>
      <c r="G213" t="b">
        <f t="shared" si="27"/>
        <v>0</v>
      </c>
      <c r="H213" t="b">
        <f t="shared" si="34"/>
        <v>0</v>
      </c>
      <c r="I213" t="b">
        <f t="shared" si="28"/>
        <v>0</v>
      </c>
      <c r="J213" t="b">
        <f t="shared" si="35"/>
        <v>0</v>
      </c>
      <c r="K213" t="b">
        <f t="shared" si="29"/>
        <v>0</v>
      </c>
      <c r="L213" t="b">
        <f t="shared" si="30"/>
        <v>1</v>
      </c>
      <c r="M213" t="b">
        <f t="shared" si="31"/>
        <v>0</v>
      </c>
      <c r="N213" t="b">
        <f t="shared" si="32"/>
        <v>0</v>
      </c>
      <c r="O213" t="b">
        <f t="shared" si="33"/>
        <v>0</v>
      </c>
    </row>
    <row r="214" spans="1:15" x14ac:dyDescent="0.35">
      <c r="A214" t="str">
        <v>diesel_MLW_M420W</v>
      </c>
      <c r="B214" t="b" cm="1">
        <f t="array" ref="B214">_xlfn.XLOOKUP(A214,CONTROL[VEHIDCODE],PROPERTIES[EXCLUDE])</f>
        <v>0</v>
      </c>
      <c r="C214" t="b">
        <f>_xlfn.XLOOKUP(A214,CONTROL[VEHIDCODE],CONTROL[IS_WAGON_OR_COACH])</f>
        <v>0</v>
      </c>
      <c r="D214">
        <f>FLOOR(_xlfn.XLOOKUP($A214,PROPERTIES[VEHIDCODE],PROPERTIES[INTRODUCTION_YEAR]),20)</f>
        <v>1960</v>
      </c>
      <c r="E214" t="e">
        <f>_xlfn.XLOOKUP($A214,PROPERTIES[VEHIDCODE],#REF!)</f>
        <v>#REF!</v>
      </c>
      <c r="F214" s="25" t="str" cm="1">
        <f t="array" ref="F214">_xlfn.CONCAT(_xlfn.XLOOKUP($A214,PROPERTIES[VEHIDCODE],PROPERTIES[REGION1]),"_",_xlfn.XLOOKUP($A214,PROPERTIES[VEHIDCODE],PROPERTIES[REGION2]),"_",_xlfn.XLOOKUP($A214,PROPERTIES[VEHIDCODE],PROPERTIES[REGION3]&amp;"_"&amp;_xlfn.XLOOKUP($A214,PROPERTIES[VEHIDCODE],PROPERTIES[REGION4])))</f>
        <v>ALL_AMERICA_NO_REGION_NO_REGION_NO_REGION</v>
      </c>
      <c r="G214" t="b">
        <f t="shared" si="27"/>
        <v>0</v>
      </c>
      <c r="H214" t="b">
        <f t="shared" si="34"/>
        <v>0</v>
      </c>
      <c r="I214" t="b">
        <f t="shared" si="28"/>
        <v>0</v>
      </c>
      <c r="J214" t="b">
        <f t="shared" si="35"/>
        <v>0</v>
      </c>
      <c r="K214" t="b">
        <f t="shared" si="29"/>
        <v>0</v>
      </c>
      <c r="L214" t="b">
        <f t="shared" si="30"/>
        <v>0</v>
      </c>
      <c r="M214" t="b">
        <f t="shared" si="31"/>
        <v>1</v>
      </c>
      <c r="N214" t="b">
        <f t="shared" si="32"/>
        <v>1</v>
      </c>
      <c r="O214" t="b">
        <f t="shared" si="33"/>
        <v>0</v>
      </c>
    </row>
    <row r="215" spans="1:15" x14ac:dyDescent="0.35">
      <c r="A215" t="str">
        <v>diesel_EMD_SDP_40F</v>
      </c>
      <c r="B215" t="b" cm="1">
        <f t="array" ref="B215">_xlfn.XLOOKUP(A215,CONTROL[VEHIDCODE],PROPERTIES[EXCLUDE])</f>
        <v>0</v>
      </c>
      <c r="C215" t="b">
        <f>_xlfn.XLOOKUP(A215,CONTROL[VEHIDCODE],CONTROL[IS_WAGON_OR_COACH])</f>
        <v>0</v>
      </c>
      <c r="D215">
        <f>FLOOR(_xlfn.XLOOKUP($A215,PROPERTIES[VEHIDCODE],PROPERTIES[INTRODUCTION_YEAR]),20)</f>
        <v>1960</v>
      </c>
      <c r="E215" t="e">
        <f>_xlfn.XLOOKUP($A215,PROPERTIES[VEHIDCODE],#REF!)</f>
        <v>#REF!</v>
      </c>
      <c r="F215" s="25" t="str" cm="1">
        <f t="array" ref="F215">_xlfn.CONCAT(_xlfn.XLOOKUP($A215,PROPERTIES[VEHIDCODE],PROPERTIES[REGION1]),"_",_xlfn.XLOOKUP($A215,PROPERTIES[VEHIDCODE],PROPERTIES[REGION2]),"_",_xlfn.XLOOKUP($A215,PROPERTIES[VEHIDCODE],PROPERTIES[REGION3]&amp;"_"&amp;_xlfn.XLOOKUP($A215,PROPERTIES[VEHIDCODE],PROPERTIES[REGION4])))</f>
        <v>NORTH_AMERICA_NO_REGION_NO_REGION_NO_REGION</v>
      </c>
      <c r="G215" t="b">
        <f t="shared" si="27"/>
        <v>0</v>
      </c>
      <c r="H215" t="b">
        <f t="shared" si="34"/>
        <v>0</v>
      </c>
      <c r="I215" t="b">
        <f t="shared" si="28"/>
        <v>0</v>
      </c>
      <c r="J215" t="b">
        <f t="shared" si="35"/>
        <v>0</v>
      </c>
      <c r="K215" t="b">
        <f t="shared" si="29"/>
        <v>0</v>
      </c>
      <c r="L215" t="b">
        <f t="shared" si="30"/>
        <v>0</v>
      </c>
      <c r="M215" t="b">
        <f t="shared" si="31"/>
        <v>1</v>
      </c>
      <c r="N215" t="b">
        <f t="shared" si="32"/>
        <v>0</v>
      </c>
      <c r="O215" t="b">
        <f t="shared" si="33"/>
        <v>0</v>
      </c>
    </row>
    <row r="216" spans="1:15" x14ac:dyDescent="0.35">
      <c r="A216" t="str">
        <v>diesel_Sifang_DFH3</v>
      </c>
      <c r="B216" t="b" cm="1">
        <f t="array" ref="B216">_xlfn.XLOOKUP(A216,CONTROL[VEHIDCODE],PROPERTIES[EXCLUDE])</f>
        <v>0</v>
      </c>
      <c r="C216" t="b">
        <f>_xlfn.XLOOKUP(A216,CONTROL[VEHIDCODE],CONTROL[IS_WAGON_OR_COACH])</f>
        <v>0</v>
      </c>
      <c r="D216">
        <f>FLOOR(_xlfn.XLOOKUP($A216,PROPERTIES[VEHIDCODE],PROPERTIES[INTRODUCTION_YEAR]),20)</f>
        <v>1960</v>
      </c>
      <c r="E216" t="e">
        <f>_xlfn.XLOOKUP($A216,PROPERTIES[VEHIDCODE],#REF!)</f>
        <v>#REF!</v>
      </c>
      <c r="F216" s="25" t="str" cm="1">
        <f t="array" ref="F216">_xlfn.CONCAT(_xlfn.XLOOKUP($A216,PROPERTIES[VEHIDCODE],PROPERTIES[REGION1]),"_",_xlfn.XLOOKUP($A216,PROPERTIES[VEHIDCODE],PROPERTIES[REGION2]),"_",_xlfn.XLOOKUP($A216,PROPERTIES[VEHIDCODE],PROPERTIES[REGION3]&amp;"_"&amp;_xlfn.XLOOKUP($A216,PROPERTIES[VEHIDCODE],PROPERTIES[REGION4])))</f>
        <v>ASIA_NO_REGION_NO_REGION_NO_REGION</v>
      </c>
      <c r="G216" t="b">
        <f t="shared" si="27"/>
        <v>0</v>
      </c>
      <c r="H216" t="b">
        <f t="shared" si="34"/>
        <v>1</v>
      </c>
      <c r="I216" t="b">
        <f t="shared" si="28"/>
        <v>0</v>
      </c>
      <c r="J216" t="b">
        <f t="shared" si="35"/>
        <v>0</v>
      </c>
      <c r="K216" t="b">
        <f t="shared" si="29"/>
        <v>0</v>
      </c>
      <c r="L216" t="b">
        <f t="shared" si="30"/>
        <v>0</v>
      </c>
      <c r="M216" t="b">
        <f t="shared" si="31"/>
        <v>0</v>
      </c>
      <c r="N216" t="b">
        <f t="shared" si="32"/>
        <v>0</v>
      </c>
      <c r="O216" t="b">
        <f t="shared" si="33"/>
        <v>0</v>
      </c>
    </row>
    <row r="217" spans="1:15" x14ac:dyDescent="0.35">
      <c r="A217" t="str">
        <v>diesel_EMD_F40PH</v>
      </c>
      <c r="B217" t="b" cm="1">
        <f t="array" ref="B217">_xlfn.XLOOKUP(A217,CONTROL[VEHIDCODE],PROPERTIES[EXCLUDE])</f>
        <v>0</v>
      </c>
      <c r="C217" t="b">
        <f>_xlfn.XLOOKUP(A217,CONTROL[VEHIDCODE],CONTROL[IS_WAGON_OR_COACH])</f>
        <v>0</v>
      </c>
      <c r="D217">
        <f>FLOOR(_xlfn.XLOOKUP($A217,PROPERTIES[VEHIDCODE],PROPERTIES[INTRODUCTION_YEAR]),20)</f>
        <v>1960</v>
      </c>
      <c r="E217" t="e">
        <f>_xlfn.XLOOKUP($A217,PROPERTIES[VEHIDCODE],#REF!)</f>
        <v>#REF!</v>
      </c>
      <c r="F217" s="25" t="str" cm="1">
        <f t="array" ref="F217">_xlfn.CONCAT(_xlfn.XLOOKUP($A217,PROPERTIES[VEHIDCODE],PROPERTIES[REGION1]),"_",_xlfn.XLOOKUP($A217,PROPERTIES[VEHIDCODE],PROPERTIES[REGION2]),"_",_xlfn.XLOOKUP($A217,PROPERTIES[VEHIDCODE],PROPERTIES[REGION3]&amp;"_"&amp;_xlfn.XLOOKUP($A217,PROPERTIES[VEHIDCODE],PROPERTIES[REGION4])))</f>
        <v>ALL_AMERICA_NO_REGION_NO_REGION_NO_REGION</v>
      </c>
      <c r="G217" t="b">
        <f t="shared" si="27"/>
        <v>0</v>
      </c>
      <c r="H217" t="b">
        <f t="shared" si="34"/>
        <v>0</v>
      </c>
      <c r="I217" t="b">
        <f t="shared" si="28"/>
        <v>0</v>
      </c>
      <c r="J217" t="b">
        <f t="shared" si="35"/>
        <v>0</v>
      </c>
      <c r="K217" t="b">
        <f t="shared" si="29"/>
        <v>0</v>
      </c>
      <c r="L217" t="b">
        <f t="shared" si="30"/>
        <v>0</v>
      </c>
      <c r="M217" t="b">
        <f t="shared" si="31"/>
        <v>1</v>
      </c>
      <c r="N217" t="b">
        <f t="shared" si="32"/>
        <v>1</v>
      </c>
      <c r="O217" t="b">
        <f t="shared" si="33"/>
        <v>0</v>
      </c>
    </row>
    <row r="218" spans="1:15" x14ac:dyDescent="0.35">
      <c r="A218" t="str">
        <v>diesel_Sorefame_Alsthom_1900</v>
      </c>
      <c r="B218" t="b" cm="1">
        <f t="array" ref="B218">_xlfn.XLOOKUP(A218,CONTROL[VEHIDCODE],PROPERTIES[EXCLUDE])</f>
        <v>0</v>
      </c>
      <c r="C218" t="b">
        <f>_xlfn.XLOOKUP(A218,CONTROL[VEHIDCODE],CONTROL[IS_WAGON_OR_COACH])</f>
        <v>0</v>
      </c>
      <c r="D218">
        <f>FLOOR(_xlfn.XLOOKUP($A218,PROPERTIES[VEHIDCODE],PROPERTIES[INTRODUCTION_YEAR]),20)</f>
        <v>1980</v>
      </c>
      <c r="E218" t="e">
        <f>_xlfn.XLOOKUP($A218,PROPERTIES[VEHIDCODE],#REF!)</f>
        <v>#REF!</v>
      </c>
      <c r="F218" s="25" t="str" cm="1">
        <f t="array" ref="F218">_xlfn.CONCAT(_xlfn.XLOOKUP($A218,PROPERTIES[VEHIDCODE],PROPERTIES[REGION1]),"_",_xlfn.XLOOKUP($A218,PROPERTIES[VEHIDCODE],PROPERTIES[REGION2]),"_",_xlfn.XLOOKUP($A218,PROPERTIES[VEHIDCODE],PROPERTIES[REGION3]&amp;"_"&amp;_xlfn.XLOOKUP($A218,PROPERTIES[VEHIDCODE],PROPERTIES[REGION4])))</f>
        <v>SOUTHERN_EUROPE_NO_REGION_NO_REGION_NO_REGION</v>
      </c>
      <c r="G218" t="b">
        <f t="shared" si="27"/>
        <v>0</v>
      </c>
      <c r="H218" t="b">
        <f t="shared" si="34"/>
        <v>0</v>
      </c>
      <c r="I218" t="b">
        <f t="shared" si="28"/>
        <v>1</v>
      </c>
      <c r="J218" t="b">
        <f t="shared" si="35"/>
        <v>0</v>
      </c>
      <c r="K218" t="b">
        <f t="shared" si="29"/>
        <v>0</v>
      </c>
      <c r="L218" t="b">
        <f t="shared" si="30"/>
        <v>0</v>
      </c>
      <c r="M218" t="b">
        <f t="shared" si="31"/>
        <v>0</v>
      </c>
      <c r="N218" t="b">
        <f t="shared" si="32"/>
        <v>0</v>
      </c>
      <c r="O218" t="b">
        <f t="shared" si="33"/>
        <v>0</v>
      </c>
    </row>
    <row r="219" spans="1:15" x14ac:dyDescent="0.35">
      <c r="A219" t="str">
        <v>diesel_Valmet_Oy_Dr16</v>
      </c>
      <c r="B219" t="b" cm="1">
        <f t="array" ref="B219">_xlfn.XLOOKUP(A219,CONTROL[VEHIDCODE],PROPERTIES[EXCLUDE])</f>
        <v>0</v>
      </c>
      <c r="C219" t="b">
        <f>_xlfn.XLOOKUP(A219,CONTROL[VEHIDCODE],CONTROL[IS_WAGON_OR_COACH])</f>
        <v>0</v>
      </c>
      <c r="D219">
        <f>FLOOR(_xlfn.XLOOKUP($A219,PROPERTIES[VEHIDCODE],PROPERTIES[INTRODUCTION_YEAR]),20)</f>
        <v>1980</v>
      </c>
      <c r="E219" t="e">
        <f>_xlfn.XLOOKUP($A219,PROPERTIES[VEHIDCODE],#REF!)</f>
        <v>#REF!</v>
      </c>
      <c r="F219" s="25" t="str" cm="1">
        <f t="array" ref="F219">_xlfn.CONCAT(_xlfn.XLOOKUP($A219,PROPERTIES[VEHIDCODE],PROPERTIES[REGION1]),"_",_xlfn.XLOOKUP($A219,PROPERTIES[VEHIDCODE],PROPERTIES[REGION2]),"_",_xlfn.XLOOKUP($A219,PROPERTIES[VEHIDCODE],PROPERTIES[REGION3]&amp;"_"&amp;_xlfn.XLOOKUP($A219,PROPERTIES[VEHIDCODE],PROPERTIES[REGION4])))</f>
        <v>NORTHERN_EUROPE_NO_REGION_NO_REGION_NO_REGION</v>
      </c>
      <c r="G219" t="b">
        <f t="shared" si="27"/>
        <v>0</v>
      </c>
      <c r="H219" t="b">
        <f t="shared" si="34"/>
        <v>0</v>
      </c>
      <c r="I219" t="b">
        <f t="shared" si="28"/>
        <v>0</v>
      </c>
      <c r="J219" t="b">
        <f t="shared" si="35"/>
        <v>0</v>
      </c>
      <c r="K219" t="b">
        <f t="shared" si="29"/>
        <v>0</v>
      </c>
      <c r="L219" t="b">
        <f t="shared" si="30"/>
        <v>1</v>
      </c>
      <c r="M219" t="b">
        <f t="shared" si="31"/>
        <v>0</v>
      </c>
      <c r="N219" t="b">
        <f t="shared" si="32"/>
        <v>0</v>
      </c>
      <c r="O219" t="b">
        <f t="shared" si="33"/>
        <v>0</v>
      </c>
    </row>
    <row r="220" spans="1:15" x14ac:dyDescent="0.35">
      <c r="A220" t="str">
        <v>diesel_Kolomena_TEP80</v>
      </c>
      <c r="B220" t="b" cm="1">
        <f t="array" ref="B220">_xlfn.XLOOKUP(A220,CONTROL[VEHIDCODE],PROPERTIES[EXCLUDE])</f>
        <v>0</v>
      </c>
      <c r="C220" t="b">
        <f>_xlfn.XLOOKUP(A220,CONTROL[VEHIDCODE],CONTROL[IS_WAGON_OR_COACH])</f>
        <v>0</v>
      </c>
      <c r="D220">
        <f>FLOOR(_xlfn.XLOOKUP($A220,PROPERTIES[VEHIDCODE],PROPERTIES[INTRODUCTION_YEAR]),20)</f>
        <v>1980</v>
      </c>
      <c r="E220" t="e">
        <f>_xlfn.XLOOKUP($A220,PROPERTIES[VEHIDCODE],#REF!)</f>
        <v>#REF!</v>
      </c>
      <c r="F220" s="25" t="str" cm="1">
        <f t="array" ref="F220">_xlfn.CONCAT(_xlfn.XLOOKUP($A220,PROPERTIES[VEHIDCODE],PROPERTIES[REGION1]),"_",_xlfn.XLOOKUP($A220,PROPERTIES[VEHIDCODE],PROPERTIES[REGION2]),"_",_xlfn.XLOOKUP($A220,PROPERTIES[VEHIDCODE],PROPERTIES[REGION3]&amp;"_"&amp;_xlfn.XLOOKUP($A220,PROPERTIES[VEHIDCODE],PROPERTIES[REGION4])))</f>
        <v>COMECON_NO_REGION_NO_REGION_NO_REGION</v>
      </c>
      <c r="G220" t="b">
        <f t="shared" si="27"/>
        <v>0</v>
      </c>
      <c r="H220" t="b">
        <f t="shared" si="34"/>
        <v>1</v>
      </c>
      <c r="I220" t="b">
        <f t="shared" si="28"/>
        <v>0</v>
      </c>
      <c r="J220" t="b">
        <f t="shared" si="35"/>
        <v>1</v>
      </c>
      <c r="K220" t="b">
        <f t="shared" si="29"/>
        <v>0</v>
      </c>
      <c r="L220" t="b">
        <f t="shared" si="30"/>
        <v>0</v>
      </c>
      <c r="M220" t="b">
        <f t="shared" si="31"/>
        <v>0</v>
      </c>
      <c r="N220" t="b">
        <f t="shared" si="32"/>
        <v>0</v>
      </c>
      <c r="O220" t="b">
        <f t="shared" si="33"/>
        <v>0</v>
      </c>
    </row>
    <row r="221" spans="1:15" x14ac:dyDescent="0.35">
      <c r="A221" t="str">
        <v>diesel_EMD_Clyde_JT46C</v>
      </c>
      <c r="B221" t="b" cm="1">
        <f t="array" ref="B221">_xlfn.XLOOKUP(A221,CONTROL[VEHIDCODE],PROPERTIES[EXCLUDE])</f>
        <v>0</v>
      </c>
      <c r="C221" t="b">
        <f>_xlfn.XLOOKUP(A221,CONTROL[VEHIDCODE],CONTROL[IS_WAGON_OR_COACH])</f>
        <v>0</v>
      </c>
      <c r="D221">
        <f>FLOOR(_xlfn.XLOOKUP($A221,PROPERTIES[VEHIDCODE],PROPERTIES[INTRODUCTION_YEAR]),20)</f>
        <v>1980</v>
      </c>
      <c r="E221" t="e">
        <f>_xlfn.XLOOKUP($A221,PROPERTIES[VEHIDCODE],#REF!)</f>
        <v>#REF!</v>
      </c>
      <c r="F221" s="25" t="str" cm="1">
        <f t="array" ref="F221">_xlfn.CONCAT(_xlfn.XLOOKUP($A221,PROPERTIES[VEHIDCODE],PROPERTIES[REGION1]),"_",_xlfn.XLOOKUP($A221,PROPERTIES[VEHIDCODE],PROPERTIES[REGION2]),"_",_xlfn.XLOOKUP($A221,PROPERTIES[VEHIDCODE],PROPERTIES[REGION3]&amp;"_"&amp;_xlfn.XLOOKUP($A221,PROPERTIES[VEHIDCODE],PROPERTIES[REGION4])))</f>
        <v>OCEANIA_NO_REGION_NO_REGION_NO_REGION</v>
      </c>
      <c r="G221" t="b">
        <f t="shared" si="27"/>
        <v>0</v>
      </c>
      <c r="H221" t="b">
        <f t="shared" si="34"/>
        <v>0</v>
      </c>
      <c r="I221" t="b">
        <f t="shared" si="28"/>
        <v>0</v>
      </c>
      <c r="J221" t="b">
        <f t="shared" si="35"/>
        <v>0</v>
      </c>
      <c r="K221" t="b">
        <f t="shared" si="29"/>
        <v>0</v>
      </c>
      <c r="L221" t="b">
        <f t="shared" si="30"/>
        <v>0</v>
      </c>
      <c r="M221" t="b">
        <f t="shared" si="31"/>
        <v>0</v>
      </c>
      <c r="N221" t="b">
        <f t="shared" si="32"/>
        <v>0</v>
      </c>
      <c r="O221" t="b">
        <f t="shared" si="33"/>
        <v>1</v>
      </c>
    </row>
    <row r="222" spans="1:15" x14ac:dyDescent="0.35">
      <c r="A222" t="str">
        <v>diesel_GE_P42DC_Genesis</v>
      </c>
      <c r="B222" t="b" cm="1">
        <f t="array" ref="B222">_xlfn.XLOOKUP(A222,CONTROL[VEHIDCODE],PROPERTIES[EXCLUDE])</f>
        <v>0</v>
      </c>
      <c r="C222" t="b">
        <f>_xlfn.XLOOKUP(A222,CONTROL[VEHIDCODE],CONTROL[IS_WAGON_OR_COACH])</f>
        <v>0</v>
      </c>
      <c r="D222">
        <f>FLOOR(_xlfn.XLOOKUP($A222,PROPERTIES[VEHIDCODE],PROPERTIES[INTRODUCTION_YEAR]),20)</f>
        <v>1980</v>
      </c>
      <c r="E222" t="e">
        <f>_xlfn.XLOOKUP($A222,PROPERTIES[VEHIDCODE],#REF!)</f>
        <v>#REF!</v>
      </c>
      <c r="F222" s="25" t="str" cm="1">
        <f t="array" ref="F222">_xlfn.CONCAT(_xlfn.XLOOKUP($A222,PROPERTIES[VEHIDCODE],PROPERTIES[REGION1]),"_",_xlfn.XLOOKUP($A222,PROPERTIES[VEHIDCODE],PROPERTIES[REGION2]),"_",_xlfn.XLOOKUP($A222,PROPERTIES[VEHIDCODE],PROPERTIES[REGION3]&amp;"_"&amp;_xlfn.XLOOKUP($A222,PROPERTIES[VEHIDCODE],PROPERTIES[REGION4])))</f>
        <v>NORTH_AMERICA_NO_REGION_NO_REGION_NO_REGION</v>
      </c>
      <c r="G222" t="b">
        <f t="shared" si="27"/>
        <v>0</v>
      </c>
      <c r="H222" t="b">
        <f t="shared" si="34"/>
        <v>0</v>
      </c>
      <c r="I222" t="b">
        <f t="shared" si="28"/>
        <v>0</v>
      </c>
      <c r="J222" t="b">
        <f t="shared" si="35"/>
        <v>0</v>
      </c>
      <c r="K222" t="b">
        <f t="shared" si="29"/>
        <v>0</v>
      </c>
      <c r="L222" t="b">
        <f t="shared" si="30"/>
        <v>0</v>
      </c>
      <c r="M222" t="b">
        <f t="shared" si="31"/>
        <v>1</v>
      </c>
      <c r="N222" t="b">
        <f t="shared" si="32"/>
        <v>0</v>
      </c>
      <c r="O222" t="b">
        <f t="shared" si="33"/>
        <v>0</v>
      </c>
    </row>
    <row r="223" spans="1:15" x14ac:dyDescent="0.35">
      <c r="A223" t="str">
        <v>diesel_Tulomsas_TCDD_DH7000</v>
      </c>
      <c r="B223" t="b" cm="1">
        <f t="array" ref="B223">_xlfn.XLOOKUP(A223,CONTROL[VEHIDCODE],PROPERTIES[EXCLUDE])</f>
        <v>0</v>
      </c>
      <c r="C223" t="b">
        <f>_xlfn.XLOOKUP(A223,CONTROL[VEHIDCODE],CONTROL[IS_WAGON_OR_COACH])</f>
        <v>0</v>
      </c>
      <c r="D223">
        <f>FLOOR(_xlfn.XLOOKUP($A223,PROPERTIES[VEHIDCODE],PROPERTIES[INTRODUCTION_YEAR]),20)</f>
        <v>1980</v>
      </c>
      <c r="E223" t="e">
        <f>_xlfn.XLOOKUP($A223,PROPERTIES[VEHIDCODE],#REF!)</f>
        <v>#REF!</v>
      </c>
      <c r="F223" s="25" t="str" cm="1">
        <f t="array" ref="F223">_xlfn.CONCAT(_xlfn.XLOOKUP($A223,PROPERTIES[VEHIDCODE],PROPERTIES[REGION1]),"_",_xlfn.XLOOKUP($A223,PROPERTIES[VEHIDCODE],PROPERTIES[REGION2]),"_",_xlfn.XLOOKUP($A223,PROPERTIES[VEHIDCODE],PROPERTIES[REGION3]&amp;"_"&amp;_xlfn.XLOOKUP($A223,PROPERTIES[VEHIDCODE],PROPERTIES[REGION4])))</f>
        <v>COMECON_NO_REGION_NO_REGION_NO_REGION</v>
      </c>
      <c r="G223" t="b">
        <f t="shared" si="27"/>
        <v>0</v>
      </c>
      <c r="H223" t="b">
        <f t="shared" si="34"/>
        <v>1</v>
      </c>
      <c r="I223" t="b">
        <f t="shared" si="28"/>
        <v>0</v>
      </c>
      <c r="J223" t="b">
        <f t="shared" si="35"/>
        <v>1</v>
      </c>
      <c r="K223" t="b">
        <f t="shared" si="29"/>
        <v>0</v>
      </c>
      <c r="L223" t="b">
        <f t="shared" si="30"/>
        <v>0</v>
      </c>
      <c r="M223" t="b">
        <f t="shared" si="31"/>
        <v>0</v>
      </c>
      <c r="N223" t="b">
        <f t="shared" si="32"/>
        <v>0</v>
      </c>
      <c r="O223" t="b">
        <f t="shared" si="33"/>
        <v>0</v>
      </c>
    </row>
    <row r="224" spans="1:15" x14ac:dyDescent="0.35">
      <c r="A224" t="str">
        <v>diesel_GE_U20C</v>
      </c>
      <c r="B224" t="b" cm="1">
        <f t="array" ref="B224">_xlfn.XLOOKUP(A224,CONTROL[VEHIDCODE],PROPERTIES[EXCLUDE])</f>
        <v>0</v>
      </c>
      <c r="C224" t="b">
        <f>_xlfn.XLOOKUP(A224,CONTROL[VEHIDCODE],CONTROL[IS_WAGON_OR_COACH])</f>
        <v>0</v>
      </c>
      <c r="D224">
        <f>FLOOR(_xlfn.XLOOKUP($A224,PROPERTIES[VEHIDCODE],PROPERTIES[INTRODUCTION_YEAR]),20)</f>
        <v>1980</v>
      </c>
      <c r="E224" t="e">
        <f>_xlfn.XLOOKUP($A224,PROPERTIES[VEHIDCODE],#REF!)</f>
        <v>#REF!</v>
      </c>
      <c r="F224" s="25" t="str" cm="1">
        <f t="array" ref="F224">_xlfn.CONCAT(_xlfn.XLOOKUP($A224,PROPERTIES[VEHIDCODE],PROPERTIES[REGION1]),"_",_xlfn.XLOOKUP($A224,PROPERTIES[VEHIDCODE],PROPERTIES[REGION2]),"_",_xlfn.XLOOKUP($A224,PROPERTIES[VEHIDCODE],PROPERTIES[REGION3]&amp;"_"&amp;_xlfn.XLOOKUP($A224,PROPERTIES[VEHIDCODE],PROPERTIES[REGION4])))</f>
        <v>SOUTH_AMERICA_AFRICA_ASIA_NO_REGION</v>
      </c>
      <c r="G224" t="b">
        <f t="shared" si="27"/>
        <v>1</v>
      </c>
      <c r="H224" t="b">
        <f t="shared" si="34"/>
        <v>1</v>
      </c>
      <c r="I224" t="b">
        <f t="shared" si="28"/>
        <v>0</v>
      </c>
      <c r="J224" t="b">
        <f t="shared" si="35"/>
        <v>0</v>
      </c>
      <c r="K224" t="b">
        <f t="shared" si="29"/>
        <v>0</v>
      </c>
      <c r="L224" t="b">
        <f t="shared" si="30"/>
        <v>0</v>
      </c>
      <c r="M224" t="b">
        <f t="shared" si="31"/>
        <v>0</v>
      </c>
      <c r="N224" t="b">
        <f t="shared" si="32"/>
        <v>1</v>
      </c>
      <c r="O224" t="b">
        <f t="shared" si="33"/>
        <v>0</v>
      </c>
    </row>
    <row r="225" spans="1:15" x14ac:dyDescent="0.35">
      <c r="A225" t="str">
        <v>diesel_Vossloh_Siemens_serie_77_78</v>
      </c>
      <c r="B225" t="b" cm="1">
        <f t="array" ref="B225">_xlfn.XLOOKUP(A225,CONTROL[VEHIDCODE],PROPERTIES[EXCLUDE])</f>
        <v>0</v>
      </c>
      <c r="C225" t="b">
        <f>_xlfn.XLOOKUP(A225,CONTROL[VEHIDCODE],CONTROL[IS_WAGON_OR_COACH])</f>
        <v>0</v>
      </c>
      <c r="D225">
        <f>FLOOR(_xlfn.XLOOKUP($A225,PROPERTIES[VEHIDCODE],PROPERTIES[INTRODUCTION_YEAR]),20)</f>
        <v>1980</v>
      </c>
      <c r="E225" t="e">
        <f>_xlfn.XLOOKUP($A225,PROPERTIES[VEHIDCODE],#REF!)</f>
        <v>#REF!</v>
      </c>
      <c r="F225" s="25" t="str" cm="1">
        <f t="array" ref="F225">_xlfn.CONCAT(_xlfn.XLOOKUP($A225,PROPERTIES[VEHIDCODE],PROPERTIES[REGION1]),"_",_xlfn.XLOOKUP($A225,PROPERTIES[VEHIDCODE],PROPERTIES[REGION2]),"_",_xlfn.XLOOKUP($A225,PROPERTIES[VEHIDCODE],PROPERTIES[REGION3]&amp;"_"&amp;_xlfn.XLOOKUP($A225,PROPERTIES[VEHIDCODE],PROPERTIES[REGION4])))</f>
        <v>WESTERN_EUROPE_NO_REGION_NO_REGION_NO_REGION</v>
      </c>
      <c r="G225" t="b">
        <f t="shared" si="27"/>
        <v>0</v>
      </c>
      <c r="H225" t="b">
        <f t="shared" si="34"/>
        <v>0</v>
      </c>
      <c r="I225" t="b">
        <f t="shared" si="28"/>
        <v>0</v>
      </c>
      <c r="J225" t="b">
        <f t="shared" si="35"/>
        <v>0</v>
      </c>
      <c r="K225" t="b">
        <f t="shared" si="29"/>
        <v>1</v>
      </c>
      <c r="L225" t="b">
        <f t="shared" si="30"/>
        <v>0</v>
      </c>
      <c r="M225" t="b">
        <f t="shared" si="31"/>
        <v>0</v>
      </c>
      <c r="N225" t="b">
        <f t="shared" si="32"/>
        <v>0</v>
      </c>
      <c r="O225" t="b">
        <f t="shared" si="33"/>
        <v>0</v>
      </c>
    </row>
    <row r="226" spans="1:15" x14ac:dyDescent="0.35">
      <c r="A226" t="str">
        <v>diesel_EMD_JT42CWRM</v>
      </c>
      <c r="B226" t="b" cm="1">
        <f t="array" ref="B226">_xlfn.XLOOKUP(A226,CONTROL[VEHIDCODE],PROPERTIES[EXCLUDE])</f>
        <v>0</v>
      </c>
      <c r="C226" t="b">
        <f>_xlfn.XLOOKUP(A226,CONTROL[VEHIDCODE],CONTROL[IS_WAGON_OR_COACH])</f>
        <v>0</v>
      </c>
      <c r="D226">
        <f>FLOOR(_xlfn.XLOOKUP($A226,PROPERTIES[VEHIDCODE],PROPERTIES[INTRODUCTION_YEAR]),20)</f>
        <v>1980</v>
      </c>
      <c r="E226" t="e">
        <f>_xlfn.XLOOKUP($A226,PROPERTIES[VEHIDCODE],#REF!)</f>
        <v>#REF!</v>
      </c>
      <c r="F226" s="25" t="str" cm="1">
        <f t="array" ref="F226">_xlfn.CONCAT(_xlfn.XLOOKUP($A226,PROPERTIES[VEHIDCODE],PROPERTIES[REGION1]),"_",_xlfn.XLOOKUP($A226,PROPERTIES[VEHIDCODE],PROPERTIES[REGION2]),"_",_xlfn.XLOOKUP($A226,PROPERTIES[VEHIDCODE],PROPERTIES[REGION3]&amp;"_"&amp;_xlfn.XLOOKUP($A226,PROPERTIES[VEHIDCODE],PROPERTIES[REGION4])))</f>
        <v>ALL_EUROPE_AFRICA_NO_REGION_NO_REGION</v>
      </c>
      <c r="G226" t="b">
        <f t="shared" si="27"/>
        <v>1</v>
      </c>
      <c r="H226" t="b">
        <f t="shared" si="34"/>
        <v>0</v>
      </c>
      <c r="I226" t="b">
        <f t="shared" si="28"/>
        <v>1</v>
      </c>
      <c r="J226" t="b">
        <f t="shared" si="35"/>
        <v>1</v>
      </c>
      <c r="K226" t="b">
        <f t="shared" si="29"/>
        <v>1</v>
      </c>
      <c r="L226" t="b">
        <f t="shared" si="30"/>
        <v>1</v>
      </c>
      <c r="M226" t="b">
        <f t="shared" si="31"/>
        <v>0</v>
      </c>
      <c r="N226" t="b">
        <f t="shared" si="32"/>
        <v>0</v>
      </c>
      <c r="O226" t="b">
        <f t="shared" si="33"/>
        <v>0</v>
      </c>
    </row>
    <row r="227" spans="1:15" x14ac:dyDescent="0.35">
      <c r="A227" t="str">
        <v>diesel_EMD_JT42HW_HS</v>
      </c>
      <c r="B227" t="b" cm="1">
        <f t="array" ref="B227">_xlfn.XLOOKUP(A227,CONTROL[VEHIDCODE],PROPERTIES[EXCLUDE])</f>
        <v>0</v>
      </c>
      <c r="C227" t="b">
        <f>_xlfn.XLOOKUP(A227,CONTROL[VEHIDCODE],CONTROL[IS_WAGON_OR_COACH])</f>
        <v>0</v>
      </c>
      <c r="D227">
        <f>FLOOR(_xlfn.XLOOKUP($A227,PROPERTIES[VEHIDCODE],PROPERTIES[INTRODUCTION_YEAR]),20)</f>
        <v>1980</v>
      </c>
      <c r="E227" t="e">
        <f>_xlfn.XLOOKUP($A227,PROPERTIES[VEHIDCODE],#REF!)</f>
        <v>#REF!</v>
      </c>
      <c r="F227" s="25" t="str" cm="1">
        <f t="array" ref="F227">_xlfn.CONCAT(_xlfn.XLOOKUP($A227,PROPERTIES[VEHIDCODE],PROPERTIES[REGION1]),"_",_xlfn.XLOOKUP($A227,PROPERTIES[VEHIDCODE],PROPERTIES[REGION2]),"_",_xlfn.XLOOKUP($A227,PROPERTIES[VEHIDCODE],PROPERTIES[REGION3]&amp;"_"&amp;_xlfn.XLOOKUP($A227,PROPERTIES[VEHIDCODE],PROPERTIES[REGION4])))</f>
        <v>NORTHERN_EUROPE_NO_REGION_NO_REGION_NO_REGION</v>
      </c>
      <c r="G227" t="b">
        <f t="shared" si="27"/>
        <v>0</v>
      </c>
      <c r="H227" t="b">
        <f t="shared" si="34"/>
        <v>0</v>
      </c>
      <c r="I227" t="b">
        <f t="shared" si="28"/>
        <v>0</v>
      </c>
      <c r="J227" t="b">
        <f t="shared" si="35"/>
        <v>0</v>
      </c>
      <c r="K227" t="b">
        <f t="shared" si="29"/>
        <v>0</v>
      </c>
      <c r="L227" t="b">
        <f t="shared" si="30"/>
        <v>1</v>
      </c>
      <c r="M227" t="b">
        <f t="shared" si="31"/>
        <v>0</v>
      </c>
      <c r="N227" t="b">
        <f t="shared" si="32"/>
        <v>0</v>
      </c>
      <c r="O227" t="b">
        <f t="shared" si="33"/>
        <v>0</v>
      </c>
    </row>
    <row r="228" spans="1:15" x14ac:dyDescent="0.35">
      <c r="A228" t="str">
        <v>diesel_Alstom_DE43CA_Prima</v>
      </c>
      <c r="B228" t="b" cm="1">
        <f t="array" ref="B228">_xlfn.XLOOKUP(A228,CONTROL[VEHIDCODE],PROPERTIES[EXCLUDE])</f>
        <v>0</v>
      </c>
      <c r="C228" t="b">
        <f>_xlfn.XLOOKUP(A228,CONTROL[VEHIDCODE],CONTROL[IS_WAGON_OR_COACH])</f>
        <v>0</v>
      </c>
      <c r="D228">
        <f>FLOOR(_xlfn.XLOOKUP($A228,PROPERTIES[VEHIDCODE],PROPERTIES[INTRODUCTION_YEAR]),20)</f>
        <v>2000</v>
      </c>
      <c r="E228" t="e">
        <f>_xlfn.XLOOKUP($A228,PROPERTIES[VEHIDCODE],#REF!)</f>
        <v>#REF!</v>
      </c>
      <c r="F228" s="25" t="str" cm="1">
        <f t="array" ref="F228">_xlfn.CONCAT(_xlfn.XLOOKUP($A228,PROPERTIES[VEHIDCODE],PROPERTIES[REGION1]),"_",_xlfn.XLOOKUP($A228,PROPERTIES[VEHIDCODE],PROPERTIES[REGION2]),"_",_xlfn.XLOOKUP($A228,PROPERTIES[VEHIDCODE],PROPERTIES[REGION3]&amp;"_"&amp;_xlfn.XLOOKUP($A228,PROPERTIES[VEHIDCODE],PROPERTIES[REGION4])))</f>
        <v>ASIA_NO_REGION_NO_REGION_NO_REGION</v>
      </c>
      <c r="G228" t="b">
        <f t="shared" si="27"/>
        <v>0</v>
      </c>
      <c r="H228" t="b">
        <f t="shared" si="34"/>
        <v>1</v>
      </c>
      <c r="I228" t="b">
        <f t="shared" si="28"/>
        <v>0</v>
      </c>
      <c r="J228" t="b">
        <f t="shared" si="35"/>
        <v>0</v>
      </c>
      <c r="K228" t="b">
        <f t="shared" si="29"/>
        <v>0</v>
      </c>
      <c r="L228" t="b">
        <f t="shared" si="30"/>
        <v>0</v>
      </c>
      <c r="M228" t="b">
        <f t="shared" si="31"/>
        <v>0</v>
      </c>
      <c r="N228" t="b">
        <f t="shared" si="32"/>
        <v>0</v>
      </c>
      <c r="O228" t="b">
        <f t="shared" si="33"/>
        <v>0</v>
      </c>
    </row>
    <row r="229" spans="1:15" x14ac:dyDescent="0.35">
      <c r="A229" t="str">
        <v>diesel_LTZ_TEP150</v>
      </c>
      <c r="B229" t="b" cm="1">
        <f t="array" ref="B229">_xlfn.XLOOKUP(A229,CONTROL[VEHIDCODE],PROPERTIES[EXCLUDE])</f>
        <v>0</v>
      </c>
      <c r="C229" t="b">
        <f>_xlfn.XLOOKUP(A229,CONTROL[VEHIDCODE],CONTROL[IS_WAGON_OR_COACH])</f>
        <v>0</v>
      </c>
      <c r="D229">
        <f>FLOOR(_xlfn.XLOOKUP($A229,PROPERTIES[VEHIDCODE],PROPERTIES[INTRODUCTION_YEAR]),20)</f>
        <v>2000</v>
      </c>
      <c r="E229" t="e">
        <f>_xlfn.XLOOKUP($A229,PROPERTIES[VEHIDCODE],#REF!)</f>
        <v>#REF!</v>
      </c>
      <c r="F229" s="25" t="str" cm="1">
        <f t="array" ref="F229">_xlfn.CONCAT(_xlfn.XLOOKUP($A229,PROPERTIES[VEHIDCODE],PROPERTIES[REGION1]),"_",_xlfn.XLOOKUP($A229,PROPERTIES[VEHIDCODE],PROPERTIES[REGION2]),"_",_xlfn.XLOOKUP($A229,PROPERTIES[VEHIDCODE],PROPERTIES[REGION3]&amp;"_"&amp;_xlfn.XLOOKUP($A229,PROPERTIES[VEHIDCODE],PROPERTIES[REGION4])))</f>
        <v>EASTERN_EUROPE_NO_REGION_NO_REGION_NO_REGION</v>
      </c>
      <c r="G229" t="b">
        <f t="shared" si="27"/>
        <v>0</v>
      </c>
      <c r="H229" t="b">
        <f t="shared" si="34"/>
        <v>0</v>
      </c>
      <c r="I229" t="b">
        <f t="shared" si="28"/>
        <v>0</v>
      </c>
      <c r="J229" t="b">
        <f t="shared" si="35"/>
        <v>1</v>
      </c>
      <c r="K229" t="b">
        <f t="shared" si="29"/>
        <v>0</v>
      </c>
      <c r="L229" t="b">
        <f t="shared" si="30"/>
        <v>0</v>
      </c>
      <c r="M229" t="b">
        <f t="shared" si="31"/>
        <v>0</v>
      </c>
      <c r="N229" t="b">
        <f t="shared" si="32"/>
        <v>0</v>
      </c>
      <c r="O229" t="b">
        <f t="shared" si="33"/>
        <v>0</v>
      </c>
    </row>
    <row r="230" spans="1:15" x14ac:dyDescent="0.35">
      <c r="A230" t="str">
        <v>diesel_GE_CRRC_Qishuyan_ES59ACi</v>
      </c>
      <c r="B230" t="b" cm="1">
        <f t="array" ref="B230">_xlfn.XLOOKUP(A230,CONTROL[VEHIDCODE],PROPERTIES[EXCLUDE])</f>
        <v>0</v>
      </c>
      <c r="C230" t="b">
        <f>_xlfn.XLOOKUP(A230,CONTROL[VEHIDCODE],CONTROL[IS_WAGON_OR_COACH])</f>
        <v>0</v>
      </c>
      <c r="D230">
        <f>FLOOR(_xlfn.XLOOKUP($A230,PROPERTIES[VEHIDCODE],PROPERTIES[INTRODUCTION_YEAR]),20)</f>
        <v>2000</v>
      </c>
      <c r="E230" t="e">
        <f>_xlfn.XLOOKUP($A230,PROPERTIES[VEHIDCODE],#REF!)</f>
        <v>#REF!</v>
      </c>
      <c r="F230" s="25" t="str" cm="1">
        <f t="array" ref="F230">_xlfn.CONCAT(_xlfn.XLOOKUP($A230,PROPERTIES[VEHIDCODE],PROPERTIES[REGION1]),"_",_xlfn.XLOOKUP($A230,PROPERTIES[VEHIDCODE],PROPERTIES[REGION2]),"_",_xlfn.XLOOKUP($A230,PROPERTIES[VEHIDCODE],PROPERTIES[REGION3]&amp;"_"&amp;_xlfn.XLOOKUP($A230,PROPERTIES[VEHIDCODE],PROPERTIES[REGION4])))</f>
        <v>ASIA_NO_REGION_NO_REGION_NO_REGION</v>
      </c>
      <c r="G230" t="b">
        <f t="shared" si="27"/>
        <v>0</v>
      </c>
      <c r="H230" t="b">
        <f t="shared" si="34"/>
        <v>1</v>
      </c>
      <c r="I230" t="b">
        <f t="shared" si="28"/>
        <v>0</v>
      </c>
      <c r="J230" t="b">
        <f t="shared" si="35"/>
        <v>0</v>
      </c>
      <c r="K230" t="b">
        <f t="shared" si="29"/>
        <v>0</v>
      </c>
      <c r="L230" t="b">
        <f t="shared" si="30"/>
        <v>0</v>
      </c>
      <c r="M230" t="b">
        <f t="shared" si="31"/>
        <v>0</v>
      </c>
      <c r="N230" t="b">
        <f t="shared" si="32"/>
        <v>0</v>
      </c>
      <c r="O230" t="b">
        <f t="shared" si="33"/>
        <v>0</v>
      </c>
    </row>
    <row r="231" spans="1:15" x14ac:dyDescent="0.35">
      <c r="A231" t="str">
        <v>diesel_Voith_Gravita_10_BB</v>
      </c>
      <c r="B231" t="b" cm="1">
        <f t="array" ref="B231">_xlfn.XLOOKUP(A231,CONTROL[VEHIDCODE],PROPERTIES[EXCLUDE])</f>
        <v>0</v>
      </c>
      <c r="C231" t="b">
        <f>_xlfn.XLOOKUP(A231,CONTROL[VEHIDCODE],CONTROL[IS_WAGON_OR_COACH])</f>
        <v>0</v>
      </c>
      <c r="D231">
        <f>FLOOR(_xlfn.XLOOKUP($A231,PROPERTIES[VEHIDCODE],PROPERTIES[INTRODUCTION_YEAR]),20)</f>
        <v>2000</v>
      </c>
      <c r="E231" t="e">
        <f>_xlfn.XLOOKUP($A231,PROPERTIES[VEHIDCODE],#REF!)</f>
        <v>#REF!</v>
      </c>
      <c r="F231" s="25" t="str" cm="1">
        <f t="array" ref="F231">_xlfn.CONCAT(_xlfn.XLOOKUP($A231,PROPERTIES[VEHIDCODE],PROPERTIES[REGION1]),"_",_xlfn.XLOOKUP($A231,PROPERTIES[VEHIDCODE],PROPERTIES[REGION2]),"_",_xlfn.XLOOKUP($A231,PROPERTIES[VEHIDCODE],PROPERTIES[REGION3]&amp;"_"&amp;_xlfn.XLOOKUP($A231,PROPERTIES[VEHIDCODE],PROPERTIES[REGION4])))</f>
        <v>WESTERN_EUROPE_NO_REGION_NO_REGION_NO_REGION</v>
      </c>
      <c r="G231" t="b">
        <f t="shared" si="27"/>
        <v>0</v>
      </c>
      <c r="H231" t="b">
        <f t="shared" si="34"/>
        <v>0</v>
      </c>
      <c r="I231" t="b">
        <f t="shared" si="28"/>
        <v>0</v>
      </c>
      <c r="J231" t="b">
        <f t="shared" si="35"/>
        <v>0</v>
      </c>
      <c r="K231" t="b">
        <f t="shared" si="29"/>
        <v>1</v>
      </c>
      <c r="L231" t="b">
        <f t="shared" si="30"/>
        <v>0</v>
      </c>
      <c r="M231" t="b">
        <f t="shared" si="31"/>
        <v>0</v>
      </c>
      <c r="N231" t="b">
        <f t="shared" si="32"/>
        <v>0</v>
      </c>
      <c r="O231" t="b">
        <f t="shared" si="33"/>
        <v>0</v>
      </c>
    </row>
    <row r="232" spans="1:15" x14ac:dyDescent="0.35">
      <c r="A232" t="str">
        <v>diesel_Voronezh_VNIIZHT_GT1</v>
      </c>
      <c r="B232" t="b" cm="1">
        <f t="array" ref="B232">_xlfn.XLOOKUP(A232,CONTROL[VEHIDCODE],PROPERTIES[EXCLUDE])</f>
        <v>0</v>
      </c>
      <c r="C232" t="b">
        <f>_xlfn.XLOOKUP(A232,CONTROL[VEHIDCODE],CONTROL[IS_WAGON_OR_COACH])</f>
        <v>0</v>
      </c>
      <c r="D232">
        <f>FLOOR(_xlfn.XLOOKUP($A232,PROPERTIES[VEHIDCODE],PROPERTIES[INTRODUCTION_YEAR]),20)</f>
        <v>2000</v>
      </c>
      <c r="E232" t="e">
        <f>_xlfn.XLOOKUP($A232,PROPERTIES[VEHIDCODE],#REF!)</f>
        <v>#REF!</v>
      </c>
      <c r="F232" s="25" t="str" cm="1">
        <f t="array" ref="F232">_xlfn.CONCAT(_xlfn.XLOOKUP($A232,PROPERTIES[VEHIDCODE],PROPERTIES[REGION1]),"_",_xlfn.XLOOKUP($A232,PROPERTIES[VEHIDCODE],PROPERTIES[REGION2]),"_",_xlfn.XLOOKUP($A232,PROPERTIES[VEHIDCODE],PROPERTIES[REGION3]&amp;"_"&amp;_xlfn.XLOOKUP($A232,PROPERTIES[VEHIDCODE],PROPERTIES[REGION4])))</f>
        <v>ASIA_NO_REGION_NO_REGION_NO_REGION</v>
      </c>
      <c r="G232" t="b">
        <f t="shared" si="27"/>
        <v>0</v>
      </c>
      <c r="H232" t="b">
        <f t="shared" si="34"/>
        <v>1</v>
      </c>
      <c r="I232" t="b">
        <f t="shared" si="28"/>
        <v>0</v>
      </c>
      <c r="J232" t="b">
        <f t="shared" si="35"/>
        <v>0</v>
      </c>
      <c r="K232" t="b">
        <f t="shared" si="29"/>
        <v>0</v>
      </c>
      <c r="L232" t="b">
        <f t="shared" si="30"/>
        <v>0</v>
      </c>
      <c r="M232" t="b">
        <f t="shared" si="31"/>
        <v>0</v>
      </c>
      <c r="N232" t="b">
        <f t="shared" si="32"/>
        <v>0</v>
      </c>
      <c r="O232" t="b">
        <f t="shared" si="33"/>
        <v>0</v>
      </c>
    </row>
    <row r="233" spans="1:15" x14ac:dyDescent="0.35">
      <c r="A233" t="str">
        <v>diesel_Siemens_ER20_Eurorunner</v>
      </c>
      <c r="B233" t="b" cm="1">
        <f t="array" ref="B233">_xlfn.XLOOKUP(A233,CONTROL[VEHIDCODE],PROPERTIES[EXCLUDE])</f>
        <v>0</v>
      </c>
      <c r="C233" t="b">
        <f>_xlfn.XLOOKUP(A233,CONTROL[VEHIDCODE],CONTROL[IS_WAGON_OR_COACH])</f>
        <v>0</v>
      </c>
      <c r="D233">
        <f>FLOOR(_xlfn.XLOOKUP($A233,PROPERTIES[VEHIDCODE],PROPERTIES[INTRODUCTION_YEAR]),20)</f>
        <v>2000</v>
      </c>
      <c r="E233" t="e">
        <f>_xlfn.XLOOKUP($A233,PROPERTIES[VEHIDCODE],#REF!)</f>
        <v>#REF!</v>
      </c>
      <c r="F233" s="25" t="str" cm="1">
        <f t="array" ref="F233">_xlfn.CONCAT(_xlfn.XLOOKUP($A233,PROPERTIES[VEHIDCODE],PROPERTIES[REGION1]),"_",_xlfn.XLOOKUP($A233,PROPERTIES[VEHIDCODE],PROPERTIES[REGION2]),"_",_xlfn.XLOOKUP($A233,PROPERTIES[VEHIDCODE],PROPERTIES[REGION3]&amp;"_"&amp;_xlfn.XLOOKUP($A233,PROPERTIES[VEHIDCODE],PROPERTIES[REGION4])))</f>
        <v>ASIA_WESTERN_EUROPE_EASTERN_EUROPE_NO_REGION</v>
      </c>
      <c r="G233" t="b">
        <f t="shared" si="27"/>
        <v>0</v>
      </c>
      <c r="H233" t="b">
        <f t="shared" si="34"/>
        <v>1</v>
      </c>
      <c r="I233" t="b">
        <f t="shared" si="28"/>
        <v>0</v>
      </c>
      <c r="J233" t="b">
        <f t="shared" si="35"/>
        <v>1</v>
      </c>
      <c r="K233" t="b">
        <f t="shared" si="29"/>
        <v>1</v>
      </c>
      <c r="L233" t="b">
        <f t="shared" si="30"/>
        <v>0</v>
      </c>
      <c r="M233" t="b">
        <f t="shared" si="31"/>
        <v>0</v>
      </c>
      <c r="N233" t="b">
        <f t="shared" si="32"/>
        <v>0</v>
      </c>
      <c r="O233" t="b">
        <f t="shared" si="33"/>
        <v>0</v>
      </c>
    </row>
    <row r="234" spans="1:15" x14ac:dyDescent="0.35">
      <c r="A234" t="str">
        <v>diesel_Voith_Maxima_40_CC</v>
      </c>
      <c r="B234" t="b" cm="1">
        <f t="array" ref="B234">_xlfn.XLOOKUP(A234,CONTROL[VEHIDCODE],PROPERTIES[EXCLUDE])</f>
        <v>0</v>
      </c>
      <c r="C234" t="b">
        <f>_xlfn.XLOOKUP(A234,CONTROL[VEHIDCODE],CONTROL[IS_WAGON_OR_COACH])</f>
        <v>0</v>
      </c>
      <c r="D234">
        <f>FLOOR(_xlfn.XLOOKUP($A234,PROPERTIES[VEHIDCODE],PROPERTIES[INTRODUCTION_YEAR]),20)</f>
        <v>2000</v>
      </c>
      <c r="E234" t="e">
        <f>_xlfn.XLOOKUP($A234,PROPERTIES[VEHIDCODE],#REF!)</f>
        <v>#REF!</v>
      </c>
      <c r="F234" s="25" t="str" cm="1">
        <f t="array" ref="F234">_xlfn.CONCAT(_xlfn.XLOOKUP($A234,PROPERTIES[VEHIDCODE],PROPERTIES[REGION1]),"_",_xlfn.XLOOKUP($A234,PROPERTIES[VEHIDCODE],PROPERTIES[REGION2]),"_",_xlfn.XLOOKUP($A234,PROPERTIES[VEHIDCODE],PROPERTIES[REGION3]&amp;"_"&amp;_xlfn.XLOOKUP($A234,PROPERTIES[VEHIDCODE],PROPERTIES[REGION4])))</f>
        <v>WESTERN_EUROPE_EASTERN_EUROPE_NO_REGION_NO_REGION</v>
      </c>
      <c r="G234" t="b">
        <f t="shared" si="27"/>
        <v>0</v>
      </c>
      <c r="H234" t="b">
        <f t="shared" si="34"/>
        <v>0</v>
      </c>
      <c r="I234" t="b">
        <f t="shared" si="28"/>
        <v>0</v>
      </c>
      <c r="J234" t="b">
        <f t="shared" si="35"/>
        <v>1</v>
      </c>
      <c r="K234" t="b">
        <f t="shared" si="29"/>
        <v>1</v>
      </c>
      <c r="L234" t="b">
        <f t="shared" si="30"/>
        <v>0</v>
      </c>
      <c r="M234" t="b">
        <f t="shared" si="31"/>
        <v>0</v>
      </c>
      <c r="N234" t="b">
        <f t="shared" si="32"/>
        <v>0</v>
      </c>
      <c r="O234" t="b">
        <f t="shared" si="33"/>
        <v>0</v>
      </c>
    </row>
    <row r="235" spans="1:15" x14ac:dyDescent="0.35">
      <c r="A235" t="str">
        <v>diesel_Hohenzollern_Emch3</v>
      </c>
      <c r="B235" t="b" cm="1">
        <f t="array" ref="B235">_xlfn.XLOOKUP(A235,CONTROL[VEHIDCODE],PROPERTIES[EXCLUDE])</f>
        <v>0</v>
      </c>
      <c r="C235" t="b">
        <f>_xlfn.XLOOKUP(A235,CONTROL[VEHIDCODE],CONTROL[IS_WAGON_OR_COACH])</f>
        <v>0</v>
      </c>
      <c r="D235">
        <f>FLOOR(_xlfn.XLOOKUP($A235,PROPERTIES[VEHIDCODE],PROPERTIES[INTRODUCTION_YEAR]),20)</f>
        <v>1920</v>
      </c>
      <c r="E235" t="e">
        <f>_xlfn.XLOOKUP($A235,PROPERTIES[VEHIDCODE],#REF!)</f>
        <v>#REF!</v>
      </c>
      <c r="F235" s="25" t="str" cm="1">
        <f t="array" ref="F235">_xlfn.CONCAT(_xlfn.XLOOKUP($A235,PROPERTIES[VEHIDCODE],PROPERTIES[REGION1]),"_",_xlfn.XLOOKUP($A235,PROPERTIES[VEHIDCODE],PROPERTIES[REGION2]),"_",_xlfn.XLOOKUP($A235,PROPERTIES[VEHIDCODE],PROPERTIES[REGION3]&amp;"_"&amp;_xlfn.XLOOKUP($A235,PROPERTIES[VEHIDCODE],PROPERTIES[REGION4])))</f>
        <v>COMECON_NO_REGION_NO_REGION_NO_REGION</v>
      </c>
      <c r="G235" t="b">
        <f t="shared" si="27"/>
        <v>0</v>
      </c>
      <c r="H235" t="b">
        <f t="shared" si="34"/>
        <v>1</v>
      </c>
      <c r="I235" t="b">
        <f t="shared" si="28"/>
        <v>0</v>
      </c>
      <c r="J235" t="b">
        <f t="shared" si="35"/>
        <v>1</v>
      </c>
      <c r="K235" t="b">
        <f t="shared" si="29"/>
        <v>0</v>
      </c>
      <c r="L235" t="b">
        <f t="shared" si="30"/>
        <v>0</v>
      </c>
      <c r="M235" t="b">
        <f t="shared" si="31"/>
        <v>0</v>
      </c>
      <c r="N235" t="b">
        <f t="shared" si="32"/>
        <v>0</v>
      </c>
      <c r="O235" t="b">
        <f t="shared" si="33"/>
        <v>0</v>
      </c>
    </row>
    <row r="236" spans="1:15" x14ac:dyDescent="0.35">
      <c r="A236" t="str">
        <v>diesel_Canadian_Locomotive_Company_V_1</v>
      </c>
      <c r="B236" t="b" cm="1">
        <f t="array" ref="B236">_xlfn.XLOOKUP(A236,CONTROL[VEHIDCODE],PROPERTIES[EXCLUDE])</f>
        <v>0</v>
      </c>
      <c r="C236" t="b">
        <f>_xlfn.XLOOKUP(A236,CONTROL[VEHIDCODE],CONTROL[IS_WAGON_OR_COACH])</f>
        <v>0</v>
      </c>
      <c r="D236">
        <f>FLOOR(_xlfn.XLOOKUP($A236,PROPERTIES[VEHIDCODE],PROPERTIES[INTRODUCTION_YEAR]),20)</f>
        <v>1920</v>
      </c>
      <c r="E236" t="e">
        <f>_xlfn.XLOOKUP($A236,PROPERTIES[VEHIDCODE],#REF!)</f>
        <v>#REF!</v>
      </c>
      <c r="F236" s="25" t="str" cm="1">
        <f t="array" ref="F236">_xlfn.CONCAT(_xlfn.XLOOKUP($A236,PROPERTIES[VEHIDCODE],PROPERTIES[REGION1]),"_",_xlfn.XLOOKUP($A236,PROPERTIES[VEHIDCODE],PROPERTIES[REGION2]),"_",_xlfn.XLOOKUP($A236,PROPERTIES[VEHIDCODE],PROPERTIES[REGION3]&amp;"_"&amp;_xlfn.XLOOKUP($A236,PROPERTIES[VEHIDCODE],PROPERTIES[REGION4])))</f>
        <v>NORTH_AMERICA_NO_REGION_NO_REGION_NO_REGION</v>
      </c>
      <c r="G236" t="b">
        <f t="shared" si="27"/>
        <v>0</v>
      </c>
      <c r="H236" t="b">
        <f t="shared" si="34"/>
        <v>0</v>
      </c>
      <c r="I236" t="b">
        <f t="shared" si="28"/>
        <v>0</v>
      </c>
      <c r="J236" t="b">
        <f t="shared" si="35"/>
        <v>0</v>
      </c>
      <c r="K236" t="b">
        <f t="shared" si="29"/>
        <v>0</v>
      </c>
      <c r="L236" t="b">
        <f t="shared" si="30"/>
        <v>0</v>
      </c>
      <c r="M236" t="b">
        <f t="shared" si="31"/>
        <v>1</v>
      </c>
      <c r="N236" t="b">
        <f t="shared" si="32"/>
        <v>0</v>
      </c>
      <c r="O236" t="b">
        <f t="shared" si="33"/>
        <v>0</v>
      </c>
    </row>
    <row r="237" spans="1:15" x14ac:dyDescent="0.35">
      <c r="A237" t="str">
        <v>diesel_LMS_7051_Diesel_Shunter</v>
      </c>
      <c r="B237" t="b" cm="1">
        <f t="array" ref="B237">_xlfn.XLOOKUP(A237,CONTROL[VEHIDCODE],PROPERTIES[EXCLUDE])</f>
        <v>0</v>
      </c>
      <c r="C237" t="b">
        <f>_xlfn.XLOOKUP(A237,CONTROL[VEHIDCODE],CONTROL[IS_WAGON_OR_COACH])</f>
        <v>0</v>
      </c>
      <c r="D237">
        <f>FLOOR(_xlfn.XLOOKUP($A237,PROPERTIES[VEHIDCODE],PROPERTIES[INTRODUCTION_YEAR]),20)</f>
        <v>1920</v>
      </c>
      <c r="E237" t="e">
        <f>_xlfn.XLOOKUP($A237,PROPERTIES[VEHIDCODE],#REF!)</f>
        <v>#REF!</v>
      </c>
      <c r="F237" s="25" t="str" cm="1">
        <f t="array" ref="F237">_xlfn.CONCAT(_xlfn.XLOOKUP($A237,PROPERTIES[VEHIDCODE],PROPERTIES[REGION1]),"_",_xlfn.XLOOKUP($A237,PROPERTIES[VEHIDCODE],PROPERTIES[REGION2]),"_",_xlfn.XLOOKUP($A237,PROPERTIES[VEHIDCODE],PROPERTIES[REGION3]&amp;"_"&amp;_xlfn.XLOOKUP($A237,PROPERTIES[VEHIDCODE],PROPERTIES[REGION4])))</f>
        <v>NORTHERN_EUROPE_NO_REGION_NO_REGION_NO_REGION</v>
      </c>
      <c r="G237" t="b">
        <f t="shared" si="27"/>
        <v>0</v>
      </c>
      <c r="H237" t="b">
        <f t="shared" si="34"/>
        <v>0</v>
      </c>
      <c r="I237" t="b">
        <f t="shared" si="28"/>
        <v>0</v>
      </c>
      <c r="J237" t="b">
        <f t="shared" si="35"/>
        <v>0</v>
      </c>
      <c r="K237" t="b">
        <f t="shared" si="29"/>
        <v>0</v>
      </c>
      <c r="L237" t="b">
        <f t="shared" si="30"/>
        <v>1</v>
      </c>
      <c r="M237" t="b">
        <f t="shared" si="31"/>
        <v>0</v>
      </c>
      <c r="N237" t="b">
        <f t="shared" si="32"/>
        <v>0</v>
      </c>
      <c r="O237" t="b">
        <f t="shared" si="33"/>
        <v>0</v>
      </c>
    </row>
    <row r="238" spans="1:15" x14ac:dyDescent="0.35">
      <c r="A238" t="str">
        <v>diesel_EMC_TA</v>
      </c>
      <c r="B238" t="b" cm="1">
        <f t="array" ref="B238">_xlfn.XLOOKUP(A238,CONTROL[VEHIDCODE],PROPERTIES[EXCLUDE])</f>
        <v>0</v>
      </c>
      <c r="C238" t="b">
        <f>_xlfn.XLOOKUP(A238,CONTROL[VEHIDCODE],CONTROL[IS_WAGON_OR_COACH])</f>
        <v>0</v>
      </c>
      <c r="D238">
        <f>FLOOR(_xlfn.XLOOKUP($A238,PROPERTIES[VEHIDCODE],PROPERTIES[INTRODUCTION_YEAR]),20)</f>
        <v>1920</v>
      </c>
      <c r="E238" t="e">
        <f>_xlfn.XLOOKUP($A238,PROPERTIES[VEHIDCODE],#REF!)</f>
        <v>#REF!</v>
      </c>
      <c r="F238" s="25" t="str" cm="1">
        <f t="array" ref="F238">_xlfn.CONCAT(_xlfn.XLOOKUP($A238,PROPERTIES[VEHIDCODE],PROPERTIES[REGION1]),"_",_xlfn.XLOOKUP($A238,PROPERTIES[VEHIDCODE],PROPERTIES[REGION2]),"_",_xlfn.XLOOKUP($A238,PROPERTIES[VEHIDCODE],PROPERTIES[REGION3]&amp;"_"&amp;_xlfn.XLOOKUP($A238,PROPERTIES[VEHIDCODE],PROPERTIES[REGION4])))</f>
        <v>NORTH_AMERICA_NO_REGION_NO_REGION_NO_REGION</v>
      </c>
      <c r="G238" t="b">
        <f t="shared" si="27"/>
        <v>0</v>
      </c>
      <c r="H238" t="b">
        <f t="shared" si="34"/>
        <v>0</v>
      </c>
      <c r="I238" t="b">
        <f t="shared" si="28"/>
        <v>0</v>
      </c>
      <c r="J238" t="b">
        <f t="shared" si="35"/>
        <v>0</v>
      </c>
      <c r="K238" t="b">
        <f t="shared" si="29"/>
        <v>0</v>
      </c>
      <c r="L238" t="b">
        <f t="shared" si="30"/>
        <v>0</v>
      </c>
      <c r="M238" t="b">
        <f t="shared" si="31"/>
        <v>1</v>
      </c>
      <c r="N238" t="b">
        <f t="shared" si="32"/>
        <v>0</v>
      </c>
      <c r="O238" t="b">
        <f t="shared" si="33"/>
        <v>0</v>
      </c>
    </row>
    <row r="239" spans="1:15" x14ac:dyDescent="0.35">
      <c r="A239" t="str">
        <v>diesel_Baldwin_VO_660</v>
      </c>
      <c r="B239" t="b" cm="1">
        <f t="array" ref="B239">_xlfn.XLOOKUP(A239,CONTROL[VEHIDCODE],PROPERTIES[EXCLUDE])</f>
        <v>0</v>
      </c>
      <c r="C239" t="b">
        <f>_xlfn.XLOOKUP(A239,CONTROL[VEHIDCODE],CONTROL[IS_WAGON_OR_COACH])</f>
        <v>0</v>
      </c>
      <c r="D239">
        <f>FLOOR(_xlfn.XLOOKUP($A239,PROPERTIES[VEHIDCODE],PROPERTIES[INTRODUCTION_YEAR]),20)</f>
        <v>1920</v>
      </c>
      <c r="E239" t="e">
        <f>_xlfn.XLOOKUP($A239,PROPERTIES[VEHIDCODE],#REF!)</f>
        <v>#REF!</v>
      </c>
      <c r="F239" s="25" t="str" cm="1">
        <f t="array" ref="F239">_xlfn.CONCAT(_xlfn.XLOOKUP($A239,PROPERTIES[VEHIDCODE],PROPERTIES[REGION1]),"_",_xlfn.XLOOKUP($A239,PROPERTIES[VEHIDCODE],PROPERTIES[REGION2]),"_",_xlfn.XLOOKUP($A239,PROPERTIES[VEHIDCODE],PROPERTIES[REGION3]&amp;"_"&amp;_xlfn.XLOOKUP($A239,PROPERTIES[VEHIDCODE],PROPERTIES[REGION4])))</f>
        <v>NORTH_AMERICA_NO_REGION_NO_REGION_NO_REGION</v>
      </c>
      <c r="G239" t="b">
        <f t="shared" si="27"/>
        <v>0</v>
      </c>
      <c r="H239" t="b">
        <f t="shared" si="34"/>
        <v>0</v>
      </c>
      <c r="I239" t="b">
        <f t="shared" si="28"/>
        <v>0</v>
      </c>
      <c r="J239" t="b">
        <f t="shared" si="35"/>
        <v>0</v>
      </c>
      <c r="K239" t="b">
        <f t="shared" si="29"/>
        <v>0</v>
      </c>
      <c r="L239" t="b">
        <f t="shared" si="30"/>
        <v>0</v>
      </c>
      <c r="M239" t="b">
        <f t="shared" si="31"/>
        <v>1</v>
      </c>
      <c r="N239" t="b">
        <f t="shared" si="32"/>
        <v>0</v>
      </c>
      <c r="O239" t="b">
        <f t="shared" si="33"/>
        <v>0</v>
      </c>
    </row>
    <row r="240" spans="1:15" x14ac:dyDescent="0.35">
      <c r="A240" t="str">
        <v>diesel_LMS_No__7080_D3_7</v>
      </c>
      <c r="B240" t="b" cm="1">
        <f t="array" ref="B240">_xlfn.XLOOKUP(A240,CONTROL[VEHIDCODE],PROPERTIES[EXCLUDE])</f>
        <v>0</v>
      </c>
      <c r="C240" t="b">
        <f>_xlfn.XLOOKUP(A240,CONTROL[VEHIDCODE],CONTROL[IS_WAGON_OR_COACH])</f>
        <v>0</v>
      </c>
      <c r="D240">
        <f>FLOOR(_xlfn.XLOOKUP($A240,PROPERTIES[VEHIDCODE],PROPERTIES[INTRODUCTION_YEAR]),20)</f>
        <v>1920</v>
      </c>
      <c r="E240" t="e">
        <f>_xlfn.XLOOKUP($A240,PROPERTIES[VEHIDCODE],#REF!)</f>
        <v>#REF!</v>
      </c>
      <c r="F240" s="25" t="str" cm="1">
        <f t="array" ref="F240">_xlfn.CONCAT(_xlfn.XLOOKUP($A240,PROPERTIES[VEHIDCODE],PROPERTIES[REGION1]),"_",_xlfn.XLOOKUP($A240,PROPERTIES[VEHIDCODE],PROPERTIES[REGION2]),"_",_xlfn.XLOOKUP($A240,PROPERTIES[VEHIDCODE],PROPERTIES[REGION3]&amp;"_"&amp;_xlfn.XLOOKUP($A240,PROPERTIES[VEHIDCODE],PROPERTIES[REGION4])))</f>
        <v>NORTHERN_EUROPE_NO_REGION_NO_REGION_NO_REGION</v>
      </c>
      <c r="G240" t="b">
        <f t="shared" si="27"/>
        <v>0</v>
      </c>
      <c r="H240" t="b">
        <f t="shared" si="34"/>
        <v>0</v>
      </c>
      <c r="I240" t="b">
        <f t="shared" si="28"/>
        <v>0</v>
      </c>
      <c r="J240" t="b">
        <f t="shared" si="35"/>
        <v>0</v>
      </c>
      <c r="K240" t="b">
        <f t="shared" si="29"/>
        <v>0</v>
      </c>
      <c r="L240" t="b">
        <f t="shared" si="30"/>
        <v>1</v>
      </c>
      <c r="M240" t="b">
        <f t="shared" si="31"/>
        <v>0</v>
      </c>
      <c r="N240" t="b">
        <f t="shared" si="32"/>
        <v>0</v>
      </c>
      <c r="O240" t="b">
        <f t="shared" si="33"/>
        <v>0</v>
      </c>
    </row>
    <row r="241" spans="1:15" x14ac:dyDescent="0.35">
      <c r="A241" t="str">
        <v>diesel_Queensland_Railways_DL</v>
      </c>
      <c r="B241" t="b" cm="1">
        <f t="array" ref="B241">_xlfn.XLOOKUP(A241,CONTROL[VEHIDCODE],PROPERTIES[EXCLUDE])</f>
        <v>0</v>
      </c>
      <c r="C241" t="b">
        <f>_xlfn.XLOOKUP(A241,CONTROL[VEHIDCODE],CONTROL[IS_WAGON_OR_COACH])</f>
        <v>0</v>
      </c>
      <c r="D241">
        <f>FLOOR(_xlfn.XLOOKUP($A241,PROPERTIES[VEHIDCODE],PROPERTIES[INTRODUCTION_YEAR]),20)</f>
        <v>1920</v>
      </c>
      <c r="E241" t="e">
        <f>_xlfn.XLOOKUP($A241,PROPERTIES[VEHIDCODE],#REF!)</f>
        <v>#REF!</v>
      </c>
      <c r="F241" s="25" t="str" cm="1">
        <f t="array" ref="F241">_xlfn.CONCAT(_xlfn.XLOOKUP($A241,PROPERTIES[VEHIDCODE],PROPERTIES[REGION1]),"_",_xlfn.XLOOKUP($A241,PROPERTIES[VEHIDCODE],PROPERTIES[REGION2]),"_",_xlfn.XLOOKUP($A241,PROPERTIES[VEHIDCODE],PROPERTIES[REGION3]&amp;"_"&amp;_xlfn.XLOOKUP($A241,PROPERTIES[VEHIDCODE],PROPERTIES[REGION4])))</f>
        <v>OCEANIA_NO_REGION_NO_REGION_NO_REGION</v>
      </c>
      <c r="G241" t="b">
        <f t="shared" si="27"/>
        <v>0</v>
      </c>
      <c r="H241" t="b">
        <f t="shared" si="34"/>
        <v>0</v>
      </c>
      <c r="I241" t="b">
        <f t="shared" si="28"/>
        <v>0</v>
      </c>
      <c r="J241" t="b">
        <f t="shared" si="35"/>
        <v>0</v>
      </c>
      <c r="K241" t="b">
        <f t="shared" si="29"/>
        <v>0</v>
      </c>
      <c r="L241" t="b">
        <f t="shared" si="30"/>
        <v>0</v>
      </c>
      <c r="M241" t="b">
        <f t="shared" si="31"/>
        <v>0</v>
      </c>
      <c r="N241" t="b">
        <f t="shared" si="32"/>
        <v>0</v>
      </c>
      <c r="O241" t="b">
        <f t="shared" si="33"/>
        <v>1</v>
      </c>
    </row>
    <row r="242" spans="1:15" x14ac:dyDescent="0.35">
      <c r="A242" t="str">
        <v>diesel_FM_H_10_44</v>
      </c>
      <c r="B242" t="b" cm="1">
        <f t="array" ref="B242">_xlfn.XLOOKUP(A242,CONTROL[VEHIDCODE],PROPERTIES[EXCLUDE])</f>
        <v>0</v>
      </c>
      <c r="C242" t="b">
        <f>_xlfn.XLOOKUP(A242,CONTROL[VEHIDCODE],CONTROL[IS_WAGON_OR_COACH])</f>
        <v>0</v>
      </c>
      <c r="D242">
        <f>FLOOR(_xlfn.XLOOKUP($A242,PROPERTIES[VEHIDCODE],PROPERTIES[INTRODUCTION_YEAR]),20)</f>
        <v>1940</v>
      </c>
      <c r="E242" t="e">
        <f>_xlfn.XLOOKUP($A242,PROPERTIES[VEHIDCODE],#REF!)</f>
        <v>#REF!</v>
      </c>
      <c r="F242" s="25" t="str" cm="1">
        <f t="array" ref="F242">_xlfn.CONCAT(_xlfn.XLOOKUP($A242,PROPERTIES[VEHIDCODE],PROPERTIES[REGION1]),"_",_xlfn.XLOOKUP($A242,PROPERTIES[VEHIDCODE],PROPERTIES[REGION2]),"_",_xlfn.XLOOKUP($A242,PROPERTIES[VEHIDCODE],PROPERTIES[REGION3]&amp;"_"&amp;_xlfn.XLOOKUP($A242,PROPERTIES[VEHIDCODE],PROPERTIES[REGION4])))</f>
        <v>NORTH_AMERICA_NO_REGION_NO_REGION_NO_REGION</v>
      </c>
      <c r="G242" t="b">
        <f t="shared" si="27"/>
        <v>0</v>
      </c>
      <c r="H242" t="b">
        <f t="shared" si="34"/>
        <v>0</v>
      </c>
      <c r="I242" t="b">
        <f t="shared" si="28"/>
        <v>0</v>
      </c>
      <c r="J242" t="b">
        <f t="shared" si="35"/>
        <v>0</v>
      </c>
      <c r="K242" t="b">
        <f t="shared" si="29"/>
        <v>0</v>
      </c>
      <c r="L242" t="b">
        <f t="shared" si="30"/>
        <v>0</v>
      </c>
      <c r="M242" t="b">
        <f t="shared" si="31"/>
        <v>1</v>
      </c>
      <c r="N242" t="b">
        <f t="shared" si="32"/>
        <v>0</v>
      </c>
      <c r="O242" t="b">
        <f t="shared" si="33"/>
        <v>0</v>
      </c>
    </row>
    <row r="243" spans="1:15" x14ac:dyDescent="0.35">
      <c r="A243" t="str">
        <v>diesel_Baldwin_DRS6_4_1000</v>
      </c>
      <c r="B243" t="b" cm="1">
        <f t="array" ref="B243">_xlfn.XLOOKUP(A243,CONTROL[VEHIDCODE],PROPERTIES[EXCLUDE])</f>
        <v>0</v>
      </c>
      <c r="C243" t="b">
        <f>_xlfn.XLOOKUP(A243,CONTROL[VEHIDCODE],CONTROL[IS_WAGON_OR_COACH])</f>
        <v>0</v>
      </c>
      <c r="D243">
        <f>FLOOR(_xlfn.XLOOKUP($A243,PROPERTIES[VEHIDCODE],PROPERTIES[INTRODUCTION_YEAR]),20)</f>
        <v>1940</v>
      </c>
      <c r="E243" t="e">
        <f>_xlfn.XLOOKUP($A243,PROPERTIES[VEHIDCODE],#REF!)</f>
        <v>#REF!</v>
      </c>
      <c r="F243" s="25" t="str" cm="1">
        <f t="array" ref="F243">_xlfn.CONCAT(_xlfn.XLOOKUP($A243,PROPERTIES[VEHIDCODE],PROPERTIES[REGION1]),"_",_xlfn.XLOOKUP($A243,PROPERTIES[VEHIDCODE],PROPERTIES[REGION2]),"_",_xlfn.XLOOKUP($A243,PROPERTIES[VEHIDCODE],PROPERTIES[REGION3]&amp;"_"&amp;_xlfn.XLOOKUP($A243,PROPERTIES[VEHIDCODE],PROPERTIES[REGION4])))</f>
        <v>AFRICA_NO_REGION_NO_REGION_NO_REGION</v>
      </c>
      <c r="G243" t="b">
        <f t="shared" si="27"/>
        <v>1</v>
      </c>
      <c r="H243" t="b">
        <f t="shared" si="34"/>
        <v>0</v>
      </c>
      <c r="I243" t="b">
        <f t="shared" si="28"/>
        <v>0</v>
      </c>
      <c r="J243" t="b">
        <f t="shared" si="35"/>
        <v>0</v>
      </c>
      <c r="K243" t="b">
        <f t="shared" si="29"/>
        <v>0</v>
      </c>
      <c r="L243" t="b">
        <f t="shared" si="30"/>
        <v>0</v>
      </c>
      <c r="M243" t="b">
        <f t="shared" si="31"/>
        <v>0</v>
      </c>
      <c r="N243" t="b">
        <f t="shared" si="32"/>
        <v>0</v>
      </c>
      <c r="O243" t="b">
        <f t="shared" si="33"/>
        <v>0</v>
      </c>
    </row>
    <row r="244" spans="1:15" x14ac:dyDescent="0.35">
      <c r="A244" t="str">
        <v>diesel_CIE_113</v>
      </c>
      <c r="B244" t="b" cm="1">
        <f t="array" ref="B244">_xlfn.XLOOKUP(A244,CONTROL[VEHIDCODE],PROPERTIES[EXCLUDE])</f>
        <v>0</v>
      </c>
      <c r="C244" t="b">
        <f>_xlfn.XLOOKUP(A244,CONTROL[VEHIDCODE],CONTROL[IS_WAGON_OR_COACH])</f>
        <v>0</v>
      </c>
      <c r="D244">
        <f>FLOOR(_xlfn.XLOOKUP($A244,PROPERTIES[VEHIDCODE],PROPERTIES[INTRODUCTION_YEAR]),20)</f>
        <v>1940</v>
      </c>
      <c r="E244" t="e">
        <f>_xlfn.XLOOKUP($A244,PROPERTIES[VEHIDCODE],#REF!)</f>
        <v>#REF!</v>
      </c>
      <c r="F244" s="25" t="str" cm="1">
        <f t="array" ref="F244">_xlfn.CONCAT(_xlfn.XLOOKUP($A244,PROPERTIES[VEHIDCODE],PROPERTIES[REGION1]),"_",_xlfn.XLOOKUP($A244,PROPERTIES[VEHIDCODE],PROPERTIES[REGION2]),"_",_xlfn.XLOOKUP($A244,PROPERTIES[VEHIDCODE],PROPERTIES[REGION3]&amp;"_"&amp;_xlfn.XLOOKUP($A244,PROPERTIES[VEHIDCODE],PROPERTIES[REGION4])))</f>
        <v>NORTHERN_EUROPE_NO_REGION_NO_REGION_NO_REGION</v>
      </c>
      <c r="G244" t="b">
        <f t="shared" si="27"/>
        <v>0</v>
      </c>
      <c r="H244" t="b">
        <f t="shared" si="34"/>
        <v>0</v>
      </c>
      <c r="I244" t="b">
        <f t="shared" si="28"/>
        <v>0</v>
      </c>
      <c r="J244" t="b">
        <f t="shared" si="35"/>
        <v>0</v>
      </c>
      <c r="K244" t="b">
        <f t="shared" si="29"/>
        <v>0</v>
      </c>
      <c r="L244" t="b">
        <f t="shared" si="30"/>
        <v>1</v>
      </c>
      <c r="M244" t="b">
        <f t="shared" si="31"/>
        <v>0</v>
      </c>
      <c r="N244" t="b">
        <f t="shared" si="32"/>
        <v>0</v>
      </c>
      <c r="O244" t="b">
        <f t="shared" si="33"/>
        <v>0</v>
      </c>
    </row>
    <row r="245" spans="1:15" x14ac:dyDescent="0.35">
      <c r="A245" t="str">
        <v>diesel_Baldwin_AS_616</v>
      </c>
      <c r="B245" t="b" cm="1">
        <f t="array" ref="B245">_xlfn.XLOOKUP(A245,CONTROL[VEHIDCODE],PROPERTIES[EXCLUDE])</f>
        <v>0</v>
      </c>
      <c r="C245" t="b">
        <f>_xlfn.XLOOKUP(A245,CONTROL[VEHIDCODE],CONTROL[IS_WAGON_OR_COACH])</f>
        <v>0</v>
      </c>
      <c r="D245">
        <f>FLOOR(_xlfn.XLOOKUP($A245,PROPERTIES[VEHIDCODE],PROPERTIES[INTRODUCTION_YEAR]),20)</f>
        <v>1940</v>
      </c>
      <c r="E245" t="e">
        <f>_xlfn.XLOOKUP($A245,PROPERTIES[VEHIDCODE],#REF!)</f>
        <v>#REF!</v>
      </c>
      <c r="F245" s="25" t="str" cm="1">
        <f t="array" ref="F245">_xlfn.CONCAT(_xlfn.XLOOKUP($A245,PROPERTIES[VEHIDCODE],PROPERTIES[REGION1]),"_",_xlfn.XLOOKUP($A245,PROPERTIES[VEHIDCODE],PROPERTIES[REGION2]),"_",_xlfn.XLOOKUP($A245,PROPERTIES[VEHIDCODE],PROPERTIES[REGION3]&amp;"_"&amp;_xlfn.XLOOKUP($A245,PROPERTIES[VEHIDCODE],PROPERTIES[REGION4])))</f>
        <v>ALL_AMERICA_NO_REGION_NO_REGION_NO_REGION</v>
      </c>
      <c r="G245" t="b">
        <f t="shared" si="27"/>
        <v>0</v>
      </c>
      <c r="H245" t="b">
        <f t="shared" si="34"/>
        <v>0</v>
      </c>
      <c r="I245" t="b">
        <f t="shared" si="28"/>
        <v>0</v>
      </c>
      <c r="J245" t="b">
        <f t="shared" si="35"/>
        <v>0</v>
      </c>
      <c r="K245" t="b">
        <f t="shared" si="29"/>
        <v>0</v>
      </c>
      <c r="L245" t="b">
        <f t="shared" si="30"/>
        <v>0</v>
      </c>
      <c r="M245" t="b">
        <f t="shared" si="31"/>
        <v>1</v>
      </c>
      <c r="N245" t="b">
        <f t="shared" si="32"/>
        <v>1</v>
      </c>
      <c r="O245" t="b">
        <f t="shared" si="33"/>
        <v>0</v>
      </c>
    </row>
    <row r="246" spans="1:15" x14ac:dyDescent="0.35">
      <c r="A246" t="str">
        <v>diesel_FM_H_16_44</v>
      </c>
      <c r="B246" t="b" cm="1">
        <f t="array" ref="B246">_xlfn.XLOOKUP(A246,CONTROL[VEHIDCODE],PROPERTIES[EXCLUDE])</f>
        <v>0</v>
      </c>
      <c r="C246" t="b">
        <f>_xlfn.XLOOKUP(A246,CONTROL[VEHIDCODE],CONTROL[IS_WAGON_OR_COACH])</f>
        <v>0</v>
      </c>
      <c r="D246">
        <f>FLOOR(_xlfn.XLOOKUP($A246,PROPERTIES[VEHIDCODE],PROPERTIES[INTRODUCTION_YEAR]),20)</f>
        <v>1940</v>
      </c>
      <c r="E246" t="e">
        <f>_xlfn.XLOOKUP($A246,PROPERTIES[VEHIDCODE],#REF!)</f>
        <v>#REF!</v>
      </c>
      <c r="F246" s="25" t="str" cm="1">
        <f t="array" ref="F246">_xlfn.CONCAT(_xlfn.XLOOKUP($A246,PROPERTIES[VEHIDCODE],PROPERTIES[REGION1]),"_",_xlfn.XLOOKUP($A246,PROPERTIES[VEHIDCODE],PROPERTIES[REGION2]),"_",_xlfn.XLOOKUP($A246,PROPERTIES[VEHIDCODE],PROPERTIES[REGION3]&amp;"_"&amp;_xlfn.XLOOKUP($A246,PROPERTIES[VEHIDCODE],PROPERTIES[REGION4])))</f>
        <v>NORTH_AMERICA_NO_REGION_NO_REGION_NO_REGION</v>
      </c>
      <c r="G246" t="b">
        <f t="shared" si="27"/>
        <v>0</v>
      </c>
      <c r="H246" t="b">
        <f t="shared" si="34"/>
        <v>0</v>
      </c>
      <c r="I246" t="b">
        <f t="shared" si="28"/>
        <v>0</v>
      </c>
      <c r="J246" t="b">
        <f t="shared" si="35"/>
        <v>0</v>
      </c>
      <c r="K246" t="b">
        <f t="shared" si="29"/>
        <v>0</v>
      </c>
      <c r="L246" t="b">
        <f t="shared" si="30"/>
        <v>0</v>
      </c>
      <c r="M246" t="b">
        <f t="shared" si="31"/>
        <v>1</v>
      </c>
      <c r="N246" t="b">
        <f t="shared" si="32"/>
        <v>0</v>
      </c>
      <c r="O246" t="b">
        <f t="shared" si="33"/>
        <v>0</v>
      </c>
    </row>
    <row r="247" spans="1:15" x14ac:dyDescent="0.35">
      <c r="A247" t="str">
        <v>diesel_Islington_Railway_Workshops_SAR_900</v>
      </c>
      <c r="B247" t="b" cm="1">
        <f t="array" ref="B247">_xlfn.XLOOKUP(A247,CONTROL[VEHIDCODE],PROPERTIES[EXCLUDE])</f>
        <v>0</v>
      </c>
      <c r="C247" t="b">
        <f>_xlfn.XLOOKUP(A247,CONTROL[VEHIDCODE],CONTROL[IS_WAGON_OR_COACH])</f>
        <v>0</v>
      </c>
      <c r="D247">
        <f>FLOOR(_xlfn.XLOOKUP($A247,PROPERTIES[VEHIDCODE],PROPERTIES[INTRODUCTION_YEAR]),20)</f>
        <v>1940</v>
      </c>
      <c r="E247" t="e">
        <f>_xlfn.XLOOKUP($A247,PROPERTIES[VEHIDCODE],#REF!)</f>
        <v>#REF!</v>
      </c>
      <c r="F247" s="25" t="str" cm="1">
        <f t="array" ref="F247">_xlfn.CONCAT(_xlfn.XLOOKUP($A247,PROPERTIES[VEHIDCODE],PROPERTIES[REGION1]),"_",_xlfn.XLOOKUP($A247,PROPERTIES[VEHIDCODE],PROPERTIES[REGION2]),"_",_xlfn.XLOOKUP($A247,PROPERTIES[VEHIDCODE],PROPERTIES[REGION3]&amp;"_"&amp;_xlfn.XLOOKUP($A247,PROPERTIES[VEHIDCODE],PROPERTIES[REGION4])))</f>
        <v>OCEANIA_NO_REGION_NO_REGION_NO_REGION</v>
      </c>
      <c r="G247" t="b">
        <f t="shared" si="27"/>
        <v>0</v>
      </c>
      <c r="H247" t="b">
        <f t="shared" si="34"/>
        <v>0</v>
      </c>
      <c r="I247" t="b">
        <f t="shared" si="28"/>
        <v>0</v>
      </c>
      <c r="J247" t="b">
        <f t="shared" si="35"/>
        <v>0</v>
      </c>
      <c r="K247" t="b">
        <f t="shared" si="29"/>
        <v>0</v>
      </c>
      <c r="L247" t="b">
        <f t="shared" si="30"/>
        <v>0</v>
      </c>
      <c r="M247" t="b">
        <f t="shared" si="31"/>
        <v>0</v>
      </c>
      <c r="N247" t="b">
        <f t="shared" si="32"/>
        <v>0</v>
      </c>
      <c r="O247" t="b">
        <f t="shared" si="33"/>
        <v>1</v>
      </c>
    </row>
    <row r="248" spans="1:15" x14ac:dyDescent="0.35">
      <c r="A248" t="str">
        <v>diesel_EMD_G12_A608_M2</v>
      </c>
      <c r="B248" t="b" cm="1">
        <f t="array" ref="B248">_xlfn.XLOOKUP(A248,CONTROL[VEHIDCODE],PROPERTIES[EXCLUDE])</f>
        <v>0</v>
      </c>
      <c r="C248" t="b">
        <f>_xlfn.XLOOKUP(A248,CONTROL[VEHIDCODE],CONTROL[IS_WAGON_OR_COACH])</f>
        <v>0</v>
      </c>
      <c r="D248">
        <f>FLOOR(_xlfn.XLOOKUP($A248,PROPERTIES[VEHIDCODE],PROPERTIES[INTRODUCTION_YEAR]),20)</f>
        <v>1940</v>
      </c>
      <c r="E248" t="e">
        <f>_xlfn.XLOOKUP($A248,PROPERTIES[VEHIDCODE],#REF!)</f>
        <v>#REF!</v>
      </c>
      <c r="F248" s="25" t="str" cm="1">
        <f t="array" ref="F248">_xlfn.CONCAT(_xlfn.XLOOKUP($A248,PROPERTIES[VEHIDCODE],PROPERTIES[REGION1]),"_",_xlfn.XLOOKUP($A248,PROPERTIES[VEHIDCODE],PROPERTIES[REGION2]),"_",_xlfn.XLOOKUP($A248,PROPERTIES[VEHIDCODE],PROPERTIES[REGION3]&amp;"_"&amp;_xlfn.XLOOKUP($A248,PROPERTIES[VEHIDCODE],PROPERTIES[REGION4])))</f>
        <v>APAC_ALL_AMERICA_AFRICA_NORTH_WEST_EUROPE</v>
      </c>
      <c r="G248" t="b">
        <f t="shared" si="27"/>
        <v>1</v>
      </c>
      <c r="H248" t="b">
        <f t="shared" si="34"/>
        <v>1</v>
      </c>
      <c r="I248" t="b">
        <f t="shared" si="28"/>
        <v>0</v>
      </c>
      <c r="J248" t="b">
        <f t="shared" si="35"/>
        <v>0</v>
      </c>
      <c r="K248" t="b">
        <f t="shared" si="29"/>
        <v>1</v>
      </c>
      <c r="L248" t="b">
        <f t="shared" si="30"/>
        <v>1</v>
      </c>
      <c r="M248" t="b">
        <f t="shared" si="31"/>
        <v>1</v>
      </c>
      <c r="N248" t="b">
        <f t="shared" si="32"/>
        <v>1</v>
      </c>
      <c r="O248" t="b">
        <f t="shared" si="33"/>
        <v>1</v>
      </c>
    </row>
    <row r="249" spans="1:15" x14ac:dyDescent="0.35">
      <c r="A249" t="str">
        <v>diesel_Metropolitan_Vickers_CIE_001</v>
      </c>
      <c r="B249" t="b" cm="1">
        <f t="array" ref="B249">_xlfn.XLOOKUP(A249,CONTROL[VEHIDCODE],PROPERTIES[EXCLUDE])</f>
        <v>0</v>
      </c>
      <c r="C249" t="b">
        <f>_xlfn.XLOOKUP(A249,CONTROL[VEHIDCODE],CONTROL[IS_WAGON_OR_COACH])</f>
        <v>0</v>
      </c>
      <c r="D249">
        <f>FLOOR(_xlfn.XLOOKUP($A249,PROPERTIES[VEHIDCODE],PROPERTIES[INTRODUCTION_YEAR]),20)</f>
        <v>1940</v>
      </c>
      <c r="E249" t="e">
        <f>_xlfn.XLOOKUP($A249,PROPERTIES[VEHIDCODE],#REF!)</f>
        <v>#REF!</v>
      </c>
      <c r="F249" s="25" t="str" cm="1">
        <f t="array" ref="F249">_xlfn.CONCAT(_xlfn.XLOOKUP($A249,PROPERTIES[VEHIDCODE],PROPERTIES[REGION1]),"_",_xlfn.XLOOKUP($A249,PROPERTIES[VEHIDCODE],PROPERTIES[REGION2]),"_",_xlfn.XLOOKUP($A249,PROPERTIES[VEHIDCODE],PROPERTIES[REGION3]&amp;"_"&amp;_xlfn.XLOOKUP($A249,PROPERTIES[VEHIDCODE],PROPERTIES[REGION4])))</f>
        <v>NORTHERN_EUROPE_NO_REGION_NO_REGION_NO_REGION</v>
      </c>
      <c r="G249" t="b">
        <f t="shared" si="27"/>
        <v>0</v>
      </c>
      <c r="H249" t="b">
        <f t="shared" si="34"/>
        <v>0</v>
      </c>
      <c r="I249" t="b">
        <f t="shared" si="28"/>
        <v>0</v>
      </c>
      <c r="J249" t="b">
        <f t="shared" si="35"/>
        <v>0</v>
      </c>
      <c r="K249" t="b">
        <f t="shared" si="29"/>
        <v>0</v>
      </c>
      <c r="L249" t="b">
        <f t="shared" si="30"/>
        <v>1</v>
      </c>
      <c r="M249" t="b">
        <f t="shared" si="31"/>
        <v>0</v>
      </c>
      <c r="N249" t="b">
        <f t="shared" si="32"/>
        <v>0</v>
      </c>
      <c r="O249" t="b">
        <f t="shared" si="33"/>
        <v>0</v>
      </c>
    </row>
    <row r="250" spans="1:15" x14ac:dyDescent="0.35">
      <c r="A250" t="str">
        <v>diesel_Fiat_Grandi_Motori_D_341</v>
      </c>
      <c r="B250" t="b" cm="1">
        <f t="array" ref="B250">_xlfn.XLOOKUP(A250,CONTROL[VEHIDCODE],PROPERTIES[EXCLUDE])</f>
        <v>0</v>
      </c>
      <c r="C250" t="b">
        <f>_xlfn.XLOOKUP(A250,CONTROL[VEHIDCODE],CONTROL[IS_WAGON_OR_COACH])</f>
        <v>0</v>
      </c>
      <c r="D250">
        <f>FLOOR(_xlfn.XLOOKUP($A250,PROPERTIES[VEHIDCODE],PROPERTIES[INTRODUCTION_YEAR]),20)</f>
        <v>1940</v>
      </c>
      <c r="E250" t="e">
        <f>_xlfn.XLOOKUP($A250,PROPERTIES[VEHIDCODE],#REF!)</f>
        <v>#REF!</v>
      </c>
      <c r="F250" s="25" t="str" cm="1">
        <f t="array" ref="F250">_xlfn.CONCAT(_xlfn.XLOOKUP($A250,PROPERTIES[VEHIDCODE],PROPERTIES[REGION1]),"_",_xlfn.XLOOKUP($A250,PROPERTIES[VEHIDCODE],PROPERTIES[REGION2]),"_",_xlfn.XLOOKUP($A250,PROPERTIES[VEHIDCODE],PROPERTIES[REGION3]&amp;"_"&amp;_xlfn.XLOOKUP($A250,PROPERTIES[VEHIDCODE],PROPERTIES[REGION4])))</f>
        <v>SOUTHERN_EUROPE_NO_REGION_NO_REGION_NO_REGION</v>
      </c>
      <c r="G250" t="b">
        <f t="shared" si="27"/>
        <v>0</v>
      </c>
      <c r="H250" t="b">
        <f t="shared" si="34"/>
        <v>0</v>
      </c>
      <c r="I250" t="b">
        <f t="shared" si="28"/>
        <v>1</v>
      </c>
      <c r="J250" t="b">
        <f t="shared" si="35"/>
        <v>0</v>
      </c>
      <c r="K250" t="b">
        <f t="shared" si="29"/>
        <v>0</v>
      </c>
      <c r="L250" t="b">
        <f t="shared" si="30"/>
        <v>0</v>
      </c>
      <c r="M250" t="b">
        <f t="shared" si="31"/>
        <v>0</v>
      </c>
      <c r="N250" t="b">
        <f t="shared" si="32"/>
        <v>0</v>
      </c>
      <c r="O250" t="b">
        <f t="shared" si="33"/>
        <v>0</v>
      </c>
    </row>
    <row r="251" spans="1:15" x14ac:dyDescent="0.35">
      <c r="A251" t="str">
        <v>diesel_ALCO_AE_Goodwin_DL_500B</v>
      </c>
      <c r="B251" t="b" cm="1">
        <f t="array" ref="B251">_xlfn.XLOOKUP(A251,CONTROL[VEHIDCODE],PROPERTIES[EXCLUDE])</f>
        <v>1</v>
      </c>
      <c r="C251" t="b">
        <f>_xlfn.XLOOKUP(A251,CONTROL[VEHIDCODE],CONTROL[IS_WAGON_OR_COACH])</f>
        <v>0</v>
      </c>
      <c r="D251">
        <f>FLOOR(_xlfn.XLOOKUP($A251,PROPERTIES[VEHIDCODE],PROPERTIES[INTRODUCTION_YEAR]),20)</f>
        <v>1940</v>
      </c>
      <c r="E251" t="e">
        <f>_xlfn.XLOOKUP($A251,PROPERTIES[VEHIDCODE],#REF!)</f>
        <v>#REF!</v>
      </c>
      <c r="F251" s="25" t="str" cm="1">
        <f t="array" ref="F251">_xlfn.CONCAT(_xlfn.XLOOKUP($A251,PROPERTIES[VEHIDCODE],PROPERTIES[REGION1]),"_",_xlfn.XLOOKUP($A251,PROPERTIES[VEHIDCODE],PROPERTIES[REGION2]),"_",_xlfn.XLOOKUP($A251,PROPERTIES[VEHIDCODE],PROPERTIES[REGION3]&amp;"_"&amp;_xlfn.XLOOKUP($A251,PROPERTIES[VEHIDCODE],PROPERTIES[REGION4])))</f>
        <v>OCEANIA_NO_REGION_NO_REGION_NO_REGION</v>
      </c>
      <c r="G251" t="b">
        <f t="shared" si="27"/>
        <v>0</v>
      </c>
      <c r="H251" t="b">
        <f t="shared" si="34"/>
        <v>0</v>
      </c>
      <c r="I251" t="b">
        <f t="shared" si="28"/>
        <v>0</v>
      </c>
      <c r="J251" t="b">
        <f t="shared" si="35"/>
        <v>0</v>
      </c>
      <c r="K251" t="b">
        <f t="shared" si="29"/>
        <v>0</v>
      </c>
      <c r="L251" t="b">
        <f t="shared" si="30"/>
        <v>0</v>
      </c>
      <c r="M251" t="b">
        <f t="shared" si="31"/>
        <v>0</v>
      </c>
      <c r="N251" t="b">
        <f t="shared" si="32"/>
        <v>0</v>
      </c>
      <c r="O251" t="b">
        <f t="shared" si="33"/>
        <v>1</v>
      </c>
    </row>
    <row r="252" spans="1:15" x14ac:dyDescent="0.35">
      <c r="A252" t="str">
        <v>diesel_Henschel_DH_1420</v>
      </c>
      <c r="B252" t="b" cm="1">
        <f t="array" ref="B252">_xlfn.XLOOKUP(A252,CONTROL[VEHIDCODE],PROPERTIES[EXCLUDE])</f>
        <v>0</v>
      </c>
      <c r="C252" t="b">
        <f>_xlfn.XLOOKUP(A252,CONTROL[VEHIDCODE],CONTROL[IS_WAGON_OR_COACH])</f>
        <v>0</v>
      </c>
      <c r="D252">
        <f>FLOOR(_xlfn.XLOOKUP($A252,PROPERTIES[VEHIDCODE],PROPERTIES[INTRODUCTION_YEAR]),20)</f>
        <v>1940</v>
      </c>
      <c r="E252" t="e">
        <f>_xlfn.XLOOKUP($A252,PROPERTIES[VEHIDCODE],#REF!)</f>
        <v>#REF!</v>
      </c>
      <c r="F252" s="25" t="str" cm="1">
        <f t="array" ref="F252">_xlfn.CONCAT(_xlfn.XLOOKUP($A252,PROPERTIES[VEHIDCODE],PROPERTIES[REGION1]),"_",_xlfn.XLOOKUP($A252,PROPERTIES[VEHIDCODE],PROPERTIES[REGION2]),"_",_xlfn.XLOOKUP($A252,PROPERTIES[VEHIDCODE],PROPERTIES[REGION3]&amp;"_"&amp;_xlfn.XLOOKUP($A252,PROPERTIES[VEHIDCODE],PROPERTIES[REGION4])))</f>
        <v>AFRICA_NO_REGION_NO_REGION_NO_REGION</v>
      </c>
      <c r="G252" t="b">
        <f t="shared" si="27"/>
        <v>1</v>
      </c>
      <c r="H252" t="b">
        <f t="shared" si="34"/>
        <v>0</v>
      </c>
      <c r="I252" t="b">
        <f t="shared" si="28"/>
        <v>0</v>
      </c>
      <c r="J252" t="b">
        <f t="shared" si="35"/>
        <v>0</v>
      </c>
      <c r="K252" t="b">
        <f t="shared" si="29"/>
        <v>0</v>
      </c>
      <c r="L252" t="b">
        <f t="shared" si="30"/>
        <v>0</v>
      </c>
      <c r="M252" t="b">
        <f t="shared" si="31"/>
        <v>0</v>
      </c>
      <c r="N252" t="b">
        <f t="shared" si="32"/>
        <v>0</v>
      </c>
      <c r="O252" t="b">
        <f t="shared" si="33"/>
        <v>0</v>
      </c>
    </row>
    <row r="253" spans="1:15" x14ac:dyDescent="0.35">
      <c r="A253" t="str">
        <v>diesel_EMD_SD18</v>
      </c>
      <c r="B253" t="b" cm="1">
        <f t="array" ref="B253">_xlfn.XLOOKUP(A253,CONTROL[VEHIDCODE],PROPERTIES[EXCLUDE])</f>
        <v>0</v>
      </c>
      <c r="C253" t="b">
        <f>_xlfn.XLOOKUP(A253,CONTROL[VEHIDCODE],CONTROL[IS_WAGON_OR_COACH])</f>
        <v>0</v>
      </c>
      <c r="D253">
        <f>FLOOR(_xlfn.XLOOKUP($A253,PROPERTIES[VEHIDCODE],PROPERTIES[INTRODUCTION_YEAR]),20)</f>
        <v>1960</v>
      </c>
      <c r="E253" t="e">
        <f>_xlfn.XLOOKUP($A253,PROPERTIES[VEHIDCODE],#REF!)</f>
        <v>#REF!</v>
      </c>
      <c r="F253" s="25" t="str" cm="1">
        <f t="array" ref="F253">_xlfn.CONCAT(_xlfn.XLOOKUP($A253,PROPERTIES[VEHIDCODE],PROPERTIES[REGION1]),"_",_xlfn.XLOOKUP($A253,PROPERTIES[VEHIDCODE],PROPERTIES[REGION2]),"_",_xlfn.XLOOKUP($A253,PROPERTIES[VEHIDCODE],PROPERTIES[REGION3]&amp;"_"&amp;_xlfn.XLOOKUP($A253,PROPERTIES[VEHIDCODE],PROPERTIES[REGION4])))</f>
        <v>ASIA_ALL_AMERICA_NO_REGION_NO_REGION</v>
      </c>
      <c r="G253" t="b">
        <f t="shared" si="27"/>
        <v>0</v>
      </c>
      <c r="H253" t="b">
        <f t="shared" si="34"/>
        <v>1</v>
      </c>
      <c r="I253" t="b">
        <f t="shared" si="28"/>
        <v>0</v>
      </c>
      <c r="J253" t="b">
        <f t="shared" si="35"/>
        <v>0</v>
      </c>
      <c r="K253" t="b">
        <f t="shared" si="29"/>
        <v>0</v>
      </c>
      <c r="L253" t="b">
        <f t="shared" si="30"/>
        <v>0</v>
      </c>
      <c r="M253" t="b">
        <f t="shared" si="31"/>
        <v>1</v>
      </c>
      <c r="N253" t="b">
        <f t="shared" si="32"/>
        <v>1</v>
      </c>
      <c r="O253" t="b">
        <f t="shared" si="33"/>
        <v>0</v>
      </c>
    </row>
    <row r="254" spans="1:15" x14ac:dyDescent="0.35">
      <c r="A254" t="str">
        <v>diesel_Fiat_Grandi_Motori_D_345</v>
      </c>
      <c r="B254" t="b" cm="1">
        <f t="array" ref="B254">_xlfn.XLOOKUP(A254,CONTROL[VEHIDCODE],PROPERTIES[EXCLUDE])</f>
        <v>0</v>
      </c>
      <c r="C254" t="b">
        <f>_xlfn.XLOOKUP(A254,CONTROL[VEHIDCODE],CONTROL[IS_WAGON_OR_COACH])</f>
        <v>0</v>
      </c>
      <c r="D254">
        <f>FLOOR(_xlfn.XLOOKUP($A254,PROPERTIES[VEHIDCODE],PROPERTIES[INTRODUCTION_YEAR]),20)</f>
        <v>1960</v>
      </c>
      <c r="E254" t="e">
        <f>_xlfn.XLOOKUP($A254,PROPERTIES[VEHIDCODE],#REF!)</f>
        <v>#REF!</v>
      </c>
      <c r="F254" s="25" t="str" cm="1">
        <f t="array" ref="F254">_xlfn.CONCAT(_xlfn.XLOOKUP($A254,PROPERTIES[VEHIDCODE],PROPERTIES[REGION1]),"_",_xlfn.XLOOKUP($A254,PROPERTIES[VEHIDCODE],PROPERTIES[REGION2]),"_",_xlfn.XLOOKUP($A254,PROPERTIES[VEHIDCODE],PROPERTIES[REGION3]&amp;"_"&amp;_xlfn.XLOOKUP($A254,PROPERTIES[VEHIDCODE],PROPERTIES[REGION4])))</f>
        <v>SOUTHERN_EUROPE_NO_REGION_NO_REGION_NO_REGION</v>
      </c>
      <c r="G254" t="b">
        <f t="shared" si="27"/>
        <v>0</v>
      </c>
      <c r="H254" t="b">
        <f t="shared" si="34"/>
        <v>0</v>
      </c>
      <c r="I254" t="b">
        <f t="shared" si="28"/>
        <v>1</v>
      </c>
      <c r="J254" t="b">
        <f t="shared" si="35"/>
        <v>0</v>
      </c>
      <c r="K254" t="b">
        <f t="shared" si="29"/>
        <v>0</v>
      </c>
      <c r="L254" t="b">
        <f t="shared" si="30"/>
        <v>0</v>
      </c>
      <c r="M254" t="b">
        <f t="shared" si="31"/>
        <v>0</v>
      </c>
      <c r="N254" t="b">
        <f t="shared" si="32"/>
        <v>0</v>
      </c>
      <c r="O254" t="b">
        <f t="shared" si="33"/>
        <v>0</v>
      </c>
    </row>
    <row r="255" spans="1:15" x14ac:dyDescent="0.35">
      <c r="A255" t="str">
        <v>diesel_Henschel_Di4</v>
      </c>
      <c r="B255" t="b" cm="1">
        <f t="array" ref="B255">_xlfn.XLOOKUP(A255,CONTROL[VEHIDCODE],PROPERTIES[EXCLUDE])</f>
        <v>0</v>
      </c>
      <c r="C255" t="b">
        <f>_xlfn.XLOOKUP(A255,CONTROL[VEHIDCODE],CONTROL[IS_WAGON_OR_COACH])</f>
        <v>0</v>
      </c>
      <c r="D255">
        <f>FLOOR(_xlfn.XLOOKUP($A255,PROPERTIES[VEHIDCODE],PROPERTIES[INTRODUCTION_YEAR]),20)</f>
        <v>1980</v>
      </c>
      <c r="E255" t="e">
        <f>_xlfn.XLOOKUP($A255,PROPERTIES[VEHIDCODE],#REF!)</f>
        <v>#REF!</v>
      </c>
      <c r="F255" s="25" t="str" cm="1">
        <f t="array" ref="F255">_xlfn.CONCAT(_xlfn.XLOOKUP($A255,PROPERTIES[VEHIDCODE],PROPERTIES[REGION1]),"_",_xlfn.XLOOKUP($A255,PROPERTIES[VEHIDCODE],PROPERTIES[REGION2]),"_",_xlfn.XLOOKUP($A255,PROPERTIES[VEHIDCODE],PROPERTIES[REGION3]&amp;"_"&amp;_xlfn.XLOOKUP($A255,PROPERTIES[VEHIDCODE],PROPERTIES[REGION4])))</f>
        <v>NORTHERN_EUROPE_NO_REGION_NO_REGION_NO_REGION</v>
      </c>
      <c r="G255" t="b">
        <f t="shared" si="27"/>
        <v>0</v>
      </c>
      <c r="H255" t="b">
        <f t="shared" si="34"/>
        <v>0</v>
      </c>
      <c r="I255" t="b">
        <f t="shared" si="28"/>
        <v>0</v>
      </c>
      <c r="J255" t="b">
        <f t="shared" si="35"/>
        <v>0</v>
      </c>
      <c r="K255" t="b">
        <f t="shared" si="29"/>
        <v>0</v>
      </c>
      <c r="L255" t="b">
        <f t="shared" si="30"/>
        <v>1</v>
      </c>
      <c r="M255" t="b">
        <f t="shared" si="31"/>
        <v>0</v>
      </c>
      <c r="N255" t="b">
        <f t="shared" si="32"/>
        <v>0</v>
      </c>
      <c r="O255" t="b">
        <f t="shared" si="33"/>
        <v>0</v>
      </c>
    </row>
    <row r="256" spans="1:15" x14ac:dyDescent="0.35">
      <c r="A256" t="str">
        <v>diesel_Qishuyan_DF8</v>
      </c>
      <c r="B256" t="b" cm="1">
        <f t="array" ref="B256">_xlfn.XLOOKUP(A256,CONTROL[VEHIDCODE],PROPERTIES[EXCLUDE])</f>
        <v>0</v>
      </c>
      <c r="C256" t="b">
        <f>_xlfn.XLOOKUP(A256,CONTROL[VEHIDCODE],CONTROL[IS_WAGON_OR_COACH])</f>
        <v>0</v>
      </c>
      <c r="D256">
        <f>FLOOR(_xlfn.XLOOKUP($A256,PROPERTIES[VEHIDCODE],PROPERTIES[INTRODUCTION_YEAR]),20)</f>
        <v>1980</v>
      </c>
      <c r="E256" t="e">
        <f>_xlfn.XLOOKUP($A256,PROPERTIES[VEHIDCODE],#REF!)</f>
        <v>#REF!</v>
      </c>
      <c r="F256" s="25" t="str" cm="1">
        <f t="array" ref="F256">_xlfn.CONCAT(_xlfn.XLOOKUP($A256,PROPERTIES[VEHIDCODE],PROPERTIES[REGION1]),"_",_xlfn.XLOOKUP($A256,PROPERTIES[VEHIDCODE],PROPERTIES[REGION2]),"_",_xlfn.XLOOKUP($A256,PROPERTIES[VEHIDCODE],PROPERTIES[REGION3]&amp;"_"&amp;_xlfn.XLOOKUP($A256,PROPERTIES[VEHIDCODE],PROPERTIES[REGION4])))</f>
        <v>ASIA_NO_REGION_NO_REGION_NO_REGION</v>
      </c>
      <c r="G256" t="b">
        <f t="shared" si="27"/>
        <v>0</v>
      </c>
      <c r="H256" t="b">
        <f t="shared" si="34"/>
        <v>1</v>
      </c>
      <c r="I256" t="b">
        <f t="shared" si="28"/>
        <v>0</v>
      </c>
      <c r="J256" t="b">
        <f t="shared" si="35"/>
        <v>0</v>
      </c>
      <c r="K256" t="b">
        <f t="shared" si="29"/>
        <v>0</v>
      </c>
      <c r="L256" t="b">
        <f t="shared" si="30"/>
        <v>0</v>
      </c>
      <c r="M256" t="b">
        <f t="shared" si="31"/>
        <v>0</v>
      </c>
      <c r="N256" t="b">
        <f t="shared" si="32"/>
        <v>0</v>
      </c>
      <c r="O256" t="b">
        <f t="shared" si="33"/>
        <v>0</v>
      </c>
    </row>
    <row r="257" spans="1:15" x14ac:dyDescent="0.35">
      <c r="A257" t="str">
        <v>diesel_EMD_Clyde_JT26C_2SS</v>
      </c>
      <c r="B257" t="b" cm="1">
        <f t="array" ref="B257">_xlfn.XLOOKUP(A257,CONTROL[VEHIDCODE],PROPERTIES[EXCLUDE])</f>
        <v>1</v>
      </c>
      <c r="C257" t="b">
        <f>_xlfn.XLOOKUP(A257,CONTROL[VEHIDCODE],CONTROL[IS_WAGON_OR_COACH])</f>
        <v>0</v>
      </c>
      <c r="D257">
        <f>FLOOR(_xlfn.XLOOKUP($A257,PROPERTIES[VEHIDCODE],PROPERTIES[INTRODUCTION_YEAR]),20)</f>
        <v>1980</v>
      </c>
      <c r="E257" t="e">
        <f>_xlfn.XLOOKUP($A257,PROPERTIES[VEHIDCODE],#REF!)</f>
        <v>#REF!</v>
      </c>
      <c r="F257" s="25" t="str" cm="1">
        <f t="array" ref="F257">_xlfn.CONCAT(_xlfn.XLOOKUP($A257,PROPERTIES[VEHIDCODE],PROPERTIES[REGION1]),"_",_xlfn.XLOOKUP($A257,PROPERTIES[VEHIDCODE],PROPERTIES[REGION2]),"_",_xlfn.XLOOKUP($A257,PROPERTIES[VEHIDCODE],PROPERTIES[REGION3]&amp;"_"&amp;_xlfn.XLOOKUP($A257,PROPERTIES[VEHIDCODE],PROPERTIES[REGION4])))</f>
        <v>OCEANIA_NO_REGION_NO_REGION_NO_REGION</v>
      </c>
      <c r="G257" t="b">
        <f t="shared" si="27"/>
        <v>0</v>
      </c>
      <c r="H257" t="b">
        <f t="shared" si="34"/>
        <v>0</v>
      </c>
      <c r="I257" t="b">
        <f t="shared" si="28"/>
        <v>0</v>
      </c>
      <c r="J257" t="b">
        <f t="shared" si="35"/>
        <v>0</v>
      </c>
      <c r="K257" t="b">
        <f t="shared" si="29"/>
        <v>0</v>
      </c>
      <c r="L257" t="b">
        <f t="shared" si="30"/>
        <v>0</v>
      </c>
      <c r="M257" t="b">
        <f t="shared" si="31"/>
        <v>0</v>
      </c>
      <c r="N257" t="b">
        <f t="shared" si="32"/>
        <v>0</v>
      </c>
      <c r="O257" t="b">
        <f t="shared" si="33"/>
        <v>1</v>
      </c>
    </row>
    <row r="258" spans="1:15" x14ac:dyDescent="0.35">
      <c r="A258" t="str">
        <v>diesel_Brush_Class_60</v>
      </c>
      <c r="B258" t="b" cm="1">
        <f t="array" ref="B258">_xlfn.XLOOKUP(A258,CONTROL[VEHIDCODE],PROPERTIES[EXCLUDE])</f>
        <v>0</v>
      </c>
      <c r="C258" t="b">
        <f>_xlfn.XLOOKUP(A258,CONTROL[VEHIDCODE],CONTROL[IS_WAGON_OR_COACH])</f>
        <v>0</v>
      </c>
      <c r="D258">
        <f>FLOOR(_xlfn.XLOOKUP($A258,PROPERTIES[VEHIDCODE],PROPERTIES[INTRODUCTION_YEAR]),20)</f>
        <v>1980</v>
      </c>
      <c r="E258" t="e">
        <f>_xlfn.XLOOKUP($A258,PROPERTIES[VEHIDCODE],#REF!)</f>
        <v>#REF!</v>
      </c>
      <c r="F258" s="25" t="str" cm="1">
        <f t="array" ref="F258">_xlfn.CONCAT(_xlfn.XLOOKUP($A258,PROPERTIES[VEHIDCODE],PROPERTIES[REGION1]),"_",_xlfn.XLOOKUP($A258,PROPERTIES[VEHIDCODE],PROPERTIES[REGION2]),"_",_xlfn.XLOOKUP($A258,PROPERTIES[VEHIDCODE],PROPERTIES[REGION3]&amp;"_"&amp;_xlfn.XLOOKUP($A258,PROPERTIES[VEHIDCODE],PROPERTIES[REGION4])))</f>
        <v>NORTHERN_EUROPE_NO_REGION_NO_REGION_NO_REGION</v>
      </c>
      <c r="G258" t="b">
        <f t="shared" ref="G258:G321" si="36">OR(ISNUMBER(SEARCH("ALL_REGION",$F258)),
ISNUMBER(SEARCH("AFRICA",$F258)),
ISNUMBER(SEARCH("OLD_WORLD",$F258)),
ISNUMBER(SEARCH("NON_EUROPEAN",$F258)))</f>
        <v>0</v>
      </c>
      <c r="H258" t="b">
        <f t="shared" si="34"/>
        <v>0</v>
      </c>
      <c r="I258" t="b">
        <f t="shared" ref="I258:I321" si="37">OR(ISNUMBER(SEARCH("ALL_REGION",$F258)),
ISNUMBER(SEARCH("ALL_EUROPE",$F258)),
ISNUMBER(SEARCH(I$1,$F258)),
ISNUMBER(SEARCH("OLD_WORLD",$F258)))</f>
        <v>0</v>
      </c>
      <c r="J258" t="b">
        <f t="shared" si="35"/>
        <v>0</v>
      </c>
      <c r="K258" t="b">
        <f t="shared" ref="K258:K321" si="38">OR(ISNUMBER(SEARCH("ALL_REGION",$F258)),
ISNUMBER(SEARCH("ALL_EUROPE",$F258)),
ISNUMBER(SEARCH(K$1,$F258)),
ISNUMBER(SEARCH("OLD_WORLD",$F258)),
ISNUMBER(SEARCH("NORTH_WEST_EUROPE",$F258)))</f>
        <v>0</v>
      </c>
      <c r="L258" t="b">
        <f t="shared" ref="L258:L321" si="39">OR(ISNUMBER(SEARCH("ALL_REGION",$F258)),
ISNUMBER(SEARCH("ALL_EUROPE",$F258)),
ISNUMBER(SEARCH(L$1,$F258)),
ISNUMBER(SEARCH("OLD_WORLD",$F258)),
ISNUMBER(SEARCH("NORTH_WEST_EUROPE",$F258)),
ISNUMBER(SEARCH("POST_SOVIET_BALTIC",$F258)))</f>
        <v>1</v>
      </c>
      <c r="M258" t="b">
        <f t="shared" ref="M258:M321" si="40">OR(ISNUMBER(SEARCH("ALL_REGION",$F258)),
ISNUMBER(SEARCH("ALL_AMERICA",$F258)),
ISNUMBER(SEARCH(M$1,$F258)),
ISNUMBER(SEARCH("NON_EUROPEAN",$F258)))</f>
        <v>0</v>
      </c>
      <c r="N258" t="b">
        <f t="shared" ref="N258:N321" si="41">OR(ISNUMBER(SEARCH("ALL_REGION",$F258)),
ISNUMBER(SEARCH("ALL_AMERICA",$F258)),
ISNUMBER(SEARCH(N$1,$F258)),
ISNUMBER(SEARCH("NON_EUROPEAN",$F258)),
ISNUMBER(SEARCH("COMECON_EXTENDED",$F258)))</f>
        <v>0</v>
      </c>
      <c r="O258" t="b">
        <f t="shared" ref="O258:O321" si="42">OR(ISNUMBER(SEARCH("ALL_REGION",$F258)),
ISNUMBER(SEARCH(O$1,$F258)),
ISNUMBER(SEARCH("APAC",$F258)))</f>
        <v>0</v>
      </c>
    </row>
    <row r="259" spans="1:15" x14ac:dyDescent="0.35">
      <c r="A259" t="str">
        <v>diesel_GE_Goninan_CM25_8</v>
      </c>
      <c r="B259" t="b" cm="1">
        <f t="array" ref="B259">_xlfn.XLOOKUP(A259,CONTROL[VEHIDCODE],PROPERTIES[EXCLUDE])</f>
        <v>0</v>
      </c>
      <c r="C259" t="b">
        <f>_xlfn.XLOOKUP(A259,CONTROL[VEHIDCODE],CONTROL[IS_WAGON_OR_COACH])</f>
        <v>0</v>
      </c>
      <c r="D259">
        <f>FLOOR(_xlfn.XLOOKUP($A259,PROPERTIES[VEHIDCODE],PROPERTIES[INTRODUCTION_YEAR]),20)</f>
        <v>1980</v>
      </c>
      <c r="E259" t="e">
        <f>_xlfn.XLOOKUP($A259,PROPERTIES[VEHIDCODE],#REF!)</f>
        <v>#REF!</v>
      </c>
      <c r="F259" s="25" t="str" cm="1">
        <f t="array" ref="F259">_xlfn.CONCAT(_xlfn.XLOOKUP($A259,PROPERTIES[VEHIDCODE],PROPERTIES[REGION1]),"_",_xlfn.XLOOKUP($A259,PROPERTIES[VEHIDCODE],PROPERTIES[REGION2]),"_",_xlfn.XLOOKUP($A259,PROPERTIES[VEHIDCODE],PROPERTIES[REGION3]&amp;"_"&amp;_xlfn.XLOOKUP($A259,PROPERTIES[VEHIDCODE],PROPERTIES[REGION4])))</f>
        <v>OCEANIA_NO_REGION_NO_REGION_NO_REGION</v>
      </c>
      <c r="G259" t="b">
        <f t="shared" si="36"/>
        <v>0</v>
      </c>
      <c r="H259" t="b">
        <f t="shared" ref="H259:H322" si="43">OR(ISNUMBER(SEARCH("ALL_REGION",$F259)),
ISNUMBER(SEARCH("ASIA",$F259)),
ISNUMBER(SEARCH("OLD_WORLD",$F259)),
ISNUMBER(SEARCH("NON_EUROPEAN",$F259)),
ISNUMBER(SEARCH("APAC",$F259)),
ISNUMBER(SEARCH("COMECON",$F259)),
ISNUMBER(SEARCH("COMECON_EXTENDED",$F259)),
ISNUMBER(SEARCH("POST_SOVIET_BALTIC",$F259)))</f>
        <v>0</v>
      </c>
      <c r="I259" t="b">
        <f t="shared" si="37"/>
        <v>0</v>
      </c>
      <c r="J259" t="b">
        <f t="shared" ref="J259:J322" si="44">OR(ISNUMBER(SEARCH("ALL_REGION",$F259)),
ISNUMBER(SEARCH("ALL_EUROPE",$F259)),
ISNUMBER(SEARCH(J$1,$F259)),
ISNUMBER(SEARCH("OLD_WORLD",$F259)),
ISNUMBER(SEARCH("COMECON",$F259)),
ISNUMBER(SEARCH("POST_SOVIET_BALTIC",$F259)))</f>
        <v>0</v>
      </c>
      <c r="K259" t="b">
        <f t="shared" si="38"/>
        <v>0</v>
      </c>
      <c r="L259" t="b">
        <f t="shared" si="39"/>
        <v>0</v>
      </c>
      <c r="M259" t="b">
        <f t="shared" si="40"/>
        <v>0</v>
      </c>
      <c r="N259" t="b">
        <f t="shared" si="41"/>
        <v>0</v>
      </c>
      <c r="O259" t="b">
        <f t="shared" si="42"/>
        <v>1</v>
      </c>
    </row>
    <row r="260" spans="1:15" x14ac:dyDescent="0.35">
      <c r="A260" t="str">
        <v>diesel_EMD_SD70ACS</v>
      </c>
      <c r="B260" t="b" cm="1">
        <f t="array" ref="B260">_xlfn.XLOOKUP(A260,CONTROL[VEHIDCODE],PROPERTIES[EXCLUDE])</f>
        <v>1</v>
      </c>
      <c r="C260" t="b">
        <f>_xlfn.XLOOKUP(A260,CONTROL[VEHIDCODE],CONTROL[IS_WAGON_OR_COACH])</f>
        <v>0</v>
      </c>
      <c r="D260">
        <f>FLOOR(_xlfn.XLOOKUP($A260,PROPERTIES[VEHIDCODE],PROPERTIES[INTRODUCTION_YEAR]),20)</f>
        <v>1980</v>
      </c>
      <c r="E260" t="e">
        <f>_xlfn.XLOOKUP($A260,PROPERTIES[VEHIDCODE],#REF!)</f>
        <v>#REF!</v>
      </c>
      <c r="F260" s="25" t="str" cm="1">
        <f t="array" ref="F260">_xlfn.CONCAT(_xlfn.XLOOKUP($A260,PROPERTIES[VEHIDCODE],PROPERTIES[REGION1]),"_",_xlfn.XLOOKUP($A260,PROPERTIES[VEHIDCODE],PROPERTIES[REGION2]),"_",_xlfn.XLOOKUP($A260,PROPERTIES[VEHIDCODE],PROPERTIES[REGION3]&amp;"_"&amp;_xlfn.XLOOKUP($A260,PROPERTIES[VEHIDCODE],PROPERTIES[REGION4])))</f>
        <v>ASIA_NO_REGION_NO_REGION_NO_REGION</v>
      </c>
      <c r="G260" t="b">
        <f t="shared" si="36"/>
        <v>0</v>
      </c>
      <c r="H260" t="b">
        <f t="shared" si="43"/>
        <v>1</v>
      </c>
      <c r="I260" t="b">
        <f t="shared" si="37"/>
        <v>0</v>
      </c>
      <c r="J260" t="b">
        <f t="shared" si="44"/>
        <v>0</v>
      </c>
      <c r="K260" t="b">
        <f t="shared" si="38"/>
        <v>0</v>
      </c>
      <c r="L260" t="b">
        <f t="shared" si="39"/>
        <v>0</v>
      </c>
      <c r="M260" t="b">
        <f t="shared" si="40"/>
        <v>0</v>
      </c>
      <c r="N260" t="b">
        <f t="shared" si="41"/>
        <v>0</v>
      </c>
      <c r="O260" t="b">
        <f t="shared" si="42"/>
        <v>0</v>
      </c>
    </row>
    <row r="261" spans="1:15" x14ac:dyDescent="0.35">
      <c r="A261" t="str">
        <v>diesel_GMD_JT42HCW</v>
      </c>
      <c r="B261" t="b" cm="1">
        <f t="array" ref="B261">_xlfn.XLOOKUP(A261,CONTROL[VEHIDCODE],PROPERTIES[EXCLUDE])</f>
        <v>0</v>
      </c>
      <c r="C261" t="b">
        <f>_xlfn.XLOOKUP(A261,CONTROL[VEHIDCODE],CONTROL[IS_WAGON_OR_COACH])</f>
        <v>0</v>
      </c>
      <c r="D261">
        <f>FLOOR(_xlfn.XLOOKUP($A261,PROPERTIES[VEHIDCODE],PROPERTIES[INTRODUCTION_YEAR]),20)</f>
        <v>1980</v>
      </c>
      <c r="E261" t="e">
        <f>_xlfn.XLOOKUP($A261,PROPERTIES[VEHIDCODE],#REF!)</f>
        <v>#REF!</v>
      </c>
      <c r="F261" s="25" t="str" cm="1">
        <f t="array" ref="F261">_xlfn.CONCAT(_xlfn.XLOOKUP($A261,PROPERTIES[VEHIDCODE],PROPERTIES[REGION1]),"_",_xlfn.XLOOKUP($A261,PROPERTIES[VEHIDCODE],PROPERTIES[REGION2]),"_",_xlfn.XLOOKUP($A261,PROPERTIES[VEHIDCODE],PROPERTIES[REGION3]&amp;"_"&amp;_xlfn.XLOOKUP($A261,PROPERTIES[VEHIDCODE],PROPERTIES[REGION4])))</f>
        <v>NORTHERN_EUROPE_NO_REGION_NO_REGION_NO_REGION</v>
      </c>
      <c r="G261" t="b">
        <f t="shared" si="36"/>
        <v>0</v>
      </c>
      <c r="H261" t="b">
        <f t="shared" si="43"/>
        <v>0</v>
      </c>
      <c r="I261" t="b">
        <f t="shared" si="37"/>
        <v>0</v>
      </c>
      <c r="J261" t="b">
        <f t="shared" si="44"/>
        <v>0</v>
      </c>
      <c r="K261" t="b">
        <f t="shared" si="38"/>
        <v>0</v>
      </c>
      <c r="L261" t="b">
        <f t="shared" si="39"/>
        <v>1</v>
      </c>
      <c r="M261" t="b">
        <f t="shared" si="40"/>
        <v>0</v>
      </c>
      <c r="N261" t="b">
        <f t="shared" si="41"/>
        <v>0</v>
      </c>
      <c r="O261" t="b">
        <f t="shared" si="42"/>
        <v>0</v>
      </c>
    </row>
    <row r="262" spans="1:15" x14ac:dyDescent="0.35">
      <c r="A262" t="str">
        <v>diesel_EMD_F59PH</v>
      </c>
      <c r="B262" t="b" cm="1">
        <f t="array" ref="B262">_xlfn.XLOOKUP(A262,CONTROL[VEHIDCODE],PROPERTIES[EXCLUDE])</f>
        <v>0</v>
      </c>
      <c r="C262" t="b">
        <f>_xlfn.XLOOKUP(A262,CONTROL[VEHIDCODE],CONTROL[IS_WAGON_OR_COACH])</f>
        <v>0</v>
      </c>
      <c r="D262">
        <f>FLOOR(_xlfn.XLOOKUP($A262,PROPERTIES[VEHIDCODE],PROPERTIES[INTRODUCTION_YEAR]),20)</f>
        <v>1980</v>
      </c>
      <c r="E262" t="e">
        <f>_xlfn.XLOOKUP($A262,PROPERTIES[VEHIDCODE],#REF!)</f>
        <v>#REF!</v>
      </c>
      <c r="F262" s="25" t="str" cm="1">
        <f t="array" ref="F262">_xlfn.CONCAT(_xlfn.XLOOKUP($A262,PROPERTIES[VEHIDCODE],PROPERTIES[REGION1]),"_",_xlfn.XLOOKUP($A262,PROPERTIES[VEHIDCODE],PROPERTIES[REGION2]),"_",_xlfn.XLOOKUP($A262,PROPERTIES[VEHIDCODE],PROPERTIES[REGION3]&amp;"_"&amp;_xlfn.XLOOKUP($A262,PROPERTIES[VEHIDCODE],PROPERTIES[REGION4])))</f>
        <v>NORTH_AMERICA_NO_REGION_NO_REGION_NO_REGION</v>
      </c>
      <c r="G262" t="b">
        <f t="shared" si="36"/>
        <v>0</v>
      </c>
      <c r="H262" t="b">
        <f t="shared" si="43"/>
        <v>0</v>
      </c>
      <c r="I262" t="b">
        <f t="shared" si="37"/>
        <v>0</v>
      </c>
      <c r="J262" t="b">
        <f t="shared" si="44"/>
        <v>0</v>
      </c>
      <c r="K262" t="b">
        <f t="shared" si="38"/>
        <v>0</v>
      </c>
      <c r="L262" t="b">
        <f t="shared" si="39"/>
        <v>0</v>
      </c>
      <c r="M262" t="b">
        <f t="shared" si="40"/>
        <v>1</v>
      </c>
      <c r="N262" t="b">
        <f t="shared" si="41"/>
        <v>0</v>
      </c>
      <c r="O262" t="b">
        <f t="shared" si="42"/>
        <v>0</v>
      </c>
    </row>
    <row r="263" spans="1:15" x14ac:dyDescent="0.35">
      <c r="A263" t="str">
        <v>diesel_MaK___Vossloh_G1206</v>
      </c>
      <c r="B263" t="b" cm="1">
        <f t="array" ref="B263">_xlfn.XLOOKUP(A263,CONTROL[VEHIDCODE],PROPERTIES[EXCLUDE])</f>
        <v>0</v>
      </c>
      <c r="C263" t="b">
        <f>_xlfn.XLOOKUP(A263,CONTROL[VEHIDCODE],CONTROL[IS_WAGON_OR_COACH])</f>
        <v>0</v>
      </c>
      <c r="D263">
        <f>FLOOR(_xlfn.XLOOKUP($A263,PROPERTIES[VEHIDCODE],PROPERTIES[INTRODUCTION_YEAR]),20)</f>
        <v>2000</v>
      </c>
      <c r="E263" t="e">
        <f>_xlfn.XLOOKUP($A263,PROPERTIES[VEHIDCODE],#REF!)</f>
        <v>#REF!</v>
      </c>
      <c r="F263" s="25" t="str" cm="1">
        <f t="array" ref="F263">_xlfn.CONCAT(_xlfn.XLOOKUP($A263,PROPERTIES[VEHIDCODE],PROPERTIES[REGION1]),"_",_xlfn.XLOOKUP($A263,PROPERTIES[VEHIDCODE],PROPERTIES[REGION2]),"_",_xlfn.XLOOKUP($A263,PROPERTIES[VEHIDCODE],PROPERTIES[REGION3]&amp;"_"&amp;_xlfn.XLOOKUP($A263,PROPERTIES[VEHIDCODE],PROPERTIES[REGION4])))</f>
        <v>WESTERN_EUROPE_NO_REGION_NO_REGION_NO_REGION</v>
      </c>
      <c r="G263" t="b">
        <f t="shared" si="36"/>
        <v>0</v>
      </c>
      <c r="H263" t="b">
        <f t="shared" si="43"/>
        <v>0</v>
      </c>
      <c r="I263" t="b">
        <f t="shared" si="37"/>
        <v>0</v>
      </c>
      <c r="J263" t="b">
        <f t="shared" si="44"/>
        <v>0</v>
      </c>
      <c r="K263" t="b">
        <f t="shared" si="38"/>
        <v>1</v>
      </c>
      <c r="L263" t="b">
        <f t="shared" si="39"/>
        <v>0</v>
      </c>
      <c r="M263" t="b">
        <f t="shared" si="40"/>
        <v>0</v>
      </c>
      <c r="N263" t="b">
        <f t="shared" si="41"/>
        <v>0</v>
      </c>
      <c r="O263" t="b">
        <f t="shared" si="42"/>
        <v>0</v>
      </c>
    </row>
    <row r="264" spans="1:15" x14ac:dyDescent="0.35">
      <c r="A264" t="str">
        <v>diesel_Vossloh_G_2000_BB</v>
      </c>
      <c r="B264" t="b" cm="1">
        <f t="array" ref="B264">_xlfn.XLOOKUP(A264,CONTROL[VEHIDCODE],PROPERTIES[EXCLUDE])</f>
        <v>0</v>
      </c>
      <c r="C264" t="b">
        <f>_xlfn.XLOOKUP(A264,CONTROL[VEHIDCODE],CONTROL[IS_WAGON_OR_COACH])</f>
        <v>0</v>
      </c>
      <c r="D264">
        <f>FLOOR(_xlfn.XLOOKUP($A264,PROPERTIES[VEHIDCODE],PROPERTIES[INTRODUCTION_YEAR]),20)</f>
        <v>2000</v>
      </c>
      <c r="E264" t="e">
        <f>_xlfn.XLOOKUP($A264,PROPERTIES[VEHIDCODE],#REF!)</f>
        <v>#REF!</v>
      </c>
      <c r="F264" s="25" t="str" cm="1">
        <f t="array" ref="F264">_xlfn.CONCAT(_xlfn.XLOOKUP($A264,PROPERTIES[VEHIDCODE],PROPERTIES[REGION1]),"_",_xlfn.XLOOKUP($A264,PROPERTIES[VEHIDCODE],PROPERTIES[REGION2]),"_",_xlfn.XLOOKUP($A264,PROPERTIES[VEHIDCODE],PROPERTIES[REGION3]&amp;"_"&amp;_xlfn.XLOOKUP($A264,PROPERTIES[VEHIDCODE],PROPERTIES[REGION4])))</f>
        <v>SOUTHERN_EUROPE_NO_REGION_NO_REGION_NO_REGION</v>
      </c>
      <c r="G264" t="b">
        <f t="shared" si="36"/>
        <v>0</v>
      </c>
      <c r="H264" t="b">
        <f t="shared" si="43"/>
        <v>0</v>
      </c>
      <c r="I264" t="b">
        <f t="shared" si="37"/>
        <v>1</v>
      </c>
      <c r="J264" t="b">
        <f t="shared" si="44"/>
        <v>0</v>
      </c>
      <c r="K264" t="b">
        <f t="shared" si="38"/>
        <v>0</v>
      </c>
      <c r="L264" t="b">
        <f t="shared" si="39"/>
        <v>0</v>
      </c>
      <c r="M264" t="b">
        <f t="shared" si="40"/>
        <v>0</v>
      </c>
      <c r="N264" t="b">
        <f t="shared" si="41"/>
        <v>0</v>
      </c>
      <c r="O264" t="b">
        <f t="shared" si="42"/>
        <v>0</v>
      </c>
    </row>
    <row r="265" spans="1:15" x14ac:dyDescent="0.35">
      <c r="A265" t="str">
        <v>diesel_MPI_MP40PH_3C</v>
      </c>
      <c r="B265" t="b" cm="1">
        <f t="array" ref="B265">_xlfn.XLOOKUP(A265,CONTROL[VEHIDCODE],PROPERTIES[EXCLUDE])</f>
        <v>0</v>
      </c>
      <c r="C265" t="b">
        <f>_xlfn.XLOOKUP(A265,CONTROL[VEHIDCODE],CONTROL[IS_WAGON_OR_COACH])</f>
        <v>0</v>
      </c>
      <c r="D265">
        <f>FLOOR(_xlfn.XLOOKUP($A265,PROPERTIES[VEHIDCODE],PROPERTIES[INTRODUCTION_YEAR]),20)</f>
        <v>2000</v>
      </c>
      <c r="E265" t="e">
        <f>_xlfn.XLOOKUP($A265,PROPERTIES[VEHIDCODE],#REF!)</f>
        <v>#REF!</v>
      </c>
      <c r="F265" s="25" t="str" cm="1">
        <f t="array" ref="F265">_xlfn.CONCAT(_xlfn.XLOOKUP($A265,PROPERTIES[VEHIDCODE],PROPERTIES[REGION1]),"_",_xlfn.XLOOKUP($A265,PROPERTIES[VEHIDCODE],PROPERTIES[REGION2]),"_",_xlfn.XLOOKUP($A265,PROPERTIES[VEHIDCODE],PROPERTIES[REGION3]&amp;"_"&amp;_xlfn.XLOOKUP($A265,PROPERTIES[VEHIDCODE],PROPERTIES[REGION4])))</f>
        <v>NORTH_AMERICA_NO_REGION_NO_REGION_NO_REGION</v>
      </c>
      <c r="G265" t="b">
        <f t="shared" si="36"/>
        <v>0</v>
      </c>
      <c r="H265" t="b">
        <f t="shared" si="43"/>
        <v>0</v>
      </c>
      <c r="I265" t="b">
        <f t="shared" si="37"/>
        <v>0</v>
      </c>
      <c r="J265" t="b">
        <f t="shared" si="44"/>
        <v>0</v>
      </c>
      <c r="K265" t="b">
        <f t="shared" si="38"/>
        <v>0</v>
      </c>
      <c r="L265" t="b">
        <f t="shared" si="39"/>
        <v>0</v>
      </c>
      <c r="M265" t="b">
        <f t="shared" si="40"/>
        <v>1</v>
      </c>
      <c r="N265" t="b">
        <f t="shared" si="41"/>
        <v>0</v>
      </c>
      <c r="O265" t="b">
        <f t="shared" si="42"/>
        <v>0</v>
      </c>
    </row>
    <row r="266" spans="1:15" x14ac:dyDescent="0.35">
      <c r="A266" t="str">
        <v>diesel_Vossloh_Espana___EMD_334</v>
      </c>
      <c r="B266" t="b" cm="1">
        <f t="array" ref="B266">_xlfn.XLOOKUP(A266,CONTROL[VEHIDCODE],PROPERTIES[EXCLUDE])</f>
        <v>0</v>
      </c>
      <c r="C266" t="b">
        <f>_xlfn.XLOOKUP(A266,CONTROL[VEHIDCODE],CONTROL[IS_WAGON_OR_COACH])</f>
        <v>0</v>
      </c>
      <c r="D266">
        <f>FLOOR(_xlfn.XLOOKUP($A266,PROPERTIES[VEHIDCODE],PROPERTIES[INTRODUCTION_YEAR]),20)</f>
        <v>2000</v>
      </c>
      <c r="E266" t="e">
        <f>_xlfn.XLOOKUP($A266,PROPERTIES[VEHIDCODE],#REF!)</f>
        <v>#REF!</v>
      </c>
      <c r="F266" s="25" t="str" cm="1">
        <f t="array" ref="F266">_xlfn.CONCAT(_xlfn.XLOOKUP($A266,PROPERTIES[VEHIDCODE],PROPERTIES[REGION1]),"_",_xlfn.XLOOKUP($A266,PROPERTIES[VEHIDCODE],PROPERTIES[REGION2]),"_",_xlfn.XLOOKUP($A266,PROPERTIES[VEHIDCODE],PROPERTIES[REGION3]&amp;"_"&amp;_xlfn.XLOOKUP($A266,PROPERTIES[VEHIDCODE],PROPERTIES[REGION4])))</f>
        <v>SOUTHERN_EUROPE_NO_REGION_NO_REGION_NO_REGION</v>
      </c>
      <c r="G266" t="b">
        <f t="shared" si="36"/>
        <v>0</v>
      </c>
      <c r="H266" t="b">
        <f t="shared" si="43"/>
        <v>0</v>
      </c>
      <c r="I266" t="b">
        <f t="shared" si="37"/>
        <v>1</v>
      </c>
      <c r="J266" t="b">
        <f t="shared" si="44"/>
        <v>0</v>
      </c>
      <c r="K266" t="b">
        <f t="shared" si="38"/>
        <v>0</v>
      </c>
      <c r="L266" t="b">
        <f t="shared" si="39"/>
        <v>0</v>
      </c>
      <c r="M266" t="b">
        <f t="shared" si="40"/>
        <v>0</v>
      </c>
      <c r="N266" t="b">
        <f t="shared" si="41"/>
        <v>0</v>
      </c>
      <c r="O266" t="b">
        <f t="shared" si="42"/>
        <v>0</v>
      </c>
    </row>
    <row r="267" spans="1:15" x14ac:dyDescent="0.35">
      <c r="A267" t="str">
        <v>diesel_INKA_CC300</v>
      </c>
      <c r="B267" t="b" cm="1">
        <f t="array" ref="B267">_xlfn.XLOOKUP(A267,CONTROL[VEHIDCODE],PROPERTIES[EXCLUDE])</f>
        <v>0</v>
      </c>
      <c r="C267" t="b">
        <f>_xlfn.XLOOKUP(A267,CONTROL[VEHIDCODE],CONTROL[IS_WAGON_OR_COACH])</f>
        <v>0</v>
      </c>
      <c r="D267">
        <f>FLOOR(_xlfn.XLOOKUP($A267,PROPERTIES[VEHIDCODE],PROPERTIES[INTRODUCTION_YEAR]),20)</f>
        <v>2000</v>
      </c>
      <c r="E267" t="e">
        <f>_xlfn.XLOOKUP($A267,PROPERTIES[VEHIDCODE],#REF!)</f>
        <v>#REF!</v>
      </c>
      <c r="F267" s="25" t="str" cm="1">
        <f t="array" ref="F267">_xlfn.CONCAT(_xlfn.XLOOKUP($A267,PROPERTIES[VEHIDCODE],PROPERTIES[REGION1]),"_",_xlfn.XLOOKUP($A267,PROPERTIES[VEHIDCODE],PROPERTIES[REGION2]),"_",_xlfn.XLOOKUP($A267,PROPERTIES[VEHIDCODE],PROPERTIES[REGION3]&amp;"_"&amp;_xlfn.XLOOKUP($A267,PROPERTIES[VEHIDCODE],PROPERTIES[REGION4])))</f>
        <v>OCEANIA_NO_REGION_NO_REGION_NO_REGION</v>
      </c>
      <c r="G267" t="b">
        <f t="shared" si="36"/>
        <v>0</v>
      </c>
      <c r="H267" t="b">
        <f t="shared" si="43"/>
        <v>0</v>
      </c>
      <c r="I267" t="b">
        <f t="shared" si="37"/>
        <v>0</v>
      </c>
      <c r="J267" t="b">
        <f t="shared" si="44"/>
        <v>0</v>
      </c>
      <c r="K267" t="b">
        <f t="shared" si="38"/>
        <v>0</v>
      </c>
      <c r="L267" t="b">
        <f t="shared" si="39"/>
        <v>0</v>
      </c>
      <c r="M267" t="b">
        <f t="shared" si="40"/>
        <v>0</v>
      </c>
      <c r="N267" t="b">
        <f t="shared" si="41"/>
        <v>0</v>
      </c>
      <c r="O267" t="b">
        <f t="shared" si="42"/>
        <v>1</v>
      </c>
    </row>
    <row r="268" spans="1:15" x14ac:dyDescent="0.35">
      <c r="A268" t="str">
        <v>diesel_Great_Southern_Railway_DH501</v>
      </c>
      <c r="B268" t="b" cm="1">
        <f t="array" ref="B268">_xlfn.XLOOKUP(A268,CONTROL[VEHIDCODE],PROPERTIES[EXCLUDE])</f>
        <v>0</v>
      </c>
      <c r="C268" t="b">
        <f>_xlfn.XLOOKUP(A268,CONTROL[VEHIDCODE],CONTROL[IS_WAGON_OR_COACH])</f>
        <v>0</v>
      </c>
      <c r="D268">
        <f>FLOOR(_xlfn.XLOOKUP($A268,PROPERTIES[VEHIDCODE],PROPERTIES[INTRODUCTION_YEAR]),20)</f>
        <v>1920</v>
      </c>
      <c r="E268" t="e">
        <f>_xlfn.XLOOKUP($A268,PROPERTIES[VEHIDCODE],#REF!)</f>
        <v>#REF!</v>
      </c>
      <c r="F268" s="25" t="str" cm="1">
        <f t="array" ref="F268">_xlfn.CONCAT(_xlfn.XLOOKUP($A268,PROPERTIES[VEHIDCODE],PROPERTIES[REGION1]),"_",_xlfn.XLOOKUP($A268,PROPERTIES[VEHIDCODE],PROPERTIES[REGION2]),"_",_xlfn.XLOOKUP($A268,PROPERTIES[VEHIDCODE],PROPERTIES[REGION3]&amp;"_"&amp;_xlfn.XLOOKUP($A268,PROPERTIES[VEHIDCODE],PROPERTIES[REGION4])))</f>
        <v>SOUTH_AMERICA_NO_REGION_NO_REGION_NO_REGION</v>
      </c>
      <c r="G268" t="b">
        <f t="shared" si="36"/>
        <v>0</v>
      </c>
      <c r="H268" t="b">
        <f t="shared" si="43"/>
        <v>0</v>
      </c>
      <c r="I268" t="b">
        <f t="shared" si="37"/>
        <v>0</v>
      </c>
      <c r="J268" t="b">
        <f t="shared" si="44"/>
        <v>0</v>
      </c>
      <c r="K268" t="b">
        <f t="shared" si="38"/>
        <v>0</v>
      </c>
      <c r="L268" t="b">
        <f t="shared" si="39"/>
        <v>0</v>
      </c>
      <c r="M268" t="b">
        <f t="shared" si="40"/>
        <v>0</v>
      </c>
      <c r="N268" t="b">
        <f t="shared" si="41"/>
        <v>1</v>
      </c>
      <c r="O268" t="b">
        <f t="shared" si="42"/>
        <v>0</v>
      </c>
    </row>
    <row r="269" spans="1:15" x14ac:dyDescent="0.35">
      <c r="A269" t="str">
        <v>diesel_EE_VFFLB</v>
      </c>
      <c r="B269" t="b" cm="1">
        <f t="array" ref="B269">_xlfn.XLOOKUP(A269,CONTROL[VEHIDCODE],PROPERTIES[EXCLUDE])</f>
        <v>0</v>
      </c>
      <c r="C269" t="b">
        <f>_xlfn.XLOOKUP(A269,CONTROL[VEHIDCODE],CONTROL[IS_WAGON_OR_COACH])</f>
        <v>0</v>
      </c>
      <c r="D269">
        <f>FLOOR(_xlfn.XLOOKUP($A269,PROPERTIES[VEHIDCODE],PROPERTIES[INTRODUCTION_YEAR]),20)</f>
        <v>1920</v>
      </c>
      <c r="E269" t="e">
        <f>_xlfn.XLOOKUP($A269,PROPERTIES[VEHIDCODE],#REF!)</f>
        <v>#REF!</v>
      </c>
      <c r="F269" s="25" t="str" cm="1">
        <f t="array" ref="F269">_xlfn.CONCAT(_xlfn.XLOOKUP($A269,PROPERTIES[VEHIDCODE],PROPERTIES[REGION1]),"_",_xlfn.XLOOKUP($A269,PROPERTIES[VEHIDCODE],PROPERTIES[REGION2]),"_",_xlfn.XLOOKUP($A269,PROPERTIES[VEHIDCODE],PROPERTIES[REGION3]&amp;"_"&amp;_xlfn.XLOOKUP($A269,PROPERTIES[VEHIDCODE],PROPERTIES[REGION4])))</f>
        <v>SOUTH_AMERICA_NO_REGION_NO_REGION_NO_REGION</v>
      </c>
      <c r="G269" t="b">
        <f t="shared" si="36"/>
        <v>0</v>
      </c>
      <c r="H269" t="b">
        <f t="shared" si="43"/>
        <v>0</v>
      </c>
      <c r="I269" t="b">
        <f t="shared" si="37"/>
        <v>0</v>
      </c>
      <c r="J269" t="b">
        <f t="shared" si="44"/>
        <v>0</v>
      </c>
      <c r="K269" t="b">
        <f t="shared" si="38"/>
        <v>0</v>
      </c>
      <c r="L269" t="b">
        <f t="shared" si="39"/>
        <v>0</v>
      </c>
      <c r="M269" t="b">
        <f t="shared" si="40"/>
        <v>0</v>
      </c>
      <c r="N269" t="b">
        <f t="shared" si="41"/>
        <v>1</v>
      </c>
      <c r="O269" t="b">
        <f t="shared" si="42"/>
        <v>0</v>
      </c>
    </row>
    <row r="270" spans="1:15" x14ac:dyDescent="0.35">
      <c r="A270" t="str">
        <v>diesel_GE_U5B</v>
      </c>
      <c r="B270" t="b" cm="1">
        <f t="array" ref="B270">_xlfn.XLOOKUP(A270,CONTROL[VEHIDCODE],PROPERTIES[EXCLUDE])</f>
        <v>0</v>
      </c>
      <c r="C270" t="b">
        <f>_xlfn.XLOOKUP(A270,CONTROL[VEHIDCODE],CONTROL[IS_WAGON_OR_COACH])</f>
        <v>0</v>
      </c>
      <c r="D270">
        <f>FLOOR(_xlfn.XLOOKUP($A270,PROPERTIES[VEHIDCODE],PROPERTIES[INTRODUCTION_YEAR]),20)</f>
        <v>1960</v>
      </c>
      <c r="E270" t="e">
        <f>_xlfn.XLOOKUP($A270,PROPERTIES[VEHIDCODE],#REF!)</f>
        <v>#REF!</v>
      </c>
      <c r="F270" s="25" t="str" cm="1">
        <f t="array" ref="F270">_xlfn.CONCAT(_xlfn.XLOOKUP($A270,PROPERTIES[VEHIDCODE],PROPERTIES[REGION1]),"_",_xlfn.XLOOKUP($A270,PROPERTIES[VEHIDCODE],PROPERTIES[REGION2]),"_",_xlfn.XLOOKUP($A270,PROPERTIES[VEHIDCODE],PROPERTIES[REGION3]&amp;"_"&amp;_xlfn.XLOOKUP($A270,PROPERTIES[VEHIDCODE],PROPERTIES[REGION4])))</f>
        <v>SOUTH_AMERICA_AFRICA_NO_REGION_NO_REGION</v>
      </c>
      <c r="G270" t="b">
        <f t="shared" si="36"/>
        <v>1</v>
      </c>
      <c r="H270" t="b">
        <f t="shared" si="43"/>
        <v>0</v>
      </c>
      <c r="I270" t="b">
        <f t="shared" si="37"/>
        <v>0</v>
      </c>
      <c r="J270" t="b">
        <f t="shared" si="44"/>
        <v>0</v>
      </c>
      <c r="K270" t="b">
        <f t="shared" si="38"/>
        <v>0</v>
      </c>
      <c r="L270" t="b">
        <f t="shared" si="39"/>
        <v>0</v>
      </c>
      <c r="M270" t="b">
        <f t="shared" si="40"/>
        <v>0</v>
      </c>
      <c r="N270" t="b">
        <f t="shared" si="41"/>
        <v>1</v>
      </c>
      <c r="O270" t="b">
        <f t="shared" si="42"/>
        <v>0</v>
      </c>
    </row>
    <row r="271" spans="1:15" x14ac:dyDescent="0.35">
      <c r="A271" t="str">
        <v>diesel_ALCO_RSD_39</v>
      </c>
      <c r="B271" t="b" cm="1">
        <f t="array" ref="B271">_xlfn.XLOOKUP(A271,CONTROL[VEHIDCODE],PROPERTIES[EXCLUDE])</f>
        <v>0</v>
      </c>
      <c r="C271" t="b">
        <f>_xlfn.XLOOKUP(A271,CONTROL[VEHIDCODE],CONTROL[IS_WAGON_OR_COACH])</f>
        <v>0</v>
      </c>
      <c r="D271">
        <f>FLOOR(_xlfn.XLOOKUP($A271,PROPERTIES[VEHIDCODE],PROPERTIES[INTRODUCTION_YEAR]),20)</f>
        <v>1960</v>
      </c>
      <c r="E271" t="e">
        <f>_xlfn.XLOOKUP($A271,PROPERTIES[VEHIDCODE],#REF!)</f>
        <v>#REF!</v>
      </c>
      <c r="F271" s="25" t="str" cm="1">
        <f t="array" ref="F271">_xlfn.CONCAT(_xlfn.XLOOKUP($A271,PROPERTIES[VEHIDCODE],PROPERTIES[REGION1]),"_",_xlfn.XLOOKUP($A271,PROPERTIES[VEHIDCODE],PROPERTIES[REGION2]),"_",_xlfn.XLOOKUP($A271,PROPERTIES[VEHIDCODE],PROPERTIES[REGION3]&amp;"_"&amp;_xlfn.XLOOKUP($A271,PROPERTIES[VEHIDCODE],PROPERTIES[REGION4])))</f>
        <v>SOUTH_AMERICA_SOUTHERN_EUROPE_NO_REGION_NO_REGION</v>
      </c>
      <c r="G271" t="b">
        <f t="shared" si="36"/>
        <v>0</v>
      </c>
      <c r="H271" t="b">
        <f t="shared" si="43"/>
        <v>0</v>
      </c>
      <c r="I271" t="b">
        <f t="shared" si="37"/>
        <v>1</v>
      </c>
      <c r="J271" t="b">
        <f t="shared" si="44"/>
        <v>0</v>
      </c>
      <c r="K271" t="b">
        <f t="shared" si="38"/>
        <v>0</v>
      </c>
      <c r="L271" t="b">
        <f t="shared" si="39"/>
        <v>0</v>
      </c>
      <c r="M271" t="b">
        <f t="shared" si="40"/>
        <v>0</v>
      </c>
      <c r="N271" t="b">
        <f t="shared" si="41"/>
        <v>1</v>
      </c>
      <c r="O271" t="b">
        <f t="shared" si="42"/>
        <v>0</v>
      </c>
    </row>
    <row r="272" spans="1:15" x14ac:dyDescent="0.35">
      <c r="A272" t="str">
        <v>diesel_EMD_DDM45</v>
      </c>
      <c r="B272" t="b" cm="1">
        <f t="array" ref="B272">_xlfn.XLOOKUP(A272,CONTROL[VEHIDCODE],PROPERTIES[EXCLUDE])</f>
        <v>0</v>
      </c>
      <c r="C272" t="b">
        <f>_xlfn.XLOOKUP(A272,CONTROL[VEHIDCODE],CONTROL[IS_WAGON_OR_COACH])</f>
        <v>0</v>
      </c>
      <c r="D272">
        <f>FLOOR(_xlfn.XLOOKUP($A272,PROPERTIES[VEHIDCODE],PROPERTIES[INTRODUCTION_YEAR]),20)</f>
        <v>1960</v>
      </c>
      <c r="E272" t="e">
        <f>_xlfn.XLOOKUP($A272,PROPERTIES[VEHIDCODE],#REF!)</f>
        <v>#REF!</v>
      </c>
      <c r="F272" s="25" t="str" cm="1">
        <f t="array" ref="F272">_xlfn.CONCAT(_xlfn.XLOOKUP($A272,PROPERTIES[VEHIDCODE],PROPERTIES[REGION1]),"_",_xlfn.XLOOKUP($A272,PROPERTIES[VEHIDCODE],PROPERTIES[REGION2]),"_",_xlfn.XLOOKUP($A272,PROPERTIES[VEHIDCODE],PROPERTIES[REGION3]&amp;"_"&amp;_xlfn.XLOOKUP($A272,PROPERTIES[VEHIDCODE],PROPERTIES[REGION4])))</f>
        <v>SOUTH_AMERICA_NO_REGION_NO_REGION_NO_REGION</v>
      </c>
      <c r="G272" t="b">
        <f t="shared" si="36"/>
        <v>0</v>
      </c>
      <c r="H272" t="b">
        <f t="shared" si="43"/>
        <v>0</v>
      </c>
      <c r="I272" t="b">
        <f t="shared" si="37"/>
        <v>0</v>
      </c>
      <c r="J272" t="b">
        <f t="shared" si="44"/>
        <v>0</v>
      </c>
      <c r="K272" t="b">
        <f t="shared" si="38"/>
        <v>0</v>
      </c>
      <c r="L272" t="b">
        <f t="shared" si="39"/>
        <v>0</v>
      </c>
      <c r="M272" t="b">
        <f t="shared" si="40"/>
        <v>0</v>
      </c>
      <c r="N272" t="b">
        <f t="shared" si="41"/>
        <v>1</v>
      </c>
      <c r="O272" t="b">
        <f t="shared" si="42"/>
        <v>0</v>
      </c>
    </row>
    <row r="273" spans="1:15" x14ac:dyDescent="0.35">
      <c r="A273" t="str">
        <v>diesel_GE_C39_8__FCCA_</v>
      </c>
      <c r="B273" t="b" cm="1">
        <f t="array" ref="B273">_xlfn.XLOOKUP(A273,CONTROL[VEHIDCODE],PROPERTIES[EXCLUDE])</f>
        <v>0</v>
      </c>
      <c r="C273" t="b">
        <f>_xlfn.XLOOKUP(A273,CONTROL[VEHIDCODE],CONTROL[IS_WAGON_OR_COACH])</f>
        <v>0</v>
      </c>
      <c r="D273">
        <f>FLOOR(_xlfn.XLOOKUP($A273,PROPERTIES[VEHIDCODE],PROPERTIES[INTRODUCTION_YEAR]),20)</f>
        <v>1980</v>
      </c>
      <c r="E273" t="e">
        <f>_xlfn.XLOOKUP($A273,PROPERTIES[VEHIDCODE],#REF!)</f>
        <v>#REF!</v>
      </c>
      <c r="F273" s="25" t="str" cm="1">
        <f t="array" ref="F273">_xlfn.CONCAT(_xlfn.XLOOKUP($A273,PROPERTIES[VEHIDCODE],PROPERTIES[REGION1]),"_",_xlfn.XLOOKUP($A273,PROPERTIES[VEHIDCODE],PROPERTIES[REGION2]),"_",_xlfn.XLOOKUP($A273,PROPERTIES[VEHIDCODE],PROPERTIES[REGION3]&amp;"_"&amp;_xlfn.XLOOKUP($A273,PROPERTIES[VEHIDCODE],PROPERTIES[REGION4])))</f>
        <v>ALL_AMERICA_NO_REGION_NO_REGION_NO_REGION</v>
      </c>
      <c r="G273" t="b">
        <f t="shared" si="36"/>
        <v>0</v>
      </c>
      <c r="H273" t="b">
        <f t="shared" si="43"/>
        <v>0</v>
      </c>
      <c r="I273" t="b">
        <f t="shared" si="37"/>
        <v>0</v>
      </c>
      <c r="J273" t="b">
        <f t="shared" si="44"/>
        <v>0</v>
      </c>
      <c r="K273" t="b">
        <f t="shared" si="38"/>
        <v>0</v>
      </c>
      <c r="L273" t="b">
        <f t="shared" si="39"/>
        <v>0</v>
      </c>
      <c r="M273" t="b">
        <f t="shared" si="40"/>
        <v>1</v>
      </c>
      <c r="N273" t="b">
        <f t="shared" si="41"/>
        <v>1</v>
      </c>
      <c r="O273" t="b">
        <f t="shared" si="42"/>
        <v>0</v>
      </c>
    </row>
    <row r="274" spans="1:15" x14ac:dyDescent="0.35">
      <c r="A274" t="str">
        <v>diesel_SOFSE_319_3</v>
      </c>
      <c r="B274" t="b" cm="1">
        <f t="array" ref="B274">_xlfn.XLOOKUP(A274,CONTROL[VEHIDCODE],PROPERTIES[EXCLUDE])</f>
        <v>0</v>
      </c>
      <c r="C274" t="b">
        <f>_xlfn.XLOOKUP(A274,CONTROL[VEHIDCODE],CONTROL[IS_WAGON_OR_COACH])</f>
        <v>0</v>
      </c>
      <c r="D274">
        <f>FLOOR(_xlfn.XLOOKUP($A274,PROPERTIES[VEHIDCODE],PROPERTIES[INTRODUCTION_YEAR]),20)</f>
        <v>1980</v>
      </c>
      <c r="E274" t="e">
        <f>_xlfn.XLOOKUP($A274,PROPERTIES[VEHIDCODE],#REF!)</f>
        <v>#REF!</v>
      </c>
      <c r="F274" s="25" t="str" cm="1">
        <f t="array" ref="F274">_xlfn.CONCAT(_xlfn.XLOOKUP($A274,PROPERTIES[VEHIDCODE],PROPERTIES[REGION1]),"_",_xlfn.XLOOKUP($A274,PROPERTIES[VEHIDCODE],PROPERTIES[REGION2]),"_",_xlfn.XLOOKUP($A274,PROPERTIES[VEHIDCODE],PROPERTIES[REGION3]&amp;"_"&amp;_xlfn.XLOOKUP($A274,PROPERTIES[VEHIDCODE],PROPERTIES[REGION4])))</f>
        <v>SOUTH_AMERICA_ASIA_NO_REGION_NO_REGION</v>
      </c>
      <c r="G274" t="b">
        <f t="shared" si="36"/>
        <v>0</v>
      </c>
      <c r="H274" t="b">
        <f t="shared" si="43"/>
        <v>1</v>
      </c>
      <c r="I274" t="b">
        <f t="shared" si="37"/>
        <v>0</v>
      </c>
      <c r="J274" t="b">
        <f t="shared" si="44"/>
        <v>0</v>
      </c>
      <c r="K274" t="b">
        <f t="shared" si="38"/>
        <v>0</v>
      </c>
      <c r="L274" t="b">
        <f t="shared" si="39"/>
        <v>0</v>
      </c>
      <c r="M274" t="b">
        <f t="shared" si="40"/>
        <v>0</v>
      </c>
      <c r="N274" t="b">
        <f t="shared" si="41"/>
        <v>1</v>
      </c>
      <c r="O274" t="b">
        <f t="shared" si="42"/>
        <v>0</v>
      </c>
    </row>
    <row r="275" spans="1:15" x14ac:dyDescent="0.35">
      <c r="A275" t="str">
        <v>diesel_CNR_CKD8G</v>
      </c>
      <c r="B275" t="b" cm="1">
        <f t="array" ref="B275">_xlfn.XLOOKUP(A275,CONTROL[VEHIDCODE],PROPERTIES[EXCLUDE])</f>
        <v>0</v>
      </c>
      <c r="C275" t="b">
        <f>_xlfn.XLOOKUP(A275,CONTROL[VEHIDCODE],CONTROL[IS_WAGON_OR_COACH])</f>
        <v>0</v>
      </c>
      <c r="D275">
        <f>FLOOR(_xlfn.XLOOKUP($A275,PROPERTIES[VEHIDCODE],PROPERTIES[INTRODUCTION_YEAR]),20)</f>
        <v>2000</v>
      </c>
      <c r="E275" t="e">
        <f>_xlfn.XLOOKUP($A275,PROPERTIES[VEHIDCODE],#REF!)</f>
        <v>#REF!</v>
      </c>
      <c r="F275" s="25" t="str" cm="1">
        <f t="array" ref="F275">_xlfn.CONCAT(_xlfn.XLOOKUP($A275,PROPERTIES[VEHIDCODE],PROPERTIES[REGION1]),"_",_xlfn.XLOOKUP($A275,PROPERTIES[VEHIDCODE],PROPERTIES[REGION2]),"_",_xlfn.XLOOKUP($A275,PROPERTIES[VEHIDCODE],PROPERTIES[REGION3]&amp;"_"&amp;_xlfn.XLOOKUP($A275,PROPERTIES[VEHIDCODE],PROPERTIES[REGION4])))</f>
        <v>SOUTH_AMERICA_NO_REGION_NO_REGION_NO_REGION</v>
      </c>
      <c r="G275" t="b">
        <f t="shared" si="36"/>
        <v>0</v>
      </c>
      <c r="H275" t="b">
        <f t="shared" si="43"/>
        <v>0</v>
      </c>
      <c r="I275" t="b">
        <f t="shared" si="37"/>
        <v>0</v>
      </c>
      <c r="J275" t="b">
        <f t="shared" si="44"/>
        <v>0</v>
      </c>
      <c r="K275" t="b">
        <f t="shared" si="38"/>
        <v>0</v>
      </c>
      <c r="L275" t="b">
        <f t="shared" si="39"/>
        <v>0</v>
      </c>
      <c r="M275" t="b">
        <f t="shared" si="40"/>
        <v>0</v>
      </c>
      <c r="N275" t="b">
        <f t="shared" si="41"/>
        <v>1</v>
      </c>
      <c r="O275" t="b">
        <f t="shared" si="42"/>
        <v>0</v>
      </c>
    </row>
    <row r="276" spans="1:15" x14ac:dyDescent="0.35">
      <c r="A276" t="str">
        <v>diesel_AEG_SAR_DS</v>
      </c>
      <c r="B276" t="b" cm="1">
        <f t="array" ref="B276">_xlfn.XLOOKUP(A276,CONTROL[VEHIDCODE],PROPERTIES[EXCLUDE])</f>
        <v>0</v>
      </c>
      <c r="C276" t="b">
        <f>_xlfn.XLOOKUP(A276,CONTROL[VEHIDCODE],CONTROL[IS_WAGON_OR_COACH])</f>
        <v>0</v>
      </c>
      <c r="D276">
        <f>FLOOR(_xlfn.XLOOKUP($A276,PROPERTIES[VEHIDCODE],PROPERTIES[INTRODUCTION_YEAR]),20)</f>
        <v>1920</v>
      </c>
      <c r="E276" t="e">
        <f>_xlfn.XLOOKUP($A276,PROPERTIES[VEHIDCODE],#REF!)</f>
        <v>#REF!</v>
      </c>
      <c r="F276" s="25" t="str" cm="1">
        <f t="array" ref="F276">_xlfn.CONCAT(_xlfn.XLOOKUP($A276,PROPERTIES[VEHIDCODE],PROPERTIES[REGION1]),"_",_xlfn.XLOOKUP($A276,PROPERTIES[VEHIDCODE],PROPERTIES[REGION2]),"_",_xlfn.XLOOKUP($A276,PROPERTIES[VEHIDCODE],PROPERTIES[REGION3]&amp;"_"&amp;_xlfn.XLOOKUP($A276,PROPERTIES[VEHIDCODE],PROPERTIES[REGION4])))</f>
        <v>AFRICA_NO_REGION_NO_REGION_NO_REGION</v>
      </c>
      <c r="G276" t="b">
        <f t="shared" si="36"/>
        <v>1</v>
      </c>
      <c r="H276" t="b">
        <f t="shared" si="43"/>
        <v>0</v>
      </c>
      <c r="I276" t="b">
        <f t="shared" si="37"/>
        <v>0</v>
      </c>
      <c r="J276" t="b">
        <f t="shared" si="44"/>
        <v>0</v>
      </c>
      <c r="K276" t="b">
        <f t="shared" si="38"/>
        <v>0</v>
      </c>
      <c r="L276" t="b">
        <f t="shared" si="39"/>
        <v>0</v>
      </c>
      <c r="M276" t="b">
        <f t="shared" si="40"/>
        <v>0</v>
      </c>
      <c r="N276" t="b">
        <f t="shared" si="41"/>
        <v>0</v>
      </c>
      <c r="O276" t="b">
        <f t="shared" si="42"/>
        <v>0</v>
      </c>
    </row>
    <row r="277" spans="1:15" x14ac:dyDescent="0.35">
      <c r="A277" t="str">
        <v>diesel_GM_GT_26_W__040DG_</v>
      </c>
      <c r="B277" t="b" cm="1">
        <f t="array" ref="B277">_xlfn.XLOOKUP(A277,CONTROL[VEHIDCODE],PROPERTIES[EXCLUDE])</f>
        <v>0</v>
      </c>
      <c r="C277" t="b">
        <f>_xlfn.XLOOKUP(A277,CONTROL[VEHIDCODE],CONTROL[IS_WAGON_OR_COACH])</f>
        <v>0</v>
      </c>
      <c r="D277">
        <f>FLOOR(_xlfn.XLOOKUP($A277,PROPERTIES[VEHIDCODE],PROPERTIES[INTRODUCTION_YEAR]),20)</f>
        <v>1960</v>
      </c>
      <c r="E277" t="e">
        <f>_xlfn.XLOOKUP($A277,PROPERTIES[VEHIDCODE],#REF!)</f>
        <v>#REF!</v>
      </c>
      <c r="F277" s="25" t="str" cm="1">
        <f t="array" ref="F277">_xlfn.CONCAT(_xlfn.XLOOKUP($A277,PROPERTIES[VEHIDCODE],PROPERTIES[REGION1]),"_",_xlfn.XLOOKUP($A277,PROPERTIES[VEHIDCODE],PROPERTIES[REGION2]),"_",_xlfn.XLOOKUP($A277,PROPERTIES[VEHIDCODE],PROPERTIES[REGION3]&amp;"_"&amp;_xlfn.XLOOKUP($A277,PROPERTIES[VEHIDCODE],PROPERTIES[REGION4])))</f>
        <v>AFRICA_COMECON_EXTENDED_NO_REGION_NO_REGION</v>
      </c>
      <c r="G277" t="b">
        <f t="shared" si="36"/>
        <v>1</v>
      </c>
      <c r="H277" t="b">
        <f t="shared" si="43"/>
        <v>1</v>
      </c>
      <c r="I277" t="b">
        <f t="shared" si="37"/>
        <v>0</v>
      </c>
      <c r="J277" t="b">
        <f t="shared" si="44"/>
        <v>1</v>
      </c>
      <c r="K277" t="b">
        <f t="shared" si="38"/>
        <v>0</v>
      </c>
      <c r="L277" t="b">
        <f t="shared" si="39"/>
        <v>0</v>
      </c>
      <c r="M277" t="b">
        <f t="shared" si="40"/>
        <v>0</v>
      </c>
      <c r="N277" t="b">
        <f t="shared" si="41"/>
        <v>1</v>
      </c>
      <c r="O277" t="b">
        <f t="shared" si="42"/>
        <v>0</v>
      </c>
    </row>
    <row r="278" spans="1:15" x14ac:dyDescent="0.35">
      <c r="A278" t="str">
        <v>diesel_EMD_GL8__040DF_</v>
      </c>
      <c r="B278" t="b" cm="1">
        <f t="array" ref="B278">_xlfn.XLOOKUP(A278,CONTROL[VEHIDCODE],PROPERTIES[EXCLUDE])</f>
        <v>1</v>
      </c>
      <c r="C278" t="b">
        <f>_xlfn.XLOOKUP(A278,CONTROL[VEHIDCODE],CONTROL[IS_WAGON_OR_COACH])</f>
        <v>0</v>
      </c>
      <c r="D278">
        <f>FLOOR(_xlfn.XLOOKUP($A278,PROPERTIES[VEHIDCODE],PROPERTIES[INTRODUCTION_YEAR]),20)</f>
        <v>1960</v>
      </c>
      <c r="E278" t="e">
        <f>_xlfn.XLOOKUP($A278,PROPERTIES[VEHIDCODE],#REF!)</f>
        <v>#REF!</v>
      </c>
      <c r="F278" s="25" t="str" cm="1">
        <f t="array" ref="F278">_xlfn.CONCAT(_xlfn.XLOOKUP($A278,PROPERTIES[VEHIDCODE],PROPERTIES[REGION1]),"_",_xlfn.XLOOKUP($A278,PROPERTIES[VEHIDCODE],PROPERTIES[REGION2]),"_",_xlfn.XLOOKUP($A278,PROPERTIES[VEHIDCODE],PROPERTIES[REGION3]&amp;"_"&amp;_xlfn.XLOOKUP($A278,PROPERTIES[VEHIDCODE],PROPERTIES[REGION4])))</f>
        <v>AFRICA_NO_REGION_NO_REGION_NO_REGION</v>
      </c>
      <c r="G278" t="b">
        <f t="shared" si="36"/>
        <v>1</v>
      </c>
      <c r="H278" t="b">
        <f t="shared" si="43"/>
        <v>0</v>
      </c>
      <c r="I278" t="b">
        <f t="shared" si="37"/>
        <v>0</v>
      </c>
      <c r="J278" t="b">
        <f t="shared" si="44"/>
        <v>0</v>
      </c>
      <c r="K278" t="b">
        <f t="shared" si="38"/>
        <v>0</v>
      </c>
      <c r="L278" t="b">
        <f t="shared" si="39"/>
        <v>0</v>
      </c>
      <c r="M278" t="b">
        <f t="shared" si="40"/>
        <v>0</v>
      </c>
      <c r="N278" t="b">
        <f t="shared" si="41"/>
        <v>0</v>
      </c>
      <c r="O278" t="b">
        <f t="shared" si="42"/>
        <v>0</v>
      </c>
    </row>
    <row r="279" spans="1:15" x14ac:dyDescent="0.35">
      <c r="A279" t="str">
        <v>diesel_LTZ_TE114E</v>
      </c>
      <c r="B279" t="b" cm="1">
        <f t="array" ref="B279">_xlfn.XLOOKUP(A279,CONTROL[VEHIDCODE],PROPERTIES[EXCLUDE])</f>
        <v>0</v>
      </c>
      <c r="C279" t="b">
        <f>_xlfn.XLOOKUP(A279,CONTROL[VEHIDCODE],CONTROL[IS_WAGON_OR_COACH])</f>
        <v>0</v>
      </c>
      <c r="D279">
        <f>FLOOR(_xlfn.XLOOKUP($A279,PROPERTIES[VEHIDCODE],PROPERTIES[INTRODUCTION_YEAR]),20)</f>
        <v>1960</v>
      </c>
      <c r="E279" t="e">
        <f>_xlfn.XLOOKUP($A279,PROPERTIES[VEHIDCODE],#REF!)</f>
        <v>#REF!</v>
      </c>
      <c r="F279" s="25" t="str" cm="1">
        <f t="array" ref="F279">_xlfn.CONCAT(_xlfn.XLOOKUP($A279,PROPERTIES[VEHIDCODE],PROPERTIES[REGION1]),"_",_xlfn.XLOOKUP($A279,PROPERTIES[VEHIDCODE],PROPERTIES[REGION2]),"_",_xlfn.XLOOKUP($A279,PROPERTIES[VEHIDCODE],PROPERTIES[REGION3]&amp;"_"&amp;_xlfn.XLOOKUP($A279,PROPERTIES[VEHIDCODE],PROPERTIES[REGION4])))</f>
        <v>AFRICA_COMECON_EXTENDED_NO_REGION_NO_REGION</v>
      </c>
      <c r="G279" t="b">
        <f t="shared" si="36"/>
        <v>1</v>
      </c>
      <c r="H279" t="b">
        <f t="shared" si="43"/>
        <v>1</v>
      </c>
      <c r="I279" t="b">
        <f t="shared" si="37"/>
        <v>0</v>
      </c>
      <c r="J279" t="b">
        <f t="shared" si="44"/>
        <v>1</v>
      </c>
      <c r="K279" t="b">
        <f t="shared" si="38"/>
        <v>0</v>
      </c>
      <c r="L279" t="b">
        <f t="shared" si="39"/>
        <v>0</v>
      </c>
      <c r="M279" t="b">
        <f t="shared" si="40"/>
        <v>0</v>
      </c>
      <c r="N279" t="b">
        <f t="shared" si="41"/>
        <v>1</v>
      </c>
      <c r="O279" t="b">
        <f t="shared" si="42"/>
        <v>0</v>
      </c>
    </row>
    <row r="280" spans="1:15" x14ac:dyDescent="0.35">
      <c r="A280" t="str">
        <v>diesel_GM_GL_18_B__040DJ_</v>
      </c>
      <c r="B280" t="b" cm="1">
        <f t="array" ref="B280">_xlfn.XLOOKUP(A280,CONTROL[VEHIDCODE],PROPERTIES[EXCLUDE])</f>
        <v>0</v>
      </c>
      <c r="C280" t="b">
        <f>_xlfn.XLOOKUP(A280,CONTROL[VEHIDCODE],CONTROL[IS_WAGON_OR_COACH])</f>
        <v>0</v>
      </c>
      <c r="D280">
        <f>FLOOR(_xlfn.XLOOKUP($A280,PROPERTIES[VEHIDCODE],PROPERTIES[INTRODUCTION_YEAR]),20)</f>
        <v>1960</v>
      </c>
      <c r="E280" t="e">
        <f>_xlfn.XLOOKUP($A280,PROPERTIES[VEHIDCODE],#REF!)</f>
        <v>#REF!</v>
      </c>
      <c r="F280" s="25" t="str" cm="1">
        <f t="array" ref="F280">_xlfn.CONCAT(_xlfn.XLOOKUP($A280,PROPERTIES[VEHIDCODE],PROPERTIES[REGION1]),"_",_xlfn.XLOOKUP($A280,PROPERTIES[VEHIDCODE],PROPERTIES[REGION2]),"_",_xlfn.XLOOKUP($A280,PROPERTIES[VEHIDCODE],PROPERTIES[REGION3]&amp;"_"&amp;_xlfn.XLOOKUP($A280,PROPERTIES[VEHIDCODE],PROPERTIES[REGION4])))</f>
        <v>AFRICA_SOUTH_AMERICA_SOUTHERN_EUROPE_ASIA</v>
      </c>
      <c r="G280" t="b">
        <f t="shared" si="36"/>
        <v>1</v>
      </c>
      <c r="H280" t="b">
        <f t="shared" si="43"/>
        <v>1</v>
      </c>
      <c r="I280" t="b">
        <f t="shared" si="37"/>
        <v>1</v>
      </c>
      <c r="J280" t="b">
        <f t="shared" si="44"/>
        <v>0</v>
      </c>
      <c r="K280" t="b">
        <f t="shared" si="38"/>
        <v>0</v>
      </c>
      <c r="L280" t="b">
        <f t="shared" si="39"/>
        <v>0</v>
      </c>
      <c r="M280" t="b">
        <f t="shared" si="40"/>
        <v>0</v>
      </c>
      <c r="N280" t="b">
        <f t="shared" si="41"/>
        <v>1</v>
      </c>
      <c r="O280" t="b">
        <f t="shared" si="42"/>
        <v>0</v>
      </c>
    </row>
    <row r="281" spans="1:15" x14ac:dyDescent="0.35">
      <c r="A281" t="str">
        <v>diesel_Alsthom_CC_72000</v>
      </c>
      <c r="B281" t="b" cm="1">
        <f t="array" ref="B281">_xlfn.XLOOKUP(A281,CONTROL[VEHIDCODE],PROPERTIES[EXCLUDE])</f>
        <v>0</v>
      </c>
      <c r="C281" t="b">
        <f>_xlfn.XLOOKUP(A281,CONTROL[VEHIDCODE],CONTROL[IS_WAGON_OR_COACH])</f>
        <v>0</v>
      </c>
      <c r="D281">
        <f>FLOOR(_xlfn.XLOOKUP($A281,PROPERTIES[VEHIDCODE],PROPERTIES[INTRODUCTION_YEAR]),20)</f>
        <v>1960</v>
      </c>
      <c r="E281" t="e">
        <f>_xlfn.XLOOKUP($A281,PROPERTIES[VEHIDCODE],#REF!)</f>
        <v>#REF!</v>
      </c>
      <c r="F281" s="25" t="str" cm="1">
        <f t="array" ref="F281">_xlfn.CONCAT(_xlfn.XLOOKUP($A281,PROPERTIES[VEHIDCODE],PROPERTIES[REGION1]),"_",_xlfn.XLOOKUP($A281,PROPERTIES[VEHIDCODE],PROPERTIES[REGION2]),"_",_xlfn.XLOOKUP($A281,PROPERTIES[VEHIDCODE],PROPERTIES[REGION3]&amp;"_"&amp;_xlfn.XLOOKUP($A281,PROPERTIES[VEHIDCODE],PROPERTIES[REGION4])))</f>
        <v>AFRICA_WESTERN_EUROPE_NO_REGION_NO_REGION</v>
      </c>
      <c r="G281" t="b">
        <f t="shared" si="36"/>
        <v>1</v>
      </c>
      <c r="H281" t="b">
        <f t="shared" si="43"/>
        <v>0</v>
      </c>
      <c r="I281" t="b">
        <f t="shared" si="37"/>
        <v>0</v>
      </c>
      <c r="J281" t="b">
        <f t="shared" si="44"/>
        <v>0</v>
      </c>
      <c r="K281" t="b">
        <f t="shared" si="38"/>
        <v>1</v>
      </c>
      <c r="L281" t="b">
        <f t="shared" si="39"/>
        <v>0</v>
      </c>
      <c r="M281" t="b">
        <f t="shared" si="40"/>
        <v>0</v>
      </c>
      <c r="N281" t="b">
        <f t="shared" si="41"/>
        <v>0</v>
      </c>
      <c r="O281" t="b">
        <f t="shared" si="42"/>
        <v>0</v>
      </c>
    </row>
    <row r="282" spans="1:15" x14ac:dyDescent="0.35">
      <c r="A282" t="str">
        <v>diesel_LTZ_TEP10L</v>
      </c>
      <c r="B282" t="b" cm="1">
        <f t="array" ref="B282">_xlfn.XLOOKUP(A282,CONTROL[VEHIDCODE],PROPERTIES[EXCLUDE])</f>
        <v>0</v>
      </c>
      <c r="C282" t="b">
        <f>_xlfn.XLOOKUP(A282,CONTROL[VEHIDCODE],CONTROL[IS_WAGON_OR_COACH])</f>
        <v>0</v>
      </c>
      <c r="D282">
        <f>FLOOR(_xlfn.XLOOKUP($A282,PROPERTIES[VEHIDCODE],PROPERTIES[INTRODUCTION_YEAR]),20)</f>
        <v>1960</v>
      </c>
      <c r="E282" t="e">
        <f>_xlfn.XLOOKUP($A282,PROPERTIES[VEHIDCODE],#REF!)</f>
        <v>#REF!</v>
      </c>
      <c r="F282" s="25" t="str" cm="1">
        <f t="array" ref="F282">_xlfn.CONCAT(_xlfn.XLOOKUP($A282,PROPERTIES[VEHIDCODE],PROPERTIES[REGION1]),"_",_xlfn.XLOOKUP($A282,PROPERTIES[VEHIDCODE],PROPERTIES[REGION2]),"_",_xlfn.XLOOKUP($A282,PROPERTIES[VEHIDCODE],PROPERTIES[REGION3]&amp;"_"&amp;_xlfn.XLOOKUP($A282,PROPERTIES[VEHIDCODE],PROPERTIES[REGION4])))</f>
        <v>COMECON_NO_REGION_NO_REGION_NO_REGION</v>
      </c>
      <c r="G282" t="b">
        <f t="shared" si="36"/>
        <v>0</v>
      </c>
      <c r="H282" t="b">
        <f t="shared" si="43"/>
        <v>1</v>
      </c>
      <c r="I282" t="b">
        <f t="shared" si="37"/>
        <v>0</v>
      </c>
      <c r="J282" t="b">
        <f t="shared" si="44"/>
        <v>1</v>
      </c>
      <c r="K282" t="b">
        <f t="shared" si="38"/>
        <v>0</v>
      </c>
      <c r="L282" t="b">
        <f t="shared" si="39"/>
        <v>0</v>
      </c>
      <c r="M282" t="b">
        <f t="shared" si="40"/>
        <v>0</v>
      </c>
      <c r="N282" t="b">
        <f t="shared" si="41"/>
        <v>0</v>
      </c>
      <c r="O282" t="b">
        <f t="shared" si="42"/>
        <v>0</v>
      </c>
    </row>
    <row r="283" spans="1:15" x14ac:dyDescent="0.35">
      <c r="A283" t="str">
        <v>diesel_LTZ_2TE10M</v>
      </c>
      <c r="B283" t="b" cm="1">
        <f t="array" ref="B283">_xlfn.XLOOKUP(A283,CONTROL[VEHIDCODE],PROPERTIES[EXCLUDE])</f>
        <v>1</v>
      </c>
      <c r="C283" t="b">
        <f>_xlfn.XLOOKUP(A283,CONTROL[VEHIDCODE],CONTROL[IS_WAGON_OR_COACH])</f>
        <v>0</v>
      </c>
      <c r="D283">
        <f>FLOOR(_xlfn.XLOOKUP($A283,PROPERTIES[VEHIDCODE],PROPERTIES[INTRODUCTION_YEAR]),20)</f>
        <v>1980</v>
      </c>
      <c r="E283" t="e">
        <f>_xlfn.XLOOKUP($A283,PROPERTIES[VEHIDCODE],#REF!)</f>
        <v>#REF!</v>
      </c>
      <c r="F283" s="25" t="str" cm="1">
        <f t="array" ref="F283">_xlfn.CONCAT(_xlfn.XLOOKUP($A283,PROPERTIES[VEHIDCODE],PROPERTIES[REGION1]),"_",_xlfn.XLOOKUP($A283,PROPERTIES[VEHIDCODE],PROPERTIES[REGION2]),"_",_xlfn.XLOOKUP($A283,PROPERTIES[VEHIDCODE],PROPERTIES[REGION3]&amp;"_"&amp;_xlfn.XLOOKUP($A283,PROPERTIES[VEHIDCODE],PROPERTIES[REGION4])))</f>
        <v>POST_SOVIET_BALTIC_NO_REGION_NO_REGION_NO_REGION</v>
      </c>
      <c r="G283" t="b">
        <f t="shared" si="36"/>
        <v>0</v>
      </c>
      <c r="H283" t="b">
        <f t="shared" si="43"/>
        <v>1</v>
      </c>
      <c r="I283" t="b">
        <f t="shared" si="37"/>
        <v>0</v>
      </c>
      <c r="J283" t="b">
        <f t="shared" si="44"/>
        <v>1</v>
      </c>
      <c r="K283" t="b">
        <f t="shared" si="38"/>
        <v>0</v>
      </c>
      <c r="L283" t="b">
        <f t="shared" si="39"/>
        <v>1</v>
      </c>
      <c r="M283" t="b">
        <f t="shared" si="40"/>
        <v>0</v>
      </c>
      <c r="N283" t="b">
        <f t="shared" si="41"/>
        <v>0</v>
      </c>
      <c r="O283" t="b">
        <f t="shared" si="42"/>
        <v>0</v>
      </c>
    </row>
    <row r="284" spans="1:15" x14ac:dyDescent="0.35">
      <c r="A284" t="str">
        <v>diesel_FAUR_LDE1300</v>
      </c>
      <c r="B284" t="b" cm="1">
        <f t="array" ref="B284">_xlfn.XLOOKUP(A284,CONTROL[VEHIDCODE],PROPERTIES[EXCLUDE])</f>
        <v>0</v>
      </c>
      <c r="C284" t="b">
        <f>_xlfn.XLOOKUP(A284,CONTROL[VEHIDCODE],CONTROL[IS_WAGON_OR_COACH])</f>
        <v>0</v>
      </c>
      <c r="D284">
        <f>FLOOR(_xlfn.XLOOKUP($A284,PROPERTIES[VEHIDCODE],PROPERTIES[INTRODUCTION_YEAR]),20)</f>
        <v>1980</v>
      </c>
      <c r="E284" t="e">
        <f>_xlfn.XLOOKUP($A284,PROPERTIES[VEHIDCODE],#REF!)</f>
        <v>#REF!</v>
      </c>
      <c r="F284" s="25" t="str" cm="1">
        <f t="array" ref="F284">_xlfn.CONCAT(_xlfn.XLOOKUP($A284,PROPERTIES[VEHIDCODE],PROPERTIES[REGION1]),"_",_xlfn.XLOOKUP($A284,PROPERTIES[VEHIDCODE],PROPERTIES[REGION2]),"_",_xlfn.XLOOKUP($A284,PROPERTIES[VEHIDCODE],PROPERTIES[REGION3]&amp;"_"&amp;_xlfn.XLOOKUP($A284,PROPERTIES[VEHIDCODE],PROPERTIES[REGION4])))</f>
        <v>EASTERN_EUROPE_NO_REGION_NO_REGION_NO_REGION</v>
      </c>
      <c r="G284" t="b">
        <f t="shared" si="36"/>
        <v>0</v>
      </c>
      <c r="H284" t="b">
        <f t="shared" si="43"/>
        <v>0</v>
      </c>
      <c r="I284" t="b">
        <f t="shared" si="37"/>
        <v>0</v>
      </c>
      <c r="J284" t="b">
        <f t="shared" si="44"/>
        <v>1</v>
      </c>
      <c r="K284" t="b">
        <f t="shared" si="38"/>
        <v>0</v>
      </c>
      <c r="L284" t="b">
        <f t="shared" si="39"/>
        <v>0</v>
      </c>
      <c r="M284" t="b">
        <f t="shared" si="40"/>
        <v>0</v>
      </c>
      <c r="N284" t="b">
        <f t="shared" si="41"/>
        <v>0</v>
      </c>
      <c r="O284" t="b">
        <f t="shared" si="42"/>
        <v>0</v>
      </c>
    </row>
    <row r="285" spans="1:15" x14ac:dyDescent="0.35">
      <c r="A285" t="str">
        <v>diesel_LTZ_2TE126</v>
      </c>
      <c r="B285" t="b" cm="1">
        <f t="array" ref="B285">_xlfn.XLOOKUP(A285,CONTROL[VEHIDCODE],PROPERTIES[EXCLUDE])</f>
        <v>1</v>
      </c>
      <c r="C285" t="b">
        <f>_xlfn.XLOOKUP(A285,CONTROL[VEHIDCODE],CONTROL[IS_WAGON_OR_COACH])</f>
        <v>0</v>
      </c>
      <c r="D285">
        <f>FLOOR(_xlfn.XLOOKUP($A285,PROPERTIES[VEHIDCODE],PROPERTIES[INTRODUCTION_YEAR]),20)</f>
        <v>1980</v>
      </c>
      <c r="E285" t="e">
        <f>_xlfn.XLOOKUP($A285,PROPERTIES[VEHIDCODE],#REF!)</f>
        <v>#REF!</v>
      </c>
      <c r="F285" s="25" t="str" cm="1">
        <f t="array" ref="F285">_xlfn.CONCAT(_xlfn.XLOOKUP($A285,PROPERTIES[VEHIDCODE],PROPERTIES[REGION1]),"_",_xlfn.XLOOKUP($A285,PROPERTIES[VEHIDCODE],PROPERTIES[REGION2]),"_",_xlfn.XLOOKUP($A285,PROPERTIES[VEHIDCODE],PROPERTIES[REGION3]&amp;"_"&amp;_xlfn.XLOOKUP($A285,PROPERTIES[VEHIDCODE],PROPERTIES[REGION4])))</f>
        <v>COMECON_NO_REGION_NO_REGION_NO_REGION</v>
      </c>
      <c r="G285" t="b">
        <f t="shared" si="36"/>
        <v>0</v>
      </c>
      <c r="H285" t="b">
        <f t="shared" si="43"/>
        <v>1</v>
      </c>
      <c r="I285" t="b">
        <f t="shared" si="37"/>
        <v>0</v>
      </c>
      <c r="J285" t="b">
        <f t="shared" si="44"/>
        <v>1</v>
      </c>
      <c r="K285" t="b">
        <f t="shared" si="38"/>
        <v>0</v>
      </c>
      <c r="L285" t="b">
        <f t="shared" si="39"/>
        <v>0</v>
      </c>
      <c r="M285" t="b">
        <f t="shared" si="40"/>
        <v>0</v>
      </c>
      <c r="N285" t="b">
        <f t="shared" si="41"/>
        <v>0</v>
      </c>
      <c r="O285" t="b">
        <f t="shared" si="42"/>
        <v>0</v>
      </c>
    </row>
    <row r="286" spans="1:15" x14ac:dyDescent="0.35">
      <c r="A286" t="str">
        <v>diesel_LTZ_2TE10Ut</v>
      </c>
      <c r="B286" t="b" cm="1">
        <f t="array" ref="B286">_xlfn.XLOOKUP(A286,CONTROL[VEHIDCODE],PROPERTIES[EXCLUDE])</f>
        <v>1</v>
      </c>
      <c r="C286" t="b">
        <f>_xlfn.XLOOKUP(A286,CONTROL[VEHIDCODE],CONTROL[IS_WAGON_OR_COACH])</f>
        <v>0</v>
      </c>
      <c r="D286">
        <f>FLOOR(_xlfn.XLOOKUP($A286,PROPERTIES[VEHIDCODE],PROPERTIES[INTRODUCTION_YEAR]),20)</f>
        <v>1980</v>
      </c>
      <c r="E286" t="e">
        <f>_xlfn.XLOOKUP($A286,PROPERTIES[VEHIDCODE],#REF!)</f>
        <v>#REF!</v>
      </c>
      <c r="F286" s="25" t="str" cm="1">
        <f t="array" ref="F286">_xlfn.CONCAT(_xlfn.XLOOKUP($A286,PROPERTIES[VEHIDCODE],PROPERTIES[REGION1]),"_",_xlfn.XLOOKUP($A286,PROPERTIES[VEHIDCODE],PROPERTIES[REGION2]),"_",_xlfn.XLOOKUP($A286,PROPERTIES[VEHIDCODE],PROPERTIES[REGION3]&amp;"_"&amp;_xlfn.XLOOKUP($A286,PROPERTIES[VEHIDCODE],PROPERTIES[REGION4])))</f>
        <v>COMECON_NO_REGION_NO_REGION_NO_REGION</v>
      </c>
      <c r="G286" t="b">
        <f t="shared" si="36"/>
        <v>0</v>
      </c>
      <c r="H286" t="b">
        <f t="shared" si="43"/>
        <v>1</v>
      </c>
      <c r="I286" t="b">
        <f t="shared" si="37"/>
        <v>0</v>
      </c>
      <c r="J286" t="b">
        <f t="shared" si="44"/>
        <v>1</v>
      </c>
      <c r="K286" t="b">
        <f t="shared" si="38"/>
        <v>0</v>
      </c>
      <c r="L286" t="b">
        <f t="shared" si="39"/>
        <v>0</v>
      </c>
      <c r="M286" t="b">
        <f t="shared" si="40"/>
        <v>0</v>
      </c>
      <c r="N286" t="b">
        <f t="shared" si="41"/>
        <v>0</v>
      </c>
      <c r="O286" t="b">
        <f t="shared" si="42"/>
        <v>0</v>
      </c>
    </row>
    <row r="287" spans="1:15" x14ac:dyDescent="0.35">
      <c r="A287" t="str">
        <v>diesel_CMKS_709_0_4_0DE</v>
      </c>
      <c r="B287" t="b" cm="1">
        <f t="array" ref="B287">_xlfn.XLOOKUP(A287,CONTROL[VEHIDCODE],PROPERTIES[EXCLUDE])</f>
        <v>0</v>
      </c>
      <c r="C287" t="b">
        <f>_xlfn.XLOOKUP(A287,CONTROL[VEHIDCODE],CONTROL[IS_WAGON_OR_COACH])</f>
        <v>0</v>
      </c>
      <c r="D287">
        <f>FLOOR(_xlfn.XLOOKUP($A287,PROPERTIES[VEHIDCODE],PROPERTIES[INTRODUCTION_YEAR]),20)</f>
        <v>1980</v>
      </c>
      <c r="E287" t="e">
        <f>_xlfn.XLOOKUP($A287,PROPERTIES[VEHIDCODE],#REF!)</f>
        <v>#REF!</v>
      </c>
      <c r="F287" s="25" t="str" cm="1">
        <f t="array" ref="F287">_xlfn.CONCAT(_xlfn.XLOOKUP($A287,PROPERTIES[VEHIDCODE],PROPERTIES[REGION1]),"_",_xlfn.XLOOKUP($A287,PROPERTIES[VEHIDCODE],PROPERTIES[REGION2]),"_",_xlfn.XLOOKUP($A287,PROPERTIES[VEHIDCODE],PROPERTIES[REGION3]&amp;"_"&amp;_xlfn.XLOOKUP($A287,PROPERTIES[VEHIDCODE],PROPERTIES[REGION4])))</f>
        <v>EASTERN_EUROPE_NO_REGION_NO_REGION_NO_REGION</v>
      </c>
      <c r="G287" t="b">
        <f t="shared" si="36"/>
        <v>0</v>
      </c>
      <c r="H287" t="b">
        <f t="shared" si="43"/>
        <v>0</v>
      </c>
      <c r="I287" t="b">
        <f t="shared" si="37"/>
        <v>0</v>
      </c>
      <c r="J287" t="b">
        <f t="shared" si="44"/>
        <v>1</v>
      </c>
      <c r="K287" t="b">
        <f t="shared" si="38"/>
        <v>0</v>
      </c>
      <c r="L287" t="b">
        <f t="shared" si="39"/>
        <v>0</v>
      </c>
      <c r="M287" t="b">
        <f t="shared" si="40"/>
        <v>0</v>
      </c>
      <c r="N287" t="b">
        <f t="shared" si="41"/>
        <v>0</v>
      </c>
      <c r="O287" t="b">
        <f t="shared" si="42"/>
        <v>0</v>
      </c>
    </row>
    <row r="288" spans="1:15" x14ac:dyDescent="0.35">
      <c r="A288" t="str">
        <v>diesel_Antonio_Badoni_Lecco_Sogliole_207</v>
      </c>
      <c r="B288" t="b" cm="1">
        <f t="array" ref="B288">_xlfn.XLOOKUP(A288,CONTROL[VEHIDCODE],PROPERTIES[EXCLUDE])</f>
        <v>0</v>
      </c>
      <c r="C288" t="b">
        <f>_xlfn.XLOOKUP(A288,CONTROL[VEHIDCODE],CONTROL[IS_WAGON_OR_COACH])</f>
        <v>0</v>
      </c>
      <c r="D288">
        <f>FLOOR(_xlfn.XLOOKUP($A288,PROPERTIES[VEHIDCODE],PROPERTIES[INTRODUCTION_YEAR]),20)</f>
        <v>1920</v>
      </c>
      <c r="E288" t="e">
        <f>_xlfn.XLOOKUP($A288,PROPERTIES[VEHIDCODE],#REF!)</f>
        <v>#REF!</v>
      </c>
      <c r="F288" s="25" t="str" cm="1">
        <f t="array" ref="F288">_xlfn.CONCAT(_xlfn.XLOOKUP($A288,PROPERTIES[VEHIDCODE],PROPERTIES[REGION1]),"_",_xlfn.XLOOKUP($A288,PROPERTIES[VEHIDCODE],PROPERTIES[REGION2]),"_",_xlfn.XLOOKUP($A288,PROPERTIES[VEHIDCODE],PROPERTIES[REGION3]&amp;"_"&amp;_xlfn.XLOOKUP($A288,PROPERTIES[VEHIDCODE],PROPERTIES[REGION4])))</f>
        <v>SOUTHERN_EUROPE_AFRICA_NO_REGION_NO_REGION</v>
      </c>
      <c r="G288" t="b">
        <f t="shared" si="36"/>
        <v>1</v>
      </c>
      <c r="H288" t="b">
        <f t="shared" si="43"/>
        <v>0</v>
      </c>
      <c r="I288" t="b">
        <f t="shared" si="37"/>
        <v>1</v>
      </c>
      <c r="J288" t="b">
        <f t="shared" si="44"/>
        <v>0</v>
      </c>
      <c r="K288" t="b">
        <f t="shared" si="38"/>
        <v>0</v>
      </c>
      <c r="L288" t="b">
        <f t="shared" si="39"/>
        <v>0</v>
      </c>
      <c r="M288" t="b">
        <f t="shared" si="40"/>
        <v>0</v>
      </c>
      <c r="N288" t="b">
        <f t="shared" si="41"/>
        <v>0</v>
      </c>
      <c r="O288" t="b">
        <f t="shared" si="42"/>
        <v>0</v>
      </c>
    </row>
    <row r="289" spans="1:15" x14ac:dyDescent="0.35">
      <c r="A289" t="str">
        <v>diesel_Baldwin_0_6_6_0_1000</v>
      </c>
      <c r="B289" t="b" cm="1">
        <f t="array" ref="B289">_xlfn.XLOOKUP(A289,CONTROL[VEHIDCODE],PROPERTIES[EXCLUDE])</f>
        <v>0</v>
      </c>
      <c r="C289" t="b">
        <f>_xlfn.XLOOKUP(A289,CONTROL[VEHIDCODE],CONTROL[IS_WAGON_OR_COACH])</f>
        <v>0</v>
      </c>
      <c r="D289">
        <f>FLOOR(_xlfn.XLOOKUP($A289,PROPERTIES[VEHIDCODE],PROPERTIES[INTRODUCTION_YEAR]),20)</f>
        <v>1940</v>
      </c>
      <c r="E289" t="e">
        <f>_xlfn.XLOOKUP($A289,PROPERTIES[VEHIDCODE],#REF!)</f>
        <v>#REF!</v>
      </c>
      <c r="F289" s="25" t="str" cm="1">
        <f t="array" ref="F289">_xlfn.CONCAT(_xlfn.XLOOKUP($A289,PROPERTIES[VEHIDCODE],PROPERTIES[REGION1]),"_",_xlfn.XLOOKUP($A289,PROPERTIES[VEHIDCODE],PROPERTIES[REGION2]),"_",_xlfn.XLOOKUP($A289,PROPERTIES[VEHIDCODE],PROPERTIES[REGION3]&amp;"_"&amp;_xlfn.XLOOKUP($A289,PROPERTIES[VEHIDCODE],PROPERTIES[REGION4])))</f>
        <v>COMECON_NO_REGION_NO_REGION_NO_REGION</v>
      </c>
      <c r="G289" t="b">
        <f t="shared" si="36"/>
        <v>0</v>
      </c>
      <c r="H289" t="b">
        <f t="shared" si="43"/>
        <v>1</v>
      </c>
      <c r="I289" t="b">
        <f t="shared" si="37"/>
        <v>0</v>
      </c>
      <c r="J289" t="b">
        <f t="shared" si="44"/>
        <v>1</v>
      </c>
      <c r="K289" t="b">
        <f t="shared" si="38"/>
        <v>0</v>
      </c>
      <c r="L289" t="b">
        <f t="shared" si="39"/>
        <v>0</v>
      </c>
      <c r="M289" t="b">
        <f t="shared" si="40"/>
        <v>0</v>
      </c>
      <c r="N289" t="b">
        <f t="shared" si="41"/>
        <v>0</v>
      </c>
      <c r="O289" t="b">
        <f t="shared" si="42"/>
        <v>0</v>
      </c>
    </row>
    <row r="290" spans="1:15" x14ac:dyDescent="0.35">
      <c r="A290" t="str">
        <v>diesel_ALCO_RSC_2</v>
      </c>
      <c r="B290" t="b" cm="1">
        <f t="array" ref="B290">_xlfn.XLOOKUP(A290,CONTROL[VEHIDCODE],PROPERTIES[EXCLUDE])</f>
        <v>0</v>
      </c>
      <c r="C290" t="b">
        <f>_xlfn.XLOOKUP(A290,CONTROL[VEHIDCODE],CONTROL[IS_WAGON_OR_COACH])</f>
        <v>0</v>
      </c>
      <c r="D290">
        <f>FLOOR(_xlfn.XLOOKUP($A290,PROPERTIES[VEHIDCODE],PROPERTIES[INTRODUCTION_YEAR]),20)</f>
        <v>1940</v>
      </c>
      <c r="E290" t="e">
        <f>_xlfn.XLOOKUP($A290,PROPERTIES[VEHIDCODE],#REF!)</f>
        <v>#REF!</v>
      </c>
      <c r="F290" s="25" t="str" cm="1">
        <f t="array" ref="F290">_xlfn.CONCAT(_xlfn.XLOOKUP($A290,PROPERTIES[VEHIDCODE],PROPERTIES[REGION1]),"_",_xlfn.XLOOKUP($A290,PROPERTIES[VEHIDCODE],PROPERTIES[REGION2]),"_",_xlfn.XLOOKUP($A290,PROPERTIES[VEHIDCODE],PROPERTIES[REGION3]&amp;"_"&amp;_xlfn.XLOOKUP($A290,PROPERTIES[VEHIDCODE],PROPERTIES[REGION4])))</f>
        <v>SOUTHERN_EUROPE_NORTH_AMERICA_AFRICA_AFRICA</v>
      </c>
      <c r="G290" t="b">
        <f t="shared" si="36"/>
        <v>1</v>
      </c>
      <c r="H290" t="b">
        <f t="shared" si="43"/>
        <v>0</v>
      </c>
      <c r="I290" t="b">
        <f t="shared" si="37"/>
        <v>1</v>
      </c>
      <c r="J290" t="b">
        <f t="shared" si="44"/>
        <v>0</v>
      </c>
      <c r="K290" t="b">
        <f t="shared" si="38"/>
        <v>0</v>
      </c>
      <c r="L290" t="b">
        <f t="shared" si="39"/>
        <v>0</v>
      </c>
      <c r="M290" t="b">
        <f t="shared" si="40"/>
        <v>1</v>
      </c>
      <c r="N290" t="b">
        <f t="shared" si="41"/>
        <v>0</v>
      </c>
      <c r="O290" t="b">
        <f t="shared" si="42"/>
        <v>0</v>
      </c>
    </row>
    <row r="291" spans="1:15" x14ac:dyDescent="0.35">
      <c r="A291" t="str">
        <v>diesel_Brissonneau_and_Lotz_BB_67400</v>
      </c>
      <c r="B291" t="b" cm="1">
        <f t="array" ref="B291">_xlfn.XLOOKUP(A291,CONTROL[VEHIDCODE],PROPERTIES[EXCLUDE])</f>
        <v>0</v>
      </c>
      <c r="C291" t="b">
        <f>_xlfn.XLOOKUP(A291,CONTROL[VEHIDCODE],CONTROL[IS_WAGON_OR_COACH])</f>
        <v>0</v>
      </c>
      <c r="D291">
        <f>FLOOR(_xlfn.XLOOKUP($A291,PROPERTIES[VEHIDCODE],PROPERTIES[INTRODUCTION_YEAR]),20)</f>
        <v>1960</v>
      </c>
      <c r="E291" t="e">
        <f>_xlfn.XLOOKUP($A291,PROPERTIES[VEHIDCODE],#REF!)</f>
        <v>#REF!</v>
      </c>
      <c r="F291" s="25" t="str" cm="1">
        <f t="array" ref="F291">_xlfn.CONCAT(_xlfn.XLOOKUP($A291,PROPERTIES[VEHIDCODE],PROPERTIES[REGION1]),"_",_xlfn.XLOOKUP($A291,PROPERTIES[VEHIDCODE],PROPERTIES[REGION2]),"_",_xlfn.XLOOKUP($A291,PROPERTIES[VEHIDCODE],PROPERTIES[REGION3]&amp;"_"&amp;_xlfn.XLOOKUP($A291,PROPERTIES[VEHIDCODE],PROPERTIES[REGION4])))</f>
        <v>WESTERN_EUROPE_NO_REGION_NO_REGION_NO_REGION</v>
      </c>
      <c r="G291" t="b">
        <f t="shared" si="36"/>
        <v>0</v>
      </c>
      <c r="H291" t="b">
        <f t="shared" si="43"/>
        <v>0</v>
      </c>
      <c r="I291" t="b">
        <f t="shared" si="37"/>
        <v>0</v>
      </c>
      <c r="J291" t="b">
        <f t="shared" si="44"/>
        <v>0</v>
      </c>
      <c r="K291" t="b">
        <f t="shared" si="38"/>
        <v>1</v>
      </c>
      <c r="L291" t="b">
        <f t="shared" si="39"/>
        <v>0</v>
      </c>
      <c r="M291" t="b">
        <f t="shared" si="40"/>
        <v>0</v>
      </c>
      <c r="N291" t="b">
        <f t="shared" si="41"/>
        <v>0</v>
      </c>
      <c r="O291" t="b">
        <f t="shared" si="42"/>
        <v>0</v>
      </c>
    </row>
    <row r="292" spans="1:15" x14ac:dyDescent="0.35">
      <c r="A292" t="str">
        <v>diesel_MaK_DE_6400</v>
      </c>
      <c r="B292" t="b" cm="1">
        <f t="array" ref="B292">_xlfn.XLOOKUP(A292,CONTROL[VEHIDCODE],PROPERTIES[EXCLUDE])</f>
        <v>0</v>
      </c>
      <c r="C292" t="b">
        <f>_xlfn.XLOOKUP(A292,CONTROL[VEHIDCODE],CONTROL[IS_WAGON_OR_COACH])</f>
        <v>0</v>
      </c>
      <c r="D292">
        <f>FLOOR(_xlfn.XLOOKUP($A292,PROPERTIES[VEHIDCODE],PROPERTIES[INTRODUCTION_YEAR]),20)</f>
        <v>1980</v>
      </c>
      <c r="E292" t="e">
        <f>_xlfn.XLOOKUP($A292,PROPERTIES[VEHIDCODE],#REF!)</f>
        <v>#REF!</v>
      </c>
      <c r="F292" s="25" t="str" cm="1">
        <f t="array" ref="F292">_xlfn.CONCAT(_xlfn.XLOOKUP($A292,PROPERTIES[VEHIDCODE],PROPERTIES[REGION1]),"_",_xlfn.XLOOKUP($A292,PROPERTIES[VEHIDCODE],PROPERTIES[REGION2]),"_",_xlfn.XLOOKUP($A292,PROPERTIES[VEHIDCODE],PROPERTIES[REGION3]&amp;"_"&amp;_xlfn.XLOOKUP($A292,PROPERTIES[VEHIDCODE],PROPERTIES[REGION4])))</f>
        <v>WESTERN_EUROPE_EASTERN_EUROPE_NO_REGION_NO_REGION</v>
      </c>
      <c r="G292" t="b">
        <f t="shared" si="36"/>
        <v>0</v>
      </c>
      <c r="H292" t="b">
        <f t="shared" si="43"/>
        <v>0</v>
      </c>
      <c r="I292" t="b">
        <f t="shared" si="37"/>
        <v>0</v>
      </c>
      <c r="J292" t="b">
        <f t="shared" si="44"/>
        <v>1</v>
      </c>
      <c r="K292" t="b">
        <f t="shared" si="38"/>
        <v>1</v>
      </c>
      <c r="L292" t="b">
        <f t="shared" si="39"/>
        <v>0</v>
      </c>
      <c r="M292" t="b">
        <f t="shared" si="40"/>
        <v>0</v>
      </c>
      <c r="N292" t="b">
        <f t="shared" si="41"/>
        <v>0</v>
      </c>
      <c r="O292" t="b">
        <f t="shared" si="42"/>
        <v>0</v>
      </c>
    </row>
    <row r="293" spans="1:15" x14ac:dyDescent="0.35">
      <c r="A293" t="str">
        <v>diesel_GE_ES40ACi</v>
      </c>
      <c r="B293" t="b" cm="1">
        <f t="array" ref="B293">_xlfn.XLOOKUP(A293,CONTROL[VEHIDCODE],PROPERTIES[EXCLUDE])</f>
        <v>0</v>
      </c>
      <c r="C293" t="b">
        <f>_xlfn.XLOOKUP(A293,CONTROL[VEHIDCODE],CONTROL[IS_WAGON_OR_COACH])</f>
        <v>0</v>
      </c>
      <c r="D293">
        <f>FLOOR(_xlfn.XLOOKUP($A293,PROPERTIES[VEHIDCODE],PROPERTIES[INTRODUCTION_YEAR]),20)</f>
        <v>2000</v>
      </c>
      <c r="E293" t="e">
        <f>_xlfn.XLOOKUP($A293,PROPERTIES[VEHIDCODE],#REF!)</f>
        <v>#REF!</v>
      </c>
      <c r="F293" s="25" t="str" cm="1">
        <f t="array" ref="F293">_xlfn.CONCAT(_xlfn.XLOOKUP($A293,PROPERTIES[VEHIDCODE],PROPERTIES[REGION1]),"_",_xlfn.XLOOKUP($A293,PROPERTIES[VEHIDCODE],PROPERTIES[REGION2]),"_",_xlfn.XLOOKUP($A293,PROPERTIES[VEHIDCODE],PROPERTIES[REGION3]&amp;"_"&amp;_xlfn.XLOOKUP($A293,PROPERTIES[VEHIDCODE],PROPERTIES[REGION4])))</f>
        <v>AFRICA_NO_REGION_NO_REGION_NO_REGION</v>
      </c>
      <c r="G293" t="b">
        <f t="shared" si="36"/>
        <v>1</v>
      </c>
      <c r="H293" t="b">
        <f t="shared" si="43"/>
        <v>0</v>
      </c>
      <c r="I293" t="b">
        <f t="shared" si="37"/>
        <v>0</v>
      </c>
      <c r="J293" t="b">
        <f t="shared" si="44"/>
        <v>0</v>
      </c>
      <c r="K293" t="b">
        <f t="shared" si="38"/>
        <v>0</v>
      </c>
      <c r="L293" t="b">
        <f t="shared" si="39"/>
        <v>0</v>
      </c>
      <c r="M293" t="b">
        <f t="shared" si="40"/>
        <v>0</v>
      </c>
      <c r="N293" t="b">
        <f t="shared" si="41"/>
        <v>0</v>
      </c>
      <c r="O293" t="b">
        <f t="shared" si="42"/>
        <v>0</v>
      </c>
    </row>
    <row r="294" spans="1:15" x14ac:dyDescent="0.35">
      <c r="A294" t="str">
        <v>diesel_Vossloh_Afro_4000</v>
      </c>
      <c r="B294" t="b" cm="1">
        <f t="array" ref="B294">_xlfn.XLOOKUP(A294,CONTROL[VEHIDCODE],PROPERTIES[EXCLUDE])</f>
        <v>0</v>
      </c>
      <c r="C294" t="b">
        <f>_xlfn.XLOOKUP(A294,CONTROL[VEHIDCODE],CONTROL[IS_WAGON_OR_COACH])</f>
        <v>0</v>
      </c>
      <c r="D294">
        <f>FLOOR(_xlfn.XLOOKUP($A294,PROPERTIES[VEHIDCODE],PROPERTIES[INTRODUCTION_YEAR]),20)</f>
        <v>2000</v>
      </c>
      <c r="E294" t="e">
        <f>_xlfn.XLOOKUP($A294,PROPERTIES[VEHIDCODE],#REF!)</f>
        <v>#REF!</v>
      </c>
      <c r="F294" s="25" t="str" cm="1">
        <f t="array" ref="F294">_xlfn.CONCAT(_xlfn.XLOOKUP($A294,PROPERTIES[VEHIDCODE],PROPERTIES[REGION1]),"_",_xlfn.XLOOKUP($A294,PROPERTIES[VEHIDCODE],PROPERTIES[REGION2]),"_",_xlfn.XLOOKUP($A294,PROPERTIES[VEHIDCODE],PROPERTIES[REGION3]&amp;"_"&amp;_xlfn.XLOOKUP($A294,PROPERTIES[VEHIDCODE],PROPERTIES[REGION4])))</f>
        <v>AFRICA_NO_REGION_NO_REGION_NO_REGION</v>
      </c>
      <c r="G294" t="b">
        <f t="shared" si="36"/>
        <v>1</v>
      </c>
      <c r="H294" t="b">
        <f t="shared" si="43"/>
        <v>0</v>
      </c>
      <c r="I294" t="b">
        <f t="shared" si="37"/>
        <v>0</v>
      </c>
      <c r="J294" t="b">
        <f t="shared" si="44"/>
        <v>0</v>
      </c>
      <c r="K294" t="b">
        <f t="shared" si="38"/>
        <v>0</v>
      </c>
      <c r="L294" t="b">
        <f t="shared" si="39"/>
        <v>0</v>
      </c>
      <c r="M294" t="b">
        <f t="shared" si="40"/>
        <v>0</v>
      </c>
      <c r="N294" t="b">
        <f t="shared" si="41"/>
        <v>0</v>
      </c>
      <c r="O294" t="b">
        <f t="shared" si="42"/>
        <v>0</v>
      </c>
    </row>
    <row r="295" spans="1:15" x14ac:dyDescent="0.35">
      <c r="A295" t="str">
        <v>diesel_GE_U10B</v>
      </c>
      <c r="B295" t="b" cm="1">
        <f t="array" ref="B295">_xlfn.XLOOKUP(A295,CONTROL[VEHIDCODE],PROPERTIES[EXCLUDE])</f>
        <v>0</v>
      </c>
      <c r="C295" t="b">
        <f>_xlfn.XLOOKUP(A295,CONTROL[VEHIDCODE],CONTROL[IS_WAGON_OR_COACH])</f>
        <v>0</v>
      </c>
      <c r="D295">
        <f>FLOOR(_xlfn.XLOOKUP($A295,PROPERTIES[VEHIDCODE],PROPERTIES[INTRODUCTION_YEAR]),20)</f>
        <v>1960</v>
      </c>
      <c r="E295" t="e">
        <f>_xlfn.XLOOKUP($A295,PROPERTIES[VEHIDCODE],#REF!)</f>
        <v>#REF!</v>
      </c>
      <c r="F295" s="25" t="str" cm="1">
        <f t="array" ref="F295">_xlfn.CONCAT(_xlfn.XLOOKUP($A295,PROPERTIES[VEHIDCODE],PROPERTIES[REGION1]),"_",_xlfn.XLOOKUP($A295,PROPERTIES[VEHIDCODE],PROPERTIES[REGION2]),"_",_xlfn.XLOOKUP($A295,PROPERTIES[VEHIDCODE],PROPERTIES[REGION3]&amp;"_"&amp;_xlfn.XLOOKUP($A295,PROPERTIES[VEHIDCODE],PROPERTIES[REGION4])))</f>
        <v>SOUTHERN_EUROPE_SOUTH_AMERICA_APAC_AFRICA</v>
      </c>
      <c r="G295" t="b">
        <f t="shared" si="36"/>
        <v>1</v>
      </c>
      <c r="H295" t="b">
        <f t="shared" si="43"/>
        <v>1</v>
      </c>
      <c r="I295" t="b">
        <f t="shared" si="37"/>
        <v>1</v>
      </c>
      <c r="J295" t="b">
        <f t="shared" si="44"/>
        <v>0</v>
      </c>
      <c r="K295" t="b">
        <f t="shared" si="38"/>
        <v>0</v>
      </c>
      <c r="L295" t="b">
        <f t="shared" si="39"/>
        <v>0</v>
      </c>
      <c r="M295" t="b">
        <f t="shared" si="40"/>
        <v>0</v>
      </c>
      <c r="N295" t="b">
        <f t="shared" si="41"/>
        <v>1</v>
      </c>
      <c r="O295" t="b">
        <f t="shared" si="42"/>
        <v>1</v>
      </c>
    </row>
    <row r="296" spans="1:15" x14ac:dyDescent="0.35">
      <c r="A296" t="str">
        <v>diesel_EMD_Pacific_GT26C_3</v>
      </c>
      <c r="B296" t="b" cm="1">
        <f t="array" ref="B296">_xlfn.XLOOKUP(A296,CONTROL[VEHIDCODE],PROPERTIES[EXCLUDE])</f>
        <v>0</v>
      </c>
      <c r="C296" t="b">
        <f>_xlfn.XLOOKUP(A296,CONTROL[VEHIDCODE],CONTROL[IS_WAGON_OR_COACH])</f>
        <v>0</v>
      </c>
      <c r="D296">
        <f>FLOOR(_xlfn.XLOOKUP($A296,PROPERTIES[VEHIDCODE],PROPERTIES[INTRODUCTION_YEAR]),20)</f>
        <v>2000</v>
      </c>
      <c r="E296" t="e">
        <f>_xlfn.XLOOKUP($A296,PROPERTIES[VEHIDCODE],#REF!)</f>
        <v>#REF!</v>
      </c>
      <c r="F296" s="25" t="str" cm="1">
        <f t="array" ref="F296">_xlfn.CONCAT(_xlfn.XLOOKUP($A296,PROPERTIES[VEHIDCODE],PROPERTIES[REGION1]),"_",_xlfn.XLOOKUP($A296,PROPERTIES[VEHIDCODE],PROPERTIES[REGION2]),"_",_xlfn.XLOOKUP($A296,PROPERTIES[VEHIDCODE],PROPERTIES[REGION3]&amp;"_"&amp;_xlfn.XLOOKUP($A296,PROPERTIES[VEHIDCODE],PROPERTIES[REGION4])))</f>
        <v>OCEANIA_NO_REGION_NO_REGION_NO_REGION</v>
      </c>
      <c r="G296" t="b">
        <f t="shared" si="36"/>
        <v>0</v>
      </c>
      <c r="H296" t="b">
        <f t="shared" si="43"/>
        <v>0</v>
      </c>
      <c r="I296" t="b">
        <f t="shared" si="37"/>
        <v>0</v>
      </c>
      <c r="J296" t="b">
        <f t="shared" si="44"/>
        <v>0</v>
      </c>
      <c r="K296" t="b">
        <f t="shared" si="38"/>
        <v>0</v>
      </c>
      <c r="L296" t="b">
        <f t="shared" si="39"/>
        <v>0</v>
      </c>
      <c r="M296" t="b">
        <f t="shared" si="40"/>
        <v>0</v>
      </c>
      <c r="N296" t="b">
        <f t="shared" si="41"/>
        <v>0</v>
      </c>
      <c r="O296" t="b">
        <f t="shared" si="42"/>
        <v>1</v>
      </c>
    </row>
    <row r="297" spans="1:15" x14ac:dyDescent="0.35">
      <c r="A297" t="str">
        <v>diesel_CargoNet_312</v>
      </c>
      <c r="B297" t="b" cm="1">
        <f t="array" ref="B297">_xlfn.XLOOKUP(A297,CONTROL[VEHIDCODE],PROPERTIES[EXCLUDE])</f>
        <v>0</v>
      </c>
      <c r="C297" t="b">
        <f>_xlfn.XLOOKUP(A297,CONTROL[VEHIDCODE],CONTROL[IS_WAGON_OR_COACH])</f>
        <v>0</v>
      </c>
      <c r="D297">
        <f>FLOOR(_xlfn.XLOOKUP($A297,PROPERTIES[VEHIDCODE],PROPERTIES[INTRODUCTION_YEAR]),20)</f>
        <v>2000</v>
      </c>
      <c r="E297" t="e">
        <f>_xlfn.XLOOKUP($A297,PROPERTIES[VEHIDCODE],#REF!)</f>
        <v>#REF!</v>
      </c>
      <c r="F297" s="25" t="str" cm="1">
        <f t="array" ref="F297">_xlfn.CONCAT(_xlfn.XLOOKUP($A297,PROPERTIES[VEHIDCODE],PROPERTIES[REGION1]),"_",_xlfn.XLOOKUP($A297,PROPERTIES[VEHIDCODE],PROPERTIES[REGION2]),"_",_xlfn.XLOOKUP($A297,PROPERTIES[VEHIDCODE],PROPERTIES[REGION3]&amp;"_"&amp;_xlfn.XLOOKUP($A297,PROPERTIES[VEHIDCODE],PROPERTIES[REGION4])))</f>
        <v>NORTHERN_EUROPE_NO_REGION_NO_REGION_NO_REGION</v>
      </c>
      <c r="G297" t="b">
        <f t="shared" si="36"/>
        <v>0</v>
      </c>
      <c r="H297" t="b">
        <f t="shared" si="43"/>
        <v>0</v>
      </c>
      <c r="I297" t="b">
        <f t="shared" si="37"/>
        <v>0</v>
      </c>
      <c r="J297" t="b">
        <f t="shared" si="44"/>
        <v>0</v>
      </c>
      <c r="K297" t="b">
        <f t="shared" si="38"/>
        <v>0</v>
      </c>
      <c r="L297" t="b">
        <f t="shared" si="39"/>
        <v>1</v>
      </c>
      <c r="M297" t="b">
        <f t="shared" si="40"/>
        <v>0</v>
      </c>
      <c r="N297" t="b">
        <f t="shared" si="41"/>
        <v>0</v>
      </c>
      <c r="O297" t="b">
        <f t="shared" si="42"/>
        <v>0</v>
      </c>
    </row>
    <row r="298" spans="1:15" x14ac:dyDescent="0.35">
      <c r="A298" t="str">
        <v>diesel_GE_Pacific_C44ESACi</v>
      </c>
      <c r="B298" t="b" cm="1">
        <f t="array" ref="B298">_xlfn.XLOOKUP(A298,CONTROL[VEHIDCODE],PROPERTIES[EXCLUDE])</f>
        <v>0</v>
      </c>
      <c r="C298" t="b">
        <f>_xlfn.XLOOKUP(A298,CONTROL[VEHIDCODE],CONTROL[IS_WAGON_OR_COACH])</f>
        <v>0</v>
      </c>
      <c r="D298">
        <f>FLOOR(_xlfn.XLOOKUP($A298,PROPERTIES[VEHIDCODE],PROPERTIES[INTRODUCTION_YEAR]),20)</f>
        <v>2000</v>
      </c>
      <c r="E298" t="e">
        <f>_xlfn.XLOOKUP($A298,PROPERTIES[VEHIDCODE],#REF!)</f>
        <v>#REF!</v>
      </c>
      <c r="F298" s="25" t="str" cm="1">
        <f t="array" ref="F298">_xlfn.CONCAT(_xlfn.XLOOKUP($A298,PROPERTIES[VEHIDCODE],PROPERTIES[REGION1]),"_",_xlfn.XLOOKUP($A298,PROPERTIES[VEHIDCODE],PROPERTIES[REGION2]),"_",_xlfn.XLOOKUP($A298,PROPERTIES[VEHIDCODE],PROPERTIES[REGION3]&amp;"_"&amp;_xlfn.XLOOKUP($A298,PROPERTIES[VEHIDCODE],PROPERTIES[REGION4])))</f>
        <v>OCEANIA_NO_REGION_NO_REGION_NO_REGION</v>
      </c>
      <c r="G298" t="b">
        <f t="shared" si="36"/>
        <v>0</v>
      </c>
      <c r="H298" t="b">
        <f t="shared" si="43"/>
        <v>0</v>
      </c>
      <c r="I298" t="b">
        <f t="shared" si="37"/>
        <v>0</v>
      </c>
      <c r="J298" t="b">
        <f t="shared" si="44"/>
        <v>0</v>
      </c>
      <c r="K298" t="b">
        <f t="shared" si="38"/>
        <v>0</v>
      </c>
      <c r="L298" t="b">
        <f t="shared" si="39"/>
        <v>0</v>
      </c>
      <c r="M298" t="b">
        <f t="shared" si="40"/>
        <v>0</v>
      </c>
      <c r="N298" t="b">
        <f t="shared" si="41"/>
        <v>0</v>
      </c>
      <c r="O298" t="b">
        <f t="shared" si="42"/>
        <v>1</v>
      </c>
    </row>
    <row r="299" spans="1:15" x14ac:dyDescent="0.35">
      <c r="A299" t="str">
        <v>diesel_Stadler_UKLight</v>
      </c>
      <c r="B299" t="b" cm="1">
        <f t="array" ref="B299">_xlfn.XLOOKUP(A299,CONTROL[VEHIDCODE],PROPERTIES[EXCLUDE])</f>
        <v>0</v>
      </c>
      <c r="C299" t="b">
        <f>_xlfn.XLOOKUP(A299,CONTROL[VEHIDCODE],CONTROL[IS_WAGON_OR_COACH])</f>
        <v>0</v>
      </c>
      <c r="D299">
        <f>FLOOR(_xlfn.XLOOKUP($A299,PROPERTIES[VEHIDCODE],PROPERTIES[INTRODUCTION_YEAR]),20)</f>
        <v>2000</v>
      </c>
      <c r="E299" t="e">
        <f>_xlfn.XLOOKUP($A299,PROPERTIES[VEHIDCODE],#REF!)</f>
        <v>#REF!</v>
      </c>
      <c r="F299" s="25" t="str" cm="1">
        <f t="array" ref="F299">_xlfn.CONCAT(_xlfn.XLOOKUP($A299,PROPERTIES[VEHIDCODE],PROPERTIES[REGION1]),"_",_xlfn.XLOOKUP($A299,PROPERTIES[VEHIDCODE],PROPERTIES[REGION2]),"_",_xlfn.XLOOKUP($A299,PROPERTIES[VEHIDCODE],PROPERTIES[REGION3]&amp;"_"&amp;_xlfn.XLOOKUP($A299,PROPERTIES[VEHIDCODE],PROPERTIES[REGION4])))</f>
        <v>NORTHERN_EUROPE_NO_REGION_NO_REGION_NO_REGION</v>
      </c>
      <c r="G299" t="b">
        <f t="shared" si="36"/>
        <v>0</v>
      </c>
      <c r="H299" t="b">
        <f t="shared" si="43"/>
        <v>0</v>
      </c>
      <c r="I299" t="b">
        <f t="shared" si="37"/>
        <v>0</v>
      </c>
      <c r="J299" t="b">
        <f t="shared" si="44"/>
        <v>0</v>
      </c>
      <c r="K299" t="b">
        <f t="shared" si="38"/>
        <v>0</v>
      </c>
      <c r="L299" t="b">
        <f t="shared" si="39"/>
        <v>1</v>
      </c>
      <c r="M299" t="b">
        <f t="shared" si="40"/>
        <v>0</v>
      </c>
      <c r="N299" t="b">
        <f t="shared" si="41"/>
        <v>0</v>
      </c>
      <c r="O299" t="b">
        <f t="shared" si="42"/>
        <v>0</v>
      </c>
    </row>
    <row r="300" spans="1:15" x14ac:dyDescent="0.35">
      <c r="A300" t="str">
        <v>diesel_Siemens_Charger_ALC_42</v>
      </c>
      <c r="B300" t="b" cm="1">
        <f t="array" ref="B300">_xlfn.XLOOKUP(A300,CONTROL[VEHIDCODE],PROPERTIES[EXCLUDE])</f>
        <v>0</v>
      </c>
      <c r="C300" t="b">
        <f>_xlfn.XLOOKUP(A300,CONTROL[VEHIDCODE],CONTROL[IS_WAGON_OR_COACH])</f>
        <v>0</v>
      </c>
      <c r="D300">
        <f>FLOOR(_xlfn.XLOOKUP($A300,PROPERTIES[VEHIDCODE],PROPERTIES[INTRODUCTION_YEAR]),20)</f>
        <v>2000</v>
      </c>
      <c r="E300" t="e">
        <f>_xlfn.XLOOKUP($A300,PROPERTIES[VEHIDCODE],#REF!)</f>
        <v>#REF!</v>
      </c>
      <c r="F300" s="25" t="str" cm="1">
        <f t="array" ref="F300">_xlfn.CONCAT(_xlfn.XLOOKUP($A300,PROPERTIES[VEHIDCODE],PROPERTIES[REGION1]),"_",_xlfn.XLOOKUP($A300,PROPERTIES[VEHIDCODE],PROPERTIES[REGION2]),"_",_xlfn.XLOOKUP($A300,PROPERTIES[VEHIDCODE],PROPERTIES[REGION3]&amp;"_"&amp;_xlfn.XLOOKUP($A300,PROPERTIES[VEHIDCODE],PROPERTIES[REGION4])))</f>
        <v>NORTH_AMERICA_NO_REGION_NO_REGION_NO_REGION</v>
      </c>
      <c r="G300" t="b">
        <f t="shared" si="36"/>
        <v>0</v>
      </c>
      <c r="H300" t="b">
        <f t="shared" si="43"/>
        <v>0</v>
      </c>
      <c r="I300" t="b">
        <f t="shared" si="37"/>
        <v>0</v>
      </c>
      <c r="J300" t="b">
        <f t="shared" si="44"/>
        <v>0</v>
      </c>
      <c r="K300" t="b">
        <f t="shared" si="38"/>
        <v>0</v>
      </c>
      <c r="L300" t="b">
        <f t="shared" si="39"/>
        <v>0</v>
      </c>
      <c r="M300" t="b">
        <f t="shared" si="40"/>
        <v>1</v>
      </c>
      <c r="N300" t="b">
        <f t="shared" si="41"/>
        <v>0</v>
      </c>
      <c r="O300" t="b">
        <f t="shared" si="42"/>
        <v>0</v>
      </c>
    </row>
    <row r="301" spans="1:15" x14ac:dyDescent="0.35">
      <c r="A301" t="str">
        <v>mtro_Buenos_Aires_Le_Brugeoise</v>
      </c>
      <c r="B301" t="b" cm="1">
        <f t="array" ref="B301">_xlfn.XLOOKUP(A301,CONTROL[VEHIDCODE],PROPERTIES[EXCLUDE])</f>
        <v>0</v>
      </c>
      <c r="C301" t="b">
        <f>_xlfn.XLOOKUP(A301,CONTROL[VEHIDCODE],CONTROL[IS_WAGON_OR_COACH])</f>
        <v>0</v>
      </c>
      <c r="D301">
        <f>FLOOR(_xlfn.XLOOKUP($A301,PROPERTIES[VEHIDCODE],PROPERTIES[INTRODUCTION_YEAR]),20)</f>
        <v>1900</v>
      </c>
      <c r="E301" t="e">
        <f>_xlfn.XLOOKUP($A301,PROPERTIES[VEHIDCODE],#REF!)</f>
        <v>#REF!</v>
      </c>
      <c r="F301" s="25" t="str" cm="1">
        <f t="array" ref="F301">_xlfn.CONCAT(_xlfn.XLOOKUP($A301,PROPERTIES[VEHIDCODE],PROPERTIES[REGION1]),"_",_xlfn.XLOOKUP($A301,PROPERTIES[VEHIDCODE],PROPERTIES[REGION2]),"_",_xlfn.XLOOKUP($A301,PROPERTIES[VEHIDCODE],PROPERTIES[REGION3]&amp;"_"&amp;_xlfn.XLOOKUP($A301,PROPERTIES[VEHIDCODE],PROPERTIES[REGION4])))</f>
        <v>SOUTH_AMERICA_NO_REGION_NO_REGION_NO_REGION</v>
      </c>
      <c r="G301" t="b">
        <f t="shared" si="36"/>
        <v>0</v>
      </c>
      <c r="H301" t="b">
        <f t="shared" si="43"/>
        <v>0</v>
      </c>
      <c r="I301" t="b">
        <f t="shared" si="37"/>
        <v>0</v>
      </c>
      <c r="J301" t="b">
        <f t="shared" si="44"/>
        <v>0</v>
      </c>
      <c r="K301" t="b">
        <f t="shared" si="38"/>
        <v>0</v>
      </c>
      <c r="L301" t="b">
        <f t="shared" si="39"/>
        <v>0</v>
      </c>
      <c r="M301" t="b">
        <f t="shared" si="40"/>
        <v>0</v>
      </c>
      <c r="N301" t="b">
        <f t="shared" si="41"/>
        <v>1</v>
      </c>
      <c r="O301" t="b">
        <f t="shared" si="42"/>
        <v>0</v>
      </c>
    </row>
    <row r="302" spans="1:15" x14ac:dyDescent="0.35">
      <c r="A302" t="str">
        <v>mtro_ACF_New_York_R1</v>
      </c>
      <c r="B302" t="b" cm="1">
        <f t="array" ref="B302">_xlfn.XLOOKUP(A302,CONTROL[VEHIDCODE],PROPERTIES[EXCLUDE])</f>
        <v>0</v>
      </c>
      <c r="C302" t="b">
        <f>_xlfn.XLOOKUP(A302,CONTROL[VEHIDCODE],CONTROL[IS_WAGON_OR_COACH])</f>
        <v>0</v>
      </c>
      <c r="D302">
        <f>FLOOR(_xlfn.XLOOKUP($A302,PROPERTIES[VEHIDCODE],PROPERTIES[INTRODUCTION_YEAR]),20)</f>
        <v>1920</v>
      </c>
      <c r="E302" t="e">
        <f>_xlfn.XLOOKUP($A302,PROPERTIES[VEHIDCODE],#REF!)</f>
        <v>#REF!</v>
      </c>
      <c r="F302" s="25" t="str" cm="1">
        <f t="array" ref="F302">_xlfn.CONCAT(_xlfn.XLOOKUP($A302,PROPERTIES[VEHIDCODE],PROPERTIES[REGION1]),"_",_xlfn.XLOOKUP($A302,PROPERTIES[VEHIDCODE],PROPERTIES[REGION2]),"_",_xlfn.XLOOKUP($A302,PROPERTIES[VEHIDCODE],PROPERTIES[REGION3]&amp;"_"&amp;_xlfn.XLOOKUP($A302,PROPERTIES[VEHIDCODE],PROPERTIES[REGION4])))</f>
        <v>NORTH_AMERICA_NO_REGION_NO_REGION_NO_REGION</v>
      </c>
      <c r="G302" t="b">
        <f t="shared" si="36"/>
        <v>0</v>
      </c>
      <c r="H302" t="b">
        <f t="shared" si="43"/>
        <v>0</v>
      </c>
      <c r="I302" t="b">
        <f t="shared" si="37"/>
        <v>0</v>
      </c>
      <c r="J302" t="b">
        <f t="shared" si="44"/>
        <v>0</v>
      </c>
      <c r="K302" t="b">
        <f t="shared" si="38"/>
        <v>0</v>
      </c>
      <c r="L302" t="b">
        <f t="shared" si="39"/>
        <v>0</v>
      </c>
      <c r="M302" t="b">
        <f t="shared" si="40"/>
        <v>1</v>
      </c>
      <c r="N302" t="b">
        <f t="shared" si="41"/>
        <v>0</v>
      </c>
      <c r="O302" t="b">
        <f t="shared" si="42"/>
        <v>0</v>
      </c>
    </row>
    <row r="303" spans="1:15" x14ac:dyDescent="0.35">
      <c r="A303" t="str">
        <v>mtro_LHB_ET_171</v>
      </c>
      <c r="B303" t="b" cm="1">
        <f t="array" ref="B303">_xlfn.XLOOKUP(A303,CONTROL[VEHIDCODE],PROPERTIES[EXCLUDE])</f>
        <v>0</v>
      </c>
      <c r="C303" t="b">
        <f>_xlfn.XLOOKUP(A303,CONTROL[VEHIDCODE],CONTROL[IS_WAGON_OR_COACH])</f>
        <v>0</v>
      </c>
      <c r="D303">
        <f>FLOOR(_xlfn.XLOOKUP($A303,PROPERTIES[VEHIDCODE],PROPERTIES[INTRODUCTION_YEAR]),20)</f>
        <v>1940</v>
      </c>
      <c r="E303" t="e">
        <f>_xlfn.XLOOKUP($A303,PROPERTIES[VEHIDCODE],#REF!)</f>
        <v>#REF!</v>
      </c>
      <c r="F303" s="25" t="str" cm="1">
        <f t="array" ref="F303">_xlfn.CONCAT(_xlfn.XLOOKUP($A303,PROPERTIES[VEHIDCODE],PROPERTIES[REGION1]),"_",_xlfn.XLOOKUP($A303,PROPERTIES[VEHIDCODE],PROPERTIES[REGION2]),"_",_xlfn.XLOOKUP($A303,PROPERTIES[VEHIDCODE],PROPERTIES[REGION3]&amp;"_"&amp;_xlfn.XLOOKUP($A303,PROPERTIES[VEHIDCODE],PROPERTIES[REGION4])))</f>
        <v>WESTERN_EUROPE_NO_REGION_NO_REGION_NO_REGION</v>
      </c>
      <c r="G303" t="b">
        <f t="shared" si="36"/>
        <v>0</v>
      </c>
      <c r="H303" t="b">
        <f t="shared" si="43"/>
        <v>0</v>
      </c>
      <c r="I303" t="b">
        <f t="shared" si="37"/>
        <v>0</v>
      </c>
      <c r="J303" t="b">
        <f t="shared" si="44"/>
        <v>0</v>
      </c>
      <c r="K303" t="b">
        <f t="shared" si="38"/>
        <v>1</v>
      </c>
      <c r="L303" t="b">
        <f t="shared" si="39"/>
        <v>0</v>
      </c>
      <c r="M303" t="b">
        <f t="shared" si="40"/>
        <v>0</v>
      </c>
      <c r="N303" t="b">
        <f t="shared" si="41"/>
        <v>0</v>
      </c>
      <c r="O303" t="b">
        <f t="shared" si="42"/>
        <v>0</v>
      </c>
    </row>
    <row r="304" spans="1:15" x14ac:dyDescent="0.35">
      <c r="A304" t="str">
        <v>mtro_GEC_Alsthom_Paris_MP55</v>
      </c>
      <c r="B304" t="b" cm="1">
        <f t="array" ref="B304">_xlfn.XLOOKUP(A304,CONTROL[VEHIDCODE],PROPERTIES[EXCLUDE])</f>
        <v>0</v>
      </c>
      <c r="C304" t="b">
        <f>_xlfn.XLOOKUP(A304,CONTROL[VEHIDCODE],CONTROL[IS_WAGON_OR_COACH])</f>
        <v>0</v>
      </c>
      <c r="D304">
        <f>FLOOR(_xlfn.XLOOKUP($A304,PROPERTIES[VEHIDCODE],PROPERTIES[INTRODUCTION_YEAR]),20)</f>
        <v>1940</v>
      </c>
      <c r="E304" t="e">
        <f>_xlfn.XLOOKUP($A304,PROPERTIES[VEHIDCODE],#REF!)</f>
        <v>#REF!</v>
      </c>
      <c r="F304" s="25" t="str" cm="1">
        <f t="array" ref="F304">_xlfn.CONCAT(_xlfn.XLOOKUP($A304,PROPERTIES[VEHIDCODE],PROPERTIES[REGION1]),"_",_xlfn.XLOOKUP($A304,PROPERTIES[VEHIDCODE],PROPERTIES[REGION2]),"_",_xlfn.XLOOKUP($A304,PROPERTIES[VEHIDCODE],PROPERTIES[REGION3]&amp;"_"&amp;_xlfn.XLOOKUP($A304,PROPERTIES[VEHIDCODE],PROPERTIES[REGION4])))</f>
        <v>WESTERN_EUROPE_NO_REGION_NO_REGION_NO_REGION</v>
      </c>
      <c r="G304" t="b">
        <f t="shared" si="36"/>
        <v>0</v>
      </c>
      <c r="H304" t="b">
        <f t="shared" si="43"/>
        <v>0</v>
      </c>
      <c r="I304" t="b">
        <f t="shared" si="37"/>
        <v>0</v>
      </c>
      <c r="J304" t="b">
        <f t="shared" si="44"/>
        <v>0</v>
      </c>
      <c r="K304" t="b">
        <f t="shared" si="38"/>
        <v>1</v>
      </c>
      <c r="L304" t="b">
        <f t="shared" si="39"/>
        <v>0</v>
      </c>
      <c r="M304" t="b">
        <f t="shared" si="40"/>
        <v>0</v>
      </c>
      <c r="N304" t="b">
        <f t="shared" si="41"/>
        <v>0</v>
      </c>
      <c r="O304" t="b">
        <f t="shared" si="42"/>
        <v>0</v>
      </c>
    </row>
    <row r="305" spans="1:15" x14ac:dyDescent="0.35">
      <c r="A305" t="str">
        <v>mtro_LHB_Lisbon_ML7</v>
      </c>
      <c r="B305" t="b" cm="1">
        <f t="array" ref="B305">_xlfn.XLOOKUP(A305,CONTROL[VEHIDCODE],PROPERTIES[EXCLUDE])</f>
        <v>0</v>
      </c>
      <c r="C305" t="b">
        <f>_xlfn.XLOOKUP(A305,CONTROL[VEHIDCODE],CONTROL[IS_WAGON_OR_COACH])</f>
        <v>0</v>
      </c>
      <c r="D305">
        <f>FLOOR(_xlfn.XLOOKUP($A305,PROPERTIES[VEHIDCODE],PROPERTIES[INTRODUCTION_YEAR]),20)</f>
        <v>1940</v>
      </c>
      <c r="E305" t="e">
        <f>_xlfn.XLOOKUP($A305,PROPERTIES[VEHIDCODE],#REF!)</f>
        <v>#REF!</v>
      </c>
      <c r="F305" s="25" t="str" cm="1">
        <f t="array" ref="F305">_xlfn.CONCAT(_xlfn.XLOOKUP($A305,PROPERTIES[VEHIDCODE],PROPERTIES[REGION1]),"_",_xlfn.XLOOKUP($A305,PROPERTIES[VEHIDCODE],PROPERTIES[REGION2]),"_",_xlfn.XLOOKUP($A305,PROPERTIES[VEHIDCODE],PROPERTIES[REGION3]&amp;"_"&amp;_xlfn.XLOOKUP($A305,PROPERTIES[VEHIDCODE],PROPERTIES[REGION4])))</f>
        <v>SOUTHERN_EUROPE_NO_REGION_NO_REGION_NO_REGION</v>
      </c>
      <c r="G305" t="b">
        <f t="shared" si="36"/>
        <v>0</v>
      </c>
      <c r="H305" t="b">
        <f t="shared" si="43"/>
        <v>0</v>
      </c>
      <c r="I305" t="b">
        <f t="shared" si="37"/>
        <v>1</v>
      </c>
      <c r="J305" t="b">
        <f t="shared" si="44"/>
        <v>0</v>
      </c>
      <c r="K305" t="b">
        <f t="shared" si="38"/>
        <v>0</v>
      </c>
      <c r="L305" t="b">
        <f t="shared" si="39"/>
        <v>0</v>
      </c>
      <c r="M305" t="b">
        <f t="shared" si="40"/>
        <v>0</v>
      </c>
      <c r="N305" t="b">
        <f t="shared" si="41"/>
        <v>0</v>
      </c>
      <c r="O305" t="b">
        <f t="shared" si="42"/>
        <v>0</v>
      </c>
    </row>
    <row r="306" spans="1:15" x14ac:dyDescent="0.35">
      <c r="A306" t="str">
        <v>mtro_MMZ_Budapest_Ev3</v>
      </c>
      <c r="B306" t="b" cm="1">
        <f t="array" ref="B306">_xlfn.XLOOKUP(A306,CONTROL[VEHIDCODE],PROPERTIES[EXCLUDE])</f>
        <v>0</v>
      </c>
      <c r="C306" t="b">
        <f>_xlfn.XLOOKUP(A306,CONTROL[VEHIDCODE],CONTROL[IS_WAGON_OR_COACH])</f>
        <v>0</v>
      </c>
      <c r="D306">
        <f>FLOOR(_xlfn.XLOOKUP($A306,PROPERTIES[VEHIDCODE],PROPERTIES[INTRODUCTION_YEAR]),20)</f>
        <v>1960</v>
      </c>
      <c r="E306" t="e">
        <f>_xlfn.XLOOKUP($A306,PROPERTIES[VEHIDCODE],#REF!)</f>
        <v>#REF!</v>
      </c>
      <c r="F306" s="25" t="str" cm="1">
        <f t="array" ref="F306">_xlfn.CONCAT(_xlfn.XLOOKUP($A306,PROPERTIES[VEHIDCODE],PROPERTIES[REGION1]),"_",_xlfn.XLOOKUP($A306,PROPERTIES[VEHIDCODE],PROPERTIES[REGION2]),"_",_xlfn.XLOOKUP($A306,PROPERTIES[VEHIDCODE],PROPERTIES[REGION3]&amp;"_"&amp;_xlfn.XLOOKUP($A306,PROPERTIES[VEHIDCODE],PROPERTIES[REGION4])))</f>
        <v>COMECON_NO_REGION_NO_REGION_NO_REGION</v>
      </c>
      <c r="G306" t="b">
        <f t="shared" si="36"/>
        <v>0</v>
      </c>
      <c r="H306" t="b">
        <f t="shared" si="43"/>
        <v>1</v>
      </c>
      <c r="I306" t="b">
        <f t="shared" si="37"/>
        <v>0</v>
      </c>
      <c r="J306" t="b">
        <f t="shared" si="44"/>
        <v>1</v>
      </c>
      <c r="K306" t="b">
        <f t="shared" si="38"/>
        <v>0</v>
      </c>
      <c r="L306" t="b">
        <f t="shared" si="39"/>
        <v>0</v>
      </c>
      <c r="M306" t="b">
        <f t="shared" si="40"/>
        <v>0</v>
      </c>
      <c r="N306" t="b">
        <f t="shared" si="41"/>
        <v>0</v>
      </c>
      <c r="O306" t="b">
        <f t="shared" si="42"/>
        <v>0</v>
      </c>
    </row>
    <row r="307" spans="1:15" x14ac:dyDescent="0.35">
      <c r="A307" t="str">
        <v>mtro_Strommens_Oslo_T1000</v>
      </c>
      <c r="B307" t="b" cm="1">
        <f t="array" ref="B307">_xlfn.XLOOKUP(A307,CONTROL[VEHIDCODE],PROPERTIES[EXCLUDE])</f>
        <v>0</v>
      </c>
      <c r="C307" t="b">
        <f>_xlfn.XLOOKUP(A307,CONTROL[VEHIDCODE],CONTROL[IS_WAGON_OR_COACH])</f>
        <v>0</v>
      </c>
      <c r="D307">
        <f>FLOOR(_xlfn.XLOOKUP($A307,PROPERTIES[VEHIDCODE],PROPERTIES[INTRODUCTION_YEAR]),20)</f>
        <v>1960</v>
      </c>
      <c r="E307" t="e">
        <f>_xlfn.XLOOKUP($A307,PROPERTIES[VEHIDCODE],#REF!)</f>
        <v>#REF!</v>
      </c>
      <c r="F307" s="25" t="str" cm="1">
        <f t="array" ref="F307">_xlfn.CONCAT(_xlfn.XLOOKUP($A307,PROPERTIES[VEHIDCODE],PROPERTIES[REGION1]),"_",_xlfn.XLOOKUP($A307,PROPERTIES[VEHIDCODE],PROPERTIES[REGION2]),"_",_xlfn.XLOOKUP($A307,PROPERTIES[VEHIDCODE],PROPERTIES[REGION3]&amp;"_"&amp;_xlfn.XLOOKUP($A307,PROPERTIES[VEHIDCODE],PROPERTIES[REGION4])))</f>
        <v>NORTHERN_EUROPE_NO_REGION_NO_REGION_NO_REGION</v>
      </c>
      <c r="G307" t="b">
        <f t="shared" si="36"/>
        <v>0</v>
      </c>
      <c r="H307" t="b">
        <f t="shared" si="43"/>
        <v>0</v>
      </c>
      <c r="I307" t="b">
        <f t="shared" si="37"/>
        <v>0</v>
      </c>
      <c r="J307" t="b">
        <f t="shared" si="44"/>
        <v>0</v>
      </c>
      <c r="K307" t="b">
        <f t="shared" si="38"/>
        <v>0</v>
      </c>
      <c r="L307" t="b">
        <f t="shared" si="39"/>
        <v>1</v>
      </c>
      <c r="M307" t="b">
        <f t="shared" si="40"/>
        <v>0</v>
      </c>
      <c r="N307" t="b">
        <f t="shared" si="41"/>
        <v>0</v>
      </c>
      <c r="O307" t="b">
        <f t="shared" si="42"/>
        <v>0</v>
      </c>
    </row>
    <row r="308" spans="1:15" x14ac:dyDescent="0.35">
      <c r="A308" t="str">
        <v>mtro_Hawker_Siddeley_Toronto_H1</v>
      </c>
      <c r="B308" t="b" cm="1">
        <f t="array" ref="B308">_xlfn.XLOOKUP(A308,CONTROL[VEHIDCODE],PROPERTIES[EXCLUDE])</f>
        <v>0</v>
      </c>
      <c r="C308" t="b">
        <f>_xlfn.XLOOKUP(A308,CONTROL[VEHIDCODE],CONTROL[IS_WAGON_OR_COACH])</f>
        <v>0</v>
      </c>
      <c r="D308">
        <f>FLOOR(_xlfn.XLOOKUP($A308,PROPERTIES[VEHIDCODE],PROPERTIES[INTRODUCTION_YEAR]),20)</f>
        <v>1960</v>
      </c>
      <c r="E308" t="e">
        <f>_xlfn.XLOOKUP($A308,PROPERTIES[VEHIDCODE],#REF!)</f>
        <v>#REF!</v>
      </c>
      <c r="F308" s="25" t="str" cm="1">
        <f t="array" ref="F308">_xlfn.CONCAT(_xlfn.XLOOKUP($A308,PROPERTIES[VEHIDCODE],PROPERTIES[REGION1]),"_",_xlfn.XLOOKUP($A308,PROPERTIES[VEHIDCODE],PROPERTIES[REGION2]),"_",_xlfn.XLOOKUP($A308,PROPERTIES[VEHIDCODE],PROPERTIES[REGION3]&amp;"_"&amp;_xlfn.XLOOKUP($A308,PROPERTIES[VEHIDCODE],PROPERTIES[REGION4])))</f>
        <v>NORTH_AMERICA_NO_REGION_NO_REGION_NO_REGION</v>
      </c>
      <c r="G308" t="b">
        <f t="shared" si="36"/>
        <v>0</v>
      </c>
      <c r="H308" t="b">
        <f t="shared" si="43"/>
        <v>0</v>
      </c>
      <c r="I308" t="b">
        <f t="shared" si="37"/>
        <v>0</v>
      </c>
      <c r="J308" t="b">
        <f t="shared" si="44"/>
        <v>0</v>
      </c>
      <c r="K308" t="b">
        <f t="shared" si="38"/>
        <v>0</v>
      </c>
      <c r="L308" t="b">
        <f t="shared" si="39"/>
        <v>0</v>
      </c>
      <c r="M308" t="b">
        <f t="shared" si="40"/>
        <v>1</v>
      </c>
      <c r="N308" t="b">
        <f t="shared" si="41"/>
        <v>0</v>
      </c>
      <c r="O308" t="b">
        <f t="shared" si="42"/>
        <v>0</v>
      </c>
    </row>
    <row r="309" spans="1:15" x14ac:dyDescent="0.35">
      <c r="A309" t="str">
        <v>mtro_MAN_Munchen_MVG_A2</v>
      </c>
      <c r="B309" t="b" cm="1">
        <f t="array" ref="B309">_xlfn.XLOOKUP(A309,CONTROL[VEHIDCODE],PROPERTIES[EXCLUDE])</f>
        <v>0</v>
      </c>
      <c r="C309" t="b">
        <f>_xlfn.XLOOKUP(A309,CONTROL[VEHIDCODE],CONTROL[IS_WAGON_OR_COACH])</f>
        <v>0</v>
      </c>
      <c r="D309">
        <f>FLOOR(_xlfn.XLOOKUP($A309,PROPERTIES[VEHIDCODE],PROPERTIES[INTRODUCTION_YEAR]),20)</f>
        <v>1960</v>
      </c>
      <c r="E309" t="e">
        <f>_xlfn.XLOOKUP($A309,PROPERTIES[VEHIDCODE],#REF!)</f>
        <v>#REF!</v>
      </c>
      <c r="F309" s="25" t="str" cm="1">
        <f t="array" ref="F309">_xlfn.CONCAT(_xlfn.XLOOKUP($A309,PROPERTIES[VEHIDCODE],PROPERTIES[REGION1]),"_",_xlfn.XLOOKUP($A309,PROPERTIES[VEHIDCODE],PROPERTIES[REGION2]),"_",_xlfn.XLOOKUP($A309,PROPERTIES[VEHIDCODE],PROPERTIES[REGION3]&amp;"_"&amp;_xlfn.XLOOKUP($A309,PROPERTIES[VEHIDCODE],PROPERTIES[REGION4])))</f>
        <v>WESTERN_EUROPE_NO_REGION_NO_REGION_NO_REGION</v>
      </c>
      <c r="G309" t="b">
        <f t="shared" si="36"/>
        <v>0</v>
      </c>
      <c r="H309" t="b">
        <f t="shared" si="43"/>
        <v>0</v>
      </c>
      <c r="I309" t="b">
        <f t="shared" si="37"/>
        <v>0</v>
      </c>
      <c r="J309" t="b">
        <f t="shared" si="44"/>
        <v>0</v>
      </c>
      <c r="K309" t="b">
        <f t="shared" si="38"/>
        <v>1</v>
      </c>
      <c r="L309" t="b">
        <f t="shared" si="39"/>
        <v>0</v>
      </c>
      <c r="M309" t="b">
        <f t="shared" si="40"/>
        <v>0</v>
      </c>
      <c r="N309" t="b">
        <f t="shared" si="41"/>
        <v>0</v>
      </c>
      <c r="O309" t="b">
        <f t="shared" si="42"/>
        <v>0</v>
      </c>
    </row>
    <row r="310" spans="1:15" x14ac:dyDescent="0.35">
      <c r="A310" t="str">
        <v>mtro_St__Louis_Car_Co_New_York_R44</v>
      </c>
      <c r="B310" t="b" cm="1">
        <f t="array" ref="B310">_xlfn.XLOOKUP(A310,CONTROL[VEHIDCODE],PROPERTIES[EXCLUDE])</f>
        <v>0</v>
      </c>
      <c r="C310" t="b">
        <f>_xlfn.XLOOKUP(A310,CONTROL[VEHIDCODE],CONTROL[IS_WAGON_OR_COACH])</f>
        <v>0</v>
      </c>
      <c r="D310">
        <f>FLOOR(_xlfn.XLOOKUP($A310,PROPERTIES[VEHIDCODE],PROPERTIES[INTRODUCTION_YEAR]),20)</f>
        <v>1960</v>
      </c>
      <c r="E310" t="e">
        <f>_xlfn.XLOOKUP($A310,PROPERTIES[VEHIDCODE],#REF!)</f>
        <v>#REF!</v>
      </c>
      <c r="F310" s="25" t="str" cm="1">
        <f t="array" ref="F310">_xlfn.CONCAT(_xlfn.XLOOKUP($A310,PROPERTIES[VEHIDCODE],PROPERTIES[REGION1]),"_",_xlfn.XLOOKUP($A310,PROPERTIES[VEHIDCODE],PROPERTIES[REGION2]),"_",_xlfn.XLOOKUP($A310,PROPERTIES[VEHIDCODE],PROPERTIES[REGION3]&amp;"_"&amp;_xlfn.XLOOKUP($A310,PROPERTIES[VEHIDCODE],PROPERTIES[REGION4])))</f>
        <v>NORTH_AMERICA_NO_REGION_NO_REGION_NO_REGION</v>
      </c>
      <c r="G310" t="b">
        <f t="shared" si="36"/>
        <v>0</v>
      </c>
      <c r="H310" t="b">
        <f t="shared" si="43"/>
        <v>0</v>
      </c>
      <c r="I310" t="b">
        <f t="shared" si="37"/>
        <v>0</v>
      </c>
      <c r="J310" t="b">
        <f t="shared" si="44"/>
        <v>0</v>
      </c>
      <c r="K310" t="b">
        <f t="shared" si="38"/>
        <v>0</v>
      </c>
      <c r="L310" t="b">
        <f t="shared" si="39"/>
        <v>0</v>
      </c>
      <c r="M310" t="b">
        <f t="shared" si="40"/>
        <v>1</v>
      </c>
      <c r="N310" t="b">
        <f t="shared" si="41"/>
        <v>0</v>
      </c>
      <c r="O310" t="b">
        <f t="shared" si="42"/>
        <v>0</v>
      </c>
    </row>
    <row r="311" spans="1:15" x14ac:dyDescent="0.35">
      <c r="A311" t="str">
        <v>mtro_LHB_Amsterdam_M1</v>
      </c>
      <c r="B311" t="b" cm="1">
        <f t="array" ref="B311">_xlfn.XLOOKUP(A311,CONTROL[VEHIDCODE],PROPERTIES[EXCLUDE])</f>
        <v>0</v>
      </c>
      <c r="C311" t="b">
        <f>_xlfn.XLOOKUP(A311,CONTROL[VEHIDCODE],CONTROL[IS_WAGON_OR_COACH])</f>
        <v>0</v>
      </c>
      <c r="D311">
        <f>FLOOR(_xlfn.XLOOKUP($A311,PROPERTIES[VEHIDCODE],PROPERTIES[INTRODUCTION_YEAR]),20)</f>
        <v>1960</v>
      </c>
      <c r="E311" t="e">
        <f>_xlfn.XLOOKUP($A311,PROPERTIES[VEHIDCODE],#REF!)</f>
        <v>#REF!</v>
      </c>
      <c r="F311" s="25" t="str" cm="1">
        <f t="array" ref="F311">_xlfn.CONCAT(_xlfn.XLOOKUP($A311,PROPERTIES[VEHIDCODE],PROPERTIES[REGION1]),"_",_xlfn.XLOOKUP($A311,PROPERTIES[VEHIDCODE],PROPERTIES[REGION2]),"_",_xlfn.XLOOKUP($A311,PROPERTIES[VEHIDCODE],PROPERTIES[REGION3]&amp;"_"&amp;_xlfn.XLOOKUP($A311,PROPERTIES[VEHIDCODE],PROPERTIES[REGION4])))</f>
        <v>WESTERN_EUROPE_NO_REGION_NO_REGION_NO_REGION</v>
      </c>
      <c r="G311" t="b">
        <f t="shared" si="36"/>
        <v>0</v>
      </c>
      <c r="H311" t="b">
        <f t="shared" si="43"/>
        <v>0</v>
      </c>
      <c r="I311" t="b">
        <f t="shared" si="37"/>
        <v>0</v>
      </c>
      <c r="J311" t="b">
        <f t="shared" si="44"/>
        <v>0</v>
      </c>
      <c r="K311" t="b">
        <f t="shared" si="38"/>
        <v>1</v>
      </c>
      <c r="L311" t="b">
        <f t="shared" si="39"/>
        <v>0</v>
      </c>
      <c r="M311" t="b">
        <f t="shared" si="40"/>
        <v>0</v>
      </c>
      <c r="N311" t="b">
        <f t="shared" si="41"/>
        <v>0</v>
      </c>
      <c r="O311" t="b">
        <f t="shared" si="42"/>
        <v>0</v>
      </c>
    </row>
    <row r="312" spans="1:15" x14ac:dyDescent="0.35">
      <c r="A312" t="str">
        <v>mtro_ASEA_Stockholm_C8</v>
      </c>
      <c r="B312" t="b" cm="1">
        <f t="array" ref="B312">_xlfn.XLOOKUP(A312,CONTROL[VEHIDCODE],PROPERTIES[EXCLUDE])</f>
        <v>0</v>
      </c>
      <c r="C312" t="b">
        <f>_xlfn.XLOOKUP(A312,CONTROL[VEHIDCODE],CONTROL[IS_WAGON_OR_COACH])</f>
        <v>0</v>
      </c>
      <c r="D312">
        <f>FLOOR(_xlfn.XLOOKUP($A312,PROPERTIES[VEHIDCODE],PROPERTIES[INTRODUCTION_YEAR]),20)</f>
        <v>1960</v>
      </c>
      <c r="E312" t="e">
        <f>_xlfn.XLOOKUP($A312,PROPERTIES[VEHIDCODE],#REF!)</f>
        <v>#REF!</v>
      </c>
      <c r="F312" s="25" t="str" cm="1">
        <f t="array" ref="F312">_xlfn.CONCAT(_xlfn.XLOOKUP($A312,PROPERTIES[VEHIDCODE],PROPERTIES[REGION1]),"_",_xlfn.XLOOKUP($A312,PROPERTIES[VEHIDCODE],PROPERTIES[REGION2]),"_",_xlfn.XLOOKUP($A312,PROPERTIES[VEHIDCODE],PROPERTIES[REGION3]&amp;"_"&amp;_xlfn.XLOOKUP($A312,PROPERTIES[VEHIDCODE],PROPERTIES[REGION4])))</f>
        <v>NORTHERN_EUROPE_NO_REGION_NO_REGION_NO_REGION</v>
      </c>
      <c r="G312" t="b">
        <f t="shared" si="36"/>
        <v>0</v>
      </c>
      <c r="H312" t="b">
        <f t="shared" si="43"/>
        <v>0</v>
      </c>
      <c r="I312" t="b">
        <f t="shared" si="37"/>
        <v>0</v>
      </c>
      <c r="J312" t="b">
        <f t="shared" si="44"/>
        <v>0</v>
      </c>
      <c r="K312" t="b">
        <f t="shared" si="38"/>
        <v>0</v>
      </c>
      <c r="L312" t="b">
        <f t="shared" si="39"/>
        <v>1</v>
      </c>
      <c r="M312" t="b">
        <f t="shared" si="40"/>
        <v>0</v>
      </c>
      <c r="N312" t="b">
        <f t="shared" si="41"/>
        <v>0</v>
      </c>
      <c r="O312" t="b">
        <f t="shared" si="42"/>
        <v>0</v>
      </c>
    </row>
    <row r="313" spans="1:15" x14ac:dyDescent="0.35">
      <c r="A313" t="str">
        <v>mtro_AEG_Pyongyang_D</v>
      </c>
      <c r="B313" t="b" cm="1">
        <f t="array" ref="B313">_xlfn.XLOOKUP(A313,CONTROL[VEHIDCODE],PROPERTIES[EXCLUDE])</f>
        <v>0</v>
      </c>
      <c r="C313" t="b">
        <f>_xlfn.XLOOKUP(A313,CONTROL[VEHIDCODE],CONTROL[IS_WAGON_OR_COACH])</f>
        <v>0</v>
      </c>
      <c r="D313">
        <f>FLOOR(_xlfn.XLOOKUP($A313,PROPERTIES[VEHIDCODE],PROPERTIES[INTRODUCTION_YEAR]),20)</f>
        <v>1940</v>
      </c>
      <c r="E313" t="e">
        <f>_xlfn.XLOOKUP($A313,PROPERTIES[VEHIDCODE],#REF!)</f>
        <v>#REF!</v>
      </c>
      <c r="F313" s="25" t="str" cm="1">
        <f t="array" ref="F313">_xlfn.CONCAT(_xlfn.XLOOKUP($A313,PROPERTIES[VEHIDCODE],PROPERTIES[REGION1]),"_",_xlfn.XLOOKUP($A313,PROPERTIES[VEHIDCODE],PROPERTIES[REGION2]),"_",_xlfn.XLOOKUP($A313,PROPERTIES[VEHIDCODE],PROPERTIES[REGION3]&amp;"_"&amp;_xlfn.XLOOKUP($A313,PROPERTIES[VEHIDCODE],PROPERTIES[REGION4])))</f>
        <v>WESTERN_EUROPE_ASIA_NO_REGION_NO_REGION</v>
      </c>
      <c r="G313" t="b">
        <f t="shared" si="36"/>
        <v>0</v>
      </c>
      <c r="H313" t="b">
        <f t="shared" si="43"/>
        <v>1</v>
      </c>
      <c r="I313" t="b">
        <f t="shared" si="37"/>
        <v>0</v>
      </c>
      <c r="J313" t="b">
        <f t="shared" si="44"/>
        <v>0</v>
      </c>
      <c r="K313" t="b">
        <f t="shared" si="38"/>
        <v>1</v>
      </c>
      <c r="L313" t="b">
        <f t="shared" si="39"/>
        <v>0</v>
      </c>
      <c r="M313" t="b">
        <f t="shared" si="40"/>
        <v>0</v>
      </c>
      <c r="N313" t="b">
        <f t="shared" si="41"/>
        <v>0</v>
      </c>
      <c r="O313" t="b">
        <f t="shared" si="42"/>
        <v>0</v>
      </c>
    </row>
    <row r="314" spans="1:15" x14ac:dyDescent="0.35">
      <c r="A314" t="str">
        <v>mtro_Valmet_Helsinki_M100</v>
      </c>
      <c r="B314" t="b" cm="1">
        <f t="array" ref="B314">_xlfn.XLOOKUP(A314,CONTROL[VEHIDCODE],PROPERTIES[EXCLUDE])</f>
        <v>0</v>
      </c>
      <c r="C314" t="b">
        <f>_xlfn.XLOOKUP(A314,CONTROL[VEHIDCODE],CONTROL[IS_WAGON_OR_COACH])</f>
        <v>0</v>
      </c>
      <c r="D314">
        <f>FLOOR(_xlfn.XLOOKUP($A314,PROPERTIES[VEHIDCODE],PROPERTIES[INTRODUCTION_YEAR]),20)</f>
        <v>1960</v>
      </c>
      <c r="E314" t="e">
        <f>_xlfn.XLOOKUP($A314,PROPERTIES[VEHIDCODE],#REF!)</f>
        <v>#REF!</v>
      </c>
      <c r="F314" s="25" t="str" cm="1">
        <f t="array" ref="F314">_xlfn.CONCAT(_xlfn.XLOOKUP($A314,PROPERTIES[VEHIDCODE],PROPERTIES[REGION1]),"_",_xlfn.XLOOKUP($A314,PROPERTIES[VEHIDCODE],PROPERTIES[REGION2]),"_",_xlfn.XLOOKUP($A314,PROPERTIES[VEHIDCODE],PROPERTIES[REGION3]&amp;"_"&amp;_xlfn.XLOOKUP($A314,PROPERTIES[VEHIDCODE],PROPERTIES[REGION4])))</f>
        <v>NORTHERN_EUROPE_NO_REGION_NO_REGION_NO_REGION</v>
      </c>
      <c r="G314" t="b">
        <f t="shared" si="36"/>
        <v>0</v>
      </c>
      <c r="H314" t="b">
        <f t="shared" si="43"/>
        <v>0</v>
      </c>
      <c r="I314" t="b">
        <f t="shared" si="37"/>
        <v>0</v>
      </c>
      <c r="J314" t="b">
        <f t="shared" si="44"/>
        <v>0</v>
      </c>
      <c r="K314" t="b">
        <f t="shared" si="38"/>
        <v>0</v>
      </c>
      <c r="L314" t="b">
        <f t="shared" si="39"/>
        <v>1</v>
      </c>
      <c r="M314" t="b">
        <f t="shared" si="40"/>
        <v>0</v>
      </c>
      <c r="N314" t="b">
        <f t="shared" si="41"/>
        <v>0</v>
      </c>
      <c r="O314" t="b">
        <f t="shared" si="42"/>
        <v>0</v>
      </c>
    </row>
    <row r="315" spans="1:15" x14ac:dyDescent="0.35">
      <c r="A315" t="str">
        <v>mtro_Sorefame_Sao_Paulo_Serie_5500</v>
      </c>
      <c r="B315" t="b" cm="1">
        <f t="array" ref="B315">_xlfn.XLOOKUP(A315,CONTROL[VEHIDCODE],PROPERTIES[EXCLUDE])</f>
        <v>0</v>
      </c>
      <c r="C315" t="b">
        <f>_xlfn.XLOOKUP(A315,CONTROL[VEHIDCODE],CONTROL[IS_WAGON_OR_COACH])</f>
        <v>0</v>
      </c>
      <c r="D315">
        <f>FLOOR(_xlfn.XLOOKUP($A315,PROPERTIES[VEHIDCODE],PROPERTIES[INTRODUCTION_YEAR]),20)</f>
        <v>1960</v>
      </c>
      <c r="E315" t="e">
        <f>_xlfn.XLOOKUP($A315,PROPERTIES[VEHIDCODE],#REF!)</f>
        <v>#REF!</v>
      </c>
      <c r="F315" s="25" t="str" cm="1">
        <f t="array" ref="F315">_xlfn.CONCAT(_xlfn.XLOOKUP($A315,PROPERTIES[VEHIDCODE],PROPERTIES[REGION1]),"_",_xlfn.XLOOKUP($A315,PROPERTIES[VEHIDCODE],PROPERTIES[REGION2]),"_",_xlfn.XLOOKUP($A315,PROPERTIES[VEHIDCODE],PROPERTIES[REGION3]&amp;"_"&amp;_xlfn.XLOOKUP($A315,PROPERTIES[VEHIDCODE],PROPERTIES[REGION4])))</f>
        <v>SOUTH_AMERICA_NO_REGION_NO_REGION_NO_REGION</v>
      </c>
      <c r="G315" t="b">
        <f t="shared" si="36"/>
        <v>0</v>
      </c>
      <c r="H315" t="b">
        <f t="shared" si="43"/>
        <v>0</v>
      </c>
      <c r="I315" t="b">
        <f t="shared" si="37"/>
        <v>0</v>
      </c>
      <c r="J315" t="b">
        <f t="shared" si="44"/>
        <v>0</v>
      </c>
      <c r="K315" t="b">
        <f t="shared" si="38"/>
        <v>0</v>
      </c>
      <c r="L315" t="b">
        <f t="shared" si="39"/>
        <v>0</v>
      </c>
      <c r="M315" t="b">
        <f t="shared" si="40"/>
        <v>0</v>
      </c>
      <c r="N315" t="b">
        <f t="shared" si="41"/>
        <v>1</v>
      </c>
      <c r="O315" t="b">
        <f t="shared" si="42"/>
        <v>0</v>
      </c>
    </row>
    <row r="316" spans="1:15" x14ac:dyDescent="0.35">
      <c r="A316" t="str">
        <v>mtro_MMZ_Moscow_81_720</v>
      </c>
      <c r="B316" t="b" cm="1">
        <f t="array" ref="B316">_xlfn.XLOOKUP(A316,CONTROL[VEHIDCODE],PROPERTIES[EXCLUDE])</f>
        <v>0</v>
      </c>
      <c r="C316" t="b">
        <f>_xlfn.XLOOKUP(A316,CONTROL[VEHIDCODE],CONTROL[IS_WAGON_OR_COACH])</f>
        <v>0</v>
      </c>
      <c r="D316">
        <f>FLOOR(_xlfn.XLOOKUP($A316,PROPERTIES[VEHIDCODE],PROPERTIES[INTRODUCTION_YEAR]),20)</f>
        <v>1980</v>
      </c>
      <c r="E316" t="e">
        <f>_xlfn.XLOOKUP($A316,PROPERTIES[VEHIDCODE],#REF!)</f>
        <v>#REF!</v>
      </c>
      <c r="F316" s="25" t="str" cm="1">
        <f t="array" ref="F316">_xlfn.CONCAT(_xlfn.XLOOKUP($A316,PROPERTIES[VEHIDCODE],PROPERTIES[REGION1]),"_",_xlfn.XLOOKUP($A316,PROPERTIES[VEHIDCODE],PROPERTIES[REGION2]),"_",_xlfn.XLOOKUP($A316,PROPERTIES[VEHIDCODE],PROPERTIES[REGION3]&amp;"_"&amp;_xlfn.XLOOKUP($A316,PROPERTIES[VEHIDCODE],PROPERTIES[REGION4])))</f>
        <v>COMECON_NO_REGION_NO_REGION_NO_REGION</v>
      </c>
      <c r="G316" t="b">
        <f t="shared" si="36"/>
        <v>0</v>
      </c>
      <c r="H316" t="b">
        <f t="shared" si="43"/>
        <v>1</v>
      </c>
      <c r="I316" t="b">
        <f t="shared" si="37"/>
        <v>0</v>
      </c>
      <c r="J316" t="b">
        <f t="shared" si="44"/>
        <v>1</v>
      </c>
      <c r="K316" t="b">
        <f t="shared" si="38"/>
        <v>0</v>
      </c>
      <c r="L316" t="b">
        <f t="shared" si="39"/>
        <v>0</v>
      </c>
      <c r="M316" t="b">
        <f t="shared" si="40"/>
        <v>0</v>
      </c>
      <c r="N316" t="b">
        <f t="shared" si="41"/>
        <v>0</v>
      </c>
      <c r="O316" t="b">
        <f t="shared" si="42"/>
        <v>0</v>
      </c>
    </row>
    <row r="317" spans="1:15" x14ac:dyDescent="0.35">
      <c r="A317" t="str">
        <v>mtro_Kawasaki_Tokyo_S01</v>
      </c>
      <c r="B317" t="b" cm="1">
        <f t="array" ref="B317">_xlfn.XLOOKUP(A317,CONTROL[VEHIDCODE],PROPERTIES[EXCLUDE])</f>
        <v>0</v>
      </c>
      <c r="C317" t="b">
        <f>_xlfn.XLOOKUP(A317,CONTROL[VEHIDCODE],CONTROL[IS_WAGON_OR_COACH])</f>
        <v>0</v>
      </c>
      <c r="D317">
        <f>FLOOR(_xlfn.XLOOKUP($A317,PROPERTIES[VEHIDCODE],PROPERTIES[INTRODUCTION_YEAR]),20)</f>
        <v>1980</v>
      </c>
      <c r="E317" t="e">
        <f>_xlfn.XLOOKUP($A317,PROPERTIES[VEHIDCODE],#REF!)</f>
        <v>#REF!</v>
      </c>
      <c r="F317" s="25" t="str" cm="1">
        <f t="array" ref="F317">_xlfn.CONCAT(_xlfn.XLOOKUP($A317,PROPERTIES[VEHIDCODE],PROPERTIES[REGION1]),"_",_xlfn.XLOOKUP($A317,PROPERTIES[VEHIDCODE],PROPERTIES[REGION2]),"_",_xlfn.XLOOKUP($A317,PROPERTIES[VEHIDCODE],PROPERTIES[REGION3]&amp;"_"&amp;_xlfn.XLOOKUP($A317,PROPERTIES[VEHIDCODE],PROPERTIES[REGION4])))</f>
        <v>ASIA_NO_REGION_NO_REGION_NO_REGION</v>
      </c>
      <c r="G317" t="b">
        <f t="shared" si="36"/>
        <v>0</v>
      </c>
      <c r="H317" t="b">
        <f t="shared" si="43"/>
        <v>1</v>
      </c>
      <c r="I317" t="b">
        <f t="shared" si="37"/>
        <v>0</v>
      </c>
      <c r="J317" t="b">
        <f t="shared" si="44"/>
        <v>0</v>
      </c>
      <c r="K317" t="b">
        <f t="shared" si="38"/>
        <v>0</v>
      </c>
      <c r="L317" t="b">
        <f t="shared" si="39"/>
        <v>0</v>
      </c>
      <c r="M317" t="b">
        <f t="shared" si="40"/>
        <v>0</v>
      </c>
      <c r="N317" t="b">
        <f t="shared" si="41"/>
        <v>0</v>
      </c>
      <c r="O317" t="b">
        <f t="shared" si="42"/>
        <v>0</v>
      </c>
    </row>
    <row r="318" spans="1:15" x14ac:dyDescent="0.35">
      <c r="A318" t="str">
        <v>mtro_Kinki_Sharyo_Vcairo</v>
      </c>
      <c r="B318" t="b" cm="1">
        <f t="array" ref="B318">_xlfn.XLOOKUP(A318,CONTROL[VEHIDCODE],PROPERTIES[EXCLUDE])</f>
        <v>0</v>
      </c>
      <c r="C318" t="b">
        <f>_xlfn.XLOOKUP(A318,CONTROL[VEHIDCODE],CONTROL[IS_WAGON_OR_COACH])</f>
        <v>0</v>
      </c>
      <c r="D318">
        <f>FLOOR(_xlfn.XLOOKUP($A318,PROPERTIES[VEHIDCODE],PROPERTIES[INTRODUCTION_YEAR]),20)</f>
        <v>1980</v>
      </c>
      <c r="E318" t="e">
        <f>_xlfn.XLOOKUP($A318,PROPERTIES[VEHIDCODE],#REF!)</f>
        <v>#REF!</v>
      </c>
      <c r="F318" s="25" t="str" cm="1">
        <f t="array" ref="F318">_xlfn.CONCAT(_xlfn.XLOOKUP($A318,PROPERTIES[VEHIDCODE],PROPERTIES[REGION1]),"_",_xlfn.XLOOKUP($A318,PROPERTIES[VEHIDCODE],PROPERTIES[REGION2]),"_",_xlfn.XLOOKUP($A318,PROPERTIES[VEHIDCODE],PROPERTIES[REGION3]&amp;"_"&amp;_xlfn.XLOOKUP($A318,PROPERTIES[VEHIDCODE],PROPERTIES[REGION4])))</f>
        <v>AFRICA_NO_REGION_NO_REGION_NO_REGION</v>
      </c>
      <c r="G318" t="b">
        <f t="shared" si="36"/>
        <v>1</v>
      </c>
      <c r="H318" t="b">
        <f t="shared" si="43"/>
        <v>0</v>
      </c>
      <c r="I318" t="b">
        <f t="shared" si="37"/>
        <v>0</v>
      </c>
      <c r="J318" t="b">
        <f t="shared" si="44"/>
        <v>0</v>
      </c>
      <c r="K318" t="b">
        <f t="shared" si="38"/>
        <v>0</v>
      </c>
      <c r="L318" t="b">
        <f t="shared" si="39"/>
        <v>0</v>
      </c>
      <c r="M318" t="b">
        <f t="shared" si="40"/>
        <v>0</v>
      </c>
      <c r="N318" t="b">
        <f t="shared" si="41"/>
        <v>0</v>
      </c>
      <c r="O318" t="b">
        <f t="shared" si="42"/>
        <v>0</v>
      </c>
    </row>
    <row r="319" spans="1:15" x14ac:dyDescent="0.35">
      <c r="A319" t="str">
        <v>mtro_LHB_London_DLR_P86</v>
      </c>
      <c r="B319" t="b" cm="1">
        <f t="array" ref="B319">_xlfn.XLOOKUP(A319,CONTROL[VEHIDCODE],PROPERTIES[EXCLUDE])</f>
        <v>0</v>
      </c>
      <c r="C319" t="b">
        <f>_xlfn.XLOOKUP(A319,CONTROL[VEHIDCODE],CONTROL[IS_WAGON_OR_COACH])</f>
        <v>0</v>
      </c>
      <c r="D319">
        <f>FLOOR(_xlfn.XLOOKUP($A319,PROPERTIES[VEHIDCODE],PROPERTIES[INTRODUCTION_YEAR]),20)</f>
        <v>1980</v>
      </c>
      <c r="E319" t="e">
        <f>_xlfn.XLOOKUP($A319,PROPERTIES[VEHIDCODE],#REF!)</f>
        <v>#REF!</v>
      </c>
      <c r="F319" s="25" t="str" cm="1">
        <f t="array" ref="F319">_xlfn.CONCAT(_xlfn.XLOOKUP($A319,PROPERTIES[VEHIDCODE],PROPERTIES[REGION1]),"_",_xlfn.XLOOKUP($A319,PROPERTIES[VEHIDCODE],PROPERTIES[REGION2]),"_",_xlfn.XLOOKUP($A319,PROPERTIES[VEHIDCODE],PROPERTIES[REGION3]&amp;"_"&amp;_xlfn.XLOOKUP($A319,PROPERTIES[VEHIDCODE],PROPERTIES[REGION4])))</f>
        <v>NORTHERN_EUROPE_NO_REGION_NO_REGION_NO_REGION</v>
      </c>
      <c r="G319" t="b">
        <f t="shared" si="36"/>
        <v>0</v>
      </c>
      <c r="H319" t="b">
        <f t="shared" si="43"/>
        <v>0</v>
      </c>
      <c r="I319" t="b">
        <f t="shared" si="37"/>
        <v>0</v>
      </c>
      <c r="J319" t="b">
        <f t="shared" si="44"/>
        <v>0</v>
      </c>
      <c r="K319" t="b">
        <f t="shared" si="38"/>
        <v>0</v>
      </c>
      <c r="L319" t="b">
        <f t="shared" si="39"/>
        <v>1</v>
      </c>
      <c r="M319" t="b">
        <f t="shared" si="40"/>
        <v>0</v>
      </c>
      <c r="N319" t="b">
        <f t="shared" si="41"/>
        <v>0</v>
      </c>
      <c r="O319" t="b">
        <f t="shared" si="42"/>
        <v>0</v>
      </c>
    </row>
    <row r="320" spans="1:15" x14ac:dyDescent="0.35">
      <c r="A320" t="str">
        <v>mtro_MMZ_Moscow_81_717_5M</v>
      </c>
      <c r="B320" t="b" cm="1">
        <f t="array" ref="B320">_xlfn.XLOOKUP(A320,CONTROL[VEHIDCODE],PROPERTIES[EXCLUDE])</f>
        <v>0</v>
      </c>
      <c r="C320" t="b">
        <f>_xlfn.XLOOKUP(A320,CONTROL[VEHIDCODE],CONTROL[IS_WAGON_OR_COACH])</f>
        <v>0</v>
      </c>
      <c r="D320">
        <f>FLOOR(_xlfn.XLOOKUP($A320,PROPERTIES[VEHIDCODE],PROPERTIES[INTRODUCTION_YEAR]),20)</f>
        <v>1980</v>
      </c>
      <c r="E320" t="e">
        <f>_xlfn.XLOOKUP($A320,PROPERTIES[VEHIDCODE],#REF!)</f>
        <v>#REF!</v>
      </c>
      <c r="F320" s="25" t="str" cm="1">
        <f t="array" ref="F320">_xlfn.CONCAT(_xlfn.XLOOKUP($A320,PROPERTIES[VEHIDCODE],PROPERTIES[REGION1]),"_",_xlfn.XLOOKUP($A320,PROPERTIES[VEHIDCODE],PROPERTIES[REGION2]),"_",_xlfn.XLOOKUP($A320,PROPERTIES[VEHIDCODE],PROPERTIES[REGION3]&amp;"_"&amp;_xlfn.XLOOKUP($A320,PROPERTIES[VEHIDCODE],PROPERTIES[REGION4])))</f>
        <v>COMECON_NO_REGION_NO_REGION_NO_REGION</v>
      </c>
      <c r="G320" t="b">
        <f t="shared" si="36"/>
        <v>0</v>
      </c>
      <c r="H320" t="b">
        <f t="shared" si="43"/>
        <v>1</v>
      </c>
      <c r="I320" t="b">
        <f t="shared" si="37"/>
        <v>0</v>
      </c>
      <c r="J320" t="b">
        <f t="shared" si="44"/>
        <v>1</v>
      </c>
      <c r="K320" t="b">
        <f t="shared" si="38"/>
        <v>0</v>
      </c>
      <c r="L320" t="b">
        <f t="shared" si="39"/>
        <v>0</v>
      </c>
      <c r="M320" t="b">
        <f t="shared" si="40"/>
        <v>0</v>
      </c>
      <c r="N320" t="b">
        <f t="shared" si="41"/>
        <v>0</v>
      </c>
      <c r="O320" t="b">
        <f t="shared" si="42"/>
        <v>0</v>
      </c>
    </row>
    <row r="321" spans="1:15" x14ac:dyDescent="0.35">
      <c r="A321" t="str">
        <v>mtro_Bombardier_Boston_01800</v>
      </c>
      <c r="B321" t="b" cm="1">
        <f t="array" ref="B321">_xlfn.XLOOKUP(A321,CONTROL[VEHIDCODE],PROPERTIES[EXCLUDE])</f>
        <v>0</v>
      </c>
      <c r="C321" t="b">
        <f>_xlfn.XLOOKUP(A321,CONTROL[VEHIDCODE],CONTROL[IS_WAGON_OR_COACH])</f>
        <v>0</v>
      </c>
      <c r="D321">
        <f>FLOOR(_xlfn.XLOOKUP($A321,PROPERTIES[VEHIDCODE],PROPERTIES[INTRODUCTION_YEAR]),20)</f>
        <v>1980</v>
      </c>
      <c r="E321" t="e">
        <f>_xlfn.XLOOKUP($A321,PROPERTIES[VEHIDCODE],#REF!)</f>
        <v>#REF!</v>
      </c>
      <c r="F321" s="25" t="str" cm="1">
        <f t="array" ref="F321">_xlfn.CONCAT(_xlfn.XLOOKUP($A321,PROPERTIES[VEHIDCODE],PROPERTIES[REGION1]),"_",_xlfn.XLOOKUP($A321,PROPERTIES[VEHIDCODE],PROPERTIES[REGION2]),"_",_xlfn.XLOOKUP($A321,PROPERTIES[VEHIDCODE],PROPERTIES[REGION3]&amp;"_"&amp;_xlfn.XLOOKUP($A321,PROPERTIES[VEHIDCODE],PROPERTIES[REGION4])))</f>
        <v>NORTH_AMERICA_NO_REGION_NO_REGION_NO_REGION</v>
      </c>
      <c r="G321" t="b">
        <f t="shared" si="36"/>
        <v>0</v>
      </c>
      <c r="H321" t="b">
        <f t="shared" si="43"/>
        <v>0</v>
      </c>
      <c r="I321" t="b">
        <f t="shared" si="37"/>
        <v>0</v>
      </c>
      <c r="J321" t="b">
        <f t="shared" si="44"/>
        <v>0</v>
      </c>
      <c r="K321" t="b">
        <f t="shared" si="38"/>
        <v>0</v>
      </c>
      <c r="L321" t="b">
        <f t="shared" si="39"/>
        <v>0</v>
      </c>
      <c r="M321" t="b">
        <f t="shared" si="40"/>
        <v>1</v>
      </c>
      <c r="N321" t="b">
        <f t="shared" si="41"/>
        <v>0</v>
      </c>
      <c r="O321" t="b">
        <f t="shared" si="42"/>
        <v>0</v>
      </c>
    </row>
    <row r="322" spans="1:15" x14ac:dyDescent="0.35">
      <c r="A322" t="str">
        <v>mtro_Breda_LA_A650</v>
      </c>
      <c r="B322" t="b" cm="1">
        <f t="array" ref="B322">_xlfn.XLOOKUP(A322,CONTROL[VEHIDCODE],PROPERTIES[EXCLUDE])</f>
        <v>0</v>
      </c>
      <c r="C322" t="b">
        <f>_xlfn.XLOOKUP(A322,CONTROL[VEHIDCODE],CONTROL[IS_WAGON_OR_COACH])</f>
        <v>0</v>
      </c>
      <c r="D322">
        <f>FLOOR(_xlfn.XLOOKUP($A322,PROPERTIES[VEHIDCODE],PROPERTIES[INTRODUCTION_YEAR]),20)</f>
        <v>1980</v>
      </c>
      <c r="E322" t="e">
        <f>_xlfn.XLOOKUP($A322,PROPERTIES[VEHIDCODE],#REF!)</f>
        <v>#REF!</v>
      </c>
      <c r="F322" s="25" t="str" cm="1">
        <f t="array" ref="F322">_xlfn.CONCAT(_xlfn.XLOOKUP($A322,PROPERTIES[VEHIDCODE],PROPERTIES[REGION1]),"_",_xlfn.XLOOKUP($A322,PROPERTIES[VEHIDCODE],PROPERTIES[REGION2]),"_",_xlfn.XLOOKUP($A322,PROPERTIES[VEHIDCODE],PROPERTIES[REGION3]&amp;"_"&amp;_xlfn.XLOOKUP($A322,PROPERTIES[VEHIDCODE],PROPERTIES[REGION4])))</f>
        <v>NORTH_AMERICA_NO_REGION_NO_REGION_NO_REGION</v>
      </c>
      <c r="G322" t="b">
        <f t="shared" ref="G322:G385" si="45">OR(ISNUMBER(SEARCH("ALL_REGION",$F322)),
ISNUMBER(SEARCH("AFRICA",$F322)),
ISNUMBER(SEARCH("OLD_WORLD",$F322)),
ISNUMBER(SEARCH("NON_EUROPEAN",$F322)))</f>
        <v>0</v>
      </c>
      <c r="H322" t="b">
        <f t="shared" si="43"/>
        <v>0</v>
      </c>
      <c r="I322" t="b">
        <f t="shared" ref="I322:I385" si="46">OR(ISNUMBER(SEARCH("ALL_REGION",$F322)),
ISNUMBER(SEARCH("ALL_EUROPE",$F322)),
ISNUMBER(SEARCH(I$1,$F322)),
ISNUMBER(SEARCH("OLD_WORLD",$F322)))</f>
        <v>0</v>
      </c>
      <c r="J322" t="b">
        <f t="shared" si="44"/>
        <v>0</v>
      </c>
      <c r="K322" t="b">
        <f t="shared" ref="K322:K385" si="47">OR(ISNUMBER(SEARCH("ALL_REGION",$F322)),
ISNUMBER(SEARCH("ALL_EUROPE",$F322)),
ISNUMBER(SEARCH(K$1,$F322)),
ISNUMBER(SEARCH("OLD_WORLD",$F322)),
ISNUMBER(SEARCH("NORTH_WEST_EUROPE",$F322)))</f>
        <v>0</v>
      </c>
      <c r="L322" t="b">
        <f t="shared" ref="L322:L385" si="48">OR(ISNUMBER(SEARCH("ALL_REGION",$F322)),
ISNUMBER(SEARCH("ALL_EUROPE",$F322)),
ISNUMBER(SEARCH(L$1,$F322)),
ISNUMBER(SEARCH("OLD_WORLD",$F322)),
ISNUMBER(SEARCH("NORTH_WEST_EUROPE",$F322)),
ISNUMBER(SEARCH("POST_SOVIET_BALTIC",$F322)))</f>
        <v>0</v>
      </c>
      <c r="M322" t="b">
        <f t="shared" ref="M322:M385" si="49">OR(ISNUMBER(SEARCH("ALL_REGION",$F322)),
ISNUMBER(SEARCH("ALL_AMERICA",$F322)),
ISNUMBER(SEARCH(M$1,$F322)),
ISNUMBER(SEARCH("NON_EUROPEAN",$F322)))</f>
        <v>1</v>
      </c>
      <c r="N322" t="b">
        <f t="shared" ref="N322:N385" si="50">OR(ISNUMBER(SEARCH("ALL_REGION",$F322)),
ISNUMBER(SEARCH("ALL_AMERICA",$F322)),
ISNUMBER(SEARCH(N$1,$F322)),
ISNUMBER(SEARCH("NON_EUROPEAN",$F322)),
ISNUMBER(SEARCH("COMECON_EXTENDED",$F322)))</f>
        <v>0</v>
      </c>
      <c r="O322" t="b">
        <f t="shared" ref="O322:O385" si="51">OR(ISNUMBER(SEARCH("ALL_REGION",$F322)),
ISNUMBER(SEARCH(O$1,$F322)),
ISNUMBER(SEARCH("APAC",$F322)))</f>
        <v>0</v>
      </c>
    </row>
    <row r="323" spans="1:15" x14ac:dyDescent="0.35">
      <c r="A323" t="str">
        <v>mtro_Kawasaki_Taipei_C301</v>
      </c>
      <c r="B323" t="b" cm="1">
        <f t="array" ref="B323">_xlfn.XLOOKUP(A323,CONTROL[VEHIDCODE],PROPERTIES[EXCLUDE])</f>
        <v>0</v>
      </c>
      <c r="C323" t="b">
        <f>_xlfn.XLOOKUP(A323,CONTROL[VEHIDCODE],CONTROL[IS_WAGON_OR_COACH])</f>
        <v>0</v>
      </c>
      <c r="D323">
        <f>FLOOR(_xlfn.XLOOKUP($A323,PROPERTIES[VEHIDCODE],PROPERTIES[INTRODUCTION_YEAR]),20)</f>
        <v>1980</v>
      </c>
      <c r="E323" t="e">
        <f>_xlfn.XLOOKUP($A323,PROPERTIES[VEHIDCODE],#REF!)</f>
        <v>#REF!</v>
      </c>
      <c r="F323" s="25" t="str" cm="1">
        <f t="array" ref="F323">_xlfn.CONCAT(_xlfn.XLOOKUP($A323,PROPERTIES[VEHIDCODE],PROPERTIES[REGION1]),"_",_xlfn.XLOOKUP($A323,PROPERTIES[VEHIDCODE],PROPERTIES[REGION2]),"_",_xlfn.XLOOKUP($A323,PROPERTIES[VEHIDCODE],PROPERTIES[REGION3]&amp;"_"&amp;_xlfn.XLOOKUP($A323,PROPERTIES[VEHIDCODE],PROPERTIES[REGION4])))</f>
        <v>ASIA_NO_REGION_NO_REGION_NO_REGION</v>
      </c>
      <c r="G323" t="b">
        <f t="shared" si="45"/>
        <v>0</v>
      </c>
      <c r="H323" t="b">
        <f t="shared" ref="H323:H386" si="52">OR(ISNUMBER(SEARCH("ALL_REGION",$F323)),
ISNUMBER(SEARCH("ASIA",$F323)),
ISNUMBER(SEARCH("OLD_WORLD",$F323)),
ISNUMBER(SEARCH("NON_EUROPEAN",$F323)),
ISNUMBER(SEARCH("APAC",$F323)),
ISNUMBER(SEARCH("COMECON",$F323)),
ISNUMBER(SEARCH("COMECON_EXTENDED",$F323)),
ISNUMBER(SEARCH("POST_SOVIET_BALTIC",$F323)))</f>
        <v>1</v>
      </c>
      <c r="I323" t="b">
        <f t="shared" si="46"/>
        <v>0</v>
      </c>
      <c r="J323" t="b">
        <f t="shared" ref="J323:J386" si="53">OR(ISNUMBER(SEARCH("ALL_REGION",$F323)),
ISNUMBER(SEARCH("ALL_EUROPE",$F323)),
ISNUMBER(SEARCH(J$1,$F323)),
ISNUMBER(SEARCH("OLD_WORLD",$F323)),
ISNUMBER(SEARCH("COMECON",$F323)),
ISNUMBER(SEARCH("POST_SOVIET_BALTIC",$F323)))</f>
        <v>0</v>
      </c>
      <c r="K323" t="b">
        <f t="shared" si="47"/>
        <v>0</v>
      </c>
      <c r="L323" t="b">
        <f t="shared" si="48"/>
        <v>0</v>
      </c>
      <c r="M323" t="b">
        <f t="shared" si="49"/>
        <v>0</v>
      </c>
      <c r="N323" t="b">
        <f t="shared" si="50"/>
        <v>0</v>
      </c>
      <c r="O323" t="b">
        <f t="shared" si="51"/>
        <v>0</v>
      </c>
    </row>
    <row r="324" spans="1:15" x14ac:dyDescent="0.35">
      <c r="A324" t="str">
        <v>mtro_CAF_Amsterdam_S3_90</v>
      </c>
      <c r="B324" t="b" cm="1">
        <f t="array" ref="B324">_xlfn.XLOOKUP(A324,CONTROL[VEHIDCODE],PROPERTIES[EXCLUDE])</f>
        <v>0</v>
      </c>
      <c r="C324" t="b">
        <f>_xlfn.XLOOKUP(A324,CONTROL[VEHIDCODE],CONTROL[IS_WAGON_OR_COACH])</f>
        <v>0</v>
      </c>
      <c r="D324">
        <f>FLOOR(_xlfn.XLOOKUP($A324,PROPERTIES[VEHIDCODE],PROPERTIES[INTRODUCTION_YEAR]),20)</f>
        <v>1980</v>
      </c>
      <c r="E324" t="e">
        <f>_xlfn.XLOOKUP($A324,PROPERTIES[VEHIDCODE],#REF!)</f>
        <v>#REF!</v>
      </c>
      <c r="F324" s="25" t="str" cm="1">
        <f t="array" ref="F324">_xlfn.CONCAT(_xlfn.XLOOKUP($A324,PROPERTIES[VEHIDCODE],PROPERTIES[REGION1]),"_",_xlfn.XLOOKUP($A324,PROPERTIES[VEHIDCODE],PROPERTIES[REGION2]),"_",_xlfn.XLOOKUP($A324,PROPERTIES[VEHIDCODE],PROPERTIES[REGION3]&amp;"_"&amp;_xlfn.XLOOKUP($A324,PROPERTIES[VEHIDCODE],PROPERTIES[REGION4])))</f>
        <v>WESTERN_EUROPE_NO_REGION_NO_REGION_NO_REGION</v>
      </c>
      <c r="G324" t="b">
        <f t="shared" si="45"/>
        <v>0</v>
      </c>
      <c r="H324" t="b">
        <f t="shared" si="52"/>
        <v>0</v>
      </c>
      <c r="I324" t="b">
        <f t="shared" si="46"/>
        <v>0</v>
      </c>
      <c r="J324" t="b">
        <f t="shared" si="53"/>
        <v>0</v>
      </c>
      <c r="K324" t="b">
        <f t="shared" si="47"/>
        <v>1</v>
      </c>
      <c r="L324" t="b">
        <f t="shared" si="48"/>
        <v>0</v>
      </c>
      <c r="M324" t="b">
        <f t="shared" si="49"/>
        <v>0</v>
      </c>
      <c r="N324" t="b">
        <f t="shared" si="50"/>
        <v>0</v>
      </c>
      <c r="O324" t="b">
        <f t="shared" si="51"/>
        <v>0</v>
      </c>
    </row>
    <row r="325" spans="1:15" x14ac:dyDescent="0.35">
      <c r="A325" t="str">
        <v>mtro_GEC_Alsthom_Paris_MP89</v>
      </c>
      <c r="B325" t="b" cm="1">
        <f t="array" ref="B325">_xlfn.XLOOKUP(A325,CONTROL[VEHIDCODE],PROPERTIES[EXCLUDE])</f>
        <v>0</v>
      </c>
      <c r="C325" t="b">
        <f>_xlfn.XLOOKUP(A325,CONTROL[VEHIDCODE],CONTROL[IS_WAGON_OR_COACH])</f>
        <v>0</v>
      </c>
      <c r="D325">
        <f>FLOOR(_xlfn.XLOOKUP($A325,PROPERTIES[VEHIDCODE],PROPERTIES[INTRODUCTION_YEAR]),20)</f>
        <v>1980</v>
      </c>
      <c r="E325" t="e">
        <f>_xlfn.XLOOKUP($A325,PROPERTIES[VEHIDCODE],#REF!)</f>
        <v>#REF!</v>
      </c>
      <c r="F325" s="25" t="str" cm="1">
        <f t="array" ref="F325">_xlfn.CONCAT(_xlfn.XLOOKUP($A325,PROPERTIES[VEHIDCODE],PROPERTIES[REGION1]),"_",_xlfn.XLOOKUP($A325,PROPERTIES[VEHIDCODE],PROPERTIES[REGION2]),"_",_xlfn.XLOOKUP($A325,PROPERTIES[VEHIDCODE],PROPERTIES[REGION3]&amp;"_"&amp;_xlfn.XLOOKUP($A325,PROPERTIES[VEHIDCODE],PROPERTIES[REGION4])))</f>
        <v>WESTERN_EUROPE_NO_REGION_NO_REGION_NO_REGION</v>
      </c>
      <c r="G325" t="b">
        <f t="shared" si="45"/>
        <v>0</v>
      </c>
      <c r="H325" t="b">
        <f t="shared" si="52"/>
        <v>0</v>
      </c>
      <c r="I325" t="b">
        <f t="shared" si="46"/>
        <v>0</v>
      </c>
      <c r="J325" t="b">
        <f t="shared" si="53"/>
        <v>0</v>
      </c>
      <c r="K325" t="b">
        <f t="shared" si="47"/>
        <v>1</v>
      </c>
      <c r="L325" t="b">
        <f t="shared" si="48"/>
        <v>0</v>
      </c>
      <c r="M325" t="b">
        <f t="shared" si="49"/>
        <v>0</v>
      </c>
      <c r="N325" t="b">
        <f t="shared" si="50"/>
        <v>0</v>
      </c>
      <c r="O325" t="b">
        <f t="shared" si="51"/>
        <v>0</v>
      </c>
    </row>
    <row r="326" spans="1:15" x14ac:dyDescent="0.35">
      <c r="A326" t="str">
        <v>mtro_MMZ_Moscow_81_740</v>
      </c>
      <c r="B326" t="b" cm="1">
        <f t="array" ref="B326">_xlfn.XLOOKUP(A326,CONTROL[VEHIDCODE],PROPERTIES[EXCLUDE])</f>
        <v>0</v>
      </c>
      <c r="C326" t="b">
        <f>_xlfn.XLOOKUP(A326,CONTROL[VEHIDCODE],CONTROL[IS_WAGON_OR_COACH])</f>
        <v>0</v>
      </c>
      <c r="D326">
        <f>FLOOR(_xlfn.XLOOKUP($A326,PROPERTIES[VEHIDCODE],PROPERTIES[INTRODUCTION_YEAR]),20)</f>
        <v>2000</v>
      </c>
      <c r="E326" t="e">
        <f>_xlfn.XLOOKUP($A326,PROPERTIES[VEHIDCODE],#REF!)</f>
        <v>#REF!</v>
      </c>
      <c r="F326" s="25" t="str" cm="1">
        <f t="array" ref="F326">_xlfn.CONCAT(_xlfn.XLOOKUP($A326,PROPERTIES[VEHIDCODE],PROPERTIES[REGION1]),"_",_xlfn.XLOOKUP($A326,PROPERTIES[VEHIDCODE],PROPERTIES[REGION2]),"_",_xlfn.XLOOKUP($A326,PROPERTIES[VEHIDCODE],PROPERTIES[REGION3]&amp;"_"&amp;_xlfn.XLOOKUP($A326,PROPERTIES[VEHIDCODE],PROPERTIES[REGION4])))</f>
        <v>COMECON_NO_REGION_NO_REGION_NO_REGION</v>
      </c>
      <c r="G326" t="b">
        <f t="shared" si="45"/>
        <v>0</v>
      </c>
      <c r="H326" t="b">
        <f t="shared" si="52"/>
        <v>1</v>
      </c>
      <c r="I326" t="b">
        <f t="shared" si="46"/>
        <v>0</v>
      </c>
      <c r="J326" t="b">
        <f t="shared" si="53"/>
        <v>1</v>
      </c>
      <c r="K326" t="b">
        <f t="shared" si="47"/>
        <v>0</v>
      </c>
      <c r="L326" t="b">
        <f t="shared" si="48"/>
        <v>0</v>
      </c>
      <c r="M326" t="b">
        <f t="shared" si="49"/>
        <v>0</v>
      </c>
      <c r="N326" t="b">
        <f t="shared" si="50"/>
        <v>0</v>
      </c>
      <c r="O326" t="b">
        <f t="shared" si="51"/>
        <v>0</v>
      </c>
    </row>
    <row r="327" spans="1:15" x14ac:dyDescent="0.35">
      <c r="A327" t="str">
        <v>mtro_Alstom_Singapore_C830_Metropolis</v>
      </c>
      <c r="B327" t="b" cm="1">
        <f t="array" ref="B327">_xlfn.XLOOKUP(A327,CONTROL[VEHIDCODE],PROPERTIES[EXCLUDE])</f>
        <v>1</v>
      </c>
      <c r="C327" t="b">
        <f>_xlfn.XLOOKUP(A327,CONTROL[VEHIDCODE],CONTROL[IS_WAGON_OR_COACH])</f>
        <v>0</v>
      </c>
      <c r="D327">
        <f>FLOOR(_xlfn.XLOOKUP($A327,PROPERTIES[VEHIDCODE],PROPERTIES[INTRODUCTION_YEAR]),20)</f>
        <v>2000</v>
      </c>
      <c r="E327" t="e">
        <f>_xlfn.XLOOKUP($A327,PROPERTIES[VEHIDCODE],#REF!)</f>
        <v>#REF!</v>
      </c>
      <c r="F327" s="25" t="str" cm="1">
        <f t="array" ref="F327">_xlfn.CONCAT(_xlfn.XLOOKUP($A327,PROPERTIES[VEHIDCODE],PROPERTIES[REGION1]),"_",_xlfn.XLOOKUP($A327,PROPERTIES[VEHIDCODE],PROPERTIES[REGION2]),"_",_xlfn.XLOOKUP($A327,PROPERTIES[VEHIDCODE],PROPERTIES[REGION3]&amp;"_"&amp;_xlfn.XLOOKUP($A327,PROPERTIES[VEHIDCODE],PROPERTIES[REGION4])))</f>
        <v>ASIA_NO_REGION_NO_REGION_NO_REGION</v>
      </c>
      <c r="G327" t="b">
        <f t="shared" si="45"/>
        <v>0</v>
      </c>
      <c r="H327" t="b">
        <f t="shared" si="52"/>
        <v>1</v>
      </c>
      <c r="I327" t="b">
        <f t="shared" si="46"/>
        <v>0</v>
      </c>
      <c r="J327" t="b">
        <f t="shared" si="53"/>
        <v>0</v>
      </c>
      <c r="K327" t="b">
        <f t="shared" si="47"/>
        <v>0</v>
      </c>
      <c r="L327" t="b">
        <f t="shared" si="48"/>
        <v>0</v>
      </c>
      <c r="M327" t="b">
        <f t="shared" si="49"/>
        <v>0</v>
      </c>
      <c r="N327" t="b">
        <f t="shared" si="50"/>
        <v>0</v>
      </c>
      <c r="O327" t="b">
        <f t="shared" si="51"/>
        <v>0</v>
      </c>
    </row>
    <row r="328" spans="1:15" x14ac:dyDescent="0.35">
      <c r="A328" t="str">
        <v>mtro_Siemens_Oslo_MX3000</v>
      </c>
      <c r="B328" t="b" cm="1">
        <f t="array" ref="B328">_xlfn.XLOOKUP(A328,CONTROL[VEHIDCODE],PROPERTIES[EXCLUDE])</f>
        <v>0</v>
      </c>
      <c r="C328" t="b">
        <f>_xlfn.XLOOKUP(A328,CONTROL[VEHIDCODE],CONTROL[IS_WAGON_OR_COACH])</f>
        <v>0</v>
      </c>
      <c r="D328">
        <f>FLOOR(_xlfn.XLOOKUP($A328,PROPERTIES[VEHIDCODE],PROPERTIES[INTRODUCTION_YEAR]),20)</f>
        <v>2000</v>
      </c>
      <c r="E328" t="e">
        <f>_xlfn.XLOOKUP($A328,PROPERTIES[VEHIDCODE],#REF!)</f>
        <v>#REF!</v>
      </c>
      <c r="F328" s="25" t="str" cm="1">
        <f t="array" ref="F328">_xlfn.CONCAT(_xlfn.XLOOKUP($A328,PROPERTIES[VEHIDCODE],PROPERTIES[REGION1]),"_",_xlfn.XLOOKUP($A328,PROPERTIES[VEHIDCODE],PROPERTIES[REGION2]),"_",_xlfn.XLOOKUP($A328,PROPERTIES[VEHIDCODE],PROPERTIES[REGION3]&amp;"_"&amp;_xlfn.XLOOKUP($A328,PROPERTIES[VEHIDCODE],PROPERTIES[REGION4])))</f>
        <v>NORTHERN_EUROPE_NO_REGION_NO_REGION_NO_REGION</v>
      </c>
      <c r="G328" t="b">
        <f t="shared" si="45"/>
        <v>0</v>
      </c>
      <c r="H328" t="b">
        <f t="shared" si="52"/>
        <v>0</v>
      </c>
      <c r="I328" t="b">
        <f t="shared" si="46"/>
        <v>0</v>
      </c>
      <c r="J328" t="b">
        <f t="shared" si="53"/>
        <v>0</v>
      </c>
      <c r="K328" t="b">
        <f t="shared" si="47"/>
        <v>0</v>
      </c>
      <c r="L328" t="b">
        <f t="shared" si="48"/>
        <v>1</v>
      </c>
      <c r="M328" t="b">
        <f t="shared" si="49"/>
        <v>0</v>
      </c>
      <c r="N328" t="b">
        <f t="shared" si="50"/>
        <v>0</v>
      </c>
      <c r="O328" t="b">
        <f t="shared" si="51"/>
        <v>0</v>
      </c>
    </row>
    <row r="329" spans="1:15" x14ac:dyDescent="0.35">
      <c r="A329" t="str">
        <v>mtro_Kawasaki_Osaka_30000</v>
      </c>
      <c r="B329" t="b" cm="1">
        <f t="array" ref="B329">_xlfn.XLOOKUP(A329,CONTROL[VEHIDCODE],PROPERTIES[EXCLUDE])</f>
        <v>0</v>
      </c>
      <c r="C329" t="b">
        <f>_xlfn.XLOOKUP(A329,CONTROL[VEHIDCODE],CONTROL[IS_WAGON_OR_COACH])</f>
        <v>0</v>
      </c>
      <c r="D329">
        <f>FLOOR(_xlfn.XLOOKUP($A329,PROPERTIES[VEHIDCODE],PROPERTIES[INTRODUCTION_YEAR]),20)</f>
        <v>2000</v>
      </c>
      <c r="E329" t="e">
        <f>_xlfn.XLOOKUP($A329,PROPERTIES[VEHIDCODE],#REF!)</f>
        <v>#REF!</v>
      </c>
      <c r="F329" s="25" t="str" cm="1">
        <f t="array" ref="F329">_xlfn.CONCAT(_xlfn.XLOOKUP($A329,PROPERTIES[VEHIDCODE],PROPERTIES[REGION1]),"_",_xlfn.XLOOKUP($A329,PROPERTIES[VEHIDCODE],PROPERTIES[REGION2]),"_",_xlfn.XLOOKUP($A329,PROPERTIES[VEHIDCODE],PROPERTIES[REGION3]&amp;"_"&amp;_xlfn.XLOOKUP($A329,PROPERTIES[VEHIDCODE],PROPERTIES[REGION4])))</f>
        <v>ASIA_NO_REGION_NO_REGION_NO_REGION</v>
      </c>
      <c r="G329" t="b">
        <f t="shared" si="45"/>
        <v>0</v>
      </c>
      <c r="H329" t="b">
        <f t="shared" si="52"/>
        <v>1</v>
      </c>
      <c r="I329" t="b">
        <f t="shared" si="46"/>
        <v>0</v>
      </c>
      <c r="J329" t="b">
        <f t="shared" si="53"/>
        <v>0</v>
      </c>
      <c r="K329" t="b">
        <f t="shared" si="47"/>
        <v>0</v>
      </c>
      <c r="L329" t="b">
        <f t="shared" si="48"/>
        <v>0</v>
      </c>
      <c r="M329" t="b">
        <f t="shared" si="49"/>
        <v>0</v>
      </c>
      <c r="N329" t="b">
        <f t="shared" si="50"/>
        <v>0</v>
      </c>
      <c r="O329" t="b">
        <f t="shared" si="51"/>
        <v>0</v>
      </c>
    </row>
    <row r="330" spans="1:15" x14ac:dyDescent="0.35">
      <c r="A330" t="str">
        <v>mtro_Kawasaki_Singapore_C151A</v>
      </c>
      <c r="B330" t="b" cm="1">
        <f t="array" ref="B330">_xlfn.XLOOKUP(A330,CONTROL[VEHIDCODE],PROPERTIES[EXCLUDE])</f>
        <v>0</v>
      </c>
      <c r="C330" t="b">
        <f>_xlfn.XLOOKUP(A330,CONTROL[VEHIDCODE],CONTROL[IS_WAGON_OR_COACH])</f>
        <v>0</v>
      </c>
      <c r="D330">
        <f>FLOOR(_xlfn.XLOOKUP($A330,PROPERTIES[VEHIDCODE],PROPERTIES[INTRODUCTION_YEAR]),20)</f>
        <v>2000</v>
      </c>
      <c r="E330" t="e">
        <f>_xlfn.XLOOKUP($A330,PROPERTIES[VEHIDCODE],#REF!)</f>
        <v>#REF!</v>
      </c>
      <c r="F330" s="25" t="str" cm="1">
        <f t="array" ref="F330">_xlfn.CONCAT(_xlfn.XLOOKUP($A330,PROPERTIES[VEHIDCODE],PROPERTIES[REGION1]),"_",_xlfn.XLOOKUP($A330,PROPERTIES[VEHIDCODE],PROPERTIES[REGION2]),"_",_xlfn.XLOOKUP($A330,PROPERTIES[VEHIDCODE],PROPERTIES[REGION3]&amp;"_"&amp;_xlfn.XLOOKUP($A330,PROPERTIES[VEHIDCODE],PROPERTIES[REGION4])))</f>
        <v>ASIA_NO_REGION_NO_REGION_NO_REGION</v>
      </c>
      <c r="G330" t="b">
        <f t="shared" si="45"/>
        <v>0</v>
      </c>
      <c r="H330" t="b">
        <f t="shared" si="52"/>
        <v>1</v>
      </c>
      <c r="I330" t="b">
        <f t="shared" si="46"/>
        <v>0</v>
      </c>
      <c r="J330" t="b">
        <f t="shared" si="53"/>
        <v>0</v>
      </c>
      <c r="K330" t="b">
        <f t="shared" si="47"/>
        <v>0</v>
      </c>
      <c r="L330" t="b">
        <f t="shared" si="48"/>
        <v>0</v>
      </c>
      <c r="M330" t="b">
        <f t="shared" si="49"/>
        <v>0</v>
      </c>
      <c r="N330" t="b">
        <f t="shared" si="50"/>
        <v>0</v>
      </c>
      <c r="O330" t="b">
        <f t="shared" si="51"/>
        <v>0</v>
      </c>
    </row>
    <row r="331" spans="1:15" x14ac:dyDescent="0.35">
      <c r="A331" t="str">
        <v>mtro_Kawasaki_Washington_7000</v>
      </c>
      <c r="B331" t="b" cm="1">
        <f t="array" ref="B331">_xlfn.XLOOKUP(A331,CONTROL[VEHIDCODE],PROPERTIES[EXCLUDE])</f>
        <v>0</v>
      </c>
      <c r="C331" t="b">
        <f>_xlfn.XLOOKUP(A331,CONTROL[VEHIDCODE],CONTROL[IS_WAGON_OR_COACH])</f>
        <v>0</v>
      </c>
      <c r="D331">
        <f>FLOOR(_xlfn.XLOOKUP($A331,PROPERTIES[VEHIDCODE],PROPERTIES[INTRODUCTION_YEAR]),20)</f>
        <v>2000</v>
      </c>
      <c r="E331" t="e">
        <f>_xlfn.XLOOKUP($A331,PROPERTIES[VEHIDCODE],#REF!)</f>
        <v>#REF!</v>
      </c>
      <c r="F331" s="25" t="str" cm="1">
        <f t="array" ref="F331">_xlfn.CONCAT(_xlfn.XLOOKUP($A331,PROPERTIES[VEHIDCODE],PROPERTIES[REGION1]),"_",_xlfn.XLOOKUP($A331,PROPERTIES[VEHIDCODE],PROPERTIES[REGION2]),"_",_xlfn.XLOOKUP($A331,PROPERTIES[VEHIDCODE],PROPERTIES[REGION3]&amp;"_"&amp;_xlfn.XLOOKUP($A331,PROPERTIES[VEHIDCODE],PROPERTIES[REGION4])))</f>
        <v>NORTH_AMERICA_NO_REGION_NO_REGION_NO_REGION</v>
      </c>
      <c r="G331" t="b">
        <f t="shared" si="45"/>
        <v>0</v>
      </c>
      <c r="H331" t="b">
        <f t="shared" si="52"/>
        <v>0</v>
      </c>
      <c r="I331" t="b">
        <f t="shared" si="46"/>
        <v>0</v>
      </c>
      <c r="J331" t="b">
        <f t="shared" si="53"/>
        <v>0</v>
      </c>
      <c r="K331" t="b">
        <f t="shared" si="47"/>
        <v>0</v>
      </c>
      <c r="L331" t="b">
        <f t="shared" si="48"/>
        <v>0</v>
      </c>
      <c r="M331" t="b">
        <f t="shared" si="49"/>
        <v>1</v>
      </c>
      <c r="N331" t="b">
        <f t="shared" si="50"/>
        <v>0</v>
      </c>
      <c r="O331" t="b">
        <f t="shared" si="51"/>
        <v>0</v>
      </c>
    </row>
    <row r="332" spans="1:15" x14ac:dyDescent="0.35">
      <c r="A332" t="str">
        <v>mtro_Hitachi_Thessaloniki_2014</v>
      </c>
      <c r="B332" t="b" cm="1">
        <f t="array" ref="B332">_xlfn.XLOOKUP(A332,CONTROL[VEHIDCODE],PROPERTIES[EXCLUDE])</f>
        <v>0</v>
      </c>
      <c r="C332" t="b">
        <f>_xlfn.XLOOKUP(A332,CONTROL[VEHIDCODE],CONTROL[IS_WAGON_OR_COACH])</f>
        <v>0</v>
      </c>
      <c r="D332">
        <f>FLOOR(_xlfn.XLOOKUP($A332,PROPERTIES[VEHIDCODE],PROPERTIES[INTRODUCTION_YEAR]),20)</f>
        <v>2020</v>
      </c>
      <c r="E332" t="e">
        <f>_xlfn.XLOOKUP($A332,PROPERTIES[VEHIDCODE],#REF!)</f>
        <v>#REF!</v>
      </c>
      <c r="F332" s="25" t="str" cm="1">
        <f t="array" ref="F332">_xlfn.CONCAT(_xlfn.XLOOKUP($A332,PROPERTIES[VEHIDCODE],PROPERTIES[REGION1]),"_",_xlfn.XLOOKUP($A332,PROPERTIES[VEHIDCODE],PROPERTIES[REGION2]),"_",_xlfn.XLOOKUP($A332,PROPERTIES[VEHIDCODE],PROPERTIES[REGION3]&amp;"_"&amp;_xlfn.XLOOKUP($A332,PROPERTIES[VEHIDCODE],PROPERTIES[REGION4])))</f>
        <v>SOUTHERN_EUROPE_NO_REGION_NO_REGION_NO_REGION</v>
      </c>
      <c r="G332" t="b">
        <f t="shared" si="45"/>
        <v>0</v>
      </c>
      <c r="H332" t="b">
        <f t="shared" si="52"/>
        <v>0</v>
      </c>
      <c r="I332" t="b">
        <f t="shared" si="46"/>
        <v>1</v>
      </c>
      <c r="J332" t="b">
        <f t="shared" si="53"/>
        <v>0</v>
      </c>
      <c r="K332" t="b">
        <f t="shared" si="47"/>
        <v>0</v>
      </c>
      <c r="L332" t="b">
        <f t="shared" si="48"/>
        <v>0</v>
      </c>
      <c r="M332" t="b">
        <f t="shared" si="49"/>
        <v>0</v>
      </c>
      <c r="N332" t="b">
        <f t="shared" si="50"/>
        <v>0</v>
      </c>
      <c r="O332" t="b">
        <f t="shared" si="51"/>
        <v>0</v>
      </c>
    </row>
    <row r="333" spans="1:15" x14ac:dyDescent="0.35">
      <c r="A333" t="str">
        <v>mtro_AEG_Berlin_U_Bahn_A_I</v>
      </c>
      <c r="B333" t="b" cm="1">
        <f t="array" ref="B333">_xlfn.XLOOKUP(A333,CONTROL[VEHIDCODE],PROPERTIES[EXCLUDE])</f>
        <v>0</v>
      </c>
      <c r="C333" t="b">
        <f>_xlfn.XLOOKUP(A333,CONTROL[VEHIDCODE],CONTROL[IS_WAGON_OR_COACH])</f>
        <v>0</v>
      </c>
      <c r="D333">
        <f>FLOOR(_xlfn.XLOOKUP($A333,PROPERTIES[VEHIDCODE],PROPERTIES[INTRODUCTION_YEAR]),20)</f>
        <v>1900</v>
      </c>
      <c r="E333" t="e">
        <f>_xlfn.XLOOKUP($A333,PROPERTIES[VEHIDCODE],#REF!)</f>
        <v>#REF!</v>
      </c>
      <c r="F333" s="25" t="str" cm="1">
        <f t="array" ref="F333">_xlfn.CONCAT(_xlfn.XLOOKUP($A333,PROPERTIES[VEHIDCODE],PROPERTIES[REGION1]),"_",_xlfn.XLOOKUP($A333,PROPERTIES[VEHIDCODE],PROPERTIES[REGION2]),"_",_xlfn.XLOOKUP($A333,PROPERTIES[VEHIDCODE],PROPERTIES[REGION3]&amp;"_"&amp;_xlfn.XLOOKUP($A333,PROPERTIES[VEHIDCODE],PROPERTIES[REGION4])))</f>
        <v>WESTERN_EUROPE_NO_REGION_NO_REGION_NO_REGION</v>
      </c>
      <c r="G333" t="b">
        <f t="shared" si="45"/>
        <v>0</v>
      </c>
      <c r="H333" t="b">
        <f t="shared" si="52"/>
        <v>0</v>
      </c>
      <c r="I333" t="b">
        <f t="shared" si="46"/>
        <v>0</v>
      </c>
      <c r="J333" t="b">
        <f t="shared" si="53"/>
        <v>0</v>
      </c>
      <c r="K333" t="b">
        <f t="shared" si="47"/>
        <v>1</v>
      </c>
      <c r="L333" t="b">
        <f t="shared" si="48"/>
        <v>0</v>
      </c>
      <c r="M333" t="b">
        <f t="shared" si="49"/>
        <v>0</v>
      </c>
      <c r="N333" t="b">
        <f t="shared" si="50"/>
        <v>0</v>
      </c>
      <c r="O333" t="b">
        <f t="shared" si="51"/>
        <v>0</v>
      </c>
    </row>
    <row r="334" spans="1:15" x14ac:dyDescent="0.35">
      <c r="A334" t="str">
        <v>mtro_ACF_New_York_Hedley_Hi_V</v>
      </c>
      <c r="B334" t="b" cm="1">
        <f t="array" ref="B334">_xlfn.XLOOKUP(A334,CONTROL[VEHIDCODE],PROPERTIES[EXCLUDE])</f>
        <v>0</v>
      </c>
      <c r="C334" t="b">
        <f>_xlfn.XLOOKUP(A334,CONTROL[VEHIDCODE],CONTROL[IS_WAGON_OR_COACH])</f>
        <v>0</v>
      </c>
      <c r="D334">
        <f>FLOOR(_xlfn.XLOOKUP($A334,PROPERTIES[VEHIDCODE],PROPERTIES[INTRODUCTION_YEAR]),20)</f>
        <v>1900</v>
      </c>
      <c r="E334" t="e">
        <f>_xlfn.XLOOKUP($A334,PROPERTIES[VEHIDCODE],#REF!)</f>
        <v>#REF!</v>
      </c>
      <c r="F334" s="25" t="str" cm="1">
        <f t="array" ref="F334">_xlfn.CONCAT(_xlfn.XLOOKUP($A334,PROPERTIES[VEHIDCODE],PROPERTIES[REGION1]),"_",_xlfn.XLOOKUP($A334,PROPERTIES[VEHIDCODE],PROPERTIES[REGION2]),"_",_xlfn.XLOOKUP($A334,PROPERTIES[VEHIDCODE],PROPERTIES[REGION3]&amp;"_"&amp;_xlfn.XLOOKUP($A334,PROPERTIES[VEHIDCODE],PROPERTIES[REGION4])))</f>
        <v>NORTH_AMERICA_NO_REGION_NO_REGION_NO_REGION</v>
      </c>
      <c r="G334" t="b">
        <f t="shared" si="45"/>
        <v>0</v>
      </c>
      <c r="H334" t="b">
        <f t="shared" si="52"/>
        <v>0</v>
      </c>
      <c r="I334" t="b">
        <f t="shared" si="46"/>
        <v>0</v>
      </c>
      <c r="J334" t="b">
        <f t="shared" si="53"/>
        <v>0</v>
      </c>
      <c r="K334" t="b">
        <f t="shared" si="47"/>
        <v>0</v>
      </c>
      <c r="L334" t="b">
        <f t="shared" si="48"/>
        <v>0</v>
      </c>
      <c r="M334" t="b">
        <f t="shared" si="49"/>
        <v>1</v>
      </c>
      <c r="N334" t="b">
        <f t="shared" si="50"/>
        <v>0</v>
      </c>
      <c r="O334" t="b">
        <f t="shared" si="51"/>
        <v>0</v>
      </c>
    </row>
    <row r="335" spans="1:15" x14ac:dyDescent="0.35">
      <c r="A335" t="str">
        <v>mtro_Kawasaki_Osaka_1000</v>
      </c>
      <c r="B335" t="b" cm="1">
        <f t="array" ref="B335">_xlfn.XLOOKUP(A335,CONTROL[VEHIDCODE],PROPERTIES[EXCLUDE])</f>
        <v>0</v>
      </c>
      <c r="C335" t="b">
        <f>_xlfn.XLOOKUP(A335,CONTROL[VEHIDCODE],CONTROL[IS_WAGON_OR_COACH])</f>
        <v>0</v>
      </c>
      <c r="D335">
        <f>FLOOR(_xlfn.XLOOKUP($A335,PROPERTIES[VEHIDCODE],PROPERTIES[INTRODUCTION_YEAR]),20)</f>
        <v>1920</v>
      </c>
      <c r="E335" t="e">
        <f>_xlfn.XLOOKUP($A335,PROPERTIES[VEHIDCODE],#REF!)</f>
        <v>#REF!</v>
      </c>
      <c r="F335" s="25" t="str" cm="1">
        <f t="array" ref="F335">_xlfn.CONCAT(_xlfn.XLOOKUP($A335,PROPERTIES[VEHIDCODE],PROPERTIES[REGION1]),"_",_xlfn.XLOOKUP($A335,PROPERTIES[VEHIDCODE],PROPERTIES[REGION2]),"_",_xlfn.XLOOKUP($A335,PROPERTIES[VEHIDCODE],PROPERTIES[REGION3]&amp;"_"&amp;_xlfn.XLOOKUP($A335,PROPERTIES[VEHIDCODE],PROPERTIES[REGION4])))</f>
        <v>ASIA_NO_REGION_NO_REGION_NO_REGION</v>
      </c>
      <c r="G335" t="b">
        <f t="shared" si="45"/>
        <v>0</v>
      </c>
      <c r="H335" t="b">
        <f t="shared" si="52"/>
        <v>1</v>
      </c>
      <c r="I335" t="b">
        <f t="shared" si="46"/>
        <v>0</v>
      </c>
      <c r="J335" t="b">
        <f t="shared" si="53"/>
        <v>0</v>
      </c>
      <c r="K335" t="b">
        <f t="shared" si="47"/>
        <v>0</v>
      </c>
      <c r="L335" t="b">
        <f t="shared" si="48"/>
        <v>0</v>
      </c>
      <c r="M335" t="b">
        <f t="shared" si="49"/>
        <v>0</v>
      </c>
      <c r="N335" t="b">
        <f t="shared" si="50"/>
        <v>0</v>
      </c>
      <c r="O335" t="b">
        <f t="shared" si="51"/>
        <v>0</v>
      </c>
    </row>
    <row r="336" spans="1:15" x14ac:dyDescent="0.35">
      <c r="A336" t="str">
        <v>mtro_MMZ_Moscow_Type_A</v>
      </c>
      <c r="B336" t="b" cm="1">
        <f t="array" ref="B336">_xlfn.XLOOKUP(A336,CONTROL[VEHIDCODE],PROPERTIES[EXCLUDE])</f>
        <v>0</v>
      </c>
      <c r="C336" t="b">
        <f>_xlfn.XLOOKUP(A336,CONTROL[VEHIDCODE],CONTROL[IS_WAGON_OR_COACH])</f>
        <v>0</v>
      </c>
      <c r="D336">
        <f>FLOOR(_xlfn.XLOOKUP($A336,PROPERTIES[VEHIDCODE],PROPERTIES[INTRODUCTION_YEAR]),20)</f>
        <v>1920</v>
      </c>
      <c r="E336" t="e">
        <f>_xlfn.XLOOKUP($A336,PROPERTIES[VEHIDCODE],#REF!)</f>
        <v>#REF!</v>
      </c>
      <c r="F336" s="25" t="str" cm="1">
        <f t="array" ref="F336">_xlfn.CONCAT(_xlfn.XLOOKUP($A336,PROPERTIES[VEHIDCODE],PROPERTIES[REGION1]),"_",_xlfn.XLOOKUP($A336,PROPERTIES[VEHIDCODE],PROPERTIES[REGION2]),"_",_xlfn.XLOOKUP($A336,PROPERTIES[VEHIDCODE],PROPERTIES[REGION3]&amp;"_"&amp;_xlfn.XLOOKUP($A336,PROPERTIES[VEHIDCODE],PROPERTIES[REGION4])))</f>
        <v>COMECON_NO_REGION_NO_REGION_NO_REGION</v>
      </c>
      <c r="G336" t="b">
        <f t="shared" si="45"/>
        <v>0</v>
      </c>
      <c r="H336" t="b">
        <f t="shared" si="52"/>
        <v>1</v>
      </c>
      <c r="I336" t="b">
        <f t="shared" si="46"/>
        <v>0</v>
      </c>
      <c r="J336" t="b">
        <f t="shared" si="53"/>
        <v>1</v>
      </c>
      <c r="K336" t="b">
        <f t="shared" si="47"/>
        <v>0</v>
      </c>
      <c r="L336" t="b">
        <f t="shared" si="48"/>
        <v>0</v>
      </c>
      <c r="M336" t="b">
        <f t="shared" si="49"/>
        <v>0</v>
      </c>
      <c r="N336" t="b">
        <f t="shared" si="50"/>
        <v>0</v>
      </c>
      <c r="O336" t="b">
        <f t="shared" si="51"/>
        <v>0</v>
      </c>
    </row>
    <row r="337" spans="1:15" x14ac:dyDescent="0.35">
      <c r="A337" t="str">
        <v>mtro_ACF_New_York_R10</v>
      </c>
      <c r="B337" t="b" cm="1">
        <f t="array" ref="B337">_xlfn.XLOOKUP(A337,CONTROL[VEHIDCODE],PROPERTIES[EXCLUDE])</f>
        <v>0</v>
      </c>
      <c r="C337" t="b">
        <f>_xlfn.XLOOKUP(A337,CONTROL[VEHIDCODE],CONTROL[IS_WAGON_OR_COACH])</f>
        <v>0</v>
      </c>
      <c r="D337">
        <f>FLOOR(_xlfn.XLOOKUP($A337,PROPERTIES[VEHIDCODE],PROPERTIES[INTRODUCTION_YEAR]),20)</f>
        <v>1940</v>
      </c>
      <c r="E337" t="e">
        <f>_xlfn.XLOOKUP($A337,PROPERTIES[VEHIDCODE],#REF!)</f>
        <v>#REF!</v>
      </c>
      <c r="F337" s="25" t="str" cm="1">
        <f t="array" ref="F337">_xlfn.CONCAT(_xlfn.XLOOKUP($A337,PROPERTIES[VEHIDCODE],PROPERTIES[REGION1]),"_",_xlfn.XLOOKUP($A337,PROPERTIES[VEHIDCODE],PROPERTIES[REGION2]),"_",_xlfn.XLOOKUP($A337,PROPERTIES[VEHIDCODE],PROPERTIES[REGION3]&amp;"_"&amp;_xlfn.XLOOKUP($A337,PROPERTIES[VEHIDCODE],PROPERTIES[REGION4])))</f>
        <v>NORTH_AMERICA_NO_REGION_NO_REGION_NO_REGION</v>
      </c>
      <c r="G337" t="b">
        <f t="shared" si="45"/>
        <v>0</v>
      </c>
      <c r="H337" t="b">
        <f t="shared" si="52"/>
        <v>0</v>
      </c>
      <c r="I337" t="b">
        <f t="shared" si="46"/>
        <v>0</v>
      </c>
      <c r="J337" t="b">
        <f t="shared" si="53"/>
        <v>0</v>
      </c>
      <c r="K337" t="b">
        <f t="shared" si="47"/>
        <v>0</v>
      </c>
      <c r="L337" t="b">
        <f t="shared" si="48"/>
        <v>0</v>
      </c>
      <c r="M337" t="b">
        <f t="shared" si="49"/>
        <v>1</v>
      </c>
      <c r="N337" t="b">
        <f t="shared" si="50"/>
        <v>0</v>
      </c>
      <c r="O337" t="b">
        <f t="shared" si="51"/>
        <v>0</v>
      </c>
    </row>
    <row r="338" spans="1:15" x14ac:dyDescent="0.35">
      <c r="A338" t="str">
        <v>mtro_Stanga_Rome_MR_100</v>
      </c>
      <c r="B338" t="b" cm="1">
        <f t="array" ref="B338">_xlfn.XLOOKUP(A338,CONTROL[VEHIDCODE],PROPERTIES[EXCLUDE])</f>
        <v>0</v>
      </c>
      <c r="C338" t="b">
        <f>_xlfn.XLOOKUP(A338,CONTROL[VEHIDCODE],CONTROL[IS_WAGON_OR_COACH])</f>
        <v>0</v>
      </c>
      <c r="D338">
        <f>FLOOR(_xlfn.XLOOKUP($A338,PROPERTIES[VEHIDCODE],PROPERTIES[INTRODUCTION_YEAR]),20)</f>
        <v>1940</v>
      </c>
      <c r="E338" t="e">
        <f>_xlfn.XLOOKUP($A338,PROPERTIES[VEHIDCODE],#REF!)</f>
        <v>#REF!</v>
      </c>
      <c r="F338" s="25" t="str" cm="1">
        <f t="array" ref="F338">_xlfn.CONCAT(_xlfn.XLOOKUP($A338,PROPERTIES[VEHIDCODE],PROPERTIES[REGION1]),"_",_xlfn.XLOOKUP($A338,PROPERTIES[VEHIDCODE],PROPERTIES[REGION2]),"_",_xlfn.XLOOKUP($A338,PROPERTIES[VEHIDCODE],PROPERTIES[REGION3]&amp;"_"&amp;_xlfn.XLOOKUP($A338,PROPERTIES[VEHIDCODE],PROPERTIES[REGION4])))</f>
        <v>SOUTHERN_EUROPE_NO_REGION_NO_REGION_NO_REGION</v>
      </c>
      <c r="G338" t="b">
        <f t="shared" si="45"/>
        <v>0</v>
      </c>
      <c r="H338" t="b">
        <f t="shared" si="52"/>
        <v>0</v>
      </c>
      <c r="I338" t="b">
        <f t="shared" si="46"/>
        <v>1</v>
      </c>
      <c r="J338" t="b">
        <f t="shared" si="53"/>
        <v>0</v>
      </c>
      <c r="K338" t="b">
        <f t="shared" si="47"/>
        <v>0</v>
      </c>
      <c r="L338" t="b">
        <f t="shared" si="48"/>
        <v>0</v>
      </c>
      <c r="M338" t="b">
        <f t="shared" si="49"/>
        <v>0</v>
      </c>
      <c r="N338" t="b">
        <f t="shared" si="50"/>
        <v>0</v>
      </c>
      <c r="O338" t="b">
        <f t="shared" si="51"/>
        <v>0</v>
      </c>
    </row>
    <row r="339" spans="1:15" x14ac:dyDescent="0.35">
      <c r="A339" t="str">
        <v>mtro_MMZ_Moscow_Type_D</v>
      </c>
      <c r="B339" t="b" cm="1">
        <f t="array" ref="B339">_xlfn.XLOOKUP(A339,CONTROL[VEHIDCODE],PROPERTIES[EXCLUDE])</f>
        <v>0</v>
      </c>
      <c r="C339" t="b">
        <f>_xlfn.XLOOKUP(A339,CONTROL[VEHIDCODE],CONTROL[IS_WAGON_OR_COACH])</f>
        <v>0</v>
      </c>
      <c r="D339">
        <f>FLOOR(_xlfn.XLOOKUP($A339,PROPERTIES[VEHIDCODE],PROPERTIES[INTRODUCTION_YEAR]),20)</f>
        <v>1940</v>
      </c>
      <c r="E339" t="e">
        <f>_xlfn.XLOOKUP($A339,PROPERTIES[VEHIDCODE],#REF!)</f>
        <v>#REF!</v>
      </c>
      <c r="F339" s="25" t="str" cm="1">
        <f t="array" ref="F339">_xlfn.CONCAT(_xlfn.XLOOKUP($A339,PROPERTIES[VEHIDCODE],PROPERTIES[REGION1]),"_",_xlfn.XLOOKUP($A339,PROPERTIES[VEHIDCODE],PROPERTIES[REGION2]),"_",_xlfn.XLOOKUP($A339,PROPERTIES[VEHIDCODE],PROPERTIES[REGION3]&amp;"_"&amp;_xlfn.XLOOKUP($A339,PROPERTIES[VEHIDCODE],PROPERTIES[REGION4])))</f>
        <v>COMECON_NO_REGION_NO_REGION_NO_REGION</v>
      </c>
      <c r="G339" t="b">
        <f t="shared" si="45"/>
        <v>0</v>
      </c>
      <c r="H339" t="b">
        <f t="shared" si="52"/>
        <v>1</v>
      </c>
      <c r="I339" t="b">
        <f t="shared" si="46"/>
        <v>0</v>
      </c>
      <c r="J339" t="b">
        <f t="shared" si="53"/>
        <v>1</v>
      </c>
      <c r="K339" t="b">
        <f t="shared" si="47"/>
        <v>0</v>
      </c>
      <c r="L339" t="b">
        <f t="shared" si="48"/>
        <v>0</v>
      </c>
      <c r="M339" t="b">
        <f t="shared" si="49"/>
        <v>0</v>
      </c>
      <c r="N339" t="b">
        <f t="shared" si="50"/>
        <v>0</v>
      </c>
      <c r="O339" t="b">
        <f t="shared" si="51"/>
        <v>0</v>
      </c>
    </row>
    <row r="340" spans="1:15" x14ac:dyDescent="0.35">
      <c r="A340" t="str">
        <v>mtro_Werkspoor_Rotterdam_MG2_Type_M</v>
      </c>
      <c r="B340" t="b" cm="1">
        <f t="array" ref="B340">_xlfn.XLOOKUP(A340,CONTROL[VEHIDCODE],PROPERTIES[EXCLUDE])</f>
        <v>0</v>
      </c>
      <c r="C340" t="b">
        <f>_xlfn.XLOOKUP(A340,CONTROL[VEHIDCODE],CONTROL[IS_WAGON_OR_COACH])</f>
        <v>0</v>
      </c>
      <c r="D340">
        <f>FLOOR(_xlfn.XLOOKUP($A340,PROPERTIES[VEHIDCODE],PROPERTIES[INTRODUCTION_YEAR]),20)</f>
        <v>1960</v>
      </c>
      <c r="E340" t="e">
        <f>_xlfn.XLOOKUP($A340,PROPERTIES[VEHIDCODE],#REF!)</f>
        <v>#REF!</v>
      </c>
      <c r="F340" s="25" t="str" cm="1">
        <f t="array" ref="F340">_xlfn.CONCAT(_xlfn.XLOOKUP($A340,PROPERTIES[VEHIDCODE],PROPERTIES[REGION1]),"_",_xlfn.XLOOKUP($A340,PROPERTIES[VEHIDCODE],PROPERTIES[REGION2]),"_",_xlfn.XLOOKUP($A340,PROPERTIES[VEHIDCODE],PROPERTIES[REGION3]&amp;"_"&amp;_xlfn.XLOOKUP($A340,PROPERTIES[VEHIDCODE],PROPERTIES[REGION4])))</f>
        <v>WESTERN_EUROPE_NO_REGION_NO_REGION_NO_REGION</v>
      </c>
      <c r="G340" t="b">
        <f t="shared" si="45"/>
        <v>0</v>
      </c>
      <c r="H340" t="b">
        <f t="shared" si="52"/>
        <v>0</v>
      </c>
      <c r="I340" t="b">
        <f t="shared" si="46"/>
        <v>0</v>
      </c>
      <c r="J340" t="b">
        <f t="shared" si="53"/>
        <v>0</v>
      </c>
      <c r="K340" t="b">
        <f t="shared" si="47"/>
        <v>1</v>
      </c>
      <c r="L340" t="b">
        <f t="shared" si="48"/>
        <v>0</v>
      </c>
      <c r="M340" t="b">
        <f t="shared" si="49"/>
        <v>0</v>
      </c>
      <c r="N340" t="b">
        <f t="shared" si="50"/>
        <v>0</v>
      </c>
      <c r="O340" t="b">
        <f t="shared" si="51"/>
        <v>0</v>
      </c>
    </row>
    <row r="341" spans="1:15" x14ac:dyDescent="0.35">
      <c r="A341" t="str">
        <v>mtro_MMZ_Prague_ECS_Set</v>
      </c>
      <c r="B341" t="b" cm="1">
        <f t="array" ref="B341">_xlfn.XLOOKUP(A341,CONTROL[VEHIDCODE],PROPERTIES[EXCLUDE])</f>
        <v>1</v>
      </c>
      <c r="C341" t="b">
        <f>_xlfn.XLOOKUP(A341,CONTROL[VEHIDCODE],CONTROL[IS_WAGON_OR_COACH])</f>
        <v>0</v>
      </c>
      <c r="D341">
        <f>FLOOR(_xlfn.XLOOKUP($A341,PROPERTIES[VEHIDCODE],PROPERTIES[INTRODUCTION_YEAR]),20)</f>
        <v>1960</v>
      </c>
      <c r="E341" t="e">
        <f>_xlfn.XLOOKUP($A341,PROPERTIES[VEHIDCODE],#REF!)</f>
        <v>#REF!</v>
      </c>
      <c r="F341" s="25" t="str" cm="1">
        <f t="array" ref="F341">_xlfn.CONCAT(_xlfn.XLOOKUP($A341,PROPERTIES[VEHIDCODE],PROPERTIES[REGION1]),"_",_xlfn.XLOOKUP($A341,PROPERTIES[VEHIDCODE],PROPERTIES[REGION2]),"_",_xlfn.XLOOKUP($A341,PROPERTIES[VEHIDCODE],PROPERTIES[REGION3]&amp;"_"&amp;_xlfn.XLOOKUP($A341,PROPERTIES[VEHIDCODE],PROPERTIES[REGION4])))</f>
        <v>COMECON_NO_REGION_NO_REGION_NO_REGION</v>
      </c>
      <c r="G341" t="b">
        <f t="shared" si="45"/>
        <v>0</v>
      </c>
      <c r="H341" t="b">
        <f t="shared" si="52"/>
        <v>1</v>
      </c>
      <c r="I341" t="b">
        <f t="shared" si="46"/>
        <v>0</v>
      </c>
      <c r="J341" t="b">
        <f t="shared" si="53"/>
        <v>1</v>
      </c>
      <c r="K341" t="b">
        <f t="shared" si="47"/>
        <v>0</v>
      </c>
      <c r="L341" t="b">
        <f t="shared" si="48"/>
        <v>0</v>
      </c>
      <c r="M341" t="b">
        <f t="shared" si="49"/>
        <v>0</v>
      </c>
      <c r="N341" t="b">
        <f t="shared" si="50"/>
        <v>0</v>
      </c>
      <c r="O341" t="b">
        <f t="shared" si="51"/>
        <v>0</v>
      </c>
    </row>
    <row r="342" spans="1:15" x14ac:dyDescent="0.35">
      <c r="A342" t="str">
        <v>mtro_Hitachi_Buenos_Aires_Serie_1200</v>
      </c>
      <c r="B342" t="b" cm="1">
        <f t="array" ref="B342">_xlfn.XLOOKUP(A342,CONTROL[VEHIDCODE],PROPERTIES[EXCLUDE])</f>
        <v>0</v>
      </c>
      <c r="C342" t="b">
        <f>_xlfn.XLOOKUP(A342,CONTROL[VEHIDCODE],CONTROL[IS_WAGON_OR_COACH])</f>
        <v>0</v>
      </c>
      <c r="D342">
        <f>FLOOR(_xlfn.XLOOKUP($A342,PROPERTIES[VEHIDCODE],PROPERTIES[INTRODUCTION_YEAR]),20)</f>
        <v>1980</v>
      </c>
      <c r="E342" t="e">
        <f>_xlfn.XLOOKUP($A342,PROPERTIES[VEHIDCODE],#REF!)</f>
        <v>#REF!</v>
      </c>
      <c r="F342" s="25" t="str" cm="1">
        <f t="array" ref="F342">_xlfn.CONCAT(_xlfn.XLOOKUP($A342,PROPERTIES[VEHIDCODE],PROPERTIES[REGION1]),"_",_xlfn.XLOOKUP($A342,PROPERTIES[VEHIDCODE],PROPERTIES[REGION2]),"_",_xlfn.XLOOKUP($A342,PROPERTIES[VEHIDCODE],PROPERTIES[REGION3]&amp;"_"&amp;_xlfn.XLOOKUP($A342,PROPERTIES[VEHIDCODE],PROPERTIES[REGION4])))</f>
        <v>SOUTH_AMERICA_NO_REGION_NO_REGION_NO_REGION</v>
      </c>
      <c r="G342" t="b">
        <f t="shared" si="45"/>
        <v>0</v>
      </c>
      <c r="H342" t="b">
        <f t="shared" si="52"/>
        <v>0</v>
      </c>
      <c r="I342" t="b">
        <f t="shared" si="46"/>
        <v>0</v>
      </c>
      <c r="J342" t="b">
        <f t="shared" si="53"/>
        <v>0</v>
      </c>
      <c r="K342" t="b">
        <f t="shared" si="47"/>
        <v>0</v>
      </c>
      <c r="L342" t="b">
        <f t="shared" si="48"/>
        <v>0</v>
      </c>
      <c r="M342" t="b">
        <f t="shared" si="49"/>
        <v>0</v>
      </c>
      <c r="N342" t="b">
        <f t="shared" si="50"/>
        <v>1</v>
      </c>
      <c r="O342" t="b">
        <f t="shared" si="51"/>
        <v>0</v>
      </c>
    </row>
    <row r="343" spans="1:15" x14ac:dyDescent="0.35">
      <c r="A343" t="str">
        <v>mtro_GEC_Alsthom_Santiago_NS_93</v>
      </c>
      <c r="B343" t="b" cm="1">
        <f t="array" ref="B343">_xlfn.XLOOKUP(A343,CONTROL[VEHIDCODE],PROPERTIES[EXCLUDE])</f>
        <v>0</v>
      </c>
      <c r="C343" t="b">
        <f>_xlfn.XLOOKUP(A343,CONTROL[VEHIDCODE],CONTROL[IS_WAGON_OR_COACH])</f>
        <v>0</v>
      </c>
      <c r="D343">
        <f>FLOOR(_xlfn.XLOOKUP($A343,PROPERTIES[VEHIDCODE],PROPERTIES[INTRODUCTION_YEAR]),20)</f>
        <v>1980</v>
      </c>
      <c r="E343" t="e">
        <f>_xlfn.XLOOKUP($A343,PROPERTIES[VEHIDCODE],#REF!)</f>
        <v>#REF!</v>
      </c>
      <c r="F343" s="25" t="str" cm="1">
        <f t="array" ref="F343">_xlfn.CONCAT(_xlfn.XLOOKUP($A343,PROPERTIES[VEHIDCODE],PROPERTIES[REGION1]),"_",_xlfn.XLOOKUP($A343,PROPERTIES[VEHIDCODE],PROPERTIES[REGION2]),"_",_xlfn.XLOOKUP($A343,PROPERTIES[VEHIDCODE],PROPERTIES[REGION3]&amp;"_"&amp;_xlfn.XLOOKUP($A343,PROPERTIES[VEHIDCODE],PROPERTIES[REGION4])))</f>
        <v>SOUTH_AMERICA_NO_REGION_NO_REGION_NO_REGION</v>
      </c>
      <c r="G343" t="b">
        <f t="shared" si="45"/>
        <v>0</v>
      </c>
      <c r="H343" t="b">
        <f t="shared" si="52"/>
        <v>0</v>
      </c>
      <c r="I343" t="b">
        <f t="shared" si="46"/>
        <v>0</v>
      </c>
      <c r="J343" t="b">
        <f t="shared" si="53"/>
        <v>0</v>
      </c>
      <c r="K343" t="b">
        <f t="shared" si="47"/>
        <v>0</v>
      </c>
      <c r="L343" t="b">
        <f t="shared" si="48"/>
        <v>0</v>
      </c>
      <c r="M343" t="b">
        <f t="shared" si="49"/>
        <v>0</v>
      </c>
      <c r="N343" t="b">
        <f t="shared" si="50"/>
        <v>1</v>
      </c>
      <c r="O343" t="b">
        <f t="shared" si="51"/>
        <v>0</v>
      </c>
    </row>
    <row r="344" spans="1:15" x14ac:dyDescent="0.35">
      <c r="A344" t="str">
        <v>mtro_Alstom_Brasil_Santiago_AS_2002</v>
      </c>
      <c r="B344" t="b" cm="1">
        <f t="array" ref="B344">_xlfn.XLOOKUP(A344,CONTROL[VEHIDCODE],PROPERTIES[EXCLUDE])</f>
        <v>1</v>
      </c>
      <c r="C344" t="b">
        <f>_xlfn.XLOOKUP(A344,CONTROL[VEHIDCODE],CONTROL[IS_WAGON_OR_COACH])</f>
        <v>0</v>
      </c>
      <c r="D344">
        <f>FLOOR(_xlfn.XLOOKUP($A344,PROPERTIES[VEHIDCODE],PROPERTIES[INTRODUCTION_YEAR]),20)</f>
        <v>2000</v>
      </c>
      <c r="E344" t="e">
        <f>_xlfn.XLOOKUP($A344,PROPERTIES[VEHIDCODE],#REF!)</f>
        <v>#REF!</v>
      </c>
      <c r="F344" s="25" t="str" cm="1">
        <f t="array" ref="F344">_xlfn.CONCAT(_xlfn.XLOOKUP($A344,PROPERTIES[VEHIDCODE],PROPERTIES[REGION1]),"_",_xlfn.XLOOKUP($A344,PROPERTIES[VEHIDCODE],PROPERTIES[REGION2]),"_",_xlfn.XLOOKUP($A344,PROPERTIES[VEHIDCODE],PROPERTIES[REGION3]&amp;"_"&amp;_xlfn.XLOOKUP($A344,PROPERTIES[VEHIDCODE],PROPERTIES[REGION4])))</f>
        <v>SOUTH_AMERICA_NO_REGION_NO_REGION_NO_REGION</v>
      </c>
      <c r="G344" t="b">
        <f t="shared" si="45"/>
        <v>0</v>
      </c>
      <c r="H344" t="b">
        <f t="shared" si="52"/>
        <v>0</v>
      </c>
      <c r="I344" t="b">
        <f t="shared" si="46"/>
        <v>0</v>
      </c>
      <c r="J344" t="b">
        <f t="shared" si="53"/>
        <v>0</v>
      </c>
      <c r="K344" t="b">
        <f t="shared" si="47"/>
        <v>0</v>
      </c>
      <c r="L344" t="b">
        <f t="shared" si="48"/>
        <v>0</v>
      </c>
      <c r="M344" t="b">
        <f t="shared" si="49"/>
        <v>0</v>
      </c>
      <c r="N344" t="b">
        <f t="shared" si="50"/>
        <v>1</v>
      </c>
      <c r="O344" t="b">
        <f t="shared" si="51"/>
        <v>0</v>
      </c>
    </row>
    <row r="345" spans="1:15" x14ac:dyDescent="0.35">
      <c r="A345" t="str">
        <v>mtro_TUDH_Recife_VLT_Mobile_3</v>
      </c>
      <c r="B345" t="b" cm="1">
        <f t="array" ref="B345">_xlfn.XLOOKUP(A345,CONTROL[VEHIDCODE],PROPERTIES[EXCLUDE])</f>
        <v>0</v>
      </c>
      <c r="C345" t="b">
        <f>_xlfn.XLOOKUP(A345,CONTROL[VEHIDCODE],CONTROL[IS_WAGON_OR_COACH])</f>
        <v>0</v>
      </c>
      <c r="D345">
        <f>FLOOR(_xlfn.XLOOKUP($A345,PROPERTIES[VEHIDCODE],PROPERTIES[INTRODUCTION_YEAR]),20)</f>
        <v>2000</v>
      </c>
      <c r="E345" t="e">
        <f>_xlfn.XLOOKUP($A345,PROPERTIES[VEHIDCODE],#REF!)</f>
        <v>#REF!</v>
      </c>
      <c r="F345" s="25" t="str" cm="1">
        <f t="array" ref="F345">_xlfn.CONCAT(_xlfn.XLOOKUP($A345,PROPERTIES[VEHIDCODE],PROPERTIES[REGION1]),"_",_xlfn.XLOOKUP($A345,PROPERTIES[VEHIDCODE],PROPERTIES[REGION2]),"_",_xlfn.XLOOKUP($A345,PROPERTIES[VEHIDCODE],PROPERTIES[REGION3]&amp;"_"&amp;_xlfn.XLOOKUP($A345,PROPERTIES[VEHIDCODE],PROPERTIES[REGION4])))</f>
        <v>SOUTH_AMERICA_NO_REGION_NO_REGION_NO_REGION</v>
      </c>
      <c r="G345" t="b">
        <f t="shared" si="45"/>
        <v>0</v>
      </c>
      <c r="H345" t="b">
        <f t="shared" si="52"/>
        <v>0</v>
      </c>
      <c r="I345" t="b">
        <f t="shared" si="46"/>
        <v>0</v>
      </c>
      <c r="J345" t="b">
        <f t="shared" si="53"/>
        <v>0</v>
      </c>
      <c r="K345" t="b">
        <f t="shared" si="47"/>
        <v>0</v>
      </c>
      <c r="L345" t="b">
        <f t="shared" si="48"/>
        <v>0</v>
      </c>
      <c r="M345" t="b">
        <f t="shared" si="49"/>
        <v>0</v>
      </c>
      <c r="N345" t="b">
        <f t="shared" si="50"/>
        <v>1</v>
      </c>
      <c r="O345" t="b">
        <f t="shared" si="51"/>
        <v>0</v>
      </c>
    </row>
    <row r="346" spans="1:15" x14ac:dyDescent="0.35">
      <c r="A346" t="str">
        <v>mtro_CAF_Madrid_Series_5000</v>
      </c>
      <c r="B346" t="b" cm="1">
        <f t="array" ref="B346">_xlfn.XLOOKUP(A346,CONTROL[VEHIDCODE],PROPERTIES[EXCLUDE])</f>
        <v>0</v>
      </c>
      <c r="C346" t="b">
        <f>_xlfn.XLOOKUP(A346,CONTROL[VEHIDCODE],CONTROL[IS_WAGON_OR_COACH])</f>
        <v>0</v>
      </c>
      <c r="D346">
        <f>FLOOR(_xlfn.XLOOKUP($A346,PROPERTIES[VEHIDCODE],PROPERTIES[INTRODUCTION_YEAR]),20)</f>
        <v>1960</v>
      </c>
      <c r="E346" t="e">
        <f>_xlfn.XLOOKUP($A346,PROPERTIES[VEHIDCODE],#REF!)</f>
        <v>#REF!</v>
      </c>
      <c r="F346" s="25" t="str" cm="1">
        <f t="array" ref="F346">_xlfn.CONCAT(_xlfn.XLOOKUP($A346,PROPERTIES[VEHIDCODE],PROPERTIES[REGION1]),"_",_xlfn.XLOOKUP($A346,PROPERTIES[VEHIDCODE],PROPERTIES[REGION2]),"_",_xlfn.XLOOKUP($A346,PROPERTIES[VEHIDCODE],PROPERTIES[REGION3]&amp;"_"&amp;_xlfn.XLOOKUP($A346,PROPERTIES[VEHIDCODE],PROPERTIES[REGION4])))</f>
        <v>SOUTHERN_EUROPE_NO_REGION_NO_REGION_NO_REGION</v>
      </c>
      <c r="G346" t="b">
        <f t="shared" si="45"/>
        <v>0</v>
      </c>
      <c r="H346" t="b">
        <f t="shared" si="52"/>
        <v>0</v>
      </c>
      <c r="I346" t="b">
        <f t="shared" si="46"/>
        <v>1</v>
      </c>
      <c r="J346" t="b">
        <f t="shared" si="53"/>
        <v>0</v>
      </c>
      <c r="K346" t="b">
        <f t="shared" si="47"/>
        <v>0</v>
      </c>
      <c r="L346" t="b">
        <f t="shared" si="48"/>
        <v>0</v>
      </c>
      <c r="M346" t="b">
        <f t="shared" si="49"/>
        <v>0</v>
      </c>
      <c r="N346" t="b">
        <f t="shared" si="50"/>
        <v>0</v>
      </c>
      <c r="O346" t="b">
        <f t="shared" si="51"/>
        <v>0</v>
      </c>
    </row>
    <row r="347" spans="1:15" x14ac:dyDescent="0.35">
      <c r="A347" t="str">
        <v>mtro_CAF_Rome_S_300</v>
      </c>
      <c r="B347" t="b" cm="1">
        <f t="array" ref="B347">_xlfn.XLOOKUP(A347,CONTROL[VEHIDCODE],PROPERTIES[EXCLUDE])</f>
        <v>0</v>
      </c>
      <c r="C347" t="b">
        <f>_xlfn.XLOOKUP(A347,CONTROL[VEHIDCODE],CONTROL[IS_WAGON_OR_COACH])</f>
        <v>0</v>
      </c>
      <c r="D347">
        <f>FLOOR(_xlfn.XLOOKUP($A347,PROPERTIES[VEHIDCODE],PROPERTIES[INTRODUCTION_YEAR]),20)</f>
        <v>1980</v>
      </c>
      <c r="E347" t="e">
        <f>_xlfn.XLOOKUP($A347,PROPERTIES[VEHIDCODE],#REF!)</f>
        <v>#REF!</v>
      </c>
      <c r="F347" s="25" t="str" cm="1">
        <f t="array" ref="F347">_xlfn.CONCAT(_xlfn.XLOOKUP($A347,PROPERTIES[VEHIDCODE],PROPERTIES[REGION1]),"_",_xlfn.XLOOKUP($A347,PROPERTIES[VEHIDCODE],PROPERTIES[REGION2]),"_",_xlfn.XLOOKUP($A347,PROPERTIES[VEHIDCODE],PROPERTIES[REGION3]&amp;"_"&amp;_xlfn.XLOOKUP($A347,PROPERTIES[VEHIDCODE],PROPERTIES[REGION4])))</f>
        <v>SOUTHERN_EUROPE_NO_REGION_NO_REGION_NO_REGION</v>
      </c>
      <c r="G347" t="b">
        <f t="shared" si="45"/>
        <v>0</v>
      </c>
      <c r="H347" t="b">
        <f t="shared" si="52"/>
        <v>0</v>
      </c>
      <c r="I347" t="b">
        <f t="shared" si="46"/>
        <v>1</v>
      </c>
      <c r="J347" t="b">
        <f t="shared" si="53"/>
        <v>0</v>
      </c>
      <c r="K347" t="b">
        <f t="shared" si="47"/>
        <v>0</v>
      </c>
      <c r="L347" t="b">
        <f t="shared" si="48"/>
        <v>0</v>
      </c>
      <c r="M347" t="b">
        <f t="shared" si="49"/>
        <v>0</v>
      </c>
      <c r="N347" t="b">
        <f t="shared" si="50"/>
        <v>0</v>
      </c>
      <c r="O347" t="b">
        <f t="shared" si="51"/>
        <v>0</v>
      </c>
    </row>
    <row r="348" spans="1:15" x14ac:dyDescent="0.35">
      <c r="A348" t="str">
        <v>mtro_CAF_Algiers_2011_Stock</v>
      </c>
      <c r="B348" t="b" cm="1">
        <f t="array" ref="B348">_xlfn.XLOOKUP(A348,CONTROL[VEHIDCODE],PROPERTIES[EXCLUDE])</f>
        <v>0</v>
      </c>
      <c r="C348" t="b">
        <f>_xlfn.XLOOKUP(A348,CONTROL[VEHIDCODE],CONTROL[IS_WAGON_OR_COACH])</f>
        <v>0</v>
      </c>
      <c r="D348">
        <f>FLOOR(_xlfn.XLOOKUP($A348,PROPERTIES[VEHIDCODE],PROPERTIES[INTRODUCTION_YEAR]),20)</f>
        <v>2000</v>
      </c>
      <c r="E348" t="e">
        <f>_xlfn.XLOOKUP($A348,PROPERTIES[VEHIDCODE],#REF!)</f>
        <v>#REF!</v>
      </c>
      <c r="F348" s="25" t="str" cm="1">
        <f t="array" ref="F348">_xlfn.CONCAT(_xlfn.XLOOKUP($A348,PROPERTIES[VEHIDCODE],PROPERTIES[REGION1]),"_",_xlfn.XLOOKUP($A348,PROPERTIES[VEHIDCODE],PROPERTIES[REGION2]),"_",_xlfn.XLOOKUP($A348,PROPERTIES[VEHIDCODE],PROPERTIES[REGION3]&amp;"_"&amp;_xlfn.XLOOKUP($A348,PROPERTIES[VEHIDCODE],PROPERTIES[REGION4])))</f>
        <v>AFRICA_NO_REGION_NO_REGION_NO_REGION</v>
      </c>
      <c r="G348" t="b">
        <f t="shared" si="45"/>
        <v>1</v>
      </c>
      <c r="H348" t="b">
        <f t="shared" si="52"/>
        <v>0</v>
      </c>
      <c r="I348" t="b">
        <f t="shared" si="46"/>
        <v>0</v>
      </c>
      <c r="J348" t="b">
        <f t="shared" si="53"/>
        <v>0</v>
      </c>
      <c r="K348" t="b">
        <f t="shared" si="47"/>
        <v>0</v>
      </c>
      <c r="L348" t="b">
        <f t="shared" si="48"/>
        <v>0</v>
      </c>
      <c r="M348" t="b">
        <f t="shared" si="49"/>
        <v>0</v>
      </c>
      <c r="N348" t="b">
        <f t="shared" si="50"/>
        <v>0</v>
      </c>
      <c r="O348" t="b">
        <f t="shared" si="51"/>
        <v>0</v>
      </c>
    </row>
    <row r="349" spans="1:15" x14ac:dyDescent="0.35">
      <c r="A349" t="str">
        <v>mtro_Stadler_Berlin_U_Bahn_IK</v>
      </c>
      <c r="B349" t="b" cm="1">
        <f t="array" ref="B349">_xlfn.XLOOKUP(A349,CONTROL[VEHIDCODE],PROPERTIES[EXCLUDE])</f>
        <v>0</v>
      </c>
      <c r="C349" t="b">
        <f>_xlfn.XLOOKUP(A349,CONTROL[VEHIDCODE],CONTROL[IS_WAGON_OR_COACH])</f>
        <v>0</v>
      </c>
      <c r="D349">
        <f>FLOOR(_xlfn.XLOOKUP($A349,PROPERTIES[VEHIDCODE],PROPERTIES[INTRODUCTION_YEAR]),20)</f>
        <v>2000</v>
      </c>
      <c r="E349" t="e">
        <f>_xlfn.XLOOKUP($A349,PROPERTIES[VEHIDCODE],#REF!)</f>
        <v>#REF!</v>
      </c>
      <c r="F349" s="25" t="str" cm="1">
        <f t="array" ref="F349">_xlfn.CONCAT(_xlfn.XLOOKUP($A349,PROPERTIES[VEHIDCODE],PROPERTIES[REGION1]),"_",_xlfn.XLOOKUP($A349,PROPERTIES[VEHIDCODE],PROPERTIES[REGION2]),"_",_xlfn.XLOOKUP($A349,PROPERTIES[VEHIDCODE],PROPERTIES[REGION3]&amp;"_"&amp;_xlfn.XLOOKUP($A349,PROPERTIES[VEHIDCODE],PROPERTIES[REGION4])))</f>
        <v>WESTERN_EUROPE_NO_REGION_NO_REGION_NO_REGION</v>
      </c>
      <c r="G349" t="b">
        <f t="shared" si="45"/>
        <v>0</v>
      </c>
      <c r="H349" t="b">
        <f t="shared" si="52"/>
        <v>0</v>
      </c>
      <c r="I349" t="b">
        <f t="shared" si="46"/>
        <v>0</v>
      </c>
      <c r="J349" t="b">
        <f t="shared" si="53"/>
        <v>0</v>
      </c>
      <c r="K349" t="b">
        <f t="shared" si="47"/>
        <v>1</v>
      </c>
      <c r="L349" t="b">
        <f t="shared" si="48"/>
        <v>0</v>
      </c>
      <c r="M349" t="b">
        <f t="shared" si="49"/>
        <v>0</v>
      </c>
      <c r="N349" t="b">
        <f t="shared" si="50"/>
        <v>0</v>
      </c>
      <c r="O349" t="b">
        <f t="shared" si="51"/>
        <v>0</v>
      </c>
    </row>
    <row r="350" spans="1:15" x14ac:dyDescent="0.35">
      <c r="A350" t="str">
        <v>mtro_St__Louis_Car_Company_Chicago_L_6000_Series</v>
      </c>
      <c r="B350" t="b" cm="1">
        <f t="array" ref="B350">_xlfn.XLOOKUP(A350,CONTROL[VEHIDCODE],PROPERTIES[EXCLUDE])</f>
        <v>0</v>
      </c>
      <c r="C350" t="b">
        <f>_xlfn.XLOOKUP(A350,CONTROL[VEHIDCODE],CONTROL[IS_WAGON_OR_COACH])</f>
        <v>0</v>
      </c>
      <c r="D350">
        <f>FLOOR(_xlfn.XLOOKUP($A350,PROPERTIES[VEHIDCODE],PROPERTIES[INTRODUCTION_YEAR]),20)</f>
        <v>1940</v>
      </c>
      <c r="E350" t="e">
        <f>_xlfn.XLOOKUP($A350,PROPERTIES[VEHIDCODE],#REF!)</f>
        <v>#REF!</v>
      </c>
      <c r="F350" s="25" t="str" cm="1">
        <f t="array" ref="F350">_xlfn.CONCAT(_xlfn.XLOOKUP($A350,PROPERTIES[VEHIDCODE],PROPERTIES[REGION1]),"_",_xlfn.XLOOKUP($A350,PROPERTIES[VEHIDCODE],PROPERTIES[REGION2]),"_",_xlfn.XLOOKUP($A350,PROPERTIES[VEHIDCODE],PROPERTIES[REGION3]&amp;"_"&amp;_xlfn.XLOOKUP($A350,PROPERTIES[VEHIDCODE],PROPERTIES[REGION4])))</f>
        <v>NORTH_AMERICA_NO_REGION_NO_REGION_NO_REGION</v>
      </c>
      <c r="G350" t="b">
        <f t="shared" si="45"/>
        <v>0</v>
      </c>
      <c r="H350" t="b">
        <f t="shared" si="52"/>
        <v>0</v>
      </c>
      <c r="I350" t="b">
        <f t="shared" si="46"/>
        <v>0</v>
      </c>
      <c r="J350" t="b">
        <f t="shared" si="53"/>
        <v>0</v>
      </c>
      <c r="K350" t="b">
        <f t="shared" si="47"/>
        <v>0</v>
      </c>
      <c r="L350" t="b">
        <f t="shared" si="48"/>
        <v>0</v>
      </c>
      <c r="M350" t="b">
        <f t="shared" si="49"/>
        <v>1</v>
      </c>
      <c r="N350" t="b">
        <f t="shared" si="50"/>
        <v>0</v>
      </c>
      <c r="O350" t="b">
        <f t="shared" si="51"/>
        <v>0</v>
      </c>
    </row>
    <row r="351" spans="1:15" x14ac:dyDescent="0.35">
      <c r="A351" t="str">
        <v>mtro_BRC_W_London_1903_Stock</v>
      </c>
      <c r="B351" t="b" cm="1">
        <f t="array" ref="B351">_xlfn.XLOOKUP(A351,CONTROL[VEHIDCODE],PROPERTIES[EXCLUDE])</f>
        <v>0</v>
      </c>
      <c r="C351" t="b">
        <f>_xlfn.XLOOKUP(A351,CONTROL[VEHIDCODE],CONTROL[IS_WAGON_OR_COACH])</f>
        <v>0</v>
      </c>
      <c r="D351">
        <f>FLOOR(_xlfn.XLOOKUP($A351,PROPERTIES[VEHIDCODE],PROPERTIES[INTRODUCTION_YEAR]),20)</f>
        <v>1900</v>
      </c>
      <c r="E351" t="e">
        <f>_xlfn.XLOOKUP($A351,PROPERTIES[VEHIDCODE],#REF!)</f>
        <v>#REF!</v>
      </c>
      <c r="F351" s="25" t="str" cm="1">
        <f t="array" ref="F351">_xlfn.CONCAT(_xlfn.XLOOKUP($A351,PROPERTIES[VEHIDCODE],PROPERTIES[REGION1]),"_",_xlfn.XLOOKUP($A351,PROPERTIES[VEHIDCODE],PROPERTIES[REGION2]),"_",_xlfn.XLOOKUP($A351,PROPERTIES[VEHIDCODE],PROPERTIES[REGION3]&amp;"_"&amp;_xlfn.XLOOKUP($A351,PROPERTIES[VEHIDCODE],PROPERTIES[REGION4])))</f>
        <v>NORTHERN_EUROPE_NO_REGION_NO_REGION_NO_REGION</v>
      </c>
      <c r="G351" t="b">
        <f t="shared" si="45"/>
        <v>0</v>
      </c>
      <c r="H351" t="b">
        <f t="shared" si="52"/>
        <v>0</v>
      </c>
      <c r="I351" t="b">
        <f t="shared" si="46"/>
        <v>0</v>
      </c>
      <c r="J351" t="b">
        <f t="shared" si="53"/>
        <v>0</v>
      </c>
      <c r="K351" t="b">
        <f t="shared" si="47"/>
        <v>0</v>
      </c>
      <c r="L351" t="b">
        <f t="shared" si="48"/>
        <v>1</v>
      </c>
      <c r="M351" t="b">
        <f t="shared" si="49"/>
        <v>0</v>
      </c>
      <c r="N351" t="b">
        <f t="shared" si="50"/>
        <v>0</v>
      </c>
      <c r="O351" t="b">
        <f t="shared" si="51"/>
        <v>0</v>
      </c>
    </row>
    <row r="352" spans="1:15" x14ac:dyDescent="0.35">
      <c r="A352" t="str">
        <v>mtro_London_1938_Stock</v>
      </c>
      <c r="B352" t="b" cm="1">
        <f t="array" ref="B352">_xlfn.XLOOKUP(A352,CONTROL[VEHIDCODE],PROPERTIES[EXCLUDE])</f>
        <v>0</v>
      </c>
      <c r="C352" t="b">
        <f>_xlfn.XLOOKUP(A352,CONTROL[VEHIDCODE],CONTROL[IS_WAGON_OR_COACH])</f>
        <v>0</v>
      </c>
      <c r="D352">
        <f>FLOOR(_xlfn.XLOOKUP($A352,PROPERTIES[VEHIDCODE],PROPERTIES[INTRODUCTION_YEAR]),20)</f>
        <v>1920</v>
      </c>
      <c r="E352" t="e">
        <f>_xlfn.XLOOKUP($A352,PROPERTIES[VEHIDCODE],#REF!)</f>
        <v>#REF!</v>
      </c>
      <c r="F352" s="25" t="str" cm="1">
        <f t="array" ref="F352">_xlfn.CONCAT(_xlfn.XLOOKUP($A352,PROPERTIES[VEHIDCODE],PROPERTIES[REGION1]),"_",_xlfn.XLOOKUP($A352,PROPERTIES[VEHIDCODE],PROPERTIES[REGION2]),"_",_xlfn.XLOOKUP($A352,PROPERTIES[VEHIDCODE],PROPERTIES[REGION3]&amp;"_"&amp;_xlfn.XLOOKUP($A352,PROPERTIES[VEHIDCODE],PROPERTIES[REGION4])))</f>
        <v>NORTHERN_EUROPE_NO_REGION_NO_REGION_NO_REGION</v>
      </c>
      <c r="G352" t="b">
        <f t="shared" si="45"/>
        <v>0</v>
      </c>
      <c r="H352" t="b">
        <f t="shared" si="52"/>
        <v>0</v>
      </c>
      <c r="I352" t="b">
        <f t="shared" si="46"/>
        <v>0</v>
      </c>
      <c r="J352" t="b">
        <f t="shared" si="53"/>
        <v>0</v>
      </c>
      <c r="K352" t="b">
        <f t="shared" si="47"/>
        <v>0</v>
      </c>
      <c r="L352" t="b">
        <f t="shared" si="48"/>
        <v>1</v>
      </c>
      <c r="M352" t="b">
        <f t="shared" si="49"/>
        <v>0</v>
      </c>
      <c r="N352" t="b">
        <f t="shared" si="50"/>
        <v>0</v>
      </c>
      <c r="O352" t="b">
        <f t="shared" si="51"/>
        <v>0</v>
      </c>
    </row>
    <row r="353" spans="1:15" x14ac:dyDescent="0.35">
      <c r="A353" t="str">
        <v>electric_NER_EF1</v>
      </c>
      <c r="B353" t="b" cm="1">
        <f t="array" ref="B353">_xlfn.XLOOKUP(A353,CONTROL[VEHIDCODE],PROPERTIES[EXCLUDE])</f>
        <v>0</v>
      </c>
      <c r="C353" t="b">
        <f>_xlfn.XLOOKUP(A353,CONTROL[VEHIDCODE],CONTROL[IS_WAGON_OR_COACH])</f>
        <v>0</v>
      </c>
      <c r="D353">
        <f>FLOOR(_xlfn.XLOOKUP($A353,PROPERTIES[VEHIDCODE],PROPERTIES[INTRODUCTION_YEAR]),20)</f>
        <v>1900</v>
      </c>
      <c r="E353" t="e">
        <f>_xlfn.XLOOKUP($A353,PROPERTIES[VEHIDCODE],#REF!)</f>
        <v>#REF!</v>
      </c>
      <c r="F353" s="25" t="str" cm="1">
        <f t="array" ref="F353">_xlfn.CONCAT(_xlfn.XLOOKUP($A353,PROPERTIES[VEHIDCODE],PROPERTIES[REGION1]),"_",_xlfn.XLOOKUP($A353,PROPERTIES[VEHIDCODE],PROPERTIES[REGION2]),"_",_xlfn.XLOOKUP($A353,PROPERTIES[VEHIDCODE],PROPERTIES[REGION3]&amp;"_"&amp;_xlfn.XLOOKUP($A353,PROPERTIES[VEHIDCODE],PROPERTIES[REGION4])))</f>
        <v>NORTHERN_EUROPE_NO_REGION_NO_REGION_NO_REGION</v>
      </c>
      <c r="G353" t="b">
        <f t="shared" si="45"/>
        <v>0</v>
      </c>
      <c r="H353" t="b">
        <f t="shared" si="52"/>
        <v>0</v>
      </c>
      <c r="I353" t="b">
        <f t="shared" si="46"/>
        <v>0</v>
      </c>
      <c r="J353" t="b">
        <f t="shared" si="53"/>
        <v>0</v>
      </c>
      <c r="K353" t="b">
        <f t="shared" si="47"/>
        <v>0</v>
      </c>
      <c r="L353" t="b">
        <f t="shared" si="48"/>
        <v>1</v>
      </c>
      <c r="M353" t="b">
        <f t="shared" si="49"/>
        <v>0</v>
      </c>
      <c r="N353" t="b">
        <f t="shared" si="50"/>
        <v>0</v>
      </c>
      <c r="O353" t="b">
        <f t="shared" si="51"/>
        <v>0</v>
      </c>
    </row>
    <row r="354" spans="1:15" x14ac:dyDescent="0.35">
      <c r="A354" t="str">
        <v>electric_JNR_EB10</v>
      </c>
      <c r="B354" t="b" cm="1">
        <f t="array" ref="B354">_xlfn.XLOOKUP(A354,CONTROL[VEHIDCODE],PROPERTIES[EXCLUDE])</f>
        <v>0</v>
      </c>
      <c r="C354" t="b">
        <f>_xlfn.XLOOKUP(A354,CONTROL[VEHIDCODE],CONTROL[IS_WAGON_OR_COACH])</f>
        <v>0</v>
      </c>
      <c r="D354">
        <f>FLOOR(_xlfn.XLOOKUP($A354,PROPERTIES[VEHIDCODE],PROPERTIES[INTRODUCTION_YEAR]),20)</f>
        <v>1920</v>
      </c>
      <c r="E354" t="e">
        <f>_xlfn.XLOOKUP($A354,PROPERTIES[VEHIDCODE],#REF!)</f>
        <v>#REF!</v>
      </c>
      <c r="F354" s="25" t="str" cm="1">
        <f t="array" ref="F354">_xlfn.CONCAT(_xlfn.XLOOKUP($A354,PROPERTIES[VEHIDCODE],PROPERTIES[REGION1]),"_",_xlfn.XLOOKUP($A354,PROPERTIES[VEHIDCODE],PROPERTIES[REGION2]),"_",_xlfn.XLOOKUP($A354,PROPERTIES[VEHIDCODE],PROPERTIES[REGION3]&amp;"_"&amp;_xlfn.XLOOKUP($A354,PROPERTIES[VEHIDCODE],PROPERTIES[REGION4])))</f>
        <v>ASIA_NO_REGION_NO_REGION_NO_REGION</v>
      </c>
      <c r="G354" t="b">
        <f t="shared" si="45"/>
        <v>0</v>
      </c>
      <c r="H354" t="b">
        <f t="shared" si="52"/>
        <v>1</v>
      </c>
      <c r="I354" t="b">
        <f t="shared" si="46"/>
        <v>0</v>
      </c>
      <c r="J354" t="b">
        <f t="shared" si="53"/>
        <v>0</v>
      </c>
      <c r="K354" t="b">
        <f t="shared" si="47"/>
        <v>0</v>
      </c>
      <c r="L354" t="b">
        <f t="shared" si="48"/>
        <v>0</v>
      </c>
      <c r="M354" t="b">
        <f t="shared" si="49"/>
        <v>0</v>
      </c>
      <c r="N354" t="b">
        <f t="shared" si="50"/>
        <v>0</v>
      </c>
      <c r="O354" t="b">
        <f t="shared" si="51"/>
        <v>0</v>
      </c>
    </row>
    <row r="355" spans="1:15" x14ac:dyDescent="0.35">
      <c r="A355" t="str">
        <v>electric_Hitachi_Kawasaki_EF55</v>
      </c>
      <c r="B355" t="b" cm="1">
        <f t="array" ref="B355">_xlfn.XLOOKUP(A355,CONTROL[VEHIDCODE],PROPERTIES[EXCLUDE])</f>
        <v>0</v>
      </c>
      <c r="C355" t="b">
        <f>_xlfn.XLOOKUP(A355,CONTROL[VEHIDCODE],CONTROL[IS_WAGON_OR_COACH])</f>
        <v>0</v>
      </c>
      <c r="D355">
        <f>FLOOR(_xlfn.XLOOKUP($A355,PROPERTIES[VEHIDCODE],PROPERTIES[INTRODUCTION_YEAR]),20)</f>
        <v>1920</v>
      </c>
      <c r="E355" t="e">
        <f>_xlfn.XLOOKUP($A355,PROPERTIES[VEHIDCODE],#REF!)</f>
        <v>#REF!</v>
      </c>
      <c r="F355" s="25" t="str" cm="1">
        <f t="array" ref="F355">_xlfn.CONCAT(_xlfn.XLOOKUP($A355,PROPERTIES[VEHIDCODE],PROPERTIES[REGION1]),"_",_xlfn.XLOOKUP($A355,PROPERTIES[VEHIDCODE],PROPERTIES[REGION2]),"_",_xlfn.XLOOKUP($A355,PROPERTIES[VEHIDCODE],PROPERTIES[REGION3]&amp;"_"&amp;_xlfn.XLOOKUP($A355,PROPERTIES[VEHIDCODE],PROPERTIES[REGION4])))</f>
        <v>ASIA_NO_REGION_NO_REGION_NO_REGION</v>
      </c>
      <c r="G355" t="b">
        <f t="shared" si="45"/>
        <v>0</v>
      </c>
      <c r="H355" t="b">
        <f t="shared" si="52"/>
        <v>1</v>
      </c>
      <c r="I355" t="b">
        <f t="shared" si="46"/>
        <v>0</v>
      </c>
      <c r="J355" t="b">
        <f t="shared" si="53"/>
        <v>0</v>
      </c>
      <c r="K355" t="b">
        <f t="shared" si="47"/>
        <v>0</v>
      </c>
      <c r="L355" t="b">
        <f t="shared" si="48"/>
        <v>0</v>
      </c>
      <c r="M355" t="b">
        <f t="shared" si="49"/>
        <v>0</v>
      </c>
      <c r="N355" t="b">
        <f t="shared" si="50"/>
        <v>0</v>
      </c>
      <c r="O355" t="b">
        <f t="shared" si="51"/>
        <v>0</v>
      </c>
    </row>
    <row r="356" spans="1:15" x14ac:dyDescent="0.35">
      <c r="A356" t="str">
        <v>electric_SLM_NS_1000</v>
      </c>
      <c r="B356" t="b" cm="1">
        <f t="array" ref="B356">_xlfn.XLOOKUP(A356,CONTROL[VEHIDCODE],PROPERTIES[EXCLUDE])</f>
        <v>0</v>
      </c>
      <c r="C356" t="b">
        <f>_xlfn.XLOOKUP(A356,CONTROL[VEHIDCODE],CONTROL[IS_WAGON_OR_COACH])</f>
        <v>0</v>
      </c>
      <c r="D356">
        <f>FLOOR(_xlfn.XLOOKUP($A356,PROPERTIES[VEHIDCODE],PROPERTIES[INTRODUCTION_YEAR]),20)</f>
        <v>1940</v>
      </c>
      <c r="E356" t="e">
        <f>_xlfn.XLOOKUP($A356,PROPERTIES[VEHIDCODE],#REF!)</f>
        <v>#REF!</v>
      </c>
      <c r="F356" s="25" t="str" cm="1">
        <f t="array" ref="F356">_xlfn.CONCAT(_xlfn.XLOOKUP($A356,PROPERTIES[VEHIDCODE],PROPERTIES[REGION1]),"_",_xlfn.XLOOKUP($A356,PROPERTIES[VEHIDCODE],PROPERTIES[REGION2]),"_",_xlfn.XLOOKUP($A356,PROPERTIES[VEHIDCODE],PROPERTIES[REGION3]&amp;"_"&amp;_xlfn.XLOOKUP($A356,PROPERTIES[VEHIDCODE],PROPERTIES[REGION4])))</f>
        <v>WESTERN_EUROPE_NO_REGION_NO_REGION_NO_REGION</v>
      </c>
      <c r="G356" t="b">
        <f t="shared" si="45"/>
        <v>0</v>
      </c>
      <c r="H356" t="b">
        <f t="shared" si="52"/>
        <v>0</v>
      </c>
      <c r="I356" t="b">
        <f t="shared" si="46"/>
        <v>0</v>
      </c>
      <c r="J356" t="b">
        <f t="shared" si="53"/>
        <v>0</v>
      </c>
      <c r="K356" t="b">
        <f t="shared" si="47"/>
        <v>1</v>
      </c>
      <c r="L356" t="b">
        <f t="shared" si="48"/>
        <v>0</v>
      </c>
      <c r="M356" t="b">
        <f t="shared" si="49"/>
        <v>0</v>
      </c>
      <c r="N356" t="b">
        <f t="shared" si="50"/>
        <v>0</v>
      </c>
      <c r="O356" t="b">
        <f t="shared" si="51"/>
        <v>0</v>
      </c>
    </row>
    <row r="357" spans="1:15" x14ac:dyDescent="0.35">
      <c r="A357" t="str">
        <v>electric_Alsthom_BB_7200_NS_1600</v>
      </c>
      <c r="B357" t="b" cm="1">
        <f t="array" ref="B357">_xlfn.XLOOKUP(A357,CONTROL[VEHIDCODE],PROPERTIES[EXCLUDE])</f>
        <v>0</v>
      </c>
      <c r="C357" t="b">
        <f>_xlfn.XLOOKUP(A357,CONTROL[VEHIDCODE],CONTROL[IS_WAGON_OR_COACH])</f>
        <v>0</v>
      </c>
      <c r="D357">
        <f>FLOOR(_xlfn.XLOOKUP($A357,PROPERTIES[VEHIDCODE],PROPERTIES[INTRODUCTION_YEAR]),20)</f>
        <v>1980</v>
      </c>
      <c r="E357" t="e">
        <f>_xlfn.XLOOKUP($A357,PROPERTIES[VEHIDCODE],#REF!)</f>
        <v>#REF!</v>
      </c>
      <c r="F357" s="25" t="str" cm="1">
        <f t="array" ref="F357">_xlfn.CONCAT(_xlfn.XLOOKUP($A357,PROPERTIES[VEHIDCODE],PROPERTIES[REGION1]),"_",_xlfn.XLOOKUP($A357,PROPERTIES[VEHIDCODE],PROPERTIES[REGION2]),"_",_xlfn.XLOOKUP($A357,PROPERTIES[VEHIDCODE],PROPERTIES[REGION3]&amp;"_"&amp;_xlfn.XLOOKUP($A357,PROPERTIES[VEHIDCODE],PROPERTIES[REGION4])))</f>
        <v>WESTERN_EUROPE_NO_REGION_NO_REGION_NO_REGION</v>
      </c>
      <c r="G357" t="b">
        <f t="shared" si="45"/>
        <v>0</v>
      </c>
      <c r="H357" t="b">
        <f t="shared" si="52"/>
        <v>0</v>
      </c>
      <c r="I357" t="b">
        <f t="shared" si="46"/>
        <v>0</v>
      </c>
      <c r="J357" t="b">
        <f t="shared" si="53"/>
        <v>0</v>
      </c>
      <c r="K357" t="b">
        <f t="shared" si="47"/>
        <v>1</v>
      </c>
      <c r="L357" t="b">
        <f t="shared" si="48"/>
        <v>0</v>
      </c>
      <c r="M357" t="b">
        <f t="shared" si="49"/>
        <v>0</v>
      </c>
      <c r="N357" t="b">
        <f t="shared" si="50"/>
        <v>0</v>
      </c>
      <c r="O357" t="b">
        <f t="shared" si="51"/>
        <v>0</v>
      </c>
    </row>
    <row r="358" spans="1:15" x14ac:dyDescent="0.35">
      <c r="A358" t="str">
        <v>electric_Victorian_Railways_E</v>
      </c>
      <c r="B358" t="b" cm="1">
        <f t="array" ref="B358">_xlfn.XLOOKUP(A358,CONTROL[VEHIDCODE],PROPERTIES[EXCLUDE])</f>
        <v>0</v>
      </c>
      <c r="C358" t="b">
        <f>_xlfn.XLOOKUP(A358,CONTROL[VEHIDCODE],CONTROL[IS_WAGON_OR_COACH])</f>
        <v>0</v>
      </c>
      <c r="D358">
        <f>FLOOR(_xlfn.XLOOKUP($A358,PROPERTIES[VEHIDCODE],PROPERTIES[INTRODUCTION_YEAR]),20)</f>
        <v>1920</v>
      </c>
      <c r="E358" t="e">
        <f>_xlfn.XLOOKUP($A358,PROPERTIES[VEHIDCODE],#REF!)</f>
        <v>#REF!</v>
      </c>
      <c r="F358" s="25" t="str" cm="1">
        <f t="array" ref="F358">_xlfn.CONCAT(_xlfn.XLOOKUP($A358,PROPERTIES[VEHIDCODE],PROPERTIES[REGION1]),"_",_xlfn.XLOOKUP($A358,PROPERTIES[VEHIDCODE],PROPERTIES[REGION2]),"_",_xlfn.XLOOKUP($A358,PROPERTIES[VEHIDCODE],PROPERTIES[REGION3]&amp;"_"&amp;_xlfn.XLOOKUP($A358,PROPERTIES[VEHIDCODE],PROPERTIES[REGION4])))</f>
        <v>OCEANIA_NO_REGION_NO_REGION_NO_REGION</v>
      </c>
      <c r="G358" t="b">
        <f t="shared" si="45"/>
        <v>0</v>
      </c>
      <c r="H358" t="b">
        <f t="shared" si="52"/>
        <v>0</v>
      </c>
      <c r="I358" t="b">
        <f t="shared" si="46"/>
        <v>0</v>
      </c>
      <c r="J358" t="b">
        <f t="shared" si="53"/>
        <v>0</v>
      </c>
      <c r="K358" t="b">
        <f t="shared" si="47"/>
        <v>0</v>
      </c>
      <c r="L358" t="b">
        <f t="shared" si="48"/>
        <v>0</v>
      </c>
      <c r="M358" t="b">
        <f t="shared" si="49"/>
        <v>0</v>
      </c>
      <c r="N358" t="b">
        <f t="shared" si="50"/>
        <v>0</v>
      </c>
      <c r="O358" t="b">
        <f t="shared" si="51"/>
        <v>1</v>
      </c>
    </row>
    <row r="359" spans="1:15" x14ac:dyDescent="0.35">
      <c r="A359" t="str">
        <v>electric_British_Thomson_Houston_ES1</v>
      </c>
      <c r="B359" t="b" cm="1">
        <f t="array" ref="B359">_xlfn.XLOOKUP(A359,CONTROL[VEHIDCODE],PROPERTIES[EXCLUDE])</f>
        <v>0</v>
      </c>
      <c r="C359" t="b">
        <f>_xlfn.XLOOKUP(A359,CONTROL[VEHIDCODE],CONTROL[IS_WAGON_OR_COACH])</f>
        <v>0</v>
      </c>
      <c r="D359">
        <f>FLOOR(_xlfn.XLOOKUP($A359,PROPERTIES[VEHIDCODE],PROPERTIES[INTRODUCTION_YEAR]),20)</f>
        <v>1900</v>
      </c>
      <c r="E359" t="e">
        <f>_xlfn.XLOOKUP($A359,PROPERTIES[VEHIDCODE],#REF!)</f>
        <v>#REF!</v>
      </c>
      <c r="F359" s="25" t="str" cm="1">
        <f t="array" ref="F359">_xlfn.CONCAT(_xlfn.XLOOKUP($A359,PROPERTIES[VEHIDCODE],PROPERTIES[REGION1]),"_",_xlfn.XLOOKUP($A359,PROPERTIES[VEHIDCODE],PROPERTIES[REGION2]),"_",_xlfn.XLOOKUP($A359,PROPERTIES[VEHIDCODE],PROPERTIES[REGION3]&amp;"_"&amp;_xlfn.XLOOKUP($A359,PROPERTIES[VEHIDCODE],PROPERTIES[REGION4])))</f>
        <v>NORTHERN_EUROPE_NO_REGION_NO_REGION_NO_REGION</v>
      </c>
      <c r="G359" t="b">
        <f t="shared" si="45"/>
        <v>0</v>
      </c>
      <c r="H359" t="b">
        <f t="shared" si="52"/>
        <v>0</v>
      </c>
      <c r="I359" t="b">
        <f t="shared" si="46"/>
        <v>0</v>
      </c>
      <c r="J359" t="b">
        <f t="shared" si="53"/>
        <v>0</v>
      </c>
      <c r="K359" t="b">
        <f t="shared" si="47"/>
        <v>0</v>
      </c>
      <c r="L359" t="b">
        <f t="shared" si="48"/>
        <v>1</v>
      </c>
      <c r="M359" t="b">
        <f t="shared" si="49"/>
        <v>0</v>
      </c>
      <c r="N359" t="b">
        <f t="shared" si="50"/>
        <v>0</v>
      </c>
      <c r="O359" t="b">
        <f t="shared" si="51"/>
        <v>0</v>
      </c>
    </row>
    <row r="360" spans="1:15" x14ac:dyDescent="0.35">
      <c r="A360" t="str">
        <v>electric_ALCO_GE_NYC_S_Motor_S1</v>
      </c>
      <c r="B360" t="b" cm="1">
        <f t="array" ref="B360">_xlfn.XLOOKUP(A360,CONTROL[VEHIDCODE],PROPERTIES[EXCLUDE])</f>
        <v>0</v>
      </c>
      <c r="C360" t="b">
        <f>_xlfn.XLOOKUP(A360,CONTROL[VEHIDCODE],CONTROL[IS_WAGON_OR_COACH])</f>
        <v>0</v>
      </c>
      <c r="D360">
        <f>FLOOR(_xlfn.XLOOKUP($A360,PROPERTIES[VEHIDCODE],PROPERTIES[INTRODUCTION_YEAR]),20)</f>
        <v>1900</v>
      </c>
      <c r="E360" t="e">
        <f>_xlfn.XLOOKUP($A360,PROPERTIES[VEHIDCODE],#REF!)</f>
        <v>#REF!</v>
      </c>
      <c r="F360" s="25" t="str" cm="1">
        <f t="array" ref="F360">_xlfn.CONCAT(_xlfn.XLOOKUP($A360,PROPERTIES[VEHIDCODE],PROPERTIES[REGION1]),"_",_xlfn.XLOOKUP($A360,PROPERTIES[VEHIDCODE],PROPERTIES[REGION2]),"_",_xlfn.XLOOKUP($A360,PROPERTIES[VEHIDCODE],PROPERTIES[REGION3]&amp;"_"&amp;_xlfn.XLOOKUP($A360,PROPERTIES[VEHIDCODE],PROPERTIES[REGION4])))</f>
        <v>NORTH_AMERICA_NO_REGION_NO_REGION_NO_REGION</v>
      </c>
      <c r="G360" t="b">
        <f t="shared" si="45"/>
        <v>0</v>
      </c>
      <c r="H360" t="b">
        <f t="shared" si="52"/>
        <v>0</v>
      </c>
      <c r="I360" t="b">
        <f t="shared" si="46"/>
        <v>0</v>
      </c>
      <c r="J360" t="b">
        <f t="shared" si="53"/>
        <v>0</v>
      </c>
      <c r="K360" t="b">
        <f t="shared" si="47"/>
        <v>0</v>
      </c>
      <c r="L360" t="b">
        <f t="shared" si="48"/>
        <v>0</v>
      </c>
      <c r="M360" t="b">
        <f t="shared" si="49"/>
        <v>1</v>
      </c>
      <c r="N360" t="b">
        <f t="shared" si="50"/>
        <v>0</v>
      </c>
      <c r="O360" t="b">
        <f t="shared" si="51"/>
        <v>0</v>
      </c>
    </row>
    <row r="361" spans="1:15" x14ac:dyDescent="0.35">
      <c r="A361" t="str">
        <v>electric_Nippon_Sharyo_DeKi_400</v>
      </c>
      <c r="B361" t="b" cm="1">
        <f t="array" ref="B361">_xlfn.XLOOKUP(A361,CONTROL[VEHIDCODE],PROPERTIES[EXCLUDE])</f>
        <v>0</v>
      </c>
      <c r="C361" t="b">
        <f>_xlfn.XLOOKUP(A361,CONTROL[VEHIDCODE],CONTROL[IS_WAGON_OR_COACH])</f>
        <v>0</v>
      </c>
      <c r="D361">
        <f>FLOOR(_xlfn.XLOOKUP($A361,PROPERTIES[VEHIDCODE],PROPERTIES[INTRODUCTION_YEAR]),20)</f>
        <v>1920</v>
      </c>
      <c r="E361" t="e">
        <f>_xlfn.XLOOKUP($A361,PROPERTIES[VEHIDCODE],#REF!)</f>
        <v>#REF!</v>
      </c>
      <c r="F361" s="25" t="str" cm="1">
        <f t="array" ref="F361">_xlfn.CONCAT(_xlfn.XLOOKUP($A361,PROPERTIES[VEHIDCODE],PROPERTIES[REGION1]),"_",_xlfn.XLOOKUP($A361,PROPERTIES[VEHIDCODE],PROPERTIES[REGION2]),"_",_xlfn.XLOOKUP($A361,PROPERTIES[VEHIDCODE],PROPERTIES[REGION3]&amp;"_"&amp;_xlfn.XLOOKUP($A361,PROPERTIES[VEHIDCODE],PROPERTIES[REGION4])))</f>
        <v>ASIA_NO_REGION_NO_REGION_NO_REGION</v>
      </c>
      <c r="G361" t="b">
        <f t="shared" si="45"/>
        <v>0</v>
      </c>
      <c r="H361" t="b">
        <f t="shared" si="52"/>
        <v>1</v>
      </c>
      <c r="I361" t="b">
        <f t="shared" si="46"/>
        <v>0</v>
      </c>
      <c r="J361" t="b">
        <f t="shared" si="53"/>
        <v>0</v>
      </c>
      <c r="K361" t="b">
        <f t="shared" si="47"/>
        <v>0</v>
      </c>
      <c r="L361" t="b">
        <f t="shared" si="48"/>
        <v>0</v>
      </c>
      <c r="M361" t="b">
        <f t="shared" si="49"/>
        <v>0</v>
      </c>
      <c r="N361" t="b">
        <f t="shared" si="50"/>
        <v>0</v>
      </c>
      <c r="O361" t="b">
        <f t="shared" si="51"/>
        <v>0</v>
      </c>
    </row>
    <row r="362" spans="1:15" x14ac:dyDescent="0.35">
      <c r="A362" t="str">
        <v>electric_Vulcan_Foundry_SLM_EF_1</v>
      </c>
      <c r="B362" t="b" cm="1">
        <f t="array" ref="B362">_xlfn.XLOOKUP(A362,CONTROL[VEHIDCODE],PROPERTIES[EXCLUDE])</f>
        <v>0</v>
      </c>
      <c r="C362" t="b">
        <f>_xlfn.XLOOKUP(A362,CONTROL[VEHIDCODE],CONTROL[IS_WAGON_OR_COACH])</f>
        <v>0</v>
      </c>
      <c r="D362">
        <f>FLOOR(_xlfn.XLOOKUP($A362,PROPERTIES[VEHIDCODE],PROPERTIES[INTRODUCTION_YEAR]),20)</f>
        <v>1920</v>
      </c>
      <c r="E362" t="e">
        <f>_xlfn.XLOOKUP($A362,PROPERTIES[VEHIDCODE],#REF!)</f>
        <v>#REF!</v>
      </c>
      <c r="F362" s="25" t="str" cm="1">
        <f t="array" ref="F362">_xlfn.CONCAT(_xlfn.XLOOKUP($A362,PROPERTIES[VEHIDCODE],PROPERTIES[REGION1]),"_",_xlfn.XLOOKUP($A362,PROPERTIES[VEHIDCODE],PROPERTIES[REGION2]),"_",_xlfn.XLOOKUP($A362,PROPERTIES[VEHIDCODE],PROPERTIES[REGION3]&amp;"_"&amp;_xlfn.XLOOKUP($A362,PROPERTIES[VEHIDCODE],PROPERTIES[REGION4])))</f>
        <v>ASIA_NO_REGION_NO_REGION_NO_REGION</v>
      </c>
      <c r="G362" t="b">
        <f t="shared" si="45"/>
        <v>0</v>
      </c>
      <c r="H362" t="b">
        <f t="shared" si="52"/>
        <v>1</v>
      </c>
      <c r="I362" t="b">
        <f t="shared" si="46"/>
        <v>0</v>
      </c>
      <c r="J362" t="b">
        <f t="shared" si="53"/>
        <v>0</v>
      </c>
      <c r="K362" t="b">
        <f t="shared" si="47"/>
        <v>0</v>
      </c>
      <c r="L362" t="b">
        <f t="shared" si="48"/>
        <v>0</v>
      </c>
      <c r="M362" t="b">
        <f t="shared" si="49"/>
        <v>0</v>
      </c>
      <c r="N362" t="b">
        <f t="shared" si="50"/>
        <v>0</v>
      </c>
      <c r="O362" t="b">
        <f t="shared" si="51"/>
        <v>0</v>
      </c>
    </row>
    <row r="363" spans="1:15" x14ac:dyDescent="0.35">
      <c r="A363" t="str">
        <v>electric_Jeumont_Schneider_BB_9004</v>
      </c>
      <c r="B363" t="b" cm="1">
        <f t="array" ref="B363">_xlfn.XLOOKUP(A363,CONTROL[VEHIDCODE],PROPERTIES[EXCLUDE])</f>
        <v>0</v>
      </c>
      <c r="C363" t="b">
        <f>_xlfn.XLOOKUP(A363,CONTROL[VEHIDCODE],CONTROL[IS_WAGON_OR_COACH])</f>
        <v>0</v>
      </c>
      <c r="D363">
        <f>FLOOR(_xlfn.XLOOKUP($A363,PROPERTIES[VEHIDCODE],PROPERTIES[INTRODUCTION_YEAR]),20)</f>
        <v>1940</v>
      </c>
      <c r="E363" t="e">
        <f>_xlfn.XLOOKUP($A363,PROPERTIES[VEHIDCODE],#REF!)</f>
        <v>#REF!</v>
      </c>
      <c r="F363" s="25" t="str" cm="1">
        <f t="array" ref="F363">_xlfn.CONCAT(_xlfn.XLOOKUP($A363,PROPERTIES[VEHIDCODE],PROPERTIES[REGION1]),"_",_xlfn.XLOOKUP($A363,PROPERTIES[VEHIDCODE],PROPERTIES[REGION2]),"_",_xlfn.XLOOKUP($A363,PROPERTIES[VEHIDCODE],PROPERTIES[REGION3]&amp;"_"&amp;_xlfn.XLOOKUP($A363,PROPERTIES[VEHIDCODE],PROPERTIES[REGION4])))</f>
        <v>WESTERN_EUROPE_NO_REGION_NO_REGION_NO_REGION</v>
      </c>
      <c r="G363" t="b">
        <f t="shared" si="45"/>
        <v>0</v>
      </c>
      <c r="H363" t="b">
        <f t="shared" si="52"/>
        <v>0</v>
      </c>
      <c r="I363" t="b">
        <f t="shared" si="46"/>
        <v>0</v>
      </c>
      <c r="J363" t="b">
        <f t="shared" si="53"/>
        <v>0</v>
      </c>
      <c r="K363" t="b">
        <f t="shared" si="47"/>
        <v>1</v>
      </c>
      <c r="L363" t="b">
        <f t="shared" si="48"/>
        <v>0</v>
      </c>
      <c r="M363" t="b">
        <f t="shared" si="49"/>
        <v>0</v>
      </c>
      <c r="N363" t="b">
        <f t="shared" si="50"/>
        <v>0</v>
      </c>
      <c r="O363" t="b">
        <f t="shared" si="51"/>
        <v>0</v>
      </c>
    </row>
    <row r="364" spans="1:15" x14ac:dyDescent="0.35">
      <c r="A364" t="str">
        <v>electric_Werkspoor_ESS_3200</v>
      </c>
      <c r="B364" t="b" cm="1">
        <f t="array" ref="B364">_xlfn.XLOOKUP(A364,CONTROL[VEHIDCODE],PROPERTIES[EXCLUDE])</f>
        <v>0</v>
      </c>
      <c r="C364" t="b">
        <f>_xlfn.XLOOKUP(A364,CONTROL[VEHIDCODE],CONTROL[IS_WAGON_OR_COACH])</f>
        <v>0</v>
      </c>
      <c r="D364">
        <f>FLOOR(_xlfn.XLOOKUP($A364,PROPERTIES[VEHIDCODE],PROPERTIES[INTRODUCTION_YEAR]),20)</f>
        <v>1920</v>
      </c>
      <c r="E364" t="e">
        <f>_xlfn.XLOOKUP($A364,PROPERTIES[VEHIDCODE],#REF!)</f>
        <v>#REF!</v>
      </c>
      <c r="F364" s="25" t="str" cm="1">
        <f t="array" ref="F364">_xlfn.CONCAT(_xlfn.XLOOKUP($A364,PROPERTIES[VEHIDCODE],PROPERTIES[REGION1]),"_",_xlfn.XLOOKUP($A364,PROPERTIES[VEHIDCODE],PROPERTIES[REGION2]),"_",_xlfn.XLOOKUP($A364,PROPERTIES[VEHIDCODE],PROPERTIES[REGION3]&amp;"_"&amp;_xlfn.XLOOKUP($A364,PROPERTIES[VEHIDCODE],PROPERTIES[REGION4])))</f>
        <v>OCEANIA_NO_REGION_NO_REGION_NO_REGION</v>
      </c>
      <c r="G364" t="b">
        <f t="shared" si="45"/>
        <v>0</v>
      </c>
      <c r="H364" t="b">
        <f t="shared" si="52"/>
        <v>0</v>
      </c>
      <c r="I364" t="b">
        <f t="shared" si="46"/>
        <v>0</v>
      </c>
      <c r="J364" t="b">
        <f t="shared" si="53"/>
        <v>0</v>
      </c>
      <c r="K364" t="b">
        <f t="shared" si="47"/>
        <v>0</v>
      </c>
      <c r="L364" t="b">
        <f t="shared" si="48"/>
        <v>0</v>
      </c>
      <c r="M364" t="b">
        <f t="shared" si="49"/>
        <v>0</v>
      </c>
      <c r="N364" t="b">
        <f t="shared" si="50"/>
        <v>0</v>
      </c>
      <c r="O364" t="b">
        <f t="shared" si="51"/>
        <v>1</v>
      </c>
    </row>
    <row r="365" spans="1:15" x14ac:dyDescent="0.35">
      <c r="A365" t="str">
        <v>electric_Metropolitan_Vicerks_EM2</v>
      </c>
      <c r="B365" t="b" cm="1">
        <f t="array" ref="B365">_xlfn.XLOOKUP(A365,CONTROL[VEHIDCODE],PROPERTIES[EXCLUDE])</f>
        <v>0</v>
      </c>
      <c r="C365" t="b">
        <f>_xlfn.XLOOKUP(A365,CONTROL[VEHIDCODE],CONTROL[IS_WAGON_OR_COACH])</f>
        <v>0</v>
      </c>
      <c r="D365">
        <f>FLOOR(_xlfn.XLOOKUP($A365,PROPERTIES[VEHIDCODE],PROPERTIES[INTRODUCTION_YEAR]),20)</f>
        <v>1940</v>
      </c>
      <c r="E365" t="e">
        <f>_xlfn.XLOOKUP($A365,PROPERTIES[VEHIDCODE],#REF!)</f>
        <v>#REF!</v>
      </c>
      <c r="F365" s="25" t="str" cm="1">
        <f t="array" ref="F365">_xlfn.CONCAT(_xlfn.XLOOKUP($A365,PROPERTIES[VEHIDCODE],PROPERTIES[REGION1]),"_",_xlfn.XLOOKUP($A365,PROPERTIES[VEHIDCODE],PROPERTIES[REGION2]),"_",_xlfn.XLOOKUP($A365,PROPERTIES[VEHIDCODE],PROPERTIES[REGION3]&amp;"_"&amp;_xlfn.XLOOKUP($A365,PROPERTIES[VEHIDCODE],PROPERTIES[REGION4])))</f>
        <v>NORTHERN_EUROPE_NO_REGION_NO_REGION_NO_REGION</v>
      </c>
      <c r="G365" t="b">
        <f t="shared" si="45"/>
        <v>0</v>
      </c>
      <c r="H365" t="b">
        <f t="shared" si="52"/>
        <v>0</v>
      </c>
      <c r="I365" t="b">
        <f t="shared" si="46"/>
        <v>0</v>
      </c>
      <c r="J365" t="b">
        <f t="shared" si="53"/>
        <v>0</v>
      </c>
      <c r="K365" t="b">
        <f t="shared" si="47"/>
        <v>0</v>
      </c>
      <c r="L365" t="b">
        <f t="shared" si="48"/>
        <v>1</v>
      </c>
      <c r="M365" t="b">
        <f t="shared" si="49"/>
        <v>0</v>
      </c>
      <c r="N365" t="b">
        <f t="shared" si="50"/>
        <v>0</v>
      </c>
      <c r="O365" t="b">
        <f t="shared" si="51"/>
        <v>0</v>
      </c>
    </row>
    <row r="366" spans="1:15" x14ac:dyDescent="0.35">
      <c r="A366" t="str">
        <v>electric_NER_EE1</v>
      </c>
      <c r="B366" t="b" cm="1">
        <f t="array" ref="B366">_xlfn.XLOOKUP(A366,CONTROL[VEHIDCODE],PROPERTIES[EXCLUDE])</f>
        <v>0</v>
      </c>
      <c r="C366" t="b">
        <f>_xlfn.XLOOKUP(A366,CONTROL[VEHIDCODE],CONTROL[IS_WAGON_OR_COACH])</f>
        <v>0</v>
      </c>
      <c r="D366">
        <f>FLOOR(_xlfn.XLOOKUP($A366,PROPERTIES[VEHIDCODE],PROPERTIES[INTRODUCTION_YEAR]),20)</f>
        <v>1920</v>
      </c>
      <c r="E366" t="e">
        <f>_xlfn.XLOOKUP($A366,PROPERTIES[VEHIDCODE],#REF!)</f>
        <v>#REF!</v>
      </c>
      <c r="F366" s="25" t="str" cm="1">
        <f t="array" ref="F366">_xlfn.CONCAT(_xlfn.XLOOKUP($A366,PROPERTIES[VEHIDCODE],PROPERTIES[REGION1]),"_",_xlfn.XLOOKUP($A366,PROPERTIES[VEHIDCODE],PROPERTIES[REGION2]),"_",_xlfn.XLOOKUP($A366,PROPERTIES[VEHIDCODE],PROPERTIES[REGION3]&amp;"_"&amp;_xlfn.XLOOKUP($A366,PROPERTIES[VEHIDCODE],PROPERTIES[REGION4])))</f>
        <v>NORTHERN_EUROPE_NO_REGION_NO_REGION_NO_REGION</v>
      </c>
      <c r="G366" t="b">
        <f t="shared" si="45"/>
        <v>0</v>
      </c>
      <c r="H366" t="b">
        <f t="shared" si="52"/>
        <v>0</v>
      </c>
      <c r="I366" t="b">
        <f t="shared" si="46"/>
        <v>0</v>
      </c>
      <c r="J366" t="b">
        <f t="shared" si="53"/>
        <v>0</v>
      </c>
      <c r="K366" t="b">
        <f t="shared" si="47"/>
        <v>0</v>
      </c>
      <c r="L366" t="b">
        <f t="shared" si="48"/>
        <v>1</v>
      </c>
      <c r="M366" t="b">
        <f t="shared" si="49"/>
        <v>0</v>
      </c>
      <c r="N366" t="b">
        <f t="shared" si="50"/>
        <v>0</v>
      </c>
      <c r="O366" t="b">
        <f t="shared" si="51"/>
        <v>0</v>
      </c>
    </row>
    <row r="367" spans="1:15" x14ac:dyDescent="0.35">
      <c r="A367" t="str">
        <v>electric_GE_ES_2</v>
      </c>
      <c r="B367" t="b" cm="1">
        <f t="array" ref="B367">_xlfn.XLOOKUP(A367,CONTROL[VEHIDCODE],PROPERTIES[EXCLUDE])</f>
        <v>0</v>
      </c>
      <c r="C367" t="b">
        <f>_xlfn.XLOOKUP(A367,CONTROL[VEHIDCODE],CONTROL[IS_WAGON_OR_COACH])</f>
        <v>0</v>
      </c>
      <c r="D367">
        <f>FLOOR(_xlfn.XLOOKUP($A367,PROPERTIES[VEHIDCODE],PROPERTIES[INTRODUCTION_YEAR]),20)</f>
        <v>1900</v>
      </c>
      <c r="E367" t="e">
        <f>_xlfn.XLOOKUP($A367,PROPERTIES[VEHIDCODE],#REF!)</f>
        <v>#REF!</v>
      </c>
      <c r="F367" s="25" t="str" cm="1">
        <f t="array" ref="F367">_xlfn.CONCAT(_xlfn.XLOOKUP($A367,PROPERTIES[VEHIDCODE],PROPERTIES[REGION1]),"_",_xlfn.XLOOKUP($A367,PROPERTIES[VEHIDCODE],PROPERTIES[REGION2]),"_",_xlfn.XLOOKUP($A367,PROPERTIES[VEHIDCODE],PROPERTIES[REGION3]&amp;"_"&amp;_xlfn.XLOOKUP($A367,PROPERTIES[VEHIDCODE],PROPERTIES[REGION4])))</f>
        <v>NORTH_AMERICA_NO_REGION_NO_REGION_NO_REGION</v>
      </c>
      <c r="G367" t="b">
        <f t="shared" si="45"/>
        <v>0</v>
      </c>
      <c r="H367" t="b">
        <f t="shared" si="52"/>
        <v>0</v>
      </c>
      <c r="I367" t="b">
        <f t="shared" si="46"/>
        <v>0</v>
      </c>
      <c r="J367" t="b">
        <f t="shared" si="53"/>
        <v>0</v>
      </c>
      <c r="K367" t="b">
        <f t="shared" si="47"/>
        <v>0</v>
      </c>
      <c r="L367" t="b">
        <f t="shared" si="48"/>
        <v>0</v>
      </c>
      <c r="M367" t="b">
        <f t="shared" si="49"/>
        <v>1</v>
      </c>
      <c r="N367" t="b">
        <f t="shared" si="50"/>
        <v>0</v>
      </c>
      <c r="O367" t="b">
        <f t="shared" si="51"/>
        <v>0</v>
      </c>
    </row>
    <row r="368" spans="1:15" x14ac:dyDescent="0.35">
      <c r="A368" t="str">
        <v>electric_GE_2_4_8_0_0_8_4_2_EP2</v>
      </c>
      <c r="B368" t="b" cm="1">
        <f t="array" ref="B368">_xlfn.XLOOKUP(A368,CONTROL[VEHIDCODE],PROPERTIES[EXCLUDE])</f>
        <v>0</v>
      </c>
      <c r="C368" t="b">
        <f>_xlfn.XLOOKUP(A368,CONTROL[VEHIDCODE],CONTROL[IS_WAGON_OR_COACH])</f>
        <v>0</v>
      </c>
      <c r="D368">
        <f>FLOOR(_xlfn.XLOOKUP($A368,PROPERTIES[VEHIDCODE],PROPERTIES[INTRODUCTION_YEAR]),20)</f>
        <v>1900</v>
      </c>
      <c r="E368" t="e">
        <f>_xlfn.XLOOKUP($A368,PROPERTIES[VEHIDCODE],#REF!)</f>
        <v>#REF!</v>
      </c>
      <c r="F368" s="25" t="str" cm="1">
        <f t="array" ref="F368">_xlfn.CONCAT(_xlfn.XLOOKUP($A368,PROPERTIES[VEHIDCODE],PROPERTIES[REGION1]),"_",_xlfn.XLOOKUP($A368,PROPERTIES[VEHIDCODE],PROPERTIES[REGION2]),"_",_xlfn.XLOOKUP($A368,PROPERTIES[VEHIDCODE],PROPERTIES[REGION3]&amp;"_"&amp;_xlfn.XLOOKUP($A368,PROPERTIES[VEHIDCODE],PROPERTIES[REGION4])))</f>
        <v>NORTH_AMERICA_NO_REGION_NO_REGION_NO_REGION</v>
      </c>
      <c r="G368" t="b">
        <f t="shared" si="45"/>
        <v>0</v>
      </c>
      <c r="H368" t="b">
        <f t="shared" si="52"/>
        <v>0</v>
      </c>
      <c r="I368" t="b">
        <f t="shared" si="46"/>
        <v>0</v>
      </c>
      <c r="J368" t="b">
        <f t="shared" si="53"/>
        <v>0</v>
      </c>
      <c r="K368" t="b">
        <f t="shared" si="47"/>
        <v>0</v>
      </c>
      <c r="L368" t="b">
        <f t="shared" si="48"/>
        <v>0</v>
      </c>
      <c r="M368" t="b">
        <f t="shared" si="49"/>
        <v>1</v>
      </c>
      <c r="N368" t="b">
        <f t="shared" si="50"/>
        <v>0</v>
      </c>
      <c r="O368" t="b">
        <f t="shared" si="51"/>
        <v>0</v>
      </c>
    </row>
    <row r="369" spans="1:15" x14ac:dyDescent="0.35">
      <c r="A369" t="str">
        <v>electric_EFE_E_28</v>
      </c>
      <c r="B369" t="b" cm="1">
        <f t="array" ref="B369">_xlfn.XLOOKUP(A369,CONTROL[VEHIDCODE],PROPERTIES[EXCLUDE])</f>
        <v>0</v>
      </c>
      <c r="C369" t="b">
        <f>_xlfn.XLOOKUP(A369,CONTROL[VEHIDCODE],CONTROL[IS_WAGON_OR_COACH])</f>
        <v>0</v>
      </c>
      <c r="D369">
        <f>FLOOR(_xlfn.XLOOKUP($A369,PROPERTIES[VEHIDCODE],PROPERTIES[INTRODUCTION_YEAR]),20)</f>
        <v>1920</v>
      </c>
      <c r="E369" t="e">
        <f>_xlfn.XLOOKUP($A369,PROPERTIES[VEHIDCODE],#REF!)</f>
        <v>#REF!</v>
      </c>
      <c r="F369" s="25" t="str" cm="1">
        <f t="array" ref="F369">_xlfn.CONCAT(_xlfn.XLOOKUP($A369,PROPERTIES[VEHIDCODE],PROPERTIES[REGION1]),"_",_xlfn.XLOOKUP($A369,PROPERTIES[VEHIDCODE],PROPERTIES[REGION2]),"_",_xlfn.XLOOKUP($A369,PROPERTIES[VEHIDCODE],PROPERTIES[REGION3]&amp;"_"&amp;_xlfn.XLOOKUP($A369,PROPERTIES[VEHIDCODE],PROPERTIES[REGION4])))</f>
        <v>SOUTH_AMERICA_NO_REGION_NO_REGION_NO_REGION</v>
      </c>
      <c r="G369" t="b">
        <f t="shared" si="45"/>
        <v>0</v>
      </c>
      <c r="H369" t="b">
        <f t="shared" si="52"/>
        <v>0</v>
      </c>
      <c r="I369" t="b">
        <f t="shared" si="46"/>
        <v>0</v>
      </c>
      <c r="J369" t="b">
        <f t="shared" si="53"/>
        <v>0</v>
      </c>
      <c r="K369" t="b">
        <f t="shared" si="47"/>
        <v>0</v>
      </c>
      <c r="L369" t="b">
        <f t="shared" si="48"/>
        <v>0</v>
      </c>
      <c r="M369" t="b">
        <f t="shared" si="49"/>
        <v>0</v>
      </c>
      <c r="N369" t="b">
        <f t="shared" si="50"/>
        <v>1</v>
      </c>
      <c r="O369" t="b">
        <f t="shared" si="51"/>
        <v>0</v>
      </c>
    </row>
    <row r="370" spans="1:15" x14ac:dyDescent="0.35">
      <c r="A370" t="str">
        <v>electric_Breda_E_428</v>
      </c>
      <c r="B370" t="b" cm="1">
        <f t="array" ref="B370">_xlfn.XLOOKUP(A370,CONTROL[VEHIDCODE],PROPERTIES[EXCLUDE])</f>
        <v>0</v>
      </c>
      <c r="C370" t="b">
        <f>_xlfn.XLOOKUP(A370,CONTROL[VEHIDCODE],CONTROL[IS_WAGON_OR_COACH])</f>
        <v>0</v>
      </c>
      <c r="D370">
        <f>FLOOR(_xlfn.XLOOKUP($A370,PROPERTIES[VEHIDCODE],PROPERTIES[INTRODUCTION_YEAR]),20)</f>
        <v>1920</v>
      </c>
      <c r="E370" t="e">
        <f>_xlfn.XLOOKUP($A370,PROPERTIES[VEHIDCODE],#REF!)</f>
        <v>#REF!</v>
      </c>
      <c r="F370" s="25" t="str" cm="1">
        <f t="array" ref="F370">_xlfn.CONCAT(_xlfn.XLOOKUP($A370,PROPERTIES[VEHIDCODE],PROPERTIES[REGION1]),"_",_xlfn.XLOOKUP($A370,PROPERTIES[VEHIDCODE],PROPERTIES[REGION2]),"_",_xlfn.XLOOKUP($A370,PROPERTIES[VEHIDCODE],PROPERTIES[REGION3]&amp;"_"&amp;_xlfn.XLOOKUP($A370,PROPERTIES[VEHIDCODE],PROPERTIES[REGION4])))</f>
        <v>SOUTHERN_EUROPE_NO_REGION_NO_REGION_NO_REGION</v>
      </c>
      <c r="G370" t="b">
        <f t="shared" si="45"/>
        <v>0</v>
      </c>
      <c r="H370" t="b">
        <f t="shared" si="52"/>
        <v>0</v>
      </c>
      <c r="I370" t="b">
        <f t="shared" si="46"/>
        <v>1</v>
      </c>
      <c r="J370" t="b">
        <f t="shared" si="53"/>
        <v>0</v>
      </c>
      <c r="K370" t="b">
        <f t="shared" si="47"/>
        <v>0</v>
      </c>
      <c r="L370" t="b">
        <f t="shared" si="48"/>
        <v>0</v>
      </c>
      <c r="M370" t="b">
        <f t="shared" si="49"/>
        <v>0</v>
      </c>
      <c r="N370" t="b">
        <f t="shared" si="50"/>
        <v>0</v>
      </c>
      <c r="O370" t="b">
        <f t="shared" si="51"/>
        <v>0</v>
      </c>
    </row>
    <row r="371" spans="1:15" x14ac:dyDescent="0.35">
      <c r="A371" t="str">
        <v>electric_Werkspoor_SAR_ES</v>
      </c>
      <c r="B371" t="b" cm="1">
        <f t="array" ref="B371">_xlfn.XLOOKUP(A371,CONTROL[VEHIDCODE],PROPERTIES[EXCLUDE])</f>
        <v>0</v>
      </c>
      <c r="C371" t="b">
        <f>_xlfn.XLOOKUP(A371,CONTROL[VEHIDCODE],CONTROL[IS_WAGON_OR_COACH])</f>
        <v>0</v>
      </c>
      <c r="D371">
        <f>FLOOR(_xlfn.XLOOKUP($A371,PROPERTIES[VEHIDCODE],PROPERTIES[INTRODUCTION_YEAR]),20)</f>
        <v>1920</v>
      </c>
      <c r="E371" t="e">
        <f>_xlfn.XLOOKUP($A371,PROPERTIES[VEHIDCODE],#REF!)</f>
        <v>#REF!</v>
      </c>
      <c r="F371" s="25" t="str" cm="1">
        <f t="array" ref="F371">_xlfn.CONCAT(_xlfn.XLOOKUP($A371,PROPERTIES[VEHIDCODE],PROPERTIES[REGION1]),"_",_xlfn.XLOOKUP($A371,PROPERTIES[VEHIDCODE],PROPERTIES[REGION2]),"_",_xlfn.XLOOKUP($A371,PROPERTIES[VEHIDCODE],PROPERTIES[REGION3]&amp;"_"&amp;_xlfn.XLOOKUP($A371,PROPERTIES[VEHIDCODE],PROPERTIES[REGION4])))</f>
        <v>AFRICA_NO_REGION_NO_REGION_NO_REGION</v>
      </c>
      <c r="G371" t="b">
        <f t="shared" si="45"/>
        <v>1</v>
      </c>
      <c r="H371" t="b">
        <f t="shared" si="52"/>
        <v>0</v>
      </c>
      <c r="I371" t="b">
        <f t="shared" si="46"/>
        <v>0</v>
      </c>
      <c r="J371" t="b">
        <f t="shared" si="53"/>
        <v>0</v>
      </c>
      <c r="K371" t="b">
        <f t="shared" si="47"/>
        <v>0</v>
      </c>
      <c r="L371" t="b">
        <f t="shared" si="48"/>
        <v>0</v>
      </c>
      <c r="M371" t="b">
        <f t="shared" si="49"/>
        <v>0</v>
      </c>
      <c r="N371" t="b">
        <f t="shared" si="50"/>
        <v>0</v>
      </c>
      <c r="O371" t="b">
        <f t="shared" si="51"/>
        <v>0</v>
      </c>
    </row>
    <row r="372" spans="1:15" x14ac:dyDescent="0.35">
      <c r="A372" t="str">
        <v>electric_English_Electric_E__AEI_E_</v>
      </c>
      <c r="B372" t="b" cm="1">
        <f t="array" ref="B372">_xlfn.XLOOKUP(A372,CONTROL[VEHIDCODE],PROPERTIES[EXCLUDE])</f>
        <v>0</v>
      </c>
      <c r="C372" t="b">
        <f>_xlfn.XLOOKUP(A372,CONTROL[VEHIDCODE],CONTROL[IS_WAGON_OR_COACH])</f>
        <v>0</v>
      </c>
      <c r="D372">
        <f>FLOOR(_xlfn.XLOOKUP($A372,PROPERTIES[VEHIDCODE],PROPERTIES[INTRODUCTION_YEAR]),20)</f>
        <v>1960</v>
      </c>
      <c r="E372" t="e">
        <f>_xlfn.XLOOKUP($A372,PROPERTIES[VEHIDCODE],#REF!)</f>
        <v>#REF!</v>
      </c>
      <c r="F372" s="25" t="str" cm="1">
        <f t="array" ref="F372">_xlfn.CONCAT(_xlfn.XLOOKUP($A372,PROPERTIES[VEHIDCODE],PROPERTIES[REGION1]),"_",_xlfn.XLOOKUP($A372,PROPERTIES[VEHIDCODE],PROPERTIES[REGION2]),"_",_xlfn.XLOOKUP($A372,PROPERTIES[VEHIDCODE],PROPERTIES[REGION3]&amp;"_"&amp;_xlfn.XLOOKUP($A372,PROPERTIES[VEHIDCODE],PROPERTIES[REGION4])))</f>
        <v>EASTERN_EUROPE_NO_REGION_NO_REGION_NO_REGION</v>
      </c>
      <c r="G372" t="b">
        <f t="shared" si="45"/>
        <v>0</v>
      </c>
      <c r="H372" t="b">
        <f t="shared" si="52"/>
        <v>0</v>
      </c>
      <c r="I372" t="b">
        <f t="shared" si="46"/>
        <v>0</v>
      </c>
      <c r="J372" t="b">
        <f t="shared" si="53"/>
        <v>1</v>
      </c>
      <c r="K372" t="b">
        <f t="shared" si="47"/>
        <v>0</v>
      </c>
      <c r="L372" t="b">
        <f t="shared" si="48"/>
        <v>0</v>
      </c>
      <c r="M372" t="b">
        <f t="shared" si="49"/>
        <v>0</v>
      </c>
      <c r="N372" t="b">
        <f t="shared" si="50"/>
        <v>0</v>
      </c>
      <c r="O372" t="b">
        <f t="shared" si="51"/>
        <v>0</v>
      </c>
    </row>
    <row r="373" spans="1:15" x14ac:dyDescent="0.35">
      <c r="A373" t="str">
        <v>electric_HCP_203E</v>
      </c>
      <c r="B373" t="b" cm="1">
        <f t="array" ref="B373">_xlfn.XLOOKUP(A373,CONTROL[VEHIDCODE],PROPERTIES[EXCLUDE])</f>
        <v>0</v>
      </c>
      <c r="C373" t="b">
        <f>_xlfn.XLOOKUP(A373,CONTROL[VEHIDCODE],CONTROL[IS_WAGON_OR_COACH])</f>
        <v>0</v>
      </c>
      <c r="D373">
        <f>FLOOR(_xlfn.XLOOKUP($A373,PROPERTIES[VEHIDCODE],PROPERTIES[INTRODUCTION_YEAR]),20)</f>
        <v>1960</v>
      </c>
      <c r="E373" t="e">
        <f>_xlfn.XLOOKUP($A373,PROPERTIES[VEHIDCODE],#REF!)</f>
        <v>#REF!</v>
      </c>
      <c r="F373" s="25" t="str" cm="1">
        <f t="array" ref="F373">_xlfn.CONCAT(_xlfn.XLOOKUP($A373,PROPERTIES[VEHIDCODE],PROPERTIES[REGION1]),"_",_xlfn.XLOOKUP($A373,PROPERTIES[VEHIDCODE],PROPERTIES[REGION2]),"_",_xlfn.XLOOKUP($A373,PROPERTIES[VEHIDCODE],PROPERTIES[REGION3]&amp;"_"&amp;_xlfn.XLOOKUP($A373,PROPERTIES[VEHIDCODE],PROPERTIES[REGION4])))</f>
        <v>EASTERN_EUROPE_NO_REGION_NO_REGION_NO_REGION</v>
      </c>
      <c r="G373" t="b">
        <f t="shared" si="45"/>
        <v>0</v>
      </c>
      <c r="H373" t="b">
        <f t="shared" si="52"/>
        <v>0</v>
      </c>
      <c r="I373" t="b">
        <f t="shared" si="46"/>
        <v>0</v>
      </c>
      <c r="J373" t="b">
        <f t="shared" si="53"/>
        <v>1</v>
      </c>
      <c r="K373" t="b">
        <f t="shared" si="47"/>
        <v>0</v>
      </c>
      <c r="L373" t="b">
        <f t="shared" si="48"/>
        <v>0</v>
      </c>
      <c r="M373" t="b">
        <f t="shared" si="49"/>
        <v>0</v>
      </c>
      <c r="N373" t="b">
        <f t="shared" si="50"/>
        <v>0</v>
      </c>
      <c r="O373" t="b">
        <f t="shared" si="51"/>
        <v>0</v>
      </c>
    </row>
    <row r="374" spans="1:15" x14ac:dyDescent="0.35">
      <c r="A374" t="str">
        <v>electric_Pafawag_104E</v>
      </c>
      <c r="B374" t="b" cm="1">
        <f t="array" ref="B374">_xlfn.XLOOKUP(A374,CONTROL[VEHIDCODE],PROPERTIES[EXCLUDE])</f>
        <v>0</v>
      </c>
      <c r="C374" t="b">
        <f>_xlfn.XLOOKUP(A374,CONTROL[VEHIDCODE],CONTROL[IS_WAGON_OR_COACH])</f>
        <v>0</v>
      </c>
      <c r="D374">
        <f>FLOOR(_xlfn.XLOOKUP($A374,PROPERTIES[VEHIDCODE],PROPERTIES[INTRODUCTION_YEAR]),20)</f>
        <v>1980</v>
      </c>
      <c r="E374" t="e">
        <f>_xlfn.XLOOKUP($A374,PROPERTIES[VEHIDCODE],#REF!)</f>
        <v>#REF!</v>
      </c>
      <c r="F374" s="25" t="str" cm="1">
        <f t="array" ref="F374">_xlfn.CONCAT(_xlfn.XLOOKUP($A374,PROPERTIES[VEHIDCODE],PROPERTIES[REGION1]),"_",_xlfn.XLOOKUP($A374,PROPERTIES[VEHIDCODE],PROPERTIES[REGION2]),"_",_xlfn.XLOOKUP($A374,PROPERTIES[VEHIDCODE],PROPERTIES[REGION3]&amp;"_"&amp;_xlfn.XLOOKUP($A374,PROPERTIES[VEHIDCODE],PROPERTIES[REGION4])))</f>
        <v>EASTERN_EUROPE_NO_REGION_NO_REGION_NO_REGION</v>
      </c>
      <c r="G374" t="b">
        <f t="shared" si="45"/>
        <v>0</v>
      </c>
      <c r="H374" t="b">
        <f t="shared" si="52"/>
        <v>0</v>
      </c>
      <c r="I374" t="b">
        <f t="shared" si="46"/>
        <v>0</v>
      </c>
      <c r="J374" t="b">
        <f t="shared" si="53"/>
        <v>1</v>
      </c>
      <c r="K374" t="b">
        <f t="shared" si="47"/>
        <v>0</v>
      </c>
      <c r="L374" t="b">
        <f t="shared" si="48"/>
        <v>0</v>
      </c>
      <c r="M374" t="b">
        <f t="shared" si="49"/>
        <v>0</v>
      </c>
      <c r="N374" t="b">
        <f t="shared" si="50"/>
        <v>0</v>
      </c>
      <c r="O374" t="b">
        <f t="shared" si="51"/>
        <v>0</v>
      </c>
    </row>
    <row r="375" spans="1:15" x14ac:dyDescent="0.35">
      <c r="A375" t="str">
        <v>electric_Skoda_98E</v>
      </c>
      <c r="B375" t="b" cm="1">
        <f t="array" ref="B375">_xlfn.XLOOKUP(A375,CONTROL[VEHIDCODE],PROPERTIES[EXCLUDE])</f>
        <v>0</v>
      </c>
      <c r="C375" t="b">
        <f>_xlfn.XLOOKUP(A375,CONTROL[VEHIDCODE],CONTROL[IS_WAGON_OR_COACH])</f>
        <v>0</v>
      </c>
      <c r="D375">
        <f>FLOOR(_xlfn.XLOOKUP($A375,PROPERTIES[VEHIDCODE],PROPERTIES[INTRODUCTION_YEAR]),20)</f>
        <v>1980</v>
      </c>
      <c r="E375" t="e">
        <f>_xlfn.XLOOKUP($A375,PROPERTIES[VEHIDCODE],#REF!)</f>
        <v>#REF!</v>
      </c>
      <c r="F375" s="25" t="str" cm="1">
        <f t="array" ref="F375">_xlfn.CONCAT(_xlfn.XLOOKUP($A375,PROPERTIES[VEHIDCODE],PROPERTIES[REGION1]),"_",_xlfn.XLOOKUP($A375,PROPERTIES[VEHIDCODE],PROPERTIES[REGION2]),"_",_xlfn.XLOOKUP($A375,PROPERTIES[VEHIDCODE],PROPERTIES[REGION3]&amp;"_"&amp;_xlfn.XLOOKUP($A375,PROPERTIES[VEHIDCODE],PROPERTIES[REGION4])))</f>
        <v>EASTERN_EUROPE_NO_REGION_NO_REGION_NO_REGION</v>
      </c>
      <c r="G375" t="b">
        <f t="shared" si="45"/>
        <v>0</v>
      </c>
      <c r="H375" t="b">
        <f t="shared" si="52"/>
        <v>0</v>
      </c>
      <c r="I375" t="b">
        <f t="shared" si="46"/>
        <v>0</v>
      </c>
      <c r="J375" t="b">
        <f t="shared" si="53"/>
        <v>1</v>
      </c>
      <c r="K375" t="b">
        <f t="shared" si="47"/>
        <v>0</v>
      </c>
      <c r="L375" t="b">
        <f t="shared" si="48"/>
        <v>0</v>
      </c>
      <c r="M375" t="b">
        <f t="shared" si="49"/>
        <v>0</v>
      </c>
      <c r="N375" t="b">
        <f t="shared" si="50"/>
        <v>0</v>
      </c>
      <c r="O375" t="b">
        <f t="shared" si="51"/>
        <v>0</v>
      </c>
    </row>
    <row r="376" spans="1:15" x14ac:dyDescent="0.35">
      <c r="A376" t="str">
        <v>electric_TIBB_E_646</v>
      </c>
      <c r="B376" t="b" cm="1">
        <f t="array" ref="B376">_xlfn.XLOOKUP(A376,CONTROL[VEHIDCODE],PROPERTIES[EXCLUDE])</f>
        <v>0</v>
      </c>
      <c r="C376" t="b">
        <f>_xlfn.XLOOKUP(A376,CONTROL[VEHIDCODE],CONTROL[IS_WAGON_OR_COACH])</f>
        <v>0</v>
      </c>
      <c r="D376">
        <f>FLOOR(_xlfn.XLOOKUP($A376,PROPERTIES[VEHIDCODE],PROPERTIES[INTRODUCTION_YEAR]),20)</f>
        <v>1960</v>
      </c>
      <c r="E376" t="e">
        <f>_xlfn.XLOOKUP($A376,PROPERTIES[VEHIDCODE],#REF!)</f>
        <v>#REF!</v>
      </c>
      <c r="F376" s="25" t="str" cm="1">
        <f t="array" ref="F376">_xlfn.CONCAT(_xlfn.XLOOKUP($A376,PROPERTIES[VEHIDCODE],PROPERTIES[REGION1]),"_",_xlfn.XLOOKUP($A376,PROPERTIES[VEHIDCODE],PROPERTIES[REGION2]),"_",_xlfn.XLOOKUP($A376,PROPERTIES[VEHIDCODE],PROPERTIES[REGION3]&amp;"_"&amp;_xlfn.XLOOKUP($A376,PROPERTIES[VEHIDCODE],PROPERTIES[REGION4])))</f>
        <v>SOUTHERN_EUROPE_NO_REGION_NO_REGION_NO_REGION</v>
      </c>
      <c r="G376" t="b">
        <f t="shared" si="45"/>
        <v>0</v>
      </c>
      <c r="H376" t="b">
        <f t="shared" si="52"/>
        <v>0</v>
      </c>
      <c r="I376" t="b">
        <f t="shared" si="46"/>
        <v>1</v>
      </c>
      <c r="J376" t="b">
        <f t="shared" si="53"/>
        <v>0</v>
      </c>
      <c r="K376" t="b">
        <f t="shared" si="47"/>
        <v>0</v>
      </c>
      <c r="L376" t="b">
        <f t="shared" si="48"/>
        <v>0</v>
      </c>
      <c r="M376" t="b">
        <f t="shared" si="49"/>
        <v>0</v>
      </c>
      <c r="N376" t="b">
        <f t="shared" si="50"/>
        <v>0</v>
      </c>
      <c r="O376" t="b">
        <f t="shared" si="51"/>
        <v>0</v>
      </c>
    </row>
    <row r="377" spans="1:15" x14ac:dyDescent="0.35">
      <c r="A377" t="str">
        <v>electric_Breda_E_424</v>
      </c>
      <c r="B377" t="b" cm="1">
        <f t="array" ref="B377">_xlfn.XLOOKUP(A377,CONTROL[VEHIDCODE],PROPERTIES[EXCLUDE])</f>
        <v>0</v>
      </c>
      <c r="C377" t="b">
        <f>_xlfn.XLOOKUP(A377,CONTROL[VEHIDCODE],CONTROL[IS_WAGON_OR_COACH])</f>
        <v>0</v>
      </c>
      <c r="D377">
        <f>FLOOR(_xlfn.XLOOKUP($A377,PROPERTIES[VEHIDCODE],PROPERTIES[INTRODUCTION_YEAR]),20)</f>
        <v>1940</v>
      </c>
      <c r="E377" t="e">
        <f>_xlfn.XLOOKUP($A377,PROPERTIES[VEHIDCODE],#REF!)</f>
        <v>#REF!</v>
      </c>
      <c r="F377" s="25" t="str" cm="1">
        <f t="array" ref="F377">_xlfn.CONCAT(_xlfn.XLOOKUP($A377,PROPERTIES[VEHIDCODE],PROPERTIES[REGION1]),"_",_xlfn.XLOOKUP($A377,PROPERTIES[VEHIDCODE],PROPERTIES[REGION2]),"_",_xlfn.XLOOKUP($A377,PROPERTIES[VEHIDCODE],PROPERTIES[REGION3]&amp;"_"&amp;_xlfn.XLOOKUP($A377,PROPERTIES[VEHIDCODE],PROPERTIES[REGION4])))</f>
        <v>SOUTHERN_EUROPE_NO_REGION_NO_REGION_NO_REGION</v>
      </c>
      <c r="G377" t="b">
        <f t="shared" si="45"/>
        <v>0</v>
      </c>
      <c r="H377" t="b">
        <f t="shared" si="52"/>
        <v>0</v>
      </c>
      <c r="I377" t="b">
        <f t="shared" si="46"/>
        <v>1</v>
      </c>
      <c r="J377" t="b">
        <f t="shared" si="53"/>
        <v>0</v>
      </c>
      <c r="K377" t="b">
        <f t="shared" si="47"/>
        <v>0</v>
      </c>
      <c r="L377" t="b">
        <f t="shared" si="48"/>
        <v>0</v>
      </c>
      <c r="M377" t="b">
        <f t="shared" si="49"/>
        <v>0</v>
      </c>
      <c r="N377" t="b">
        <f t="shared" si="50"/>
        <v>0</v>
      </c>
      <c r="O377" t="b">
        <f t="shared" si="51"/>
        <v>0</v>
      </c>
    </row>
    <row r="378" spans="1:15" x14ac:dyDescent="0.35">
      <c r="A378" t="str">
        <v>electric_Savigliano_E_444</v>
      </c>
      <c r="B378" t="b" cm="1">
        <f t="array" ref="B378">_xlfn.XLOOKUP(A378,CONTROL[VEHIDCODE],PROPERTIES[EXCLUDE])</f>
        <v>0</v>
      </c>
      <c r="C378" t="b">
        <f>_xlfn.XLOOKUP(A378,CONTROL[VEHIDCODE],CONTROL[IS_WAGON_OR_COACH])</f>
        <v>0</v>
      </c>
      <c r="D378">
        <f>FLOOR(_xlfn.XLOOKUP($A378,PROPERTIES[VEHIDCODE],PROPERTIES[INTRODUCTION_YEAR]),20)</f>
        <v>1960</v>
      </c>
      <c r="E378" t="e">
        <f>_xlfn.XLOOKUP($A378,PROPERTIES[VEHIDCODE],#REF!)</f>
        <v>#REF!</v>
      </c>
      <c r="F378" s="25" t="str" cm="1">
        <f t="array" ref="F378">_xlfn.CONCAT(_xlfn.XLOOKUP($A378,PROPERTIES[VEHIDCODE],PROPERTIES[REGION1]),"_",_xlfn.XLOOKUP($A378,PROPERTIES[VEHIDCODE],PROPERTIES[REGION2]),"_",_xlfn.XLOOKUP($A378,PROPERTIES[VEHIDCODE],PROPERTIES[REGION3]&amp;"_"&amp;_xlfn.XLOOKUP($A378,PROPERTIES[VEHIDCODE],PROPERTIES[REGION4])))</f>
        <v>SOUTHERN_EUROPE_NO_REGION_NO_REGION_NO_REGION</v>
      </c>
      <c r="G378" t="b">
        <f t="shared" si="45"/>
        <v>0</v>
      </c>
      <c r="H378" t="b">
        <f t="shared" si="52"/>
        <v>0</v>
      </c>
      <c r="I378" t="b">
        <f t="shared" si="46"/>
        <v>1</v>
      </c>
      <c r="J378" t="b">
        <f t="shared" si="53"/>
        <v>0</v>
      </c>
      <c r="K378" t="b">
        <f t="shared" si="47"/>
        <v>0</v>
      </c>
      <c r="L378" t="b">
        <f t="shared" si="48"/>
        <v>0</v>
      </c>
      <c r="M378" t="b">
        <f t="shared" si="49"/>
        <v>0</v>
      </c>
      <c r="N378" t="b">
        <f t="shared" si="50"/>
        <v>0</v>
      </c>
      <c r="O378" t="b">
        <f t="shared" si="51"/>
        <v>0</v>
      </c>
    </row>
    <row r="379" spans="1:15" x14ac:dyDescent="0.35">
      <c r="A379" t="str">
        <v>electric_Fiat_E_633</v>
      </c>
      <c r="B379" t="b" cm="1">
        <f t="array" ref="B379">_xlfn.XLOOKUP(A379,CONTROL[VEHIDCODE],PROPERTIES[EXCLUDE])</f>
        <v>0</v>
      </c>
      <c r="C379" t="b">
        <f>_xlfn.XLOOKUP(A379,CONTROL[VEHIDCODE],CONTROL[IS_WAGON_OR_COACH])</f>
        <v>0</v>
      </c>
      <c r="D379">
        <f>FLOOR(_xlfn.XLOOKUP($A379,PROPERTIES[VEHIDCODE],PROPERTIES[INTRODUCTION_YEAR]),20)</f>
        <v>1960</v>
      </c>
      <c r="E379" t="e">
        <f>_xlfn.XLOOKUP($A379,PROPERTIES[VEHIDCODE],#REF!)</f>
        <v>#REF!</v>
      </c>
      <c r="F379" s="25" t="str" cm="1">
        <f t="array" ref="F379">_xlfn.CONCAT(_xlfn.XLOOKUP($A379,PROPERTIES[VEHIDCODE],PROPERTIES[REGION1]),"_",_xlfn.XLOOKUP($A379,PROPERTIES[VEHIDCODE],PROPERTIES[REGION2]),"_",_xlfn.XLOOKUP($A379,PROPERTIES[VEHIDCODE],PROPERTIES[REGION3]&amp;"_"&amp;_xlfn.XLOOKUP($A379,PROPERTIES[VEHIDCODE],PROPERTIES[REGION4])))</f>
        <v>SOUTHERN_EUROPE_NO_REGION_NO_REGION_NO_REGION</v>
      </c>
      <c r="G379" t="b">
        <f t="shared" si="45"/>
        <v>0</v>
      </c>
      <c r="H379" t="b">
        <f t="shared" si="52"/>
        <v>0</v>
      </c>
      <c r="I379" t="b">
        <f t="shared" si="46"/>
        <v>1</v>
      </c>
      <c r="J379" t="b">
        <f t="shared" si="53"/>
        <v>0</v>
      </c>
      <c r="K379" t="b">
        <f t="shared" si="47"/>
        <v>0</v>
      </c>
      <c r="L379" t="b">
        <f t="shared" si="48"/>
        <v>0</v>
      </c>
      <c r="M379" t="b">
        <f t="shared" si="49"/>
        <v>0</v>
      </c>
      <c r="N379" t="b">
        <f t="shared" si="50"/>
        <v>0</v>
      </c>
      <c r="O379" t="b">
        <f t="shared" si="51"/>
        <v>0</v>
      </c>
    </row>
    <row r="380" spans="1:15" x14ac:dyDescent="0.35">
      <c r="A380" t="str">
        <v>electric_BN_ACEC_25_5</v>
      </c>
      <c r="B380" t="b" cm="1">
        <f t="array" ref="B380">_xlfn.XLOOKUP(A380,CONTROL[VEHIDCODE],PROPERTIES[EXCLUDE])</f>
        <v>0</v>
      </c>
      <c r="C380" t="b">
        <f>_xlfn.XLOOKUP(A380,CONTROL[VEHIDCODE],CONTROL[IS_WAGON_OR_COACH])</f>
        <v>0</v>
      </c>
      <c r="D380">
        <f>FLOOR(_xlfn.XLOOKUP($A380,PROPERTIES[VEHIDCODE],PROPERTIES[INTRODUCTION_YEAR]),20)</f>
        <v>1960</v>
      </c>
      <c r="E380" t="e">
        <f>_xlfn.XLOOKUP($A380,PROPERTIES[VEHIDCODE],#REF!)</f>
        <v>#REF!</v>
      </c>
      <c r="F380" s="25" t="str" cm="1">
        <f t="array" ref="F380">_xlfn.CONCAT(_xlfn.XLOOKUP($A380,PROPERTIES[VEHIDCODE],PROPERTIES[REGION1]),"_",_xlfn.XLOOKUP($A380,PROPERTIES[VEHIDCODE],PROPERTIES[REGION2]),"_",_xlfn.XLOOKUP($A380,PROPERTIES[VEHIDCODE],PROPERTIES[REGION3]&amp;"_"&amp;_xlfn.XLOOKUP($A380,PROPERTIES[VEHIDCODE],PROPERTIES[REGION4])))</f>
        <v>WESTERN_EUROPE_NO_REGION_NO_REGION_NO_REGION</v>
      </c>
      <c r="G380" t="b">
        <f t="shared" si="45"/>
        <v>0</v>
      </c>
      <c r="H380" t="b">
        <f t="shared" si="52"/>
        <v>0</v>
      </c>
      <c r="I380" t="b">
        <f t="shared" si="46"/>
        <v>0</v>
      </c>
      <c r="J380" t="b">
        <f t="shared" si="53"/>
        <v>0</v>
      </c>
      <c r="K380" t="b">
        <f t="shared" si="47"/>
        <v>1</v>
      </c>
      <c r="L380" t="b">
        <f t="shared" si="48"/>
        <v>0</v>
      </c>
      <c r="M380" t="b">
        <f t="shared" si="49"/>
        <v>0</v>
      </c>
      <c r="N380" t="b">
        <f t="shared" si="50"/>
        <v>0</v>
      </c>
      <c r="O380" t="b">
        <f t="shared" si="51"/>
        <v>0</v>
      </c>
    </row>
    <row r="381" spans="1:15" x14ac:dyDescent="0.35">
      <c r="A381" t="str">
        <v>electric_Krauss_Maffei_CAF_250</v>
      </c>
      <c r="B381" t="b" cm="1">
        <f t="array" ref="B381">_xlfn.XLOOKUP(A381,CONTROL[VEHIDCODE],PROPERTIES[EXCLUDE])</f>
        <v>0</v>
      </c>
      <c r="C381" t="b">
        <f>_xlfn.XLOOKUP(A381,CONTROL[VEHIDCODE],CONTROL[IS_WAGON_OR_COACH])</f>
        <v>0</v>
      </c>
      <c r="D381">
        <f>FLOOR(_xlfn.XLOOKUP($A381,PROPERTIES[VEHIDCODE],PROPERTIES[INTRODUCTION_YEAR]),20)</f>
        <v>1980</v>
      </c>
      <c r="E381" t="e">
        <f>_xlfn.XLOOKUP($A381,PROPERTIES[VEHIDCODE],#REF!)</f>
        <v>#REF!</v>
      </c>
      <c r="F381" s="25" t="str" cm="1">
        <f t="array" ref="F381">_xlfn.CONCAT(_xlfn.XLOOKUP($A381,PROPERTIES[VEHIDCODE],PROPERTIES[REGION1]),"_",_xlfn.XLOOKUP($A381,PROPERTIES[VEHIDCODE],PROPERTIES[REGION2]),"_",_xlfn.XLOOKUP($A381,PROPERTIES[VEHIDCODE],PROPERTIES[REGION3]&amp;"_"&amp;_xlfn.XLOOKUP($A381,PROPERTIES[VEHIDCODE],PROPERTIES[REGION4])))</f>
        <v>SOUTHERN_EUROPE_NO_REGION_NO_REGION_NO_REGION</v>
      </c>
      <c r="G381" t="b">
        <f t="shared" si="45"/>
        <v>0</v>
      </c>
      <c r="H381" t="b">
        <f t="shared" si="52"/>
        <v>0</v>
      </c>
      <c r="I381" t="b">
        <f t="shared" si="46"/>
        <v>1</v>
      </c>
      <c r="J381" t="b">
        <f t="shared" si="53"/>
        <v>0</v>
      </c>
      <c r="K381" t="b">
        <f t="shared" si="47"/>
        <v>0</v>
      </c>
      <c r="L381" t="b">
        <f t="shared" si="48"/>
        <v>0</v>
      </c>
      <c r="M381" t="b">
        <f t="shared" si="49"/>
        <v>0</v>
      </c>
      <c r="N381" t="b">
        <f t="shared" si="50"/>
        <v>0</v>
      </c>
      <c r="O381" t="b">
        <f t="shared" si="51"/>
        <v>0</v>
      </c>
    </row>
    <row r="382" spans="1:15" x14ac:dyDescent="0.35">
      <c r="A382" t="str">
        <v>electric_EFE_E_29</v>
      </c>
      <c r="B382" t="b" cm="1">
        <f t="array" ref="B382">_xlfn.XLOOKUP(A382,CONTROL[VEHIDCODE],PROPERTIES[EXCLUDE])</f>
        <v>1</v>
      </c>
      <c r="C382" t="b">
        <f>_xlfn.XLOOKUP(A382,CONTROL[VEHIDCODE],CONTROL[IS_WAGON_OR_COACH])</f>
        <v>0</v>
      </c>
      <c r="D382">
        <f>FLOOR(_xlfn.XLOOKUP($A382,PROPERTIES[VEHIDCODE],PROPERTIES[INTRODUCTION_YEAR]),20)</f>
        <v>1940</v>
      </c>
      <c r="E382" t="e">
        <f>_xlfn.XLOOKUP($A382,PROPERTIES[VEHIDCODE],#REF!)</f>
        <v>#REF!</v>
      </c>
      <c r="F382" s="25" t="str" cm="1">
        <f t="array" ref="F382">_xlfn.CONCAT(_xlfn.XLOOKUP($A382,PROPERTIES[VEHIDCODE],PROPERTIES[REGION1]),"_",_xlfn.XLOOKUP($A382,PROPERTIES[VEHIDCODE],PROPERTIES[REGION2]),"_",_xlfn.XLOOKUP($A382,PROPERTIES[VEHIDCODE],PROPERTIES[REGION3]&amp;"_"&amp;_xlfn.XLOOKUP($A382,PROPERTIES[VEHIDCODE],PROPERTIES[REGION4])))</f>
        <v>ALL_AMERICA_COMECON_NO_REGION_NO_REGION</v>
      </c>
      <c r="G382" t="b">
        <f t="shared" si="45"/>
        <v>0</v>
      </c>
      <c r="H382" t="b">
        <f t="shared" si="52"/>
        <v>1</v>
      </c>
      <c r="I382" t="b">
        <f t="shared" si="46"/>
        <v>0</v>
      </c>
      <c r="J382" t="b">
        <f t="shared" si="53"/>
        <v>1</v>
      </c>
      <c r="K382" t="b">
        <f t="shared" si="47"/>
        <v>0</v>
      </c>
      <c r="L382" t="b">
        <f t="shared" si="48"/>
        <v>0</v>
      </c>
      <c r="M382" t="b">
        <f t="shared" si="49"/>
        <v>1</v>
      </c>
      <c r="N382" t="b">
        <f t="shared" si="50"/>
        <v>1</v>
      </c>
      <c r="O382" t="b">
        <f t="shared" si="51"/>
        <v>0</v>
      </c>
    </row>
    <row r="383" spans="1:15" x14ac:dyDescent="0.35">
      <c r="A383" t="str">
        <v>electric_EFE_E_17</v>
      </c>
      <c r="B383" t="b" cm="1">
        <f t="array" ref="B383">_xlfn.XLOOKUP(A383,CONTROL[VEHIDCODE],PROPERTIES[EXCLUDE])</f>
        <v>0</v>
      </c>
      <c r="C383" t="b">
        <f>_xlfn.XLOOKUP(A383,CONTROL[VEHIDCODE],CONTROL[IS_WAGON_OR_COACH])</f>
        <v>0</v>
      </c>
      <c r="D383">
        <f>FLOOR(_xlfn.XLOOKUP($A383,PROPERTIES[VEHIDCODE],PROPERTIES[INTRODUCTION_YEAR]),20)</f>
        <v>1960</v>
      </c>
      <c r="E383" t="e">
        <f>_xlfn.XLOOKUP($A383,PROPERTIES[VEHIDCODE],#REF!)</f>
        <v>#REF!</v>
      </c>
      <c r="F383" s="25" t="str" cm="1">
        <f t="array" ref="F383">_xlfn.CONCAT(_xlfn.XLOOKUP($A383,PROPERTIES[VEHIDCODE],PROPERTIES[REGION1]),"_",_xlfn.XLOOKUP($A383,PROPERTIES[VEHIDCODE],PROPERTIES[REGION2]),"_",_xlfn.XLOOKUP($A383,PROPERTIES[VEHIDCODE],PROPERTIES[REGION3]&amp;"_"&amp;_xlfn.XLOOKUP($A383,PROPERTIES[VEHIDCODE],PROPERTIES[REGION4])))</f>
        <v>SOUTH_AMERICA_NO_REGION_NO_REGION_NO_REGION</v>
      </c>
      <c r="G383" t="b">
        <f t="shared" si="45"/>
        <v>0</v>
      </c>
      <c r="H383" t="b">
        <f t="shared" si="52"/>
        <v>0</v>
      </c>
      <c r="I383" t="b">
        <f t="shared" si="46"/>
        <v>0</v>
      </c>
      <c r="J383" t="b">
        <f t="shared" si="53"/>
        <v>0</v>
      </c>
      <c r="K383" t="b">
        <f t="shared" si="47"/>
        <v>0</v>
      </c>
      <c r="L383" t="b">
        <f t="shared" si="48"/>
        <v>0</v>
      </c>
      <c r="M383" t="b">
        <f t="shared" si="49"/>
        <v>0</v>
      </c>
      <c r="N383" t="b">
        <f t="shared" si="50"/>
        <v>1</v>
      </c>
      <c r="O383" t="b">
        <f t="shared" si="51"/>
        <v>0</v>
      </c>
    </row>
    <row r="384" spans="1:15" x14ac:dyDescent="0.35">
      <c r="A384" t="str">
        <v>electric_Alsthom_E_700</v>
      </c>
      <c r="B384" t="b" cm="1">
        <f t="array" ref="B384">_xlfn.XLOOKUP(A384,CONTROL[VEHIDCODE],PROPERTIES[EXCLUDE])</f>
        <v>0</v>
      </c>
      <c r="C384" t="b">
        <f>_xlfn.XLOOKUP(A384,CONTROL[VEHIDCODE],CONTROL[IS_WAGON_OR_COACH])</f>
        <v>0</v>
      </c>
      <c r="D384">
        <f>FLOOR(_xlfn.XLOOKUP($A384,PROPERTIES[VEHIDCODE],PROPERTIES[INTRODUCTION_YEAR]),20)</f>
        <v>1940</v>
      </c>
      <c r="E384" t="e">
        <f>_xlfn.XLOOKUP($A384,PROPERTIES[VEHIDCODE],#REF!)</f>
        <v>#REF!</v>
      </c>
      <c r="F384" s="25" t="str" cm="1">
        <f t="array" ref="F384">_xlfn.CONCAT(_xlfn.XLOOKUP($A384,PROPERTIES[VEHIDCODE],PROPERTIES[REGION1]),"_",_xlfn.XLOOKUP($A384,PROPERTIES[VEHIDCODE],PROPERTIES[REGION2]),"_",_xlfn.XLOOKUP($A384,PROPERTIES[VEHIDCODE],PROPERTIES[REGION3]&amp;"_"&amp;_xlfn.XLOOKUP($A384,PROPERTIES[VEHIDCODE],PROPERTIES[REGION4])))</f>
        <v>AFRICA_WESTERN_EUROPE_NO_REGION_NO_REGION</v>
      </c>
      <c r="G384" t="b">
        <f t="shared" si="45"/>
        <v>1</v>
      </c>
      <c r="H384" t="b">
        <f t="shared" si="52"/>
        <v>0</v>
      </c>
      <c r="I384" t="b">
        <f t="shared" si="46"/>
        <v>0</v>
      </c>
      <c r="J384" t="b">
        <f t="shared" si="53"/>
        <v>0</v>
      </c>
      <c r="K384" t="b">
        <f t="shared" si="47"/>
        <v>1</v>
      </c>
      <c r="L384" t="b">
        <f t="shared" si="48"/>
        <v>0</v>
      </c>
      <c r="M384" t="b">
        <f t="shared" si="49"/>
        <v>0</v>
      </c>
      <c r="N384" t="b">
        <f t="shared" si="50"/>
        <v>0</v>
      </c>
      <c r="O384" t="b">
        <f t="shared" si="51"/>
        <v>0</v>
      </c>
    </row>
    <row r="385" spans="1:15" x14ac:dyDescent="0.35">
      <c r="A385" t="str">
        <v>electric_Vulcan_Foundry_EE_EM_1</v>
      </c>
      <c r="B385" t="b" cm="1">
        <f t="array" ref="B385">_xlfn.XLOOKUP(A385,CONTROL[VEHIDCODE],PROPERTIES[EXCLUDE])</f>
        <v>0</v>
      </c>
      <c r="C385" t="b">
        <f>_xlfn.XLOOKUP(A385,CONTROL[VEHIDCODE],CONTROL[IS_WAGON_OR_COACH])</f>
        <v>0</v>
      </c>
      <c r="D385">
        <f>FLOOR(_xlfn.XLOOKUP($A385,PROPERTIES[VEHIDCODE],PROPERTIES[INTRODUCTION_YEAR]),20)</f>
        <v>1940</v>
      </c>
      <c r="E385" t="e">
        <f>_xlfn.XLOOKUP($A385,PROPERTIES[VEHIDCODE],#REF!)</f>
        <v>#REF!</v>
      </c>
      <c r="F385" s="25" t="str" cm="1">
        <f t="array" ref="F385">_xlfn.CONCAT(_xlfn.XLOOKUP($A385,PROPERTIES[VEHIDCODE],PROPERTIES[REGION1]),"_",_xlfn.XLOOKUP($A385,PROPERTIES[VEHIDCODE],PROPERTIES[REGION2]),"_",_xlfn.XLOOKUP($A385,PROPERTIES[VEHIDCODE],PROPERTIES[REGION3]&amp;"_"&amp;_xlfn.XLOOKUP($A385,PROPERTIES[VEHIDCODE],PROPERTIES[REGION4])))</f>
        <v>ASIA_NO_REGION_NO_REGION_NO_REGION</v>
      </c>
      <c r="G385" t="b">
        <f t="shared" si="45"/>
        <v>0</v>
      </c>
      <c r="H385" t="b">
        <f t="shared" si="52"/>
        <v>1</v>
      </c>
      <c r="I385" t="b">
        <f t="shared" si="46"/>
        <v>0</v>
      </c>
      <c r="J385" t="b">
        <f t="shared" si="53"/>
        <v>0</v>
      </c>
      <c r="K385" t="b">
        <f t="shared" si="47"/>
        <v>0</v>
      </c>
      <c r="L385" t="b">
        <f t="shared" si="48"/>
        <v>0</v>
      </c>
      <c r="M385" t="b">
        <f t="shared" si="49"/>
        <v>0</v>
      </c>
      <c r="N385" t="b">
        <f t="shared" si="50"/>
        <v>0</v>
      </c>
      <c r="O385" t="b">
        <f t="shared" si="51"/>
        <v>0</v>
      </c>
    </row>
    <row r="386" spans="1:15" x14ac:dyDescent="0.35">
      <c r="A386" t="str">
        <v>electric_Union_Carriage___Wagon_E38</v>
      </c>
      <c r="B386" t="b" cm="1">
        <f t="array" ref="B386">_xlfn.XLOOKUP(A386,CONTROL[VEHIDCODE],PROPERTIES[EXCLUDE])</f>
        <v>0</v>
      </c>
      <c r="C386" t="b">
        <f>_xlfn.XLOOKUP(A386,CONTROL[VEHIDCODE],CONTROL[IS_WAGON_OR_COACH])</f>
        <v>0</v>
      </c>
      <c r="D386">
        <f>FLOOR(_xlfn.XLOOKUP($A386,PROPERTIES[VEHIDCODE],PROPERTIES[INTRODUCTION_YEAR]),20)</f>
        <v>1980</v>
      </c>
      <c r="E386" t="e">
        <f>_xlfn.XLOOKUP($A386,PROPERTIES[VEHIDCODE],#REF!)</f>
        <v>#REF!</v>
      </c>
      <c r="F386" s="25" t="str" cm="1">
        <f t="array" ref="F386">_xlfn.CONCAT(_xlfn.XLOOKUP($A386,PROPERTIES[VEHIDCODE],PROPERTIES[REGION1]),"_",_xlfn.XLOOKUP($A386,PROPERTIES[VEHIDCODE],PROPERTIES[REGION2]),"_",_xlfn.XLOOKUP($A386,PROPERTIES[VEHIDCODE],PROPERTIES[REGION3]&amp;"_"&amp;_xlfn.XLOOKUP($A386,PROPERTIES[VEHIDCODE],PROPERTIES[REGION4])))</f>
        <v>AFRICA_NO_REGION_NO_REGION_NO_REGION</v>
      </c>
      <c r="G386" t="b">
        <f t="shared" ref="G386:G449" si="54">OR(ISNUMBER(SEARCH("ALL_REGION",$F386)),
ISNUMBER(SEARCH("AFRICA",$F386)),
ISNUMBER(SEARCH("OLD_WORLD",$F386)),
ISNUMBER(SEARCH("NON_EUROPEAN",$F386)))</f>
        <v>1</v>
      </c>
      <c r="H386" t="b">
        <f t="shared" si="52"/>
        <v>0</v>
      </c>
      <c r="I386" t="b">
        <f t="shared" ref="I386:I449" si="55">OR(ISNUMBER(SEARCH("ALL_REGION",$F386)),
ISNUMBER(SEARCH("ALL_EUROPE",$F386)),
ISNUMBER(SEARCH(I$1,$F386)),
ISNUMBER(SEARCH("OLD_WORLD",$F386)))</f>
        <v>0</v>
      </c>
      <c r="J386" t="b">
        <f t="shared" si="53"/>
        <v>0</v>
      </c>
      <c r="K386" t="b">
        <f t="shared" ref="K386:K449" si="56">OR(ISNUMBER(SEARCH("ALL_REGION",$F386)),
ISNUMBER(SEARCH("ALL_EUROPE",$F386)),
ISNUMBER(SEARCH(K$1,$F386)),
ISNUMBER(SEARCH("OLD_WORLD",$F386)),
ISNUMBER(SEARCH("NORTH_WEST_EUROPE",$F386)))</f>
        <v>0</v>
      </c>
      <c r="L386" t="b">
        <f t="shared" ref="L386:L449" si="57">OR(ISNUMBER(SEARCH("ALL_REGION",$F386)),
ISNUMBER(SEARCH("ALL_EUROPE",$F386)),
ISNUMBER(SEARCH(L$1,$F386)),
ISNUMBER(SEARCH("OLD_WORLD",$F386)),
ISNUMBER(SEARCH("NORTH_WEST_EUROPE",$F386)),
ISNUMBER(SEARCH("POST_SOVIET_BALTIC",$F386)))</f>
        <v>0</v>
      </c>
      <c r="M386" t="b">
        <f t="shared" ref="M386:M449" si="58">OR(ISNUMBER(SEARCH("ALL_REGION",$F386)),
ISNUMBER(SEARCH("ALL_AMERICA",$F386)),
ISNUMBER(SEARCH(M$1,$F386)),
ISNUMBER(SEARCH("NON_EUROPEAN",$F386)))</f>
        <v>0</v>
      </c>
      <c r="N386" t="b">
        <f t="shared" ref="N386:N449" si="59">OR(ISNUMBER(SEARCH("ALL_REGION",$F386)),
ISNUMBER(SEARCH("ALL_AMERICA",$F386)),
ISNUMBER(SEARCH(N$1,$F386)),
ISNUMBER(SEARCH("NON_EUROPEAN",$F386)),
ISNUMBER(SEARCH("COMECON_EXTENDED",$F386)))</f>
        <v>0</v>
      </c>
      <c r="O386" t="b">
        <f t="shared" ref="O386:O449" si="60">OR(ISNUMBER(SEARCH("ALL_REGION",$F386)),
ISNUMBER(SEARCH(O$1,$F386)),
ISNUMBER(SEARCH("APAC",$F386)))</f>
        <v>0</v>
      </c>
    </row>
    <row r="387" spans="1:15" x14ac:dyDescent="0.35">
      <c r="A387" t="str">
        <v>electric_Mitsubishi_series_269</v>
      </c>
      <c r="B387" t="b" cm="1">
        <f t="array" ref="B387">_xlfn.XLOOKUP(A387,CONTROL[VEHIDCODE],PROPERTIES[EXCLUDE])</f>
        <v>0</v>
      </c>
      <c r="C387" t="b">
        <f>_xlfn.XLOOKUP(A387,CONTROL[VEHIDCODE],CONTROL[IS_WAGON_OR_COACH])</f>
        <v>0</v>
      </c>
      <c r="D387">
        <f>FLOOR(_xlfn.XLOOKUP($A387,PROPERTIES[VEHIDCODE],PROPERTIES[INTRODUCTION_YEAR]),20)</f>
        <v>1980</v>
      </c>
      <c r="E387" t="e">
        <f>_xlfn.XLOOKUP($A387,PROPERTIES[VEHIDCODE],#REF!)</f>
        <v>#REF!</v>
      </c>
      <c r="F387" s="25" t="str" cm="1">
        <f t="array" ref="F387">_xlfn.CONCAT(_xlfn.XLOOKUP($A387,PROPERTIES[VEHIDCODE],PROPERTIES[REGION1]),"_",_xlfn.XLOOKUP($A387,PROPERTIES[VEHIDCODE],PROPERTIES[REGION2]),"_",_xlfn.XLOOKUP($A387,PROPERTIES[VEHIDCODE],PROPERTIES[REGION3]&amp;"_"&amp;_xlfn.XLOOKUP($A387,PROPERTIES[VEHIDCODE],PROPERTIES[REGION4])))</f>
        <v>SOUTH_AMERICA_SOUTHERN_EUROPE_NO_REGION_NO_REGION</v>
      </c>
      <c r="G387" t="b">
        <f t="shared" si="54"/>
        <v>0</v>
      </c>
      <c r="H387" t="b">
        <f t="shared" ref="H387:H450" si="61">OR(ISNUMBER(SEARCH("ALL_REGION",$F387)),
ISNUMBER(SEARCH("ASIA",$F387)),
ISNUMBER(SEARCH("OLD_WORLD",$F387)),
ISNUMBER(SEARCH("NON_EUROPEAN",$F387)),
ISNUMBER(SEARCH("APAC",$F387)),
ISNUMBER(SEARCH("COMECON",$F387)),
ISNUMBER(SEARCH("COMECON_EXTENDED",$F387)),
ISNUMBER(SEARCH("POST_SOVIET_BALTIC",$F387)))</f>
        <v>0</v>
      </c>
      <c r="I387" t="b">
        <f t="shared" si="55"/>
        <v>1</v>
      </c>
      <c r="J387" t="b">
        <f t="shared" ref="J387:J450" si="62">OR(ISNUMBER(SEARCH("ALL_REGION",$F387)),
ISNUMBER(SEARCH("ALL_EUROPE",$F387)),
ISNUMBER(SEARCH(J$1,$F387)),
ISNUMBER(SEARCH("OLD_WORLD",$F387)),
ISNUMBER(SEARCH("COMECON",$F387)),
ISNUMBER(SEARCH("POST_SOVIET_BALTIC",$F387)))</f>
        <v>0</v>
      </c>
      <c r="K387" t="b">
        <f t="shared" si="56"/>
        <v>0</v>
      </c>
      <c r="L387" t="b">
        <f t="shared" si="57"/>
        <v>0</v>
      </c>
      <c r="M387" t="b">
        <f t="shared" si="58"/>
        <v>0</v>
      </c>
      <c r="N387" t="b">
        <f t="shared" si="59"/>
        <v>1</v>
      </c>
      <c r="O387" t="b">
        <f t="shared" si="60"/>
        <v>0</v>
      </c>
    </row>
    <row r="388" spans="1:15" x14ac:dyDescent="0.35">
      <c r="A388" t="str">
        <v>electric_Skoda_69E</v>
      </c>
      <c r="B388" t="b" cm="1">
        <f t="array" ref="B388">_xlfn.XLOOKUP(A388,CONTROL[VEHIDCODE],PROPERTIES[EXCLUDE])</f>
        <v>0</v>
      </c>
      <c r="C388" t="b">
        <f>_xlfn.XLOOKUP(A388,CONTROL[VEHIDCODE],CONTROL[IS_WAGON_OR_COACH])</f>
        <v>0</v>
      </c>
      <c r="D388">
        <f>FLOOR(_xlfn.XLOOKUP($A388,PROPERTIES[VEHIDCODE],PROPERTIES[INTRODUCTION_YEAR]),20)</f>
        <v>1980</v>
      </c>
      <c r="E388" t="e">
        <f>_xlfn.XLOOKUP($A388,PROPERTIES[VEHIDCODE],#REF!)</f>
        <v>#REF!</v>
      </c>
      <c r="F388" s="25" t="str" cm="1">
        <f t="array" ref="F388">_xlfn.CONCAT(_xlfn.XLOOKUP($A388,PROPERTIES[VEHIDCODE],PROPERTIES[REGION1]),"_",_xlfn.XLOOKUP($A388,PROPERTIES[VEHIDCODE],PROPERTIES[REGION2]),"_",_xlfn.XLOOKUP($A388,PROPERTIES[VEHIDCODE],PROPERTIES[REGION3]&amp;"_"&amp;_xlfn.XLOOKUP($A388,PROPERTIES[VEHIDCODE],PROPERTIES[REGION4])))</f>
        <v>EASTERN_EUROPE_NO_REGION_NO_REGION_NO_REGION</v>
      </c>
      <c r="G388" t="b">
        <f t="shared" si="54"/>
        <v>0</v>
      </c>
      <c r="H388" t="b">
        <f t="shared" si="61"/>
        <v>0</v>
      </c>
      <c r="I388" t="b">
        <f t="shared" si="55"/>
        <v>0</v>
      </c>
      <c r="J388" t="b">
        <f t="shared" si="62"/>
        <v>1</v>
      </c>
      <c r="K388" t="b">
        <f t="shared" si="56"/>
        <v>0</v>
      </c>
      <c r="L388" t="b">
        <f t="shared" si="57"/>
        <v>0</v>
      </c>
      <c r="M388" t="b">
        <f t="shared" si="58"/>
        <v>0</v>
      </c>
      <c r="N388" t="b">
        <f t="shared" si="59"/>
        <v>0</v>
      </c>
      <c r="O388" t="b">
        <f t="shared" si="60"/>
        <v>0</v>
      </c>
    </row>
    <row r="389" spans="1:15" x14ac:dyDescent="0.35">
      <c r="A389" t="str">
        <v>electric_AEG_Skabo_EL7</v>
      </c>
      <c r="B389" t="b" cm="1">
        <f t="array" ref="B389">_xlfn.XLOOKUP(A389,CONTROL[VEHIDCODE],PROPERTIES[EXCLUDE])</f>
        <v>0</v>
      </c>
      <c r="C389" t="b">
        <f>_xlfn.XLOOKUP(A389,CONTROL[VEHIDCODE],CONTROL[IS_WAGON_OR_COACH])</f>
        <v>0</v>
      </c>
      <c r="D389">
        <f>FLOOR(_xlfn.XLOOKUP($A389,PROPERTIES[VEHIDCODE],PROPERTIES[INTRODUCTION_YEAR]),20)</f>
        <v>1900</v>
      </c>
      <c r="E389" t="e">
        <f>_xlfn.XLOOKUP($A389,PROPERTIES[VEHIDCODE],#REF!)</f>
        <v>#REF!</v>
      </c>
      <c r="F389" s="25" t="str" cm="1">
        <f t="array" ref="F389">_xlfn.CONCAT(_xlfn.XLOOKUP($A389,PROPERTIES[VEHIDCODE],PROPERTIES[REGION1]),"_",_xlfn.XLOOKUP($A389,PROPERTIES[VEHIDCODE],PROPERTIES[REGION2]),"_",_xlfn.XLOOKUP($A389,PROPERTIES[VEHIDCODE],PROPERTIES[REGION3]&amp;"_"&amp;_xlfn.XLOOKUP($A389,PROPERTIES[VEHIDCODE],PROPERTIES[REGION4])))</f>
        <v>NORTHERN_EUROPE_NO_REGION_NO_REGION_NO_REGION</v>
      </c>
      <c r="G389" t="b">
        <f t="shared" si="54"/>
        <v>0</v>
      </c>
      <c r="H389" t="b">
        <f t="shared" si="61"/>
        <v>0</v>
      </c>
      <c r="I389" t="b">
        <f t="shared" si="55"/>
        <v>0</v>
      </c>
      <c r="J389" t="b">
        <f t="shared" si="62"/>
        <v>0</v>
      </c>
      <c r="K389" t="b">
        <f t="shared" si="56"/>
        <v>0</v>
      </c>
      <c r="L389" t="b">
        <f t="shared" si="57"/>
        <v>1</v>
      </c>
      <c r="M389" t="b">
        <f t="shared" si="58"/>
        <v>0</v>
      </c>
      <c r="N389" t="b">
        <f t="shared" si="59"/>
        <v>0</v>
      </c>
      <c r="O389" t="b">
        <f t="shared" si="60"/>
        <v>0</v>
      </c>
    </row>
    <row r="390" spans="1:15" x14ac:dyDescent="0.35">
      <c r="A390" t="str">
        <v>electric_Westinghouse_FF_1_Big_Liz_</v>
      </c>
      <c r="B390" t="b" cm="1">
        <f t="array" ref="B390">_xlfn.XLOOKUP(A390,CONTROL[VEHIDCODE],PROPERTIES[EXCLUDE])</f>
        <v>0</v>
      </c>
      <c r="C390" t="b">
        <f>_xlfn.XLOOKUP(A390,CONTROL[VEHIDCODE],CONTROL[IS_WAGON_OR_COACH])</f>
        <v>0</v>
      </c>
      <c r="D390">
        <f>FLOOR(_xlfn.XLOOKUP($A390,PROPERTIES[VEHIDCODE],PROPERTIES[INTRODUCTION_YEAR]),20)</f>
        <v>1900</v>
      </c>
      <c r="E390" t="e">
        <f>_xlfn.XLOOKUP($A390,PROPERTIES[VEHIDCODE],#REF!)</f>
        <v>#REF!</v>
      </c>
      <c r="F390" s="25" t="str" cm="1">
        <f t="array" ref="F390">_xlfn.CONCAT(_xlfn.XLOOKUP($A390,PROPERTIES[VEHIDCODE],PROPERTIES[REGION1]),"_",_xlfn.XLOOKUP($A390,PROPERTIES[VEHIDCODE],PROPERTIES[REGION2]),"_",_xlfn.XLOOKUP($A390,PROPERTIES[VEHIDCODE],PROPERTIES[REGION3]&amp;"_"&amp;_xlfn.XLOOKUP($A390,PROPERTIES[VEHIDCODE],PROPERTIES[REGION4])))</f>
        <v>NORTH_AMERICA_NO_REGION_NO_REGION_NO_REGION</v>
      </c>
      <c r="G390" t="b">
        <f t="shared" si="54"/>
        <v>0</v>
      </c>
      <c r="H390" t="b">
        <f t="shared" si="61"/>
        <v>0</v>
      </c>
      <c r="I390" t="b">
        <f t="shared" si="55"/>
        <v>0</v>
      </c>
      <c r="J390" t="b">
        <f t="shared" si="62"/>
        <v>0</v>
      </c>
      <c r="K390" t="b">
        <f t="shared" si="56"/>
        <v>0</v>
      </c>
      <c r="L390" t="b">
        <f t="shared" si="57"/>
        <v>0</v>
      </c>
      <c r="M390" t="b">
        <f t="shared" si="58"/>
        <v>1</v>
      </c>
      <c r="N390" t="b">
        <f t="shared" si="59"/>
        <v>0</v>
      </c>
      <c r="O390" t="b">
        <f t="shared" si="60"/>
        <v>0</v>
      </c>
    </row>
    <row r="391" spans="1:15" x14ac:dyDescent="0.35">
      <c r="A391" t="str">
        <v>electric_ELIN_Floridsdorf_1161</v>
      </c>
      <c r="B391" t="b" cm="1">
        <f t="array" ref="B391">_xlfn.XLOOKUP(A391,CONTROL[VEHIDCODE],PROPERTIES[EXCLUDE])</f>
        <v>0</v>
      </c>
      <c r="C391" t="b">
        <f>_xlfn.XLOOKUP(A391,CONTROL[VEHIDCODE],CONTROL[IS_WAGON_OR_COACH])</f>
        <v>0</v>
      </c>
      <c r="D391">
        <f>FLOOR(_xlfn.XLOOKUP($A391,PROPERTIES[VEHIDCODE],PROPERTIES[INTRODUCTION_YEAR]),20)</f>
        <v>1920</v>
      </c>
      <c r="E391" t="e">
        <f>_xlfn.XLOOKUP($A391,PROPERTIES[VEHIDCODE],#REF!)</f>
        <v>#REF!</v>
      </c>
      <c r="F391" s="25" t="str" cm="1">
        <f t="array" ref="F391">_xlfn.CONCAT(_xlfn.XLOOKUP($A391,PROPERTIES[VEHIDCODE],PROPERTIES[REGION1]),"_",_xlfn.XLOOKUP($A391,PROPERTIES[VEHIDCODE],PROPERTIES[REGION2]),"_",_xlfn.XLOOKUP($A391,PROPERTIES[VEHIDCODE],PROPERTIES[REGION3]&amp;"_"&amp;_xlfn.XLOOKUP($A391,PROPERTIES[VEHIDCODE],PROPERTIES[REGION4])))</f>
        <v>WESTERN_EUROPE_NO_REGION_NO_REGION_NO_REGION</v>
      </c>
      <c r="G391" t="b">
        <f t="shared" si="54"/>
        <v>0</v>
      </c>
      <c r="H391" t="b">
        <f t="shared" si="61"/>
        <v>0</v>
      </c>
      <c r="I391" t="b">
        <f t="shared" si="55"/>
        <v>0</v>
      </c>
      <c r="J391" t="b">
        <f t="shared" si="62"/>
        <v>0</v>
      </c>
      <c r="K391" t="b">
        <f t="shared" si="56"/>
        <v>1</v>
      </c>
      <c r="L391" t="b">
        <f t="shared" si="57"/>
        <v>0</v>
      </c>
      <c r="M391" t="b">
        <f t="shared" si="58"/>
        <v>0</v>
      </c>
      <c r="N391" t="b">
        <f t="shared" si="59"/>
        <v>0</v>
      </c>
      <c r="O391" t="b">
        <f t="shared" si="60"/>
        <v>0</v>
      </c>
    </row>
    <row r="392" spans="1:15" x14ac:dyDescent="0.35">
      <c r="A392" t="str">
        <v>electric_Maffei_SSW_Lok_5_Adolphine</v>
      </c>
      <c r="B392" t="b" cm="1">
        <f t="array" ref="B392">_xlfn.XLOOKUP(A392,CONTROL[VEHIDCODE],PROPERTIES[EXCLUDE])</f>
        <v>0</v>
      </c>
      <c r="C392" t="b">
        <f>_xlfn.XLOOKUP(A392,CONTROL[VEHIDCODE],CONTROL[IS_WAGON_OR_COACH])</f>
        <v>0</v>
      </c>
      <c r="D392">
        <f>FLOOR(_xlfn.XLOOKUP($A392,PROPERTIES[VEHIDCODE],PROPERTIES[INTRODUCTION_YEAR]),20)</f>
        <v>1920</v>
      </c>
      <c r="E392" t="e">
        <f>_xlfn.XLOOKUP($A392,PROPERTIES[VEHIDCODE],#REF!)</f>
        <v>#REF!</v>
      </c>
      <c r="F392" s="25" t="str" cm="1">
        <f t="array" ref="F392">_xlfn.CONCAT(_xlfn.XLOOKUP($A392,PROPERTIES[VEHIDCODE],PROPERTIES[REGION1]),"_",_xlfn.XLOOKUP($A392,PROPERTIES[VEHIDCODE],PROPERTIES[REGION2]),"_",_xlfn.XLOOKUP($A392,PROPERTIES[VEHIDCODE],PROPERTIES[REGION3]&amp;"_"&amp;_xlfn.XLOOKUP($A392,PROPERTIES[VEHIDCODE],PROPERTIES[REGION4])))</f>
        <v>WESTERN_EUROPE_NO_REGION_NO_REGION_NO_REGION</v>
      </c>
      <c r="G392" t="b">
        <f t="shared" si="54"/>
        <v>0</v>
      </c>
      <c r="H392" t="b">
        <f t="shared" si="61"/>
        <v>0</v>
      </c>
      <c r="I392" t="b">
        <f t="shared" si="55"/>
        <v>0</v>
      </c>
      <c r="J392" t="b">
        <f t="shared" si="62"/>
        <v>0</v>
      </c>
      <c r="K392" t="b">
        <f t="shared" si="56"/>
        <v>1</v>
      </c>
      <c r="L392" t="b">
        <f t="shared" si="57"/>
        <v>0</v>
      </c>
      <c r="M392" t="b">
        <f t="shared" si="58"/>
        <v>0</v>
      </c>
      <c r="N392" t="b">
        <f t="shared" si="59"/>
        <v>0</v>
      </c>
      <c r="O392" t="b">
        <f t="shared" si="60"/>
        <v>0</v>
      </c>
    </row>
    <row r="393" spans="1:15" x14ac:dyDescent="0.35">
      <c r="A393" t="str">
        <v>electric_Thune_ASEA_EL10</v>
      </c>
      <c r="B393" t="b" cm="1">
        <f t="array" ref="B393">_xlfn.XLOOKUP(A393,CONTROL[VEHIDCODE],PROPERTIES[EXCLUDE])</f>
        <v>0</v>
      </c>
      <c r="C393" t="b">
        <f>_xlfn.XLOOKUP(A393,CONTROL[VEHIDCODE],CONTROL[IS_WAGON_OR_COACH])</f>
        <v>0</v>
      </c>
      <c r="D393">
        <f>FLOOR(_xlfn.XLOOKUP($A393,PROPERTIES[VEHIDCODE],PROPERTIES[INTRODUCTION_YEAR]),20)</f>
        <v>1920</v>
      </c>
      <c r="E393" t="e">
        <f>_xlfn.XLOOKUP($A393,PROPERTIES[VEHIDCODE],#REF!)</f>
        <v>#REF!</v>
      </c>
      <c r="F393" s="25" t="str" cm="1">
        <f t="array" ref="F393">_xlfn.CONCAT(_xlfn.XLOOKUP($A393,PROPERTIES[VEHIDCODE],PROPERTIES[REGION1]),"_",_xlfn.XLOOKUP($A393,PROPERTIES[VEHIDCODE],PROPERTIES[REGION2]),"_",_xlfn.XLOOKUP($A393,PROPERTIES[VEHIDCODE],PROPERTIES[REGION3]&amp;"_"&amp;_xlfn.XLOOKUP($A393,PROPERTIES[VEHIDCODE],PROPERTIES[REGION4])))</f>
        <v>NORTHERN_EUROPE_NO_REGION_NO_REGION_NO_REGION</v>
      </c>
      <c r="G393" t="b">
        <f t="shared" si="54"/>
        <v>0</v>
      </c>
      <c r="H393" t="b">
        <f t="shared" si="61"/>
        <v>0</v>
      </c>
      <c r="I393" t="b">
        <f t="shared" si="55"/>
        <v>0</v>
      </c>
      <c r="J393" t="b">
        <f t="shared" si="62"/>
        <v>0</v>
      </c>
      <c r="K393" t="b">
        <f t="shared" si="56"/>
        <v>0</v>
      </c>
      <c r="L393" t="b">
        <f t="shared" si="57"/>
        <v>1</v>
      </c>
      <c r="M393" t="b">
        <f t="shared" si="58"/>
        <v>0</v>
      </c>
      <c r="N393" t="b">
        <f t="shared" si="59"/>
        <v>0</v>
      </c>
      <c r="O393" t="b">
        <f t="shared" si="60"/>
        <v>0</v>
      </c>
    </row>
    <row r="394" spans="1:15" x14ac:dyDescent="0.35">
      <c r="A394" t="str">
        <v>electric_AEG_E_04</v>
      </c>
      <c r="B394" t="b" cm="1">
        <f t="array" ref="B394">_xlfn.XLOOKUP(A394,CONTROL[VEHIDCODE],PROPERTIES[EXCLUDE])</f>
        <v>0</v>
      </c>
      <c r="C394" t="b">
        <f>_xlfn.XLOOKUP(A394,CONTROL[VEHIDCODE],CONTROL[IS_WAGON_OR_COACH])</f>
        <v>0</v>
      </c>
      <c r="D394">
        <f>FLOOR(_xlfn.XLOOKUP($A394,PROPERTIES[VEHIDCODE],PROPERTIES[INTRODUCTION_YEAR]),20)</f>
        <v>1920</v>
      </c>
      <c r="E394" t="e">
        <f>_xlfn.XLOOKUP($A394,PROPERTIES[VEHIDCODE],#REF!)</f>
        <v>#REF!</v>
      </c>
      <c r="F394" s="25" t="str" cm="1">
        <f t="array" ref="F394">_xlfn.CONCAT(_xlfn.XLOOKUP($A394,PROPERTIES[VEHIDCODE],PROPERTIES[REGION1]),"_",_xlfn.XLOOKUP($A394,PROPERTIES[VEHIDCODE],PROPERTIES[REGION2]),"_",_xlfn.XLOOKUP($A394,PROPERTIES[VEHIDCODE],PROPERTIES[REGION3]&amp;"_"&amp;_xlfn.XLOOKUP($A394,PROPERTIES[VEHIDCODE],PROPERTIES[REGION4])))</f>
        <v>WESTERN_EUROPE_NO_REGION_NO_REGION_NO_REGION</v>
      </c>
      <c r="G394" t="b">
        <f t="shared" si="54"/>
        <v>0</v>
      </c>
      <c r="H394" t="b">
        <f t="shared" si="61"/>
        <v>0</v>
      </c>
      <c r="I394" t="b">
        <f t="shared" si="55"/>
        <v>0</v>
      </c>
      <c r="J394" t="b">
        <f t="shared" si="62"/>
        <v>0</v>
      </c>
      <c r="K394" t="b">
        <f t="shared" si="56"/>
        <v>1</v>
      </c>
      <c r="L394" t="b">
        <f t="shared" si="57"/>
        <v>0</v>
      </c>
      <c r="M394" t="b">
        <f t="shared" si="58"/>
        <v>0</v>
      </c>
      <c r="N394" t="b">
        <f t="shared" si="59"/>
        <v>0</v>
      </c>
      <c r="O394" t="b">
        <f t="shared" si="60"/>
        <v>0</v>
      </c>
    </row>
    <row r="395" spans="1:15" x14ac:dyDescent="0.35">
      <c r="A395" t="str">
        <v>electric_GE_4_6_0_0_6_4OE_GG_1</v>
      </c>
      <c r="B395" t="b" cm="1">
        <f t="array" ref="B395">_xlfn.XLOOKUP(A395,CONTROL[VEHIDCODE],PROPERTIES[EXCLUDE])</f>
        <v>0</v>
      </c>
      <c r="C395" t="b">
        <f>_xlfn.XLOOKUP(A395,CONTROL[VEHIDCODE],CONTROL[IS_WAGON_OR_COACH])</f>
        <v>0</v>
      </c>
      <c r="D395">
        <f>FLOOR(_xlfn.XLOOKUP($A395,PROPERTIES[VEHIDCODE],PROPERTIES[INTRODUCTION_YEAR]),20)</f>
        <v>1920</v>
      </c>
      <c r="E395" t="e">
        <f>_xlfn.XLOOKUP($A395,PROPERTIES[VEHIDCODE],#REF!)</f>
        <v>#REF!</v>
      </c>
      <c r="F395" s="25" t="str" cm="1">
        <f t="array" ref="F395">_xlfn.CONCAT(_xlfn.XLOOKUP($A395,PROPERTIES[VEHIDCODE],PROPERTIES[REGION1]),"_",_xlfn.XLOOKUP($A395,PROPERTIES[VEHIDCODE],PROPERTIES[REGION2]),"_",_xlfn.XLOOKUP($A395,PROPERTIES[VEHIDCODE],PROPERTIES[REGION3]&amp;"_"&amp;_xlfn.XLOOKUP($A395,PROPERTIES[VEHIDCODE],PROPERTIES[REGION4])))</f>
        <v>NORTH_AMERICA_NO_REGION_NO_REGION_NO_REGION</v>
      </c>
      <c r="G395" t="b">
        <f t="shared" si="54"/>
        <v>0</v>
      </c>
      <c r="H395" t="b">
        <f t="shared" si="61"/>
        <v>0</v>
      </c>
      <c r="I395" t="b">
        <f t="shared" si="55"/>
        <v>0</v>
      </c>
      <c r="J395" t="b">
        <f t="shared" si="62"/>
        <v>0</v>
      </c>
      <c r="K395" t="b">
        <f t="shared" si="56"/>
        <v>0</v>
      </c>
      <c r="L395" t="b">
        <f t="shared" si="57"/>
        <v>0</v>
      </c>
      <c r="M395" t="b">
        <f t="shared" si="58"/>
        <v>1</v>
      </c>
      <c r="N395" t="b">
        <f t="shared" si="59"/>
        <v>0</v>
      </c>
      <c r="O395" t="b">
        <f t="shared" si="60"/>
        <v>0</v>
      </c>
    </row>
    <row r="396" spans="1:15" x14ac:dyDescent="0.35">
      <c r="A396" t="str">
        <v>electric_SLM_1100_Crocodile</v>
      </c>
      <c r="B396" t="b" cm="1">
        <f t="array" ref="B396">_xlfn.XLOOKUP(A396,CONTROL[VEHIDCODE],PROPERTIES[EXCLUDE])</f>
        <v>0</v>
      </c>
      <c r="C396" t="b">
        <f>_xlfn.XLOOKUP(A396,CONTROL[VEHIDCODE],CONTROL[IS_WAGON_OR_COACH])</f>
        <v>0</v>
      </c>
      <c r="D396">
        <f>FLOOR(_xlfn.XLOOKUP($A396,PROPERTIES[VEHIDCODE],PROPERTIES[INTRODUCTION_YEAR]),20)</f>
        <v>1940</v>
      </c>
      <c r="E396" t="e">
        <f>_xlfn.XLOOKUP($A396,PROPERTIES[VEHIDCODE],#REF!)</f>
        <v>#REF!</v>
      </c>
      <c r="F396" s="25" t="str" cm="1">
        <f t="array" ref="F396">_xlfn.CONCAT(_xlfn.XLOOKUP($A396,PROPERTIES[VEHIDCODE],PROPERTIES[REGION1]),"_",_xlfn.XLOOKUP($A396,PROPERTIES[VEHIDCODE],PROPERTIES[REGION2]),"_",_xlfn.XLOOKUP($A396,PROPERTIES[VEHIDCODE],PROPERTIES[REGION3]&amp;"_"&amp;_xlfn.XLOOKUP($A396,PROPERTIES[VEHIDCODE],PROPERTIES[REGION4])))</f>
        <v>WESTERN_EUROPE_NO_REGION_NO_REGION_NO_REGION</v>
      </c>
      <c r="G396" t="b">
        <f t="shared" si="54"/>
        <v>0</v>
      </c>
      <c r="H396" t="b">
        <f t="shared" si="61"/>
        <v>0</v>
      </c>
      <c r="I396" t="b">
        <f t="shared" si="55"/>
        <v>0</v>
      </c>
      <c r="J396" t="b">
        <f t="shared" si="62"/>
        <v>0</v>
      </c>
      <c r="K396" t="b">
        <f t="shared" si="56"/>
        <v>1</v>
      </c>
      <c r="L396" t="b">
        <f t="shared" si="57"/>
        <v>0</v>
      </c>
      <c r="M396" t="b">
        <f t="shared" si="58"/>
        <v>0</v>
      </c>
      <c r="N396" t="b">
        <f t="shared" si="59"/>
        <v>0</v>
      </c>
      <c r="O396" t="b">
        <f t="shared" si="60"/>
        <v>0</v>
      </c>
    </row>
    <row r="397" spans="1:15" x14ac:dyDescent="0.35">
      <c r="A397" t="str">
        <v>electric_AEG_BBC_Henschel_Siemens_E03</v>
      </c>
      <c r="B397" t="b" cm="1">
        <f t="array" ref="B397">_xlfn.XLOOKUP(A397,CONTROL[VEHIDCODE],PROPERTIES[EXCLUDE])</f>
        <v>0</v>
      </c>
      <c r="C397" t="b">
        <f>_xlfn.XLOOKUP(A397,CONTROL[VEHIDCODE],CONTROL[IS_WAGON_OR_COACH])</f>
        <v>0</v>
      </c>
      <c r="D397">
        <f>FLOOR(_xlfn.XLOOKUP($A397,PROPERTIES[VEHIDCODE],PROPERTIES[INTRODUCTION_YEAR]),20)</f>
        <v>1960</v>
      </c>
      <c r="E397" t="e">
        <f>_xlfn.XLOOKUP($A397,PROPERTIES[VEHIDCODE],#REF!)</f>
        <v>#REF!</v>
      </c>
      <c r="F397" s="25" t="str" cm="1">
        <f t="array" ref="F397">_xlfn.CONCAT(_xlfn.XLOOKUP($A397,PROPERTIES[VEHIDCODE],PROPERTIES[REGION1]),"_",_xlfn.XLOOKUP($A397,PROPERTIES[VEHIDCODE],PROPERTIES[REGION2]),"_",_xlfn.XLOOKUP($A397,PROPERTIES[VEHIDCODE],PROPERTIES[REGION3]&amp;"_"&amp;_xlfn.XLOOKUP($A397,PROPERTIES[VEHIDCODE],PROPERTIES[REGION4])))</f>
        <v>WESTERN_EUROPE_NO_REGION_NO_REGION_NO_REGION</v>
      </c>
      <c r="G397" t="b">
        <f t="shared" si="54"/>
        <v>0</v>
      </c>
      <c r="H397" t="b">
        <f t="shared" si="61"/>
        <v>0</v>
      </c>
      <c r="I397" t="b">
        <f t="shared" si="55"/>
        <v>0</v>
      </c>
      <c r="J397" t="b">
        <f t="shared" si="62"/>
        <v>0</v>
      </c>
      <c r="K397" t="b">
        <f t="shared" si="56"/>
        <v>1</v>
      </c>
      <c r="L397" t="b">
        <f t="shared" si="57"/>
        <v>0</v>
      </c>
      <c r="M397" t="b">
        <f t="shared" si="58"/>
        <v>0</v>
      </c>
      <c r="N397" t="b">
        <f t="shared" si="59"/>
        <v>0</v>
      </c>
      <c r="O397" t="b">
        <f t="shared" si="60"/>
        <v>0</v>
      </c>
    </row>
    <row r="398" spans="1:15" x14ac:dyDescent="0.35">
      <c r="A398" t="str">
        <v>electric_Krauss_WASSEG_E_91_9</v>
      </c>
      <c r="B398" t="b" cm="1">
        <f t="array" ref="B398">_xlfn.XLOOKUP(A398,CONTROL[VEHIDCODE],PROPERTIES[EXCLUDE])</f>
        <v>0</v>
      </c>
      <c r="C398" t="b">
        <f>_xlfn.XLOOKUP(A398,CONTROL[VEHIDCODE],CONTROL[IS_WAGON_OR_COACH])</f>
        <v>0</v>
      </c>
      <c r="D398">
        <f>FLOOR(_xlfn.XLOOKUP($A398,PROPERTIES[VEHIDCODE],PROPERTIES[INTRODUCTION_YEAR]),20)</f>
        <v>1920</v>
      </c>
      <c r="E398" t="e">
        <f>_xlfn.XLOOKUP($A398,PROPERTIES[VEHIDCODE],#REF!)</f>
        <v>#REF!</v>
      </c>
      <c r="F398" s="25" t="str" cm="1">
        <f t="array" ref="F398">_xlfn.CONCAT(_xlfn.XLOOKUP($A398,PROPERTIES[VEHIDCODE],PROPERTIES[REGION1]),"_",_xlfn.XLOOKUP($A398,PROPERTIES[VEHIDCODE],PROPERTIES[REGION2]),"_",_xlfn.XLOOKUP($A398,PROPERTIES[VEHIDCODE],PROPERTIES[REGION3]&amp;"_"&amp;_xlfn.XLOOKUP($A398,PROPERTIES[VEHIDCODE],PROPERTIES[REGION4])))</f>
        <v>WESTERN_EUROPE_NO_REGION_NO_REGION_NO_REGION</v>
      </c>
      <c r="G398" t="b">
        <f t="shared" si="54"/>
        <v>0</v>
      </c>
      <c r="H398" t="b">
        <f t="shared" si="61"/>
        <v>0</v>
      </c>
      <c r="I398" t="b">
        <f t="shared" si="55"/>
        <v>0</v>
      </c>
      <c r="J398" t="b">
        <f t="shared" si="62"/>
        <v>0</v>
      </c>
      <c r="K398" t="b">
        <f t="shared" si="56"/>
        <v>1</v>
      </c>
      <c r="L398" t="b">
        <f t="shared" si="57"/>
        <v>0</v>
      </c>
      <c r="M398" t="b">
        <f t="shared" si="58"/>
        <v>0</v>
      </c>
      <c r="N398" t="b">
        <f t="shared" si="59"/>
        <v>0</v>
      </c>
      <c r="O398" t="b">
        <f t="shared" si="60"/>
        <v>0</v>
      </c>
    </row>
    <row r="399" spans="1:15" x14ac:dyDescent="0.35">
      <c r="A399" t="str">
        <v>electric_SLM_Ce_4_4</v>
      </c>
      <c r="B399" t="b" cm="1">
        <f t="array" ref="B399">_xlfn.XLOOKUP(A399,CONTROL[VEHIDCODE],PROPERTIES[EXCLUDE])</f>
        <v>0</v>
      </c>
      <c r="C399" t="b">
        <f>_xlfn.XLOOKUP(A399,CONTROL[VEHIDCODE],CONTROL[IS_WAGON_OR_COACH])</f>
        <v>0</v>
      </c>
      <c r="D399">
        <f>FLOOR(_xlfn.XLOOKUP($A399,PROPERTIES[VEHIDCODE],PROPERTIES[INTRODUCTION_YEAR]),20)</f>
        <v>1940</v>
      </c>
      <c r="E399" t="e">
        <f>_xlfn.XLOOKUP($A399,PROPERTIES[VEHIDCODE],#REF!)</f>
        <v>#REF!</v>
      </c>
      <c r="F399" s="25" t="str" cm="1">
        <f t="array" ref="F399">_xlfn.CONCAT(_xlfn.XLOOKUP($A399,PROPERTIES[VEHIDCODE],PROPERTIES[REGION1]),"_",_xlfn.XLOOKUP($A399,PROPERTIES[VEHIDCODE],PROPERTIES[REGION2]),"_",_xlfn.XLOOKUP($A399,PROPERTIES[VEHIDCODE],PROPERTIES[REGION3]&amp;"_"&amp;_xlfn.XLOOKUP($A399,PROPERTIES[VEHIDCODE],PROPERTIES[REGION4])))</f>
        <v>WESTERN_EUROPE_NO_REGION_NO_REGION_NO_REGION</v>
      </c>
      <c r="G399" t="b">
        <f t="shared" si="54"/>
        <v>0</v>
      </c>
      <c r="H399" t="b">
        <f t="shared" si="61"/>
        <v>0</v>
      </c>
      <c r="I399" t="b">
        <f t="shared" si="55"/>
        <v>0</v>
      </c>
      <c r="J399" t="b">
        <f t="shared" si="62"/>
        <v>0</v>
      </c>
      <c r="K399" t="b">
        <f t="shared" si="56"/>
        <v>1</v>
      </c>
      <c r="L399" t="b">
        <f t="shared" si="57"/>
        <v>0</v>
      </c>
      <c r="M399" t="b">
        <f t="shared" si="58"/>
        <v>0</v>
      </c>
      <c r="N399" t="b">
        <f t="shared" si="59"/>
        <v>0</v>
      </c>
      <c r="O399" t="b">
        <f t="shared" si="60"/>
        <v>0</v>
      </c>
    </row>
    <row r="400" spans="1:15" x14ac:dyDescent="0.35">
      <c r="A400" t="str">
        <v>electric_SLM_Ae_6_6</v>
      </c>
      <c r="B400" t="b" cm="1">
        <f t="array" ref="B400">_xlfn.XLOOKUP(A400,CONTROL[VEHIDCODE],PROPERTIES[EXCLUDE])</f>
        <v>0</v>
      </c>
      <c r="C400" t="b">
        <f>_xlfn.XLOOKUP(A400,CONTROL[VEHIDCODE],CONTROL[IS_WAGON_OR_COACH])</f>
        <v>0</v>
      </c>
      <c r="D400">
        <f>FLOOR(_xlfn.XLOOKUP($A400,PROPERTIES[VEHIDCODE],PROPERTIES[INTRODUCTION_YEAR]),20)</f>
        <v>1940</v>
      </c>
      <c r="E400" t="e">
        <f>_xlfn.XLOOKUP($A400,PROPERTIES[VEHIDCODE],#REF!)</f>
        <v>#REF!</v>
      </c>
      <c r="F400" s="25" t="str" cm="1">
        <f t="array" ref="F400">_xlfn.CONCAT(_xlfn.XLOOKUP($A400,PROPERTIES[VEHIDCODE],PROPERTIES[REGION1]),"_",_xlfn.XLOOKUP($A400,PROPERTIES[VEHIDCODE],PROPERTIES[REGION2]),"_",_xlfn.XLOOKUP($A400,PROPERTIES[VEHIDCODE],PROPERTIES[REGION3]&amp;"_"&amp;_xlfn.XLOOKUP($A400,PROPERTIES[VEHIDCODE],PROPERTIES[REGION4])))</f>
        <v>WESTERN_EUROPE_NO_REGION_NO_REGION_NO_REGION</v>
      </c>
      <c r="G400" t="b">
        <f t="shared" si="54"/>
        <v>0</v>
      </c>
      <c r="H400" t="b">
        <f t="shared" si="61"/>
        <v>0</v>
      </c>
      <c r="I400" t="b">
        <f t="shared" si="55"/>
        <v>0</v>
      </c>
      <c r="J400" t="b">
        <f t="shared" si="62"/>
        <v>0</v>
      </c>
      <c r="K400" t="b">
        <f t="shared" si="56"/>
        <v>1</v>
      </c>
      <c r="L400" t="b">
        <f t="shared" si="57"/>
        <v>0</v>
      </c>
      <c r="M400" t="b">
        <f t="shared" si="58"/>
        <v>0</v>
      </c>
      <c r="N400" t="b">
        <f t="shared" si="59"/>
        <v>0</v>
      </c>
      <c r="O400" t="b">
        <f t="shared" si="60"/>
        <v>0</v>
      </c>
    </row>
    <row r="401" spans="1:15" x14ac:dyDescent="0.35">
      <c r="A401" t="str">
        <v>electric_SLM_ABB_Lok_2000</v>
      </c>
      <c r="B401" t="b" cm="1">
        <f t="array" ref="B401">_xlfn.XLOOKUP(A401,CONTROL[VEHIDCODE],PROPERTIES[EXCLUDE])</f>
        <v>0</v>
      </c>
      <c r="C401" t="b">
        <f>_xlfn.XLOOKUP(A401,CONTROL[VEHIDCODE],CONTROL[IS_WAGON_OR_COACH])</f>
        <v>0</v>
      </c>
      <c r="D401">
        <f>FLOOR(_xlfn.XLOOKUP($A401,PROPERTIES[VEHIDCODE],PROPERTIES[INTRODUCTION_YEAR]),20)</f>
        <v>1980</v>
      </c>
      <c r="E401" t="e">
        <f>_xlfn.XLOOKUP($A401,PROPERTIES[VEHIDCODE],#REF!)</f>
        <v>#REF!</v>
      </c>
      <c r="F401" s="25" t="str" cm="1">
        <f t="array" ref="F401">_xlfn.CONCAT(_xlfn.XLOOKUP($A401,PROPERTIES[VEHIDCODE],PROPERTIES[REGION1]),"_",_xlfn.XLOOKUP($A401,PROPERTIES[VEHIDCODE],PROPERTIES[REGION2]),"_",_xlfn.XLOOKUP($A401,PROPERTIES[VEHIDCODE],PROPERTIES[REGION3]&amp;"_"&amp;_xlfn.XLOOKUP($A401,PROPERTIES[VEHIDCODE],PROPERTIES[REGION4])))</f>
        <v>NORTH_WEST_EUROPE_ASIA_NO_REGION_NO_REGION</v>
      </c>
      <c r="G401" t="b">
        <f t="shared" si="54"/>
        <v>0</v>
      </c>
      <c r="H401" t="b">
        <f t="shared" si="61"/>
        <v>1</v>
      </c>
      <c r="I401" t="b">
        <f t="shared" si="55"/>
        <v>0</v>
      </c>
      <c r="J401" t="b">
        <f t="shared" si="62"/>
        <v>0</v>
      </c>
      <c r="K401" t="b">
        <f t="shared" si="56"/>
        <v>1</v>
      </c>
      <c r="L401" t="b">
        <f t="shared" si="57"/>
        <v>1</v>
      </c>
      <c r="M401" t="b">
        <f t="shared" si="58"/>
        <v>0</v>
      </c>
      <c r="N401" t="b">
        <f t="shared" si="59"/>
        <v>0</v>
      </c>
      <c r="O401" t="b">
        <f t="shared" si="60"/>
        <v>0</v>
      </c>
    </row>
    <row r="402" spans="1:15" x14ac:dyDescent="0.35">
      <c r="A402" t="str">
        <v>electric_Stadler_Butler_Eem_923</v>
      </c>
      <c r="B402" t="b" cm="1">
        <f t="array" ref="B402">_xlfn.XLOOKUP(A402,CONTROL[VEHIDCODE],PROPERTIES[EXCLUDE])</f>
        <v>0</v>
      </c>
      <c r="C402" t="b">
        <f>_xlfn.XLOOKUP(A402,CONTROL[VEHIDCODE],CONTROL[IS_WAGON_OR_COACH])</f>
        <v>0</v>
      </c>
      <c r="D402">
        <f>FLOOR(_xlfn.XLOOKUP($A402,PROPERTIES[VEHIDCODE],PROPERTIES[INTRODUCTION_YEAR]),20)</f>
        <v>2000</v>
      </c>
      <c r="E402" t="e">
        <f>_xlfn.XLOOKUP($A402,PROPERTIES[VEHIDCODE],#REF!)</f>
        <v>#REF!</v>
      </c>
      <c r="F402" s="25" t="str" cm="1">
        <f t="array" ref="F402">_xlfn.CONCAT(_xlfn.XLOOKUP($A402,PROPERTIES[VEHIDCODE],PROPERTIES[REGION1]),"_",_xlfn.XLOOKUP($A402,PROPERTIES[VEHIDCODE],PROPERTIES[REGION2]),"_",_xlfn.XLOOKUP($A402,PROPERTIES[VEHIDCODE],PROPERTIES[REGION3]&amp;"_"&amp;_xlfn.XLOOKUP($A402,PROPERTIES[VEHIDCODE],PROPERTIES[REGION4])))</f>
        <v>WESTERN_EUROPE_NO_REGION_NO_REGION_NO_REGION</v>
      </c>
      <c r="G402" t="b">
        <f t="shared" si="54"/>
        <v>0</v>
      </c>
      <c r="H402" t="b">
        <f t="shared" si="61"/>
        <v>0</v>
      </c>
      <c r="I402" t="b">
        <f t="shared" si="55"/>
        <v>0</v>
      </c>
      <c r="J402" t="b">
        <f t="shared" si="62"/>
        <v>0</v>
      </c>
      <c r="K402" t="b">
        <f t="shared" si="56"/>
        <v>1</v>
      </c>
      <c r="L402" t="b">
        <f t="shared" si="57"/>
        <v>0</v>
      </c>
      <c r="M402" t="b">
        <f t="shared" si="58"/>
        <v>0</v>
      </c>
      <c r="N402" t="b">
        <f t="shared" si="59"/>
        <v>0</v>
      </c>
      <c r="O402" t="b">
        <f t="shared" si="60"/>
        <v>0</v>
      </c>
    </row>
    <row r="403" spans="1:15" x14ac:dyDescent="0.35">
      <c r="A403" t="str">
        <v>electric_SGP_1044</v>
      </c>
      <c r="B403" t="b" cm="1">
        <f t="array" ref="B403">_xlfn.XLOOKUP(A403,CONTROL[VEHIDCODE],PROPERTIES[EXCLUDE])</f>
        <v>0</v>
      </c>
      <c r="C403" t="b">
        <f>_xlfn.XLOOKUP(A403,CONTROL[VEHIDCODE],CONTROL[IS_WAGON_OR_COACH])</f>
        <v>0</v>
      </c>
      <c r="D403">
        <f>FLOOR(_xlfn.XLOOKUP($A403,PROPERTIES[VEHIDCODE],PROPERTIES[INTRODUCTION_YEAR]),20)</f>
        <v>1960</v>
      </c>
      <c r="E403" t="e">
        <f>_xlfn.XLOOKUP($A403,PROPERTIES[VEHIDCODE],#REF!)</f>
        <v>#REF!</v>
      </c>
      <c r="F403" s="25" t="str" cm="1">
        <f t="array" ref="F403">_xlfn.CONCAT(_xlfn.XLOOKUP($A403,PROPERTIES[VEHIDCODE],PROPERTIES[REGION1]),"_",_xlfn.XLOOKUP($A403,PROPERTIES[VEHIDCODE],PROPERTIES[REGION2]),"_",_xlfn.XLOOKUP($A403,PROPERTIES[VEHIDCODE],PROPERTIES[REGION3]&amp;"_"&amp;_xlfn.XLOOKUP($A403,PROPERTIES[VEHIDCODE],PROPERTIES[REGION4])))</f>
        <v>WESTERN_EUROPE_NO_REGION_NO_REGION_NO_REGION</v>
      </c>
      <c r="G403" t="b">
        <f t="shared" si="54"/>
        <v>0</v>
      </c>
      <c r="H403" t="b">
        <f t="shared" si="61"/>
        <v>0</v>
      </c>
      <c r="I403" t="b">
        <f t="shared" si="55"/>
        <v>0</v>
      </c>
      <c r="J403" t="b">
        <f t="shared" si="62"/>
        <v>0</v>
      </c>
      <c r="K403" t="b">
        <f t="shared" si="56"/>
        <v>1</v>
      </c>
      <c r="L403" t="b">
        <f t="shared" si="57"/>
        <v>0</v>
      </c>
      <c r="M403" t="b">
        <f t="shared" si="58"/>
        <v>0</v>
      </c>
      <c r="N403" t="b">
        <f t="shared" si="59"/>
        <v>0</v>
      </c>
      <c r="O403" t="b">
        <f t="shared" si="60"/>
        <v>0</v>
      </c>
    </row>
    <row r="404" spans="1:15" x14ac:dyDescent="0.35">
      <c r="A404" t="str">
        <v>electric_SGP_1063</v>
      </c>
      <c r="B404" t="b" cm="1">
        <f t="array" ref="B404">_xlfn.XLOOKUP(A404,CONTROL[VEHIDCODE],PROPERTIES[EXCLUDE])</f>
        <v>0</v>
      </c>
      <c r="C404" t="b">
        <f>_xlfn.XLOOKUP(A404,CONTROL[VEHIDCODE],CONTROL[IS_WAGON_OR_COACH])</f>
        <v>0</v>
      </c>
      <c r="D404">
        <f>FLOOR(_xlfn.XLOOKUP($A404,PROPERTIES[VEHIDCODE],PROPERTIES[INTRODUCTION_YEAR]),20)</f>
        <v>1980</v>
      </c>
      <c r="E404" t="e">
        <f>_xlfn.XLOOKUP($A404,PROPERTIES[VEHIDCODE],#REF!)</f>
        <v>#REF!</v>
      </c>
      <c r="F404" s="25" t="str" cm="1">
        <f t="array" ref="F404">_xlfn.CONCAT(_xlfn.XLOOKUP($A404,PROPERTIES[VEHIDCODE],PROPERTIES[REGION1]),"_",_xlfn.XLOOKUP($A404,PROPERTIES[VEHIDCODE],PROPERTIES[REGION2]),"_",_xlfn.XLOOKUP($A404,PROPERTIES[VEHIDCODE],PROPERTIES[REGION3]&amp;"_"&amp;_xlfn.XLOOKUP($A404,PROPERTIES[VEHIDCODE],PROPERTIES[REGION4])))</f>
        <v>WESTERN_EUROPE_NO_REGION_NO_REGION_NO_REGION</v>
      </c>
      <c r="G404" t="b">
        <f t="shared" si="54"/>
        <v>0</v>
      </c>
      <c r="H404" t="b">
        <f t="shared" si="61"/>
        <v>0</v>
      </c>
      <c r="I404" t="b">
        <f t="shared" si="55"/>
        <v>0</v>
      </c>
      <c r="J404" t="b">
        <f t="shared" si="62"/>
        <v>0</v>
      </c>
      <c r="K404" t="b">
        <f t="shared" si="56"/>
        <v>1</v>
      </c>
      <c r="L404" t="b">
        <f t="shared" si="57"/>
        <v>0</v>
      </c>
      <c r="M404" t="b">
        <f t="shared" si="58"/>
        <v>0</v>
      </c>
      <c r="N404" t="b">
        <f t="shared" si="59"/>
        <v>0</v>
      </c>
      <c r="O404" t="b">
        <f t="shared" si="60"/>
        <v>0</v>
      </c>
    </row>
    <row r="405" spans="1:15" x14ac:dyDescent="0.35">
      <c r="A405" t="str">
        <v>electric_ASEA_Dm3</v>
      </c>
      <c r="B405" t="b" cm="1">
        <f t="array" ref="B405">_xlfn.XLOOKUP(A405,CONTROL[VEHIDCODE],PROPERTIES[EXCLUDE])</f>
        <v>0</v>
      </c>
      <c r="C405" t="b">
        <f>_xlfn.XLOOKUP(A405,CONTROL[VEHIDCODE],CONTROL[IS_WAGON_OR_COACH])</f>
        <v>0</v>
      </c>
      <c r="D405">
        <f>FLOOR(_xlfn.XLOOKUP($A405,PROPERTIES[VEHIDCODE],PROPERTIES[INTRODUCTION_YEAR]),20)</f>
        <v>1940</v>
      </c>
      <c r="E405" t="e">
        <f>_xlfn.XLOOKUP($A405,PROPERTIES[VEHIDCODE],#REF!)</f>
        <v>#REF!</v>
      </c>
      <c r="F405" s="25" t="str" cm="1">
        <f t="array" ref="F405">_xlfn.CONCAT(_xlfn.XLOOKUP($A405,PROPERTIES[VEHIDCODE],PROPERTIES[REGION1]),"_",_xlfn.XLOOKUP($A405,PROPERTIES[VEHIDCODE],PROPERTIES[REGION2]),"_",_xlfn.XLOOKUP($A405,PROPERTIES[VEHIDCODE],PROPERTIES[REGION3]&amp;"_"&amp;_xlfn.XLOOKUP($A405,PROPERTIES[VEHIDCODE],PROPERTIES[REGION4])))</f>
        <v>NORTHERN_EUROPE_NO_REGION_NO_REGION_NO_REGION</v>
      </c>
      <c r="G405" t="b">
        <f t="shared" si="54"/>
        <v>0</v>
      </c>
      <c r="H405" t="b">
        <f t="shared" si="61"/>
        <v>0</v>
      </c>
      <c r="I405" t="b">
        <f t="shared" si="55"/>
        <v>0</v>
      </c>
      <c r="J405" t="b">
        <f t="shared" si="62"/>
        <v>0</v>
      </c>
      <c r="K405" t="b">
        <f t="shared" si="56"/>
        <v>0</v>
      </c>
      <c r="L405" t="b">
        <f t="shared" si="57"/>
        <v>1</v>
      </c>
      <c r="M405" t="b">
        <f t="shared" si="58"/>
        <v>0</v>
      </c>
      <c r="N405" t="b">
        <f t="shared" si="59"/>
        <v>0</v>
      </c>
      <c r="O405" t="b">
        <f t="shared" si="60"/>
        <v>0</v>
      </c>
    </row>
    <row r="406" spans="1:15" x14ac:dyDescent="0.35">
      <c r="A406" t="str">
        <v>electric_Bombardier_Traxx_H80_AC</v>
      </c>
      <c r="B406" t="b" cm="1">
        <f t="array" ref="B406">_xlfn.XLOOKUP(A406,CONTROL[VEHIDCODE],PROPERTIES[EXCLUDE])</f>
        <v>0</v>
      </c>
      <c r="C406" t="b">
        <f>_xlfn.XLOOKUP(A406,CONTROL[VEHIDCODE],CONTROL[IS_WAGON_OR_COACH])</f>
        <v>0</v>
      </c>
      <c r="D406">
        <f>FLOOR(_xlfn.XLOOKUP($A406,PROPERTIES[VEHIDCODE],PROPERTIES[INTRODUCTION_YEAR]),20)</f>
        <v>2000</v>
      </c>
      <c r="E406" t="e">
        <f>_xlfn.XLOOKUP($A406,PROPERTIES[VEHIDCODE],#REF!)</f>
        <v>#REF!</v>
      </c>
      <c r="F406" s="25" t="str" cm="1">
        <f t="array" ref="F406">_xlfn.CONCAT(_xlfn.XLOOKUP($A406,PROPERTIES[VEHIDCODE],PROPERTIES[REGION1]),"_",_xlfn.XLOOKUP($A406,PROPERTIES[VEHIDCODE],PROPERTIES[REGION2]),"_",_xlfn.XLOOKUP($A406,PROPERTIES[VEHIDCODE],PROPERTIES[REGION3]&amp;"_"&amp;_xlfn.XLOOKUP($A406,PROPERTIES[VEHIDCODE],PROPERTIES[REGION4])))</f>
        <v>NORTHERN_EUROPE_NO_REGION_NO_REGION_NO_REGION</v>
      </c>
      <c r="G406" t="b">
        <f t="shared" si="54"/>
        <v>0</v>
      </c>
      <c r="H406" t="b">
        <f t="shared" si="61"/>
        <v>0</v>
      </c>
      <c r="I406" t="b">
        <f t="shared" si="55"/>
        <v>0</v>
      </c>
      <c r="J406" t="b">
        <f t="shared" si="62"/>
        <v>0</v>
      </c>
      <c r="K406" t="b">
        <f t="shared" si="56"/>
        <v>0</v>
      </c>
      <c r="L406" t="b">
        <f t="shared" si="57"/>
        <v>1</v>
      </c>
      <c r="M406" t="b">
        <f t="shared" si="58"/>
        <v>0</v>
      </c>
      <c r="N406" t="b">
        <f t="shared" si="59"/>
        <v>0</v>
      </c>
      <c r="O406" t="b">
        <f t="shared" si="60"/>
        <v>0</v>
      </c>
    </row>
    <row r="407" spans="1:15" x14ac:dyDescent="0.35">
      <c r="A407" t="str">
        <v>electric_Siemens_Oa</v>
      </c>
      <c r="B407" t="b" cm="1">
        <f t="array" ref="B407">_xlfn.XLOOKUP(A407,CONTROL[VEHIDCODE],PROPERTIES[EXCLUDE])</f>
        <v>0</v>
      </c>
      <c r="C407" t="b">
        <f>_xlfn.XLOOKUP(A407,CONTROL[VEHIDCODE],CONTROL[IS_WAGON_OR_COACH])</f>
        <v>0</v>
      </c>
      <c r="D407">
        <f>FLOOR(_xlfn.XLOOKUP($A407,PROPERTIES[VEHIDCODE],PROPERTIES[INTRODUCTION_YEAR]),20)</f>
        <v>1900</v>
      </c>
      <c r="E407" t="e">
        <f>_xlfn.XLOOKUP($A407,PROPERTIES[VEHIDCODE],#REF!)</f>
        <v>#REF!</v>
      </c>
      <c r="F407" s="25" t="str" cm="1">
        <f t="array" ref="F407">_xlfn.CONCAT(_xlfn.XLOOKUP($A407,PROPERTIES[VEHIDCODE],PROPERTIES[REGION1]),"_",_xlfn.XLOOKUP($A407,PROPERTIES[VEHIDCODE],PROPERTIES[REGION2]),"_",_xlfn.XLOOKUP($A407,PROPERTIES[VEHIDCODE],PROPERTIES[REGION3]&amp;"_"&amp;_xlfn.XLOOKUP($A407,PROPERTIES[VEHIDCODE],PROPERTIES[REGION4])))</f>
        <v>NORTHERN_EUROPE_NO_REGION_NO_REGION_NO_REGION</v>
      </c>
      <c r="G407" t="b">
        <f t="shared" si="54"/>
        <v>0</v>
      </c>
      <c r="H407" t="b">
        <f t="shared" si="61"/>
        <v>0</v>
      </c>
      <c r="I407" t="b">
        <f t="shared" si="55"/>
        <v>0</v>
      </c>
      <c r="J407" t="b">
        <f t="shared" si="62"/>
        <v>0</v>
      </c>
      <c r="K407" t="b">
        <f t="shared" si="56"/>
        <v>0</v>
      </c>
      <c r="L407" t="b">
        <f t="shared" si="57"/>
        <v>1</v>
      </c>
      <c r="M407" t="b">
        <f t="shared" si="58"/>
        <v>0</v>
      </c>
      <c r="N407" t="b">
        <f t="shared" si="59"/>
        <v>0</v>
      </c>
      <c r="O407" t="b">
        <f t="shared" si="60"/>
        <v>0</v>
      </c>
    </row>
    <row r="408" spans="1:15" x14ac:dyDescent="0.35">
      <c r="A408" t="str">
        <v>electric_ASEA_F</v>
      </c>
      <c r="B408" t="b" cm="1">
        <f t="array" ref="B408">_xlfn.XLOOKUP(A408,CONTROL[VEHIDCODE],PROPERTIES[EXCLUDE])</f>
        <v>0</v>
      </c>
      <c r="C408" t="b">
        <f>_xlfn.XLOOKUP(A408,CONTROL[VEHIDCODE],CONTROL[IS_WAGON_OR_COACH])</f>
        <v>0</v>
      </c>
      <c r="D408">
        <f>FLOOR(_xlfn.XLOOKUP($A408,PROPERTIES[VEHIDCODE],PROPERTIES[INTRODUCTION_YEAR]),20)</f>
        <v>1940</v>
      </c>
      <c r="E408" t="e">
        <f>_xlfn.XLOOKUP($A408,PROPERTIES[VEHIDCODE],#REF!)</f>
        <v>#REF!</v>
      </c>
      <c r="F408" s="25" t="str" cm="1">
        <f t="array" ref="F408">_xlfn.CONCAT(_xlfn.XLOOKUP($A408,PROPERTIES[VEHIDCODE],PROPERTIES[REGION1]),"_",_xlfn.XLOOKUP($A408,PROPERTIES[VEHIDCODE],PROPERTIES[REGION2]),"_",_xlfn.XLOOKUP($A408,PROPERTIES[VEHIDCODE],PROPERTIES[REGION3]&amp;"_"&amp;_xlfn.XLOOKUP($A408,PROPERTIES[VEHIDCODE],PROPERTIES[REGION4])))</f>
        <v>NORTHERN_EUROPE_NO_REGION_NO_REGION_NO_REGION</v>
      </c>
      <c r="G408" t="b">
        <f t="shared" si="54"/>
        <v>0</v>
      </c>
      <c r="H408" t="b">
        <f t="shared" si="61"/>
        <v>0</v>
      </c>
      <c r="I408" t="b">
        <f t="shared" si="55"/>
        <v>0</v>
      </c>
      <c r="J408" t="b">
        <f t="shared" si="62"/>
        <v>0</v>
      </c>
      <c r="K408" t="b">
        <f t="shared" si="56"/>
        <v>0</v>
      </c>
      <c r="L408" t="b">
        <f t="shared" si="57"/>
        <v>1</v>
      </c>
      <c r="M408" t="b">
        <f t="shared" si="58"/>
        <v>0</v>
      </c>
      <c r="N408" t="b">
        <f t="shared" si="59"/>
        <v>0</v>
      </c>
      <c r="O408" t="b">
        <f t="shared" si="60"/>
        <v>0</v>
      </c>
    </row>
    <row r="409" spans="1:15" x14ac:dyDescent="0.35">
      <c r="A409" t="str">
        <v>electric_Thyssen_Henschel_EL17</v>
      </c>
      <c r="B409" t="b" cm="1">
        <f t="array" ref="B409">_xlfn.XLOOKUP(A409,CONTROL[VEHIDCODE],PROPERTIES[EXCLUDE])</f>
        <v>0</v>
      </c>
      <c r="C409" t="b">
        <f>_xlfn.XLOOKUP(A409,CONTROL[VEHIDCODE],CONTROL[IS_WAGON_OR_COACH])</f>
        <v>0</v>
      </c>
      <c r="D409">
        <f>FLOOR(_xlfn.XLOOKUP($A409,PROPERTIES[VEHIDCODE],PROPERTIES[INTRODUCTION_YEAR]),20)</f>
        <v>1980</v>
      </c>
      <c r="E409" t="e">
        <f>_xlfn.XLOOKUP($A409,PROPERTIES[VEHIDCODE],#REF!)</f>
        <v>#REF!</v>
      </c>
      <c r="F409" s="25" t="str" cm="1">
        <f t="array" ref="F409">_xlfn.CONCAT(_xlfn.XLOOKUP($A409,PROPERTIES[VEHIDCODE],PROPERTIES[REGION1]),"_",_xlfn.XLOOKUP($A409,PROPERTIES[VEHIDCODE],PROPERTIES[REGION2]),"_",_xlfn.XLOOKUP($A409,PROPERTIES[VEHIDCODE],PROPERTIES[REGION3]&amp;"_"&amp;_xlfn.XLOOKUP($A409,PROPERTIES[VEHIDCODE],PROPERTIES[REGION4])))</f>
        <v>NORTHERN_EUROPE_NO_REGION_NO_REGION_NO_REGION</v>
      </c>
      <c r="G409" t="b">
        <f t="shared" si="54"/>
        <v>0</v>
      </c>
      <c r="H409" t="b">
        <f t="shared" si="61"/>
        <v>0</v>
      </c>
      <c r="I409" t="b">
        <f t="shared" si="55"/>
        <v>0</v>
      </c>
      <c r="J409" t="b">
        <f t="shared" si="62"/>
        <v>0</v>
      </c>
      <c r="K409" t="b">
        <f t="shared" si="56"/>
        <v>0</v>
      </c>
      <c r="L409" t="b">
        <f t="shared" si="57"/>
        <v>1</v>
      </c>
      <c r="M409" t="b">
        <f t="shared" si="58"/>
        <v>0</v>
      </c>
      <c r="N409" t="b">
        <f t="shared" si="59"/>
        <v>0</v>
      </c>
      <c r="O409" t="b">
        <f t="shared" si="60"/>
        <v>0</v>
      </c>
    </row>
    <row r="410" spans="1:15" x14ac:dyDescent="0.35">
      <c r="A410" t="str">
        <v>electric_Borsig_SSW_ES_6</v>
      </c>
      <c r="B410" t="b" cm="1">
        <f t="array" ref="B410">_xlfn.XLOOKUP(A410,CONTROL[VEHIDCODE],PROPERTIES[EXCLUDE])</f>
        <v>0</v>
      </c>
      <c r="C410" t="b">
        <f>_xlfn.XLOOKUP(A410,CONTROL[VEHIDCODE],CONTROL[IS_WAGON_OR_COACH])</f>
        <v>0</v>
      </c>
      <c r="D410">
        <f>FLOOR(_xlfn.XLOOKUP($A410,PROPERTIES[VEHIDCODE],PROPERTIES[INTRODUCTION_YEAR]),20)</f>
        <v>1900</v>
      </c>
      <c r="E410" t="e">
        <f>_xlfn.XLOOKUP($A410,PROPERTIES[VEHIDCODE],#REF!)</f>
        <v>#REF!</v>
      </c>
      <c r="F410" s="25" t="str" cm="1">
        <f t="array" ref="F410">_xlfn.CONCAT(_xlfn.XLOOKUP($A410,PROPERTIES[VEHIDCODE],PROPERTIES[REGION1]),"_",_xlfn.XLOOKUP($A410,PROPERTIES[VEHIDCODE],PROPERTIES[REGION2]),"_",_xlfn.XLOOKUP($A410,PROPERTIES[VEHIDCODE],PROPERTIES[REGION3]&amp;"_"&amp;_xlfn.XLOOKUP($A410,PROPERTIES[VEHIDCODE],PROPERTIES[REGION4])))</f>
        <v>WESTERN_EUROPE_NO_REGION_NO_REGION_NO_REGION</v>
      </c>
      <c r="G410" t="b">
        <f t="shared" si="54"/>
        <v>0</v>
      </c>
      <c r="H410" t="b">
        <f t="shared" si="61"/>
        <v>0</v>
      </c>
      <c r="I410" t="b">
        <f t="shared" si="55"/>
        <v>0</v>
      </c>
      <c r="J410" t="b">
        <f t="shared" si="62"/>
        <v>0</v>
      </c>
      <c r="K410" t="b">
        <f t="shared" si="56"/>
        <v>1</v>
      </c>
      <c r="L410" t="b">
        <f t="shared" si="57"/>
        <v>0</v>
      </c>
      <c r="M410" t="b">
        <f t="shared" si="58"/>
        <v>0</v>
      </c>
      <c r="N410" t="b">
        <f t="shared" si="59"/>
        <v>0</v>
      </c>
      <c r="O410" t="b">
        <f t="shared" si="60"/>
        <v>0</v>
      </c>
    </row>
    <row r="411" spans="1:15" x14ac:dyDescent="0.35">
      <c r="A411" t="str">
        <v>electric_GE_EL_2B</v>
      </c>
      <c r="B411" t="b" cm="1">
        <f t="array" ref="B411">_xlfn.XLOOKUP(A411,CONTROL[VEHIDCODE],PROPERTIES[EXCLUDE])</f>
        <v>0</v>
      </c>
      <c r="C411" t="b">
        <f>_xlfn.XLOOKUP(A411,CONTROL[VEHIDCODE],CONTROL[IS_WAGON_OR_COACH])</f>
        <v>0</v>
      </c>
      <c r="D411">
        <f>FLOOR(_xlfn.XLOOKUP($A411,PROPERTIES[VEHIDCODE],PROPERTIES[INTRODUCTION_YEAR]),20)</f>
        <v>1940</v>
      </c>
      <c r="E411" t="e">
        <f>_xlfn.XLOOKUP($A411,PROPERTIES[VEHIDCODE],#REF!)</f>
        <v>#REF!</v>
      </c>
      <c r="F411" s="25" t="str" cm="1">
        <f t="array" ref="F411">_xlfn.CONCAT(_xlfn.XLOOKUP($A411,PROPERTIES[VEHIDCODE],PROPERTIES[REGION1]),"_",_xlfn.XLOOKUP($A411,PROPERTIES[VEHIDCODE],PROPERTIES[REGION2]),"_",_xlfn.XLOOKUP($A411,PROPERTIES[VEHIDCODE],PROPERTIES[REGION3]&amp;"_"&amp;_xlfn.XLOOKUP($A411,PROPERTIES[VEHIDCODE],PROPERTIES[REGION4])))</f>
        <v>NORTH_AMERICA_NO_REGION_NO_REGION_NO_REGION</v>
      </c>
      <c r="G411" t="b">
        <f t="shared" si="54"/>
        <v>0</v>
      </c>
      <c r="H411" t="b">
        <f t="shared" si="61"/>
        <v>0</v>
      </c>
      <c r="I411" t="b">
        <f t="shared" si="55"/>
        <v>0</v>
      </c>
      <c r="J411" t="b">
        <f t="shared" si="62"/>
        <v>0</v>
      </c>
      <c r="K411" t="b">
        <f t="shared" si="56"/>
        <v>0</v>
      </c>
      <c r="L411" t="b">
        <f t="shared" si="57"/>
        <v>0</v>
      </c>
      <c r="M411" t="b">
        <f t="shared" si="58"/>
        <v>1</v>
      </c>
      <c r="N411" t="b">
        <f t="shared" si="59"/>
        <v>0</v>
      </c>
      <c r="O411" t="b">
        <f t="shared" si="60"/>
        <v>0</v>
      </c>
    </row>
    <row r="412" spans="1:15" x14ac:dyDescent="0.35">
      <c r="A412" t="str">
        <v>electric_GE_W_1</v>
      </c>
      <c r="B412" t="b" cm="1">
        <f t="array" ref="B412">_xlfn.XLOOKUP(A412,CONTROL[VEHIDCODE],PROPERTIES[EXCLUDE])</f>
        <v>0</v>
      </c>
      <c r="C412" t="b">
        <f>_xlfn.XLOOKUP(A412,CONTROL[VEHIDCODE],CONTROL[IS_WAGON_OR_COACH])</f>
        <v>0</v>
      </c>
      <c r="D412">
        <f>FLOOR(_xlfn.XLOOKUP($A412,PROPERTIES[VEHIDCODE],PROPERTIES[INTRODUCTION_YEAR]),20)</f>
        <v>1940</v>
      </c>
      <c r="E412" t="e">
        <f>_xlfn.XLOOKUP($A412,PROPERTIES[VEHIDCODE],#REF!)</f>
        <v>#REF!</v>
      </c>
      <c r="F412" s="25" t="str" cm="1">
        <f t="array" ref="F412">_xlfn.CONCAT(_xlfn.XLOOKUP($A412,PROPERTIES[VEHIDCODE],PROPERTIES[REGION1]),"_",_xlfn.XLOOKUP($A412,PROPERTIES[VEHIDCODE],PROPERTIES[REGION2]),"_",_xlfn.XLOOKUP($A412,PROPERTIES[VEHIDCODE],PROPERTIES[REGION3]&amp;"_"&amp;_xlfn.XLOOKUP($A412,PROPERTIES[VEHIDCODE],PROPERTIES[REGION4])))</f>
        <v>NORTH_AMERICA_NO_REGION_NO_REGION_NO_REGION</v>
      </c>
      <c r="G412" t="b">
        <f t="shared" si="54"/>
        <v>0</v>
      </c>
      <c r="H412" t="b">
        <f t="shared" si="61"/>
        <v>0</v>
      </c>
      <c r="I412" t="b">
        <f t="shared" si="55"/>
        <v>0</v>
      </c>
      <c r="J412" t="b">
        <f t="shared" si="62"/>
        <v>0</v>
      </c>
      <c r="K412" t="b">
        <f t="shared" si="56"/>
        <v>0</v>
      </c>
      <c r="L412" t="b">
        <f t="shared" si="57"/>
        <v>0</v>
      </c>
      <c r="M412" t="b">
        <f t="shared" si="58"/>
        <v>1</v>
      </c>
      <c r="N412" t="b">
        <f t="shared" si="59"/>
        <v>0</v>
      </c>
      <c r="O412" t="b">
        <f t="shared" si="60"/>
        <v>0</v>
      </c>
    </row>
    <row r="413" spans="1:15" x14ac:dyDescent="0.35">
      <c r="A413" t="str">
        <v>electric_Westinghouse_6wOE_B1</v>
      </c>
      <c r="B413" t="b" cm="1">
        <f t="array" ref="B413">_xlfn.XLOOKUP(A413,CONTROL[VEHIDCODE],PROPERTIES[EXCLUDE])</f>
        <v>0</v>
      </c>
      <c r="C413" t="b">
        <f>_xlfn.XLOOKUP(A413,CONTROL[VEHIDCODE],CONTROL[IS_WAGON_OR_COACH])</f>
        <v>0</v>
      </c>
      <c r="D413">
        <f>FLOOR(_xlfn.XLOOKUP($A413,PROPERTIES[VEHIDCODE],PROPERTIES[INTRODUCTION_YEAR]),20)</f>
        <v>1920</v>
      </c>
      <c r="E413" t="e">
        <f>_xlfn.XLOOKUP($A413,PROPERTIES[VEHIDCODE],#REF!)</f>
        <v>#REF!</v>
      </c>
      <c r="F413" s="25" t="str" cm="1">
        <f t="array" ref="F413">_xlfn.CONCAT(_xlfn.XLOOKUP($A413,PROPERTIES[VEHIDCODE],PROPERTIES[REGION1]),"_",_xlfn.XLOOKUP($A413,PROPERTIES[VEHIDCODE],PROPERTIES[REGION2]),"_",_xlfn.XLOOKUP($A413,PROPERTIES[VEHIDCODE],PROPERTIES[REGION3]&amp;"_"&amp;_xlfn.XLOOKUP($A413,PROPERTIES[VEHIDCODE],PROPERTIES[REGION4])))</f>
        <v>NORTH_AMERICA_NO_REGION_NO_REGION_NO_REGION</v>
      </c>
      <c r="G413" t="b">
        <f t="shared" si="54"/>
        <v>0</v>
      </c>
      <c r="H413" t="b">
        <f t="shared" si="61"/>
        <v>0</v>
      </c>
      <c r="I413" t="b">
        <f t="shared" si="55"/>
        <v>0</v>
      </c>
      <c r="J413" t="b">
        <f t="shared" si="62"/>
        <v>0</v>
      </c>
      <c r="K413" t="b">
        <f t="shared" si="56"/>
        <v>0</v>
      </c>
      <c r="L413" t="b">
        <f t="shared" si="57"/>
        <v>0</v>
      </c>
      <c r="M413" t="b">
        <f t="shared" si="58"/>
        <v>1</v>
      </c>
      <c r="N413" t="b">
        <f t="shared" si="59"/>
        <v>0</v>
      </c>
      <c r="O413" t="b">
        <f t="shared" si="60"/>
        <v>0</v>
      </c>
    </row>
    <row r="414" spans="1:15" x14ac:dyDescent="0.35">
      <c r="A414" t="str">
        <v>electric_Siemens_E40_AG_V1</v>
      </c>
      <c r="B414" t="b" cm="1">
        <f t="array" ref="B414">_xlfn.XLOOKUP(A414,CONTROL[VEHIDCODE],PROPERTIES[EXCLUDE])</f>
        <v>0</v>
      </c>
      <c r="C414" t="b">
        <f>_xlfn.XLOOKUP(A414,CONTROL[VEHIDCODE],CONTROL[IS_WAGON_OR_COACH])</f>
        <v>0</v>
      </c>
      <c r="D414">
        <f>FLOOR(_xlfn.XLOOKUP($A414,PROPERTIES[VEHIDCODE],PROPERTIES[INTRODUCTION_YEAR]),20)</f>
        <v>2000</v>
      </c>
      <c r="E414" t="e">
        <f>_xlfn.XLOOKUP($A414,PROPERTIES[VEHIDCODE],#REF!)</f>
        <v>#REF!</v>
      </c>
      <c r="F414" s="25" t="str" cm="1">
        <f t="array" ref="F414">_xlfn.CONCAT(_xlfn.XLOOKUP($A414,PROPERTIES[VEHIDCODE],PROPERTIES[REGION1]),"_",_xlfn.XLOOKUP($A414,PROPERTIES[VEHIDCODE],PROPERTIES[REGION2]),"_",_xlfn.XLOOKUP($A414,PROPERTIES[VEHIDCODE],PROPERTIES[REGION3]&amp;"_"&amp;_xlfn.XLOOKUP($A414,PROPERTIES[VEHIDCODE],PROPERTIES[REGION4])))</f>
        <v>OCEANIA_NO_REGION_NO_REGION_NO_REGION</v>
      </c>
      <c r="G414" t="b">
        <f t="shared" si="54"/>
        <v>0</v>
      </c>
      <c r="H414" t="b">
        <f t="shared" si="61"/>
        <v>0</v>
      </c>
      <c r="I414" t="b">
        <f t="shared" si="55"/>
        <v>0</v>
      </c>
      <c r="J414" t="b">
        <f t="shared" si="62"/>
        <v>0</v>
      </c>
      <c r="K414" t="b">
        <f t="shared" si="56"/>
        <v>0</v>
      </c>
      <c r="L414" t="b">
        <f t="shared" si="57"/>
        <v>0</v>
      </c>
      <c r="M414" t="b">
        <f t="shared" si="58"/>
        <v>0</v>
      </c>
      <c r="N414" t="b">
        <f t="shared" si="59"/>
        <v>0</v>
      </c>
      <c r="O414" t="b">
        <f t="shared" si="60"/>
        <v>1</v>
      </c>
    </row>
    <row r="415" spans="1:15" x14ac:dyDescent="0.35">
      <c r="A415" t="str">
        <v>electric_Zuzhou_SS6</v>
      </c>
      <c r="B415" t="b" cm="1">
        <f t="array" ref="B415">_xlfn.XLOOKUP(A415,CONTROL[VEHIDCODE],PROPERTIES[EXCLUDE])</f>
        <v>0</v>
      </c>
      <c r="C415" t="b">
        <f>_xlfn.XLOOKUP(A415,CONTROL[VEHIDCODE],CONTROL[IS_WAGON_OR_COACH])</f>
        <v>0</v>
      </c>
      <c r="D415">
        <f>FLOOR(_xlfn.XLOOKUP($A415,PROPERTIES[VEHIDCODE],PROPERTIES[INTRODUCTION_YEAR]),20)</f>
        <v>1980</v>
      </c>
      <c r="E415" t="e">
        <f>_xlfn.XLOOKUP($A415,PROPERTIES[VEHIDCODE],#REF!)</f>
        <v>#REF!</v>
      </c>
      <c r="F415" s="25" t="str" cm="1">
        <f t="array" ref="F415">_xlfn.CONCAT(_xlfn.XLOOKUP($A415,PROPERTIES[VEHIDCODE],PROPERTIES[REGION1]),"_",_xlfn.XLOOKUP($A415,PROPERTIES[VEHIDCODE],PROPERTIES[REGION2]),"_",_xlfn.XLOOKUP($A415,PROPERTIES[VEHIDCODE],PROPERTIES[REGION3]&amp;"_"&amp;_xlfn.XLOOKUP($A415,PROPERTIES[VEHIDCODE],PROPERTIES[REGION4])))</f>
        <v>ASIA_NO_REGION_NO_REGION_NO_REGION</v>
      </c>
      <c r="G415" t="b">
        <f t="shared" si="54"/>
        <v>0</v>
      </c>
      <c r="H415" t="b">
        <f t="shared" si="61"/>
        <v>1</v>
      </c>
      <c r="I415" t="b">
        <f t="shared" si="55"/>
        <v>0</v>
      </c>
      <c r="J415" t="b">
        <f t="shared" si="62"/>
        <v>0</v>
      </c>
      <c r="K415" t="b">
        <f t="shared" si="56"/>
        <v>0</v>
      </c>
      <c r="L415" t="b">
        <f t="shared" si="57"/>
        <v>0</v>
      </c>
      <c r="M415" t="b">
        <f t="shared" si="58"/>
        <v>0</v>
      </c>
      <c r="N415" t="b">
        <f t="shared" si="59"/>
        <v>0</v>
      </c>
      <c r="O415" t="b">
        <f t="shared" si="60"/>
        <v>0</v>
      </c>
    </row>
    <row r="416" spans="1:15" x14ac:dyDescent="0.35">
      <c r="A416" t="str">
        <v>electric_Zuzhou_SS3</v>
      </c>
      <c r="B416" t="b" cm="1">
        <f t="array" ref="B416">_xlfn.XLOOKUP(A416,CONTROL[VEHIDCODE],PROPERTIES[EXCLUDE])</f>
        <v>0</v>
      </c>
      <c r="C416" t="b">
        <f>_xlfn.XLOOKUP(A416,CONTROL[VEHIDCODE],CONTROL[IS_WAGON_OR_COACH])</f>
        <v>0</v>
      </c>
      <c r="D416">
        <f>FLOOR(_xlfn.XLOOKUP($A416,PROPERTIES[VEHIDCODE],PROPERTIES[INTRODUCTION_YEAR]),20)</f>
        <v>1960</v>
      </c>
      <c r="E416" t="e">
        <f>_xlfn.XLOOKUP($A416,PROPERTIES[VEHIDCODE],#REF!)</f>
        <v>#REF!</v>
      </c>
      <c r="F416" s="25" t="str" cm="1">
        <f t="array" ref="F416">_xlfn.CONCAT(_xlfn.XLOOKUP($A416,PROPERTIES[VEHIDCODE],PROPERTIES[REGION1]),"_",_xlfn.XLOOKUP($A416,PROPERTIES[VEHIDCODE],PROPERTIES[REGION2]),"_",_xlfn.XLOOKUP($A416,PROPERTIES[VEHIDCODE],PROPERTIES[REGION3]&amp;"_"&amp;_xlfn.XLOOKUP($A416,PROPERTIES[VEHIDCODE],PROPERTIES[REGION4])))</f>
        <v>ASIA_NO_REGION_NO_REGION_NO_REGION</v>
      </c>
      <c r="G416" t="b">
        <f t="shared" si="54"/>
        <v>0</v>
      </c>
      <c r="H416" t="b">
        <f t="shared" si="61"/>
        <v>1</v>
      </c>
      <c r="I416" t="b">
        <f t="shared" si="55"/>
        <v>0</v>
      </c>
      <c r="J416" t="b">
        <f t="shared" si="62"/>
        <v>0</v>
      </c>
      <c r="K416" t="b">
        <f t="shared" si="56"/>
        <v>0</v>
      </c>
      <c r="L416" t="b">
        <f t="shared" si="57"/>
        <v>0</v>
      </c>
      <c r="M416" t="b">
        <f t="shared" si="58"/>
        <v>0</v>
      </c>
      <c r="N416" t="b">
        <f t="shared" si="59"/>
        <v>0</v>
      </c>
      <c r="O416" t="b">
        <f t="shared" si="60"/>
        <v>0</v>
      </c>
    </row>
    <row r="417" spans="1:15" x14ac:dyDescent="0.35">
      <c r="A417" t="str">
        <v>electric_Toshiba_CNR_Dalian_HXD3</v>
      </c>
      <c r="B417" t="b" cm="1">
        <f t="array" ref="B417">_xlfn.XLOOKUP(A417,CONTROL[VEHIDCODE],PROPERTIES[EXCLUDE])</f>
        <v>0</v>
      </c>
      <c r="C417" t="b">
        <f>_xlfn.XLOOKUP(A417,CONTROL[VEHIDCODE],CONTROL[IS_WAGON_OR_COACH])</f>
        <v>0</v>
      </c>
      <c r="D417">
        <f>FLOOR(_xlfn.XLOOKUP($A417,PROPERTIES[VEHIDCODE],PROPERTIES[INTRODUCTION_YEAR]),20)</f>
        <v>2000</v>
      </c>
      <c r="E417" t="e">
        <f>_xlfn.XLOOKUP($A417,PROPERTIES[VEHIDCODE],#REF!)</f>
        <v>#REF!</v>
      </c>
      <c r="F417" s="25" t="str" cm="1">
        <f t="array" ref="F417">_xlfn.CONCAT(_xlfn.XLOOKUP($A417,PROPERTIES[VEHIDCODE],PROPERTIES[REGION1]),"_",_xlfn.XLOOKUP($A417,PROPERTIES[VEHIDCODE],PROPERTIES[REGION2]),"_",_xlfn.XLOOKUP($A417,PROPERTIES[VEHIDCODE],PROPERTIES[REGION3]&amp;"_"&amp;_xlfn.XLOOKUP($A417,PROPERTIES[VEHIDCODE],PROPERTIES[REGION4])))</f>
        <v>ASIA_NO_REGION_NO_REGION_NO_REGION</v>
      </c>
      <c r="G417" t="b">
        <f t="shared" si="54"/>
        <v>0</v>
      </c>
      <c r="H417" t="b">
        <f t="shared" si="61"/>
        <v>1</v>
      </c>
      <c r="I417" t="b">
        <f t="shared" si="55"/>
        <v>0</v>
      </c>
      <c r="J417" t="b">
        <f t="shared" si="62"/>
        <v>0</v>
      </c>
      <c r="K417" t="b">
        <f t="shared" si="56"/>
        <v>0</v>
      </c>
      <c r="L417" t="b">
        <f t="shared" si="57"/>
        <v>0</v>
      </c>
      <c r="M417" t="b">
        <f t="shared" si="58"/>
        <v>0</v>
      </c>
      <c r="N417" t="b">
        <f t="shared" si="59"/>
        <v>0</v>
      </c>
      <c r="O417" t="b">
        <f t="shared" si="60"/>
        <v>0</v>
      </c>
    </row>
    <row r="418" spans="1:15" x14ac:dyDescent="0.35">
      <c r="A418" t="str">
        <v>electric_Toshiba_CRRC_HXD1D</v>
      </c>
      <c r="B418" t="b" cm="1">
        <f t="array" ref="B418">_xlfn.XLOOKUP(A418,CONTROL[VEHIDCODE],PROPERTIES[EXCLUDE])</f>
        <v>0</v>
      </c>
      <c r="C418" t="b">
        <f>_xlfn.XLOOKUP(A418,CONTROL[VEHIDCODE],CONTROL[IS_WAGON_OR_COACH])</f>
        <v>0</v>
      </c>
      <c r="D418">
        <f>FLOOR(_xlfn.XLOOKUP($A418,PROPERTIES[VEHIDCODE],PROPERTIES[INTRODUCTION_YEAR]),20)</f>
        <v>2000</v>
      </c>
      <c r="E418" t="e">
        <f>_xlfn.XLOOKUP($A418,PROPERTIES[VEHIDCODE],#REF!)</f>
        <v>#REF!</v>
      </c>
      <c r="F418" s="25" t="str" cm="1">
        <f t="array" ref="F418">_xlfn.CONCAT(_xlfn.XLOOKUP($A418,PROPERTIES[VEHIDCODE],PROPERTIES[REGION1]),"_",_xlfn.XLOOKUP($A418,PROPERTIES[VEHIDCODE],PROPERTIES[REGION2]),"_",_xlfn.XLOOKUP($A418,PROPERTIES[VEHIDCODE],PROPERTIES[REGION3]&amp;"_"&amp;_xlfn.XLOOKUP($A418,PROPERTIES[VEHIDCODE],PROPERTIES[REGION4])))</f>
        <v>ASIA_NO_REGION_NO_REGION_NO_REGION</v>
      </c>
      <c r="G418" t="b">
        <f t="shared" si="54"/>
        <v>0</v>
      </c>
      <c r="H418" t="b">
        <f t="shared" si="61"/>
        <v>1</v>
      </c>
      <c r="I418" t="b">
        <f t="shared" si="55"/>
        <v>0</v>
      </c>
      <c r="J418" t="b">
        <f t="shared" si="62"/>
        <v>0</v>
      </c>
      <c r="K418" t="b">
        <f t="shared" si="56"/>
        <v>0</v>
      </c>
      <c r="L418" t="b">
        <f t="shared" si="57"/>
        <v>0</v>
      </c>
      <c r="M418" t="b">
        <f t="shared" si="58"/>
        <v>0</v>
      </c>
      <c r="N418" t="b">
        <f t="shared" si="59"/>
        <v>0</v>
      </c>
      <c r="O418" t="b">
        <f t="shared" si="60"/>
        <v>0</v>
      </c>
    </row>
    <row r="419" spans="1:15" x14ac:dyDescent="0.35">
      <c r="A419" t="str">
        <v>electric_Kawasaki_6K</v>
      </c>
      <c r="B419" t="b" cm="1">
        <f t="array" ref="B419">_xlfn.XLOOKUP(A419,CONTROL[VEHIDCODE],PROPERTIES[EXCLUDE])</f>
        <v>0</v>
      </c>
      <c r="C419" t="b">
        <f>_xlfn.XLOOKUP(A419,CONTROL[VEHIDCODE],CONTROL[IS_WAGON_OR_COACH])</f>
        <v>0</v>
      </c>
      <c r="D419">
        <f>FLOOR(_xlfn.XLOOKUP($A419,PROPERTIES[VEHIDCODE],PROPERTIES[INTRODUCTION_YEAR]),20)</f>
        <v>1980</v>
      </c>
      <c r="E419" t="e">
        <f>_xlfn.XLOOKUP($A419,PROPERTIES[VEHIDCODE],#REF!)</f>
        <v>#REF!</v>
      </c>
      <c r="F419" s="25" t="str" cm="1">
        <f t="array" ref="F419">_xlfn.CONCAT(_xlfn.XLOOKUP($A419,PROPERTIES[VEHIDCODE],PROPERTIES[REGION1]),"_",_xlfn.XLOOKUP($A419,PROPERTIES[VEHIDCODE],PROPERTIES[REGION2]),"_",_xlfn.XLOOKUP($A419,PROPERTIES[VEHIDCODE],PROPERTIES[REGION3]&amp;"_"&amp;_xlfn.XLOOKUP($A419,PROPERTIES[VEHIDCODE],PROPERTIES[REGION4])))</f>
        <v>ASIA_NO_REGION_NO_REGION_NO_REGION</v>
      </c>
      <c r="G419" t="b">
        <f t="shared" si="54"/>
        <v>0</v>
      </c>
      <c r="H419" t="b">
        <f t="shared" si="61"/>
        <v>1</v>
      </c>
      <c r="I419" t="b">
        <f t="shared" si="55"/>
        <v>0</v>
      </c>
      <c r="J419" t="b">
        <f t="shared" si="62"/>
        <v>0</v>
      </c>
      <c r="K419" t="b">
        <f t="shared" si="56"/>
        <v>0</v>
      </c>
      <c r="L419" t="b">
        <f t="shared" si="57"/>
        <v>0</v>
      </c>
      <c r="M419" t="b">
        <f t="shared" si="58"/>
        <v>0</v>
      </c>
      <c r="N419" t="b">
        <f t="shared" si="59"/>
        <v>0</v>
      </c>
      <c r="O419" t="b">
        <f t="shared" si="60"/>
        <v>0</v>
      </c>
    </row>
    <row r="420" spans="1:15" x14ac:dyDescent="0.35">
      <c r="A420" t="str">
        <v>electric_GE_E44</v>
      </c>
      <c r="B420" t="b" cm="1">
        <f t="array" ref="B420">_xlfn.XLOOKUP(A420,CONTROL[VEHIDCODE],PROPERTIES[EXCLUDE])</f>
        <v>0</v>
      </c>
      <c r="C420" t="b">
        <f>_xlfn.XLOOKUP(A420,CONTROL[VEHIDCODE],CONTROL[IS_WAGON_OR_COACH])</f>
        <v>0</v>
      </c>
      <c r="D420">
        <f>FLOOR(_xlfn.XLOOKUP($A420,PROPERTIES[VEHIDCODE],PROPERTIES[INTRODUCTION_YEAR]),20)</f>
        <v>1960</v>
      </c>
      <c r="E420" t="e">
        <f>_xlfn.XLOOKUP($A420,PROPERTIES[VEHIDCODE],#REF!)</f>
        <v>#REF!</v>
      </c>
      <c r="F420" s="25" t="str" cm="1">
        <f t="array" ref="F420">_xlfn.CONCAT(_xlfn.XLOOKUP($A420,PROPERTIES[VEHIDCODE],PROPERTIES[REGION1]),"_",_xlfn.XLOOKUP($A420,PROPERTIES[VEHIDCODE],PROPERTIES[REGION2]),"_",_xlfn.XLOOKUP($A420,PROPERTIES[VEHIDCODE],PROPERTIES[REGION3]&amp;"_"&amp;_xlfn.XLOOKUP($A420,PROPERTIES[VEHIDCODE],PROPERTIES[REGION4])))</f>
        <v>NORTH_AMERICA_NO_REGION_NO_REGION_NO_REGION</v>
      </c>
      <c r="G420" t="b">
        <f t="shared" si="54"/>
        <v>0</v>
      </c>
      <c r="H420" t="b">
        <f t="shared" si="61"/>
        <v>0</v>
      </c>
      <c r="I420" t="b">
        <f t="shared" si="55"/>
        <v>0</v>
      </c>
      <c r="J420" t="b">
        <f t="shared" si="62"/>
        <v>0</v>
      </c>
      <c r="K420" t="b">
        <f t="shared" si="56"/>
        <v>0</v>
      </c>
      <c r="L420" t="b">
        <f t="shared" si="57"/>
        <v>0</v>
      </c>
      <c r="M420" t="b">
        <f t="shared" si="58"/>
        <v>1</v>
      </c>
      <c r="N420" t="b">
        <f t="shared" si="59"/>
        <v>0</v>
      </c>
      <c r="O420" t="b">
        <f t="shared" si="60"/>
        <v>0</v>
      </c>
    </row>
    <row r="421" spans="1:15" x14ac:dyDescent="0.35">
      <c r="A421" t="str">
        <v>electric_ASEA_Koncar_Rb</v>
      </c>
      <c r="B421" t="b" cm="1">
        <f t="array" ref="B421">_xlfn.XLOOKUP(A421,CONTROL[VEHIDCODE],PROPERTIES[EXCLUDE])</f>
        <v>0</v>
      </c>
      <c r="C421" t="b">
        <f>_xlfn.XLOOKUP(A421,CONTROL[VEHIDCODE],CONTROL[IS_WAGON_OR_COACH])</f>
        <v>0</v>
      </c>
      <c r="D421">
        <f>FLOOR(_xlfn.XLOOKUP($A421,PROPERTIES[VEHIDCODE],PROPERTIES[INTRODUCTION_YEAR]),20)</f>
        <v>1960</v>
      </c>
      <c r="E421" t="e">
        <f>_xlfn.XLOOKUP($A421,PROPERTIES[VEHIDCODE],#REF!)</f>
        <v>#REF!</v>
      </c>
      <c r="F421" s="25" t="str" cm="1">
        <f t="array" ref="F421">_xlfn.CONCAT(_xlfn.XLOOKUP($A421,PROPERTIES[VEHIDCODE],PROPERTIES[REGION1]),"_",_xlfn.XLOOKUP($A421,PROPERTIES[VEHIDCODE],PROPERTIES[REGION2]),"_",_xlfn.XLOOKUP($A421,PROPERTIES[VEHIDCODE],PROPERTIES[REGION3]&amp;"_"&amp;_xlfn.XLOOKUP($A421,PROPERTIES[VEHIDCODE],PROPERTIES[REGION4])))</f>
        <v>EASTERN_EUROPE_NO_REGION_NO_REGION_NO_REGION</v>
      </c>
      <c r="G421" t="b">
        <f t="shared" si="54"/>
        <v>0</v>
      </c>
      <c r="H421" t="b">
        <f t="shared" si="61"/>
        <v>0</v>
      </c>
      <c r="I421" t="b">
        <f t="shared" si="55"/>
        <v>0</v>
      </c>
      <c r="J421" t="b">
        <f t="shared" si="62"/>
        <v>1</v>
      </c>
      <c r="K421" t="b">
        <f t="shared" si="56"/>
        <v>0</v>
      </c>
      <c r="L421" t="b">
        <f t="shared" si="57"/>
        <v>0</v>
      </c>
      <c r="M421" t="b">
        <f t="shared" si="58"/>
        <v>0</v>
      </c>
      <c r="N421" t="b">
        <f t="shared" si="59"/>
        <v>0</v>
      </c>
      <c r="O421" t="b">
        <f t="shared" si="60"/>
        <v>0</v>
      </c>
    </row>
    <row r="422" spans="1:15" x14ac:dyDescent="0.35">
      <c r="A422" t="str">
        <v>electric_Ganz_MAVAG_VM14_V43</v>
      </c>
      <c r="B422" t="b" cm="1">
        <f t="array" ref="B422">_xlfn.XLOOKUP(A422,CONTROL[VEHIDCODE],PROPERTIES[EXCLUDE])</f>
        <v>0</v>
      </c>
      <c r="C422" t="b">
        <f>_xlfn.XLOOKUP(A422,CONTROL[VEHIDCODE],CONTROL[IS_WAGON_OR_COACH])</f>
        <v>0</v>
      </c>
      <c r="D422">
        <f>FLOOR(_xlfn.XLOOKUP($A422,PROPERTIES[VEHIDCODE],PROPERTIES[INTRODUCTION_YEAR]),20)</f>
        <v>1960</v>
      </c>
      <c r="E422" t="e">
        <f>_xlfn.XLOOKUP($A422,PROPERTIES[VEHIDCODE],#REF!)</f>
        <v>#REF!</v>
      </c>
      <c r="F422" s="25" t="str" cm="1">
        <f t="array" ref="F422">_xlfn.CONCAT(_xlfn.XLOOKUP($A422,PROPERTIES[VEHIDCODE],PROPERTIES[REGION1]),"_",_xlfn.XLOOKUP($A422,PROPERTIES[VEHIDCODE],PROPERTIES[REGION2]),"_",_xlfn.XLOOKUP($A422,PROPERTIES[VEHIDCODE],PROPERTIES[REGION3]&amp;"_"&amp;_xlfn.XLOOKUP($A422,PROPERTIES[VEHIDCODE],PROPERTIES[REGION4])))</f>
        <v>EASTERN_EUROPE_NO_REGION_NO_REGION_NO_REGION</v>
      </c>
      <c r="G422" t="b">
        <f t="shared" si="54"/>
        <v>0</v>
      </c>
      <c r="H422" t="b">
        <f t="shared" si="61"/>
        <v>0</v>
      </c>
      <c r="I422" t="b">
        <f t="shared" si="55"/>
        <v>0</v>
      </c>
      <c r="J422" t="b">
        <f t="shared" si="62"/>
        <v>1</v>
      </c>
      <c r="K422" t="b">
        <f t="shared" si="56"/>
        <v>0</v>
      </c>
      <c r="L422" t="b">
        <f t="shared" si="57"/>
        <v>0</v>
      </c>
      <c r="M422" t="b">
        <f t="shared" si="58"/>
        <v>0</v>
      </c>
      <c r="N422" t="b">
        <f t="shared" si="59"/>
        <v>0</v>
      </c>
      <c r="O422" t="b">
        <f t="shared" si="60"/>
        <v>0</v>
      </c>
    </row>
    <row r="423" spans="1:15" x14ac:dyDescent="0.35">
      <c r="A423" t="str">
        <v>electric_Alsthom_CP_2500</v>
      </c>
      <c r="B423" t="b" cm="1">
        <f t="array" ref="B423">_xlfn.XLOOKUP(A423,CONTROL[VEHIDCODE],PROPERTIES[EXCLUDE])</f>
        <v>0</v>
      </c>
      <c r="C423" t="b">
        <f>_xlfn.XLOOKUP(A423,CONTROL[VEHIDCODE],CONTROL[IS_WAGON_OR_COACH])</f>
        <v>0</v>
      </c>
      <c r="D423">
        <f>FLOOR(_xlfn.XLOOKUP($A423,PROPERTIES[VEHIDCODE],PROPERTIES[INTRODUCTION_YEAR]),20)</f>
        <v>1940</v>
      </c>
      <c r="E423" t="e">
        <f>_xlfn.XLOOKUP($A423,PROPERTIES[VEHIDCODE],#REF!)</f>
        <v>#REF!</v>
      </c>
      <c r="F423" s="25" t="str" cm="1">
        <f t="array" ref="F423">_xlfn.CONCAT(_xlfn.XLOOKUP($A423,PROPERTIES[VEHIDCODE],PROPERTIES[REGION1]),"_",_xlfn.XLOOKUP($A423,PROPERTIES[VEHIDCODE],PROPERTIES[REGION2]),"_",_xlfn.XLOOKUP($A423,PROPERTIES[VEHIDCODE],PROPERTIES[REGION3]&amp;"_"&amp;_xlfn.XLOOKUP($A423,PROPERTIES[VEHIDCODE],PROPERTIES[REGION4])))</f>
        <v>SOUTHERN_EUROPE_NO_REGION_NO_REGION_NO_REGION</v>
      </c>
      <c r="G423" t="b">
        <f t="shared" si="54"/>
        <v>0</v>
      </c>
      <c r="H423" t="b">
        <f t="shared" si="61"/>
        <v>0</v>
      </c>
      <c r="I423" t="b">
        <f t="shared" si="55"/>
        <v>1</v>
      </c>
      <c r="J423" t="b">
        <f t="shared" si="62"/>
        <v>0</v>
      </c>
      <c r="K423" t="b">
        <f t="shared" si="56"/>
        <v>0</v>
      </c>
      <c r="L423" t="b">
        <f t="shared" si="57"/>
        <v>0</v>
      </c>
      <c r="M423" t="b">
        <f t="shared" si="58"/>
        <v>0</v>
      </c>
      <c r="N423" t="b">
        <f t="shared" si="59"/>
        <v>0</v>
      </c>
      <c r="O423" t="b">
        <f t="shared" si="60"/>
        <v>0</v>
      </c>
    </row>
    <row r="424" spans="1:15" x14ac:dyDescent="0.35">
      <c r="A424" t="str">
        <v>electric_Alsthom_CP_2600</v>
      </c>
      <c r="B424" t="b" cm="1">
        <f t="array" ref="B424">_xlfn.XLOOKUP(A424,CONTROL[VEHIDCODE],PROPERTIES[EXCLUDE])</f>
        <v>0</v>
      </c>
      <c r="C424" t="b">
        <f>_xlfn.XLOOKUP(A424,CONTROL[VEHIDCODE],CONTROL[IS_WAGON_OR_COACH])</f>
        <v>0</v>
      </c>
      <c r="D424">
        <f>FLOOR(_xlfn.XLOOKUP($A424,PROPERTIES[VEHIDCODE],PROPERTIES[INTRODUCTION_YEAR]),20)</f>
        <v>1960</v>
      </c>
      <c r="E424" t="e">
        <f>_xlfn.XLOOKUP($A424,PROPERTIES[VEHIDCODE],#REF!)</f>
        <v>#REF!</v>
      </c>
      <c r="F424" s="25" t="str" cm="1">
        <f t="array" ref="F424">_xlfn.CONCAT(_xlfn.XLOOKUP($A424,PROPERTIES[VEHIDCODE],PROPERTIES[REGION1]),"_",_xlfn.XLOOKUP($A424,PROPERTIES[VEHIDCODE],PROPERTIES[REGION2]),"_",_xlfn.XLOOKUP($A424,PROPERTIES[VEHIDCODE],PROPERTIES[REGION3]&amp;"_"&amp;_xlfn.XLOOKUP($A424,PROPERTIES[VEHIDCODE],PROPERTIES[REGION4])))</f>
        <v>SOUTHERN_EUROPE_NO_REGION_NO_REGION_NO_REGION</v>
      </c>
      <c r="G424" t="b">
        <f t="shared" si="54"/>
        <v>0</v>
      </c>
      <c r="H424" t="b">
        <f t="shared" si="61"/>
        <v>0</v>
      </c>
      <c r="I424" t="b">
        <f t="shared" si="55"/>
        <v>1</v>
      </c>
      <c r="J424" t="b">
        <f t="shared" si="62"/>
        <v>0</v>
      </c>
      <c r="K424" t="b">
        <f t="shared" si="56"/>
        <v>0</v>
      </c>
      <c r="L424" t="b">
        <f t="shared" si="57"/>
        <v>0</v>
      </c>
      <c r="M424" t="b">
        <f t="shared" si="58"/>
        <v>0</v>
      </c>
      <c r="N424" t="b">
        <f t="shared" si="59"/>
        <v>0</v>
      </c>
      <c r="O424" t="b">
        <f t="shared" si="60"/>
        <v>0</v>
      </c>
    </row>
    <row r="425" spans="1:15" x14ac:dyDescent="0.35">
      <c r="A425" t="str">
        <v>electric_ZELC_20E_China_Doll</v>
      </c>
      <c r="B425" t="b" cm="1">
        <f t="array" ref="B425">_xlfn.XLOOKUP(A425,CONTROL[VEHIDCODE],PROPERTIES[EXCLUDE])</f>
        <v>0</v>
      </c>
      <c r="C425" t="b">
        <f>_xlfn.XLOOKUP(A425,CONTROL[VEHIDCODE],CONTROL[IS_WAGON_OR_COACH])</f>
        <v>0</v>
      </c>
      <c r="D425">
        <f>FLOOR(_xlfn.XLOOKUP($A425,PROPERTIES[VEHIDCODE],PROPERTIES[INTRODUCTION_YEAR]),20)</f>
        <v>2000</v>
      </c>
      <c r="E425" t="e">
        <f>_xlfn.XLOOKUP($A425,PROPERTIES[VEHIDCODE],#REF!)</f>
        <v>#REF!</v>
      </c>
      <c r="F425" s="25" t="str" cm="1">
        <f t="array" ref="F425">_xlfn.CONCAT(_xlfn.XLOOKUP($A425,PROPERTIES[VEHIDCODE],PROPERTIES[REGION1]),"_",_xlfn.XLOOKUP($A425,PROPERTIES[VEHIDCODE],PROPERTIES[REGION2]),"_",_xlfn.XLOOKUP($A425,PROPERTIES[VEHIDCODE],PROPERTIES[REGION3]&amp;"_"&amp;_xlfn.XLOOKUP($A425,PROPERTIES[VEHIDCODE],PROPERTIES[REGION4])))</f>
        <v>AFRICA_NO_REGION_NO_REGION_NO_REGION</v>
      </c>
      <c r="G425" t="b">
        <f t="shared" si="54"/>
        <v>1</v>
      </c>
      <c r="H425" t="b">
        <f t="shared" si="61"/>
        <v>0</v>
      </c>
      <c r="I425" t="b">
        <f t="shared" si="55"/>
        <v>0</v>
      </c>
      <c r="J425" t="b">
        <f t="shared" si="62"/>
        <v>0</v>
      </c>
      <c r="K425" t="b">
        <f t="shared" si="56"/>
        <v>0</v>
      </c>
      <c r="L425" t="b">
        <f t="shared" si="57"/>
        <v>0</v>
      </c>
      <c r="M425" t="b">
        <f t="shared" si="58"/>
        <v>0</v>
      </c>
      <c r="N425" t="b">
        <f t="shared" si="59"/>
        <v>0</v>
      </c>
      <c r="O425" t="b">
        <f t="shared" si="60"/>
        <v>0</v>
      </c>
    </row>
    <row r="426" spans="1:15" x14ac:dyDescent="0.35">
      <c r="A426" t="str">
        <v>electric_Siemens_EuroSprinter_ES64F</v>
      </c>
      <c r="B426" t="b" cm="1">
        <f t="array" ref="B426">_xlfn.XLOOKUP(A426,CONTROL[VEHIDCODE],PROPERTIES[EXCLUDE])</f>
        <v>0</v>
      </c>
      <c r="C426" t="b">
        <f>_xlfn.XLOOKUP(A426,CONTROL[VEHIDCODE],CONTROL[IS_WAGON_OR_COACH])</f>
        <v>0</v>
      </c>
      <c r="D426">
        <f>FLOOR(_xlfn.XLOOKUP($A426,PROPERTIES[VEHIDCODE],PROPERTIES[INTRODUCTION_YEAR]),20)</f>
        <v>2000</v>
      </c>
      <c r="E426" t="e">
        <f>_xlfn.XLOOKUP($A426,PROPERTIES[VEHIDCODE],#REF!)</f>
        <v>#REF!</v>
      </c>
      <c r="F426" s="25" t="str" cm="1">
        <f t="array" ref="F426">_xlfn.CONCAT(_xlfn.XLOOKUP($A426,PROPERTIES[VEHIDCODE],PROPERTIES[REGION1]),"_",_xlfn.XLOOKUP($A426,PROPERTIES[VEHIDCODE],PROPERTIES[REGION2]),"_",_xlfn.XLOOKUP($A426,PROPERTIES[VEHIDCODE],PROPERTIES[REGION3]&amp;"_"&amp;_xlfn.XLOOKUP($A426,PROPERTIES[VEHIDCODE],PROPERTIES[REGION4])))</f>
        <v>ASIA_ALL_EUROPE_NO_REGION_NO_REGION</v>
      </c>
      <c r="G426" t="b">
        <f t="shared" si="54"/>
        <v>0</v>
      </c>
      <c r="H426" t="b">
        <f t="shared" si="61"/>
        <v>1</v>
      </c>
      <c r="I426" t="b">
        <f t="shared" si="55"/>
        <v>1</v>
      </c>
      <c r="J426" t="b">
        <f t="shared" si="62"/>
        <v>1</v>
      </c>
      <c r="K426" t="b">
        <f t="shared" si="56"/>
        <v>1</v>
      </c>
      <c r="L426" t="b">
        <f t="shared" si="57"/>
        <v>1</v>
      </c>
      <c r="M426" t="b">
        <f t="shared" si="58"/>
        <v>0</v>
      </c>
      <c r="N426" t="b">
        <f t="shared" si="59"/>
        <v>0</v>
      </c>
      <c r="O426" t="b">
        <f t="shared" si="60"/>
        <v>0</v>
      </c>
    </row>
    <row r="427" spans="1:15" x14ac:dyDescent="0.35">
      <c r="A427" t="str">
        <v>electric_DEVZ_DS3</v>
      </c>
      <c r="B427" t="b" cm="1">
        <f t="array" ref="B427">_xlfn.XLOOKUP(A427,CONTROL[VEHIDCODE],PROPERTIES[EXCLUDE])</f>
        <v>0</v>
      </c>
      <c r="C427" t="b">
        <f>_xlfn.XLOOKUP(A427,CONTROL[VEHIDCODE],CONTROL[IS_WAGON_OR_COACH])</f>
        <v>0</v>
      </c>
      <c r="D427">
        <f>FLOOR(_xlfn.XLOOKUP($A427,PROPERTIES[VEHIDCODE],PROPERTIES[INTRODUCTION_YEAR]),20)</f>
        <v>2000</v>
      </c>
      <c r="E427" t="e">
        <f>_xlfn.XLOOKUP($A427,PROPERTIES[VEHIDCODE],#REF!)</f>
        <v>#REF!</v>
      </c>
      <c r="F427" s="25" t="str" cm="1">
        <f t="array" ref="F427">_xlfn.CONCAT(_xlfn.XLOOKUP($A427,PROPERTIES[VEHIDCODE],PROPERTIES[REGION1]),"_",_xlfn.XLOOKUP($A427,PROPERTIES[VEHIDCODE],PROPERTIES[REGION2]),"_",_xlfn.XLOOKUP($A427,PROPERTIES[VEHIDCODE],PROPERTIES[REGION3]&amp;"_"&amp;_xlfn.XLOOKUP($A427,PROPERTIES[VEHIDCODE],PROPERTIES[REGION4])))</f>
        <v>EASTERN_EUROPE_NO_REGION_NO_REGION_NO_REGION</v>
      </c>
      <c r="G427" t="b">
        <f t="shared" si="54"/>
        <v>0</v>
      </c>
      <c r="H427" t="b">
        <f t="shared" si="61"/>
        <v>0</v>
      </c>
      <c r="I427" t="b">
        <f t="shared" si="55"/>
        <v>0</v>
      </c>
      <c r="J427" t="b">
        <f t="shared" si="62"/>
        <v>1</v>
      </c>
      <c r="K427" t="b">
        <f t="shared" si="56"/>
        <v>0</v>
      </c>
      <c r="L427" t="b">
        <f t="shared" si="57"/>
        <v>0</v>
      </c>
      <c r="M427" t="b">
        <f t="shared" si="58"/>
        <v>0</v>
      </c>
      <c r="N427" t="b">
        <f t="shared" si="59"/>
        <v>0</v>
      </c>
      <c r="O427" t="b">
        <f t="shared" si="60"/>
        <v>0</v>
      </c>
    </row>
    <row r="428" spans="1:15" x14ac:dyDescent="0.35">
      <c r="A428" t="str">
        <v>electric_Skoda_47E</v>
      </c>
      <c r="B428" t="b" cm="1">
        <f t="array" ref="B428">_xlfn.XLOOKUP(A428,CONTROL[VEHIDCODE],PROPERTIES[EXCLUDE])</f>
        <v>0</v>
      </c>
      <c r="C428" t="b">
        <f>_xlfn.XLOOKUP(A428,CONTROL[VEHIDCODE],CONTROL[IS_WAGON_OR_COACH])</f>
        <v>0</v>
      </c>
      <c r="D428">
        <f>FLOOR(_xlfn.XLOOKUP($A428,PROPERTIES[VEHIDCODE],PROPERTIES[INTRODUCTION_YEAR]),20)</f>
        <v>1960</v>
      </c>
      <c r="E428" t="e">
        <f>_xlfn.XLOOKUP($A428,PROPERTIES[VEHIDCODE],#REF!)</f>
        <v>#REF!</v>
      </c>
      <c r="F428" s="25" t="str" cm="1">
        <f t="array" ref="F428">_xlfn.CONCAT(_xlfn.XLOOKUP($A428,PROPERTIES[VEHIDCODE],PROPERTIES[REGION1]),"_",_xlfn.XLOOKUP($A428,PROPERTIES[VEHIDCODE],PROPERTIES[REGION2]),"_",_xlfn.XLOOKUP($A428,PROPERTIES[VEHIDCODE],PROPERTIES[REGION3]&amp;"_"&amp;_xlfn.XLOOKUP($A428,PROPERTIES[VEHIDCODE],PROPERTIES[REGION4])))</f>
        <v>EASTERN_EUROPE_NO_REGION_NO_REGION_NO_REGION</v>
      </c>
      <c r="G428" t="b">
        <f t="shared" si="54"/>
        <v>0</v>
      </c>
      <c r="H428" t="b">
        <f t="shared" si="61"/>
        <v>0</v>
      </c>
      <c r="I428" t="b">
        <f t="shared" si="55"/>
        <v>0</v>
      </c>
      <c r="J428" t="b">
        <f t="shared" si="62"/>
        <v>1</v>
      </c>
      <c r="K428" t="b">
        <f t="shared" si="56"/>
        <v>0</v>
      </c>
      <c r="L428" t="b">
        <f t="shared" si="57"/>
        <v>0</v>
      </c>
      <c r="M428" t="b">
        <f t="shared" si="58"/>
        <v>0</v>
      </c>
      <c r="N428" t="b">
        <f t="shared" si="59"/>
        <v>0</v>
      </c>
      <c r="O428" t="b">
        <f t="shared" si="60"/>
        <v>0</v>
      </c>
    </row>
    <row r="429" spans="1:15" x14ac:dyDescent="0.35">
      <c r="A429" t="str">
        <v>electric_Ansaldo___Breda_C_F_E_491</v>
      </c>
      <c r="B429" t="b" cm="1">
        <f t="array" ref="B429">_xlfn.XLOOKUP(A429,CONTROL[VEHIDCODE],PROPERTIES[EXCLUDE])</f>
        <v>0</v>
      </c>
      <c r="C429" t="b">
        <f>_xlfn.XLOOKUP(A429,CONTROL[VEHIDCODE],CONTROL[IS_WAGON_OR_COACH])</f>
        <v>0</v>
      </c>
      <c r="D429">
        <f>FLOOR(_xlfn.XLOOKUP($A429,PROPERTIES[VEHIDCODE],PROPERTIES[INTRODUCTION_YEAR]),20)</f>
        <v>1980</v>
      </c>
      <c r="E429" t="e">
        <f>_xlfn.XLOOKUP($A429,PROPERTIES[VEHIDCODE],#REF!)</f>
        <v>#REF!</v>
      </c>
      <c r="F429" s="25" t="str" cm="1">
        <f t="array" ref="F429">_xlfn.CONCAT(_xlfn.XLOOKUP($A429,PROPERTIES[VEHIDCODE],PROPERTIES[REGION1]),"_",_xlfn.XLOOKUP($A429,PROPERTIES[VEHIDCODE],PROPERTIES[REGION2]),"_",_xlfn.XLOOKUP($A429,PROPERTIES[VEHIDCODE],PROPERTIES[REGION3]&amp;"_"&amp;_xlfn.XLOOKUP($A429,PROPERTIES[VEHIDCODE],PROPERTIES[REGION4])))</f>
        <v>SOUTHERN_EUROPE_NO_REGION_NO_REGION_NO_REGION</v>
      </c>
      <c r="G429" t="b">
        <f t="shared" si="54"/>
        <v>0</v>
      </c>
      <c r="H429" t="b">
        <f t="shared" si="61"/>
        <v>0</v>
      </c>
      <c r="I429" t="b">
        <f t="shared" si="55"/>
        <v>1</v>
      </c>
      <c r="J429" t="b">
        <f t="shared" si="62"/>
        <v>0</v>
      </c>
      <c r="K429" t="b">
        <f t="shared" si="56"/>
        <v>0</v>
      </c>
      <c r="L429" t="b">
        <f t="shared" si="57"/>
        <v>0</v>
      </c>
      <c r="M429" t="b">
        <f t="shared" si="58"/>
        <v>0</v>
      </c>
      <c r="N429" t="b">
        <f t="shared" si="59"/>
        <v>0</v>
      </c>
      <c r="O429" t="b">
        <f t="shared" si="60"/>
        <v>0</v>
      </c>
    </row>
    <row r="430" spans="1:15" x14ac:dyDescent="0.35">
      <c r="A430" t="str">
        <v>electric_ASEA_Electroputere_Rb</v>
      </c>
      <c r="B430" t="b" cm="1">
        <f t="array" ref="B430">_xlfn.XLOOKUP(A430,CONTROL[VEHIDCODE],PROPERTIES[EXCLUDE])</f>
        <v>0</v>
      </c>
      <c r="C430" t="b">
        <f>_xlfn.XLOOKUP(A430,CONTROL[VEHIDCODE],CONTROL[IS_WAGON_OR_COACH])</f>
        <v>0</v>
      </c>
      <c r="D430">
        <f>FLOOR(_xlfn.XLOOKUP($A430,PROPERTIES[VEHIDCODE],PROPERTIES[INTRODUCTION_YEAR]),20)</f>
        <v>1960</v>
      </c>
      <c r="E430" t="e">
        <f>_xlfn.XLOOKUP($A430,PROPERTIES[VEHIDCODE],#REF!)</f>
        <v>#REF!</v>
      </c>
      <c r="F430" s="25" t="str" cm="1">
        <f t="array" ref="F430">_xlfn.CONCAT(_xlfn.XLOOKUP($A430,PROPERTIES[VEHIDCODE],PROPERTIES[REGION1]),"_",_xlfn.XLOOKUP($A430,PROPERTIES[VEHIDCODE],PROPERTIES[REGION2]),"_",_xlfn.XLOOKUP($A430,PROPERTIES[VEHIDCODE],PROPERTIES[REGION3]&amp;"_"&amp;_xlfn.XLOOKUP($A430,PROPERTIES[VEHIDCODE],PROPERTIES[REGION4])))</f>
        <v>SOUTHERN_EUROPE_NO_REGION_NO_REGION_NO_REGION</v>
      </c>
      <c r="G430" t="b">
        <f t="shared" si="54"/>
        <v>0</v>
      </c>
      <c r="H430" t="b">
        <f t="shared" si="61"/>
        <v>0</v>
      </c>
      <c r="I430" t="b">
        <f t="shared" si="55"/>
        <v>1</v>
      </c>
      <c r="J430" t="b">
        <f t="shared" si="62"/>
        <v>0</v>
      </c>
      <c r="K430" t="b">
        <f t="shared" si="56"/>
        <v>0</v>
      </c>
      <c r="L430" t="b">
        <f t="shared" si="57"/>
        <v>0</v>
      </c>
      <c r="M430" t="b">
        <f t="shared" si="58"/>
        <v>0</v>
      </c>
      <c r="N430" t="b">
        <f t="shared" si="59"/>
        <v>0</v>
      </c>
      <c r="O430" t="b">
        <f t="shared" si="60"/>
        <v>0</v>
      </c>
    </row>
    <row r="431" spans="1:15" x14ac:dyDescent="0.35">
      <c r="A431" t="str">
        <v>electric_CEF_BB_1600</v>
      </c>
      <c r="B431" t="b" cm="1">
        <f t="array" ref="B431">_xlfn.XLOOKUP(A431,CONTROL[VEHIDCODE],PROPERTIES[EXCLUDE])</f>
        <v>0</v>
      </c>
      <c r="C431" t="b">
        <f>_xlfn.XLOOKUP(A431,CONTROL[VEHIDCODE],CONTROL[IS_WAGON_OR_COACH])</f>
        <v>0</v>
      </c>
      <c r="D431">
        <f>FLOOR(_xlfn.XLOOKUP($A431,PROPERTIES[VEHIDCODE],PROPERTIES[INTRODUCTION_YEAR]),20)</f>
        <v>1920</v>
      </c>
      <c r="E431" t="e">
        <f>_xlfn.XLOOKUP($A431,PROPERTIES[VEHIDCODE],#REF!)</f>
        <v>#REF!</v>
      </c>
      <c r="F431" s="25" t="str" cm="1">
        <f t="array" ref="F431">_xlfn.CONCAT(_xlfn.XLOOKUP($A431,PROPERTIES[VEHIDCODE],PROPERTIES[REGION1]),"_",_xlfn.XLOOKUP($A431,PROPERTIES[VEHIDCODE],PROPERTIES[REGION2]),"_",_xlfn.XLOOKUP($A431,PROPERTIES[VEHIDCODE],PROPERTIES[REGION3]&amp;"_"&amp;_xlfn.XLOOKUP($A431,PROPERTIES[VEHIDCODE],PROPERTIES[REGION4])))</f>
        <v>WESTERN_EUROPE_NO_REGION_NO_REGION_NO_REGION</v>
      </c>
      <c r="G431" t="b">
        <f t="shared" si="54"/>
        <v>0</v>
      </c>
      <c r="H431" t="b">
        <f t="shared" si="61"/>
        <v>0</v>
      </c>
      <c r="I431" t="b">
        <f t="shared" si="55"/>
        <v>0</v>
      </c>
      <c r="J431" t="b">
        <f t="shared" si="62"/>
        <v>0</v>
      </c>
      <c r="K431" t="b">
        <f t="shared" si="56"/>
        <v>1</v>
      </c>
      <c r="L431" t="b">
        <f t="shared" si="57"/>
        <v>0</v>
      </c>
      <c r="M431" t="b">
        <f t="shared" si="58"/>
        <v>0</v>
      </c>
      <c r="N431" t="b">
        <f t="shared" si="59"/>
        <v>0</v>
      </c>
      <c r="O431" t="b">
        <f t="shared" si="60"/>
        <v>0</v>
      </c>
    </row>
    <row r="432" spans="1:15" x14ac:dyDescent="0.35">
      <c r="A432" t="str">
        <v>electric_BR_85</v>
      </c>
      <c r="B432" t="b" cm="1">
        <f t="array" ref="B432">_xlfn.XLOOKUP(A432,CONTROL[VEHIDCODE],PROPERTIES[EXCLUDE])</f>
        <v>0</v>
      </c>
      <c r="C432" t="b">
        <f>_xlfn.XLOOKUP(A432,CONTROL[VEHIDCODE],CONTROL[IS_WAGON_OR_COACH])</f>
        <v>0</v>
      </c>
      <c r="D432">
        <f>FLOOR(_xlfn.XLOOKUP($A432,PROPERTIES[VEHIDCODE],PROPERTIES[INTRODUCTION_YEAR]),20)</f>
        <v>1960</v>
      </c>
      <c r="E432" t="e">
        <f>_xlfn.XLOOKUP($A432,PROPERTIES[VEHIDCODE],#REF!)</f>
        <v>#REF!</v>
      </c>
      <c r="F432" s="25" t="str" cm="1">
        <f t="array" ref="F432">_xlfn.CONCAT(_xlfn.XLOOKUP($A432,PROPERTIES[VEHIDCODE],PROPERTIES[REGION1]),"_",_xlfn.XLOOKUP($A432,PROPERTIES[VEHIDCODE],PROPERTIES[REGION2]),"_",_xlfn.XLOOKUP($A432,PROPERTIES[VEHIDCODE],PROPERTIES[REGION3]&amp;"_"&amp;_xlfn.XLOOKUP($A432,PROPERTIES[VEHIDCODE],PROPERTIES[REGION4])))</f>
        <v>NORTHERN_EUROPE_NO_REGION_NO_REGION_NO_REGION</v>
      </c>
      <c r="G432" t="b">
        <f t="shared" si="54"/>
        <v>0</v>
      </c>
      <c r="H432" t="b">
        <f t="shared" si="61"/>
        <v>0</v>
      </c>
      <c r="I432" t="b">
        <f t="shared" si="55"/>
        <v>0</v>
      </c>
      <c r="J432" t="b">
        <f t="shared" si="62"/>
        <v>0</v>
      </c>
      <c r="K432" t="b">
        <f t="shared" si="56"/>
        <v>0</v>
      </c>
      <c r="L432" t="b">
        <f t="shared" si="57"/>
        <v>1</v>
      </c>
      <c r="M432" t="b">
        <f t="shared" si="58"/>
        <v>0</v>
      </c>
      <c r="N432" t="b">
        <f t="shared" si="59"/>
        <v>0</v>
      </c>
      <c r="O432" t="b">
        <f t="shared" si="60"/>
        <v>0</v>
      </c>
    </row>
    <row r="433" spans="1:15" x14ac:dyDescent="0.35">
      <c r="A433" t="str">
        <v>electric_GE_E60C_2</v>
      </c>
      <c r="B433" t="b" cm="1">
        <f t="array" ref="B433">_xlfn.XLOOKUP(A433,CONTROL[VEHIDCODE],PROPERTIES[EXCLUDE])</f>
        <v>0</v>
      </c>
      <c r="C433" t="b">
        <f>_xlfn.XLOOKUP(A433,CONTROL[VEHIDCODE],CONTROL[IS_WAGON_OR_COACH])</f>
        <v>0</v>
      </c>
      <c r="D433">
        <f>FLOOR(_xlfn.XLOOKUP($A433,PROPERTIES[VEHIDCODE],PROPERTIES[INTRODUCTION_YEAR]),20)</f>
        <v>1980</v>
      </c>
      <c r="E433" t="e">
        <f>_xlfn.XLOOKUP($A433,PROPERTIES[VEHIDCODE],#REF!)</f>
        <v>#REF!</v>
      </c>
      <c r="F433" s="25" t="str" cm="1">
        <f t="array" ref="F433">_xlfn.CONCAT(_xlfn.XLOOKUP($A433,PROPERTIES[VEHIDCODE],PROPERTIES[REGION1]),"_",_xlfn.XLOOKUP($A433,PROPERTIES[VEHIDCODE],PROPERTIES[REGION2]),"_",_xlfn.XLOOKUP($A433,PROPERTIES[VEHIDCODE],PROPERTIES[REGION3]&amp;"_"&amp;_xlfn.XLOOKUP($A433,PROPERTIES[VEHIDCODE],PROPERTIES[REGION4])))</f>
        <v>NORTH_AMERICA_NO_REGION_NO_REGION_NO_REGION</v>
      </c>
      <c r="G433" t="b">
        <f t="shared" si="54"/>
        <v>0</v>
      </c>
      <c r="H433" t="b">
        <f t="shared" si="61"/>
        <v>0</v>
      </c>
      <c r="I433" t="b">
        <f t="shared" si="55"/>
        <v>0</v>
      </c>
      <c r="J433" t="b">
        <f t="shared" si="62"/>
        <v>0</v>
      </c>
      <c r="K433" t="b">
        <f t="shared" si="56"/>
        <v>0</v>
      </c>
      <c r="L433" t="b">
        <f t="shared" si="57"/>
        <v>0</v>
      </c>
      <c r="M433" t="b">
        <f t="shared" si="58"/>
        <v>1</v>
      </c>
      <c r="N433" t="b">
        <f t="shared" si="59"/>
        <v>0</v>
      </c>
      <c r="O433" t="b">
        <f t="shared" si="60"/>
        <v>0</v>
      </c>
    </row>
    <row r="434" spans="1:15" x14ac:dyDescent="0.35">
      <c r="A434" t="str">
        <v>electric_Alstom_Prima_II</v>
      </c>
      <c r="B434" t="b" cm="1">
        <f t="array" ref="B434">_xlfn.XLOOKUP(A434,CONTROL[VEHIDCODE],PROPERTIES[EXCLUDE])</f>
        <v>0</v>
      </c>
      <c r="C434" t="b">
        <f>_xlfn.XLOOKUP(A434,CONTROL[VEHIDCODE],CONTROL[IS_WAGON_OR_COACH])</f>
        <v>0</v>
      </c>
      <c r="D434">
        <f>FLOOR(_xlfn.XLOOKUP($A434,PROPERTIES[VEHIDCODE],PROPERTIES[INTRODUCTION_YEAR]),20)</f>
        <v>2000</v>
      </c>
      <c r="E434" t="e">
        <f>_xlfn.XLOOKUP($A434,PROPERTIES[VEHIDCODE],#REF!)</f>
        <v>#REF!</v>
      </c>
      <c r="F434" s="25" t="str" cm="1">
        <f t="array" ref="F434">_xlfn.CONCAT(_xlfn.XLOOKUP($A434,PROPERTIES[VEHIDCODE],PROPERTIES[REGION1]),"_",_xlfn.XLOOKUP($A434,PROPERTIES[VEHIDCODE],PROPERTIES[REGION2]),"_",_xlfn.XLOOKUP($A434,PROPERTIES[VEHIDCODE],PROPERTIES[REGION3]&amp;"_"&amp;_xlfn.XLOOKUP($A434,PROPERTIES[VEHIDCODE],PROPERTIES[REGION4])))</f>
        <v>AFRICA_NO_REGION_NO_REGION_NO_REGION</v>
      </c>
      <c r="G434" t="b">
        <f t="shared" si="54"/>
        <v>1</v>
      </c>
      <c r="H434" t="b">
        <f t="shared" si="61"/>
        <v>0</v>
      </c>
      <c r="I434" t="b">
        <f t="shared" si="55"/>
        <v>0</v>
      </c>
      <c r="J434" t="b">
        <f t="shared" si="62"/>
        <v>0</v>
      </c>
      <c r="K434" t="b">
        <f t="shared" si="56"/>
        <v>0</v>
      </c>
      <c r="L434" t="b">
        <f t="shared" si="57"/>
        <v>0</v>
      </c>
      <c r="M434" t="b">
        <f t="shared" si="58"/>
        <v>0</v>
      </c>
      <c r="N434" t="b">
        <f t="shared" si="59"/>
        <v>0</v>
      </c>
      <c r="O434" t="b">
        <f t="shared" si="60"/>
        <v>0</v>
      </c>
    </row>
    <row r="435" spans="1:15" x14ac:dyDescent="0.35">
      <c r="A435" t="str">
        <v>electric_Toshiba_EA</v>
      </c>
      <c r="B435" t="b" cm="1">
        <f t="array" ref="B435">_xlfn.XLOOKUP(A435,CONTROL[VEHIDCODE],PROPERTIES[EXCLUDE])</f>
        <v>0</v>
      </c>
      <c r="C435" t="b">
        <f>_xlfn.XLOOKUP(A435,CONTROL[VEHIDCODE],CONTROL[IS_WAGON_OR_COACH])</f>
        <v>0</v>
      </c>
      <c r="D435">
        <f>FLOOR(_xlfn.XLOOKUP($A435,PROPERTIES[VEHIDCODE],PROPERTIES[INTRODUCTION_YEAR]),20)</f>
        <v>1960</v>
      </c>
      <c r="E435" t="e">
        <f>_xlfn.XLOOKUP($A435,PROPERTIES[VEHIDCODE],#REF!)</f>
        <v>#REF!</v>
      </c>
      <c r="F435" s="25" t="str" cm="1">
        <f t="array" ref="F435">_xlfn.CONCAT(_xlfn.XLOOKUP($A435,PROPERTIES[VEHIDCODE],PROPERTIES[REGION1]),"_",_xlfn.XLOOKUP($A435,PROPERTIES[VEHIDCODE],PROPERTIES[REGION2]),"_",_xlfn.XLOOKUP($A435,PROPERTIES[VEHIDCODE],PROPERTIES[REGION3]&amp;"_"&amp;_xlfn.XLOOKUP($A435,PROPERTIES[VEHIDCODE],PROPERTIES[REGION4])))</f>
        <v>OCEANIA_NO_REGION_NO_REGION_NO_REGION</v>
      </c>
      <c r="G435" t="b">
        <f t="shared" si="54"/>
        <v>0</v>
      </c>
      <c r="H435" t="b">
        <f t="shared" si="61"/>
        <v>0</v>
      </c>
      <c r="I435" t="b">
        <f t="shared" si="55"/>
        <v>0</v>
      </c>
      <c r="J435" t="b">
        <f t="shared" si="62"/>
        <v>0</v>
      </c>
      <c r="K435" t="b">
        <f t="shared" si="56"/>
        <v>0</v>
      </c>
      <c r="L435" t="b">
        <f t="shared" si="57"/>
        <v>0</v>
      </c>
      <c r="M435" t="b">
        <f t="shared" si="58"/>
        <v>0</v>
      </c>
      <c r="N435" t="b">
        <f t="shared" si="59"/>
        <v>0</v>
      </c>
      <c r="O435" t="b">
        <f t="shared" si="60"/>
        <v>1</v>
      </c>
    </row>
    <row r="436" spans="1:15" x14ac:dyDescent="0.35">
      <c r="A436" t="str">
        <v>electric_ASEA_GMD_GF6C</v>
      </c>
      <c r="B436" t="b" cm="1">
        <f t="array" ref="B436">_xlfn.XLOOKUP(A436,CONTROL[VEHIDCODE],PROPERTIES[EXCLUDE])</f>
        <v>0</v>
      </c>
      <c r="C436" t="b">
        <f>_xlfn.XLOOKUP(A436,CONTROL[VEHIDCODE],CONTROL[IS_WAGON_OR_COACH])</f>
        <v>0</v>
      </c>
      <c r="D436">
        <f>FLOOR(_xlfn.XLOOKUP($A436,PROPERTIES[VEHIDCODE],PROPERTIES[INTRODUCTION_YEAR]),20)</f>
        <v>1980</v>
      </c>
      <c r="E436" t="e">
        <f>_xlfn.XLOOKUP($A436,PROPERTIES[VEHIDCODE],#REF!)</f>
        <v>#REF!</v>
      </c>
      <c r="F436" s="25" t="str" cm="1">
        <f t="array" ref="F436">_xlfn.CONCAT(_xlfn.XLOOKUP($A436,PROPERTIES[VEHIDCODE],PROPERTIES[REGION1]),"_",_xlfn.XLOOKUP($A436,PROPERTIES[VEHIDCODE],PROPERTIES[REGION2]),"_",_xlfn.XLOOKUP($A436,PROPERTIES[VEHIDCODE],PROPERTIES[REGION3]&amp;"_"&amp;_xlfn.XLOOKUP($A436,PROPERTIES[VEHIDCODE],PROPERTIES[REGION4])))</f>
        <v>NORTH_AMERICA_NO_REGION_NO_REGION_NO_REGION</v>
      </c>
      <c r="G436" t="b">
        <f t="shared" si="54"/>
        <v>0</v>
      </c>
      <c r="H436" t="b">
        <f t="shared" si="61"/>
        <v>0</v>
      </c>
      <c r="I436" t="b">
        <f t="shared" si="55"/>
        <v>0</v>
      </c>
      <c r="J436" t="b">
        <f t="shared" si="62"/>
        <v>0</v>
      </c>
      <c r="K436" t="b">
        <f t="shared" si="56"/>
        <v>0</v>
      </c>
      <c r="L436" t="b">
        <f t="shared" si="57"/>
        <v>0</v>
      </c>
      <c r="M436" t="b">
        <f t="shared" si="58"/>
        <v>1</v>
      </c>
      <c r="N436" t="b">
        <f t="shared" si="59"/>
        <v>0</v>
      </c>
      <c r="O436" t="b">
        <f t="shared" si="60"/>
        <v>0</v>
      </c>
    </row>
    <row r="437" spans="1:15" x14ac:dyDescent="0.35">
      <c r="A437" t="str">
        <v>electric_Alsthom_BB_22200</v>
      </c>
      <c r="B437" t="b" cm="1">
        <f t="array" ref="B437">_xlfn.XLOOKUP(A437,CONTROL[VEHIDCODE],PROPERTIES[EXCLUDE])</f>
        <v>0</v>
      </c>
      <c r="C437" t="b">
        <f>_xlfn.XLOOKUP(A437,CONTROL[VEHIDCODE],CONTROL[IS_WAGON_OR_COACH])</f>
        <v>0</v>
      </c>
      <c r="D437">
        <f>FLOOR(_xlfn.XLOOKUP($A437,PROPERTIES[VEHIDCODE],PROPERTIES[INTRODUCTION_YEAR]),20)</f>
        <v>1960</v>
      </c>
      <c r="E437" t="e">
        <f>_xlfn.XLOOKUP($A437,PROPERTIES[VEHIDCODE],#REF!)</f>
        <v>#REF!</v>
      </c>
      <c r="F437" s="25" t="str" cm="1">
        <f t="array" ref="F437">_xlfn.CONCAT(_xlfn.XLOOKUP($A437,PROPERTIES[VEHIDCODE],PROPERTIES[REGION1]),"_",_xlfn.XLOOKUP($A437,PROPERTIES[VEHIDCODE],PROPERTIES[REGION2]),"_",_xlfn.XLOOKUP($A437,PROPERTIES[VEHIDCODE],PROPERTIES[REGION3]&amp;"_"&amp;_xlfn.XLOOKUP($A437,PROPERTIES[VEHIDCODE],PROPERTIES[REGION4])))</f>
        <v>WESTERN_EUROPE_NO_REGION_NO_REGION_NO_REGION</v>
      </c>
      <c r="G437" t="b">
        <f t="shared" si="54"/>
        <v>0</v>
      </c>
      <c r="H437" t="b">
        <f t="shared" si="61"/>
        <v>0</v>
      </c>
      <c r="I437" t="b">
        <f t="shared" si="55"/>
        <v>0</v>
      </c>
      <c r="J437" t="b">
        <f t="shared" si="62"/>
        <v>0</v>
      </c>
      <c r="K437" t="b">
        <f t="shared" si="56"/>
        <v>1</v>
      </c>
      <c r="L437" t="b">
        <f t="shared" si="57"/>
        <v>0</v>
      </c>
      <c r="M437" t="b">
        <f t="shared" si="58"/>
        <v>0</v>
      </c>
      <c r="N437" t="b">
        <f t="shared" si="59"/>
        <v>0</v>
      </c>
      <c r="O437" t="b">
        <f t="shared" si="60"/>
        <v>0</v>
      </c>
    </row>
    <row r="438" spans="1:15" x14ac:dyDescent="0.35">
      <c r="A438" t="str">
        <v>electric_GEC_Alsthom_BB_26000</v>
      </c>
      <c r="B438" t="b" cm="1">
        <f t="array" ref="B438">_xlfn.XLOOKUP(A438,CONTROL[VEHIDCODE],PROPERTIES[EXCLUDE])</f>
        <v>0</v>
      </c>
      <c r="C438" t="b">
        <f>_xlfn.XLOOKUP(A438,CONTROL[VEHIDCODE],CONTROL[IS_WAGON_OR_COACH])</f>
        <v>0</v>
      </c>
      <c r="D438">
        <f>FLOOR(_xlfn.XLOOKUP($A438,PROPERTIES[VEHIDCODE],PROPERTIES[INTRODUCTION_YEAR]),20)</f>
        <v>1980</v>
      </c>
      <c r="E438" t="e">
        <f>_xlfn.XLOOKUP($A438,PROPERTIES[VEHIDCODE],#REF!)</f>
        <v>#REF!</v>
      </c>
      <c r="F438" s="25" t="str" cm="1">
        <f t="array" ref="F438">_xlfn.CONCAT(_xlfn.XLOOKUP($A438,PROPERTIES[VEHIDCODE],PROPERTIES[REGION1]),"_",_xlfn.XLOOKUP($A438,PROPERTIES[VEHIDCODE],PROPERTIES[REGION2]),"_",_xlfn.XLOOKUP($A438,PROPERTIES[VEHIDCODE],PROPERTIES[REGION3]&amp;"_"&amp;_xlfn.XLOOKUP($A438,PROPERTIES[VEHIDCODE],PROPERTIES[REGION4])))</f>
        <v>WESTERN_EUROPE_NO_REGION_NO_REGION_NO_REGION</v>
      </c>
      <c r="G438" t="b">
        <f t="shared" si="54"/>
        <v>0</v>
      </c>
      <c r="H438" t="b">
        <f t="shared" si="61"/>
        <v>0</v>
      </c>
      <c r="I438" t="b">
        <f t="shared" si="55"/>
        <v>0</v>
      </c>
      <c r="J438" t="b">
        <f t="shared" si="62"/>
        <v>0</v>
      </c>
      <c r="K438" t="b">
        <f t="shared" si="56"/>
        <v>1</v>
      </c>
      <c r="L438" t="b">
        <f t="shared" si="57"/>
        <v>0</v>
      </c>
      <c r="M438" t="b">
        <f t="shared" si="58"/>
        <v>0</v>
      </c>
      <c r="N438" t="b">
        <f t="shared" si="59"/>
        <v>0</v>
      </c>
      <c r="O438" t="b">
        <f t="shared" si="60"/>
        <v>0</v>
      </c>
    </row>
    <row r="439" spans="1:15" x14ac:dyDescent="0.35">
      <c r="A439" t="str">
        <v>electric_Alsthom_BB_25500</v>
      </c>
      <c r="B439" t="b" cm="1">
        <f t="array" ref="B439">_xlfn.XLOOKUP(A439,CONTROL[VEHIDCODE],PROPERTIES[EXCLUDE])</f>
        <v>0</v>
      </c>
      <c r="C439" t="b">
        <f>_xlfn.XLOOKUP(A439,CONTROL[VEHIDCODE],CONTROL[IS_WAGON_OR_COACH])</f>
        <v>0</v>
      </c>
      <c r="D439">
        <f>FLOOR(_xlfn.XLOOKUP($A439,PROPERTIES[VEHIDCODE],PROPERTIES[INTRODUCTION_YEAR]),20)</f>
        <v>1960</v>
      </c>
      <c r="E439" t="e">
        <f>_xlfn.XLOOKUP($A439,PROPERTIES[VEHIDCODE],#REF!)</f>
        <v>#REF!</v>
      </c>
      <c r="F439" s="25" t="str" cm="1">
        <f t="array" ref="F439">_xlfn.CONCAT(_xlfn.XLOOKUP($A439,PROPERTIES[VEHIDCODE],PROPERTIES[REGION1]),"_",_xlfn.XLOOKUP($A439,PROPERTIES[VEHIDCODE],PROPERTIES[REGION2]),"_",_xlfn.XLOOKUP($A439,PROPERTIES[VEHIDCODE],PROPERTIES[REGION3]&amp;"_"&amp;_xlfn.XLOOKUP($A439,PROPERTIES[VEHIDCODE],PROPERTIES[REGION4])))</f>
        <v>WESTERN_EUROPE_NO_REGION_NO_REGION_NO_REGION</v>
      </c>
      <c r="G439" t="b">
        <f t="shared" si="54"/>
        <v>0</v>
      </c>
      <c r="H439" t="b">
        <f t="shared" si="61"/>
        <v>0</v>
      </c>
      <c r="I439" t="b">
        <f t="shared" si="55"/>
        <v>0</v>
      </c>
      <c r="J439" t="b">
        <f t="shared" si="62"/>
        <v>0</v>
      </c>
      <c r="K439" t="b">
        <f t="shared" si="56"/>
        <v>1</v>
      </c>
      <c r="L439" t="b">
        <f t="shared" si="57"/>
        <v>0</v>
      </c>
      <c r="M439" t="b">
        <f t="shared" si="58"/>
        <v>0</v>
      </c>
      <c r="N439" t="b">
        <f t="shared" si="59"/>
        <v>0</v>
      </c>
      <c r="O439" t="b">
        <f t="shared" si="60"/>
        <v>0</v>
      </c>
    </row>
    <row r="440" spans="1:15" x14ac:dyDescent="0.35">
      <c r="A440" t="str">
        <v>electric_Siemens_Eurosprinter_ES64U4</v>
      </c>
      <c r="B440" t="b" cm="1">
        <f t="array" ref="B440">_xlfn.XLOOKUP(A440,CONTROL[VEHIDCODE],PROPERTIES[EXCLUDE])</f>
        <v>0</v>
      </c>
      <c r="C440" t="b">
        <f>_xlfn.XLOOKUP(A440,CONTROL[VEHIDCODE],CONTROL[IS_WAGON_OR_COACH])</f>
        <v>0</v>
      </c>
      <c r="D440">
        <f>FLOOR(_xlfn.XLOOKUP($A440,PROPERTIES[VEHIDCODE],PROPERTIES[INTRODUCTION_YEAR]),20)</f>
        <v>2000</v>
      </c>
      <c r="E440" t="e">
        <f>_xlfn.XLOOKUP($A440,PROPERTIES[VEHIDCODE],#REF!)</f>
        <v>#REF!</v>
      </c>
      <c r="F440" s="25" t="str" cm="1">
        <f t="array" ref="F440">_xlfn.CONCAT(_xlfn.XLOOKUP($A440,PROPERTIES[VEHIDCODE],PROPERTIES[REGION1]),"_",_xlfn.XLOOKUP($A440,PROPERTIES[VEHIDCODE],PROPERTIES[REGION2]),"_",_xlfn.XLOOKUP($A440,PROPERTIES[VEHIDCODE],PROPERTIES[REGION3]&amp;"_"&amp;_xlfn.XLOOKUP($A440,PROPERTIES[VEHIDCODE],PROPERTIES[REGION4])))</f>
        <v>ALL_EUROPE_NO_REGION_NO_REGION_NO_REGION</v>
      </c>
      <c r="G440" t="b">
        <f t="shared" si="54"/>
        <v>0</v>
      </c>
      <c r="H440" t="b">
        <f t="shared" si="61"/>
        <v>0</v>
      </c>
      <c r="I440" t="b">
        <f t="shared" si="55"/>
        <v>1</v>
      </c>
      <c r="J440" t="b">
        <f t="shared" si="62"/>
        <v>1</v>
      </c>
      <c r="K440" t="b">
        <f t="shared" si="56"/>
        <v>1</v>
      </c>
      <c r="L440" t="b">
        <f t="shared" si="57"/>
        <v>1</v>
      </c>
      <c r="M440" t="b">
        <f t="shared" si="58"/>
        <v>0</v>
      </c>
      <c r="N440" t="b">
        <f t="shared" si="59"/>
        <v>0</v>
      </c>
      <c r="O440" t="b">
        <f t="shared" si="60"/>
        <v>0</v>
      </c>
    </row>
    <row r="441" spans="1:15" x14ac:dyDescent="0.35">
      <c r="A441" t="str">
        <v>electric_Toshiba_EH500</v>
      </c>
      <c r="B441" t="b" cm="1">
        <f t="array" ref="B441">_xlfn.XLOOKUP(A441,CONTROL[VEHIDCODE],PROPERTIES[EXCLUDE])</f>
        <v>0</v>
      </c>
      <c r="C441" t="b">
        <f>_xlfn.XLOOKUP(A441,CONTROL[VEHIDCODE],CONTROL[IS_WAGON_OR_COACH])</f>
        <v>0</v>
      </c>
      <c r="D441">
        <f>FLOOR(_xlfn.XLOOKUP($A441,PROPERTIES[VEHIDCODE],PROPERTIES[INTRODUCTION_YEAR]),20)</f>
        <v>1980</v>
      </c>
      <c r="E441" t="e">
        <f>_xlfn.XLOOKUP($A441,PROPERTIES[VEHIDCODE],#REF!)</f>
        <v>#REF!</v>
      </c>
      <c r="F441" s="25" t="str" cm="1">
        <f t="array" ref="F441">_xlfn.CONCAT(_xlfn.XLOOKUP($A441,PROPERTIES[VEHIDCODE],PROPERTIES[REGION1]),"_",_xlfn.XLOOKUP($A441,PROPERTIES[VEHIDCODE],PROPERTIES[REGION2]),"_",_xlfn.XLOOKUP($A441,PROPERTIES[VEHIDCODE],PROPERTIES[REGION3]&amp;"_"&amp;_xlfn.XLOOKUP($A441,PROPERTIES[VEHIDCODE],PROPERTIES[REGION4])))</f>
        <v>ASIA_NO_REGION_NO_REGION_NO_REGION</v>
      </c>
      <c r="G441" t="b">
        <f t="shared" si="54"/>
        <v>0</v>
      </c>
      <c r="H441" t="b">
        <f t="shared" si="61"/>
        <v>1</v>
      </c>
      <c r="I441" t="b">
        <f t="shared" si="55"/>
        <v>0</v>
      </c>
      <c r="J441" t="b">
        <f t="shared" si="62"/>
        <v>0</v>
      </c>
      <c r="K441" t="b">
        <f t="shared" si="56"/>
        <v>0</v>
      </c>
      <c r="L441" t="b">
        <f t="shared" si="57"/>
        <v>0</v>
      </c>
      <c r="M441" t="b">
        <f t="shared" si="58"/>
        <v>0</v>
      </c>
      <c r="N441" t="b">
        <f t="shared" si="59"/>
        <v>0</v>
      </c>
      <c r="O441" t="b">
        <f t="shared" si="60"/>
        <v>0</v>
      </c>
    </row>
    <row r="442" spans="1:15" x14ac:dyDescent="0.35">
      <c r="A442" t="str">
        <v>electric_ASEA_EMD_AEM_7</v>
      </c>
      <c r="B442" t="b" cm="1">
        <f t="array" ref="B442">_xlfn.XLOOKUP(A442,CONTROL[VEHIDCODE],PROPERTIES[EXCLUDE])</f>
        <v>0</v>
      </c>
      <c r="C442" t="b">
        <f>_xlfn.XLOOKUP(A442,CONTROL[VEHIDCODE],CONTROL[IS_WAGON_OR_COACH])</f>
        <v>0</v>
      </c>
      <c r="D442">
        <f>FLOOR(_xlfn.XLOOKUP($A442,PROPERTIES[VEHIDCODE],PROPERTIES[INTRODUCTION_YEAR]),20)</f>
        <v>1960</v>
      </c>
      <c r="E442" t="e">
        <f>_xlfn.XLOOKUP($A442,PROPERTIES[VEHIDCODE],#REF!)</f>
        <v>#REF!</v>
      </c>
      <c r="F442" s="25" t="str" cm="1">
        <f t="array" ref="F442">_xlfn.CONCAT(_xlfn.XLOOKUP($A442,PROPERTIES[VEHIDCODE],PROPERTIES[REGION1]),"_",_xlfn.XLOOKUP($A442,PROPERTIES[VEHIDCODE],PROPERTIES[REGION2]),"_",_xlfn.XLOOKUP($A442,PROPERTIES[VEHIDCODE],PROPERTIES[REGION3]&amp;"_"&amp;_xlfn.XLOOKUP($A442,PROPERTIES[VEHIDCODE],PROPERTIES[REGION4])))</f>
        <v>NORTH_AMERICA_NO_REGION_NO_REGION_NO_REGION</v>
      </c>
      <c r="G442" t="b">
        <f t="shared" si="54"/>
        <v>0</v>
      </c>
      <c r="H442" t="b">
        <f t="shared" si="61"/>
        <v>0</v>
      </c>
      <c r="I442" t="b">
        <f t="shared" si="55"/>
        <v>0</v>
      </c>
      <c r="J442" t="b">
        <f t="shared" si="62"/>
        <v>0</v>
      </c>
      <c r="K442" t="b">
        <f t="shared" si="56"/>
        <v>0</v>
      </c>
      <c r="L442" t="b">
        <f t="shared" si="57"/>
        <v>0</v>
      </c>
      <c r="M442" t="b">
        <f t="shared" si="58"/>
        <v>1</v>
      </c>
      <c r="N442" t="b">
        <f t="shared" si="59"/>
        <v>0</v>
      </c>
      <c r="O442" t="b">
        <f t="shared" si="60"/>
        <v>0</v>
      </c>
    </row>
    <row r="443" spans="1:15" x14ac:dyDescent="0.35">
      <c r="A443" t="str">
        <v>electric_Bombardier_Alstom_HHP_8</v>
      </c>
      <c r="B443" t="b" cm="1">
        <f t="array" ref="B443">_xlfn.XLOOKUP(A443,CONTROL[VEHIDCODE],PROPERTIES[EXCLUDE])</f>
        <v>0</v>
      </c>
      <c r="C443" t="b">
        <f>_xlfn.XLOOKUP(A443,CONTROL[VEHIDCODE],CONTROL[IS_WAGON_OR_COACH])</f>
        <v>0</v>
      </c>
      <c r="D443">
        <f>FLOOR(_xlfn.XLOOKUP($A443,PROPERTIES[VEHIDCODE],PROPERTIES[INTRODUCTION_YEAR]),20)</f>
        <v>1980</v>
      </c>
      <c r="E443" t="e">
        <f>_xlfn.XLOOKUP($A443,PROPERTIES[VEHIDCODE],#REF!)</f>
        <v>#REF!</v>
      </c>
      <c r="F443" s="25" t="str" cm="1">
        <f t="array" ref="F443">_xlfn.CONCAT(_xlfn.XLOOKUP($A443,PROPERTIES[VEHIDCODE],PROPERTIES[REGION1]),"_",_xlfn.XLOOKUP($A443,PROPERTIES[VEHIDCODE],PROPERTIES[REGION2]),"_",_xlfn.XLOOKUP($A443,PROPERTIES[VEHIDCODE],PROPERTIES[REGION3]&amp;"_"&amp;_xlfn.XLOOKUP($A443,PROPERTIES[VEHIDCODE],PROPERTIES[REGION4])))</f>
        <v>NORTH_AMERICA_NO_REGION_NO_REGION_NO_REGION</v>
      </c>
      <c r="G443" t="b">
        <f t="shared" si="54"/>
        <v>0</v>
      </c>
      <c r="H443" t="b">
        <f t="shared" si="61"/>
        <v>0</v>
      </c>
      <c r="I443" t="b">
        <f t="shared" si="55"/>
        <v>0</v>
      </c>
      <c r="J443" t="b">
        <f t="shared" si="62"/>
        <v>0</v>
      </c>
      <c r="K443" t="b">
        <f t="shared" si="56"/>
        <v>0</v>
      </c>
      <c r="L443" t="b">
        <f t="shared" si="57"/>
        <v>0</v>
      </c>
      <c r="M443" t="b">
        <f t="shared" si="58"/>
        <v>1</v>
      </c>
      <c r="N443" t="b">
        <f t="shared" si="59"/>
        <v>0</v>
      </c>
      <c r="O443" t="b">
        <f t="shared" si="60"/>
        <v>0</v>
      </c>
    </row>
    <row r="444" spans="1:15" x14ac:dyDescent="0.35">
      <c r="A444" t="str">
        <v>electric_Skoda_109E</v>
      </c>
      <c r="B444" t="b" cm="1">
        <f t="array" ref="B444">_xlfn.XLOOKUP(A444,CONTROL[VEHIDCODE],PROPERTIES[EXCLUDE])</f>
        <v>0</v>
      </c>
      <c r="C444" t="b">
        <f>_xlfn.XLOOKUP(A444,CONTROL[VEHIDCODE],CONTROL[IS_WAGON_OR_COACH])</f>
        <v>0</v>
      </c>
      <c r="D444">
        <f>FLOOR(_xlfn.XLOOKUP($A444,PROPERTIES[VEHIDCODE],PROPERTIES[INTRODUCTION_YEAR]),20)</f>
        <v>2000</v>
      </c>
      <c r="E444" t="e">
        <f>_xlfn.XLOOKUP($A444,PROPERTIES[VEHIDCODE],#REF!)</f>
        <v>#REF!</v>
      </c>
      <c r="F444" s="25" t="str" cm="1">
        <f t="array" ref="F444">_xlfn.CONCAT(_xlfn.XLOOKUP($A444,PROPERTIES[VEHIDCODE],PROPERTIES[REGION1]),"_",_xlfn.XLOOKUP($A444,PROPERTIES[VEHIDCODE],PROPERTIES[REGION2]),"_",_xlfn.XLOOKUP($A444,PROPERTIES[VEHIDCODE],PROPERTIES[REGION3]&amp;"_"&amp;_xlfn.XLOOKUP($A444,PROPERTIES[VEHIDCODE],PROPERTIES[REGION4])))</f>
        <v>EASTERN_EUROPE_NO_REGION_NO_REGION_NO_REGION</v>
      </c>
      <c r="G444" t="b">
        <f t="shared" si="54"/>
        <v>0</v>
      </c>
      <c r="H444" t="b">
        <f t="shared" si="61"/>
        <v>0</v>
      </c>
      <c r="I444" t="b">
        <f t="shared" si="55"/>
        <v>0</v>
      </c>
      <c r="J444" t="b">
        <f t="shared" si="62"/>
        <v>1</v>
      </c>
      <c r="K444" t="b">
        <f t="shared" si="56"/>
        <v>0</v>
      </c>
      <c r="L444" t="b">
        <f t="shared" si="57"/>
        <v>0</v>
      </c>
      <c r="M444" t="b">
        <f t="shared" si="58"/>
        <v>0</v>
      </c>
      <c r="N444" t="b">
        <f t="shared" si="59"/>
        <v>0</v>
      </c>
      <c r="O444" t="b">
        <f t="shared" si="60"/>
        <v>0</v>
      </c>
    </row>
    <row r="445" spans="1:15" x14ac:dyDescent="0.35">
      <c r="A445" t="str">
        <v>electric_CAF_Macosa_252</v>
      </c>
      <c r="B445" t="b" cm="1">
        <f t="array" ref="B445">_xlfn.XLOOKUP(A445,CONTROL[VEHIDCODE],PROPERTIES[EXCLUDE])</f>
        <v>0</v>
      </c>
      <c r="C445" t="b">
        <f>_xlfn.XLOOKUP(A445,CONTROL[VEHIDCODE],CONTROL[IS_WAGON_OR_COACH])</f>
        <v>0</v>
      </c>
      <c r="D445">
        <f>FLOOR(_xlfn.XLOOKUP($A445,PROPERTIES[VEHIDCODE],PROPERTIES[INTRODUCTION_YEAR]),20)</f>
        <v>1980</v>
      </c>
      <c r="E445" t="e">
        <f>_xlfn.XLOOKUP($A445,PROPERTIES[VEHIDCODE],#REF!)</f>
        <v>#REF!</v>
      </c>
      <c r="F445" s="25" t="str" cm="1">
        <f t="array" ref="F445">_xlfn.CONCAT(_xlfn.XLOOKUP($A445,PROPERTIES[VEHIDCODE],PROPERTIES[REGION1]),"_",_xlfn.XLOOKUP($A445,PROPERTIES[VEHIDCODE],PROPERTIES[REGION2]),"_",_xlfn.XLOOKUP($A445,PROPERTIES[VEHIDCODE],PROPERTIES[REGION3]&amp;"_"&amp;_xlfn.XLOOKUP($A445,PROPERTIES[VEHIDCODE],PROPERTIES[REGION4])))</f>
        <v>SOUTHERN_EUROPE_NO_REGION_NO_REGION_NO_REGION</v>
      </c>
      <c r="G445" t="b">
        <f t="shared" si="54"/>
        <v>0</v>
      </c>
      <c r="H445" t="b">
        <f t="shared" si="61"/>
        <v>0</v>
      </c>
      <c r="I445" t="b">
        <f t="shared" si="55"/>
        <v>1</v>
      </c>
      <c r="J445" t="b">
        <f t="shared" si="62"/>
        <v>0</v>
      </c>
      <c r="K445" t="b">
        <f t="shared" si="56"/>
        <v>0</v>
      </c>
      <c r="L445" t="b">
        <f t="shared" si="57"/>
        <v>0</v>
      </c>
      <c r="M445" t="b">
        <f t="shared" si="58"/>
        <v>0</v>
      </c>
      <c r="N445" t="b">
        <f t="shared" si="59"/>
        <v>0</v>
      </c>
      <c r="O445" t="b">
        <f t="shared" si="60"/>
        <v>0</v>
      </c>
    </row>
    <row r="446" spans="1:15" x14ac:dyDescent="0.35">
      <c r="A446" t="str">
        <v>electric_Bombardier_Traxx_F140_MS</v>
      </c>
      <c r="B446" t="b" cm="1">
        <f t="array" ref="B446">_xlfn.XLOOKUP(A446,CONTROL[VEHIDCODE],PROPERTIES[EXCLUDE])</f>
        <v>0</v>
      </c>
      <c r="C446" t="b">
        <f>_xlfn.XLOOKUP(A446,CONTROL[VEHIDCODE],CONTROL[IS_WAGON_OR_COACH])</f>
        <v>0</v>
      </c>
      <c r="D446">
        <f>FLOOR(_xlfn.XLOOKUP($A446,PROPERTIES[VEHIDCODE],PROPERTIES[INTRODUCTION_YEAR]),20)</f>
        <v>2000</v>
      </c>
      <c r="E446" t="e">
        <f>_xlfn.XLOOKUP($A446,PROPERTIES[VEHIDCODE],#REF!)</f>
        <v>#REF!</v>
      </c>
      <c r="F446" s="25" t="str" cm="1">
        <f t="array" ref="F446">_xlfn.CONCAT(_xlfn.XLOOKUP($A446,PROPERTIES[VEHIDCODE],PROPERTIES[REGION1]),"_",_xlfn.XLOOKUP($A446,PROPERTIES[VEHIDCODE],PROPERTIES[REGION2]),"_",_xlfn.XLOOKUP($A446,PROPERTIES[VEHIDCODE],PROPERTIES[REGION3]&amp;"_"&amp;_xlfn.XLOOKUP($A446,PROPERTIES[VEHIDCODE],PROPERTIES[REGION4])))</f>
        <v>ALL_EUROPE_NO_REGION_NO_REGION_NO_REGION</v>
      </c>
      <c r="G446" t="b">
        <f t="shared" si="54"/>
        <v>0</v>
      </c>
      <c r="H446" t="b">
        <f t="shared" si="61"/>
        <v>0</v>
      </c>
      <c r="I446" t="b">
        <f t="shared" si="55"/>
        <v>1</v>
      </c>
      <c r="J446" t="b">
        <f t="shared" si="62"/>
        <v>1</v>
      </c>
      <c r="K446" t="b">
        <f t="shared" si="56"/>
        <v>1</v>
      </c>
      <c r="L446" t="b">
        <f t="shared" si="57"/>
        <v>1</v>
      </c>
      <c r="M446" t="b">
        <f t="shared" si="58"/>
        <v>0</v>
      </c>
      <c r="N446" t="b">
        <f t="shared" si="59"/>
        <v>0</v>
      </c>
      <c r="O446" t="b">
        <f t="shared" si="60"/>
        <v>0</v>
      </c>
    </row>
    <row r="447" spans="1:15" x14ac:dyDescent="0.35">
      <c r="A447" t="str">
        <v>electric_TIBB_E_550</v>
      </c>
      <c r="B447" t="b" cm="1">
        <f t="array" ref="B447">_xlfn.XLOOKUP(A447,CONTROL[VEHIDCODE],PROPERTIES[EXCLUDE])</f>
        <v>0</v>
      </c>
      <c r="C447" t="b">
        <f>_xlfn.XLOOKUP(A447,CONTROL[VEHIDCODE],CONTROL[IS_WAGON_OR_COACH])</f>
        <v>0</v>
      </c>
      <c r="D447">
        <f>FLOOR(_xlfn.XLOOKUP($A447,PROPERTIES[VEHIDCODE],PROPERTIES[INTRODUCTION_YEAR]),20)</f>
        <v>1900</v>
      </c>
      <c r="E447" t="e">
        <f>_xlfn.XLOOKUP($A447,PROPERTIES[VEHIDCODE],#REF!)</f>
        <v>#REF!</v>
      </c>
      <c r="F447" s="25" t="str" cm="1">
        <f t="array" ref="F447">_xlfn.CONCAT(_xlfn.XLOOKUP($A447,PROPERTIES[VEHIDCODE],PROPERTIES[REGION1]),"_",_xlfn.XLOOKUP($A447,PROPERTIES[VEHIDCODE],PROPERTIES[REGION2]),"_",_xlfn.XLOOKUP($A447,PROPERTIES[VEHIDCODE],PROPERTIES[REGION3]&amp;"_"&amp;_xlfn.XLOOKUP($A447,PROPERTIES[VEHIDCODE],PROPERTIES[REGION4])))</f>
        <v>SOUTHERN_EUROPE_NO_REGION_NO_REGION_NO_REGION</v>
      </c>
      <c r="G447" t="b">
        <f t="shared" si="54"/>
        <v>0</v>
      </c>
      <c r="H447" t="b">
        <f t="shared" si="61"/>
        <v>0</v>
      </c>
      <c r="I447" t="b">
        <f t="shared" si="55"/>
        <v>1</v>
      </c>
      <c r="J447" t="b">
        <f t="shared" si="62"/>
        <v>0</v>
      </c>
      <c r="K447" t="b">
        <f t="shared" si="56"/>
        <v>0</v>
      </c>
      <c r="L447" t="b">
        <f t="shared" si="57"/>
        <v>0</v>
      </c>
      <c r="M447" t="b">
        <f t="shared" si="58"/>
        <v>0</v>
      </c>
      <c r="N447" t="b">
        <f t="shared" si="59"/>
        <v>0</v>
      </c>
      <c r="O447" t="b">
        <f t="shared" si="60"/>
        <v>0</v>
      </c>
    </row>
    <row r="448" spans="1:15" x14ac:dyDescent="0.35">
      <c r="A448" t="str">
        <v>electric_Hitachi_EF81</v>
      </c>
      <c r="B448" t="b" cm="1">
        <f t="array" ref="B448">_xlfn.XLOOKUP(A448,CONTROL[VEHIDCODE],PROPERTIES[EXCLUDE])</f>
        <v>0</v>
      </c>
      <c r="C448" t="b">
        <f>_xlfn.XLOOKUP(A448,CONTROL[VEHIDCODE],CONTROL[IS_WAGON_OR_COACH])</f>
        <v>0</v>
      </c>
      <c r="D448">
        <f>FLOOR(_xlfn.XLOOKUP($A448,PROPERTIES[VEHIDCODE],PROPERTIES[INTRODUCTION_YEAR]),20)</f>
        <v>1960</v>
      </c>
      <c r="E448" t="e">
        <f>_xlfn.XLOOKUP($A448,PROPERTIES[VEHIDCODE],#REF!)</f>
        <v>#REF!</v>
      </c>
      <c r="F448" s="25" t="str" cm="1">
        <f t="array" ref="F448">_xlfn.CONCAT(_xlfn.XLOOKUP($A448,PROPERTIES[VEHIDCODE],PROPERTIES[REGION1]),"_",_xlfn.XLOOKUP($A448,PROPERTIES[VEHIDCODE],PROPERTIES[REGION2]),"_",_xlfn.XLOOKUP($A448,PROPERTIES[VEHIDCODE],PROPERTIES[REGION3]&amp;"_"&amp;_xlfn.XLOOKUP($A448,PROPERTIES[VEHIDCODE],PROPERTIES[REGION4])))</f>
        <v>ASIA_NO_REGION_NO_REGION_NO_REGION</v>
      </c>
      <c r="G448" t="b">
        <f t="shared" si="54"/>
        <v>0</v>
      </c>
      <c r="H448" t="b">
        <f t="shared" si="61"/>
        <v>1</v>
      </c>
      <c r="I448" t="b">
        <f t="shared" si="55"/>
        <v>0</v>
      </c>
      <c r="J448" t="b">
        <f t="shared" si="62"/>
        <v>0</v>
      </c>
      <c r="K448" t="b">
        <f t="shared" si="56"/>
        <v>0</v>
      </c>
      <c r="L448" t="b">
        <f t="shared" si="57"/>
        <v>0</v>
      </c>
      <c r="M448" t="b">
        <f t="shared" si="58"/>
        <v>0</v>
      </c>
      <c r="N448" t="b">
        <f t="shared" si="59"/>
        <v>0</v>
      </c>
      <c r="O448" t="b">
        <f t="shared" si="60"/>
        <v>0</v>
      </c>
    </row>
    <row r="449" spans="1:15" x14ac:dyDescent="0.35">
      <c r="A449" t="str">
        <v>electric_ABB_Brush_Class_92</v>
      </c>
      <c r="B449" t="b" cm="1">
        <f t="array" ref="B449">_xlfn.XLOOKUP(A449,CONTROL[VEHIDCODE],PROPERTIES[EXCLUDE])</f>
        <v>0</v>
      </c>
      <c r="C449" t="b">
        <f>_xlfn.XLOOKUP(A449,CONTROL[VEHIDCODE],CONTROL[IS_WAGON_OR_COACH])</f>
        <v>0</v>
      </c>
      <c r="D449">
        <f>FLOOR(_xlfn.XLOOKUP($A449,PROPERTIES[VEHIDCODE],PROPERTIES[INTRODUCTION_YEAR]),20)</f>
        <v>1980</v>
      </c>
      <c r="E449" t="e">
        <f>_xlfn.XLOOKUP($A449,PROPERTIES[VEHIDCODE],#REF!)</f>
        <v>#REF!</v>
      </c>
      <c r="F449" s="25" t="str" cm="1">
        <f t="array" ref="F449">_xlfn.CONCAT(_xlfn.XLOOKUP($A449,PROPERTIES[VEHIDCODE],PROPERTIES[REGION1]),"_",_xlfn.XLOOKUP($A449,PROPERTIES[VEHIDCODE],PROPERTIES[REGION2]),"_",_xlfn.XLOOKUP($A449,PROPERTIES[VEHIDCODE],PROPERTIES[REGION3]&amp;"_"&amp;_xlfn.XLOOKUP($A449,PROPERTIES[VEHIDCODE],PROPERTIES[REGION4])))</f>
        <v>NORTHERN_EUROPE_WESTERN_EUROPE_EASTERN_EUROPE_NO_REGION</v>
      </c>
      <c r="G449" t="b">
        <f t="shared" si="54"/>
        <v>0</v>
      </c>
      <c r="H449" t="b">
        <f t="shared" si="61"/>
        <v>0</v>
      </c>
      <c r="I449" t="b">
        <f t="shared" si="55"/>
        <v>0</v>
      </c>
      <c r="J449" t="b">
        <f t="shared" si="62"/>
        <v>1</v>
      </c>
      <c r="K449" t="b">
        <f t="shared" si="56"/>
        <v>1</v>
      </c>
      <c r="L449" t="b">
        <f t="shared" si="57"/>
        <v>1</v>
      </c>
      <c r="M449" t="b">
        <f t="shared" si="58"/>
        <v>0</v>
      </c>
      <c r="N449" t="b">
        <f t="shared" si="59"/>
        <v>0</v>
      </c>
      <c r="O449" t="b">
        <f t="shared" si="60"/>
        <v>0</v>
      </c>
    </row>
    <row r="450" spans="1:15" x14ac:dyDescent="0.35">
      <c r="A450" t="str">
        <v>electric_Siemens_ACS_64</v>
      </c>
      <c r="B450" t="b" cm="1">
        <f t="array" ref="B450">_xlfn.XLOOKUP(A450,CONTROL[VEHIDCODE],PROPERTIES[EXCLUDE])</f>
        <v>0</v>
      </c>
      <c r="C450" t="b">
        <f>_xlfn.XLOOKUP(A450,CONTROL[VEHIDCODE],CONTROL[IS_WAGON_OR_COACH])</f>
        <v>0</v>
      </c>
      <c r="D450">
        <f>FLOOR(_xlfn.XLOOKUP($A450,PROPERTIES[VEHIDCODE],PROPERTIES[INTRODUCTION_YEAR]),20)</f>
        <v>2000</v>
      </c>
      <c r="E450" t="e">
        <f>_xlfn.XLOOKUP($A450,PROPERTIES[VEHIDCODE],#REF!)</f>
        <v>#REF!</v>
      </c>
      <c r="F450" s="25" t="str" cm="1">
        <f t="array" ref="F450">_xlfn.CONCAT(_xlfn.XLOOKUP($A450,PROPERTIES[VEHIDCODE],PROPERTIES[REGION1]),"_",_xlfn.XLOOKUP($A450,PROPERTIES[VEHIDCODE],PROPERTIES[REGION2]),"_",_xlfn.XLOOKUP($A450,PROPERTIES[VEHIDCODE],PROPERTIES[REGION3]&amp;"_"&amp;_xlfn.XLOOKUP($A450,PROPERTIES[VEHIDCODE],PROPERTIES[REGION4])))</f>
        <v>NORTH_AMERICA_NO_REGION_NO_REGION_NO_REGION</v>
      </c>
      <c r="G450" t="b">
        <f t="shared" ref="G450:G513" si="63">OR(ISNUMBER(SEARCH("ALL_REGION",$F450)),
ISNUMBER(SEARCH("AFRICA",$F450)),
ISNUMBER(SEARCH("OLD_WORLD",$F450)),
ISNUMBER(SEARCH("NON_EUROPEAN",$F450)))</f>
        <v>0</v>
      </c>
      <c r="H450" t="b">
        <f t="shared" si="61"/>
        <v>0</v>
      </c>
      <c r="I450" t="b">
        <f t="shared" ref="I450:I513" si="64">OR(ISNUMBER(SEARCH("ALL_REGION",$F450)),
ISNUMBER(SEARCH("ALL_EUROPE",$F450)),
ISNUMBER(SEARCH(I$1,$F450)),
ISNUMBER(SEARCH("OLD_WORLD",$F450)))</f>
        <v>0</v>
      </c>
      <c r="J450" t="b">
        <f t="shared" si="62"/>
        <v>0</v>
      </c>
      <c r="K450" t="b">
        <f t="shared" ref="K450:K513" si="65">OR(ISNUMBER(SEARCH("ALL_REGION",$F450)),
ISNUMBER(SEARCH("ALL_EUROPE",$F450)),
ISNUMBER(SEARCH(K$1,$F450)),
ISNUMBER(SEARCH("OLD_WORLD",$F450)),
ISNUMBER(SEARCH("NORTH_WEST_EUROPE",$F450)))</f>
        <v>0</v>
      </c>
      <c r="L450" t="b">
        <f t="shared" ref="L450:L513" si="66">OR(ISNUMBER(SEARCH("ALL_REGION",$F450)),
ISNUMBER(SEARCH("ALL_EUROPE",$F450)),
ISNUMBER(SEARCH(L$1,$F450)),
ISNUMBER(SEARCH("OLD_WORLD",$F450)),
ISNUMBER(SEARCH("NORTH_WEST_EUROPE",$F450)),
ISNUMBER(SEARCH("POST_SOVIET_BALTIC",$F450)))</f>
        <v>0</v>
      </c>
      <c r="M450" t="b">
        <f t="shared" ref="M450:M513" si="67">OR(ISNUMBER(SEARCH("ALL_REGION",$F450)),
ISNUMBER(SEARCH("ALL_AMERICA",$F450)),
ISNUMBER(SEARCH(M$1,$F450)),
ISNUMBER(SEARCH("NON_EUROPEAN",$F450)))</f>
        <v>1</v>
      </c>
      <c r="N450" t="b">
        <f t="shared" ref="N450:N513" si="68">OR(ISNUMBER(SEARCH("ALL_REGION",$F450)),
ISNUMBER(SEARCH("ALL_AMERICA",$F450)),
ISNUMBER(SEARCH(N$1,$F450)),
ISNUMBER(SEARCH("NON_EUROPEAN",$F450)),
ISNUMBER(SEARCH("COMECON_EXTENDED",$F450)))</f>
        <v>0</v>
      </c>
      <c r="O450" t="b">
        <f t="shared" ref="O450:O513" si="69">OR(ISNUMBER(SEARCH("ALL_REGION",$F450)),
ISNUMBER(SEARCH(O$1,$F450)),
ISNUMBER(SEARCH("APAC",$F450)))</f>
        <v>0</v>
      </c>
    </row>
    <row r="451" spans="1:15" x14ac:dyDescent="0.35">
      <c r="A451" t="str">
        <v>electric_Alsthom_CC_40101</v>
      </c>
      <c r="B451" t="b" cm="1">
        <f t="array" ref="B451">_xlfn.XLOOKUP(A451,CONTROL[VEHIDCODE],PROPERTIES[EXCLUDE])</f>
        <v>0</v>
      </c>
      <c r="C451" t="b">
        <f>_xlfn.XLOOKUP(A451,CONTROL[VEHIDCODE],CONTROL[IS_WAGON_OR_COACH])</f>
        <v>0</v>
      </c>
      <c r="D451">
        <f>FLOOR(_xlfn.XLOOKUP($A451,PROPERTIES[VEHIDCODE],PROPERTIES[INTRODUCTION_YEAR]),20)</f>
        <v>1960</v>
      </c>
      <c r="E451" t="e">
        <f>_xlfn.XLOOKUP($A451,PROPERTIES[VEHIDCODE],#REF!)</f>
        <v>#REF!</v>
      </c>
      <c r="F451" s="25" t="str" cm="1">
        <f t="array" ref="F451">_xlfn.CONCAT(_xlfn.XLOOKUP($A451,PROPERTIES[VEHIDCODE],PROPERTIES[REGION1]),"_",_xlfn.XLOOKUP($A451,PROPERTIES[VEHIDCODE],PROPERTIES[REGION2]),"_",_xlfn.XLOOKUP($A451,PROPERTIES[VEHIDCODE],PROPERTIES[REGION3]&amp;"_"&amp;_xlfn.XLOOKUP($A451,PROPERTIES[VEHIDCODE],PROPERTIES[REGION4])))</f>
        <v>WESTERN_EUROPE_NO_REGION_NO_REGION_NO_REGION</v>
      </c>
      <c r="G451" t="b">
        <f t="shared" si="63"/>
        <v>0</v>
      </c>
      <c r="H451" t="b">
        <f t="shared" ref="H451:H514" si="70">OR(ISNUMBER(SEARCH("ALL_REGION",$F451)),
ISNUMBER(SEARCH("ASIA",$F451)),
ISNUMBER(SEARCH("OLD_WORLD",$F451)),
ISNUMBER(SEARCH("NON_EUROPEAN",$F451)),
ISNUMBER(SEARCH("APAC",$F451)),
ISNUMBER(SEARCH("COMECON",$F451)),
ISNUMBER(SEARCH("COMECON_EXTENDED",$F451)),
ISNUMBER(SEARCH("POST_SOVIET_BALTIC",$F451)))</f>
        <v>0</v>
      </c>
      <c r="I451" t="b">
        <f t="shared" si="64"/>
        <v>0</v>
      </c>
      <c r="J451" t="b">
        <f t="shared" ref="J451:J514" si="71">OR(ISNUMBER(SEARCH("ALL_REGION",$F451)),
ISNUMBER(SEARCH("ALL_EUROPE",$F451)),
ISNUMBER(SEARCH(J$1,$F451)),
ISNUMBER(SEARCH("OLD_WORLD",$F451)),
ISNUMBER(SEARCH("COMECON",$F451)),
ISNUMBER(SEARCH("POST_SOVIET_BALTIC",$F451)))</f>
        <v>0</v>
      </c>
      <c r="K451" t="b">
        <f t="shared" si="65"/>
        <v>1</v>
      </c>
      <c r="L451" t="b">
        <f t="shared" si="66"/>
        <v>0</v>
      </c>
      <c r="M451" t="b">
        <f t="shared" si="67"/>
        <v>0</v>
      </c>
      <c r="N451" t="b">
        <f t="shared" si="68"/>
        <v>0</v>
      </c>
      <c r="O451" t="b">
        <f t="shared" si="69"/>
        <v>0</v>
      </c>
    </row>
    <row r="452" spans="1:15" x14ac:dyDescent="0.35">
      <c r="A452" t="str">
        <v>electric_Alsthom_Class_13_HLE</v>
      </c>
      <c r="B452" t="b" cm="1">
        <f t="array" ref="B452">_xlfn.XLOOKUP(A452,CONTROL[VEHIDCODE],PROPERTIES[EXCLUDE])</f>
        <v>0</v>
      </c>
      <c r="C452" t="b">
        <f>_xlfn.XLOOKUP(A452,CONTROL[VEHIDCODE],CONTROL[IS_WAGON_OR_COACH])</f>
        <v>0</v>
      </c>
      <c r="D452">
        <f>FLOOR(_xlfn.XLOOKUP($A452,PROPERTIES[VEHIDCODE],PROPERTIES[INTRODUCTION_YEAR]),20)</f>
        <v>1980</v>
      </c>
      <c r="E452" t="e">
        <f>_xlfn.XLOOKUP($A452,PROPERTIES[VEHIDCODE],#REF!)</f>
        <v>#REF!</v>
      </c>
      <c r="F452" s="25" t="str" cm="1">
        <f t="array" ref="F452">_xlfn.CONCAT(_xlfn.XLOOKUP($A452,PROPERTIES[VEHIDCODE],PROPERTIES[REGION1]),"_",_xlfn.XLOOKUP($A452,PROPERTIES[VEHIDCODE],PROPERTIES[REGION2]),"_",_xlfn.XLOOKUP($A452,PROPERTIES[VEHIDCODE],PROPERTIES[REGION3]&amp;"_"&amp;_xlfn.XLOOKUP($A452,PROPERTIES[VEHIDCODE],PROPERTIES[REGION4])))</f>
        <v>WESTERN_EUROPE_NO_REGION_NO_REGION_NO_REGION</v>
      </c>
      <c r="G452" t="b">
        <f t="shared" si="63"/>
        <v>0</v>
      </c>
      <c r="H452" t="b">
        <f t="shared" si="70"/>
        <v>0</v>
      </c>
      <c r="I452" t="b">
        <f t="shared" si="64"/>
        <v>0</v>
      </c>
      <c r="J452" t="b">
        <f t="shared" si="71"/>
        <v>0</v>
      </c>
      <c r="K452" t="b">
        <f t="shared" si="65"/>
        <v>1</v>
      </c>
      <c r="L452" t="b">
        <f t="shared" si="66"/>
        <v>0</v>
      </c>
      <c r="M452" t="b">
        <f t="shared" si="67"/>
        <v>0</v>
      </c>
      <c r="N452" t="b">
        <f t="shared" si="68"/>
        <v>0</v>
      </c>
      <c r="O452" t="b">
        <f t="shared" si="69"/>
        <v>0</v>
      </c>
    </row>
    <row r="453" spans="1:15" x14ac:dyDescent="0.35">
      <c r="A453" t="str">
        <v>dmu_LHB_VT_04_0_Flying_Hamburger</v>
      </c>
      <c r="B453" t="b" cm="1">
        <f t="array" ref="B453">_xlfn.XLOOKUP(A453,CONTROL[VEHIDCODE],PROPERTIES[EXCLUDE])</f>
        <v>0</v>
      </c>
      <c r="C453" t="b">
        <f>_xlfn.XLOOKUP(A453,CONTROL[VEHIDCODE],CONTROL[IS_WAGON_OR_COACH])</f>
        <v>0</v>
      </c>
      <c r="D453">
        <f>FLOOR(_xlfn.XLOOKUP($A453,PROPERTIES[VEHIDCODE],PROPERTIES[INTRODUCTION_YEAR]),20)</f>
        <v>1920</v>
      </c>
      <c r="E453" t="e">
        <f>_xlfn.XLOOKUP($A453,PROPERTIES[VEHIDCODE],#REF!)</f>
        <v>#REF!</v>
      </c>
      <c r="F453" s="25" t="str" cm="1">
        <f t="array" ref="F453">_xlfn.CONCAT(_xlfn.XLOOKUP($A453,PROPERTIES[VEHIDCODE],PROPERTIES[REGION1]),"_",_xlfn.XLOOKUP($A453,PROPERTIES[VEHIDCODE],PROPERTIES[REGION2]),"_",_xlfn.XLOOKUP($A453,PROPERTIES[VEHIDCODE],PROPERTIES[REGION3]&amp;"_"&amp;_xlfn.XLOOKUP($A453,PROPERTIES[VEHIDCODE],PROPERTIES[REGION4])))</f>
        <v>WESTERN_EUROPE_NO_REGION_NO_REGION_NO_REGION</v>
      </c>
      <c r="G453" t="b">
        <f t="shared" si="63"/>
        <v>0</v>
      </c>
      <c r="H453" t="b">
        <f t="shared" si="70"/>
        <v>0</v>
      </c>
      <c r="I453" t="b">
        <f t="shared" si="64"/>
        <v>0</v>
      </c>
      <c r="J453" t="b">
        <f t="shared" si="71"/>
        <v>0</v>
      </c>
      <c r="K453" t="b">
        <f t="shared" si="65"/>
        <v>1</v>
      </c>
      <c r="L453" t="b">
        <f t="shared" si="66"/>
        <v>0</v>
      </c>
      <c r="M453" t="b">
        <f t="shared" si="67"/>
        <v>0</v>
      </c>
      <c r="N453" t="b">
        <f t="shared" si="68"/>
        <v>0</v>
      </c>
      <c r="O453" t="b">
        <f t="shared" si="69"/>
        <v>0</v>
      </c>
    </row>
    <row r="454" spans="1:15" x14ac:dyDescent="0.35">
      <c r="A454" t="str">
        <v>dmu_Harland___Wolf_Silver_City_Comet</v>
      </c>
      <c r="B454" t="b" cm="1">
        <f t="array" ref="B454">_xlfn.XLOOKUP(A454,CONTROL[VEHIDCODE],PROPERTIES[EXCLUDE])</f>
        <v>0</v>
      </c>
      <c r="C454" t="b">
        <f>_xlfn.XLOOKUP(A454,CONTROL[VEHIDCODE],CONTROL[IS_WAGON_OR_COACH])</f>
        <v>0</v>
      </c>
      <c r="D454">
        <f>FLOOR(_xlfn.XLOOKUP($A454,PROPERTIES[VEHIDCODE],PROPERTIES[INTRODUCTION_YEAR]),20)</f>
        <v>1920</v>
      </c>
      <c r="E454" t="e">
        <f>_xlfn.XLOOKUP($A454,PROPERTIES[VEHIDCODE],#REF!)</f>
        <v>#REF!</v>
      </c>
      <c r="F454" s="25" t="str" cm="1">
        <f t="array" ref="F454">_xlfn.CONCAT(_xlfn.XLOOKUP($A454,PROPERTIES[VEHIDCODE],PROPERTIES[REGION1]),"_",_xlfn.XLOOKUP($A454,PROPERTIES[VEHIDCODE],PROPERTIES[REGION2]),"_",_xlfn.XLOOKUP($A454,PROPERTIES[VEHIDCODE],PROPERTIES[REGION3]&amp;"_"&amp;_xlfn.XLOOKUP($A454,PROPERTIES[VEHIDCODE],PROPERTIES[REGION4])))</f>
        <v>OCEANIA_NO_REGION_NO_REGION_NO_REGION</v>
      </c>
      <c r="G454" t="b">
        <f t="shared" si="63"/>
        <v>0</v>
      </c>
      <c r="H454" t="b">
        <f t="shared" si="70"/>
        <v>0</v>
      </c>
      <c r="I454" t="b">
        <f t="shared" si="64"/>
        <v>0</v>
      </c>
      <c r="J454" t="b">
        <f t="shared" si="71"/>
        <v>0</v>
      </c>
      <c r="K454" t="b">
        <f t="shared" si="65"/>
        <v>0</v>
      </c>
      <c r="L454" t="b">
        <f t="shared" si="66"/>
        <v>0</v>
      </c>
      <c r="M454" t="b">
        <f t="shared" si="67"/>
        <v>0</v>
      </c>
      <c r="N454" t="b">
        <f t="shared" si="68"/>
        <v>0</v>
      </c>
      <c r="O454" t="b">
        <f t="shared" si="69"/>
        <v>1</v>
      </c>
    </row>
    <row r="455" spans="1:15" x14ac:dyDescent="0.35">
      <c r="A455" t="str">
        <v>dmu_Tatra_M131</v>
      </c>
      <c r="B455" t="b" cm="1">
        <f t="array" ref="B455">_xlfn.XLOOKUP(A455,CONTROL[VEHIDCODE],PROPERTIES[EXCLUDE])</f>
        <v>0</v>
      </c>
      <c r="C455" t="b">
        <f>_xlfn.XLOOKUP(A455,CONTROL[VEHIDCODE],CONTROL[IS_WAGON_OR_COACH])</f>
        <v>0</v>
      </c>
      <c r="D455">
        <f>FLOOR(_xlfn.XLOOKUP($A455,PROPERTIES[VEHIDCODE],PROPERTIES[INTRODUCTION_YEAR]),20)</f>
        <v>1940</v>
      </c>
      <c r="E455" t="e">
        <f>_xlfn.XLOOKUP($A455,PROPERTIES[VEHIDCODE],#REF!)</f>
        <v>#REF!</v>
      </c>
      <c r="F455" s="25" t="str" cm="1">
        <f t="array" ref="F455">_xlfn.CONCAT(_xlfn.XLOOKUP($A455,PROPERTIES[VEHIDCODE],PROPERTIES[REGION1]),"_",_xlfn.XLOOKUP($A455,PROPERTIES[VEHIDCODE],PROPERTIES[REGION2]),"_",_xlfn.XLOOKUP($A455,PROPERTIES[VEHIDCODE],PROPERTIES[REGION3]&amp;"_"&amp;_xlfn.XLOOKUP($A455,PROPERTIES[VEHIDCODE],PROPERTIES[REGION4])))</f>
        <v>EASTERN_EUROPE_NO_REGION_NO_REGION_NO_REGION</v>
      </c>
      <c r="G455" t="b">
        <f t="shared" si="63"/>
        <v>0</v>
      </c>
      <c r="H455" t="b">
        <f t="shared" si="70"/>
        <v>0</v>
      </c>
      <c r="I455" t="b">
        <f t="shared" si="64"/>
        <v>0</v>
      </c>
      <c r="J455" t="b">
        <f t="shared" si="71"/>
        <v>1</v>
      </c>
      <c r="K455" t="b">
        <f t="shared" si="65"/>
        <v>0</v>
      </c>
      <c r="L455" t="b">
        <f t="shared" si="66"/>
        <v>0</v>
      </c>
      <c r="M455" t="b">
        <f t="shared" si="67"/>
        <v>0</v>
      </c>
      <c r="N455" t="b">
        <f t="shared" si="68"/>
        <v>0</v>
      </c>
      <c r="O455" t="b">
        <f t="shared" si="69"/>
        <v>0</v>
      </c>
    </row>
    <row r="456" spans="1:15" x14ac:dyDescent="0.35">
      <c r="A456" t="str">
        <v>dmu_MAN_VT_08_5</v>
      </c>
      <c r="B456" t="b" cm="1">
        <f t="array" ref="B456">_xlfn.XLOOKUP(A456,CONTROL[VEHIDCODE],PROPERTIES[EXCLUDE])</f>
        <v>0</v>
      </c>
      <c r="C456" t="b">
        <f>_xlfn.XLOOKUP(A456,CONTROL[VEHIDCODE],CONTROL[IS_WAGON_OR_COACH])</f>
        <v>0</v>
      </c>
      <c r="D456">
        <f>FLOOR(_xlfn.XLOOKUP($A456,PROPERTIES[VEHIDCODE],PROPERTIES[INTRODUCTION_YEAR]),20)</f>
        <v>1940</v>
      </c>
      <c r="E456" t="e">
        <f>_xlfn.XLOOKUP($A456,PROPERTIES[VEHIDCODE],#REF!)</f>
        <v>#REF!</v>
      </c>
      <c r="F456" s="25" t="str" cm="1">
        <f t="array" ref="F456">_xlfn.CONCAT(_xlfn.XLOOKUP($A456,PROPERTIES[VEHIDCODE],PROPERTIES[REGION1]),"_",_xlfn.XLOOKUP($A456,PROPERTIES[VEHIDCODE],PROPERTIES[REGION2]),"_",_xlfn.XLOOKUP($A456,PROPERTIES[VEHIDCODE],PROPERTIES[REGION3]&amp;"_"&amp;_xlfn.XLOOKUP($A456,PROPERTIES[VEHIDCODE],PROPERTIES[REGION4])))</f>
        <v>WESTERN_EUROPE_NO_REGION_NO_REGION_NO_REGION</v>
      </c>
      <c r="G456" t="b">
        <f t="shared" si="63"/>
        <v>0</v>
      </c>
      <c r="H456" t="b">
        <f t="shared" si="70"/>
        <v>0</v>
      </c>
      <c r="I456" t="b">
        <f t="shared" si="64"/>
        <v>0</v>
      </c>
      <c r="J456" t="b">
        <f t="shared" si="71"/>
        <v>0</v>
      </c>
      <c r="K456" t="b">
        <f t="shared" si="65"/>
        <v>1</v>
      </c>
      <c r="L456" t="b">
        <f t="shared" si="66"/>
        <v>0</v>
      </c>
      <c r="M456" t="b">
        <f t="shared" si="67"/>
        <v>0</v>
      </c>
      <c r="N456" t="b">
        <f t="shared" si="68"/>
        <v>0</v>
      </c>
      <c r="O456" t="b">
        <f t="shared" si="69"/>
        <v>0</v>
      </c>
    </row>
    <row r="457" spans="1:15" x14ac:dyDescent="0.35">
      <c r="A457" t="str">
        <v>dmu_South_Australian_Railways_400_Redhen</v>
      </c>
      <c r="B457" t="b" cm="1">
        <f t="array" ref="B457">_xlfn.XLOOKUP(A457,CONTROL[VEHIDCODE],PROPERTIES[EXCLUDE])</f>
        <v>0</v>
      </c>
      <c r="C457" t="b">
        <f>_xlfn.XLOOKUP(A457,CONTROL[VEHIDCODE],CONTROL[IS_WAGON_OR_COACH])</f>
        <v>0</v>
      </c>
      <c r="D457">
        <f>FLOOR(_xlfn.XLOOKUP($A457,PROPERTIES[VEHIDCODE],PROPERTIES[INTRODUCTION_YEAR]),20)</f>
        <v>1940</v>
      </c>
      <c r="E457" t="e">
        <f>_xlfn.XLOOKUP($A457,PROPERTIES[VEHIDCODE],#REF!)</f>
        <v>#REF!</v>
      </c>
      <c r="F457" s="25" t="str" cm="1">
        <f t="array" ref="F457">_xlfn.CONCAT(_xlfn.XLOOKUP($A457,PROPERTIES[VEHIDCODE],PROPERTIES[REGION1]),"_",_xlfn.XLOOKUP($A457,PROPERTIES[VEHIDCODE],PROPERTIES[REGION2]),"_",_xlfn.XLOOKUP($A457,PROPERTIES[VEHIDCODE],PROPERTIES[REGION3]&amp;"_"&amp;_xlfn.XLOOKUP($A457,PROPERTIES[VEHIDCODE],PROPERTIES[REGION4])))</f>
        <v>OCEANIA_NO_REGION_NO_REGION_NO_REGION</v>
      </c>
      <c r="G457" t="b">
        <f t="shared" si="63"/>
        <v>0</v>
      </c>
      <c r="H457" t="b">
        <f t="shared" si="70"/>
        <v>0</v>
      </c>
      <c r="I457" t="b">
        <f t="shared" si="64"/>
        <v>0</v>
      </c>
      <c r="J457" t="b">
        <f t="shared" si="71"/>
        <v>0</v>
      </c>
      <c r="K457" t="b">
        <f t="shared" si="65"/>
        <v>0</v>
      </c>
      <c r="L457" t="b">
        <f t="shared" si="66"/>
        <v>0</v>
      </c>
      <c r="M457" t="b">
        <f t="shared" si="67"/>
        <v>0</v>
      </c>
      <c r="N457" t="b">
        <f t="shared" si="68"/>
        <v>0</v>
      </c>
      <c r="O457" t="b">
        <f t="shared" si="69"/>
        <v>1</v>
      </c>
    </row>
    <row r="458" spans="1:15" x14ac:dyDescent="0.35">
      <c r="A458" t="str">
        <v>dmu_MAN_LHB_VT11_5___DB_601_TEE</v>
      </c>
      <c r="B458" t="b" cm="1">
        <f t="array" ref="B458">_xlfn.XLOOKUP(A458,CONTROL[VEHIDCODE],PROPERTIES[EXCLUDE])</f>
        <v>0</v>
      </c>
      <c r="C458" t="b">
        <f>_xlfn.XLOOKUP(A458,CONTROL[VEHIDCODE],CONTROL[IS_WAGON_OR_COACH])</f>
        <v>0</v>
      </c>
      <c r="D458">
        <f>FLOOR(_xlfn.XLOOKUP($A458,PROPERTIES[VEHIDCODE],PROPERTIES[INTRODUCTION_YEAR]),20)</f>
        <v>1940</v>
      </c>
      <c r="E458" t="e">
        <f>_xlfn.XLOOKUP($A458,PROPERTIES[VEHIDCODE],#REF!)</f>
        <v>#REF!</v>
      </c>
      <c r="F458" s="25" t="str" cm="1">
        <f t="array" ref="F458">_xlfn.CONCAT(_xlfn.XLOOKUP($A458,PROPERTIES[VEHIDCODE],PROPERTIES[REGION1]),"_",_xlfn.XLOOKUP($A458,PROPERTIES[VEHIDCODE],PROPERTIES[REGION2]),"_",_xlfn.XLOOKUP($A458,PROPERTIES[VEHIDCODE],PROPERTIES[REGION3]&amp;"_"&amp;_xlfn.XLOOKUP($A458,PROPERTIES[VEHIDCODE],PROPERTIES[REGION4])))</f>
        <v>WESTERN_EUROPE_NO_REGION_NO_REGION_NO_REGION</v>
      </c>
      <c r="G458" t="b">
        <f t="shared" si="63"/>
        <v>0</v>
      </c>
      <c r="H458" t="b">
        <f t="shared" si="70"/>
        <v>0</v>
      </c>
      <c r="I458" t="b">
        <f t="shared" si="64"/>
        <v>0</v>
      </c>
      <c r="J458" t="b">
        <f t="shared" si="71"/>
        <v>0</v>
      </c>
      <c r="K458" t="b">
        <f t="shared" si="65"/>
        <v>1</v>
      </c>
      <c r="L458" t="b">
        <f t="shared" si="66"/>
        <v>0</v>
      </c>
      <c r="M458" t="b">
        <f t="shared" si="67"/>
        <v>0</v>
      </c>
      <c r="N458" t="b">
        <f t="shared" si="68"/>
        <v>0</v>
      </c>
      <c r="O458" t="b">
        <f t="shared" si="69"/>
        <v>0</v>
      </c>
    </row>
    <row r="459" spans="1:15" x14ac:dyDescent="0.35">
      <c r="A459" t="str">
        <v>dmu_Werkspoor_Plan_U_DE_III</v>
      </c>
      <c r="B459" t="b" cm="1">
        <f t="array" ref="B459">_xlfn.XLOOKUP(A459,CONTROL[VEHIDCODE],PROPERTIES[EXCLUDE])</f>
        <v>0</v>
      </c>
      <c r="C459" t="b">
        <f>_xlfn.XLOOKUP(A459,CONTROL[VEHIDCODE],CONTROL[IS_WAGON_OR_COACH])</f>
        <v>0</v>
      </c>
      <c r="D459">
        <f>FLOOR(_xlfn.XLOOKUP($A459,PROPERTIES[VEHIDCODE],PROPERTIES[INTRODUCTION_YEAR]),20)</f>
        <v>1960</v>
      </c>
      <c r="E459" t="e">
        <f>_xlfn.XLOOKUP($A459,PROPERTIES[VEHIDCODE],#REF!)</f>
        <v>#REF!</v>
      </c>
      <c r="F459" s="25" t="str" cm="1">
        <f t="array" ref="F459">_xlfn.CONCAT(_xlfn.XLOOKUP($A459,PROPERTIES[VEHIDCODE],PROPERTIES[REGION1]),"_",_xlfn.XLOOKUP($A459,PROPERTIES[VEHIDCODE],PROPERTIES[REGION2]),"_",_xlfn.XLOOKUP($A459,PROPERTIES[VEHIDCODE],PROPERTIES[REGION3]&amp;"_"&amp;_xlfn.XLOOKUP($A459,PROPERTIES[VEHIDCODE],PROPERTIES[REGION4])))</f>
        <v>WESTERN_EUROPE_NO_REGION_NO_REGION_NO_REGION</v>
      </c>
      <c r="G459" t="b">
        <f t="shared" si="63"/>
        <v>0</v>
      </c>
      <c r="H459" t="b">
        <f t="shared" si="70"/>
        <v>0</v>
      </c>
      <c r="I459" t="b">
        <f t="shared" si="64"/>
        <v>0</v>
      </c>
      <c r="J459" t="b">
        <f t="shared" si="71"/>
        <v>0</v>
      </c>
      <c r="K459" t="b">
        <f t="shared" si="65"/>
        <v>1</v>
      </c>
      <c r="L459" t="b">
        <f t="shared" si="66"/>
        <v>0</v>
      </c>
      <c r="M459" t="b">
        <f t="shared" si="67"/>
        <v>0</v>
      </c>
      <c r="N459" t="b">
        <f t="shared" si="68"/>
        <v>0</v>
      </c>
      <c r="O459" t="b">
        <f t="shared" si="69"/>
        <v>0</v>
      </c>
    </row>
    <row r="460" spans="1:15" x14ac:dyDescent="0.35">
      <c r="A460" t="str">
        <v>dmu_UAC_Turbo_Train</v>
      </c>
      <c r="B460" t="b" cm="1">
        <f t="array" ref="B460">_xlfn.XLOOKUP(A460,CONTROL[VEHIDCODE],PROPERTIES[EXCLUDE])</f>
        <v>0</v>
      </c>
      <c r="C460" t="b">
        <f>_xlfn.XLOOKUP(A460,CONTROL[VEHIDCODE],CONTROL[IS_WAGON_OR_COACH])</f>
        <v>0</v>
      </c>
      <c r="D460">
        <f>FLOOR(_xlfn.XLOOKUP($A460,PROPERTIES[VEHIDCODE],PROPERTIES[INTRODUCTION_YEAR]),20)</f>
        <v>1960</v>
      </c>
      <c r="E460" t="e">
        <f>_xlfn.XLOOKUP($A460,PROPERTIES[VEHIDCODE],#REF!)</f>
        <v>#REF!</v>
      </c>
      <c r="F460" s="25" t="str" cm="1">
        <f t="array" ref="F460">_xlfn.CONCAT(_xlfn.XLOOKUP($A460,PROPERTIES[VEHIDCODE],PROPERTIES[REGION1]),"_",_xlfn.XLOOKUP($A460,PROPERTIES[VEHIDCODE],PROPERTIES[REGION2]),"_",_xlfn.XLOOKUP($A460,PROPERTIES[VEHIDCODE],PROPERTIES[REGION3]&amp;"_"&amp;_xlfn.XLOOKUP($A460,PROPERTIES[VEHIDCODE],PROPERTIES[REGION4])))</f>
        <v>NORTH_AMERICA_NO_REGION_NO_REGION_NO_REGION</v>
      </c>
      <c r="G460" t="b">
        <f t="shared" si="63"/>
        <v>0</v>
      </c>
      <c r="H460" t="b">
        <f t="shared" si="70"/>
        <v>0</v>
      </c>
      <c r="I460" t="b">
        <f t="shared" si="64"/>
        <v>0</v>
      </c>
      <c r="J460" t="b">
        <f t="shared" si="71"/>
        <v>0</v>
      </c>
      <c r="K460" t="b">
        <f t="shared" si="65"/>
        <v>0</v>
      </c>
      <c r="L460" t="b">
        <f t="shared" si="66"/>
        <v>0</v>
      </c>
      <c r="M460" t="b">
        <f t="shared" si="67"/>
        <v>1</v>
      </c>
      <c r="N460" t="b">
        <f t="shared" si="68"/>
        <v>0</v>
      </c>
      <c r="O460" t="b">
        <f t="shared" si="69"/>
        <v>0</v>
      </c>
    </row>
    <row r="461" spans="1:15" x14ac:dyDescent="0.35">
      <c r="A461" t="str">
        <v>dmu_JZ_811</v>
      </c>
      <c r="B461" t="b" cm="1">
        <f t="array" ref="B461">_xlfn.XLOOKUP(A461,CONTROL[VEHIDCODE],PROPERTIES[EXCLUDE])</f>
        <v>0</v>
      </c>
      <c r="C461" t="b">
        <f>_xlfn.XLOOKUP(A461,CONTROL[VEHIDCODE],CONTROL[IS_WAGON_OR_COACH])</f>
        <v>0</v>
      </c>
      <c r="D461">
        <f>FLOOR(_xlfn.XLOOKUP($A461,PROPERTIES[VEHIDCODE],PROPERTIES[INTRODUCTION_YEAR]),20)</f>
        <v>1960</v>
      </c>
      <c r="E461" t="e">
        <f>_xlfn.XLOOKUP($A461,PROPERTIES[VEHIDCODE],#REF!)</f>
        <v>#REF!</v>
      </c>
      <c r="F461" s="25" t="str" cm="1">
        <f t="array" ref="F461">_xlfn.CONCAT(_xlfn.XLOOKUP($A461,PROPERTIES[VEHIDCODE],PROPERTIES[REGION1]),"_",_xlfn.XLOOKUP($A461,PROPERTIES[VEHIDCODE],PROPERTIES[REGION2]),"_",_xlfn.XLOOKUP($A461,PROPERTIES[VEHIDCODE],PROPERTIES[REGION3]&amp;"_"&amp;_xlfn.XLOOKUP($A461,PROPERTIES[VEHIDCODE],PROPERTIES[REGION4])))</f>
        <v>EASTERN_EUROPE_NO_REGION_NO_REGION_NO_REGION</v>
      </c>
      <c r="G461" t="b">
        <f t="shared" si="63"/>
        <v>0</v>
      </c>
      <c r="H461" t="b">
        <f t="shared" si="70"/>
        <v>0</v>
      </c>
      <c r="I461" t="b">
        <f t="shared" si="64"/>
        <v>0</v>
      </c>
      <c r="J461" t="b">
        <f t="shared" si="71"/>
        <v>1</v>
      </c>
      <c r="K461" t="b">
        <f t="shared" si="65"/>
        <v>0</v>
      </c>
      <c r="L461" t="b">
        <f t="shared" si="66"/>
        <v>0</v>
      </c>
      <c r="M461" t="b">
        <f t="shared" si="67"/>
        <v>0</v>
      </c>
      <c r="N461" t="b">
        <f t="shared" si="68"/>
        <v>0</v>
      </c>
      <c r="O461" t="b">
        <f t="shared" si="69"/>
        <v>0</v>
      </c>
    </row>
    <row r="462" spans="1:15" x14ac:dyDescent="0.35">
      <c r="A462" t="str">
        <v>dmu_BREL_43_IC125</v>
      </c>
      <c r="B462" t="b" cm="1">
        <f t="array" ref="B462">_xlfn.XLOOKUP(A462,CONTROL[VEHIDCODE],PROPERTIES[EXCLUDE])</f>
        <v>0</v>
      </c>
      <c r="C462" t="b">
        <f>_xlfn.XLOOKUP(A462,CONTROL[VEHIDCODE],CONTROL[IS_WAGON_OR_COACH])</f>
        <v>0</v>
      </c>
      <c r="D462">
        <f>FLOOR(_xlfn.XLOOKUP($A462,PROPERTIES[VEHIDCODE],PROPERTIES[INTRODUCTION_YEAR]),20)</f>
        <v>1960</v>
      </c>
      <c r="E462" t="e">
        <f>_xlfn.XLOOKUP($A462,PROPERTIES[VEHIDCODE],#REF!)</f>
        <v>#REF!</v>
      </c>
      <c r="F462" s="25" t="str" cm="1">
        <f t="array" ref="F462">_xlfn.CONCAT(_xlfn.XLOOKUP($A462,PROPERTIES[VEHIDCODE],PROPERTIES[REGION1]),"_",_xlfn.XLOOKUP($A462,PROPERTIES[VEHIDCODE],PROPERTIES[REGION2]),"_",_xlfn.XLOOKUP($A462,PROPERTIES[VEHIDCODE],PROPERTIES[REGION3]&amp;"_"&amp;_xlfn.XLOOKUP($A462,PROPERTIES[VEHIDCODE],PROPERTIES[REGION4])))</f>
        <v>NORTHERN_EUROPE_NO_REGION_NO_REGION_NO_REGION</v>
      </c>
      <c r="G462" t="b">
        <f t="shared" si="63"/>
        <v>0</v>
      </c>
      <c r="H462" t="b">
        <f t="shared" si="70"/>
        <v>0</v>
      </c>
      <c r="I462" t="b">
        <f t="shared" si="64"/>
        <v>0</v>
      </c>
      <c r="J462" t="b">
        <f t="shared" si="71"/>
        <v>0</v>
      </c>
      <c r="K462" t="b">
        <f t="shared" si="65"/>
        <v>0</v>
      </c>
      <c r="L462" t="b">
        <f t="shared" si="66"/>
        <v>1</v>
      </c>
      <c r="M462" t="b">
        <f t="shared" si="67"/>
        <v>0</v>
      </c>
      <c r="N462" t="b">
        <f t="shared" si="68"/>
        <v>0</v>
      </c>
      <c r="O462" t="b">
        <f t="shared" si="69"/>
        <v>0</v>
      </c>
    </row>
    <row r="463" spans="1:15" x14ac:dyDescent="0.35">
      <c r="A463" t="str">
        <v>dmu_Bombardier_M6109</v>
      </c>
      <c r="B463" t="b" cm="1">
        <f t="array" ref="B463">_xlfn.XLOOKUP(A463,CONTROL[VEHIDCODE],PROPERTIES[EXCLUDE])</f>
        <v>0</v>
      </c>
      <c r="C463" t="b">
        <f>_xlfn.XLOOKUP(A463,CONTROL[VEHIDCODE],CONTROL[IS_WAGON_OR_COACH])</f>
        <v>0</v>
      </c>
      <c r="D463">
        <f>FLOOR(_xlfn.XLOOKUP($A463,PROPERTIES[VEHIDCODE],PROPERTIES[INTRODUCTION_YEAR]),20)</f>
        <v>1980</v>
      </c>
      <c r="E463" t="e">
        <f>_xlfn.XLOOKUP($A463,PROPERTIES[VEHIDCODE],#REF!)</f>
        <v>#REF!</v>
      </c>
      <c r="F463" s="25" t="str" cm="1">
        <f t="array" ref="F463">_xlfn.CONCAT(_xlfn.XLOOKUP($A463,PROPERTIES[VEHIDCODE],PROPERTIES[REGION1]),"_",_xlfn.XLOOKUP($A463,PROPERTIES[VEHIDCODE],PROPERTIES[REGION2]),"_",_xlfn.XLOOKUP($A463,PROPERTIES[VEHIDCODE],PROPERTIES[REGION3]&amp;"_"&amp;_xlfn.XLOOKUP($A463,PROPERTIES[VEHIDCODE],PROPERTIES[REGION4])))</f>
        <v>NORTH_AMERICA_NO_REGION_NO_REGION_NO_REGION</v>
      </c>
      <c r="G463" t="b">
        <f t="shared" si="63"/>
        <v>0</v>
      </c>
      <c r="H463" t="b">
        <f t="shared" si="70"/>
        <v>0</v>
      </c>
      <c r="I463" t="b">
        <f t="shared" si="64"/>
        <v>0</v>
      </c>
      <c r="J463" t="b">
        <f t="shared" si="71"/>
        <v>0</v>
      </c>
      <c r="K463" t="b">
        <f t="shared" si="65"/>
        <v>0</v>
      </c>
      <c r="L463" t="b">
        <f t="shared" si="66"/>
        <v>0</v>
      </c>
      <c r="M463" t="b">
        <f t="shared" si="67"/>
        <v>1</v>
      </c>
      <c r="N463" t="b">
        <f t="shared" si="68"/>
        <v>0</v>
      </c>
      <c r="O463" t="b">
        <f t="shared" si="69"/>
        <v>0</v>
      </c>
    </row>
    <row r="464" spans="1:15" x14ac:dyDescent="0.35">
      <c r="A464" t="str">
        <v>dmu_ABB_IC3_Y2</v>
      </c>
      <c r="B464" t="b" cm="1">
        <f t="array" ref="B464">_xlfn.XLOOKUP(A464,CONTROL[VEHIDCODE],PROPERTIES[EXCLUDE])</f>
        <v>0</v>
      </c>
      <c r="C464" t="b">
        <f>_xlfn.XLOOKUP(A464,CONTROL[VEHIDCODE],CONTROL[IS_WAGON_OR_COACH])</f>
        <v>0</v>
      </c>
      <c r="D464">
        <f>FLOOR(_xlfn.XLOOKUP($A464,PROPERTIES[VEHIDCODE],PROPERTIES[INTRODUCTION_YEAR]),20)</f>
        <v>1980</v>
      </c>
      <c r="E464" t="e">
        <f>_xlfn.XLOOKUP($A464,PROPERTIES[VEHIDCODE],#REF!)</f>
        <v>#REF!</v>
      </c>
      <c r="F464" s="25" t="str" cm="1">
        <f t="array" ref="F464">_xlfn.CONCAT(_xlfn.XLOOKUP($A464,PROPERTIES[VEHIDCODE],PROPERTIES[REGION1]),"_",_xlfn.XLOOKUP($A464,PROPERTIES[VEHIDCODE],PROPERTIES[REGION2]),"_",_xlfn.XLOOKUP($A464,PROPERTIES[VEHIDCODE],PROPERTIES[REGION3]&amp;"_"&amp;_xlfn.XLOOKUP($A464,PROPERTIES[VEHIDCODE],PROPERTIES[REGION4])))</f>
        <v>ALL_EUROPE_AFRICA_NO_REGION_NO_REGION</v>
      </c>
      <c r="G464" t="b">
        <f t="shared" si="63"/>
        <v>1</v>
      </c>
      <c r="H464" t="b">
        <f t="shared" si="70"/>
        <v>0</v>
      </c>
      <c r="I464" t="b">
        <f t="shared" si="64"/>
        <v>1</v>
      </c>
      <c r="J464" t="b">
        <f t="shared" si="71"/>
        <v>1</v>
      </c>
      <c r="K464" t="b">
        <f t="shared" si="65"/>
        <v>1</v>
      </c>
      <c r="L464" t="b">
        <f t="shared" si="66"/>
        <v>1</v>
      </c>
      <c r="M464" t="b">
        <f t="shared" si="67"/>
        <v>0</v>
      </c>
      <c r="N464" t="b">
        <f t="shared" si="68"/>
        <v>0</v>
      </c>
      <c r="O464" t="b">
        <f t="shared" si="69"/>
        <v>0</v>
      </c>
    </row>
    <row r="465" spans="1:15" x14ac:dyDescent="0.35">
      <c r="A465" t="str">
        <v>dmu_CAF_594_TRD</v>
      </c>
      <c r="B465" t="b" cm="1">
        <f t="array" ref="B465">_xlfn.XLOOKUP(A465,CONTROL[VEHIDCODE],PROPERTIES[EXCLUDE])</f>
        <v>0</v>
      </c>
      <c r="C465" t="b">
        <f>_xlfn.XLOOKUP(A465,CONTROL[VEHIDCODE],CONTROL[IS_WAGON_OR_COACH])</f>
        <v>0</v>
      </c>
      <c r="D465">
        <f>FLOOR(_xlfn.XLOOKUP($A465,PROPERTIES[VEHIDCODE],PROPERTIES[INTRODUCTION_YEAR]),20)</f>
        <v>1980</v>
      </c>
      <c r="E465" t="e">
        <f>_xlfn.XLOOKUP($A465,PROPERTIES[VEHIDCODE],#REF!)</f>
        <v>#REF!</v>
      </c>
      <c r="F465" s="25" t="str" cm="1">
        <f t="array" ref="F465">_xlfn.CONCAT(_xlfn.XLOOKUP($A465,PROPERTIES[VEHIDCODE],PROPERTIES[REGION1]),"_",_xlfn.XLOOKUP($A465,PROPERTIES[VEHIDCODE],PROPERTIES[REGION2]),"_",_xlfn.XLOOKUP($A465,PROPERTIES[VEHIDCODE],PROPERTIES[REGION3]&amp;"_"&amp;_xlfn.XLOOKUP($A465,PROPERTIES[VEHIDCODE],PROPERTIES[REGION4])))</f>
        <v>ALL_EUROPE_AFRICA_NO_REGION_NO_REGION</v>
      </c>
      <c r="G465" t="b">
        <f t="shared" si="63"/>
        <v>1</v>
      </c>
      <c r="H465" t="b">
        <f t="shared" si="70"/>
        <v>0</v>
      </c>
      <c r="I465" t="b">
        <f t="shared" si="64"/>
        <v>1</v>
      </c>
      <c r="J465" t="b">
        <f t="shared" si="71"/>
        <v>1</v>
      </c>
      <c r="K465" t="b">
        <f t="shared" si="65"/>
        <v>1</v>
      </c>
      <c r="L465" t="b">
        <f t="shared" si="66"/>
        <v>1</v>
      </c>
      <c r="M465" t="b">
        <f t="shared" si="67"/>
        <v>0</v>
      </c>
      <c r="N465" t="b">
        <f t="shared" si="68"/>
        <v>0</v>
      </c>
      <c r="O465" t="b">
        <f t="shared" si="69"/>
        <v>0</v>
      </c>
    </row>
    <row r="466" spans="1:15" x14ac:dyDescent="0.35">
      <c r="A466" t="str">
        <v>dmu_Adtranz_Class_168_Clubman</v>
      </c>
      <c r="B466" t="b" cm="1">
        <f t="array" ref="B466">_xlfn.XLOOKUP(A466,CONTROL[VEHIDCODE],PROPERTIES[EXCLUDE])</f>
        <v>0</v>
      </c>
      <c r="C466" t="b">
        <f>_xlfn.XLOOKUP(A466,CONTROL[VEHIDCODE],CONTROL[IS_WAGON_OR_COACH])</f>
        <v>0</v>
      </c>
      <c r="D466">
        <f>FLOOR(_xlfn.XLOOKUP($A466,PROPERTIES[VEHIDCODE],PROPERTIES[INTRODUCTION_YEAR]),20)</f>
        <v>1980</v>
      </c>
      <c r="E466" t="e">
        <f>_xlfn.XLOOKUP($A466,PROPERTIES[VEHIDCODE],#REF!)</f>
        <v>#REF!</v>
      </c>
      <c r="F466" s="25" t="str" cm="1">
        <f t="array" ref="F466">_xlfn.CONCAT(_xlfn.XLOOKUP($A466,PROPERTIES[VEHIDCODE],PROPERTIES[REGION1]),"_",_xlfn.XLOOKUP($A466,PROPERTIES[VEHIDCODE],PROPERTIES[REGION2]),"_",_xlfn.XLOOKUP($A466,PROPERTIES[VEHIDCODE],PROPERTIES[REGION3]&amp;"_"&amp;_xlfn.XLOOKUP($A466,PROPERTIES[VEHIDCODE],PROPERTIES[REGION4])))</f>
        <v>NORTHERN_EUROPE_NO_REGION_NO_REGION_NO_REGION</v>
      </c>
      <c r="G466" t="b">
        <f t="shared" si="63"/>
        <v>0</v>
      </c>
      <c r="H466" t="b">
        <f t="shared" si="70"/>
        <v>0</v>
      </c>
      <c r="I466" t="b">
        <f t="shared" si="64"/>
        <v>0</v>
      </c>
      <c r="J466" t="b">
        <f t="shared" si="71"/>
        <v>0</v>
      </c>
      <c r="K466" t="b">
        <f t="shared" si="65"/>
        <v>0</v>
      </c>
      <c r="L466" t="b">
        <f t="shared" si="66"/>
        <v>1</v>
      </c>
      <c r="M466" t="b">
        <f t="shared" si="67"/>
        <v>0</v>
      </c>
      <c r="N466" t="b">
        <f t="shared" si="68"/>
        <v>0</v>
      </c>
      <c r="O466" t="b">
        <f t="shared" si="69"/>
        <v>0</v>
      </c>
    </row>
    <row r="467" spans="1:15" x14ac:dyDescent="0.35">
      <c r="A467" t="str">
        <v>dmu_Adtranz_Class_612_Regio_Swinger</v>
      </c>
      <c r="B467" t="b" cm="1">
        <f t="array" ref="B467">_xlfn.XLOOKUP(A467,CONTROL[VEHIDCODE],PROPERTIES[EXCLUDE])</f>
        <v>0</v>
      </c>
      <c r="C467" t="b">
        <f>_xlfn.XLOOKUP(A467,CONTROL[VEHIDCODE],CONTROL[IS_WAGON_OR_COACH])</f>
        <v>0</v>
      </c>
      <c r="D467">
        <f>FLOOR(_xlfn.XLOOKUP($A467,PROPERTIES[VEHIDCODE],PROPERTIES[INTRODUCTION_YEAR]),20)</f>
        <v>1980</v>
      </c>
      <c r="E467" t="e">
        <f>_xlfn.XLOOKUP($A467,PROPERTIES[VEHIDCODE],#REF!)</f>
        <v>#REF!</v>
      </c>
      <c r="F467" s="25" t="str" cm="1">
        <f t="array" ref="F467">_xlfn.CONCAT(_xlfn.XLOOKUP($A467,PROPERTIES[VEHIDCODE],PROPERTIES[REGION1]),"_",_xlfn.XLOOKUP($A467,PROPERTIES[VEHIDCODE],PROPERTIES[REGION2]),"_",_xlfn.XLOOKUP($A467,PROPERTIES[VEHIDCODE],PROPERTIES[REGION3]&amp;"_"&amp;_xlfn.XLOOKUP($A467,PROPERTIES[VEHIDCODE],PROPERTIES[REGION4])))</f>
        <v>WESTERN_EUROPE_EASTERN_EUROPE_NO_REGION_NO_REGION</v>
      </c>
      <c r="G467" t="b">
        <f t="shared" si="63"/>
        <v>0</v>
      </c>
      <c r="H467" t="b">
        <f t="shared" si="70"/>
        <v>0</v>
      </c>
      <c r="I467" t="b">
        <f t="shared" si="64"/>
        <v>0</v>
      </c>
      <c r="J467" t="b">
        <f t="shared" si="71"/>
        <v>1</v>
      </c>
      <c r="K467" t="b">
        <f t="shared" si="65"/>
        <v>1</v>
      </c>
      <c r="L467" t="b">
        <f t="shared" si="66"/>
        <v>0</v>
      </c>
      <c r="M467" t="b">
        <f t="shared" si="67"/>
        <v>0</v>
      </c>
      <c r="N467" t="b">
        <f t="shared" si="68"/>
        <v>0</v>
      </c>
      <c r="O467" t="b">
        <f t="shared" si="69"/>
        <v>0</v>
      </c>
    </row>
    <row r="468" spans="1:15" x14ac:dyDescent="0.35">
      <c r="A468" t="str">
        <v>dmu_Siemens_Desiro</v>
      </c>
      <c r="B468" t="b" cm="1">
        <f t="array" ref="B468">_xlfn.XLOOKUP(A468,CONTROL[VEHIDCODE],PROPERTIES[EXCLUDE])</f>
        <v>0</v>
      </c>
      <c r="C468" t="b">
        <f>_xlfn.XLOOKUP(A468,CONTROL[VEHIDCODE],CONTROL[IS_WAGON_OR_COACH])</f>
        <v>0</v>
      </c>
      <c r="D468">
        <f>FLOOR(_xlfn.XLOOKUP($A468,PROPERTIES[VEHIDCODE],PROPERTIES[INTRODUCTION_YEAR]),20)</f>
        <v>2000</v>
      </c>
      <c r="E468" t="e">
        <f>_xlfn.XLOOKUP($A468,PROPERTIES[VEHIDCODE],#REF!)</f>
        <v>#REF!</v>
      </c>
      <c r="F468" s="25" t="str" cm="1">
        <f t="array" ref="F468">_xlfn.CONCAT(_xlfn.XLOOKUP($A468,PROPERTIES[VEHIDCODE],PROPERTIES[REGION1]),"_",_xlfn.XLOOKUP($A468,PROPERTIES[VEHIDCODE],PROPERTIES[REGION2]),"_",_xlfn.XLOOKUP($A468,PROPERTIES[VEHIDCODE],PROPERTIES[REGION3]&amp;"_"&amp;_xlfn.XLOOKUP($A468,PROPERTIES[VEHIDCODE],PROPERTIES[REGION4])))</f>
        <v>ALL_EUROPE_NORTH_AMERICA_NO_REGION_NO_REGION</v>
      </c>
      <c r="G468" t="b">
        <f t="shared" si="63"/>
        <v>0</v>
      </c>
      <c r="H468" t="b">
        <f t="shared" si="70"/>
        <v>0</v>
      </c>
      <c r="I468" t="b">
        <f t="shared" si="64"/>
        <v>1</v>
      </c>
      <c r="J468" t="b">
        <f t="shared" si="71"/>
        <v>1</v>
      </c>
      <c r="K468" t="b">
        <f t="shared" si="65"/>
        <v>1</v>
      </c>
      <c r="L468" t="b">
        <f t="shared" si="66"/>
        <v>1</v>
      </c>
      <c r="M468" t="b">
        <f t="shared" si="67"/>
        <v>1</v>
      </c>
      <c r="N468" t="b">
        <f t="shared" si="68"/>
        <v>0</v>
      </c>
      <c r="O468" t="b">
        <f t="shared" si="69"/>
        <v>0</v>
      </c>
    </row>
    <row r="469" spans="1:15" x14ac:dyDescent="0.35">
      <c r="A469" t="str">
        <v>dmu_Alstom_Coradia_LINT</v>
      </c>
      <c r="B469" t="b" cm="1">
        <f t="array" ref="B469">_xlfn.XLOOKUP(A469,CONTROL[VEHIDCODE],PROPERTIES[EXCLUDE])</f>
        <v>0</v>
      </c>
      <c r="C469" t="b">
        <f>_xlfn.XLOOKUP(A469,CONTROL[VEHIDCODE],CONTROL[IS_WAGON_OR_COACH])</f>
        <v>0</v>
      </c>
      <c r="D469">
        <f>FLOOR(_xlfn.XLOOKUP($A469,PROPERTIES[VEHIDCODE],PROPERTIES[INTRODUCTION_YEAR]),20)</f>
        <v>2000</v>
      </c>
      <c r="E469" t="e">
        <f>_xlfn.XLOOKUP($A469,PROPERTIES[VEHIDCODE],#REF!)</f>
        <v>#REF!</v>
      </c>
      <c r="F469" s="25" t="str" cm="1">
        <f t="array" ref="F469">_xlfn.CONCAT(_xlfn.XLOOKUP($A469,PROPERTIES[VEHIDCODE],PROPERTIES[REGION1]),"_",_xlfn.XLOOKUP($A469,PROPERTIES[VEHIDCODE],PROPERTIES[REGION2]),"_",_xlfn.XLOOKUP($A469,PROPERTIES[VEHIDCODE],PROPERTIES[REGION3]&amp;"_"&amp;_xlfn.XLOOKUP($A469,PROPERTIES[VEHIDCODE],PROPERTIES[REGION4])))</f>
        <v>NORTHERN_EUROPE_NO_REGION_NO_REGION_NO_REGION</v>
      </c>
      <c r="G469" t="b">
        <f t="shared" si="63"/>
        <v>0</v>
      </c>
      <c r="H469" t="b">
        <f t="shared" si="70"/>
        <v>0</v>
      </c>
      <c r="I469" t="b">
        <f t="shared" si="64"/>
        <v>0</v>
      </c>
      <c r="J469" t="b">
        <f t="shared" si="71"/>
        <v>0</v>
      </c>
      <c r="K469" t="b">
        <f t="shared" si="65"/>
        <v>0</v>
      </c>
      <c r="L469" t="b">
        <f t="shared" si="66"/>
        <v>1</v>
      </c>
      <c r="M469" t="b">
        <f t="shared" si="67"/>
        <v>0</v>
      </c>
      <c r="N469" t="b">
        <f t="shared" si="68"/>
        <v>0</v>
      </c>
      <c r="O469" t="b">
        <f t="shared" si="69"/>
        <v>0</v>
      </c>
    </row>
    <row r="470" spans="1:15" x14ac:dyDescent="0.35">
      <c r="A470" t="str">
        <v>dmu_Bombardier_Talent_NSB_BM_93</v>
      </c>
      <c r="B470" t="b" cm="1">
        <f t="array" ref="B470">_xlfn.XLOOKUP(A470,CONTROL[VEHIDCODE],PROPERTIES[EXCLUDE])</f>
        <v>0</v>
      </c>
      <c r="C470" t="b">
        <f>_xlfn.XLOOKUP(A470,CONTROL[VEHIDCODE],CONTROL[IS_WAGON_OR_COACH])</f>
        <v>0</v>
      </c>
      <c r="D470">
        <f>FLOOR(_xlfn.XLOOKUP($A470,PROPERTIES[VEHIDCODE],PROPERTIES[INTRODUCTION_YEAR]),20)</f>
        <v>2000</v>
      </c>
      <c r="E470" t="e">
        <f>_xlfn.XLOOKUP($A470,PROPERTIES[VEHIDCODE],#REF!)</f>
        <v>#REF!</v>
      </c>
      <c r="F470" s="25" t="str" cm="1">
        <f t="array" ref="F470">_xlfn.CONCAT(_xlfn.XLOOKUP($A470,PROPERTIES[VEHIDCODE],PROPERTIES[REGION1]),"_",_xlfn.XLOOKUP($A470,PROPERTIES[VEHIDCODE],PROPERTIES[REGION2]),"_",_xlfn.XLOOKUP($A470,PROPERTIES[VEHIDCODE],PROPERTIES[REGION3]&amp;"_"&amp;_xlfn.XLOOKUP($A470,PROPERTIES[VEHIDCODE],PROPERTIES[REGION4])))</f>
        <v>NORTHERN_EUROPE_NO_REGION_NO_REGION_NO_REGION</v>
      </c>
      <c r="G470" t="b">
        <f t="shared" si="63"/>
        <v>0</v>
      </c>
      <c r="H470" t="b">
        <f t="shared" si="70"/>
        <v>0</v>
      </c>
      <c r="I470" t="b">
        <f t="shared" si="64"/>
        <v>0</v>
      </c>
      <c r="J470" t="b">
        <f t="shared" si="71"/>
        <v>0</v>
      </c>
      <c r="K470" t="b">
        <f t="shared" si="65"/>
        <v>0</v>
      </c>
      <c r="L470" t="b">
        <f t="shared" si="66"/>
        <v>1</v>
      </c>
      <c r="M470" t="b">
        <f t="shared" si="67"/>
        <v>0</v>
      </c>
      <c r="N470" t="b">
        <f t="shared" si="68"/>
        <v>0</v>
      </c>
      <c r="O470" t="b">
        <f t="shared" si="69"/>
        <v>0</v>
      </c>
    </row>
    <row r="471" spans="1:15" x14ac:dyDescent="0.35">
      <c r="A471" t="str">
        <v>dmu_UGL_WD_Prospector</v>
      </c>
      <c r="B471" t="b" cm="1">
        <f t="array" ref="B471">_xlfn.XLOOKUP(A471,CONTROL[VEHIDCODE],PROPERTIES[EXCLUDE])</f>
        <v>0</v>
      </c>
      <c r="C471" t="b">
        <f>_xlfn.XLOOKUP(A471,CONTROL[VEHIDCODE],CONTROL[IS_WAGON_OR_COACH])</f>
        <v>0</v>
      </c>
      <c r="D471">
        <f>FLOOR(_xlfn.XLOOKUP($A471,PROPERTIES[VEHIDCODE],PROPERTIES[INTRODUCTION_YEAR]),20)</f>
        <v>2000</v>
      </c>
      <c r="E471" t="e">
        <f>_xlfn.XLOOKUP($A471,PROPERTIES[VEHIDCODE],#REF!)</f>
        <v>#REF!</v>
      </c>
      <c r="F471" s="25" t="str" cm="1">
        <f t="array" ref="F471">_xlfn.CONCAT(_xlfn.XLOOKUP($A471,PROPERTIES[VEHIDCODE],PROPERTIES[REGION1]),"_",_xlfn.XLOOKUP($A471,PROPERTIES[VEHIDCODE],PROPERTIES[REGION2]),"_",_xlfn.XLOOKUP($A471,PROPERTIES[VEHIDCODE],PROPERTIES[REGION3]&amp;"_"&amp;_xlfn.XLOOKUP($A471,PROPERTIES[VEHIDCODE],PROPERTIES[REGION4])))</f>
        <v>OCEANIA_NO_REGION_NO_REGION_NO_REGION</v>
      </c>
      <c r="G471" t="b">
        <f t="shared" si="63"/>
        <v>0</v>
      </c>
      <c r="H471" t="b">
        <f t="shared" si="70"/>
        <v>0</v>
      </c>
      <c r="I471" t="b">
        <f t="shared" si="64"/>
        <v>0</v>
      </c>
      <c r="J471" t="b">
        <f t="shared" si="71"/>
        <v>0</v>
      </c>
      <c r="K471" t="b">
        <f t="shared" si="65"/>
        <v>0</v>
      </c>
      <c r="L471" t="b">
        <f t="shared" si="66"/>
        <v>0</v>
      </c>
      <c r="M471" t="b">
        <f t="shared" si="67"/>
        <v>0</v>
      </c>
      <c r="N471" t="b">
        <f t="shared" si="68"/>
        <v>0</v>
      </c>
      <c r="O471" t="b">
        <f t="shared" si="69"/>
        <v>1</v>
      </c>
    </row>
    <row r="472" spans="1:15" x14ac:dyDescent="0.35">
      <c r="A472" t="str">
        <v>dmu_UGL_Hunter_Railcar</v>
      </c>
      <c r="B472" t="b" cm="1">
        <f t="array" ref="B472">_xlfn.XLOOKUP(A472,CONTROL[VEHIDCODE],PROPERTIES[EXCLUDE])</f>
        <v>0</v>
      </c>
      <c r="C472" t="b">
        <f>_xlfn.XLOOKUP(A472,CONTROL[VEHIDCODE],CONTROL[IS_WAGON_OR_COACH])</f>
        <v>0</v>
      </c>
      <c r="D472">
        <f>FLOOR(_xlfn.XLOOKUP($A472,PROPERTIES[VEHIDCODE],PROPERTIES[INTRODUCTION_YEAR]),20)</f>
        <v>2000</v>
      </c>
      <c r="E472" t="e">
        <f>_xlfn.XLOOKUP($A472,PROPERTIES[VEHIDCODE],#REF!)</f>
        <v>#REF!</v>
      </c>
      <c r="F472" s="25" t="str" cm="1">
        <f t="array" ref="F472">_xlfn.CONCAT(_xlfn.XLOOKUP($A472,PROPERTIES[VEHIDCODE],PROPERTIES[REGION1]),"_",_xlfn.XLOOKUP($A472,PROPERTIES[VEHIDCODE],PROPERTIES[REGION2]),"_",_xlfn.XLOOKUP($A472,PROPERTIES[VEHIDCODE],PROPERTIES[REGION3]&amp;"_"&amp;_xlfn.XLOOKUP($A472,PROPERTIES[VEHIDCODE],PROPERTIES[REGION4])))</f>
        <v>OCEANIA_NO_REGION_NO_REGION_NO_REGION</v>
      </c>
      <c r="G472" t="b">
        <f t="shared" si="63"/>
        <v>0</v>
      </c>
      <c r="H472" t="b">
        <f t="shared" si="70"/>
        <v>0</v>
      </c>
      <c r="I472" t="b">
        <f t="shared" si="64"/>
        <v>0</v>
      </c>
      <c r="J472" t="b">
        <f t="shared" si="71"/>
        <v>0</v>
      </c>
      <c r="K472" t="b">
        <f t="shared" si="65"/>
        <v>0</v>
      </c>
      <c r="L472" t="b">
        <f t="shared" si="66"/>
        <v>0</v>
      </c>
      <c r="M472" t="b">
        <f t="shared" si="67"/>
        <v>0</v>
      </c>
      <c r="N472" t="b">
        <f t="shared" si="68"/>
        <v>0</v>
      </c>
      <c r="O472" t="b">
        <f t="shared" si="69"/>
        <v>1</v>
      </c>
    </row>
    <row r="473" spans="1:15" x14ac:dyDescent="0.35">
      <c r="A473" t="str">
        <v>dmu_MVM_RA2</v>
      </c>
      <c r="B473" t="b" cm="1">
        <f t="array" ref="B473">_xlfn.XLOOKUP(A473,CONTROL[VEHIDCODE],PROPERTIES[EXCLUDE])</f>
        <v>0</v>
      </c>
      <c r="C473" t="b">
        <f>_xlfn.XLOOKUP(A473,CONTROL[VEHIDCODE],CONTROL[IS_WAGON_OR_COACH])</f>
        <v>0</v>
      </c>
      <c r="D473">
        <f>FLOOR(_xlfn.XLOOKUP($A473,PROPERTIES[VEHIDCODE],PROPERTIES[INTRODUCTION_YEAR]),20)</f>
        <v>2000</v>
      </c>
      <c r="E473" t="e">
        <f>_xlfn.XLOOKUP($A473,PROPERTIES[VEHIDCODE],#REF!)</f>
        <v>#REF!</v>
      </c>
      <c r="F473" s="25" t="str" cm="1">
        <f t="array" ref="F473">_xlfn.CONCAT(_xlfn.XLOOKUP($A473,PROPERTIES[VEHIDCODE],PROPERTIES[REGION1]),"_",_xlfn.XLOOKUP($A473,PROPERTIES[VEHIDCODE],PROPERTIES[REGION2]),"_",_xlfn.XLOOKUP($A473,PROPERTIES[VEHIDCODE],PROPERTIES[REGION3]&amp;"_"&amp;_xlfn.XLOOKUP($A473,PROPERTIES[VEHIDCODE],PROPERTIES[REGION4])))</f>
        <v>COMECON_NO_REGION_NO_REGION_NO_REGION</v>
      </c>
      <c r="G473" t="b">
        <f t="shared" si="63"/>
        <v>0</v>
      </c>
      <c r="H473" t="b">
        <f t="shared" si="70"/>
        <v>1</v>
      </c>
      <c r="I473" t="b">
        <f t="shared" si="64"/>
        <v>0</v>
      </c>
      <c r="J473" t="b">
        <f t="shared" si="71"/>
        <v>1</v>
      </c>
      <c r="K473" t="b">
        <f t="shared" si="65"/>
        <v>0</v>
      </c>
      <c r="L473" t="b">
        <f t="shared" si="66"/>
        <v>0</v>
      </c>
      <c r="M473" t="b">
        <f t="shared" si="67"/>
        <v>0</v>
      </c>
      <c r="N473" t="b">
        <f t="shared" si="68"/>
        <v>0</v>
      </c>
      <c r="O473" t="b">
        <f t="shared" si="69"/>
        <v>0</v>
      </c>
    </row>
    <row r="474" spans="1:15" x14ac:dyDescent="0.35">
      <c r="A474" t="str">
        <v>dmu_AnsaldoBreda_IC4</v>
      </c>
      <c r="B474" t="b" cm="1">
        <f t="array" ref="B474">_xlfn.XLOOKUP(A474,CONTROL[VEHIDCODE],PROPERTIES[EXCLUDE])</f>
        <v>0</v>
      </c>
      <c r="C474" t="b">
        <f>_xlfn.XLOOKUP(A474,CONTROL[VEHIDCODE],CONTROL[IS_WAGON_OR_COACH])</f>
        <v>0</v>
      </c>
      <c r="D474">
        <f>FLOOR(_xlfn.XLOOKUP($A474,PROPERTIES[VEHIDCODE],PROPERTIES[INTRODUCTION_YEAR]),20)</f>
        <v>2000</v>
      </c>
      <c r="E474" t="e">
        <f>_xlfn.XLOOKUP($A474,PROPERTIES[VEHIDCODE],#REF!)</f>
        <v>#REF!</v>
      </c>
      <c r="F474" s="25" t="str" cm="1">
        <f t="array" ref="F474">_xlfn.CONCAT(_xlfn.XLOOKUP($A474,PROPERTIES[VEHIDCODE],PROPERTIES[REGION1]),"_",_xlfn.XLOOKUP($A474,PROPERTIES[VEHIDCODE],PROPERTIES[REGION2]),"_",_xlfn.XLOOKUP($A474,PROPERTIES[VEHIDCODE],PROPERTIES[REGION3]&amp;"_"&amp;_xlfn.XLOOKUP($A474,PROPERTIES[VEHIDCODE],PROPERTIES[REGION4])))</f>
        <v>NORTHERN_EUROPE_AFRICA_NO_REGION_NO_REGION</v>
      </c>
      <c r="G474" t="b">
        <f t="shared" si="63"/>
        <v>1</v>
      </c>
      <c r="H474" t="b">
        <f t="shared" si="70"/>
        <v>0</v>
      </c>
      <c r="I474" t="b">
        <f t="shared" si="64"/>
        <v>0</v>
      </c>
      <c r="J474" t="b">
        <f t="shared" si="71"/>
        <v>0</v>
      </c>
      <c r="K474" t="b">
        <f t="shared" si="65"/>
        <v>0</v>
      </c>
      <c r="L474" t="b">
        <f t="shared" si="66"/>
        <v>1</v>
      </c>
      <c r="M474" t="b">
        <f t="shared" si="67"/>
        <v>0</v>
      </c>
      <c r="N474" t="b">
        <f t="shared" si="68"/>
        <v>0</v>
      </c>
      <c r="O474" t="b">
        <f t="shared" si="69"/>
        <v>0</v>
      </c>
    </row>
    <row r="475" spans="1:15" x14ac:dyDescent="0.35">
      <c r="A475" t="str">
        <v>dmu_TZV_Gredelj_7022</v>
      </c>
      <c r="B475" t="b" cm="1">
        <f t="array" ref="B475">_xlfn.XLOOKUP(A475,CONTROL[VEHIDCODE],PROPERTIES[EXCLUDE])</f>
        <v>0</v>
      </c>
      <c r="C475" t="b">
        <f>_xlfn.XLOOKUP(A475,CONTROL[VEHIDCODE],CONTROL[IS_WAGON_OR_COACH])</f>
        <v>0</v>
      </c>
      <c r="D475">
        <f>FLOOR(_xlfn.XLOOKUP($A475,PROPERTIES[VEHIDCODE],PROPERTIES[INTRODUCTION_YEAR]),20)</f>
        <v>2000</v>
      </c>
      <c r="E475" t="e">
        <f>_xlfn.XLOOKUP($A475,PROPERTIES[VEHIDCODE],#REF!)</f>
        <v>#REF!</v>
      </c>
      <c r="F475" s="25" t="str" cm="1">
        <f t="array" ref="F475">_xlfn.CONCAT(_xlfn.XLOOKUP($A475,PROPERTIES[VEHIDCODE],PROPERTIES[REGION1]),"_",_xlfn.XLOOKUP($A475,PROPERTIES[VEHIDCODE],PROPERTIES[REGION2]),"_",_xlfn.XLOOKUP($A475,PROPERTIES[VEHIDCODE],PROPERTIES[REGION3]&amp;"_"&amp;_xlfn.XLOOKUP($A475,PROPERTIES[VEHIDCODE],PROPERTIES[REGION4])))</f>
        <v>EASTERN_EUROPE_NO_REGION_NO_REGION_NO_REGION</v>
      </c>
      <c r="G475" t="b">
        <f t="shared" si="63"/>
        <v>0</v>
      </c>
      <c r="H475" t="b">
        <f t="shared" si="70"/>
        <v>0</v>
      </c>
      <c r="I475" t="b">
        <f t="shared" si="64"/>
        <v>0</v>
      </c>
      <c r="J475" t="b">
        <f t="shared" si="71"/>
        <v>1</v>
      </c>
      <c r="K475" t="b">
        <f t="shared" si="65"/>
        <v>0</v>
      </c>
      <c r="L475" t="b">
        <f t="shared" si="66"/>
        <v>0</v>
      </c>
      <c r="M475" t="b">
        <f t="shared" si="67"/>
        <v>0</v>
      </c>
      <c r="N475" t="b">
        <f t="shared" si="68"/>
        <v>0</v>
      </c>
      <c r="O475" t="b">
        <f t="shared" si="69"/>
        <v>0</v>
      </c>
    </row>
    <row r="476" spans="1:15" x14ac:dyDescent="0.35">
      <c r="A476" t="str">
        <v>dmu_Fiat_TCDD_MT_5500</v>
      </c>
      <c r="B476" t="b" cm="1">
        <f t="array" ref="B476">_xlfn.XLOOKUP(A476,CONTROL[VEHIDCODE],PROPERTIES[EXCLUDE])</f>
        <v>0</v>
      </c>
      <c r="C476" t="b">
        <f>_xlfn.XLOOKUP(A476,CONTROL[VEHIDCODE],CONTROL[IS_WAGON_OR_COACH])</f>
        <v>0</v>
      </c>
      <c r="D476">
        <f>FLOOR(_xlfn.XLOOKUP($A476,PROPERTIES[VEHIDCODE],PROPERTIES[INTRODUCTION_YEAR]),20)</f>
        <v>1960</v>
      </c>
      <c r="E476" t="e">
        <f>_xlfn.XLOOKUP($A476,PROPERTIES[VEHIDCODE],#REF!)</f>
        <v>#REF!</v>
      </c>
      <c r="F476" s="25" t="str" cm="1">
        <f t="array" ref="F476">_xlfn.CONCAT(_xlfn.XLOOKUP($A476,PROPERTIES[VEHIDCODE],PROPERTIES[REGION1]),"_",_xlfn.XLOOKUP($A476,PROPERTIES[VEHIDCODE],PROPERTIES[REGION2]),"_",_xlfn.XLOOKUP($A476,PROPERTIES[VEHIDCODE],PROPERTIES[REGION3]&amp;"_"&amp;_xlfn.XLOOKUP($A476,PROPERTIES[VEHIDCODE],PROPERTIES[REGION4])))</f>
        <v>COMECON_NO_REGION_NO_REGION_NO_REGION</v>
      </c>
      <c r="G476" t="b">
        <f t="shared" si="63"/>
        <v>0</v>
      </c>
      <c r="H476" t="b">
        <f t="shared" si="70"/>
        <v>1</v>
      </c>
      <c r="I476" t="b">
        <f t="shared" si="64"/>
        <v>0</v>
      </c>
      <c r="J476" t="b">
        <f t="shared" si="71"/>
        <v>1</v>
      </c>
      <c r="K476" t="b">
        <f t="shared" si="65"/>
        <v>0</v>
      </c>
      <c r="L476" t="b">
        <f t="shared" si="66"/>
        <v>0</v>
      </c>
      <c r="M476" t="b">
        <f t="shared" si="67"/>
        <v>0</v>
      </c>
      <c r="N476" t="b">
        <f t="shared" si="68"/>
        <v>0</v>
      </c>
      <c r="O476" t="b">
        <f t="shared" si="69"/>
        <v>0</v>
      </c>
    </row>
    <row r="477" spans="1:15" x14ac:dyDescent="0.35">
      <c r="A477" t="str">
        <v>dmu_Fuji_KiHa_181</v>
      </c>
      <c r="B477" t="b" cm="1">
        <f t="array" ref="B477">_xlfn.XLOOKUP(A477,CONTROL[VEHIDCODE],PROPERTIES[EXCLUDE])</f>
        <v>0</v>
      </c>
      <c r="C477" t="b">
        <f>_xlfn.XLOOKUP(A477,CONTROL[VEHIDCODE],CONTROL[IS_WAGON_OR_COACH])</f>
        <v>0</v>
      </c>
      <c r="D477">
        <f>FLOOR(_xlfn.XLOOKUP($A477,PROPERTIES[VEHIDCODE],PROPERTIES[INTRODUCTION_YEAR]),20)</f>
        <v>1960</v>
      </c>
      <c r="E477" t="e">
        <f>_xlfn.XLOOKUP($A477,PROPERTIES[VEHIDCODE],#REF!)</f>
        <v>#REF!</v>
      </c>
      <c r="F477" s="25" t="str" cm="1">
        <f t="array" ref="F477">_xlfn.CONCAT(_xlfn.XLOOKUP($A477,PROPERTIES[VEHIDCODE],PROPERTIES[REGION1]),"_",_xlfn.XLOOKUP($A477,PROPERTIES[VEHIDCODE],PROPERTIES[REGION2]),"_",_xlfn.XLOOKUP($A477,PROPERTIES[VEHIDCODE],PROPERTIES[REGION3]&amp;"_"&amp;_xlfn.XLOOKUP($A477,PROPERTIES[VEHIDCODE],PROPERTIES[REGION4])))</f>
        <v>ASIA_NO_REGION_NO_REGION_NO_REGION</v>
      </c>
      <c r="G477" t="b">
        <f t="shared" si="63"/>
        <v>0</v>
      </c>
      <c r="H477" t="b">
        <f t="shared" si="70"/>
        <v>1</v>
      </c>
      <c r="I477" t="b">
        <f t="shared" si="64"/>
        <v>0</v>
      </c>
      <c r="J477" t="b">
        <f t="shared" si="71"/>
        <v>0</v>
      </c>
      <c r="K477" t="b">
        <f t="shared" si="65"/>
        <v>0</v>
      </c>
      <c r="L477" t="b">
        <f t="shared" si="66"/>
        <v>0</v>
      </c>
      <c r="M477" t="b">
        <f t="shared" si="67"/>
        <v>0</v>
      </c>
      <c r="N477" t="b">
        <f t="shared" si="68"/>
        <v>0</v>
      </c>
      <c r="O477" t="b">
        <f t="shared" si="69"/>
        <v>0</v>
      </c>
    </row>
    <row r="478" spans="1:15" x14ac:dyDescent="0.35">
      <c r="A478" t="str">
        <v>dmu_Vagonka_Studenka_814</v>
      </c>
      <c r="B478" t="b" cm="1">
        <f t="array" ref="B478">_xlfn.XLOOKUP(A478,CONTROL[VEHIDCODE],PROPERTIES[EXCLUDE])</f>
        <v>0</v>
      </c>
      <c r="C478" t="b">
        <f>_xlfn.XLOOKUP(A478,CONTROL[VEHIDCODE],CONTROL[IS_WAGON_OR_COACH])</f>
        <v>0</v>
      </c>
      <c r="D478">
        <f>FLOOR(_xlfn.XLOOKUP($A478,PROPERTIES[VEHIDCODE],PROPERTIES[INTRODUCTION_YEAR]),20)</f>
        <v>2000</v>
      </c>
      <c r="E478" t="e">
        <f>_xlfn.XLOOKUP($A478,PROPERTIES[VEHIDCODE],#REF!)</f>
        <v>#REF!</v>
      </c>
      <c r="F478" s="25" t="str" cm="1">
        <f t="array" ref="F478">_xlfn.CONCAT(_xlfn.XLOOKUP($A478,PROPERTIES[VEHIDCODE],PROPERTIES[REGION1]),"_",_xlfn.XLOOKUP($A478,PROPERTIES[VEHIDCODE],PROPERTIES[REGION2]),"_",_xlfn.XLOOKUP($A478,PROPERTIES[VEHIDCODE],PROPERTIES[REGION3]&amp;"_"&amp;_xlfn.XLOOKUP($A478,PROPERTIES[VEHIDCODE],PROPERTIES[REGION4])))</f>
        <v>EASTERN_EUROPE_NO_REGION_NO_REGION_NO_REGION</v>
      </c>
      <c r="G478" t="b">
        <f t="shared" si="63"/>
        <v>0</v>
      </c>
      <c r="H478" t="b">
        <f t="shared" si="70"/>
        <v>0</v>
      </c>
      <c r="I478" t="b">
        <f t="shared" si="64"/>
        <v>0</v>
      </c>
      <c r="J478" t="b">
        <f t="shared" si="71"/>
        <v>1</v>
      </c>
      <c r="K478" t="b">
        <f t="shared" si="65"/>
        <v>0</v>
      </c>
      <c r="L478" t="b">
        <f t="shared" si="66"/>
        <v>0</v>
      </c>
      <c r="M478" t="b">
        <f t="shared" si="67"/>
        <v>0</v>
      </c>
      <c r="N478" t="b">
        <f t="shared" si="68"/>
        <v>0</v>
      </c>
      <c r="O478" t="b">
        <f t="shared" si="69"/>
        <v>0</v>
      </c>
    </row>
    <row r="479" spans="1:15" x14ac:dyDescent="0.35">
      <c r="A479" t="str">
        <v>dmu_BR_150_0_Sprinter</v>
      </c>
      <c r="B479" t="b" cm="1">
        <f t="array" ref="B479">_xlfn.XLOOKUP(A479,CONTROL[VEHIDCODE],PROPERTIES[EXCLUDE])</f>
        <v>0</v>
      </c>
      <c r="C479" t="b">
        <f>_xlfn.XLOOKUP(A479,CONTROL[VEHIDCODE],CONTROL[IS_WAGON_OR_COACH])</f>
        <v>0</v>
      </c>
      <c r="D479">
        <f>FLOOR(_xlfn.XLOOKUP($A479,PROPERTIES[VEHIDCODE],PROPERTIES[INTRODUCTION_YEAR]),20)</f>
        <v>1980</v>
      </c>
      <c r="E479" t="e">
        <f>_xlfn.XLOOKUP($A479,PROPERTIES[VEHIDCODE],#REF!)</f>
        <v>#REF!</v>
      </c>
      <c r="F479" s="25" t="str" cm="1">
        <f t="array" ref="F479">_xlfn.CONCAT(_xlfn.XLOOKUP($A479,PROPERTIES[VEHIDCODE],PROPERTIES[REGION1]),"_",_xlfn.XLOOKUP($A479,PROPERTIES[VEHIDCODE],PROPERTIES[REGION2]),"_",_xlfn.XLOOKUP($A479,PROPERTIES[VEHIDCODE],PROPERTIES[REGION3]&amp;"_"&amp;_xlfn.XLOOKUP($A479,PROPERTIES[VEHIDCODE],PROPERTIES[REGION4])))</f>
        <v>NORTHERN_EUROPE_NO_REGION_NO_REGION_NO_REGION</v>
      </c>
      <c r="G479" t="b">
        <f t="shared" si="63"/>
        <v>0</v>
      </c>
      <c r="H479" t="b">
        <f t="shared" si="70"/>
        <v>0</v>
      </c>
      <c r="I479" t="b">
        <f t="shared" si="64"/>
        <v>0</v>
      </c>
      <c r="J479" t="b">
        <f t="shared" si="71"/>
        <v>0</v>
      </c>
      <c r="K479" t="b">
        <f t="shared" si="65"/>
        <v>0</v>
      </c>
      <c r="L479" t="b">
        <f t="shared" si="66"/>
        <v>1</v>
      </c>
      <c r="M479" t="b">
        <f t="shared" si="67"/>
        <v>0</v>
      </c>
      <c r="N479" t="b">
        <f t="shared" si="68"/>
        <v>0</v>
      </c>
      <c r="O479" t="b">
        <f t="shared" si="69"/>
        <v>0</v>
      </c>
    </row>
    <row r="480" spans="1:15" x14ac:dyDescent="0.35">
      <c r="A480" t="str">
        <v>dmu_BREL_141_Pacer</v>
      </c>
      <c r="B480" t="b" cm="1">
        <f t="array" ref="B480">_xlfn.XLOOKUP(A480,CONTROL[VEHIDCODE],PROPERTIES[EXCLUDE])</f>
        <v>0</v>
      </c>
      <c r="C480" t="b">
        <f>_xlfn.XLOOKUP(A480,CONTROL[VEHIDCODE],CONTROL[IS_WAGON_OR_COACH])</f>
        <v>0</v>
      </c>
      <c r="D480">
        <f>FLOOR(_xlfn.XLOOKUP($A480,PROPERTIES[VEHIDCODE],PROPERTIES[INTRODUCTION_YEAR]),20)</f>
        <v>1980</v>
      </c>
      <c r="E480" t="e">
        <f>_xlfn.XLOOKUP($A480,PROPERTIES[VEHIDCODE],#REF!)</f>
        <v>#REF!</v>
      </c>
      <c r="F480" s="25" t="str" cm="1">
        <f t="array" ref="F480">_xlfn.CONCAT(_xlfn.XLOOKUP($A480,PROPERTIES[VEHIDCODE],PROPERTIES[REGION1]),"_",_xlfn.XLOOKUP($A480,PROPERTIES[VEHIDCODE],PROPERTIES[REGION2]),"_",_xlfn.XLOOKUP($A480,PROPERTIES[VEHIDCODE],PROPERTIES[REGION3]&amp;"_"&amp;_xlfn.XLOOKUP($A480,PROPERTIES[VEHIDCODE],PROPERTIES[REGION4])))</f>
        <v>ASIA_NO_REGION_NO_REGION_NO_REGION</v>
      </c>
      <c r="G480" t="b">
        <f t="shared" si="63"/>
        <v>0</v>
      </c>
      <c r="H480" t="b">
        <f t="shared" si="70"/>
        <v>1</v>
      </c>
      <c r="I480" t="b">
        <f t="shared" si="64"/>
        <v>0</v>
      </c>
      <c r="J480" t="b">
        <f t="shared" si="71"/>
        <v>0</v>
      </c>
      <c r="K480" t="b">
        <f t="shared" si="65"/>
        <v>0</v>
      </c>
      <c r="L480" t="b">
        <f t="shared" si="66"/>
        <v>0</v>
      </c>
      <c r="M480" t="b">
        <f t="shared" si="67"/>
        <v>0</v>
      </c>
      <c r="N480" t="b">
        <f t="shared" si="68"/>
        <v>0</v>
      </c>
      <c r="O480" t="b">
        <f t="shared" si="69"/>
        <v>0</v>
      </c>
    </row>
    <row r="481" spans="1:15" x14ac:dyDescent="0.35">
      <c r="A481" t="str">
        <v>dmu_ABB_IC3__Israel_</v>
      </c>
      <c r="B481" t="b" cm="1">
        <f t="array" ref="B481">_xlfn.XLOOKUP(A481,CONTROL[VEHIDCODE],PROPERTIES[EXCLUDE])</f>
        <v>1</v>
      </c>
      <c r="C481" t="b">
        <f>_xlfn.XLOOKUP(A481,CONTROL[VEHIDCODE],CONTROL[IS_WAGON_OR_COACH])</f>
        <v>0</v>
      </c>
      <c r="D481">
        <f>FLOOR(_xlfn.XLOOKUP($A481,PROPERTIES[VEHIDCODE],PROPERTIES[INTRODUCTION_YEAR]),20)</f>
        <v>1980</v>
      </c>
      <c r="E481" t="e">
        <f>_xlfn.XLOOKUP($A481,PROPERTIES[VEHIDCODE],#REF!)</f>
        <v>#REF!</v>
      </c>
      <c r="F481" s="25" t="str" cm="1">
        <f t="array" ref="F481">_xlfn.CONCAT(_xlfn.XLOOKUP($A481,PROPERTIES[VEHIDCODE],PROPERTIES[REGION1]),"_",_xlfn.XLOOKUP($A481,PROPERTIES[VEHIDCODE],PROPERTIES[REGION2]),"_",_xlfn.XLOOKUP($A481,PROPERTIES[VEHIDCODE],PROPERTIES[REGION3]&amp;"_"&amp;_xlfn.XLOOKUP($A481,PROPERTIES[VEHIDCODE],PROPERTIES[REGION4])))</f>
        <v>AFRICA_ALL_EUROPE_NO_REGION_NO_REGION</v>
      </c>
      <c r="G481" t="b">
        <f t="shared" si="63"/>
        <v>1</v>
      </c>
      <c r="H481" t="b">
        <f t="shared" si="70"/>
        <v>0</v>
      </c>
      <c r="I481" t="b">
        <f t="shared" si="64"/>
        <v>1</v>
      </c>
      <c r="J481" t="b">
        <f t="shared" si="71"/>
        <v>1</v>
      </c>
      <c r="K481" t="b">
        <f t="shared" si="65"/>
        <v>1</v>
      </c>
      <c r="L481" t="b">
        <f t="shared" si="66"/>
        <v>1</v>
      </c>
      <c r="M481" t="b">
        <f t="shared" si="67"/>
        <v>0</v>
      </c>
      <c r="N481" t="b">
        <f t="shared" si="68"/>
        <v>0</v>
      </c>
      <c r="O481" t="b">
        <f t="shared" si="69"/>
        <v>0</v>
      </c>
    </row>
    <row r="482" spans="1:15" x14ac:dyDescent="0.35">
      <c r="A482" t="str">
        <v>dmu_Comeng_3100</v>
      </c>
      <c r="B482" t="b" cm="1">
        <f t="array" ref="B482">_xlfn.XLOOKUP(A482,CONTROL[VEHIDCODE],PROPERTIES[EXCLUDE])</f>
        <v>0</v>
      </c>
      <c r="C482" t="b">
        <f>_xlfn.XLOOKUP(A482,CONTROL[VEHIDCODE],CONTROL[IS_WAGON_OR_COACH])</f>
        <v>0</v>
      </c>
      <c r="D482">
        <f>FLOOR(_xlfn.XLOOKUP($A482,PROPERTIES[VEHIDCODE],PROPERTIES[INTRODUCTION_YEAR]),20)</f>
        <v>1980</v>
      </c>
      <c r="E482" t="e">
        <f>_xlfn.XLOOKUP($A482,PROPERTIES[VEHIDCODE],#REF!)</f>
        <v>#REF!</v>
      </c>
      <c r="F482" s="25" t="str" cm="1">
        <f t="array" ref="F482">_xlfn.CONCAT(_xlfn.XLOOKUP($A482,PROPERTIES[VEHIDCODE],PROPERTIES[REGION1]),"_",_xlfn.XLOOKUP($A482,PROPERTIES[VEHIDCODE],PROPERTIES[REGION2]),"_",_xlfn.XLOOKUP($A482,PROPERTIES[VEHIDCODE],PROPERTIES[REGION3]&amp;"_"&amp;_xlfn.XLOOKUP($A482,PROPERTIES[VEHIDCODE],PROPERTIES[REGION4])))</f>
        <v>OCEANIA_NO_REGION_NO_REGION_NO_REGION</v>
      </c>
      <c r="G482" t="b">
        <f t="shared" si="63"/>
        <v>0</v>
      </c>
      <c r="H482" t="b">
        <f t="shared" si="70"/>
        <v>0</v>
      </c>
      <c r="I482" t="b">
        <f t="shared" si="64"/>
        <v>0</v>
      </c>
      <c r="J482" t="b">
        <f t="shared" si="71"/>
        <v>0</v>
      </c>
      <c r="K482" t="b">
        <f t="shared" si="65"/>
        <v>0</v>
      </c>
      <c r="L482" t="b">
        <f t="shared" si="66"/>
        <v>0</v>
      </c>
      <c r="M482" t="b">
        <f t="shared" si="67"/>
        <v>0</v>
      </c>
      <c r="N482" t="b">
        <f t="shared" si="68"/>
        <v>0</v>
      </c>
      <c r="O482" t="b">
        <f t="shared" si="69"/>
        <v>1</v>
      </c>
    </row>
    <row r="483" spans="1:15" x14ac:dyDescent="0.35">
      <c r="A483" t="str">
        <v>dmu_ABB_Xplorer</v>
      </c>
      <c r="B483" t="b" cm="1">
        <f t="array" ref="B483">_xlfn.XLOOKUP(A483,CONTROL[VEHIDCODE],PROPERTIES[EXCLUDE])</f>
        <v>0</v>
      </c>
      <c r="C483" t="b">
        <f>_xlfn.XLOOKUP(A483,CONTROL[VEHIDCODE],CONTROL[IS_WAGON_OR_COACH])</f>
        <v>0</v>
      </c>
      <c r="D483">
        <f>FLOOR(_xlfn.XLOOKUP($A483,PROPERTIES[VEHIDCODE],PROPERTIES[INTRODUCTION_YEAR]),20)</f>
        <v>1980</v>
      </c>
      <c r="E483" t="e">
        <f>_xlfn.XLOOKUP($A483,PROPERTIES[VEHIDCODE],#REF!)</f>
        <v>#REF!</v>
      </c>
      <c r="F483" s="25" t="str" cm="1">
        <f t="array" ref="F483">_xlfn.CONCAT(_xlfn.XLOOKUP($A483,PROPERTIES[VEHIDCODE],PROPERTIES[REGION1]),"_",_xlfn.XLOOKUP($A483,PROPERTIES[VEHIDCODE],PROPERTIES[REGION2]),"_",_xlfn.XLOOKUP($A483,PROPERTIES[VEHIDCODE],PROPERTIES[REGION3]&amp;"_"&amp;_xlfn.XLOOKUP($A483,PROPERTIES[VEHIDCODE],PROPERTIES[REGION4])))</f>
        <v>OCEANIA_NO_REGION_NO_REGION_NO_REGION</v>
      </c>
      <c r="G483" t="b">
        <f t="shared" si="63"/>
        <v>0</v>
      </c>
      <c r="H483" t="b">
        <f t="shared" si="70"/>
        <v>0</v>
      </c>
      <c r="I483" t="b">
        <f t="shared" si="64"/>
        <v>0</v>
      </c>
      <c r="J483" t="b">
        <f t="shared" si="71"/>
        <v>0</v>
      </c>
      <c r="K483" t="b">
        <f t="shared" si="65"/>
        <v>0</v>
      </c>
      <c r="L483" t="b">
        <f t="shared" si="66"/>
        <v>0</v>
      </c>
      <c r="M483" t="b">
        <f t="shared" si="67"/>
        <v>0</v>
      </c>
      <c r="N483" t="b">
        <f t="shared" si="68"/>
        <v>0</v>
      </c>
      <c r="O483" t="b">
        <f t="shared" si="69"/>
        <v>1</v>
      </c>
    </row>
    <row r="484" spans="1:15" x14ac:dyDescent="0.35">
      <c r="A484" t="str">
        <v>dmu_Niigata_Transys_KiHa_189</v>
      </c>
      <c r="B484" t="b" cm="1">
        <f t="array" ref="B484">_xlfn.XLOOKUP(A484,CONTROL[VEHIDCODE],PROPERTIES[EXCLUDE])</f>
        <v>0</v>
      </c>
      <c r="C484" t="b">
        <f>_xlfn.XLOOKUP(A484,CONTROL[VEHIDCODE],CONTROL[IS_WAGON_OR_COACH])</f>
        <v>0</v>
      </c>
      <c r="D484">
        <f>FLOOR(_xlfn.XLOOKUP($A484,PROPERTIES[VEHIDCODE],PROPERTIES[INTRODUCTION_YEAR]),20)</f>
        <v>2000</v>
      </c>
      <c r="E484" t="e">
        <f>_xlfn.XLOOKUP($A484,PROPERTIES[VEHIDCODE],#REF!)</f>
        <v>#REF!</v>
      </c>
      <c r="F484" s="25" t="str" cm="1">
        <f t="array" ref="F484">_xlfn.CONCAT(_xlfn.XLOOKUP($A484,PROPERTIES[VEHIDCODE],PROPERTIES[REGION1]),"_",_xlfn.XLOOKUP($A484,PROPERTIES[VEHIDCODE],PROPERTIES[REGION2]),"_",_xlfn.XLOOKUP($A484,PROPERTIES[VEHIDCODE],PROPERTIES[REGION3]&amp;"_"&amp;_xlfn.XLOOKUP($A484,PROPERTIES[VEHIDCODE],PROPERTIES[REGION4])))</f>
        <v>ASIA_NO_REGION_NO_REGION_NO_REGION</v>
      </c>
      <c r="G484" t="b">
        <f t="shared" si="63"/>
        <v>0</v>
      </c>
      <c r="H484" t="b">
        <f t="shared" si="70"/>
        <v>1</v>
      </c>
      <c r="I484" t="b">
        <f t="shared" si="64"/>
        <v>0</v>
      </c>
      <c r="J484" t="b">
        <f t="shared" si="71"/>
        <v>0</v>
      </c>
      <c r="K484" t="b">
        <f t="shared" si="65"/>
        <v>0</v>
      </c>
      <c r="L484" t="b">
        <f t="shared" si="66"/>
        <v>0</v>
      </c>
      <c r="M484" t="b">
        <f t="shared" si="67"/>
        <v>0</v>
      </c>
      <c r="N484" t="b">
        <f t="shared" si="68"/>
        <v>0</v>
      </c>
      <c r="O484" t="b">
        <f t="shared" si="69"/>
        <v>0</v>
      </c>
    </row>
    <row r="485" spans="1:15" x14ac:dyDescent="0.35">
      <c r="A485" t="str">
        <v>dmu_Integral_Coach_Factory_S11</v>
      </c>
      <c r="B485" t="b" cm="1">
        <f t="array" ref="B485">_xlfn.XLOOKUP(A485,CONTROL[VEHIDCODE],PROPERTIES[EXCLUDE])</f>
        <v>0</v>
      </c>
      <c r="C485" t="b">
        <f>_xlfn.XLOOKUP(A485,CONTROL[VEHIDCODE],CONTROL[IS_WAGON_OR_COACH])</f>
        <v>0</v>
      </c>
      <c r="D485">
        <f>FLOOR(_xlfn.XLOOKUP($A485,PROPERTIES[VEHIDCODE],PROPERTIES[INTRODUCTION_YEAR]),20)</f>
        <v>2000</v>
      </c>
      <c r="E485" t="e">
        <f>_xlfn.XLOOKUP($A485,PROPERTIES[VEHIDCODE],#REF!)</f>
        <v>#REF!</v>
      </c>
      <c r="F485" s="25" t="str" cm="1">
        <f t="array" ref="F485">_xlfn.CONCAT(_xlfn.XLOOKUP($A485,PROPERTIES[VEHIDCODE],PROPERTIES[REGION1]),"_",_xlfn.XLOOKUP($A485,PROPERTIES[VEHIDCODE],PROPERTIES[REGION2]),"_",_xlfn.XLOOKUP($A485,PROPERTIES[VEHIDCODE],PROPERTIES[REGION3]&amp;"_"&amp;_xlfn.XLOOKUP($A485,PROPERTIES[VEHIDCODE],PROPERTIES[REGION4])))</f>
        <v>ASIA_NO_REGION_NO_REGION_NO_REGION</v>
      </c>
      <c r="G485" t="b">
        <f t="shared" si="63"/>
        <v>0</v>
      </c>
      <c r="H485" t="b">
        <f t="shared" si="70"/>
        <v>1</v>
      </c>
      <c r="I485" t="b">
        <f t="shared" si="64"/>
        <v>0</v>
      </c>
      <c r="J485" t="b">
        <f t="shared" si="71"/>
        <v>0</v>
      </c>
      <c r="K485" t="b">
        <f t="shared" si="65"/>
        <v>0</v>
      </c>
      <c r="L485" t="b">
        <f t="shared" si="66"/>
        <v>0</v>
      </c>
      <c r="M485" t="b">
        <f t="shared" si="67"/>
        <v>0</v>
      </c>
      <c r="N485" t="b">
        <f t="shared" si="68"/>
        <v>0</v>
      </c>
      <c r="O485" t="b">
        <f t="shared" si="69"/>
        <v>0</v>
      </c>
    </row>
    <row r="486" spans="1:15" x14ac:dyDescent="0.35">
      <c r="A486" t="str">
        <v>dmu_ZOS_Vrutky_861</v>
      </c>
      <c r="B486" t="b" cm="1">
        <f t="array" ref="B486">_xlfn.XLOOKUP(A486,CONTROL[VEHIDCODE],PROPERTIES[EXCLUDE])</f>
        <v>0</v>
      </c>
      <c r="C486" t="b">
        <f>_xlfn.XLOOKUP(A486,CONTROL[VEHIDCODE],CONTROL[IS_WAGON_OR_COACH])</f>
        <v>0</v>
      </c>
      <c r="D486">
        <f>FLOOR(_xlfn.XLOOKUP($A486,PROPERTIES[VEHIDCODE],PROPERTIES[INTRODUCTION_YEAR]),20)</f>
        <v>2000</v>
      </c>
      <c r="E486" t="e">
        <f>_xlfn.XLOOKUP($A486,PROPERTIES[VEHIDCODE],#REF!)</f>
        <v>#REF!</v>
      </c>
      <c r="F486" s="25" t="str" cm="1">
        <f t="array" ref="F486">_xlfn.CONCAT(_xlfn.XLOOKUP($A486,PROPERTIES[VEHIDCODE],PROPERTIES[REGION1]),"_",_xlfn.XLOOKUP($A486,PROPERTIES[VEHIDCODE],PROPERTIES[REGION2]),"_",_xlfn.XLOOKUP($A486,PROPERTIES[VEHIDCODE],PROPERTIES[REGION3]&amp;"_"&amp;_xlfn.XLOOKUP($A486,PROPERTIES[VEHIDCODE],PROPERTIES[REGION4])))</f>
        <v>EASTERN_EUROPE_NO_REGION_NO_REGION_NO_REGION</v>
      </c>
      <c r="G486" t="b">
        <f t="shared" si="63"/>
        <v>0</v>
      </c>
      <c r="H486" t="b">
        <f t="shared" si="70"/>
        <v>0</v>
      </c>
      <c r="I486" t="b">
        <f t="shared" si="64"/>
        <v>0</v>
      </c>
      <c r="J486" t="b">
        <f t="shared" si="71"/>
        <v>1</v>
      </c>
      <c r="K486" t="b">
        <f t="shared" si="65"/>
        <v>0</v>
      </c>
      <c r="L486" t="b">
        <f t="shared" si="66"/>
        <v>0</v>
      </c>
      <c r="M486" t="b">
        <f t="shared" si="67"/>
        <v>0</v>
      </c>
      <c r="N486" t="b">
        <f t="shared" si="68"/>
        <v>0</v>
      </c>
      <c r="O486" t="b">
        <f t="shared" si="69"/>
        <v>0</v>
      </c>
    </row>
    <row r="487" spans="1:15" x14ac:dyDescent="0.35">
      <c r="A487" t="str">
        <v>dmu_CAF_TLD_500</v>
      </c>
      <c r="B487" t="b" cm="1">
        <f t="array" ref="B487">_xlfn.XLOOKUP(A487,CONTROL[VEHIDCODE],PROPERTIES[EXCLUDE])</f>
        <v>0</v>
      </c>
      <c r="C487" t="b">
        <f>_xlfn.XLOOKUP(A487,CONTROL[VEHIDCODE],CONTROL[IS_WAGON_OR_COACH])</f>
        <v>0</v>
      </c>
      <c r="D487">
        <f>FLOOR(_xlfn.XLOOKUP($A487,PROPERTIES[VEHIDCODE],PROPERTIES[INTRODUCTION_YEAR]),20)</f>
        <v>1980</v>
      </c>
      <c r="E487" t="e">
        <f>_xlfn.XLOOKUP($A487,PROPERTIES[VEHIDCODE],#REF!)</f>
        <v>#REF!</v>
      </c>
      <c r="F487" s="25" t="str" cm="1">
        <f t="array" ref="F487">_xlfn.CONCAT(_xlfn.XLOOKUP($A487,PROPERTIES[VEHIDCODE],PROPERTIES[REGION1]),"_",_xlfn.XLOOKUP($A487,PROPERTIES[VEHIDCODE],PROPERTIES[REGION2]),"_",_xlfn.XLOOKUP($A487,PROPERTIES[VEHIDCODE],PROPERTIES[REGION3]&amp;"_"&amp;_xlfn.XLOOKUP($A487,PROPERTIES[VEHIDCODE],PROPERTIES[REGION4])))</f>
        <v>SOUTH_AMERICA_NO_REGION_NO_REGION_NO_REGION</v>
      </c>
      <c r="G487" t="b">
        <f t="shared" si="63"/>
        <v>0</v>
      </c>
      <c r="H487" t="b">
        <f t="shared" si="70"/>
        <v>0</v>
      </c>
      <c r="I487" t="b">
        <f t="shared" si="64"/>
        <v>0</v>
      </c>
      <c r="J487" t="b">
        <f t="shared" si="71"/>
        <v>0</v>
      </c>
      <c r="K487" t="b">
        <f t="shared" si="65"/>
        <v>0</v>
      </c>
      <c r="L487" t="b">
        <f t="shared" si="66"/>
        <v>0</v>
      </c>
      <c r="M487" t="b">
        <f t="shared" si="67"/>
        <v>0</v>
      </c>
      <c r="N487" t="b">
        <f t="shared" si="68"/>
        <v>1</v>
      </c>
      <c r="O487" t="b">
        <f t="shared" si="69"/>
        <v>0</v>
      </c>
    </row>
    <row r="488" spans="1:15" x14ac:dyDescent="0.35">
      <c r="A488" t="str">
        <v>dmu_Camrail_ZE_500</v>
      </c>
      <c r="B488" t="b" cm="1">
        <f t="array" ref="B488">_xlfn.XLOOKUP(A488,CONTROL[VEHIDCODE],PROPERTIES[EXCLUDE])</f>
        <v>0</v>
      </c>
      <c r="C488" t="b">
        <f>_xlfn.XLOOKUP(A488,CONTROL[VEHIDCODE],CONTROL[IS_WAGON_OR_COACH])</f>
        <v>0</v>
      </c>
      <c r="D488">
        <f>FLOOR(_xlfn.XLOOKUP($A488,PROPERTIES[VEHIDCODE],PROPERTIES[INTRODUCTION_YEAR]),20)</f>
        <v>1960</v>
      </c>
      <c r="E488" t="e">
        <f>_xlfn.XLOOKUP($A488,PROPERTIES[VEHIDCODE],#REF!)</f>
        <v>#REF!</v>
      </c>
      <c r="F488" s="25" t="str" cm="1">
        <f t="array" ref="F488">_xlfn.CONCAT(_xlfn.XLOOKUP($A488,PROPERTIES[VEHIDCODE],PROPERTIES[REGION1]),"_",_xlfn.XLOOKUP($A488,PROPERTIES[VEHIDCODE],PROPERTIES[REGION2]),"_",_xlfn.XLOOKUP($A488,PROPERTIES[VEHIDCODE],PROPERTIES[REGION3]&amp;"_"&amp;_xlfn.XLOOKUP($A488,PROPERTIES[VEHIDCODE],PROPERTIES[REGION4])))</f>
        <v>AFRICA_NO_REGION_NO_REGION_NO_REGION</v>
      </c>
      <c r="G488" t="b">
        <f t="shared" si="63"/>
        <v>1</v>
      </c>
      <c r="H488" t="b">
        <f t="shared" si="70"/>
        <v>0</v>
      </c>
      <c r="I488" t="b">
        <f t="shared" si="64"/>
        <v>0</v>
      </c>
      <c r="J488" t="b">
        <f t="shared" si="71"/>
        <v>0</v>
      </c>
      <c r="K488" t="b">
        <f t="shared" si="65"/>
        <v>0</v>
      </c>
      <c r="L488" t="b">
        <f t="shared" si="66"/>
        <v>0</v>
      </c>
      <c r="M488" t="b">
        <f t="shared" si="67"/>
        <v>0</v>
      </c>
      <c r="N488" t="b">
        <f t="shared" si="68"/>
        <v>0</v>
      </c>
      <c r="O488" t="b">
        <f t="shared" si="69"/>
        <v>0</v>
      </c>
    </row>
    <row r="489" spans="1:15" x14ac:dyDescent="0.35">
      <c r="A489" t="str">
        <v>dmu_Metro_Cammell_251_Blue_Pullman</v>
      </c>
      <c r="B489" t="b" cm="1">
        <f t="array" ref="B489">_xlfn.XLOOKUP(A489,CONTROL[VEHIDCODE],PROPERTIES[EXCLUDE])</f>
        <v>0</v>
      </c>
      <c r="C489" t="b">
        <f>_xlfn.XLOOKUP(A489,CONTROL[VEHIDCODE],CONTROL[IS_WAGON_OR_COACH])</f>
        <v>0</v>
      </c>
      <c r="D489">
        <f>FLOOR(_xlfn.XLOOKUP($A489,PROPERTIES[VEHIDCODE],PROPERTIES[INTRODUCTION_YEAR]),20)</f>
        <v>1960</v>
      </c>
      <c r="E489" t="e">
        <f>_xlfn.XLOOKUP($A489,PROPERTIES[VEHIDCODE],#REF!)</f>
        <v>#REF!</v>
      </c>
      <c r="F489" s="25" t="str" cm="1">
        <f t="array" ref="F489">_xlfn.CONCAT(_xlfn.XLOOKUP($A489,PROPERTIES[VEHIDCODE],PROPERTIES[REGION1]),"_",_xlfn.XLOOKUP($A489,PROPERTIES[VEHIDCODE],PROPERTIES[REGION2]),"_",_xlfn.XLOOKUP($A489,PROPERTIES[VEHIDCODE],PROPERTIES[REGION3]&amp;"_"&amp;_xlfn.XLOOKUP($A489,PROPERTIES[VEHIDCODE],PROPERTIES[REGION4])))</f>
        <v>NORTHERN_EUROPE_NO_REGION_NO_REGION_NO_REGION</v>
      </c>
      <c r="G489" t="b">
        <f t="shared" si="63"/>
        <v>0</v>
      </c>
      <c r="H489" t="b">
        <f t="shared" si="70"/>
        <v>0</v>
      </c>
      <c r="I489" t="b">
        <f t="shared" si="64"/>
        <v>0</v>
      </c>
      <c r="J489" t="b">
        <f t="shared" si="71"/>
        <v>0</v>
      </c>
      <c r="K489" t="b">
        <f t="shared" si="65"/>
        <v>0</v>
      </c>
      <c r="L489" t="b">
        <f t="shared" si="66"/>
        <v>1</v>
      </c>
      <c r="M489" t="b">
        <f t="shared" si="67"/>
        <v>0</v>
      </c>
      <c r="N489" t="b">
        <f t="shared" si="68"/>
        <v>0</v>
      </c>
      <c r="O489" t="b">
        <f t="shared" si="69"/>
        <v>0</v>
      </c>
    </row>
    <row r="490" spans="1:15" x14ac:dyDescent="0.35">
      <c r="A490" t="str">
        <v>dmu_Comeng_ADK</v>
      </c>
      <c r="B490" t="b" cm="1">
        <f t="array" ref="B490">_xlfn.XLOOKUP(A490,CONTROL[VEHIDCODE],PROPERTIES[EXCLUDE])</f>
        <v>0</v>
      </c>
      <c r="C490" t="b">
        <f>_xlfn.XLOOKUP(A490,CONTROL[VEHIDCODE],CONTROL[IS_WAGON_OR_COACH])</f>
        <v>0</v>
      </c>
      <c r="D490">
        <f>FLOOR(_xlfn.XLOOKUP($A490,PROPERTIES[VEHIDCODE],PROPERTIES[INTRODUCTION_YEAR]),20)</f>
        <v>1960</v>
      </c>
      <c r="E490" t="e">
        <f>_xlfn.XLOOKUP($A490,PROPERTIES[VEHIDCODE],#REF!)</f>
        <v>#REF!</v>
      </c>
      <c r="F490" s="25" t="str" cm="1">
        <f t="array" ref="F490">_xlfn.CONCAT(_xlfn.XLOOKUP($A490,PROPERTIES[VEHIDCODE],PROPERTIES[REGION1]),"_",_xlfn.XLOOKUP($A490,PROPERTIES[VEHIDCODE],PROPERTIES[REGION2]),"_",_xlfn.XLOOKUP($A490,PROPERTIES[VEHIDCODE],PROPERTIES[REGION3]&amp;"_"&amp;_xlfn.XLOOKUP($A490,PROPERTIES[VEHIDCODE],PROPERTIES[REGION4])))</f>
        <v>OCEANIA_NO_REGION_NO_REGION_NO_REGION</v>
      </c>
      <c r="G490" t="b">
        <f t="shared" si="63"/>
        <v>0</v>
      </c>
      <c r="H490" t="b">
        <f t="shared" si="70"/>
        <v>0</v>
      </c>
      <c r="I490" t="b">
        <f t="shared" si="64"/>
        <v>0</v>
      </c>
      <c r="J490" t="b">
        <f t="shared" si="71"/>
        <v>0</v>
      </c>
      <c r="K490" t="b">
        <f t="shared" si="65"/>
        <v>0</v>
      </c>
      <c r="L490" t="b">
        <f t="shared" si="66"/>
        <v>0</v>
      </c>
      <c r="M490" t="b">
        <f t="shared" si="67"/>
        <v>0</v>
      </c>
      <c r="N490" t="b">
        <f t="shared" si="68"/>
        <v>0</v>
      </c>
      <c r="O490" t="b">
        <f t="shared" si="69"/>
        <v>1</v>
      </c>
    </row>
    <row r="491" spans="1:15" x14ac:dyDescent="0.35">
      <c r="A491" t="str">
        <v>dmu_ANF_X_4630</v>
      </c>
      <c r="B491" t="b" cm="1">
        <f t="array" ref="B491">_xlfn.XLOOKUP(A491,CONTROL[VEHIDCODE],PROPERTIES[EXCLUDE])</f>
        <v>0</v>
      </c>
      <c r="C491" t="b">
        <f>_xlfn.XLOOKUP(A491,CONTROL[VEHIDCODE],CONTROL[IS_WAGON_OR_COACH])</f>
        <v>0</v>
      </c>
      <c r="D491">
        <f>FLOOR(_xlfn.XLOOKUP($A491,PROPERTIES[VEHIDCODE],PROPERTIES[INTRODUCTION_YEAR]),20)</f>
        <v>1960</v>
      </c>
      <c r="E491" t="e">
        <f>_xlfn.XLOOKUP($A491,PROPERTIES[VEHIDCODE],#REF!)</f>
        <v>#REF!</v>
      </c>
      <c r="F491" s="25" t="str" cm="1">
        <f t="array" ref="F491">_xlfn.CONCAT(_xlfn.XLOOKUP($A491,PROPERTIES[VEHIDCODE],PROPERTIES[REGION1]),"_",_xlfn.XLOOKUP($A491,PROPERTIES[VEHIDCODE],PROPERTIES[REGION2]),"_",_xlfn.XLOOKUP($A491,PROPERTIES[VEHIDCODE],PROPERTIES[REGION3]&amp;"_"&amp;_xlfn.XLOOKUP($A491,PROPERTIES[VEHIDCODE],PROPERTIES[REGION4])))</f>
        <v>WESTERN_EUROPE_NO_REGION_NO_REGION_NO_REGION</v>
      </c>
      <c r="G491" t="b">
        <f t="shared" si="63"/>
        <v>0</v>
      </c>
      <c r="H491" t="b">
        <f t="shared" si="70"/>
        <v>0</v>
      </c>
      <c r="I491" t="b">
        <f t="shared" si="64"/>
        <v>0</v>
      </c>
      <c r="J491" t="b">
        <f t="shared" si="71"/>
        <v>0</v>
      </c>
      <c r="K491" t="b">
        <f t="shared" si="65"/>
        <v>1</v>
      </c>
      <c r="L491" t="b">
        <f t="shared" si="66"/>
        <v>0</v>
      </c>
      <c r="M491" t="b">
        <f t="shared" si="67"/>
        <v>0</v>
      </c>
      <c r="N491" t="b">
        <f t="shared" si="68"/>
        <v>0</v>
      </c>
      <c r="O491" t="b">
        <f t="shared" si="69"/>
        <v>0</v>
      </c>
    </row>
    <row r="492" spans="1:15" x14ac:dyDescent="0.35">
      <c r="A492" t="str">
        <v>dmu_ANF_T_2000</v>
      </c>
      <c r="B492" t="b" cm="1">
        <f t="array" ref="B492">_xlfn.XLOOKUP(A492,CONTROL[VEHIDCODE],PROPERTIES[EXCLUDE])</f>
        <v>0</v>
      </c>
      <c r="C492" t="b">
        <f>_xlfn.XLOOKUP(A492,CONTROL[VEHIDCODE],CONTROL[IS_WAGON_OR_COACH])</f>
        <v>0</v>
      </c>
      <c r="D492">
        <f>FLOOR(_xlfn.XLOOKUP($A492,PROPERTIES[VEHIDCODE],PROPERTIES[INTRODUCTION_YEAR]),20)</f>
        <v>1960</v>
      </c>
      <c r="E492" t="e">
        <f>_xlfn.XLOOKUP($A492,PROPERTIES[VEHIDCODE],#REF!)</f>
        <v>#REF!</v>
      </c>
      <c r="F492" s="25" t="str" cm="1">
        <f t="array" ref="F492">_xlfn.CONCAT(_xlfn.XLOOKUP($A492,PROPERTIES[VEHIDCODE],PROPERTIES[REGION1]),"_",_xlfn.XLOOKUP($A492,PROPERTIES[VEHIDCODE],PROPERTIES[REGION2]),"_",_xlfn.XLOOKUP($A492,PROPERTIES[VEHIDCODE],PROPERTIES[REGION3]&amp;"_"&amp;_xlfn.XLOOKUP($A492,PROPERTIES[VEHIDCODE],PROPERTIES[REGION4])))</f>
        <v>WESTERN_EUROPE_NO_REGION_NO_REGION_NO_REGION</v>
      </c>
      <c r="G492" t="b">
        <f t="shared" si="63"/>
        <v>0</v>
      </c>
      <c r="H492" t="b">
        <f t="shared" si="70"/>
        <v>0</v>
      </c>
      <c r="I492" t="b">
        <f t="shared" si="64"/>
        <v>0</v>
      </c>
      <c r="J492" t="b">
        <f t="shared" si="71"/>
        <v>0</v>
      </c>
      <c r="K492" t="b">
        <f t="shared" si="65"/>
        <v>1</v>
      </c>
      <c r="L492" t="b">
        <f t="shared" si="66"/>
        <v>0</v>
      </c>
      <c r="M492" t="b">
        <f t="shared" si="67"/>
        <v>0</v>
      </c>
      <c r="N492" t="b">
        <f t="shared" si="68"/>
        <v>0</v>
      </c>
      <c r="O492" t="b">
        <f t="shared" si="69"/>
        <v>0</v>
      </c>
    </row>
    <row r="493" spans="1:15" x14ac:dyDescent="0.35">
      <c r="A493" t="str">
        <v>dmu_Duwag_Wadloper</v>
      </c>
      <c r="B493" t="b" cm="1">
        <f t="array" ref="B493">_xlfn.XLOOKUP(A493,CONTROL[VEHIDCODE],PROPERTIES[EXCLUDE])</f>
        <v>0</v>
      </c>
      <c r="C493" t="b">
        <f>_xlfn.XLOOKUP(A493,CONTROL[VEHIDCODE],CONTROL[IS_WAGON_OR_COACH])</f>
        <v>0</v>
      </c>
      <c r="D493">
        <f>FLOOR(_xlfn.XLOOKUP($A493,PROPERTIES[VEHIDCODE],PROPERTIES[INTRODUCTION_YEAR]),20)</f>
        <v>1980</v>
      </c>
      <c r="E493" t="e">
        <f>_xlfn.XLOOKUP($A493,PROPERTIES[VEHIDCODE],#REF!)</f>
        <v>#REF!</v>
      </c>
      <c r="F493" s="25" t="str" cm="1">
        <f t="array" ref="F493">_xlfn.CONCAT(_xlfn.XLOOKUP($A493,PROPERTIES[VEHIDCODE],PROPERTIES[REGION1]),"_",_xlfn.XLOOKUP($A493,PROPERTIES[VEHIDCODE],PROPERTIES[REGION2]),"_",_xlfn.XLOOKUP($A493,PROPERTIES[VEHIDCODE],PROPERTIES[REGION3]&amp;"_"&amp;_xlfn.XLOOKUP($A493,PROPERTIES[VEHIDCODE],PROPERTIES[REGION4])))</f>
        <v>ALL_EUROPE_SOUTH_AMERICA_NO_REGION_NO_REGION</v>
      </c>
      <c r="G493" t="b">
        <f t="shared" si="63"/>
        <v>0</v>
      </c>
      <c r="H493" t="b">
        <f t="shared" si="70"/>
        <v>0</v>
      </c>
      <c r="I493" t="b">
        <f t="shared" si="64"/>
        <v>1</v>
      </c>
      <c r="J493" t="b">
        <f t="shared" si="71"/>
        <v>1</v>
      </c>
      <c r="K493" t="b">
        <f t="shared" si="65"/>
        <v>1</v>
      </c>
      <c r="L493" t="b">
        <f t="shared" si="66"/>
        <v>1</v>
      </c>
      <c r="M493" t="b">
        <f t="shared" si="67"/>
        <v>0</v>
      </c>
      <c r="N493" t="b">
        <f t="shared" si="68"/>
        <v>1</v>
      </c>
      <c r="O493" t="b">
        <f t="shared" si="69"/>
        <v>0</v>
      </c>
    </row>
    <row r="494" spans="1:15" x14ac:dyDescent="0.35">
      <c r="A494" t="str">
        <v>dmu_Duwag_628_2</v>
      </c>
      <c r="B494" t="b" cm="1">
        <f t="array" ref="B494">_xlfn.XLOOKUP(A494,CONTROL[VEHIDCODE],PROPERTIES[EXCLUDE])</f>
        <v>0</v>
      </c>
      <c r="C494" t="b">
        <f>_xlfn.XLOOKUP(A494,CONTROL[VEHIDCODE],CONTROL[IS_WAGON_OR_COACH])</f>
        <v>0</v>
      </c>
      <c r="D494">
        <f>FLOOR(_xlfn.XLOOKUP($A494,PROPERTIES[VEHIDCODE],PROPERTIES[INTRODUCTION_YEAR]),20)</f>
        <v>1980</v>
      </c>
      <c r="E494" t="e">
        <f>_xlfn.XLOOKUP($A494,PROPERTIES[VEHIDCODE],#REF!)</f>
        <v>#REF!</v>
      </c>
      <c r="F494" s="25" t="str" cm="1">
        <f t="array" ref="F494">_xlfn.CONCAT(_xlfn.XLOOKUP($A494,PROPERTIES[VEHIDCODE],PROPERTIES[REGION1]),"_",_xlfn.XLOOKUP($A494,PROPERTIES[VEHIDCODE],PROPERTIES[REGION2]),"_",_xlfn.XLOOKUP($A494,PROPERTIES[VEHIDCODE],PROPERTIES[REGION3]&amp;"_"&amp;_xlfn.XLOOKUP($A494,PROPERTIES[VEHIDCODE],PROPERTIES[REGION4])))</f>
        <v>WESTERN_EUROPE_EASTERN_EUROPE_NO_REGION_NO_REGION</v>
      </c>
      <c r="G494" t="b">
        <f t="shared" si="63"/>
        <v>0</v>
      </c>
      <c r="H494" t="b">
        <f t="shared" si="70"/>
        <v>0</v>
      </c>
      <c r="I494" t="b">
        <f t="shared" si="64"/>
        <v>0</v>
      </c>
      <c r="J494" t="b">
        <f t="shared" si="71"/>
        <v>1</v>
      </c>
      <c r="K494" t="b">
        <f t="shared" si="65"/>
        <v>1</v>
      </c>
      <c r="L494" t="b">
        <f t="shared" si="66"/>
        <v>0</v>
      </c>
      <c r="M494" t="b">
        <f t="shared" si="67"/>
        <v>0</v>
      </c>
      <c r="N494" t="b">
        <f t="shared" si="68"/>
        <v>0</v>
      </c>
      <c r="O494" t="b">
        <f t="shared" si="69"/>
        <v>0</v>
      </c>
    </row>
    <row r="495" spans="1:15" x14ac:dyDescent="0.35">
      <c r="A495" t="str">
        <v>dmu_CAF_ZZ_2200_Autorail</v>
      </c>
      <c r="B495" t="b" cm="1">
        <f t="array" ref="B495">_xlfn.XLOOKUP(A495,CONTROL[VEHIDCODE],PROPERTIES[EXCLUDE])</f>
        <v>0</v>
      </c>
      <c r="C495" t="b">
        <f>_xlfn.XLOOKUP(A495,CONTROL[VEHIDCODE],CONTROL[IS_WAGON_OR_COACH])</f>
        <v>0</v>
      </c>
      <c r="D495">
        <f>FLOOR(_xlfn.XLOOKUP($A495,PROPERTIES[VEHIDCODE],PROPERTIES[INTRODUCTION_YEAR]),20)</f>
        <v>2000</v>
      </c>
      <c r="E495" t="e">
        <f>_xlfn.XLOOKUP($A495,PROPERTIES[VEHIDCODE],#REF!)</f>
        <v>#REF!</v>
      </c>
      <c r="F495" s="25" t="str" cm="1">
        <f t="array" ref="F495">_xlfn.CONCAT(_xlfn.XLOOKUP($A495,PROPERTIES[VEHIDCODE],PROPERTIES[REGION1]),"_",_xlfn.XLOOKUP($A495,PROPERTIES[VEHIDCODE],PROPERTIES[REGION2]),"_",_xlfn.XLOOKUP($A495,PROPERTIES[VEHIDCODE],PROPERTIES[REGION3]&amp;"_"&amp;_xlfn.XLOOKUP($A495,PROPERTIES[VEHIDCODE],PROPERTIES[REGION4])))</f>
        <v>AFRICA_NO_REGION_NO_REGION_NO_REGION</v>
      </c>
      <c r="G495" t="b">
        <f t="shared" si="63"/>
        <v>1</v>
      </c>
      <c r="H495" t="b">
        <f t="shared" si="70"/>
        <v>0</v>
      </c>
      <c r="I495" t="b">
        <f t="shared" si="64"/>
        <v>0</v>
      </c>
      <c r="J495" t="b">
        <f t="shared" si="71"/>
        <v>0</v>
      </c>
      <c r="K495" t="b">
        <f t="shared" si="65"/>
        <v>0</v>
      </c>
      <c r="L495" t="b">
        <f t="shared" si="66"/>
        <v>0</v>
      </c>
      <c r="M495" t="b">
        <f t="shared" si="67"/>
        <v>0</v>
      </c>
      <c r="N495" t="b">
        <f t="shared" si="68"/>
        <v>0</v>
      </c>
      <c r="O495" t="b">
        <f t="shared" si="69"/>
        <v>0</v>
      </c>
    </row>
    <row r="496" spans="1:15" x14ac:dyDescent="0.35">
      <c r="A496" t="str">
        <v>dmu_CFD_AMT_800</v>
      </c>
      <c r="B496" t="b" cm="1">
        <f t="array" ref="B496">_xlfn.XLOOKUP(A496,CONTROL[VEHIDCODE],PROPERTIES[EXCLUDE])</f>
        <v>0</v>
      </c>
      <c r="C496" t="b">
        <f>_xlfn.XLOOKUP(A496,CONTROL[VEHIDCODE],CONTROL[IS_WAGON_OR_COACH])</f>
        <v>0</v>
      </c>
      <c r="D496">
        <f>FLOOR(_xlfn.XLOOKUP($A496,PROPERTIES[VEHIDCODE],PROPERTIES[INTRODUCTION_YEAR]),20)</f>
        <v>2000</v>
      </c>
      <c r="E496" t="e">
        <f>_xlfn.XLOOKUP($A496,PROPERTIES[VEHIDCODE],#REF!)</f>
        <v>#REF!</v>
      </c>
      <c r="F496" s="25" t="str" cm="1">
        <f t="array" ref="F496">_xlfn.CONCAT(_xlfn.XLOOKUP($A496,PROPERTIES[VEHIDCODE],PROPERTIES[REGION1]),"_",_xlfn.XLOOKUP($A496,PROPERTIES[VEHIDCODE],PROPERTIES[REGION2]),"_",_xlfn.XLOOKUP($A496,PROPERTIES[VEHIDCODE],PROPERTIES[REGION3]&amp;"_"&amp;_xlfn.XLOOKUP($A496,PROPERTIES[VEHIDCODE],PROPERTIES[REGION4])))</f>
        <v>AFRICA_NO_REGION_NO_REGION_NO_REGION</v>
      </c>
      <c r="G496" t="b">
        <f t="shared" si="63"/>
        <v>1</v>
      </c>
      <c r="H496" t="b">
        <f t="shared" si="70"/>
        <v>0</v>
      </c>
      <c r="I496" t="b">
        <f t="shared" si="64"/>
        <v>0</v>
      </c>
      <c r="J496" t="b">
        <f t="shared" si="71"/>
        <v>0</v>
      </c>
      <c r="K496" t="b">
        <f t="shared" si="65"/>
        <v>0</v>
      </c>
      <c r="L496" t="b">
        <f t="shared" si="66"/>
        <v>0</v>
      </c>
      <c r="M496" t="b">
        <f t="shared" si="67"/>
        <v>0</v>
      </c>
      <c r="N496" t="b">
        <f t="shared" si="68"/>
        <v>0</v>
      </c>
      <c r="O496" t="b">
        <f t="shared" si="69"/>
        <v>0</v>
      </c>
    </row>
    <row r="497" spans="1:15" x14ac:dyDescent="0.35">
      <c r="A497" t="str">
        <v>dmu_CNR_Tangshan_Ghana_DEMU</v>
      </c>
      <c r="B497" t="b" cm="1">
        <f t="array" ref="B497">_xlfn.XLOOKUP(A497,CONTROL[VEHIDCODE],PROPERTIES[EXCLUDE])</f>
        <v>0</v>
      </c>
      <c r="C497" t="b">
        <f>_xlfn.XLOOKUP(A497,CONTROL[VEHIDCODE],CONTROL[IS_WAGON_OR_COACH])</f>
        <v>0</v>
      </c>
      <c r="D497">
        <f>FLOOR(_xlfn.XLOOKUP($A497,PROPERTIES[VEHIDCODE],PROPERTIES[INTRODUCTION_YEAR]),20)</f>
        <v>2000</v>
      </c>
      <c r="E497" t="e">
        <f>_xlfn.XLOOKUP($A497,PROPERTIES[VEHIDCODE],#REF!)</f>
        <v>#REF!</v>
      </c>
      <c r="F497" s="25" t="str" cm="1">
        <f t="array" ref="F497">_xlfn.CONCAT(_xlfn.XLOOKUP($A497,PROPERTIES[VEHIDCODE],PROPERTIES[REGION1]),"_",_xlfn.XLOOKUP($A497,PROPERTIES[VEHIDCODE],PROPERTIES[REGION2]),"_",_xlfn.XLOOKUP($A497,PROPERTIES[VEHIDCODE],PROPERTIES[REGION3]&amp;"_"&amp;_xlfn.XLOOKUP($A497,PROPERTIES[VEHIDCODE],PROPERTIES[REGION4])))</f>
        <v>AFRICA_NO_REGION_NO_REGION_NO_REGION</v>
      </c>
      <c r="G497" t="b">
        <f t="shared" si="63"/>
        <v>1</v>
      </c>
      <c r="H497" t="b">
        <f t="shared" si="70"/>
        <v>0</v>
      </c>
      <c r="I497" t="b">
        <f t="shared" si="64"/>
        <v>0</v>
      </c>
      <c r="J497" t="b">
        <f t="shared" si="71"/>
        <v>0</v>
      </c>
      <c r="K497" t="b">
        <f t="shared" si="65"/>
        <v>0</v>
      </c>
      <c r="L497" t="b">
        <f t="shared" si="66"/>
        <v>0</v>
      </c>
      <c r="M497" t="b">
        <f t="shared" si="67"/>
        <v>0</v>
      </c>
      <c r="N497" t="b">
        <f t="shared" si="68"/>
        <v>0</v>
      </c>
      <c r="O497" t="b">
        <f t="shared" si="69"/>
        <v>0</v>
      </c>
    </row>
    <row r="498" spans="1:15" x14ac:dyDescent="0.35">
      <c r="A498" t="str">
        <v>dmu_Downer_EDI_Hitachi_Tilt_Train</v>
      </c>
      <c r="B498" t="b" cm="1">
        <f t="array" ref="B498">_xlfn.XLOOKUP(A498,CONTROL[VEHIDCODE],PROPERTIES[EXCLUDE])</f>
        <v>0</v>
      </c>
      <c r="C498" t="b">
        <f>_xlfn.XLOOKUP(A498,CONTROL[VEHIDCODE],CONTROL[IS_WAGON_OR_COACH])</f>
        <v>0</v>
      </c>
      <c r="D498">
        <f>FLOOR(_xlfn.XLOOKUP($A498,PROPERTIES[VEHIDCODE],PROPERTIES[INTRODUCTION_YEAR]),20)</f>
        <v>2000</v>
      </c>
      <c r="E498" t="e">
        <f>_xlfn.XLOOKUP($A498,PROPERTIES[VEHIDCODE],#REF!)</f>
        <v>#REF!</v>
      </c>
      <c r="F498" s="25" t="str" cm="1">
        <f t="array" ref="F498">_xlfn.CONCAT(_xlfn.XLOOKUP($A498,PROPERTIES[VEHIDCODE],PROPERTIES[REGION1]),"_",_xlfn.XLOOKUP($A498,PROPERTIES[VEHIDCODE],PROPERTIES[REGION2]),"_",_xlfn.XLOOKUP($A498,PROPERTIES[VEHIDCODE],PROPERTIES[REGION3]&amp;"_"&amp;_xlfn.XLOOKUP($A498,PROPERTIES[VEHIDCODE],PROPERTIES[REGION4])))</f>
        <v>OCEANIA_NO_REGION_NO_REGION_NO_REGION</v>
      </c>
      <c r="G498" t="b">
        <f t="shared" si="63"/>
        <v>0</v>
      </c>
      <c r="H498" t="b">
        <f t="shared" si="70"/>
        <v>0</v>
      </c>
      <c r="I498" t="b">
        <f t="shared" si="64"/>
        <v>0</v>
      </c>
      <c r="J498" t="b">
        <f t="shared" si="71"/>
        <v>0</v>
      </c>
      <c r="K498" t="b">
        <f t="shared" si="65"/>
        <v>0</v>
      </c>
      <c r="L498" t="b">
        <f t="shared" si="66"/>
        <v>0</v>
      </c>
      <c r="M498" t="b">
        <f t="shared" si="67"/>
        <v>0</v>
      </c>
      <c r="N498" t="b">
        <f t="shared" si="68"/>
        <v>0</v>
      </c>
      <c r="O498" t="b">
        <f t="shared" si="69"/>
        <v>1</v>
      </c>
    </row>
    <row r="499" spans="1:15" x14ac:dyDescent="0.35">
      <c r="A499" t="str">
        <v>dmu_Nippon_Sharyo_1000_Series</v>
      </c>
      <c r="B499" t="b" cm="1">
        <f t="array" ref="B499">_xlfn.XLOOKUP(A499,CONTROL[VEHIDCODE],PROPERTIES[EXCLUDE])</f>
        <v>0</v>
      </c>
      <c r="C499" t="b">
        <f>_xlfn.XLOOKUP(A499,CONTROL[VEHIDCODE],CONTROL[IS_WAGON_OR_COACH])</f>
        <v>0</v>
      </c>
      <c r="D499">
        <f>FLOOR(_xlfn.XLOOKUP($A499,PROPERTIES[VEHIDCODE],PROPERTIES[INTRODUCTION_YEAR]),20)</f>
        <v>2000</v>
      </c>
      <c r="E499" t="e">
        <f>_xlfn.XLOOKUP($A499,PROPERTIES[VEHIDCODE],#REF!)</f>
        <v>#REF!</v>
      </c>
      <c r="F499" s="25" t="str" cm="1">
        <f t="array" ref="F499">_xlfn.CONCAT(_xlfn.XLOOKUP($A499,PROPERTIES[VEHIDCODE],PROPERTIES[REGION1]),"_",_xlfn.XLOOKUP($A499,PROPERTIES[VEHIDCODE],PROPERTIES[REGION2]),"_",_xlfn.XLOOKUP($A499,PROPERTIES[VEHIDCODE],PROPERTIES[REGION3]&amp;"_"&amp;_xlfn.XLOOKUP($A499,PROPERTIES[VEHIDCODE],PROPERTIES[REGION4])))</f>
        <v>NORTH_AMERICA_NO_REGION_NO_REGION_NO_REGION</v>
      </c>
      <c r="G499" t="b">
        <f t="shared" si="63"/>
        <v>0</v>
      </c>
      <c r="H499" t="b">
        <f t="shared" si="70"/>
        <v>0</v>
      </c>
      <c r="I499" t="b">
        <f t="shared" si="64"/>
        <v>0</v>
      </c>
      <c r="J499" t="b">
        <f t="shared" si="71"/>
        <v>0</v>
      </c>
      <c r="K499" t="b">
        <f t="shared" si="65"/>
        <v>0</v>
      </c>
      <c r="L499" t="b">
        <f t="shared" si="66"/>
        <v>0</v>
      </c>
      <c r="M499" t="b">
        <f t="shared" si="67"/>
        <v>1</v>
      </c>
      <c r="N499" t="b">
        <f t="shared" si="68"/>
        <v>0</v>
      </c>
      <c r="O499" t="b">
        <f t="shared" si="69"/>
        <v>0</v>
      </c>
    </row>
    <row r="500" spans="1:15" x14ac:dyDescent="0.35">
      <c r="A500" t="str">
        <v>dmu_Materfer_CMM_400_2</v>
      </c>
      <c r="B500" t="b" cm="1">
        <f t="array" ref="B500">_xlfn.XLOOKUP(A500,CONTROL[VEHIDCODE],PROPERTIES[EXCLUDE])</f>
        <v>0</v>
      </c>
      <c r="C500" t="b">
        <f>_xlfn.XLOOKUP(A500,CONTROL[VEHIDCODE],CONTROL[IS_WAGON_OR_COACH])</f>
        <v>0</v>
      </c>
      <c r="D500">
        <f>FLOOR(_xlfn.XLOOKUP($A500,PROPERTIES[VEHIDCODE],PROPERTIES[INTRODUCTION_YEAR]),20)</f>
        <v>2000</v>
      </c>
      <c r="E500" t="e">
        <f>_xlfn.XLOOKUP($A500,PROPERTIES[VEHIDCODE],#REF!)</f>
        <v>#REF!</v>
      </c>
      <c r="F500" s="25" t="str" cm="1">
        <f t="array" ref="F500">_xlfn.CONCAT(_xlfn.XLOOKUP($A500,PROPERTIES[VEHIDCODE],PROPERTIES[REGION1]),"_",_xlfn.XLOOKUP($A500,PROPERTIES[VEHIDCODE],PROPERTIES[REGION2]),"_",_xlfn.XLOOKUP($A500,PROPERTIES[VEHIDCODE],PROPERTIES[REGION3]&amp;"_"&amp;_xlfn.XLOOKUP($A500,PROPERTIES[VEHIDCODE],PROPERTIES[REGION4])))</f>
        <v>SOUTH_AMERICA_NO_REGION_NO_REGION_NO_REGION</v>
      </c>
      <c r="G500" t="b">
        <f t="shared" si="63"/>
        <v>0</v>
      </c>
      <c r="H500" t="b">
        <f t="shared" si="70"/>
        <v>0</v>
      </c>
      <c r="I500" t="b">
        <f t="shared" si="64"/>
        <v>0</v>
      </c>
      <c r="J500" t="b">
        <f t="shared" si="71"/>
        <v>0</v>
      </c>
      <c r="K500" t="b">
        <f t="shared" si="65"/>
        <v>0</v>
      </c>
      <c r="L500" t="b">
        <f t="shared" si="66"/>
        <v>0</v>
      </c>
      <c r="M500" t="b">
        <f t="shared" si="67"/>
        <v>0</v>
      </c>
      <c r="N500" t="b">
        <f t="shared" si="68"/>
        <v>1</v>
      </c>
      <c r="O500" t="b">
        <f t="shared" si="69"/>
        <v>0</v>
      </c>
    </row>
    <row r="501" spans="1:15" x14ac:dyDescent="0.35">
      <c r="A501" t="str">
        <v>dmu_Fiat_ALn_442_448</v>
      </c>
      <c r="B501" t="b" cm="1">
        <f t="array" ref="B501">_xlfn.XLOOKUP(A501,CONTROL[VEHIDCODE],PROPERTIES[EXCLUDE])</f>
        <v>0</v>
      </c>
      <c r="C501" t="b">
        <f>_xlfn.XLOOKUP(A501,CONTROL[VEHIDCODE],CONTROL[IS_WAGON_OR_COACH])</f>
        <v>0</v>
      </c>
      <c r="D501">
        <f>FLOOR(_xlfn.XLOOKUP($A501,PROPERTIES[VEHIDCODE],PROPERTIES[INTRODUCTION_YEAR]),20)</f>
        <v>1940</v>
      </c>
      <c r="E501" t="e">
        <f>_xlfn.XLOOKUP($A501,PROPERTIES[VEHIDCODE],#REF!)</f>
        <v>#REF!</v>
      </c>
      <c r="F501" s="25" t="str" cm="1">
        <f t="array" ref="F501">_xlfn.CONCAT(_xlfn.XLOOKUP($A501,PROPERTIES[VEHIDCODE],PROPERTIES[REGION1]),"_",_xlfn.XLOOKUP($A501,PROPERTIES[VEHIDCODE],PROPERTIES[REGION2]),"_",_xlfn.XLOOKUP($A501,PROPERTIES[VEHIDCODE],PROPERTIES[REGION3]&amp;"_"&amp;_xlfn.XLOOKUP($A501,PROPERTIES[VEHIDCODE],PROPERTIES[REGION4])))</f>
        <v>SOUTHERN_EUROPE_NO_REGION_NO_REGION_NO_REGION</v>
      </c>
      <c r="G501" t="b">
        <f t="shared" si="63"/>
        <v>0</v>
      </c>
      <c r="H501" t="b">
        <f t="shared" si="70"/>
        <v>0</v>
      </c>
      <c r="I501" t="b">
        <f t="shared" si="64"/>
        <v>1</v>
      </c>
      <c r="J501" t="b">
        <f t="shared" si="71"/>
        <v>0</v>
      </c>
      <c r="K501" t="b">
        <f t="shared" si="65"/>
        <v>0</v>
      </c>
      <c r="L501" t="b">
        <f t="shared" si="66"/>
        <v>0</v>
      </c>
      <c r="M501" t="b">
        <f t="shared" si="67"/>
        <v>0</v>
      </c>
      <c r="N501" t="b">
        <f t="shared" si="68"/>
        <v>0</v>
      </c>
      <c r="O501" t="b">
        <f t="shared" si="69"/>
        <v>0</v>
      </c>
    </row>
    <row r="502" spans="1:15" x14ac:dyDescent="0.35">
      <c r="A502" t="str">
        <v>dmu_Sorefame_CP_0400</v>
      </c>
      <c r="B502" t="b" cm="1">
        <f t="array" ref="B502">_xlfn.XLOOKUP(A502,CONTROL[VEHIDCODE],PROPERTIES[EXCLUDE])</f>
        <v>0</v>
      </c>
      <c r="C502" t="b">
        <f>_xlfn.XLOOKUP(A502,CONTROL[VEHIDCODE],CONTROL[IS_WAGON_OR_COACH])</f>
        <v>0</v>
      </c>
      <c r="D502">
        <f>FLOOR(_xlfn.XLOOKUP($A502,PROPERTIES[VEHIDCODE],PROPERTIES[INTRODUCTION_YEAR]),20)</f>
        <v>1960</v>
      </c>
      <c r="E502" t="e">
        <f>_xlfn.XLOOKUP($A502,PROPERTIES[VEHIDCODE],#REF!)</f>
        <v>#REF!</v>
      </c>
      <c r="F502" s="25" t="str" cm="1">
        <f t="array" ref="F502">_xlfn.CONCAT(_xlfn.XLOOKUP($A502,PROPERTIES[VEHIDCODE],PROPERTIES[REGION1]),"_",_xlfn.XLOOKUP($A502,PROPERTIES[VEHIDCODE],PROPERTIES[REGION2]),"_",_xlfn.XLOOKUP($A502,PROPERTIES[VEHIDCODE],PROPERTIES[REGION3]&amp;"_"&amp;_xlfn.XLOOKUP($A502,PROPERTIES[VEHIDCODE],PROPERTIES[REGION4])))</f>
        <v>SOUTHERN_EUROPE_NO_REGION_NO_REGION_NO_REGION</v>
      </c>
      <c r="G502" t="b">
        <f t="shared" si="63"/>
        <v>0</v>
      </c>
      <c r="H502" t="b">
        <f t="shared" si="70"/>
        <v>0</v>
      </c>
      <c r="I502" t="b">
        <f t="shared" si="64"/>
        <v>1</v>
      </c>
      <c r="J502" t="b">
        <f t="shared" si="71"/>
        <v>0</v>
      </c>
      <c r="K502" t="b">
        <f t="shared" si="65"/>
        <v>0</v>
      </c>
      <c r="L502" t="b">
        <f t="shared" si="66"/>
        <v>0</v>
      </c>
      <c r="M502" t="b">
        <f t="shared" si="67"/>
        <v>0</v>
      </c>
      <c r="N502" t="b">
        <f t="shared" si="68"/>
        <v>0</v>
      </c>
      <c r="O502" t="b">
        <f t="shared" si="69"/>
        <v>0</v>
      </c>
    </row>
    <row r="503" spans="1:15" x14ac:dyDescent="0.35">
      <c r="A503" t="str">
        <v>dmu_Sorefame_CP_0600</v>
      </c>
      <c r="B503" t="b" cm="1">
        <f t="array" ref="B503">_xlfn.XLOOKUP(A503,CONTROL[VEHIDCODE],PROPERTIES[EXCLUDE])</f>
        <v>0</v>
      </c>
      <c r="C503" t="b">
        <f>_xlfn.XLOOKUP(A503,CONTROL[VEHIDCODE],CONTROL[IS_WAGON_OR_COACH])</f>
        <v>0</v>
      </c>
      <c r="D503">
        <f>FLOOR(_xlfn.XLOOKUP($A503,PROPERTIES[VEHIDCODE],PROPERTIES[INTRODUCTION_YEAR]),20)</f>
        <v>1960</v>
      </c>
      <c r="E503" t="e">
        <f>_xlfn.XLOOKUP($A503,PROPERTIES[VEHIDCODE],#REF!)</f>
        <v>#REF!</v>
      </c>
      <c r="F503" s="25" t="str" cm="1">
        <f t="array" ref="F503">_xlfn.CONCAT(_xlfn.XLOOKUP($A503,PROPERTIES[VEHIDCODE],PROPERTIES[REGION1]),"_",_xlfn.XLOOKUP($A503,PROPERTIES[VEHIDCODE],PROPERTIES[REGION2]),"_",_xlfn.XLOOKUP($A503,PROPERTIES[VEHIDCODE],PROPERTIES[REGION3]&amp;"_"&amp;_xlfn.XLOOKUP($A503,PROPERTIES[VEHIDCODE],PROPERTIES[REGION4])))</f>
        <v>SOUTHERN_EUROPE_NO_REGION_NO_REGION_NO_REGION</v>
      </c>
      <c r="G503" t="b">
        <f t="shared" si="63"/>
        <v>0</v>
      </c>
      <c r="H503" t="b">
        <f t="shared" si="70"/>
        <v>0</v>
      </c>
      <c r="I503" t="b">
        <f t="shared" si="64"/>
        <v>1</v>
      </c>
      <c r="J503" t="b">
        <f t="shared" si="71"/>
        <v>0</v>
      </c>
      <c r="K503" t="b">
        <f t="shared" si="65"/>
        <v>0</v>
      </c>
      <c r="L503" t="b">
        <f t="shared" si="66"/>
        <v>0</v>
      </c>
      <c r="M503" t="b">
        <f t="shared" si="67"/>
        <v>0</v>
      </c>
      <c r="N503" t="b">
        <f t="shared" si="68"/>
        <v>0</v>
      </c>
      <c r="O503" t="b">
        <f t="shared" si="69"/>
        <v>0</v>
      </c>
    </row>
    <row r="504" spans="1:15" x14ac:dyDescent="0.35">
      <c r="A504" t="str">
        <v>dmu_MTM_2400_Apollos</v>
      </c>
      <c r="B504" t="b" cm="1">
        <f t="array" ref="B504">_xlfn.XLOOKUP(A504,CONTROL[VEHIDCODE],PROPERTIES[EXCLUDE])</f>
        <v>0</v>
      </c>
      <c r="C504" t="b">
        <f>_xlfn.XLOOKUP(A504,CONTROL[VEHIDCODE],CONTROL[IS_WAGON_OR_COACH])</f>
        <v>0</v>
      </c>
      <c r="D504">
        <f>FLOOR(_xlfn.XLOOKUP($A504,PROPERTIES[VEHIDCODE],PROPERTIES[INTRODUCTION_YEAR]),20)</f>
        <v>1980</v>
      </c>
      <c r="E504" t="e">
        <f>_xlfn.XLOOKUP($A504,PROPERTIES[VEHIDCODE],#REF!)</f>
        <v>#REF!</v>
      </c>
      <c r="F504" s="25" t="str" cm="1">
        <f t="array" ref="F504">_xlfn.CONCAT(_xlfn.XLOOKUP($A504,PROPERTIES[VEHIDCODE],PROPERTIES[REGION1]),"_",_xlfn.XLOOKUP($A504,PROPERTIES[VEHIDCODE],PROPERTIES[REGION2]),"_",_xlfn.XLOOKUP($A504,PROPERTIES[VEHIDCODE],PROPERTIES[REGION3]&amp;"_"&amp;_xlfn.XLOOKUP($A504,PROPERTIES[VEHIDCODE],PROPERTIES[REGION4])))</f>
        <v>SOUTHERN_EUROPE_NO_REGION_NO_REGION_NO_REGION</v>
      </c>
      <c r="G504" t="b">
        <f t="shared" si="63"/>
        <v>0</v>
      </c>
      <c r="H504" t="b">
        <f t="shared" si="70"/>
        <v>0</v>
      </c>
      <c r="I504" t="b">
        <f t="shared" si="64"/>
        <v>1</v>
      </c>
      <c r="J504" t="b">
        <f t="shared" si="71"/>
        <v>0</v>
      </c>
      <c r="K504" t="b">
        <f t="shared" si="65"/>
        <v>0</v>
      </c>
      <c r="L504" t="b">
        <f t="shared" si="66"/>
        <v>0</v>
      </c>
      <c r="M504" t="b">
        <f t="shared" si="67"/>
        <v>0</v>
      </c>
      <c r="N504" t="b">
        <f t="shared" si="68"/>
        <v>0</v>
      </c>
      <c r="O504" t="b">
        <f t="shared" si="69"/>
        <v>0</v>
      </c>
    </row>
    <row r="505" spans="1:15" x14ac:dyDescent="0.35">
      <c r="A505" t="str">
        <v>cargodmu_Windhoff_CargoSprinter</v>
      </c>
      <c r="B505" t="b" cm="1">
        <f t="array" ref="B505">_xlfn.XLOOKUP(A505,CONTROL[VEHIDCODE],PROPERTIES[EXCLUDE])</f>
        <v>0</v>
      </c>
      <c r="C505" t="b">
        <f>_xlfn.XLOOKUP(A505,CONTROL[VEHIDCODE],CONTROL[IS_WAGON_OR_COACH])</f>
        <v>0</v>
      </c>
      <c r="D505">
        <f>FLOOR(_xlfn.XLOOKUP($A505,PROPERTIES[VEHIDCODE],PROPERTIES[INTRODUCTION_YEAR]),20)</f>
        <v>1980</v>
      </c>
      <c r="E505" t="e">
        <f>_xlfn.XLOOKUP($A505,PROPERTIES[VEHIDCODE],#REF!)</f>
        <v>#REF!</v>
      </c>
      <c r="F505" s="25" t="str" cm="1">
        <f t="array" ref="F505">_xlfn.CONCAT(_xlfn.XLOOKUP($A505,PROPERTIES[VEHIDCODE],PROPERTIES[REGION1]),"_",_xlfn.XLOOKUP($A505,PROPERTIES[VEHIDCODE],PROPERTIES[REGION2]),"_",_xlfn.XLOOKUP($A505,PROPERTIES[VEHIDCODE],PROPERTIES[REGION3]&amp;"_"&amp;_xlfn.XLOOKUP($A505,PROPERTIES[VEHIDCODE],PROPERTIES[REGION4])))</f>
        <v>WESTERN_EUROPE_NO_REGION_NO_REGION_NO_REGION</v>
      </c>
      <c r="G505" t="b">
        <f t="shared" si="63"/>
        <v>0</v>
      </c>
      <c r="H505" t="b">
        <f t="shared" si="70"/>
        <v>0</v>
      </c>
      <c r="I505" t="b">
        <f t="shared" si="64"/>
        <v>0</v>
      </c>
      <c r="J505" t="b">
        <f t="shared" si="71"/>
        <v>0</v>
      </c>
      <c r="K505" t="b">
        <f t="shared" si="65"/>
        <v>1</v>
      </c>
      <c r="L505" t="b">
        <f t="shared" si="66"/>
        <v>0</v>
      </c>
      <c r="M505" t="b">
        <f t="shared" si="67"/>
        <v>0</v>
      </c>
      <c r="N505" t="b">
        <f t="shared" si="68"/>
        <v>0</v>
      </c>
      <c r="O505" t="b">
        <f t="shared" si="69"/>
        <v>0</v>
      </c>
    </row>
    <row r="506" spans="1:15" x14ac:dyDescent="0.35">
      <c r="A506" t="str">
        <v>emu_Downer_CRRC_Hitachi_Waratah</v>
      </c>
      <c r="B506" t="b" cm="1">
        <f t="array" ref="B506">_xlfn.XLOOKUP(A506,CONTROL[VEHIDCODE],PROPERTIES[EXCLUDE])</f>
        <v>0</v>
      </c>
      <c r="C506" t="b">
        <f>_xlfn.XLOOKUP(A506,CONTROL[VEHIDCODE],CONTROL[IS_WAGON_OR_COACH])</f>
        <v>0</v>
      </c>
      <c r="D506">
        <f>FLOOR(_xlfn.XLOOKUP($A506,PROPERTIES[VEHIDCODE],PROPERTIES[INTRODUCTION_YEAR]),20)</f>
        <v>2000</v>
      </c>
      <c r="E506" t="e">
        <f>_xlfn.XLOOKUP($A506,PROPERTIES[VEHIDCODE],#REF!)</f>
        <v>#REF!</v>
      </c>
      <c r="F506" s="25" t="str" cm="1">
        <f t="array" ref="F506">_xlfn.CONCAT(_xlfn.XLOOKUP($A506,PROPERTIES[VEHIDCODE],PROPERTIES[REGION1]),"_",_xlfn.XLOOKUP($A506,PROPERTIES[VEHIDCODE],PROPERTIES[REGION2]),"_",_xlfn.XLOOKUP($A506,PROPERTIES[VEHIDCODE],PROPERTIES[REGION3]&amp;"_"&amp;_xlfn.XLOOKUP($A506,PROPERTIES[VEHIDCODE],PROPERTIES[REGION4])))</f>
        <v>OCEANIA_NO_REGION_NO_REGION_NO_REGION</v>
      </c>
      <c r="G506" t="b">
        <f t="shared" si="63"/>
        <v>0</v>
      </c>
      <c r="H506" t="b">
        <f t="shared" si="70"/>
        <v>0</v>
      </c>
      <c r="I506" t="b">
        <f t="shared" si="64"/>
        <v>0</v>
      </c>
      <c r="J506" t="b">
        <f t="shared" si="71"/>
        <v>0</v>
      </c>
      <c r="K506" t="b">
        <f t="shared" si="65"/>
        <v>0</v>
      </c>
      <c r="L506" t="b">
        <f t="shared" si="66"/>
        <v>0</v>
      </c>
      <c r="M506" t="b">
        <f t="shared" si="67"/>
        <v>0</v>
      </c>
      <c r="N506" t="b">
        <f t="shared" si="68"/>
        <v>0</v>
      </c>
      <c r="O506" t="b">
        <f t="shared" si="69"/>
        <v>1</v>
      </c>
    </row>
    <row r="507" spans="1:15" x14ac:dyDescent="0.35">
      <c r="A507" t="str">
        <v>emu_Frichs___Scandia_S_Tog_II</v>
      </c>
      <c r="B507" t="b" cm="1">
        <f t="array" ref="B507">_xlfn.XLOOKUP(A507,CONTROL[VEHIDCODE],PROPERTIES[EXCLUDE])</f>
        <v>0</v>
      </c>
      <c r="C507" t="b">
        <f>_xlfn.XLOOKUP(A507,CONTROL[VEHIDCODE],CONTROL[IS_WAGON_OR_COACH])</f>
        <v>0</v>
      </c>
      <c r="D507">
        <f>FLOOR(_xlfn.XLOOKUP($A507,PROPERTIES[VEHIDCODE],PROPERTIES[INTRODUCTION_YEAR]),20)</f>
        <v>1960</v>
      </c>
      <c r="E507" t="e">
        <f>_xlfn.XLOOKUP($A507,PROPERTIES[VEHIDCODE],#REF!)</f>
        <v>#REF!</v>
      </c>
      <c r="F507" s="25" t="str" cm="1">
        <f t="array" ref="F507">_xlfn.CONCAT(_xlfn.XLOOKUP($A507,PROPERTIES[VEHIDCODE],PROPERTIES[REGION1]),"_",_xlfn.XLOOKUP($A507,PROPERTIES[VEHIDCODE],PROPERTIES[REGION2]),"_",_xlfn.XLOOKUP($A507,PROPERTIES[VEHIDCODE],PROPERTIES[REGION3]&amp;"_"&amp;_xlfn.XLOOKUP($A507,PROPERTIES[VEHIDCODE],PROPERTIES[REGION4])))</f>
        <v>NORTHERN_EUROPE_NO_REGION_NO_REGION_NO_REGION</v>
      </c>
      <c r="G507" t="b">
        <f t="shared" si="63"/>
        <v>0</v>
      </c>
      <c r="H507" t="b">
        <f t="shared" si="70"/>
        <v>0</v>
      </c>
      <c r="I507" t="b">
        <f t="shared" si="64"/>
        <v>0</v>
      </c>
      <c r="J507" t="b">
        <f t="shared" si="71"/>
        <v>0</v>
      </c>
      <c r="K507" t="b">
        <f t="shared" si="65"/>
        <v>0</v>
      </c>
      <c r="L507" t="b">
        <f t="shared" si="66"/>
        <v>1</v>
      </c>
      <c r="M507" t="b">
        <f t="shared" si="67"/>
        <v>0</v>
      </c>
      <c r="N507" t="b">
        <f t="shared" si="68"/>
        <v>0</v>
      </c>
      <c r="O507" t="b">
        <f t="shared" si="69"/>
        <v>0</v>
      </c>
    </row>
    <row r="508" spans="1:15" x14ac:dyDescent="0.35">
      <c r="A508" t="str">
        <v>emu_Alsthom_S_Tog_IV</v>
      </c>
      <c r="B508" t="b" cm="1">
        <f t="array" ref="B508">_xlfn.XLOOKUP(A508,CONTROL[VEHIDCODE],PROPERTIES[EXCLUDE])</f>
        <v>0</v>
      </c>
      <c r="C508" t="b">
        <f>_xlfn.XLOOKUP(A508,CONTROL[VEHIDCODE],CONTROL[IS_WAGON_OR_COACH])</f>
        <v>0</v>
      </c>
      <c r="D508">
        <f>FLOOR(_xlfn.XLOOKUP($A508,PROPERTIES[VEHIDCODE],PROPERTIES[INTRODUCTION_YEAR]),20)</f>
        <v>1980</v>
      </c>
      <c r="E508" t="e">
        <f>_xlfn.XLOOKUP($A508,PROPERTIES[VEHIDCODE],#REF!)</f>
        <v>#REF!</v>
      </c>
      <c r="F508" s="25" t="str" cm="1">
        <f t="array" ref="F508">_xlfn.CONCAT(_xlfn.XLOOKUP($A508,PROPERTIES[VEHIDCODE],PROPERTIES[REGION1]),"_",_xlfn.XLOOKUP($A508,PROPERTIES[VEHIDCODE],PROPERTIES[REGION2]),"_",_xlfn.XLOOKUP($A508,PROPERTIES[VEHIDCODE],PROPERTIES[REGION3]&amp;"_"&amp;_xlfn.XLOOKUP($A508,PROPERTIES[VEHIDCODE],PROPERTIES[REGION4])))</f>
        <v>NORTHERN_EUROPE_NO_REGION_NO_REGION_NO_REGION</v>
      </c>
      <c r="G508" t="b">
        <f t="shared" si="63"/>
        <v>0</v>
      </c>
      <c r="H508" t="b">
        <f t="shared" si="70"/>
        <v>0</v>
      </c>
      <c r="I508" t="b">
        <f t="shared" si="64"/>
        <v>0</v>
      </c>
      <c r="J508" t="b">
        <f t="shared" si="71"/>
        <v>0</v>
      </c>
      <c r="K508" t="b">
        <f t="shared" si="65"/>
        <v>0</v>
      </c>
      <c r="L508" t="b">
        <f t="shared" si="66"/>
        <v>1</v>
      </c>
      <c r="M508" t="b">
        <f t="shared" si="67"/>
        <v>0</v>
      </c>
      <c r="N508" t="b">
        <f t="shared" si="68"/>
        <v>0</v>
      </c>
      <c r="O508" t="b">
        <f t="shared" si="69"/>
        <v>0</v>
      </c>
    </row>
    <row r="509" spans="1:15" x14ac:dyDescent="0.35">
      <c r="A509" t="str">
        <v>emu_TIBB_ECD_21_30</v>
      </c>
      <c r="B509" t="b" cm="1">
        <f t="array" ref="B509">_xlfn.XLOOKUP(A509,CONTROL[VEHIDCODE],PROPERTIES[EXCLUDE])</f>
        <v>0</v>
      </c>
      <c r="C509" t="b">
        <f>_xlfn.XLOOKUP(A509,CONTROL[VEHIDCODE],CONTROL[IS_WAGON_OR_COACH])</f>
        <v>0</v>
      </c>
      <c r="D509">
        <f>FLOOR(_xlfn.XLOOKUP($A509,PROPERTIES[VEHIDCODE],PROPERTIES[INTRODUCTION_YEAR]),20)</f>
        <v>1920</v>
      </c>
      <c r="E509" t="e">
        <f>_xlfn.XLOOKUP($A509,PROPERTIES[VEHIDCODE],#REF!)</f>
        <v>#REF!</v>
      </c>
      <c r="F509" s="25" t="str" cm="1">
        <f t="array" ref="F509">_xlfn.CONCAT(_xlfn.XLOOKUP($A509,PROPERTIES[VEHIDCODE],PROPERTIES[REGION1]),"_",_xlfn.XLOOKUP($A509,PROPERTIES[VEHIDCODE],PROPERTIES[REGION2]),"_",_xlfn.XLOOKUP($A509,PROPERTIES[VEHIDCODE],PROPERTIES[REGION3]&amp;"_"&amp;_xlfn.XLOOKUP($A509,PROPERTIES[VEHIDCODE],PROPERTIES[REGION4])))</f>
        <v>SOUTHERN_EUROPE_NO_REGION_NO_REGION_NO_REGION</v>
      </c>
      <c r="G509" t="b">
        <f t="shared" si="63"/>
        <v>0</v>
      </c>
      <c r="H509" t="b">
        <f t="shared" si="70"/>
        <v>0</v>
      </c>
      <c r="I509" t="b">
        <f t="shared" si="64"/>
        <v>1</v>
      </c>
      <c r="J509" t="b">
        <f t="shared" si="71"/>
        <v>0</v>
      </c>
      <c r="K509" t="b">
        <f t="shared" si="65"/>
        <v>0</v>
      </c>
      <c r="L509" t="b">
        <f t="shared" si="66"/>
        <v>0</v>
      </c>
      <c r="M509" t="b">
        <f t="shared" si="67"/>
        <v>0</v>
      </c>
      <c r="N509" t="b">
        <f t="shared" si="68"/>
        <v>0</v>
      </c>
      <c r="O509" t="b">
        <f t="shared" si="69"/>
        <v>0</v>
      </c>
    </row>
    <row r="510" spans="1:15" x14ac:dyDescent="0.35">
      <c r="A510" t="str">
        <v>emu_Werkspoor_Mat24</v>
      </c>
      <c r="B510" t="b" cm="1">
        <f t="array" ref="B510">_xlfn.XLOOKUP(A510,CONTROL[VEHIDCODE],PROPERTIES[EXCLUDE])</f>
        <v>0</v>
      </c>
      <c r="C510" t="b">
        <f>_xlfn.XLOOKUP(A510,CONTROL[VEHIDCODE],CONTROL[IS_WAGON_OR_COACH])</f>
        <v>0</v>
      </c>
      <c r="D510">
        <f>FLOOR(_xlfn.XLOOKUP($A510,PROPERTIES[VEHIDCODE],PROPERTIES[INTRODUCTION_YEAR]),20)</f>
        <v>1920</v>
      </c>
      <c r="E510" t="e">
        <f>_xlfn.XLOOKUP($A510,PROPERTIES[VEHIDCODE],#REF!)</f>
        <v>#REF!</v>
      </c>
      <c r="F510" s="25" t="str" cm="1">
        <f t="array" ref="F510">_xlfn.CONCAT(_xlfn.XLOOKUP($A510,PROPERTIES[VEHIDCODE],PROPERTIES[REGION1]),"_",_xlfn.XLOOKUP($A510,PROPERTIES[VEHIDCODE],PROPERTIES[REGION2]),"_",_xlfn.XLOOKUP($A510,PROPERTIES[VEHIDCODE],PROPERTIES[REGION3]&amp;"_"&amp;_xlfn.XLOOKUP($A510,PROPERTIES[VEHIDCODE],PROPERTIES[REGION4])))</f>
        <v>WESTERN_EUROPE_NO_REGION_NO_REGION_NO_REGION</v>
      </c>
      <c r="G510" t="b">
        <f t="shared" si="63"/>
        <v>0</v>
      </c>
      <c r="H510" t="b">
        <f t="shared" si="70"/>
        <v>0</v>
      </c>
      <c r="I510" t="b">
        <f t="shared" si="64"/>
        <v>0</v>
      </c>
      <c r="J510" t="b">
        <f t="shared" si="71"/>
        <v>0</v>
      </c>
      <c r="K510" t="b">
        <f t="shared" si="65"/>
        <v>1</v>
      </c>
      <c r="L510" t="b">
        <f t="shared" si="66"/>
        <v>0</v>
      </c>
      <c r="M510" t="b">
        <f t="shared" si="67"/>
        <v>0</v>
      </c>
      <c r="N510" t="b">
        <f t="shared" si="68"/>
        <v>0</v>
      </c>
      <c r="O510" t="b">
        <f t="shared" si="69"/>
        <v>0</v>
      </c>
    </row>
    <row r="511" spans="1:15" x14ac:dyDescent="0.35">
      <c r="A511" t="str">
        <v>emu_Werkspoor_Mat36</v>
      </c>
      <c r="B511" t="b" cm="1">
        <f t="array" ref="B511">_xlfn.XLOOKUP(A511,CONTROL[VEHIDCODE],PROPERTIES[EXCLUDE])</f>
        <v>0</v>
      </c>
      <c r="C511" t="b">
        <f>_xlfn.XLOOKUP(A511,CONTROL[VEHIDCODE],CONTROL[IS_WAGON_OR_COACH])</f>
        <v>0</v>
      </c>
      <c r="D511">
        <f>FLOOR(_xlfn.XLOOKUP($A511,PROPERTIES[VEHIDCODE],PROPERTIES[INTRODUCTION_YEAR]),20)</f>
        <v>1920</v>
      </c>
      <c r="E511" t="e">
        <f>_xlfn.XLOOKUP($A511,PROPERTIES[VEHIDCODE],#REF!)</f>
        <v>#REF!</v>
      </c>
      <c r="F511" s="25" t="str" cm="1">
        <f t="array" ref="F511">_xlfn.CONCAT(_xlfn.XLOOKUP($A511,PROPERTIES[VEHIDCODE],PROPERTIES[REGION1]),"_",_xlfn.XLOOKUP($A511,PROPERTIES[VEHIDCODE],PROPERTIES[REGION2]),"_",_xlfn.XLOOKUP($A511,PROPERTIES[VEHIDCODE],PROPERTIES[REGION3]&amp;"_"&amp;_xlfn.XLOOKUP($A511,PROPERTIES[VEHIDCODE],PROPERTIES[REGION4])))</f>
        <v>WESTERN_EUROPE_NO_REGION_NO_REGION_NO_REGION</v>
      </c>
      <c r="G511" t="b">
        <f t="shared" si="63"/>
        <v>0</v>
      </c>
      <c r="H511" t="b">
        <f t="shared" si="70"/>
        <v>0</v>
      </c>
      <c r="I511" t="b">
        <f t="shared" si="64"/>
        <v>0</v>
      </c>
      <c r="J511" t="b">
        <f t="shared" si="71"/>
        <v>0</v>
      </c>
      <c r="K511" t="b">
        <f t="shared" si="65"/>
        <v>1</v>
      </c>
      <c r="L511" t="b">
        <f t="shared" si="66"/>
        <v>0</v>
      </c>
      <c r="M511" t="b">
        <f t="shared" si="67"/>
        <v>0</v>
      </c>
      <c r="N511" t="b">
        <f t="shared" si="68"/>
        <v>0</v>
      </c>
      <c r="O511" t="b">
        <f t="shared" si="69"/>
        <v>0</v>
      </c>
    </row>
    <row r="512" spans="1:15" x14ac:dyDescent="0.35">
      <c r="A512" t="str">
        <v>emu_Werkspoor_Mat54</v>
      </c>
      <c r="B512" t="b" cm="1">
        <f t="array" ref="B512">_xlfn.XLOOKUP(A512,CONTROL[VEHIDCODE],PROPERTIES[EXCLUDE])</f>
        <v>0</v>
      </c>
      <c r="C512" t="b">
        <f>_xlfn.XLOOKUP(A512,CONTROL[VEHIDCODE],CONTROL[IS_WAGON_OR_COACH])</f>
        <v>0</v>
      </c>
      <c r="D512">
        <f>FLOOR(_xlfn.XLOOKUP($A512,PROPERTIES[VEHIDCODE],PROPERTIES[INTRODUCTION_YEAR]),20)</f>
        <v>1940</v>
      </c>
      <c r="E512" t="e">
        <f>_xlfn.XLOOKUP($A512,PROPERTIES[VEHIDCODE],#REF!)</f>
        <v>#REF!</v>
      </c>
      <c r="F512" s="25" t="str" cm="1">
        <f t="array" ref="F512">_xlfn.CONCAT(_xlfn.XLOOKUP($A512,PROPERTIES[VEHIDCODE],PROPERTIES[REGION1]),"_",_xlfn.XLOOKUP($A512,PROPERTIES[VEHIDCODE],PROPERTIES[REGION2]),"_",_xlfn.XLOOKUP($A512,PROPERTIES[VEHIDCODE],PROPERTIES[REGION3]&amp;"_"&amp;_xlfn.XLOOKUP($A512,PROPERTIES[VEHIDCODE],PROPERTIES[REGION4])))</f>
        <v>WESTERN_EUROPE_NO_REGION_NO_REGION_NO_REGION</v>
      </c>
      <c r="G512" t="b">
        <f t="shared" si="63"/>
        <v>0</v>
      </c>
      <c r="H512" t="b">
        <f t="shared" si="70"/>
        <v>0</v>
      </c>
      <c r="I512" t="b">
        <f t="shared" si="64"/>
        <v>0</v>
      </c>
      <c r="J512" t="b">
        <f t="shared" si="71"/>
        <v>0</v>
      </c>
      <c r="K512" t="b">
        <f t="shared" si="65"/>
        <v>1</v>
      </c>
      <c r="L512" t="b">
        <f t="shared" si="66"/>
        <v>0</v>
      </c>
      <c r="M512" t="b">
        <f t="shared" si="67"/>
        <v>0</v>
      </c>
      <c r="N512" t="b">
        <f t="shared" si="68"/>
        <v>0</v>
      </c>
      <c r="O512" t="b">
        <f t="shared" si="69"/>
        <v>0</v>
      </c>
    </row>
    <row r="513" spans="1:15" x14ac:dyDescent="0.35">
      <c r="A513" t="str">
        <v>emu_Talbot_Plan_Y</v>
      </c>
      <c r="B513" t="b" cm="1">
        <f t="array" ref="B513">_xlfn.XLOOKUP(A513,CONTROL[VEHIDCODE],PROPERTIES[EXCLUDE])</f>
        <v>0</v>
      </c>
      <c r="C513" t="b">
        <f>_xlfn.XLOOKUP(A513,CONTROL[VEHIDCODE],CONTROL[IS_WAGON_OR_COACH])</f>
        <v>0</v>
      </c>
      <c r="D513">
        <f>FLOOR(_xlfn.XLOOKUP($A513,PROPERTIES[VEHIDCODE],PROPERTIES[INTRODUCTION_YEAR]),20)</f>
        <v>1960</v>
      </c>
      <c r="E513" t="e">
        <f>_xlfn.XLOOKUP($A513,PROPERTIES[VEHIDCODE],#REF!)</f>
        <v>#REF!</v>
      </c>
      <c r="F513" s="25" t="str" cm="1">
        <f t="array" ref="F513">_xlfn.CONCAT(_xlfn.XLOOKUP($A513,PROPERTIES[VEHIDCODE],PROPERTIES[REGION1]),"_",_xlfn.XLOOKUP($A513,PROPERTIES[VEHIDCODE],PROPERTIES[REGION2]),"_",_xlfn.XLOOKUP($A513,PROPERTIES[VEHIDCODE],PROPERTIES[REGION3]&amp;"_"&amp;_xlfn.XLOOKUP($A513,PROPERTIES[VEHIDCODE],PROPERTIES[REGION4])))</f>
        <v>WESTERN_EUROPE_NO_REGION_NO_REGION_NO_REGION</v>
      </c>
      <c r="G513" t="b">
        <f t="shared" si="63"/>
        <v>0</v>
      </c>
      <c r="H513" t="b">
        <f t="shared" si="70"/>
        <v>0</v>
      </c>
      <c r="I513" t="b">
        <f t="shared" si="64"/>
        <v>0</v>
      </c>
      <c r="J513" t="b">
        <f t="shared" si="71"/>
        <v>0</v>
      </c>
      <c r="K513" t="b">
        <f t="shared" si="65"/>
        <v>1</v>
      </c>
      <c r="L513" t="b">
        <f t="shared" si="66"/>
        <v>0</v>
      </c>
      <c r="M513" t="b">
        <f t="shared" si="67"/>
        <v>0</v>
      </c>
      <c r="N513" t="b">
        <f t="shared" si="68"/>
        <v>0</v>
      </c>
      <c r="O513" t="b">
        <f t="shared" si="69"/>
        <v>0</v>
      </c>
    </row>
    <row r="514" spans="1:15" x14ac:dyDescent="0.35">
      <c r="A514" t="str">
        <v>emu_Talbot_ICM_4000</v>
      </c>
      <c r="B514" t="b" cm="1">
        <f t="array" ref="B514">_xlfn.XLOOKUP(A514,CONTROL[VEHIDCODE],PROPERTIES[EXCLUDE])</f>
        <v>0</v>
      </c>
      <c r="C514" t="b">
        <f>_xlfn.XLOOKUP(A514,CONTROL[VEHIDCODE],CONTROL[IS_WAGON_OR_COACH])</f>
        <v>0</v>
      </c>
      <c r="D514">
        <f>FLOOR(_xlfn.XLOOKUP($A514,PROPERTIES[VEHIDCODE],PROPERTIES[INTRODUCTION_YEAR]),20)</f>
        <v>1960</v>
      </c>
      <c r="E514" t="e">
        <f>_xlfn.XLOOKUP($A514,PROPERTIES[VEHIDCODE],#REF!)</f>
        <v>#REF!</v>
      </c>
      <c r="F514" s="25" t="str" cm="1">
        <f t="array" ref="F514">_xlfn.CONCAT(_xlfn.XLOOKUP($A514,PROPERTIES[VEHIDCODE],PROPERTIES[REGION1]),"_",_xlfn.XLOOKUP($A514,PROPERTIES[VEHIDCODE],PROPERTIES[REGION2]),"_",_xlfn.XLOOKUP($A514,PROPERTIES[VEHIDCODE],PROPERTIES[REGION3]&amp;"_"&amp;_xlfn.XLOOKUP($A514,PROPERTIES[VEHIDCODE],PROPERTIES[REGION4])))</f>
        <v>WESTERN_EUROPE_NO_REGION_NO_REGION_NO_REGION</v>
      </c>
      <c r="G514" t="b">
        <f t="shared" ref="G514:G577" si="72">OR(ISNUMBER(SEARCH("ALL_REGION",$F514)),
ISNUMBER(SEARCH("AFRICA",$F514)),
ISNUMBER(SEARCH("OLD_WORLD",$F514)),
ISNUMBER(SEARCH("NON_EUROPEAN",$F514)))</f>
        <v>0</v>
      </c>
      <c r="H514" t="b">
        <f t="shared" si="70"/>
        <v>0</v>
      </c>
      <c r="I514" t="b">
        <f t="shared" ref="I514:I577" si="73">OR(ISNUMBER(SEARCH("ALL_REGION",$F514)),
ISNUMBER(SEARCH("ALL_EUROPE",$F514)),
ISNUMBER(SEARCH(I$1,$F514)),
ISNUMBER(SEARCH("OLD_WORLD",$F514)))</f>
        <v>0</v>
      </c>
      <c r="J514" t="b">
        <f t="shared" si="71"/>
        <v>0</v>
      </c>
      <c r="K514" t="b">
        <f t="shared" ref="K514:K577" si="74">OR(ISNUMBER(SEARCH("ALL_REGION",$F514)),
ISNUMBER(SEARCH("ALL_EUROPE",$F514)),
ISNUMBER(SEARCH(K$1,$F514)),
ISNUMBER(SEARCH("OLD_WORLD",$F514)),
ISNUMBER(SEARCH("NORTH_WEST_EUROPE",$F514)))</f>
        <v>1</v>
      </c>
      <c r="L514" t="b">
        <f t="shared" ref="L514:L577" si="75">OR(ISNUMBER(SEARCH("ALL_REGION",$F514)),
ISNUMBER(SEARCH("ALL_EUROPE",$F514)),
ISNUMBER(SEARCH(L$1,$F514)),
ISNUMBER(SEARCH("OLD_WORLD",$F514)),
ISNUMBER(SEARCH("NORTH_WEST_EUROPE",$F514)),
ISNUMBER(SEARCH("POST_SOVIET_BALTIC",$F514)))</f>
        <v>0</v>
      </c>
      <c r="M514" t="b">
        <f t="shared" ref="M514:M577" si="76">OR(ISNUMBER(SEARCH("ALL_REGION",$F514)),
ISNUMBER(SEARCH("ALL_AMERICA",$F514)),
ISNUMBER(SEARCH(M$1,$F514)),
ISNUMBER(SEARCH("NON_EUROPEAN",$F514)))</f>
        <v>0</v>
      </c>
      <c r="N514" t="b">
        <f t="shared" ref="N514:N577" si="77">OR(ISNUMBER(SEARCH("ALL_REGION",$F514)),
ISNUMBER(SEARCH("ALL_AMERICA",$F514)),
ISNUMBER(SEARCH(N$1,$F514)),
ISNUMBER(SEARCH("NON_EUROPEAN",$F514)),
ISNUMBER(SEARCH("COMECON_EXTENDED",$F514)))</f>
        <v>0</v>
      </c>
      <c r="O514" t="b">
        <f t="shared" ref="O514:O577" si="78">OR(ISNUMBER(SEARCH("ALL_REGION",$F514)),
ISNUMBER(SEARCH(O$1,$F514)),
ISNUMBER(SEARCH("APAC",$F514)))</f>
        <v>0</v>
      </c>
    </row>
    <row r="515" spans="1:15" x14ac:dyDescent="0.35">
      <c r="A515" t="str">
        <v>emu_Talbot_DD_IRM_VIRM_8000</v>
      </c>
      <c r="B515" t="b" cm="1">
        <f t="array" ref="B515">_xlfn.XLOOKUP(A515,CONTROL[VEHIDCODE],PROPERTIES[EXCLUDE])</f>
        <v>0</v>
      </c>
      <c r="C515" t="b">
        <f>_xlfn.XLOOKUP(A515,CONTROL[VEHIDCODE],CONTROL[IS_WAGON_OR_COACH])</f>
        <v>0</v>
      </c>
      <c r="D515">
        <f>FLOOR(_xlfn.XLOOKUP($A515,PROPERTIES[VEHIDCODE],PROPERTIES[INTRODUCTION_YEAR]),20)</f>
        <v>1980</v>
      </c>
      <c r="E515" t="e">
        <f>_xlfn.XLOOKUP($A515,PROPERTIES[VEHIDCODE],#REF!)</f>
        <v>#REF!</v>
      </c>
      <c r="F515" s="25" t="str" cm="1">
        <f t="array" ref="F515">_xlfn.CONCAT(_xlfn.XLOOKUP($A515,PROPERTIES[VEHIDCODE],PROPERTIES[REGION1]),"_",_xlfn.XLOOKUP($A515,PROPERTIES[VEHIDCODE],PROPERTIES[REGION2]),"_",_xlfn.XLOOKUP($A515,PROPERTIES[VEHIDCODE],PROPERTIES[REGION3]&amp;"_"&amp;_xlfn.XLOOKUP($A515,PROPERTIES[VEHIDCODE],PROPERTIES[REGION4])))</f>
        <v>WESTERN_EUROPE_NO_REGION_NO_REGION_NO_REGION</v>
      </c>
      <c r="G515" t="b">
        <f t="shared" si="72"/>
        <v>0</v>
      </c>
      <c r="H515" t="b">
        <f t="shared" ref="H515:H578" si="79">OR(ISNUMBER(SEARCH("ALL_REGION",$F515)),
ISNUMBER(SEARCH("ASIA",$F515)),
ISNUMBER(SEARCH("OLD_WORLD",$F515)),
ISNUMBER(SEARCH("NON_EUROPEAN",$F515)),
ISNUMBER(SEARCH("APAC",$F515)),
ISNUMBER(SEARCH("COMECON",$F515)),
ISNUMBER(SEARCH("COMECON_EXTENDED",$F515)),
ISNUMBER(SEARCH("POST_SOVIET_BALTIC",$F515)))</f>
        <v>0</v>
      </c>
      <c r="I515" t="b">
        <f t="shared" si="73"/>
        <v>0</v>
      </c>
      <c r="J515" t="b">
        <f t="shared" ref="J515:J578" si="80">OR(ISNUMBER(SEARCH("ALL_REGION",$F515)),
ISNUMBER(SEARCH("ALL_EUROPE",$F515)),
ISNUMBER(SEARCH(J$1,$F515)),
ISNUMBER(SEARCH("OLD_WORLD",$F515)),
ISNUMBER(SEARCH("COMECON",$F515)),
ISNUMBER(SEARCH("POST_SOVIET_BALTIC",$F515)))</f>
        <v>0</v>
      </c>
      <c r="K515" t="b">
        <f t="shared" si="74"/>
        <v>1</v>
      </c>
      <c r="L515" t="b">
        <f t="shared" si="75"/>
        <v>0</v>
      </c>
      <c r="M515" t="b">
        <f t="shared" si="76"/>
        <v>0</v>
      </c>
      <c r="N515" t="b">
        <f t="shared" si="77"/>
        <v>0</v>
      </c>
      <c r="O515" t="b">
        <f t="shared" si="78"/>
        <v>0</v>
      </c>
    </row>
    <row r="516" spans="1:15" x14ac:dyDescent="0.35">
      <c r="A516" t="str">
        <v>emu_De_Dietrich_Adtranz_mDDm_390</v>
      </c>
      <c r="B516" t="b" cm="1">
        <f t="array" ref="B516">_xlfn.XLOOKUP(A516,CONTROL[VEHIDCODE],PROPERTIES[EXCLUDE])</f>
        <v>0</v>
      </c>
      <c r="C516" t="b">
        <f>_xlfn.XLOOKUP(A516,CONTROL[VEHIDCODE],CONTROL[IS_WAGON_OR_COACH])</f>
        <v>0</v>
      </c>
      <c r="D516">
        <f>FLOOR(_xlfn.XLOOKUP($A516,PROPERTIES[VEHIDCODE],PROPERTIES[INTRODUCTION_YEAR]),20)</f>
        <v>1980</v>
      </c>
      <c r="E516" t="e">
        <f>_xlfn.XLOOKUP($A516,PROPERTIES[VEHIDCODE],#REF!)</f>
        <v>#REF!</v>
      </c>
      <c r="F516" s="25" t="str" cm="1">
        <f t="array" ref="F516">_xlfn.CONCAT(_xlfn.XLOOKUP($A516,PROPERTIES[VEHIDCODE],PROPERTIES[REGION1]),"_",_xlfn.XLOOKUP($A516,PROPERTIES[VEHIDCODE],PROPERTIES[REGION2]),"_",_xlfn.XLOOKUP($A516,PROPERTIES[VEHIDCODE],PROPERTIES[REGION3]&amp;"_"&amp;_xlfn.XLOOKUP($A516,PROPERTIES[VEHIDCODE],PROPERTIES[REGION4])))</f>
        <v>WESTERN_EUROPE_NO_REGION_NO_REGION_NO_REGION</v>
      </c>
      <c r="G516" t="b">
        <f t="shared" si="72"/>
        <v>0</v>
      </c>
      <c r="H516" t="b">
        <f t="shared" si="79"/>
        <v>0</v>
      </c>
      <c r="I516" t="b">
        <f t="shared" si="73"/>
        <v>0</v>
      </c>
      <c r="J516" t="b">
        <f t="shared" si="80"/>
        <v>0</v>
      </c>
      <c r="K516" t="b">
        <f t="shared" si="74"/>
        <v>1</v>
      </c>
      <c r="L516" t="b">
        <f t="shared" si="75"/>
        <v>0</v>
      </c>
      <c r="M516" t="b">
        <f t="shared" si="76"/>
        <v>0</v>
      </c>
      <c r="N516" t="b">
        <f t="shared" si="77"/>
        <v>0</v>
      </c>
      <c r="O516" t="b">
        <f t="shared" si="78"/>
        <v>0</v>
      </c>
    </row>
    <row r="517" spans="1:15" x14ac:dyDescent="0.35">
      <c r="A517" t="str">
        <v>emu_AEG_EW90</v>
      </c>
      <c r="B517" t="b" cm="1">
        <f t="array" ref="B517">_xlfn.XLOOKUP(A517,CONTROL[VEHIDCODE],PROPERTIES[EXCLUDE])</f>
        <v>0</v>
      </c>
      <c r="C517" t="b">
        <f>_xlfn.XLOOKUP(A517,CONTROL[VEHIDCODE],CONTROL[IS_WAGON_OR_COACH])</f>
        <v>0</v>
      </c>
      <c r="D517">
        <f>FLOOR(_xlfn.XLOOKUP($A517,PROPERTIES[VEHIDCODE],PROPERTIES[INTRODUCTION_YEAR]),20)</f>
        <v>1920</v>
      </c>
      <c r="E517" t="e">
        <f>_xlfn.XLOOKUP($A517,PROPERTIES[VEHIDCODE],#REF!)</f>
        <v>#REF!</v>
      </c>
      <c r="F517" s="25" t="str" cm="1">
        <f t="array" ref="F517">_xlfn.CONCAT(_xlfn.XLOOKUP($A517,PROPERTIES[VEHIDCODE],PROPERTIES[REGION1]),"_",_xlfn.XLOOKUP($A517,PROPERTIES[VEHIDCODE],PROPERTIES[REGION2]),"_",_xlfn.XLOOKUP($A517,PROPERTIES[VEHIDCODE],PROPERTIES[REGION3]&amp;"_"&amp;_xlfn.XLOOKUP($A517,PROPERTIES[VEHIDCODE],PROPERTIES[REGION4])))</f>
        <v>COMECON_WESTERN_EUROPE_NO_REGION_NO_REGION</v>
      </c>
      <c r="G517" t="b">
        <f t="shared" si="72"/>
        <v>0</v>
      </c>
      <c r="H517" t="b">
        <f t="shared" si="79"/>
        <v>1</v>
      </c>
      <c r="I517" t="b">
        <f t="shared" si="73"/>
        <v>0</v>
      </c>
      <c r="J517" t="b">
        <f t="shared" si="80"/>
        <v>1</v>
      </c>
      <c r="K517" t="b">
        <f t="shared" si="74"/>
        <v>1</v>
      </c>
      <c r="L517" t="b">
        <f t="shared" si="75"/>
        <v>0</v>
      </c>
      <c r="M517" t="b">
        <f t="shared" si="76"/>
        <v>0</v>
      </c>
      <c r="N517" t="b">
        <f t="shared" si="77"/>
        <v>0</v>
      </c>
      <c r="O517" t="b">
        <f t="shared" si="78"/>
        <v>0</v>
      </c>
    </row>
    <row r="518" spans="1:15" x14ac:dyDescent="0.35">
      <c r="A518" t="str">
        <v>emu_Breda_ETR_200</v>
      </c>
      <c r="B518" t="b" cm="1">
        <f t="array" ref="B518">_xlfn.XLOOKUP(A518,CONTROL[VEHIDCODE],PROPERTIES[EXCLUDE])</f>
        <v>0</v>
      </c>
      <c r="C518" t="b">
        <f>_xlfn.XLOOKUP(A518,CONTROL[VEHIDCODE],CONTROL[IS_WAGON_OR_COACH])</f>
        <v>0</v>
      </c>
      <c r="D518">
        <f>FLOOR(_xlfn.XLOOKUP($A518,PROPERTIES[VEHIDCODE],PROPERTIES[INTRODUCTION_YEAR]),20)</f>
        <v>1920</v>
      </c>
      <c r="E518" t="e">
        <f>_xlfn.XLOOKUP($A518,PROPERTIES[VEHIDCODE],#REF!)</f>
        <v>#REF!</v>
      </c>
      <c r="F518" s="25" t="str" cm="1">
        <f t="array" ref="F518">_xlfn.CONCAT(_xlfn.XLOOKUP($A518,PROPERTIES[VEHIDCODE],PROPERTIES[REGION1]),"_",_xlfn.XLOOKUP($A518,PROPERTIES[VEHIDCODE],PROPERTIES[REGION2]),"_",_xlfn.XLOOKUP($A518,PROPERTIES[VEHIDCODE],PROPERTIES[REGION3]&amp;"_"&amp;_xlfn.XLOOKUP($A518,PROPERTIES[VEHIDCODE],PROPERTIES[REGION4])))</f>
        <v>SOUTHERN_EUROPE_NO_REGION_NO_REGION_NO_REGION</v>
      </c>
      <c r="G518" t="b">
        <f t="shared" si="72"/>
        <v>0</v>
      </c>
      <c r="H518" t="b">
        <f t="shared" si="79"/>
        <v>0</v>
      </c>
      <c r="I518" t="b">
        <f t="shared" si="73"/>
        <v>1</v>
      </c>
      <c r="J518" t="b">
        <f t="shared" si="80"/>
        <v>0</v>
      </c>
      <c r="K518" t="b">
        <f t="shared" si="74"/>
        <v>0</v>
      </c>
      <c r="L518" t="b">
        <f t="shared" si="75"/>
        <v>0</v>
      </c>
      <c r="M518" t="b">
        <f t="shared" si="76"/>
        <v>0</v>
      </c>
      <c r="N518" t="b">
        <f t="shared" si="77"/>
        <v>0</v>
      </c>
      <c r="O518" t="b">
        <f t="shared" si="78"/>
        <v>0</v>
      </c>
    </row>
    <row r="519" spans="1:15" x14ac:dyDescent="0.35">
      <c r="A519" t="str">
        <v>emu_Breda_ETR_300_Settebello</v>
      </c>
      <c r="B519" t="b" cm="1">
        <f t="array" ref="B519">_xlfn.XLOOKUP(A519,CONTROL[VEHIDCODE],PROPERTIES[EXCLUDE])</f>
        <v>0</v>
      </c>
      <c r="C519" t="b">
        <f>_xlfn.XLOOKUP(A519,CONTROL[VEHIDCODE],CONTROL[IS_WAGON_OR_COACH])</f>
        <v>0</v>
      </c>
      <c r="D519">
        <f>FLOOR(_xlfn.XLOOKUP($A519,PROPERTIES[VEHIDCODE],PROPERTIES[INTRODUCTION_YEAR]),20)</f>
        <v>1940</v>
      </c>
      <c r="E519" t="e">
        <f>_xlfn.XLOOKUP($A519,PROPERTIES[VEHIDCODE],#REF!)</f>
        <v>#REF!</v>
      </c>
      <c r="F519" s="25" t="str" cm="1">
        <f t="array" ref="F519">_xlfn.CONCAT(_xlfn.XLOOKUP($A519,PROPERTIES[VEHIDCODE],PROPERTIES[REGION1]),"_",_xlfn.XLOOKUP($A519,PROPERTIES[VEHIDCODE],PROPERTIES[REGION2]),"_",_xlfn.XLOOKUP($A519,PROPERTIES[VEHIDCODE],PROPERTIES[REGION3]&amp;"_"&amp;_xlfn.XLOOKUP($A519,PROPERTIES[VEHIDCODE],PROPERTIES[REGION4])))</f>
        <v>SOUTHERN_EUROPE_NO_REGION_NO_REGION_NO_REGION</v>
      </c>
      <c r="G519" t="b">
        <f t="shared" si="72"/>
        <v>0</v>
      </c>
      <c r="H519" t="b">
        <f t="shared" si="79"/>
        <v>0</v>
      </c>
      <c r="I519" t="b">
        <f t="shared" si="73"/>
        <v>1</v>
      </c>
      <c r="J519" t="b">
        <f t="shared" si="80"/>
        <v>0</v>
      </c>
      <c r="K519" t="b">
        <f t="shared" si="74"/>
        <v>0</v>
      </c>
      <c r="L519" t="b">
        <f t="shared" si="75"/>
        <v>0</v>
      </c>
      <c r="M519" t="b">
        <f t="shared" si="76"/>
        <v>0</v>
      </c>
      <c r="N519" t="b">
        <f t="shared" si="77"/>
        <v>0</v>
      </c>
      <c r="O519" t="b">
        <f t="shared" si="78"/>
        <v>0</v>
      </c>
    </row>
    <row r="520" spans="1:15" x14ac:dyDescent="0.35">
      <c r="A520" t="str">
        <v>emu_TREVI_ETR_500_Frecciarossa</v>
      </c>
      <c r="B520" t="b" cm="1">
        <f t="array" ref="B520">_xlfn.XLOOKUP(A520,CONTROL[VEHIDCODE],PROPERTIES[EXCLUDE])</f>
        <v>0</v>
      </c>
      <c r="C520" t="b">
        <f>_xlfn.XLOOKUP(A520,CONTROL[VEHIDCODE],CONTROL[IS_WAGON_OR_COACH])</f>
        <v>0</v>
      </c>
      <c r="D520">
        <f>FLOOR(_xlfn.XLOOKUP($A520,PROPERTIES[VEHIDCODE],PROPERTIES[INTRODUCTION_YEAR]),20)</f>
        <v>1980</v>
      </c>
      <c r="E520" t="e">
        <f>_xlfn.XLOOKUP($A520,PROPERTIES[VEHIDCODE],#REF!)</f>
        <v>#REF!</v>
      </c>
      <c r="F520" s="25" t="str" cm="1">
        <f t="array" ref="F520">_xlfn.CONCAT(_xlfn.XLOOKUP($A520,PROPERTIES[VEHIDCODE],PROPERTIES[REGION1]),"_",_xlfn.XLOOKUP($A520,PROPERTIES[VEHIDCODE],PROPERTIES[REGION2]),"_",_xlfn.XLOOKUP($A520,PROPERTIES[VEHIDCODE],PROPERTIES[REGION3]&amp;"_"&amp;_xlfn.XLOOKUP($A520,PROPERTIES[VEHIDCODE],PROPERTIES[REGION4])))</f>
        <v>SOUTHERN_EUROPE_NO_REGION_NO_REGION_NO_REGION</v>
      </c>
      <c r="G520" t="b">
        <f t="shared" si="72"/>
        <v>0</v>
      </c>
      <c r="H520" t="b">
        <f t="shared" si="79"/>
        <v>0</v>
      </c>
      <c r="I520" t="b">
        <f t="shared" si="73"/>
        <v>1</v>
      </c>
      <c r="J520" t="b">
        <f t="shared" si="80"/>
        <v>0</v>
      </c>
      <c r="K520" t="b">
        <f t="shared" si="74"/>
        <v>0</v>
      </c>
      <c r="L520" t="b">
        <f t="shared" si="75"/>
        <v>0</v>
      </c>
      <c r="M520" t="b">
        <f t="shared" si="76"/>
        <v>0</v>
      </c>
      <c r="N520" t="b">
        <f t="shared" si="77"/>
        <v>0</v>
      </c>
      <c r="O520" t="b">
        <f t="shared" si="78"/>
        <v>0</v>
      </c>
    </row>
    <row r="521" spans="1:15" x14ac:dyDescent="0.35">
      <c r="A521" t="str">
        <v>emu_AnsaldoBreda_ALe_426</v>
      </c>
      <c r="B521" t="b" cm="1">
        <f t="array" ref="B521">_xlfn.XLOOKUP(A521,CONTROL[VEHIDCODE],PROPERTIES[EXCLUDE])</f>
        <v>0</v>
      </c>
      <c r="C521" t="b">
        <f>_xlfn.XLOOKUP(A521,CONTROL[VEHIDCODE],CONTROL[IS_WAGON_OR_COACH])</f>
        <v>0</v>
      </c>
      <c r="D521">
        <f>FLOOR(_xlfn.XLOOKUP($A521,PROPERTIES[VEHIDCODE],PROPERTIES[INTRODUCTION_YEAR]),20)</f>
        <v>1980</v>
      </c>
      <c r="E521" t="e">
        <f>_xlfn.XLOOKUP($A521,PROPERTIES[VEHIDCODE],#REF!)</f>
        <v>#REF!</v>
      </c>
      <c r="F521" s="25" t="str" cm="1">
        <f t="array" ref="F521">_xlfn.CONCAT(_xlfn.XLOOKUP($A521,PROPERTIES[VEHIDCODE],PROPERTIES[REGION1]),"_",_xlfn.XLOOKUP($A521,PROPERTIES[VEHIDCODE],PROPERTIES[REGION2]),"_",_xlfn.XLOOKUP($A521,PROPERTIES[VEHIDCODE],PROPERTIES[REGION3]&amp;"_"&amp;_xlfn.XLOOKUP($A521,PROPERTIES[VEHIDCODE],PROPERTIES[REGION4])))</f>
        <v>SOUTHERN_EUROPE_NO_REGION_NO_REGION_NO_REGION</v>
      </c>
      <c r="G521" t="b">
        <f t="shared" si="72"/>
        <v>0</v>
      </c>
      <c r="H521" t="b">
        <f t="shared" si="79"/>
        <v>0</v>
      </c>
      <c r="I521" t="b">
        <f t="shared" si="73"/>
        <v>1</v>
      </c>
      <c r="J521" t="b">
        <f t="shared" si="80"/>
        <v>0</v>
      </c>
      <c r="K521" t="b">
        <f t="shared" si="74"/>
        <v>0</v>
      </c>
      <c r="L521" t="b">
        <f t="shared" si="75"/>
        <v>0</v>
      </c>
      <c r="M521" t="b">
        <f t="shared" si="76"/>
        <v>0</v>
      </c>
      <c r="N521" t="b">
        <f t="shared" si="77"/>
        <v>0</v>
      </c>
      <c r="O521" t="b">
        <f t="shared" si="78"/>
        <v>0</v>
      </c>
    </row>
    <row r="522" spans="1:15" x14ac:dyDescent="0.35">
      <c r="A522" t="str">
        <v>emu_BN_ACEC_ZMC</v>
      </c>
      <c r="B522" t="b" cm="1">
        <f t="array" ref="B522">_xlfn.XLOOKUP(A522,CONTROL[VEHIDCODE],PROPERTIES[EXCLUDE])</f>
        <v>0</v>
      </c>
      <c r="C522" t="b">
        <f>_xlfn.XLOOKUP(A522,CONTROL[VEHIDCODE],CONTROL[IS_WAGON_OR_COACH])</f>
        <v>0</v>
      </c>
      <c r="D522">
        <f>FLOOR(_xlfn.XLOOKUP($A522,PROPERTIES[VEHIDCODE],PROPERTIES[INTRODUCTION_YEAR]),20)</f>
        <v>1980</v>
      </c>
      <c r="E522" t="e">
        <f>_xlfn.XLOOKUP($A522,PROPERTIES[VEHIDCODE],#REF!)</f>
        <v>#REF!</v>
      </c>
      <c r="F522" s="25" t="str" cm="1">
        <f t="array" ref="F522">_xlfn.CONCAT(_xlfn.XLOOKUP($A522,PROPERTIES[VEHIDCODE],PROPERTIES[REGION1]),"_",_xlfn.XLOOKUP($A522,PROPERTIES[VEHIDCODE],PROPERTIES[REGION2]),"_",_xlfn.XLOOKUP($A522,PROPERTIES[VEHIDCODE],PROPERTIES[REGION3]&amp;"_"&amp;_xlfn.XLOOKUP($A522,PROPERTIES[VEHIDCODE],PROPERTIES[REGION4])))</f>
        <v>AFRICA_WESTERN_EUROPE_NO_REGION_NO_REGION</v>
      </c>
      <c r="G522" t="b">
        <f t="shared" si="72"/>
        <v>1</v>
      </c>
      <c r="H522" t="b">
        <f t="shared" si="79"/>
        <v>0</v>
      </c>
      <c r="I522" t="b">
        <f t="shared" si="73"/>
        <v>0</v>
      </c>
      <c r="J522" t="b">
        <f t="shared" si="80"/>
        <v>0</v>
      </c>
      <c r="K522" t="b">
        <f t="shared" si="74"/>
        <v>1</v>
      </c>
      <c r="L522" t="b">
        <f t="shared" si="75"/>
        <v>0</v>
      </c>
      <c r="M522" t="b">
        <f t="shared" si="76"/>
        <v>0</v>
      </c>
      <c r="N522" t="b">
        <f t="shared" si="77"/>
        <v>0</v>
      </c>
      <c r="O522" t="b">
        <f t="shared" si="78"/>
        <v>0</v>
      </c>
    </row>
    <row r="523" spans="1:15" x14ac:dyDescent="0.35">
      <c r="A523" t="str">
        <v>emu_ASEA_EW54</v>
      </c>
      <c r="B523" t="b" cm="1">
        <f t="array" ref="B523">_xlfn.XLOOKUP(A523,CONTROL[VEHIDCODE],PROPERTIES[EXCLUDE])</f>
        <v>0</v>
      </c>
      <c r="C523" t="b">
        <f>_xlfn.XLOOKUP(A523,CONTROL[VEHIDCODE],CONTROL[IS_WAGON_OR_COACH])</f>
        <v>0</v>
      </c>
      <c r="D523">
        <f>FLOOR(_xlfn.XLOOKUP($A523,PROPERTIES[VEHIDCODE],PROPERTIES[INTRODUCTION_YEAR]),20)</f>
        <v>1940</v>
      </c>
      <c r="E523" t="e">
        <f>_xlfn.XLOOKUP($A523,PROPERTIES[VEHIDCODE],#REF!)</f>
        <v>#REF!</v>
      </c>
      <c r="F523" s="25" t="str" cm="1">
        <f t="array" ref="F523">_xlfn.CONCAT(_xlfn.XLOOKUP($A523,PROPERTIES[VEHIDCODE],PROPERTIES[REGION1]),"_",_xlfn.XLOOKUP($A523,PROPERTIES[VEHIDCODE],PROPERTIES[REGION2]),"_",_xlfn.XLOOKUP($A523,PROPERTIES[VEHIDCODE],PROPERTIES[REGION3]&amp;"_"&amp;_xlfn.XLOOKUP($A523,PROPERTIES[VEHIDCODE],PROPERTIES[REGION4])))</f>
        <v>EASTERN_EUROPE_NO_REGION_NO_REGION_NO_REGION</v>
      </c>
      <c r="G523" t="b">
        <f t="shared" si="72"/>
        <v>0</v>
      </c>
      <c r="H523" t="b">
        <f t="shared" si="79"/>
        <v>0</v>
      </c>
      <c r="I523" t="b">
        <f t="shared" si="73"/>
        <v>0</v>
      </c>
      <c r="J523" t="b">
        <f t="shared" si="80"/>
        <v>1</v>
      </c>
      <c r="K523" t="b">
        <f t="shared" si="74"/>
        <v>0</v>
      </c>
      <c r="L523" t="b">
        <f t="shared" si="75"/>
        <v>0</v>
      </c>
      <c r="M523" t="b">
        <f t="shared" si="76"/>
        <v>0</v>
      </c>
      <c r="N523" t="b">
        <f t="shared" si="77"/>
        <v>0</v>
      </c>
      <c r="O523" t="b">
        <f t="shared" si="78"/>
        <v>0</v>
      </c>
    </row>
    <row r="524" spans="1:15" x14ac:dyDescent="0.35">
      <c r="A524" t="str">
        <v>emu_Breda_ALe_801</v>
      </c>
      <c r="B524" t="b" cm="1">
        <f t="array" ref="B524">_xlfn.XLOOKUP(A524,CONTROL[VEHIDCODE],PROPERTIES[EXCLUDE])</f>
        <v>0</v>
      </c>
      <c r="C524" t="b">
        <f>_xlfn.XLOOKUP(A524,CONTROL[VEHIDCODE],CONTROL[IS_WAGON_OR_COACH])</f>
        <v>0</v>
      </c>
      <c r="D524">
        <f>FLOOR(_xlfn.XLOOKUP($A524,PROPERTIES[VEHIDCODE],PROPERTIES[INTRODUCTION_YEAR]),20)</f>
        <v>1960</v>
      </c>
      <c r="E524" t="e">
        <f>_xlfn.XLOOKUP($A524,PROPERTIES[VEHIDCODE],#REF!)</f>
        <v>#REF!</v>
      </c>
      <c r="F524" s="25" t="str" cm="1">
        <f t="array" ref="F524">_xlfn.CONCAT(_xlfn.XLOOKUP($A524,PROPERTIES[VEHIDCODE],PROPERTIES[REGION1]),"_",_xlfn.XLOOKUP($A524,PROPERTIES[VEHIDCODE],PROPERTIES[REGION2]),"_",_xlfn.XLOOKUP($A524,PROPERTIES[VEHIDCODE],PROPERTIES[REGION3]&amp;"_"&amp;_xlfn.XLOOKUP($A524,PROPERTIES[VEHIDCODE],PROPERTIES[REGION4])))</f>
        <v>SOUTHERN_EUROPE_NO_REGION_NO_REGION_NO_REGION</v>
      </c>
      <c r="G524" t="b">
        <f t="shared" si="72"/>
        <v>0</v>
      </c>
      <c r="H524" t="b">
        <f t="shared" si="79"/>
        <v>0</v>
      </c>
      <c r="I524" t="b">
        <f t="shared" si="73"/>
        <v>1</v>
      </c>
      <c r="J524" t="b">
        <f t="shared" si="80"/>
        <v>0</v>
      </c>
      <c r="K524" t="b">
        <f t="shared" si="74"/>
        <v>0</v>
      </c>
      <c r="L524" t="b">
        <f t="shared" si="75"/>
        <v>0</v>
      </c>
      <c r="M524" t="b">
        <f t="shared" si="76"/>
        <v>0</v>
      </c>
      <c r="N524" t="b">
        <f t="shared" si="77"/>
        <v>0</v>
      </c>
      <c r="O524" t="b">
        <f t="shared" si="78"/>
        <v>0</v>
      </c>
    </row>
    <row r="525" spans="1:15" x14ac:dyDescent="0.35">
      <c r="A525" t="str">
        <v>emu_SGP_AEG_BBC_4030</v>
      </c>
      <c r="B525" t="b" cm="1">
        <f t="array" ref="B525">_xlfn.XLOOKUP(A525,CONTROL[VEHIDCODE],PROPERTIES[EXCLUDE])</f>
        <v>0</v>
      </c>
      <c r="C525" t="b">
        <f>_xlfn.XLOOKUP(A525,CONTROL[VEHIDCODE],CONTROL[IS_WAGON_OR_COACH])</f>
        <v>0</v>
      </c>
      <c r="D525">
        <f>FLOOR(_xlfn.XLOOKUP($A525,PROPERTIES[VEHIDCODE],PROPERTIES[INTRODUCTION_YEAR]),20)</f>
        <v>1940</v>
      </c>
      <c r="E525" t="e">
        <f>_xlfn.XLOOKUP($A525,PROPERTIES[VEHIDCODE],#REF!)</f>
        <v>#REF!</v>
      </c>
      <c r="F525" s="25" t="str" cm="1">
        <f t="array" ref="F525">_xlfn.CONCAT(_xlfn.XLOOKUP($A525,PROPERTIES[VEHIDCODE],PROPERTIES[REGION1]),"_",_xlfn.XLOOKUP($A525,PROPERTIES[VEHIDCODE],PROPERTIES[REGION2]),"_",_xlfn.XLOOKUP($A525,PROPERTIES[VEHIDCODE],PROPERTIES[REGION3]&amp;"_"&amp;_xlfn.XLOOKUP($A525,PROPERTIES[VEHIDCODE],PROPERTIES[REGION4])))</f>
        <v>WESTERN_EUROPE_NO_REGION_NO_REGION_NO_REGION</v>
      </c>
      <c r="G525" t="b">
        <f t="shared" si="72"/>
        <v>0</v>
      </c>
      <c r="H525" t="b">
        <f t="shared" si="79"/>
        <v>0</v>
      </c>
      <c r="I525" t="b">
        <f t="shared" si="73"/>
        <v>0</v>
      </c>
      <c r="J525" t="b">
        <f t="shared" si="80"/>
        <v>0</v>
      </c>
      <c r="K525" t="b">
        <f t="shared" si="74"/>
        <v>1</v>
      </c>
      <c r="L525" t="b">
        <f t="shared" si="75"/>
        <v>0</v>
      </c>
      <c r="M525" t="b">
        <f t="shared" si="76"/>
        <v>0</v>
      </c>
      <c r="N525" t="b">
        <f t="shared" si="77"/>
        <v>0</v>
      </c>
      <c r="O525" t="b">
        <f t="shared" si="78"/>
        <v>0</v>
      </c>
    </row>
    <row r="526" spans="1:15" x14ac:dyDescent="0.35">
      <c r="A526" t="str">
        <v>emu_ELIN_ET_10</v>
      </c>
      <c r="B526" t="b" cm="1">
        <f t="array" ref="B526">_xlfn.XLOOKUP(A526,CONTROL[VEHIDCODE],PROPERTIES[EXCLUDE])</f>
        <v>0</v>
      </c>
      <c r="C526" t="b">
        <f>_xlfn.XLOOKUP(A526,CONTROL[VEHIDCODE],CONTROL[IS_WAGON_OR_COACH])</f>
        <v>0</v>
      </c>
      <c r="D526">
        <f>FLOOR(_xlfn.XLOOKUP($A526,PROPERTIES[VEHIDCODE],PROPERTIES[INTRODUCTION_YEAR]),20)</f>
        <v>1920</v>
      </c>
      <c r="E526" t="e">
        <f>_xlfn.XLOOKUP($A526,PROPERTIES[VEHIDCODE],#REF!)</f>
        <v>#REF!</v>
      </c>
      <c r="F526" s="25" t="str" cm="1">
        <f t="array" ref="F526">_xlfn.CONCAT(_xlfn.XLOOKUP($A526,PROPERTIES[VEHIDCODE],PROPERTIES[REGION1]),"_",_xlfn.XLOOKUP($A526,PROPERTIES[VEHIDCODE],PROPERTIES[REGION2]),"_",_xlfn.XLOOKUP($A526,PROPERTIES[VEHIDCODE],PROPERTIES[REGION3]&amp;"_"&amp;_xlfn.XLOOKUP($A526,PROPERTIES[VEHIDCODE],PROPERTIES[REGION4])))</f>
        <v>WESTERN_EUROPE_NO_REGION_NO_REGION_NO_REGION</v>
      </c>
      <c r="G526" t="b">
        <f t="shared" si="72"/>
        <v>0</v>
      </c>
      <c r="H526" t="b">
        <f t="shared" si="79"/>
        <v>0</v>
      </c>
      <c r="I526" t="b">
        <f t="shared" si="73"/>
        <v>0</v>
      </c>
      <c r="J526" t="b">
        <f t="shared" si="80"/>
        <v>0</v>
      </c>
      <c r="K526" t="b">
        <f t="shared" si="74"/>
        <v>1</v>
      </c>
      <c r="L526" t="b">
        <f t="shared" si="75"/>
        <v>0</v>
      </c>
      <c r="M526" t="b">
        <f t="shared" si="76"/>
        <v>0</v>
      </c>
      <c r="N526" t="b">
        <f t="shared" si="77"/>
        <v>0</v>
      </c>
      <c r="O526" t="b">
        <f t="shared" si="78"/>
        <v>0</v>
      </c>
    </row>
    <row r="527" spans="1:15" x14ac:dyDescent="0.35">
      <c r="A527" t="str">
        <v>emu_Stadler_4010_KISS</v>
      </c>
      <c r="B527" t="b" cm="1">
        <f t="array" ref="B527">_xlfn.XLOOKUP(A527,CONTROL[VEHIDCODE],PROPERTIES[EXCLUDE])</f>
        <v>0</v>
      </c>
      <c r="C527" t="b">
        <f>_xlfn.XLOOKUP(A527,CONTROL[VEHIDCODE],CONTROL[IS_WAGON_OR_COACH])</f>
        <v>0</v>
      </c>
      <c r="D527">
        <f>FLOOR(_xlfn.XLOOKUP($A527,PROPERTIES[VEHIDCODE],PROPERTIES[INTRODUCTION_YEAR]),20)</f>
        <v>2000</v>
      </c>
      <c r="E527" t="e">
        <f>_xlfn.XLOOKUP($A527,PROPERTIES[VEHIDCODE],#REF!)</f>
        <v>#REF!</v>
      </c>
      <c r="F527" s="25" t="str" cm="1">
        <f t="array" ref="F527">_xlfn.CONCAT(_xlfn.XLOOKUP($A527,PROPERTIES[VEHIDCODE],PROPERTIES[REGION1]),"_",_xlfn.XLOOKUP($A527,PROPERTIES[VEHIDCODE],PROPERTIES[REGION2]),"_",_xlfn.XLOOKUP($A527,PROPERTIES[VEHIDCODE],PROPERTIES[REGION3]&amp;"_"&amp;_xlfn.XLOOKUP($A527,PROPERTIES[VEHIDCODE],PROPERTIES[REGION4])))</f>
        <v>WESTERN_EUROPE_NO_REGION_NO_REGION_NO_REGION</v>
      </c>
      <c r="G527" t="b">
        <f t="shared" si="72"/>
        <v>0</v>
      </c>
      <c r="H527" t="b">
        <f t="shared" si="79"/>
        <v>0</v>
      </c>
      <c r="I527" t="b">
        <f t="shared" si="73"/>
        <v>0</v>
      </c>
      <c r="J527" t="b">
        <f t="shared" si="80"/>
        <v>0</v>
      </c>
      <c r="K527" t="b">
        <f t="shared" si="74"/>
        <v>1</v>
      </c>
      <c r="L527" t="b">
        <f t="shared" si="75"/>
        <v>0</v>
      </c>
      <c r="M527" t="b">
        <f t="shared" si="76"/>
        <v>0</v>
      </c>
      <c r="N527" t="b">
        <f t="shared" si="77"/>
        <v>0</v>
      </c>
      <c r="O527" t="b">
        <f t="shared" si="78"/>
        <v>0</v>
      </c>
    </row>
    <row r="528" spans="1:15" x14ac:dyDescent="0.35">
      <c r="A528" t="str">
        <v>emu_LHB_420</v>
      </c>
      <c r="B528" t="b" cm="1">
        <f t="array" ref="B528">_xlfn.XLOOKUP(A528,CONTROL[VEHIDCODE],PROPERTIES[EXCLUDE])</f>
        <v>0</v>
      </c>
      <c r="C528" t="b">
        <f>_xlfn.XLOOKUP(A528,CONTROL[VEHIDCODE],CONTROL[IS_WAGON_OR_COACH])</f>
        <v>0</v>
      </c>
      <c r="D528">
        <f>FLOOR(_xlfn.XLOOKUP($A528,PROPERTIES[VEHIDCODE],PROPERTIES[INTRODUCTION_YEAR]),20)</f>
        <v>1960</v>
      </c>
      <c r="E528" t="e">
        <f>_xlfn.XLOOKUP($A528,PROPERTIES[VEHIDCODE],#REF!)</f>
        <v>#REF!</v>
      </c>
      <c r="F528" s="25" t="str" cm="1">
        <f t="array" ref="F528">_xlfn.CONCAT(_xlfn.XLOOKUP($A528,PROPERTIES[VEHIDCODE],PROPERTIES[REGION1]),"_",_xlfn.XLOOKUP($A528,PROPERTIES[VEHIDCODE],PROPERTIES[REGION2]),"_",_xlfn.XLOOKUP($A528,PROPERTIES[VEHIDCODE],PROPERTIES[REGION3]&amp;"_"&amp;_xlfn.XLOOKUP($A528,PROPERTIES[VEHIDCODE],PROPERTIES[REGION4])))</f>
        <v>WESTERN_EUROPE_NO_REGION_NO_REGION_NO_REGION</v>
      </c>
      <c r="G528" t="b">
        <f t="shared" si="72"/>
        <v>0</v>
      </c>
      <c r="H528" t="b">
        <f t="shared" si="79"/>
        <v>0</v>
      </c>
      <c r="I528" t="b">
        <f t="shared" si="73"/>
        <v>0</v>
      </c>
      <c r="J528" t="b">
        <f t="shared" si="80"/>
        <v>0</v>
      </c>
      <c r="K528" t="b">
        <f t="shared" si="74"/>
        <v>1</v>
      </c>
      <c r="L528" t="b">
        <f t="shared" si="75"/>
        <v>0</v>
      </c>
      <c r="M528" t="b">
        <f t="shared" si="76"/>
        <v>0</v>
      </c>
      <c r="N528" t="b">
        <f t="shared" si="77"/>
        <v>0</v>
      </c>
      <c r="O528" t="b">
        <f t="shared" si="78"/>
        <v>0</v>
      </c>
    </row>
    <row r="529" spans="1:15" x14ac:dyDescent="0.35">
      <c r="A529" t="str">
        <v>emu_Adtranz_BM73</v>
      </c>
      <c r="B529" t="b" cm="1">
        <f t="array" ref="B529">_xlfn.XLOOKUP(A529,CONTROL[VEHIDCODE],PROPERTIES[EXCLUDE])</f>
        <v>0</v>
      </c>
      <c r="C529" t="b">
        <f>_xlfn.XLOOKUP(A529,CONTROL[VEHIDCODE],CONTROL[IS_WAGON_OR_COACH])</f>
        <v>0</v>
      </c>
      <c r="D529">
        <f>FLOOR(_xlfn.XLOOKUP($A529,PROPERTIES[VEHIDCODE],PROPERTIES[INTRODUCTION_YEAR]),20)</f>
        <v>1980</v>
      </c>
      <c r="E529" t="e">
        <f>_xlfn.XLOOKUP($A529,PROPERTIES[VEHIDCODE],#REF!)</f>
        <v>#REF!</v>
      </c>
      <c r="F529" s="25" t="str" cm="1">
        <f t="array" ref="F529">_xlfn.CONCAT(_xlfn.XLOOKUP($A529,PROPERTIES[VEHIDCODE],PROPERTIES[REGION1]),"_",_xlfn.XLOOKUP($A529,PROPERTIES[VEHIDCODE],PROPERTIES[REGION2]),"_",_xlfn.XLOOKUP($A529,PROPERTIES[VEHIDCODE],PROPERTIES[REGION3]&amp;"_"&amp;_xlfn.XLOOKUP($A529,PROPERTIES[VEHIDCODE],PROPERTIES[REGION4])))</f>
        <v>NORTHERN_EUROPE_NO_REGION_NO_REGION_NO_REGION</v>
      </c>
      <c r="G529" t="b">
        <f t="shared" si="72"/>
        <v>0</v>
      </c>
      <c r="H529" t="b">
        <f t="shared" si="79"/>
        <v>0</v>
      </c>
      <c r="I529" t="b">
        <f t="shared" si="73"/>
        <v>0</v>
      </c>
      <c r="J529" t="b">
        <f t="shared" si="80"/>
        <v>0</v>
      </c>
      <c r="K529" t="b">
        <f t="shared" si="74"/>
        <v>0</v>
      </c>
      <c r="L529" t="b">
        <f t="shared" si="75"/>
        <v>1</v>
      </c>
      <c r="M529" t="b">
        <f t="shared" si="76"/>
        <v>0</v>
      </c>
      <c r="N529" t="b">
        <f t="shared" si="77"/>
        <v>0</v>
      </c>
      <c r="O529" t="b">
        <f t="shared" si="78"/>
        <v>0</v>
      </c>
    </row>
    <row r="530" spans="1:15" x14ac:dyDescent="0.35">
      <c r="A530" t="str">
        <v>emu_NEBB_M65</v>
      </c>
      <c r="B530" t="b" cm="1">
        <f t="array" ref="B530">_xlfn.XLOOKUP(A530,CONTROL[VEHIDCODE],PROPERTIES[EXCLUDE])</f>
        <v>0</v>
      </c>
      <c r="C530" t="b">
        <f>_xlfn.XLOOKUP(A530,CONTROL[VEHIDCODE],CONTROL[IS_WAGON_OR_COACH])</f>
        <v>0</v>
      </c>
      <c r="D530">
        <f>FLOOR(_xlfn.XLOOKUP($A530,PROPERTIES[VEHIDCODE],PROPERTIES[INTRODUCTION_YEAR]),20)</f>
        <v>1940</v>
      </c>
      <c r="E530" t="e">
        <f>_xlfn.XLOOKUP($A530,PROPERTIES[VEHIDCODE],#REF!)</f>
        <v>#REF!</v>
      </c>
      <c r="F530" s="25" t="str" cm="1">
        <f t="array" ref="F530">_xlfn.CONCAT(_xlfn.XLOOKUP($A530,PROPERTIES[VEHIDCODE],PROPERTIES[REGION1]),"_",_xlfn.XLOOKUP($A530,PROPERTIES[VEHIDCODE],PROPERTIES[REGION2]),"_",_xlfn.XLOOKUP($A530,PROPERTIES[VEHIDCODE],PROPERTIES[REGION3]&amp;"_"&amp;_xlfn.XLOOKUP($A530,PROPERTIES[VEHIDCODE],PROPERTIES[REGION4])))</f>
        <v>NORTHERN_EUROPE_NO_REGION_NO_REGION_NO_REGION</v>
      </c>
      <c r="G530" t="b">
        <f t="shared" si="72"/>
        <v>0</v>
      </c>
      <c r="H530" t="b">
        <f t="shared" si="79"/>
        <v>0</v>
      </c>
      <c r="I530" t="b">
        <f t="shared" si="73"/>
        <v>0</v>
      </c>
      <c r="J530" t="b">
        <f t="shared" si="80"/>
        <v>0</v>
      </c>
      <c r="K530" t="b">
        <f t="shared" si="74"/>
        <v>0</v>
      </c>
      <c r="L530" t="b">
        <f t="shared" si="75"/>
        <v>1</v>
      </c>
      <c r="M530" t="b">
        <f t="shared" si="76"/>
        <v>0</v>
      </c>
      <c r="N530" t="b">
        <f t="shared" si="77"/>
        <v>0</v>
      </c>
      <c r="O530" t="b">
        <f t="shared" si="78"/>
        <v>0</v>
      </c>
    </row>
    <row r="531" spans="1:15" x14ac:dyDescent="0.35">
      <c r="A531" t="str">
        <v>emu_ASEA_X2000</v>
      </c>
      <c r="B531" t="b" cm="1">
        <f t="array" ref="B531">_xlfn.XLOOKUP(A531,CONTROL[VEHIDCODE],PROPERTIES[EXCLUDE])</f>
        <v>0</v>
      </c>
      <c r="C531" t="b">
        <f>_xlfn.XLOOKUP(A531,CONTROL[VEHIDCODE],CONTROL[IS_WAGON_OR_COACH])</f>
        <v>0</v>
      </c>
      <c r="D531">
        <f>FLOOR(_xlfn.XLOOKUP($A531,PROPERTIES[VEHIDCODE],PROPERTIES[INTRODUCTION_YEAR]),20)</f>
        <v>1980</v>
      </c>
      <c r="E531" t="e">
        <f>_xlfn.XLOOKUP($A531,PROPERTIES[VEHIDCODE],#REF!)</f>
        <v>#REF!</v>
      </c>
      <c r="F531" s="25" t="str" cm="1">
        <f t="array" ref="F531">_xlfn.CONCAT(_xlfn.XLOOKUP($A531,PROPERTIES[VEHIDCODE],PROPERTIES[REGION1]),"_",_xlfn.XLOOKUP($A531,PROPERTIES[VEHIDCODE],PROPERTIES[REGION2]),"_",_xlfn.XLOOKUP($A531,PROPERTIES[VEHIDCODE],PROPERTIES[REGION3]&amp;"_"&amp;_xlfn.XLOOKUP($A531,PROPERTIES[VEHIDCODE],PROPERTIES[REGION4])))</f>
        <v>NORTHERN_EUROPE_APAC_NO_REGION_NO_REGION</v>
      </c>
      <c r="G531" t="b">
        <f t="shared" si="72"/>
        <v>0</v>
      </c>
      <c r="H531" t="b">
        <f t="shared" si="79"/>
        <v>1</v>
      </c>
      <c r="I531" t="b">
        <f t="shared" si="73"/>
        <v>0</v>
      </c>
      <c r="J531" t="b">
        <f t="shared" si="80"/>
        <v>0</v>
      </c>
      <c r="K531" t="b">
        <f t="shared" si="74"/>
        <v>0</v>
      </c>
      <c r="L531" t="b">
        <f t="shared" si="75"/>
        <v>1</v>
      </c>
      <c r="M531" t="b">
        <f t="shared" si="76"/>
        <v>0</v>
      </c>
      <c r="N531" t="b">
        <f t="shared" si="77"/>
        <v>0</v>
      </c>
      <c r="O531" t="b">
        <f t="shared" si="78"/>
        <v>1</v>
      </c>
    </row>
    <row r="532" spans="1:15" x14ac:dyDescent="0.35">
      <c r="A532" t="str">
        <v>emu_SWP_RABDe_510</v>
      </c>
      <c r="B532" t="b" cm="1">
        <f t="array" ref="B532">_xlfn.XLOOKUP(A532,CONTROL[VEHIDCODE],PROPERTIES[EXCLUDE])</f>
        <v>0</v>
      </c>
      <c r="C532" t="b">
        <f>_xlfn.XLOOKUP(A532,CONTROL[VEHIDCODE],CONTROL[IS_WAGON_OR_COACH])</f>
        <v>0</v>
      </c>
      <c r="D532">
        <f>FLOOR(_xlfn.XLOOKUP($A532,PROPERTIES[VEHIDCODE],PROPERTIES[INTRODUCTION_YEAR]),20)</f>
        <v>1960</v>
      </c>
      <c r="E532" t="e">
        <f>_xlfn.XLOOKUP($A532,PROPERTIES[VEHIDCODE],#REF!)</f>
        <v>#REF!</v>
      </c>
      <c r="F532" s="25" t="str" cm="1">
        <f t="array" ref="F532">_xlfn.CONCAT(_xlfn.XLOOKUP($A532,PROPERTIES[VEHIDCODE],PROPERTIES[REGION1]),"_",_xlfn.XLOOKUP($A532,PROPERTIES[VEHIDCODE],PROPERTIES[REGION2]),"_",_xlfn.XLOOKUP($A532,PROPERTIES[VEHIDCODE],PROPERTIES[REGION3]&amp;"_"&amp;_xlfn.XLOOKUP($A532,PROPERTIES[VEHIDCODE],PROPERTIES[REGION4])))</f>
        <v>WESTERN_EUROPE_NO_REGION_NO_REGION_NO_REGION</v>
      </c>
      <c r="G532" t="b">
        <f t="shared" si="72"/>
        <v>0</v>
      </c>
      <c r="H532" t="b">
        <f t="shared" si="79"/>
        <v>0</v>
      </c>
      <c r="I532" t="b">
        <f t="shared" si="73"/>
        <v>0</v>
      </c>
      <c r="J532" t="b">
        <f t="shared" si="80"/>
        <v>0</v>
      </c>
      <c r="K532" t="b">
        <f t="shared" si="74"/>
        <v>1</v>
      </c>
      <c r="L532" t="b">
        <f t="shared" si="75"/>
        <v>0</v>
      </c>
      <c r="M532" t="b">
        <f t="shared" si="76"/>
        <v>0</v>
      </c>
      <c r="N532" t="b">
        <f t="shared" si="77"/>
        <v>0</v>
      </c>
      <c r="O532" t="b">
        <f t="shared" si="78"/>
        <v>0</v>
      </c>
    </row>
    <row r="533" spans="1:15" x14ac:dyDescent="0.35">
      <c r="A533" t="str">
        <v>emu_Schindler_RBDe_560</v>
      </c>
      <c r="B533" t="b" cm="1">
        <f t="array" ref="B533">_xlfn.XLOOKUP(A533,CONTROL[VEHIDCODE],PROPERTIES[EXCLUDE])</f>
        <v>0</v>
      </c>
      <c r="C533" t="b">
        <f>_xlfn.XLOOKUP(A533,CONTROL[VEHIDCODE],CONTROL[IS_WAGON_OR_COACH])</f>
        <v>0</v>
      </c>
      <c r="D533">
        <f>FLOOR(_xlfn.XLOOKUP($A533,PROPERTIES[VEHIDCODE],PROPERTIES[INTRODUCTION_YEAR]),20)</f>
        <v>1980</v>
      </c>
      <c r="E533" t="e">
        <f>_xlfn.XLOOKUP($A533,PROPERTIES[VEHIDCODE],#REF!)</f>
        <v>#REF!</v>
      </c>
      <c r="F533" s="25" t="str" cm="1">
        <f t="array" ref="F533">_xlfn.CONCAT(_xlfn.XLOOKUP($A533,PROPERTIES[VEHIDCODE],PROPERTIES[REGION1]),"_",_xlfn.XLOOKUP($A533,PROPERTIES[VEHIDCODE],PROPERTIES[REGION2]),"_",_xlfn.XLOOKUP($A533,PROPERTIES[VEHIDCODE],PROPERTIES[REGION3]&amp;"_"&amp;_xlfn.XLOOKUP($A533,PROPERTIES[VEHIDCODE],PROPERTIES[REGION4])))</f>
        <v>WESTERN_EUROPE_NO_REGION_NO_REGION_NO_REGION</v>
      </c>
      <c r="G533" t="b">
        <f t="shared" si="72"/>
        <v>0</v>
      </c>
      <c r="H533" t="b">
        <f t="shared" si="79"/>
        <v>0</v>
      </c>
      <c r="I533" t="b">
        <f t="shared" si="73"/>
        <v>0</v>
      </c>
      <c r="J533" t="b">
        <f t="shared" si="80"/>
        <v>0</v>
      </c>
      <c r="K533" t="b">
        <f t="shared" si="74"/>
        <v>1</v>
      </c>
      <c r="L533" t="b">
        <f t="shared" si="75"/>
        <v>0</v>
      </c>
      <c r="M533" t="b">
        <f t="shared" si="76"/>
        <v>0</v>
      </c>
      <c r="N533" t="b">
        <f t="shared" si="77"/>
        <v>0</v>
      </c>
      <c r="O533" t="b">
        <f t="shared" si="78"/>
        <v>0</v>
      </c>
    </row>
    <row r="534" spans="1:15" x14ac:dyDescent="0.35">
      <c r="A534" t="str">
        <v>emu_Stadler_RABe_523_Flirt</v>
      </c>
      <c r="B534" t="b" cm="1">
        <f t="array" ref="B534">_xlfn.XLOOKUP(A534,CONTROL[VEHIDCODE],PROPERTIES[EXCLUDE])</f>
        <v>0</v>
      </c>
      <c r="C534" t="b">
        <f>_xlfn.XLOOKUP(A534,CONTROL[VEHIDCODE],CONTROL[IS_WAGON_OR_COACH])</f>
        <v>0</v>
      </c>
      <c r="D534">
        <f>FLOOR(_xlfn.XLOOKUP($A534,PROPERTIES[VEHIDCODE],PROPERTIES[INTRODUCTION_YEAR]),20)</f>
        <v>2000</v>
      </c>
      <c r="E534" t="e">
        <f>_xlfn.XLOOKUP($A534,PROPERTIES[VEHIDCODE],#REF!)</f>
        <v>#REF!</v>
      </c>
      <c r="F534" s="25" t="str" cm="1">
        <f t="array" ref="F534">_xlfn.CONCAT(_xlfn.XLOOKUP($A534,PROPERTIES[VEHIDCODE],PROPERTIES[REGION1]),"_",_xlfn.XLOOKUP($A534,PROPERTIES[VEHIDCODE],PROPERTIES[REGION2]),"_",_xlfn.XLOOKUP($A534,PROPERTIES[VEHIDCODE],PROPERTIES[REGION3]&amp;"_"&amp;_xlfn.XLOOKUP($A534,PROPERTIES[VEHIDCODE],PROPERTIES[REGION4])))</f>
        <v>ALL_EUROPE_NO_REGION_NO_REGION_NO_REGION</v>
      </c>
      <c r="G534" t="b">
        <f t="shared" si="72"/>
        <v>0</v>
      </c>
      <c r="H534" t="b">
        <f t="shared" si="79"/>
        <v>0</v>
      </c>
      <c r="I534" t="b">
        <f t="shared" si="73"/>
        <v>1</v>
      </c>
      <c r="J534" t="b">
        <f t="shared" si="80"/>
        <v>1</v>
      </c>
      <c r="K534" t="b">
        <f t="shared" si="74"/>
        <v>1</v>
      </c>
      <c r="L534" t="b">
        <f t="shared" si="75"/>
        <v>1</v>
      </c>
      <c r="M534" t="b">
        <f t="shared" si="76"/>
        <v>0</v>
      </c>
      <c r="N534" t="b">
        <f t="shared" si="77"/>
        <v>0</v>
      </c>
      <c r="O534" t="b">
        <f t="shared" si="78"/>
        <v>0</v>
      </c>
    </row>
    <row r="535" spans="1:15" x14ac:dyDescent="0.35">
      <c r="A535" t="str">
        <v>emu_Budd_Metroliner</v>
      </c>
      <c r="B535" t="b" cm="1">
        <f t="array" ref="B535">_xlfn.XLOOKUP(A535,CONTROL[VEHIDCODE],PROPERTIES[EXCLUDE])</f>
        <v>0</v>
      </c>
      <c r="C535" t="b">
        <f>_xlfn.XLOOKUP(A535,CONTROL[VEHIDCODE],CONTROL[IS_WAGON_OR_COACH])</f>
        <v>0</v>
      </c>
      <c r="D535">
        <f>FLOOR(_xlfn.XLOOKUP($A535,PROPERTIES[VEHIDCODE],PROPERTIES[INTRODUCTION_YEAR]),20)</f>
        <v>1960</v>
      </c>
      <c r="E535" t="e">
        <f>_xlfn.XLOOKUP($A535,PROPERTIES[VEHIDCODE],#REF!)</f>
        <v>#REF!</v>
      </c>
      <c r="F535" s="25" t="str" cm="1">
        <f t="array" ref="F535">_xlfn.CONCAT(_xlfn.XLOOKUP($A535,PROPERTIES[VEHIDCODE],PROPERTIES[REGION1]),"_",_xlfn.XLOOKUP($A535,PROPERTIES[VEHIDCODE],PROPERTIES[REGION2]),"_",_xlfn.XLOOKUP($A535,PROPERTIES[VEHIDCODE],PROPERTIES[REGION3]&amp;"_"&amp;_xlfn.XLOOKUP($A535,PROPERTIES[VEHIDCODE],PROPERTIES[REGION4])))</f>
        <v>NORTH_AMERICA_NO_REGION_NO_REGION_NO_REGION</v>
      </c>
      <c r="G535" t="b">
        <f t="shared" si="72"/>
        <v>0</v>
      </c>
      <c r="H535" t="b">
        <f t="shared" si="79"/>
        <v>0</v>
      </c>
      <c r="I535" t="b">
        <f t="shared" si="73"/>
        <v>0</v>
      </c>
      <c r="J535" t="b">
        <f t="shared" si="80"/>
        <v>0</v>
      </c>
      <c r="K535" t="b">
        <f t="shared" si="74"/>
        <v>0</v>
      </c>
      <c r="L535" t="b">
        <f t="shared" si="75"/>
        <v>0</v>
      </c>
      <c r="M535" t="b">
        <f t="shared" si="76"/>
        <v>1</v>
      </c>
      <c r="N535" t="b">
        <f t="shared" si="77"/>
        <v>0</v>
      </c>
      <c r="O535" t="b">
        <f t="shared" si="78"/>
        <v>0</v>
      </c>
    </row>
    <row r="536" spans="1:15" x14ac:dyDescent="0.35">
      <c r="A536" t="str">
        <v>emu_Siemens_Velero</v>
      </c>
      <c r="B536" t="b" cm="1">
        <f t="array" ref="B536">_xlfn.XLOOKUP(A536,CONTROL[VEHIDCODE],PROPERTIES[EXCLUDE])</f>
        <v>0</v>
      </c>
      <c r="C536" t="b">
        <f>_xlfn.XLOOKUP(A536,CONTROL[VEHIDCODE],CONTROL[IS_WAGON_OR_COACH])</f>
        <v>0</v>
      </c>
      <c r="D536">
        <f>FLOOR(_xlfn.XLOOKUP($A536,PROPERTIES[VEHIDCODE],PROPERTIES[INTRODUCTION_YEAR]),20)</f>
        <v>2000</v>
      </c>
      <c r="E536" t="e">
        <f>_xlfn.XLOOKUP($A536,PROPERTIES[VEHIDCODE],#REF!)</f>
        <v>#REF!</v>
      </c>
      <c r="F536" s="25" t="str" cm="1">
        <f t="array" ref="F536">_xlfn.CONCAT(_xlfn.XLOOKUP($A536,PROPERTIES[VEHIDCODE],PROPERTIES[REGION1]),"_",_xlfn.XLOOKUP($A536,PROPERTIES[VEHIDCODE],PROPERTIES[REGION2]),"_",_xlfn.XLOOKUP($A536,PROPERTIES[VEHIDCODE],PROPERTIES[REGION3]&amp;"_"&amp;_xlfn.XLOOKUP($A536,PROPERTIES[VEHIDCODE],PROPERTIES[REGION4])))</f>
        <v>NORTH_WEST_EUROPE_COMECON_NO_REGION_NO_REGION</v>
      </c>
      <c r="G536" t="b">
        <f t="shared" si="72"/>
        <v>0</v>
      </c>
      <c r="H536" t="b">
        <f t="shared" si="79"/>
        <v>1</v>
      </c>
      <c r="I536" t="b">
        <f t="shared" si="73"/>
        <v>0</v>
      </c>
      <c r="J536" t="b">
        <f t="shared" si="80"/>
        <v>1</v>
      </c>
      <c r="K536" t="b">
        <f t="shared" si="74"/>
        <v>1</v>
      </c>
      <c r="L536" t="b">
        <f t="shared" si="75"/>
        <v>1</v>
      </c>
      <c r="M536" t="b">
        <f t="shared" si="76"/>
        <v>0</v>
      </c>
      <c r="N536" t="b">
        <f t="shared" si="77"/>
        <v>0</v>
      </c>
      <c r="O536" t="b">
        <f t="shared" si="78"/>
        <v>0</v>
      </c>
    </row>
    <row r="537" spans="1:15" x14ac:dyDescent="0.35">
      <c r="A537" t="str">
        <v>emu_Siemens_Desiro_BDZ</v>
      </c>
      <c r="B537" t="b" cm="1">
        <f t="array" ref="B537">_xlfn.XLOOKUP(A537,CONTROL[VEHIDCODE],PROPERTIES[EXCLUDE])</f>
        <v>0</v>
      </c>
      <c r="C537" t="b">
        <f>_xlfn.XLOOKUP(A537,CONTROL[VEHIDCODE],CONTROL[IS_WAGON_OR_COACH])</f>
        <v>0</v>
      </c>
      <c r="D537">
        <f>FLOOR(_xlfn.XLOOKUP($A537,PROPERTIES[VEHIDCODE],PROPERTIES[INTRODUCTION_YEAR]),20)</f>
        <v>2000</v>
      </c>
      <c r="E537" t="e">
        <f>_xlfn.XLOOKUP($A537,PROPERTIES[VEHIDCODE],#REF!)</f>
        <v>#REF!</v>
      </c>
      <c r="F537" s="25" t="str" cm="1">
        <f t="array" ref="F537">_xlfn.CONCAT(_xlfn.XLOOKUP($A537,PROPERTIES[VEHIDCODE],PROPERTIES[REGION1]),"_",_xlfn.XLOOKUP($A537,PROPERTIES[VEHIDCODE],PROPERTIES[REGION2]),"_",_xlfn.XLOOKUP($A537,PROPERTIES[VEHIDCODE],PROPERTIES[REGION3]&amp;"_"&amp;_xlfn.XLOOKUP($A537,PROPERTIES[VEHIDCODE],PROPERTIES[REGION4])))</f>
        <v>EASTERN_EUROPE_NO_REGION_NO_REGION_NO_REGION</v>
      </c>
      <c r="G537" t="b">
        <f t="shared" si="72"/>
        <v>0</v>
      </c>
      <c r="H537" t="b">
        <f t="shared" si="79"/>
        <v>0</v>
      </c>
      <c r="I537" t="b">
        <f t="shared" si="73"/>
        <v>0</v>
      </c>
      <c r="J537" t="b">
        <f t="shared" si="80"/>
        <v>1</v>
      </c>
      <c r="K537" t="b">
        <f t="shared" si="74"/>
        <v>0</v>
      </c>
      <c r="L537" t="b">
        <f t="shared" si="75"/>
        <v>0</v>
      </c>
      <c r="M537" t="b">
        <f t="shared" si="76"/>
        <v>0</v>
      </c>
      <c r="N537" t="b">
        <f t="shared" si="77"/>
        <v>0</v>
      </c>
      <c r="O537" t="b">
        <f t="shared" si="78"/>
        <v>0</v>
      </c>
    </row>
    <row r="538" spans="1:15" x14ac:dyDescent="0.35">
      <c r="A538" t="str">
        <v>emu_Valmet_Sm2</v>
      </c>
      <c r="B538" t="b" cm="1">
        <f t="array" ref="B538">_xlfn.XLOOKUP(A538,CONTROL[VEHIDCODE],PROPERTIES[EXCLUDE])</f>
        <v>0</v>
      </c>
      <c r="C538" t="b">
        <f>_xlfn.XLOOKUP(A538,CONTROL[VEHIDCODE],CONTROL[IS_WAGON_OR_COACH])</f>
        <v>0</v>
      </c>
      <c r="D538">
        <f>FLOOR(_xlfn.XLOOKUP($A538,PROPERTIES[VEHIDCODE],PROPERTIES[INTRODUCTION_YEAR]),20)</f>
        <v>1960</v>
      </c>
      <c r="E538" t="e">
        <f>_xlfn.XLOOKUP($A538,PROPERTIES[VEHIDCODE],#REF!)</f>
        <v>#REF!</v>
      </c>
      <c r="F538" s="25" t="str" cm="1">
        <f t="array" ref="F538">_xlfn.CONCAT(_xlfn.XLOOKUP($A538,PROPERTIES[VEHIDCODE],PROPERTIES[REGION1]),"_",_xlfn.XLOOKUP($A538,PROPERTIES[VEHIDCODE],PROPERTIES[REGION2]),"_",_xlfn.XLOOKUP($A538,PROPERTIES[VEHIDCODE],PROPERTIES[REGION3]&amp;"_"&amp;_xlfn.XLOOKUP($A538,PROPERTIES[VEHIDCODE],PROPERTIES[REGION4])))</f>
        <v>NORTHERN_EUROPE_NO_REGION_NO_REGION_NO_REGION</v>
      </c>
      <c r="G538" t="b">
        <f t="shared" si="72"/>
        <v>0</v>
      </c>
      <c r="H538" t="b">
        <f t="shared" si="79"/>
        <v>0</v>
      </c>
      <c r="I538" t="b">
        <f t="shared" si="73"/>
        <v>0</v>
      </c>
      <c r="J538" t="b">
        <f t="shared" si="80"/>
        <v>0</v>
      </c>
      <c r="K538" t="b">
        <f t="shared" si="74"/>
        <v>0</v>
      </c>
      <c r="L538" t="b">
        <f t="shared" si="75"/>
        <v>1</v>
      </c>
      <c r="M538" t="b">
        <f t="shared" si="76"/>
        <v>0</v>
      </c>
      <c r="N538" t="b">
        <f t="shared" si="77"/>
        <v>0</v>
      </c>
      <c r="O538" t="b">
        <f t="shared" si="78"/>
        <v>0</v>
      </c>
    </row>
    <row r="539" spans="1:15" x14ac:dyDescent="0.35">
      <c r="A539" t="str">
        <v>emu_Fiat_CAF_Sm4</v>
      </c>
      <c r="B539" t="b" cm="1">
        <f t="array" ref="B539">_xlfn.XLOOKUP(A539,CONTROL[VEHIDCODE],PROPERTIES[EXCLUDE])</f>
        <v>0</v>
      </c>
      <c r="C539" t="b">
        <f>_xlfn.XLOOKUP(A539,CONTROL[VEHIDCODE],CONTROL[IS_WAGON_OR_COACH])</f>
        <v>0</v>
      </c>
      <c r="D539">
        <f>FLOOR(_xlfn.XLOOKUP($A539,PROPERTIES[VEHIDCODE],PROPERTIES[INTRODUCTION_YEAR]),20)</f>
        <v>1980</v>
      </c>
      <c r="E539" t="e">
        <f>_xlfn.XLOOKUP($A539,PROPERTIES[VEHIDCODE],#REF!)</f>
        <v>#REF!</v>
      </c>
      <c r="F539" s="25" t="str" cm="1">
        <f t="array" ref="F539">_xlfn.CONCAT(_xlfn.XLOOKUP($A539,PROPERTIES[VEHIDCODE],PROPERTIES[REGION1]),"_",_xlfn.XLOOKUP($A539,PROPERTIES[VEHIDCODE],PROPERTIES[REGION2]),"_",_xlfn.XLOOKUP($A539,PROPERTIES[VEHIDCODE],PROPERTIES[REGION3]&amp;"_"&amp;_xlfn.XLOOKUP($A539,PROPERTIES[VEHIDCODE],PROPERTIES[REGION4])))</f>
        <v>NORTHERN_EUROPE_NO_REGION_NO_REGION_NO_REGION</v>
      </c>
      <c r="G539" t="b">
        <f t="shared" si="72"/>
        <v>0</v>
      </c>
      <c r="H539" t="b">
        <f t="shared" si="79"/>
        <v>0</v>
      </c>
      <c r="I539" t="b">
        <f t="shared" si="73"/>
        <v>0</v>
      </c>
      <c r="J539" t="b">
        <f t="shared" si="80"/>
        <v>0</v>
      </c>
      <c r="K539" t="b">
        <f t="shared" si="74"/>
        <v>0</v>
      </c>
      <c r="L539" t="b">
        <f t="shared" si="75"/>
        <v>1</v>
      </c>
      <c r="M539" t="b">
        <f t="shared" si="76"/>
        <v>0</v>
      </c>
      <c r="N539" t="b">
        <f t="shared" si="77"/>
        <v>0</v>
      </c>
      <c r="O539" t="b">
        <f t="shared" si="78"/>
        <v>0</v>
      </c>
    </row>
    <row r="540" spans="1:15" x14ac:dyDescent="0.35">
      <c r="A540" t="str">
        <v>emu_Ganz_MAVAG_VM17_BDVmot</v>
      </c>
      <c r="B540" t="b" cm="1">
        <f t="array" ref="B540">_xlfn.XLOOKUP(A540,CONTROL[VEHIDCODE],PROPERTIES[EXCLUDE])</f>
        <v>0</v>
      </c>
      <c r="C540" t="b">
        <f>_xlfn.XLOOKUP(A540,CONTROL[VEHIDCODE],CONTROL[IS_WAGON_OR_COACH])</f>
        <v>0</v>
      </c>
      <c r="D540">
        <f>FLOOR(_xlfn.XLOOKUP($A540,PROPERTIES[VEHIDCODE],PROPERTIES[INTRODUCTION_YEAR]),20)</f>
        <v>1980</v>
      </c>
      <c r="E540" t="e">
        <f>_xlfn.XLOOKUP($A540,PROPERTIES[VEHIDCODE],#REF!)</f>
        <v>#REF!</v>
      </c>
      <c r="F540" s="25" t="str" cm="1">
        <f t="array" ref="F540">_xlfn.CONCAT(_xlfn.XLOOKUP($A540,PROPERTIES[VEHIDCODE],PROPERTIES[REGION1]),"_",_xlfn.XLOOKUP($A540,PROPERTIES[VEHIDCODE],PROPERTIES[REGION2]),"_",_xlfn.XLOOKUP($A540,PROPERTIES[VEHIDCODE],PROPERTIES[REGION3]&amp;"_"&amp;_xlfn.XLOOKUP($A540,PROPERTIES[VEHIDCODE],PROPERTIES[REGION4])))</f>
        <v>EASTERN_EUROPE_NO_REGION_NO_REGION_NO_REGION</v>
      </c>
      <c r="G540" t="b">
        <f t="shared" si="72"/>
        <v>0</v>
      </c>
      <c r="H540" t="b">
        <f t="shared" si="79"/>
        <v>0</v>
      </c>
      <c r="I540" t="b">
        <f t="shared" si="73"/>
        <v>0</v>
      </c>
      <c r="J540" t="b">
        <f t="shared" si="80"/>
        <v>1</v>
      </c>
      <c r="K540" t="b">
        <f t="shared" si="74"/>
        <v>0</v>
      </c>
      <c r="L540" t="b">
        <f t="shared" si="75"/>
        <v>0</v>
      </c>
      <c r="M540" t="b">
        <f t="shared" si="76"/>
        <v>0</v>
      </c>
      <c r="N540" t="b">
        <f t="shared" si="77"/>
        <v>0</v>
      </c>
      <c r="O540" t="b">
        <f t="shared" si="78"/>
        <v>0</v>
      </c>
    </row>
    <row r="541" spans="1:15" x14ac:dyDescent="0.35">
      <c r="A541" t="str">
        <v>emu_ACME_Corp__Sureot</v>
      </c>
      <c r="B541" t="b" cm="1">
        <f t="array" ref="B541">_xlfn.XLOOKUP(A541,CONTROL[VEHIDCODE],PROPERTIES[EXCLUDE])</f>
        <v>0</v>
      </c>
      <c r="C541" t="b">
        <f>_xlfn.XLOOKUP(A541,CONTROL[VEHIDCODE],CONTROL[IS_WAGON_OR_COACH])</f>
        <v>0</v>
      </c>
      <c r="D541">
        <f>FLOOR(_xlfn.XLOOKUP($A541,PROPERTIES[VEHIDCODE],PROPERTIES[INTRODUCTION_YEAR]),20)</f>
        <v>2020</v>
      </c>
      <c r="E541" t="e">
        <f>_xlfn.XLOOKUP($A541,PROPERTIES[VEHIDCODE],#REF!)</f>
        <v>#REF!</v>
      </c>
      <c r="F541" s="25" t="str" cm="1">
        <f t="array" ref="F541">_xlfn.CONCAT(_xlfn.XLOOKUP($A541,PROPERTIES[VEHIDCODE],PROPERTIES[REGION1]),"_",_xlfn.XLOOKUP($A541,PROPERTIES[VEHIDCODE],PROPERTIES[REGION2]),"_",_xlfn.XLOOKUP($A541,PROPERTIES[VEHIDCODE],PROPERTIES[REGION3]&amp;"_"&amp;_xlfn.XLOOKUP($A541,PROPERTIES[VEHIDCODE],PROPERTIES[REGION4])))</f>
        <v>ALL_EUROPE_NO_REGION_NO_REGION_NO_REGION</v>
      </c>
      <c r="G541" t="b">
        <f t="shared" si="72"/>
        <v>0</v>
      </c>
      <c r="H541" t="b">
        <f t="shared" si="79"/>
        <v>0</v>
      </c>
      <c r="I541" t="b">
        <f t="shared" si="73"/>
        <v>1</v>
      </c>
      <c r="J541" t="b">
        <f t="shared" si="80"/>
        <v>1</v>
      </c>
      <c r="K541" t="b">
        <f t="shared" si="74"/>
        <v>1</v>
      </c>
      <c r="L541" t="b">
        <f t="shared" si="75"/>
        <v>1</v>
      </c>
      <c r="M541" t="b">
        <f t="shared" si="76"/>
        <v>0</v>
      </c>
      <c r="N541" t="b">
        <f t="shared" si="77"/>
        <v>0</v>
      </c>
      <c r="O541" t="b">
        <f t="shared" si="78"/>
        <v>0</v>
      </c>
    </row>
    <row r="542" spans="1:15" x14ac:dyDescent="0.35">
      <c r="A542" t="str">
        <v>emu_Hitachi_Shinkansen_Series_0</v>
      </c>
      <c r="B542" t="b" cm="1">
        <f t="array" ref="B542">_xlfn.XLOOKUP(A542,CONTROL[VEHIDCODE],PROPERTIES[EXCLUDE])</f>
        <v>0</v>
      </c>
      <c r="C542" t="b">
        <f>_xlfn.XLOOKUP(A542,CONTROL[VEHIDCODE],CONTROL[IS_WAGON_OR_COACH])</f>
        <v>0</v>
      </c>
      <c r="D542">
        <f>FLOOR(_xlfn.XLOOKUP($A542,PROPERTIES[VEHIDCODE],PROPERTIES[INTRODUCTION_YEAR]),20)</f>
        <v>1960</v>
      </c>
      <c r="E542" t="e">
        <f>_xlfn.XLOOKUP($A542,PROPERTIES[VEHIDCODE],#REF!)</f>
        <v>#REF!</v>
      </c>
      <c r="F542" s="25" t="str" cm="1">
        <f t="array" ref="F542">_xlfn.CONCAT(_xlfn.XLOOKUP($A542,PROPERTIES[VEHIDCODE],PROPERTIES[REGION1]),"_",_xlfn.XLOOKUP($A542,PROPERTIES[VEHIDCODE],PROPERTIES[REGION2]),"_",_xlfn.XLOOKUP($A542,PROPERTIES[VEHIDCODE],PROPERTIES[REGION3]&amp;"_"&amp;_xlfn.XLOOKUP($A542,PROPERTIES[VEHIDCODE],PROPERTIES[REGION4])))</f>
        <v>ASIA_NO_REGION_NO_REGION_NO_REGION</v>
      </c>
      <c r="G542" t="b">
        <f t="shared" si="72"/>
        <v>0</v>
      </c>
      <c r="H542" t="b">
        <f t="shared" si="79"/>
        <v>1</v>
      </c>
      <c r="I542" t="b">
        <f t="shared" si="73"/>
        <v>0</v>
      </c>
      <c r="J542" t="b">
        <f t="shared" si="80"/>
        <v>0</v>
      </c>
      <c r="K542" t="b">
        <f t="shared" si="74"/>
        <v>0</v>
      </c>
      <c r="L542" t="b">
        <f t="shared" si="75"/>
        <v>0</v>
      </c>
      <c r="M542" t="b">
        <f t="shared" si="76"/>
        <v>0</v>
      </c>
      <c r="N542" t="b">
        <f t="shared" si="77"/>
        <v>0</v>
      </c>
      <c r="O542" t="b">
        <f t="shared" si="78"/>
        <v>0</v>
      </c>
    </row>
    <row r="543" spans="1:15" x14ac:dyDescent="0.35">
      <c r="A543" t="str">
        <v>emu_Hitachi_Shinkansen_Series_700</v>
      </c>
      <c r="B543" t="b" cm="1">
        <f t="array" ref="B543">_xlfn.XLOOKUP(A543,CONTROL[VEHIDCODE],PROPERTIES[EXCLUDE])</f>
        <v>0</v>
      </c>
      <c r="C543" t="b">
        <f>_xlfn.XLOOKUP(A543,CONTROL[VEHIDCODE],CONTROL[IS_WAGON_OR_COACH])</f>
        <v>0</v>
      </c>
      <c r="D543">
        <f>FLOOR(_xlfn.XLOOKUP($A543,PROPERTIES[VEHIDCODE],PROPERTIES[INTRODUCTION_YEAR]),20)</f>
        <v>1980</v>
      </c>
      <c r="E543" t="e">
        <f>_xlfn.XLOOKUP($A543,PROPERTIES[VEHIDCODE],#REF!)</f>
        <v>#REF!</v>
      </c>
      <c r="F543" s="25" t="str" cm="1">
        <f t="array" ref="F543">_xlfn.CONCAT(_xlfn.XLOOKUP($A543,PROPERTIES[VEHIDCODE],PROPERTIES[REGION1]),"_",_xlfn.XLOOKUP($A543,PROPERTIES[VEHIDCODE],PROPERTIES[REGION2]),"_",_xlfn.XLOOKUP($A543,PROPERTIES[VEHIDCODE],PROPERTIES[REGION3]&amp;"_"&amp;_xlfn.XLOOKUP($A543,PROPERTIES[VEHIDCODE],PROPERTIES[REGION4])))</f>
        <v>ASIA_NO_REGION_NO_REGION_NO_REGION</v>
      </c>
      <c r="G543" t="b">
        <f t="shared" si="72"/>
        <v>0</v>
      </c>
      <c r="H543" t="b">
        <f t="shared" si="79"/>
        <v>1</v>
      </c>
      <c r="I543" t="b">
        <f t="shared" si="73"/>
        <v>0</v>
      </c>
      <c r="J543" t="b">
        <f t="shared" si="80"/>
        <v>0</v>
      </c>
      <c r="K543" t="b">
        <f t="shared" si="74"/>
        <v>0</v>
      </c>
      <c r="L543" t="b">
        <f t="shared" si="75"/>
        <v>0</v>
      </c>
      <c r="M543" t="b">
        <f t="shared" si="76"/>
        <v>0</v>
      </c>
      <c r="N543" t="b">
        <f t="shared" si="77"/>
        <v>0</v>
      </c>
      <c r="O543" t="b">
        <f t="shared" si="78"/>
        <v>0</v>
      </c>
    </row>
    <row r="544" spans="1:15" x14ac:dyDescent="0.35">
      <c r="A544" t="str">
        <v>emu_Hitachi_Kawasaki_Shinkansen_Series_E1_Max</v>
      </c>
      <c r="B544" t="b" cm="1">
        <f t="array" ref="B544">_xlfn.XLOOKUP(A544,CONTROL[VEHIDCODE],PROPERTIES[EXCLUDE])</f>
        <v>0</v>
      </c>
      <c r="C544" t="b">
        <f>_xlfn.XLOOKUP(A544,CONTROL[VEHIDCODE],CONTROL[IS_WAGON_OR_COACH])</f>
        <v>0</v>
      </c>
      <c r="D544">
        <f>FLOOR(_xlfn.XLOOKUP($A544,PROPERTIES[VEHIDCODE],PROPERTIES[INTRODUCTION_YEAR]),20)</f>
        <v>1980</v>
      </c>
      <c r="E544" t="e">
        <f>_xlfn.XLOOKUP($A544,PROPERTIES[VEHIDCODE],#REF!)</f>
        <v>#REF!</v>
      </c>
      <c r="F544" s="25" t="str" cm="1">
        <f t="array" ref="F544">_xlfn.CONCAT(_xlfn.XLOOKUP($A544,PROPERTIES[VEHIDCODE],PROPERTIES[REGION1]),"_",_xlfn.XLOOKUP($A544,PROPERTIES[VEHIDCODE],PROPERTIES[REGION2]),"_",_xlfn.XLOOKUP($A544,PROPERTIES[VEHIDCODE],PROPERTIES[REGION3]&amp;"_"&amp;_xlfn.XLOOKUP($A544,PROPERTIES[VEHIDCODE],PROPERTIES[REGION4])))</f>
        <v>ASIA_NO_REGION_NO_REGION_NO_REGION</v>
      </c>
      <c r="G544" t="b">
        <f t="shared" si="72"/>
        <v>0</v>
      </c>
      <c r="H544" t="b">
        <f t="shared" si="79"/>
        <v>1</v>
      </c>
      <c r="I544" t="b">
        <f t="shared" si="73"/>
        <v>0</v>
      </c>
      <c r="J544" t="b">
        <f t="shared" si="80"/>
        <v>0</v>
      </c>
      <c r="K544" t="b">
        <f t="shared" si="74"/>
        <v>0</v>
      </c>
      <c r="L544" t="b">
        <f t="shared" si="75"/>
        <v>0</v>
      </c>
      <c r="M544" t="b">
        <f t="shared" si="76"/>
        <v>0</v>
      </c>
      <c r="N544" t="b">
        <f t="shared" si="77"/>
        <v>0</v>
      </c>
      <c r="O544" t="b">
        <f t="shared" si="78"/>
        <v>0</v>
      </c>
    </row>
    <row r="545" spans="1:15" x14ac:dyDescent="0.35">
      <c r="A545" t="str">
        <v>emu_Alstom_Coradia_Duplex</v>
      </c>
      <c r="B545" t="b" cm="1">
        <f t="array" ref="B545">_xlfn.XLOOKUP(A545,CONTROL[VEHIDCODE],PROPERTIES[EXCLUDE])</f>
        <v>0</v>
      </c>
      <c r="C545" t="b">
        <f>_xlfn.XLOOKUP(A545,CONTROL[VEHIDCODE],CONTROL[IS_WAGON_OR_COACH])</f>
        <v>0</v>
      </c>
      <c r="D545">
        <f>FLOOR(_xlfn.XLOOKUP($A545,PROPERTIES[VEHIDCODE],PROPERTIES[INTRODUCTION_YEAR]),20)</f>
        <v>1980</v>
      </c>
      <c r="E545" t="e">
        <f>_xlfn.XLOOKUP($A545,PROPERTIES[VEHIDCODE],#REF!)</f>
        <v>#REF!</v>
      </c>
      <c r="F545" s="25" t="str" cm="1">
        <f t="array" ref="F545">_xlfn.CONCAT(_xlfn.XLOOKUP($A545,PROPERTIES[VEHIDCODE],PROPERTIES[REGION1]),"_",_xlfn.XLOOKUP($A545,PROPERTIES[VEHIDCODE],PROPERTIES[REGION2]),"_",_xlfn.XLOOKUP($A545,PROPERTIES[VEHIDCODE],PROPERTIES[REGION3]&amp;"_"&amp;_xlfn.XLOOKUP($A545,PROPERTIES[VEHIDCODE],PROPERTIES[REGION4])))</f>
        <v>NORTH_WEST_EUROPE_NO_REGION_NO_REGION_NO_REGION</v>
      </c>
      <c r="G545" t="b">
        <f t="shared" si="72"/>
        <v>0</v>
      </c>
      <c r="H545" t="b">
        <f t="shared" si="79"/>
        <v>0</v>
      </c>
      <c r="I545" t="b">
        <f t="shared" si="73"/>
        <v>0</v>
      </c>
      <c r="J545" t="b">
        <f t="shared" si="80"/>
        <v>0</v>
      </c>
      <c r="K545" t="b">
        <f t="shared" si="74"/>
        <v>1</v>
      </c>
      <c r="L545" t="b">
        <f t="shared" si="75"/>
        <v>1</v>
      </c>
      <c r="M545" t="b">
        <f t="shared" si="76"/>
        <v>0</v>
      </c>
      <c r="N545" t="b">
        <f t="shared" si="77"/>
        <v>0</v>
      </c>
      <c r="O545" t="b">
        <f t="shared" si="78"/>
        <v>0</v>
      </c>
    </row>
    <row r="546" spans="1:15" x14ac:dyDescent="0.35">
      <c r="A546" t="str">
        <v>emu_RVR_ER31</v>
      </c>
      <c r="B546" t="b" cm="1">
        <f t="array" ref="B546">_xlfn.XLOOKUP(A546,CONTROL[VEHIDCODE],PROPERTIES[EXCLUDE])</f>
        <v>0</v>
      </c>
      <c r="C546" t="b">
        <f>_xlfn.XLOOKUP(A546,CONTROL[VEHIDCODE],CONTROL[IS_WAGON_OR_COACH])</f>
        <v>0</v>
      </c>
      <c r="D546">
        <f>FLOOR(_xlfn.XLOOKUP($A546,PROPERTIES[VEHIDCODE],PROPERTIES[INTRODUCTION_YEAR]),20)</f>
        <v>1980</v>
      </c>
      <c r="E546" t="e">
        <f>_xlfn.XLOOKUP($A546,PROPERTIES[VEHIDCODE],#REF!)</f>
        <v>#REF!</v>
      </c>
      <c r="F546" s="25" t="str" cm="1">
        <f t="array" ref="F546">_xlfn.CONCAT(_xlfn.XLOOKUP($A546,PROPERTIES[VEHIDCODE],PROPERTIES[REGION1]),"_",_xlfn.XLOOKUP($A546,PROPERTIES[VEHIDCODE],PROPERTIES[REGION2]),"_",_xlfn.XLOOKUP($A546,PROPERTIES[VEHIDCODE],PROPERTIES[REGION3]&amp;"_"&amp;_xlfn.XLOOKUP($A546,PROPERTIES[VEHIDCODE],PROPERTIES[REGION4])))</f>
        <v>SOUTHERN_EUROPE_NO_REGION_NO_REGION_NO_REGION</v>
      </c>
      <c r="G546" t="b">
        <f t="shared" si="72"/>
        <v>0</v>
      </c>
      <c r="H546" t="b">
        <f t="shared" si="79"/>
        <v>0</v>
      </c>
      <c r="I546" t="b">
        <f t="shared" si="73"/>
        <v>1</v>
      </c>
      <c r="J546" t="b">
        <f t="shared" si="80"/>
        <v>0</v>
      </c>
      <c r="K546" t="b">
        <f t="shared" si="74"/>
        <v>0</v>
      </c>
      <c r="L546" t="b">
        <f t="shared" si="75"/>
        <v>0</v>
      </c>
      <c r="M546" t="b">
        <f t="shared" si="76"/>
        <v>0</v>
      </c>
      <c r="N546" t="b">
        <f t="shared" si="77"/>
        <v>0</v>
      </c>
      <c r="O546" t="b">
        <f t="shared" si="78"/>
        <v>0</v>
      </c>
    </row>
    <row r="547" spans="1:15" x14ac:dyDescent="0.35">
      <c r="A547" t="str">
        <v>emu_Carel_et_Fouche_Alsthom_Z_6100</v>
      </c>
      <c r="B547" t="b" cm="1">
        <f t="array" ref="B547">_xlfn.XLOOKUP(A547,CONTROL[VEHIDCODE],PROPERTIES[EXCLUDE])</f>
        <v>0</v>
      </c>
      <c r="C547" t="b">
        <f>_xlfn.XLOOKUP(A547,CONTROL[VEHIDCODE],CONTROL[IS_WAGON_OR_COACH])</f>
        <v>0</v>
      </c>
      <c r="D547">
        <f>FLOOR(_xlfn.XLOOKUP($A547,PROPERTIES[VEHIDCODE],PROPERTIES[INTRODUCTION_YEAR]),20)</f>
        <v>1960</v>
      </c>
      <c r="E547" t="e">
        <f>_xlfn.XLOOKUP($A547,PROPERTIES[VEHIDCODE],#REF!)</f>
        <v>#REF!</v>
      </c>
      <c r="F547" s="25" t="str" cm="1">
        <f t="array" ref="F547">_xlfn.CONCAT(_xlfn.XLOOKUP($A547,PROPERTIES[VEHIDCODE],PROPERTIES[REGION1]),"_",_xlfn.XLOOKUP($A547,PROPERTIES[VEHIDCODE],PROPERTIES[REGION2]),"_",_xlfn.XLOOKUP($A547,PROPERTIES[VEHIDCODE],PROPERTIES[REGION3]&amp;"_"&amp;_xlfn.XLOOKUP($A547,PROPERTIES[VEHIDCODE],PROPERTIES[REGION4])))</f>
        <v>EASTERN_EUROPE_WESTERN_EUROPE_NO_REGION_NO_REGION</v>
      </c>
      <c r="G547" t="b">
        <f t="shared" si="72"/>
        <v>0</v>
      </c>
      <c r="H547" t="b">
        <f t="shared" si="79"/>
        <v>0</v>
      </c>
      <c r="I547" t="b">
        <f t="shared" si="73"/>
        <v>0</v>
      </c>
      <c r="J547" t="b">
        <f t="shared" si="80"/>
        <v>1</v>
      </c>
      <c r="K547" t="b">
        <f t="shared" si="74"/>
        <v>1</v>
      </c>
      <c r="L547" t="b">
        <f t="shared" si="75"/>
        <v>0</v>
      </c>
      <c r="M547" t="b">
        <f t="shared" si="76"/>
        <v>0</v>
      </c>
      <c r="N547" t="b">
        <f t="shared" si="77"/>
        <v>0</v>
      </c>
      <c r="O547" t="b">
        <f t="shared" si="78"/>
        <v>0</v>
      </c>
    </row>
    <row r="548" spans="1:15" x14ac:dyDescent="0.35">
      <c r="A548" t="str">
        <v>emu_Bombardier_UCW_Electrostar_Gautrain</v>
      </c>
      <c r="B548" t="b" cm="1">
        <f t="array" ref="B548">_xlfn.XLOOKUP(A548,CONTROL[VEHIDCODE],PROPERTIES[EXCLUDE])</f>
        <v>0</v>
      </c>
      <c r="C548" t="b">
        <f>_xlfn.XLOOKUP(A548,CONTROL[VEHIDCODE],CONTROL[IS_WAGON_OR_COACH])</f>
        <v>0</v>
      </c>
      <c r="D548">
        <f>FLOOR(_xlfn.XLOOKUP($A548,PROPERTIES[VEHIDCODE],PROPERTIES[INTRODUCTION_YEAR]),20)</f>
        <v>2000</v>
      </c>
      <c r="E548" t="e">
        <f>_xlfn.XLOOKUP($A548,PROPERTIES[VEHIDCODE],#REF!)</f>
        <v>#REF!</v>
      </c>
      <c r="F548" s="25" t="str" cm="1">
        <f t="array" ref="F548">_xlfn.CONCAT(_xlfn.XLOOKUP($A548,PROPERTIES[VEHIDCODE],PROPERTIES[REGION1]),"_",_xlfn.XLOOKUP($A548,PROPERTIES[VEHIDCODE],PROPERTIES[REGION2]),"_",_xlfn.XLOOKUP($A548,PROPERTIES[VEHIDCODE],PROPERTIES[REGION3]&amp;"_"&amp;_xlfn.XLOOKUP($A548,PROPERTIES[VEHIDCODE],PROPERTIES[REGION4])))</f>
        <v>AFRICA_NO_REGION_NO_REGION_NO_REGION</v>
      </c>
      <c r="G548" t="b">
        <f t="shared" si="72"/>
        <v>1</v>
      </c>
      <c r="H548" t="b">
        <f t="shared" si="79"/>
        <v>0</v>
      </c>
      <c r="I548" t="b">
        <f t="shared" si="73"/>
        <v>0</v>
      </c>
      <c r="J548" t="b">
        <f t="shared" si="80"/>
        <v>0</v>
      </c>
      <c r="K548" t="b">
        <f t="shared" si="74"/>
        <v>0</v>
      </c>
      <c r="L548" t="b">
        <f t="shared" si="75"/>
        <v>0</v>
      </c>
      <c r="M548" t="b">
        <f t="shared" si="76"/>
        <v>0</v>
      </c>
      <c r="N548" t="b">
        <f t="shared" si="77"/>
        <v>0</v>
      </c>
      <c r="O548" t="b">
        <f t="shared" si="78"/>
        <v>0</v>
      </c>
    </row>
    <row r="549" spans="1:15" x14ac:dyDescent="0.35">
      <c r="A549" t="str">
        <v>emu_Alsthom_Jeumont_TCDD_E8000</v>
      </c>
      <c r="B549" t="b" cm="1">
        <f t="array" ref="B549">_xlfn.XLOOKUP(A549,CONTROL[VEHIDCODE],PROPERTIES[EXCLUDE])</f>
        <v>0</v>
      </c>
      <c r="C549" t="b">
        <f>_xlfn.XLOOKUP(A549,CONTROL[VEHIDCODE],CONTROL[IS_WAGON_OR_COACH])</f>
        <v>0</v>
      </c>
      <c r="D549">
        <f>FLOOR(_xlfn.XLOOKUP($A549,PROPERTIES[VEHIDCODE],PROPERTIES[INTRODUCTION_YEAR]),20)</f>
        <v>1940</v>
      </c>
      <c r="E549" t="e">
        <f>_xlfn.XLOOKUP($A549,PROPERTIES[VEHIDCODE],#REF!)</f>
        <v>#REF!</v>
      </c>
      <c r="F549" s="25" t="str" cm="1">
        <f t="array" ref="F549">_xlfn.CONCAT(_xlfn.XLOOKUP($A549,PROPERTIES[VEHIDCODE],PROPERTIES[REGION1]),"_",_xlfn.XLOOKUP($A549,PROPERTIES[VEHIDCODE],PROPERTIES[REGION2]),"_",_xlfn.XLOOKUP($A549,PROPERTIES[VEHIDCODE],PROPERTIES[REGION3]&amp;"_"&amp;_xlfn.XLOOKUP($A549,PROPERTIES[VEHIDCODE],PROPERTIES[REGION4])))</f>
        <v>COMECON_NO_REGION_NO_REGION_NO_REGION</v>
      </c>
      <c r="G549" t="b">
        <f t="shared" si="72"/>
        <v>0</v>
      </c>
      <c r="H549" t="b">
        <f t="shared" si="79"/>
        <v>1</v>
      </c>
      <c r="I549" t="b">
        <f t="shared" si="73"/>
        <v>0</v>
      </c>
      <c r="J549" t="b">
        <f t="shared" si="80"/>
        <v>1</v>
      </c>
      <c r="K549" t="b">
        <f t="shared" si="74"/>
        <v>0</v>
      </c>
      <c r="L549" t="b">
        <f t="shared" si="75"/>
        <v>0</v>
      </c>
      <c r="M549" t="b">
        <f t="shared" si="76"/>
        <v>0</v>
      </c>
      <c r="N549" t="b">
        <f t="shared" si="77"/>
        <v>0</v>
      </c>
      <c r="O549" t="b">
        <f t="shared" si="78"/>
        <v>0</v>
      </c>
    </row>
    <row r="550" spans="1:15" x14ac:dyDescent="0.35">
      <c r="A550" t="str">
        <v>emu_CSR_Qingdao_CHR380A</v>
      </c>
      <c r="B550" t="b" cm="1">
        <f t="array" ref="B550">_xlfn.XLOOKUP(A550,CONTROL[VEHIDCODE],PROPERTIES[EXCLUDE])</f>
        <v>0</v>
      </c>
      <c r="C550" t="b">
        <f>_xlfn.XLOOKUP(A550,CONTROL[VEHIDCODE],CONTROL[IS_WAGON_OR_COACH])</f>
        <v>0</v>
      </c>
      <c r="D550">
        <f>FLOOR(_xlfn.XLOOKUP($A550,PROPERTIES[VEHIDCODE],PROPERTIES[INTRODUCTION_YEAR]),20)</f>
        <v>2000</v>
      </c>
      <c r="E550" t="e">
        <f>_xlfn.XLOOKUP($A550,PROPERTIES[VEHIDCODE],#REF!)</f>
        <v>#REF!</v>
      </c>
      <c r="F550" s="25" t="str" cm="1">
        <f t="array" ref="F550">_xlfn.CONCAT(_xlfn.XLOOKUP($A550,PROPERTIES[VEHIDCODE],PROPERTIES[REGION1]),"_",_xlfn.XLOOKUP($A550,PROPERTIES[VEHIDCODE],PROPERTIES[REGION2]),"_",_xlfn.XLOOKUP($A550,PROPERTIES[VEHIDCODE],PROPERTIES[REGION3]&amp;"_"&amp;_xlfn.XLOOKUP($A550,PROPERTIES[VEHIDCODE],PROPERTIES[REGION4])))</f>
        <v>ASIA_NO_REGION_NO_REGION_NO_REGION</v>
      </c>
      <c r="G550" t="b">
        <f t="shared" si="72"/>
        <v>0</v>
      </c>
      <c r="H550" t="b">
        <f t="shared" si="79"/>
        <v>1</v>
      </c>
      <c r="I550" t="b">
        <f t="shared" si="73"/>
        <v>0</v>
      </c>
      <c r="J550" t="b">
        <f t="shared" si="80"/>
        <v>0</v>
      </c>
      <c r="K550" t="b">
        <f t="shared" si="74"/>
        <v>0</v>
      </c>
      <c r="L550" t="b">
        <f t="shared" si="75"/>
        <v>0</v>
      </c>
      <c r="M550" t="b">
        <f t="shared" si="76"/>
        <v>0</v>
      </c>
      <c r="N550" t="b">
        <f t="shared" si="77"/>
        <v>0</v>
      </c>
      <c r="O550" t="b">
        <f t="shared" si="78"/>
        <v>0</v>
      </c>
    </row>
    <row r="551" spans="1:15" x14ac:dyDescent="0.35">
      <c r="A551" t="str">
        <v>emu_PRR_MP54</v>
      </c>
      <c r="B551" t="b" cm="1">
        <f t="array" ref="B551">_xlfn.XLOOKUP(A551,CONTROL[VEHIDCODE],PROPERTIES[EXCLUDE])</f>
        <v>1</v>
      </c>
      <c r="C551" t="b">
        <f>_xlfn.XLOOKUP(A551,CONTROL[VEHIDCODE],CONTROL[IS_WAGON_OR_COACH])</f>
        <v>0</v>
      </c>
      <c r="D551">
        <f>FLOOR(_xlfn.XLOOKUP($A551,PROPERTIES[VEHIDCODE],PROPERTIES[INTRODUCTION_YEAR]),20)</f>
        <v>1900</v>
      </c>
      <c r="E551" t="e">
        <f>_xlfn.XLOOKUP($A551,PROPERTIES[VEHIDCODE],#REF!)</f>
        <v>#REF!</v>
      </c>
      <c r="F551" s="25" t="str" cm="1">
        <f t="array" ref="F551">_xlfn.CONCAT(_xlfn.XLOOKUP($A551,PROPERTIES[VEHIDCODE],PROPERTIES[REGION1]),"_",_xlfn.XLOOKUP($A551,PROPERTIES[VEHIDCODE],PROPERTIES[REGION2]),"_",_xlfn.XLOOKUP($A551,PROPERTIES[VEHIDCODE],PROPERTIES[REGION3]&amp;"_"&amp;_xlfn.XLOOKUP($A551,PROPERTIES[VEHIDCODE],PROPERTIES[REGION4])))</f>
        <v>NORTH_AMERICA_NO_REGION_NO_REGION_NO_REGION</v>
      </c>
      <c r="G551" t="b">
        <f t="shared" si="72"/>
        <v>0</v>
      </c>
      <c r="H551" t="b">
        <f t="shared" si="79"/>
        <v>0</v>
      </c>
      <c r="I551" t="b">
        <f t="shared" si="73"/>
        <v>0</v>
      </c>
      <c r="J551" t="b">
        <f t="shared" si="80"/>
        <v>0</v>
      </c>
      <c r="K551" t="b">
        <f t="shared" si="74"/>
        <v>0</v>
      </c>
      <c r="L551" t="b">
        <f t="shared" si="75"/>
        <v>0</v>
      </c>
      <c r="M551" t="b">
        <f t="shared" si="76"/>
        <v>1</v>
      </c>
      <c r="N551" t="b">
        <f t="shared" si="77"/>
        <v>0</v>
      </c>
      <c r="O551" t="b">
        <f t="shared" si="78"/>
        <v>0</v>
      </c>
    </row>
    <row r="552" spans="1:15" x14ac:dyDescent="0.35">
      <c r="A552" t="str">
        <v>emu_Alstom_AGV</v>
      </c>
      <c r="B552" t="b" cm="1">
        <f t="array" ref="B552">_xlfn.XLOOKUP(A552,CONTROL[VEHIDCODE],PROPERTIES[EXCLUDE])</f>
        <v>0</v>
      </c>
      <c r="C552" t="b">
        <f>_xlfn.XLOOKUP(A552,CONTROL[VEHIDCODE],CONTROL[IS_WAGON_OR_COACH])</f>
        <v>0</v>
      </c>
      <c r="D552">
        <f>FLOOR(_xlfn.XLOOKUP($A552,PROPERTIES[VEHIDCODE],PROPERTIES[INTRODUCTION_YEAR]),20)</f>
        <v>2000</v>
      </c>
      <c r="E552" t="e">
        <f>_xlfn.XLOOKUP($A552,PROPERTIES[VEHIDCODE],#REF!)</f>
        <v>#REF!</v>
      </c>
      <c r="F552" s="25" t="str" cm="1">
        <f t="array" ref="F552">_xlfn.CONCAT(_xlfn.XLOOKUP($A552,PROPERTIES[VEHIDCODE],PROPERTIES[REGION1]),"_",_xlfn.XLOOKUP($A552,PROPERTIES[VEHIDCODE],PROPERTIES[REGION2]),"_",_xlfn.XLOOKUP($A552,PROPERTIES[VEHIDCODE],PROPERTIES[REGION3]&amp;"_"&amp;_xlfn.XLOOKUP($A552,PROPERTIES[VEHIDCODE],PROPERTIES[REGION4])))</f>
        <v>SOUTHERN_EUROPE_NO_REGION_NO_REGION_NO_REGION</v>
      </c>
      <c r="G552" t="b">
        <f t="shared" si="72"/>
        <v>0</v>
      </c>
      <c r="H552" t="b">
        <f t="shared" si="79"/>
        <v>0</v>
      </c>
      <c r="I552" t="b">
        <f t="shared" si="73"/>
        <v>1</v>
      </c>
      <c r="J552" t="b">
        <f t="shared" si="80"/>
        <v>0</v>
      </c>
      <c r="K552" t="b">
        <f t="shared" si="74"/>
        <v>0</v>
      </c>
      <c r="L552" t="b">
        <f t="shared" si="75"/>
        <v>0</v>
      </c>
      <c r="M552" t="b">
        <f t="shared" si="76"/>
        <v>0</v>
      </c>
      <c r="N552" t="b">
        <f t="shared" si="77"/>
        <v>0</v>
      </c>
      <c r="O552" t="b">
        <f t="shared" si="78"/>
        <v>0</v>
      </c>
    </row>
    <row r="553" spans="1:15" x14ac:dyDescent="0.35">
      <c r="A553" t="str">
        <v>emu_Alstom_Avelia_Horizon</v>
      </c>
      <c r="B553" t="b" cm="1">
        <f t="array" ref="B553">_xlfn.XLOOKUP(A553,CONTROL[VEHIDCODE],PROPERTIES[EXCLUDE])</f>
        <v>0</v>
      </c>
      <c r="C553" t="b">
        <f>_xlfn.XLOOKUP(A553,CONTROL[VEHIDCODE],CONTROL[IS_WAGON_OR_COACH])</f>
        <v>0</v>
      </c>
      <c r="D553">
        <f>FLOOR(_xlfn.XLOOKUP($A553,PROPERTIES[VEHIDCODE],PROPERTIES[INTRODUCTION_YEAR]),20)</f>
        <v>2000</v>
      </c>
      <c r="E553" t="e">
        <f>_xlfn.XLOOKUP($A553,PROPERTIES[VEHIDCODE],#REF!)</f>
        <v>#REF!</v>
      </c>
      <c r="F553" s="25" t="str" cm="1">
        <f t="array" ref="F553">_xlfn.CONCAT(_xlfn.XLOOKUP($A553,PROPERTIES[VEHIDCODE],PROPERTIES[REGION1]),"_",_xlfn.XLOOKUP($A553,PROPERTIES[VEHIDCODE],PROPERTIES[REGION2]),"_",_xlfn.XLOOKUP($A553,PROPERTIES[VEHIDCODE],PROPERTIES[REGION3]&amp;"_"&amp;_xlfn.XLOOKUP($A553,PROPERTIES[VEHIDCODE],PROPERTIES[REGION4])))</f>
        <v>SOUTHERN_EUROPE_AFRICA_NO_REGION_NO_REGION</v>
      </c>
      <c r="G553" t="b">
        <f t="shared" si="72"/>
        <v>1</v>
      </c>
      <c r="H553" t="b">
        <f t="shared" si="79"/>
        <v>0</v>
      </c>
      <c r="I553" t="b">
        <f t="shared" si="73"/>
        <v>1</v>
      </c>
      <c r="J553" t="b">
        <f t="shared" si="80"/>
        <v>0</v>
      </c>
      <c r="K553" t="b">
        <f t="shared" si="74"/>
        <v>0</v>
      </c>
      <c r="L553" t="b">
        <f t="shared" si="75"/>
        <v>0</v>
      </c>
      <c r="M553" t="b">
        <f t="shared" si="76"/>
        <v>0</v>
      </c>
      <c r="N553" t="b">
        <f t="shared" si="77"/>
        <v>0</v>
      </c>
      <c r="O553" t="b">
        <f t="shared" si="78"/>
        <v>0</v>
      </c>
    </row>
    <row r="554" spans="1:15" x14ac:dyDescent="0.35">
      <c r="A554" t="str">
        <v>emu_AnsaldoBreda_V250_Albatros</v>
      </c>
      <c r="B554" t="b" cm="1">
        <f t="array" ref="B554">_xlfn.XLOOKUP(A554,CONTROL[VEHIDCODE],PROPERTIES[EXCLUDE])</f>
        <v>0</v>
      </c>
      <c r="C554" t="b">
        <f>_xlfn.XLOOKUP(A554,CONTROL[VEHIDCODE],CONTROL[IS_WAGON_OR_COACH])</f>
        <v>0</v>
      </c>
      <c r="D554">
        <f>FLOOR(_xlfn.XLOOKUP($A554,PROPERTIES[VEHIDCODE],PROPERTIES[INTRODUCTION_YEAR]),20)</f>
        <v>2000</v>
      </c>
      <c r="E554" t="e">
        <f>_xlfn.XLOOKUP($A554,PROPERTIES[VEHIDCODE],#REF!)</f>
        <v>#REF!</v>
      </c>
      <c r="F554" s="25" t="str" cm="1">
        <f t="array" ref="F554">_xlfn.CONCAT(_xlfn.XLOOKUP($A554,PROPERTIES[VEHIDCODE],PROPERTIES[REGION1]),"_",_xlfn.XLOOKUP($A554,PROPERTIES[VEHIDCODE],PROPERTIES[REGION2]),"_",_xlfn.XLOOKUP($A554,PROPERTIES[VEHIDCODE],PROPERTIES[REGION3]&amp;"_"&amp;_xlfn.XLOOKUP($A554,PROPERTIES[VEHIDCODE],PROPERTIES[REGION4])))</f>
        <v>WESTERN_EUROPE_NO_REGION_NO_REGION_NO_REGION</v>
      </c>
      <c r="G554" t="b">
        <f t="shared" si="72"/>
        <v>0</v>
      </c>
      <c r="H554" t="b">
        <f t="shared" si="79"/>
        <v>0</v>
      </c>
      <c r="I554" t="b">
        <f t="shared" si="73"/>
        <v>0</v>
      </c>
      <c r="J554" t="b">
        <f t="shared" si="80"/>
        <v>0</v>
      </c>
      <c r="K554" t="b">
        <f t="shared" si="74"/>
        <v>1</v>
      </c>
      <c r="L554" t="b">
        <f t="shared" si="75"/>
        <v>0</v>
      </c>
      <c r="M554" t="b">
        <f t="shared" si="76"/>
        <v>0</v>
      </c>
      <c r="N554" t="b">
        <f t="shared" si="77"/>
        <v>0</v>
      </c>
      <c r="O554" t="b">
        <f t="shared" si="78"/>
        <v>0</v>
      </c>
    </row>
    <row r="555" spans="1:15" x14ac:dyDescent="0.35">
      <c r="A555" t="str">
        <v>emu_NS_4800_HSA_Fyra</v>
      </c>
      <c r="B555" t="b" cm="1">
        <f t="array" ref="B555">_xlfn.XLOOKUP(A555,CONTROL[VEHIDCODE],PROPERTIES[EXCLUDE])</f>
        <v>0</v>
      </c>
      <c r="C555" t="b">
        <f>_xlfn.XLOOKUP(A555,CONTROL[VEHIDCODE],CONTROL[IS_WAGON_OR_COACH])</f>
        <v>0</v>
      </c>
      <c r="D555">
        <f>FLOOR(_xlfn.XLOOKUP($A555,PROPERTIES[VEHIDCODE],PROPERTIES[INTRODUCTION_YEAR]),20)</f>
        <v>2000</v>
      </c>
      <c r="E555" t="e">
        <f>_xlfn.XLOOKUP($A555,PROPERTIES[VEHIDCODE],#REF!)</f>
        <v>#REF!</v>
      </c>
      <c r="F555" s="25" t="str" cm="1">
        <f t="array" ref="F555">_xlfn.CONCAT(_xlfn.XLOOKUP($A555,PROPERTIES[VEHIDCODE],PROPERTIES[REGION1]),"_",_xlfn.XLOOKUP($A555,PROPERTIES[VEHIDCODE],PROPERTIES[REGION2]),"_",_xlfn.XLOOKUP($A555,PROPERTIES[VEHIDCODE],PROPERTIES[REGION3]&amp;"_"&amp;_xlfn.XLOOKUP($A555,PROPERTIES[VEHIDCODE],PROPERTIES[REGION4])))</f>
        <v>WESTERN_EUROPE_NO_REGION_NO_REGION_NO_REGION</v>
      </c>
      <c r="G555" t="b">
        <f t="shared" si="72"/>
        <v>0</v>
      </c>
      <c r="H555" t="b">
        <f t="shared" si="79"/>
        <v>0</v>
      </c>
      <c r="I555" t="b">
        <f t="shared" si="73"/>
        <v>0</v>
      </c>
      <c r="J555" t="b">
        <f t="shared" si="80"/>
        <v>0</v>
      </c>
      <c r="K555" t="b">
        <f t="shared" si="74"/>
        <v>1</v>
      </c>
      <c r="L555" t="b">
        <f t="shared" si="75"/>
        <v>0</v>
      </c>
      <c r="M555" t="b">
        <f t="shared" si="76"/>
        <v>0</v>
      </c>
      <c r="N555" t="b">
        <f t="shared" si="77"/>
        <v>0</v>
      </c>
      <c r="O555" t="b">
        <f t="shared" si="78"/>
        <v>0</v>
      </c>
    </row>
    <row r="556" spans="1:15" x14ac:dyDescent="0.35">
      <c r="A556" t="str">
        <v>emu_SIG_Rae_TEE_II</v>
      </c>
      <c r="B556" t="b" cm="1">
        <f t="array" ref="B556">_xlfn.XLOOKUP(A556,CONTROL[VEHIDCODE],PROPERTIES[EXCLUDE])</f>
        <v>0</v>
      </c>
      <c r="C556" t="b">
        <f>_xlfn.XLOOKUP(A556,CONTROL[VEHIDCODE],CONTROL[IS_WAGON_OR_COACH])</f>
        <v>0</v>
      </c>
      <c r="D556">
        <f>FLOOR(_xlfn.XLOOKUP($A556,PROPERTIES[VEHIDCODE],PROPERTIES[INTRODUCTION_YEAR]),20)</f>
        <v>1960</v>
      </c>
      <c r="E556" t="e">
        <f>_xlfn.XLOOKUP($A556,PROPERTIES[VEHIDCODE],#REF!)</f>
        <v>#REF!</v>
      </c>
      <c r="F556" s="25" t="str" cm="1">
        <f t="array" ref="F556">_xlfn.CONCAT(_xlfn.XLOOKUP($A556,PROPERTIES[VEHIDCODE],PROPERTIES[REGION1]),"_",_xlfn.XLOOKUP($A556,PROPERTIES[VEHIDCODE],PROPERTIES[REGION2]),"_",_xlfn.XLOOKUP($A556,PROPERTIES[VEHIDCODE],PROPERTIES[REGION3]&amp;"_"&amp;_xlfn.XLOOKUP($A556,PROPERTIES[VEHIDCODE],PROPERTIES[REGION4])))</f>
        <v>WESTERN_EUROPE_NO_REGION_NO_REGION_NO_REGION</v>
      </c>
      <c r="G556" t="b">
        <f t="shared" si="72"/>
        <v>0</v>
      </c>
      <c r="H556" t="b">
        <f t="shared" si="79"/>
        <v>0</v>
      </c>
      <c r="I556" t="b">
        <f t="shared" si="73"/>
        <v>0</v>
      </c>
      <c r="J556" t="b">
        <f t="shared" si="80"/>
        <v>0</v>
      </c>
      <c r="K556" t="b">
        <f t="shared" si="74"/>
        <v>1</v>
      </c>
      <c r="L556" t="b">
        <f t="shared" si="75"/>
        <v>0</v>
      </c>
      <c r="M556" t="b">
        <f t="shared" si="76"/>
        <v>0</v>
      </c>
      <c r="N556" t="b">
        <f t="shared" si="77"/>
        <v>0</v>
      </c>
      <c r="O556" t="b">
        <f t="shared" si="78"/>
        <v>0</v>
      </c>
    </row>
    <row r="557" spans="1:15" x14ac:dyDescent="0.35">
      <c r="A557" t="str">
        <v>emu_Pullman_Erie_Lackawanna_2500_Series</v>
      </c>
      <c r="B557" t="b" cm="1">
        <f t="array" ref="B557">_xlfn.XLOOKUP(A557,CONTROL[VEHIDCODE],PROPERTIES[EXCLUDE])</f>
        <v>0</v>
      </c>
      <c r="C557" t="b">
        <f>_xlfn.XLOOKUP(A557,CONTROL[VEHIDCODE],CONTROL[IS_WAGON_OR_COACH])</f>
        <v>0</v>
      </c>
      <c r="D557">
        <f>FLOOR(_xlfn.XLOOKUP($A557,PROPERTIES[VEHIDCODE],PROPERTIES[INTRODUCTION_YEAR]),20)</f>
        <v>1920</v>
      </c>
      <c r="E557" t="e">
        <f>_xlfn.XLOOKUP($A557,PROPERTIES[VEHIDCODE],#REF!)</f>
        <v>#REF!</v>
      </c>
      <c r="F557" s="25" t="str" cm="1">
        <f t="array" ref="F557">_xlfn.CONCAT(_xlfn.XLOOKUP($A557,PROPERTIES[VEHIDCODE],PROPERTIES[REGION1]),"_",_xlfn.XLOOKUP($A557,PROPERTIES[VEHIDCODE],PROPERTIES[REGION2]),"_",_xlfn.XLOOKUP($A557,PROPERTIES[VEHIDCODE],PROPERTIES[REGION3]&amp;"_"&amp;_xlfn.XLOOKUP($A557,PROPERTIES[VEHIDCODE],PROPERTIES[REGION4])))</f>
        <v>NORTH_AMERICA_NO_REGION_NO_REGION_NO_REGION</v>
      </c>
      <c r="G557" t="b">
        <f t="shared" si="72"/>
        <v>0</v>
      </c>
      <c r="H557" t="b">
        <f t="shared" si="79"/>
        <v>0</v>
      </c>
      <c r="I557" t="b">
        <f t="shared" si="73"/>
        <v>0</v>
      </c>
      <c r="J557" t="b">
        <f t="shared" si="80"/>
        <v>0</v>
      </c>
      <c r="K557" t="b">
        <f t="shared" si="74"/>
        <v>0</v>
      </c>
      <c r="L557" t="b">
        <f t="shared" si="75"/>
        <v>0</v>
      </c>
      <c r="M557" t="b">
        <f t="shared" si="76"/>
        <v>1</v>
      </c>
      <c r="N557" t="b">
        <f t="shared" si="77"/>
        <v>0</v>
      </c>
      <c r="O557" t="b">
        <f t="shared" si="78"/>
        <v>0</v>
      </c>
    </row>
    <row r="558" spans="1:15" x14ac:dyDescent="0.35">
      <c r="A558" t="str">
        <v>emu_Alsthom_TGV_23000</v>
      </c>
      <c r="B558" t="b" cm="1">
        <f t="array" ref="B558">_xlfn.XLOOKUP(A558,CONTROL[VEHIDCODE],PROPERTIES[EXCLUDE])</f>
        <v>0</v>
      </c>
      <c r="C558" t="b">
        <f>_xlfn.XLOOKUP(A558,CONTROL[VEHIDCODE],CONTROL[IS_WAGON_OR_COACH])</f>
        <v>0</v>
      </c>
      <c r="D558">
        <f>FLOOR(_xlfn.XLOOKUP($A558,PROPERTIES[VEHIDCODE],PROPERTIES[INTRODUCTION_YEAR]),20)</f>
        <v>1980</v>
      </c>
      <c r="E558" t="e">
        <f>_xlfn.XLOOKUP($A558,PROPERTIES[VEHIDCODE],#REF!)</f>
        <v>#REF!</v>
      </c>
      <c r="F558" s="25" t="str" cm="1">
        <f t="array" ref="F558">_xlfn.CONCAT(_xlfn.XLOOKUP($A558,PROPERTIES[VEHIDCODE],PROPERTIES[REGION1]),"_",_xlfn.XLOOKUP($A558,PROPERTIES[VEHIDCODE],PROPERTIES[REGION2]),"_",_xlfn.XLOOKUP($A558,PROPERTIES[VEHIDCODE],PROPERTIES[REGION3]&amp;"_"&amp;_xlfn.XLOOKUP($A558,PROPERTIES[VEHIDCODE],PROPERTIES[REGION4])))</f>
        <v>WESTERN_EUROPE_NO_REGION_NO_REGION_NO_REGION</v>
      </c>
      <c r="G558" t="b">
        <f t="shared" si="72"/>
        <v>0</v>
      </c>
      <c r="H558" t="b">
        <f t="shared" si="79"/>
        <v>0</v>
      </c>
      <c r="I558" t="b">
        <f t="shared" si="73"/>
        <v>0</v>
      </c>
      <c r="J558" t="b">
        <f t="shared" si="80"/>
        <v>0</v>
      </c>
      <c r="K558" t="b">
        <f t="shared" si="74"/>
        <v>1</v>
      </c>
      <c r="L558" t="b">
        <f t="shared" si="75"/>
        <v>0</v>
      </c>
      <c r="M558" t="b">
        <f t="shared" si="76"/>
        <v>0</v>
      </c>
      <c r="N558" t="b">
        <f t="shared" si="77"/>
        <v>0</v>
      </c>
      <c r="O558" t="b">
        <f t="shared" si="78"/>
        <v>0</v>
      </c>
    </row>
    <row r="559" spans="1:15" x14ac:dyDescent="0.35">
      <c r="A559" t="str">
        <v>emu_Alsthom_TGV_Duplex</v>
      </c>
      <c r="B559" t="b" cm="1">
        <f t="array" ref="B559">_xlfn.XLOOKUP(A559,CONTROL[VEHIDCODE],PROPERTIES[EXCLUDE])</f>
        <v>0</v>
      </c>
      <c r="C559" t="b">
        <f>_xlfn.XLOOKUP(A559,CONTROL[VEHIDCODE],CONTROL[IS_WAGON_OR_COACH])</f>
        <v>0</v>
      </c>
      <c r="D559">
        <f>FLOOR(_xlfn.XLOOKUP($A559,PROPERTIES[VEHIDCODE],PROPERTIES[INTRODUCTION_YEAR]),20)</f>
        <v>1980</v>
      </c>
      <c r="E559" t="e">
        <f>_xlfn.XLOOKUP($A559,PROPERTIES[VEHIDCODE],#REF!)</f>
        <v>#REF!</v>
      </c>
      <c r="F559" s="25" t="str" cm="1">
        <f t="array" ref="F559">_xlfn.CONCAT(_xlfn.XLOOKUP($A559,PROPERTIES[VEHIDCODE],PROPERTIES[REGION1]),"_",_xlfn.XLOOKUP($A559,PROPERTIES[VEHIDCODE],PROPERTIES[REGION2]),"_",_xlfn.XLOOKUP($A559,PROPERTIES[VEHIDCODE],PROPERTIES[REGION3]&amp;"_"&amp;_xlfn.XLOOKUP($A559,PROPERTIES[VEHIDCODE],PROPERTIES[REGION4])))</f>
        <v>WESTERN_EUROPE_AFRICA_NO_REGION_NO_REGION</v>
      </c>
      <c r="G559" t="b">
        <f t="shared" si="72"/>
        <v>1</v>
      </c>
      <c r="H559" t="b">
        <f t="shared" si="79"/>
        <v>0</v>
      </c>
      <c r="I559" t="b">
        <f t="shared" si="73"/>
        <v>0</v>
      </c>
      <c r="J559" t="b">
        <f t="shared" si="80"/>
        <v>0</v>
      </c>
      <c r="K559" t="b">
        <f t="shared" si="74"/>
        <v>1</v>
      </c>
      <c r="L559" t="b">
        <f t="shared" si="75"/>
        <v>0</v>
      </c>
      <c r="M559" t="b">
        <f t="shared" si="76"/>
        <v>0</v>
      </c>
      <c r="N559" t="b">
        <f t="shared" si="77"/>
        <v>0</v>
      </c>
      <c r="O559" t="b">
        <f t="shared" si="78"/>
        <v>0</v>
      </c>
    </row>
    <row r="560" spans="1:15" x14ac:dyDescent="0.35">
      <c r="A560" t="str">
        <v>emu_GEC_Alsthom_Thalys_PBKA</v>
      </c>
      <c r="B560" t="b" cm="1">
        <f t="array" ref="B560">_xlfn.XLOOKUP(A560,CONTROL[VEHIDCODE],PROPERTIES[EXCLUDE])</f>
        <v>0</v>
      </c>
      <c r="C560" t="b">
        <f>_xlfn.XLOOKUP(A560,CONTROL[VEHIDCODE],CONTROL[IS_WAGON_OR_COACH])</f>
        <v>0</v>
      </c>
      <c r="D560">
        <f>FLOOR(_xlfn.XLOOKUP($A560,PROPERTIES[VEHIDCODE],PROPERTIES[INTRODUCTION_YEAR]),20)</f>
        <v>1980</v>
      </c>
      <c r="E560" t="e">
        <f>_xlfn.XLOOKUP($A560,PROPERTIES[VEHIDCODE],#REF!)</f>
        <v>#REF!</v>
      </c>
      <c r="F560" s="25" t="str" cm="1">
        <f t="array" ref="F560">_xlfn.CONCAT(_xlfn.XLOOKUP($A560,PROPERTIES[VEHIDCODE],PROPERTIES[REGION1]),"_",_xlfn.XLOOKUP($A560,PROPERTIES[VEHIDCODE],PROPERTIES[REGION2]),"_",_xlfn.XLOOKUP($A560,PROPERTIES[VEHIDCODE],PROPERTIES[REGION3]&amp;"_"&amp;_xlfn.XLOOKUP($A560,PROPERTIES[VEHIDCODE],PROPERTIES[REGION4])))</f>
        <v>WESTERN_EUROPE_NO_REGION_NO_REGION_NO_REGION</v>
      </c>
      <c r="G560" t="b">
        <f t="shared" si="72"/>
        <v>0</v>
      </c>
      <c r="H560" t="b">
        <f t="shared" si="79"/>
        <v>0</v>
      </c>
      <c r="I560" t="b">
        <f t="shared" si="73"/>
        <v>0</v>
      </c>
      <c r="J560" t="b">
        <f t="shared" si="80"/>
        <v>0</v>
      </c>
      <c r="K560" t="b">
        <f t="shared" si="74"/>
        <v>1</v>
      </c>
      <c r="L560" t="b">
        <f t="shared" si="75"/>
        <v>0</v>
      </c>
      <c r="M560" t="b">
        <f t="shared" si="76"/>
        <v>0</v>
      </c>
      <c r="N560" t="b">
        <f t="shared" si="77"/>
        <v>0</v>
      </c>
      <c r="O560" t="b">
        <f t="shared" si="78"/>
        <v>0</v>
      </c>
    </row>
    <row r="561" spans="1:15" x14ac:dyDescent="0.35">
      <c r="A561" t="str">
        <v>emu_Alsthom_Pendolino_680</v>
      </c>
      <c r="B561" t="b" cm="1">
        <f t="array" ref="B561">_xlfn.XLOOKUP(A561,CONTROL[VEHIDCODE],PROPERTIES[EXCLUDE])</f>
        <v>0</v>
      </c>
      <c r="C561" t="b">
        <f>_xlfn.XLOOKUP(A561,CONTROL[VEHIDCODE],CONTROL[IS_WAGON_OR_COACH])</f>
        <v>0</v>
      </c>
      <c r="D561">
        <f>FLOOR(_xlfn.XLOOKUP($A561,PROPERTIES[VEHIDCODE],PROPERTIES[INTRODUCTION_YEAR]),20)</f>
        <v>1980</v>
      </c>
      <c r="E561" t="e">
        <f>_xlfn.XLOOKUP($A561,PROPERTIES[VEHIDCODE],#REF!)</f>
        <v>#REF!</v>
      </c>
      <c r="F561" s="25" t="str" cm="1">
        <f t="array" ref="F561">_xlfn.CONCAT(_xlfn.XLOOKUP($A561,PROPERTIES[VEHIDCODE],PROPERTIES[REGION1]),"_",_xlfn.XLOOKUP($A561,PROPERTIES[VEHIDCODE],PROPERTIES[REGION2]),"_",_xlfn.XLOOKUP($A561,PROPERTIES[VEHIDCODE],PROPERTIES[REGION3]&amp;"_"&amp;_xlfn.XLOOKUP($A561,PROPERTIES[VEHIDCODE],PROPERTIES[REGION4])))</f>
        <v>ALL_EUROPE_NO_REGION_NO_REGION_NO_REGION</v>
      </c>
      <c r="G561" t="b">
        <f t="shared" si="72"/>
        <v>0</v>
      </c>
      <c r="H561" t="b">
        <f t="shared" si="79"/>
        <v>0</v>
      </c>
      <c r="I561" t="b">
        <f t="shared" si="73"/>
        <v>1</v>
      </c>
      <c r="J561" t="b">
        <f t="shared" si="80"/>
        <v>1</v>
      </c>
      <c r="K561" t="b">
        <f t="shared" si="74"/>
        <v>1</v>
      </c>
      <c r="L561" t="b">
        <f t="shared" si="75"/>
        <v>1</v>
      </c>
      <c r="M561" t="b">
        <f t="shared" si="76"/>
        <v>0</v>
      </c>
      <c r="N561" t="b">
        <f t="shared" si="77"/>
        <v>0</v>
      </c>
      <c r="O561" t="b">
        <f t="shared" si="78"/>
        <v>0</v>
      </c>
    </row>
    <row r="562" spans="1:15" x14ac:dyDescent="0.35">
      <c r="A562" t="str">
        <v>emu_CAF_Alstom_Class_120</v>
      </c>
      <c r="B562" t="b" cm="1">
        <f t="array" ref="B562">_xlfn.XLOOKUP(A562,CONTROL[VEHIDCODE],PROPERTIES[EXCLUDE])</f>
        <v>0</v>
      </c>
      <c r="C562" t="b">
        <f>_xlfn.XLOOKUP(A562,CONTROL[VEHIDCODE],CONTROL[IS_WAGON_OR_COACH])</f>
        <v>0</v>
      </c>
      <c r="D562">
        <f>FLOOR(_xlfn.XLOOKUP($A562,PROPERTIES[VEHIDCODE],PROPERTIES[INTRODUCTION_YEAR]),20)</f>
        <v>2000</v>
      </c>
      <c r="E562" t="e">
        <f>_xlfn.XLOOKUP($A562,PROPERTIES[VEHIDCODE],#REF!)</f>
        <v>#REF!</v>
      </c>
      <c r="F562" s="25" t="str" cm="1">
        <f t="array" ref="F562">_xlfn.CONCAT(_xlfn.XLOOKUP($A562,PROPERTIES[VEHIDCODE],PROPERTIES[REGION1]),"_",_xlfn.XLOOKUP($A562,PROPERTIES[VEHIDCODE],PROPERTIES[REGION2]),"_",_xlfn.XLOOKUP($A562,PROPERTIES[VEHIDCODE],PROPERTIES[REGION3]&amp;"_"&amp;_xlfn.XLOOKUP($A562,PROPERTIES[VEHIDCODE],PROPERTIES[REGION4])))</f>
        <v>SOUTHERN_EUROPE_NO_REGION_NO_REGION_NO_REGION</v>
      </c>
      <c r="G562" t="b">
        <f t="shared" si="72"/>
        <v>0</v>
      </c>
      <c r="H562" t="b">
        <f t="shared" si="79"/>
        <v>0</v>
      </c>
      <c r="I562" t="b">
        <f t="shared" si="73"/>
        <v>1</v>
      </c>
      <c r="J562" t="b">
        <f t="shared" si="80"/>
        <v>0</v>
      </c>
      <c r="K562" t="b">
        <f t="shared" si="74"/>
        <v>0</v>
      </c>
      <c r="L562" t="b">
        <f t="shared" si="75"/>
        <v>0</v>
      </c>
      <c r="M562" t="b">
        <f t="shared" si="76"/>
        <v>0</v>
      </c>
      <c r="N562" t="b">
        <f t="shared" si="77"/>
        <v>0</v>
      </c>
      <c r="O562" t="b">
        <f t="shared" si="78"/>
        <v>0</v>
      </c>
    </row>
    <row r="563" spans="1:15" x14ac:dyDescent="0.35">
      <c r="A563" t="str">
        <v>emu_Bombarier_Alstom_Acela_Express</v>
      </c>
      <c r="B563" t="b" cm="1">
        <f t="array" ref="B563">_xlfn.XLOOKUP(A563,CONTROL[VEHIDCODE],PROPERTIES[EXCLUDE])</f>
        <v>0</v>
      </c>
      <c r="C563" t="b">
        <f>_xlfn.XLOOKUP(A563,CONTROL[VEHIDCODE],CONTROL[IS_WAGON_OR_COACH])</f>
        <v>0</v>
      </c>
      <c r="D563">
        <f>FLOOR(_xlfn.XLOOKUP($A563,PROPERTIES[VEHIDCODE],PROPERTIES[INTRODUCTION_YEAR]),20)</f>
        <v>1980</v>
      </c>
      <c r="E563" t="e">
        <f>_xlfn.XLOOKUP($A563,PROPERTIES[VEHIDCODE],#REF!)</f>
        <v>#REF!</v>
      </c>
      <c r="F563" s="25" t="str" cm="1">
        <f t="array" ref="F563">_xlfn.CONCAT(_xlfn.XLOOKUP($A563,PROPERTIES[VEHIDCODE],PROPERTIES[REGION1]),"_",_xlfn.XLOOKUP($A563,PROPERTIES[VEHIDCODE],PROPERTIES[REGION2]),"_",_xlfn.XLOOKUP($A563,PROPERTIES[VEHIDCODE],PROPERTIES[REGION3]&amp;"_"&amp;_xlfn.XLOOKUP($A563,PROPERTIES[VEHIDCODE],PROPERTIES[REGION4])))</f>
        <v>NORTH_AMERICA_NO_REGION_NO_REGION_NO_REGION</v>
      </c>
      <c r="G563" t="b">
        <f t="shared" si="72"/>
        <v>0</v>
      </c>
      <c r="H563" t="b">
        <f t="shared" si="79"/>
        <v>0</v>
      </c>
      <c r="I563" t="b">
        <f t="shared" si="73"/>
        <v>0</v>
      </c>
      <c r="J563" t="b">
        <f t="shared" si="80"/>
        <v>0</v>
      </c>
      <c r="K563" t="b">
        <f t="shared" si="74"/>
        <v>0</v>
      </c>
      <c r="L563" t="b">
        <f t="shared" si="75"/>
        <v>0</v>
      </c>
      <c r="M563" t="b">
        <f t="shared" si="76"/>
        <v>1</v>
      </c>
      <c r="N563" t="b">
        <f t="shared" si="77"/>
        <v>0</v>
      </c>
      <c r="O563" t="b">
        <f t="shared" si="78"/>
        <v>0</v>
      </c>
    </row>
    <row r="564" spans="1:15" x14ac:dyDescent="0.35">
      <c r="A564" t="str">
        <v>singlemtro_Brooklyn_Union_Gate_1300</v>
      </c>
      <c r="B564" t="b" cm="1">
        <f t="array" ref="B564">_xlfn.XLOOKUP(A564,CONTROL[VEHIDCODE],PROPERTIES[EXCLUDE])</f>
        <v>0</v>
      </c>
      <c r="C564" t="b">
        <f>_xlfn.XLOOKUP(A564,CONTROL[VEHIDCODE],CONTROL[IS_WAGON_OR_COACH])</f>
        <v>0</v>
      </c>
      <c r="D564">
        <f>FLOOR(_xlfn.XLOOKUP($A564,PROPERTIES[VEHIDCODE],PROPERTIES[INTRODUCTION_YEAR]),20)</f>
        <v>1880</v>
      </c>
      <c r="E564" t="e">
        <f>_xlfn.XLOOKUP($A564,PROPERTIES[VEHIDCODE],#REF!)</f>
        <v>#REF!</v>
      </c>
      <c r="F564" s="25" t="str" cm="1">
        <f t="array" ref="F564">_xlfn.CONCAT(_xlfn.XLOOKUP($A564,PROPERTIES[VEHIDCODE],PROPERTIES[REGION1]),"_",_xlfn.XLOOKUP($A564,PROPERTIES[VEHIDCODE],PROPERTIES[REGION2]),"_",_xlfn.XLOOKUP($A564,PROPERTIES[VEHIDCODE],PROPERTIES[REGION3]&amp;"_"&amp;_xlfn.XLOOKUP($A564,PROPERTIES[VEHIDCODE],PROPERTIES[REGION4])))</f>
        <v>NORTH_AMERICA_NO_REGION_NO_REGION_NO_REGION</v>
      </c>
      <c r="G564" t="b">
        <f t="shared" si="72"/>
        <v>0</v>
      </c>
      <c r="H564" t="b">
        <f t="shared" si="79"/>
        <v>0</v>
      </c>
      <c r="I564" t="b">
        <f t="shared" si="73"/>
        <v>0</v>
      </c>
      <c r="J564" t="b">
        <f t="shared" si="80"/>
        <v>0</v>
      </c>
      <c r="K564" t="b">
        <f t="shared" si="74"/>
        <v>0</v>
      </c>
      <c r="L564" t="b">
        <f t="shared" si="75"/>
        <v>0</v>
      </c>
      <c r="M564" t="b">
        <f t="shared" si="76"/>
        <v>1</v>
      </c>
      <c r="N564" t="b">
        <f t="shared" si="77"/>
        <v>0</v>
      </c>
      <c r="O564" t="b">
        <f t="shared" si="78"/>
        <v>0</v>
      </c>
    </row>
    <row r="565" spans="1:15" x14ac:dyDescent="0.35">
      <c r="A565" t="str">
        <v>singlemtro_Siemens___Halske_Budapest_1894_Stock</v>
      </c>
      <c r="B565" t="b" cm="1">
        <f t="array" ref="B565">_xlfn.XLOOKUP(A565,CONTROL[VEHIDCODE],PROPERTIES[EXCLUDE])</f>
        <v>0</v>
      </c>
      <c r="C565" t="b">
        <f>_xlfn.XLOOKUP(A565,CONTROL[VEHIDCODE],CONTROL[IS_WAGON_OR_COACH])</f>
        <v>0</v>
      </c>
      <c r="D565">
        <f>FLOOR(_xlfn.XLOOKUP($A565,PROPERTIES[VEHIDCODE],PROPERTIES[INTRODUCTION_YEAR]),20)</f>
        <v>1900</v>
      </c>
      <c r="E565" t="e">
        <f>_xlfn.XLOOKUP($A565,PROPERTIES[VEHIDCODE],#REF!)</f>
        <v>#REF!</v>
      </c>
      <c r="F565" s="25" t="str" cm="1">
        <f t="array" ref="F565">_xlfn.CONCAT(_xlfn.XLOOKUP($A565,PROPERTIES[VEHIDCODE],PROPERTIES[REGION1]),"_",_xlfn.XLOOKUP($A565,PROPERTIES[VEHIDCODE],PROPERTIES[REGION2]),"_",_xlfn.XLOOKUP($A565,PROPERTIES[VEHIDCODE],PROPERTIES[REGION3]&amp;"_"&amp;_xlfn.XLOOKUP($A565,PROPERTIES[VEHIDCODE],PROPERTIES[REGION4])))</f>
        <v>EASTERN_EUROPE_NO_REGION_NO_REGION_NO_REGION</v>
      </c>
      <c r="G565" t="b">
        <f t="shared" si="72"/>
        <v>0</v>
      </c>
      <c r="H565" t="b">
        <f t="shared" si="79"/>
        <v>0</v>
      </c>
      <c r="I565" t="b">
        <f t="shared" si="73"/>
        <v>0</v>
      </c>
      <c r="J565" t="b">
        <f t="shared" si="80"/>
        <v>1</v>
      </c>
      <c r="K565" t="b">
        <f t="shared" si="74"/>
        <v>0</v>
      </c>
      <c r="L565" t="b">
        <f t="shared" si="75"/>
        <v>0</v>
      </c>
      <c r="M565" t="b">
        <f t="shared" si="76"/>
        <v>0</v>
      </c>
      <c r="N565" t="b">
        <f t="shared" si="77"/>
        <v>0</v>
      </c>
      <c r="O565" t="b">
        <f t="shared" si="78"/>
        <v>0</v>
      </c>
    </row>
    <row r="566" spans="1:15" x14ac:dyDescent="0.35">
      <c r="A566" t="str">
        <v>singlemtro_Chicago_L_Northwest_Elevated_1907_Stock</v>
      </c>
      <c r="B566" t="b" cm="1">
        <f t="array" ref="B566">_xlfn.XLOOKUP(A566,CONTROL[VEHIDCODE],PROPERTIES[EXCLUDE])</f>
        <v>0</v>
      </c>
      <c r="C566" t="b">
        <f>_xlfn.XLOOKUP(A566,CONTROL[VEHIDCODE],CONTROL[IS_WAGON_OR_COACH])</f>
        <v>0</v>
      </c>
      <c r="D566">
        <f>FLOOR(_xlfn.XLOOKUP($A566,PROPERTIES[VEHIDCODE],PROPERTIES[INTRODUCTION_YEAR]),20)</f>
        <v>1900</v>
      </c>
      <c r="E566" t="e">
        <f>_xlfn.XLOOKUP($A566,PROPERTIES[VEHIDCODE],#REF!)</f>
        <v>#REF!</v>
      </c>
      <c r="F566" s="25" t="str" cm="1">
        <f t="array" ref="F566">_xlfn.CONCAT(_xlfn.XLOOKUP($A566,PROPERTIES[VEHIDCODE],PROPERTIES[REGION1]),"_",_xlfn.XLOOKUP($A566,PROPERTIES[VEHIDCODE],PROPERTIES[REGION2]),"_",_xlfn.XLOOKUP($A566,PROPERTIES[VEHIDCODE],PROPERTIES[REGION3]&amp;"_"&amp;_xlfn.XLOOKUP($A566,PROPERTIES[VEHIDCODE],PROPERTIES[REGION4])))</f>
        <v>NORTH_AMERICA_NO_REGION_NO_REGION_NO_REGION</v>
      </c>
      <c r="G566" t="b">
        <f t="shared" si="72"/>
        <v>0</v>
      </c>
      <c r="H566" t="b">
        <f t="shared" si="79"/>
        <v>0</v>
      </c>
      <c r="I566" t="b">
        <f t="shared" si="73"/>
        <v>0</v>
      </c>
      <c r="J566" t="b">
        <f t="shared" si="80"/>
        <v>0</v>
      </c>
      <c r="K566" t="b">
        <f t="shared" si="74"/>
        <v>0</v>
      </c>
      <c r="L566" t="b">
        <f t="shared" si="75"/>
        <v>0</v>
      </c>
      <c r="M566" t="b">
        <f t="shared" si="76"/>
        <v>1</v>
      </c>
      <c r="N566" t="b">
        <f t="shared" si="77"/>
        <v>0</v>
      </c>
      <c r="O566" t="b">
        <f t="shared" si="78"/>
        <v>0</v>
      </c>
    </row>
    <row r="567" spans="1:15" x14ac:dyDescent="0.35">
      <c r="A567" t="str">
        <v>singlemtro_Berlin_U_Bahn_C_II</v>
      </c>
      <c r="B567" t="b" cm="1">
        <f t="array" ref="B567">_xlfn.XLOOKUP(A567,CONTROL[VEHIDCODE],PROPERTIES[EXCLUDE])</f>
        <v>0</v>
      </c>
      <c r="C567" t="b">
        <f>_xlfn.XLOOKUP(A567,CONTROL[VEHIDCODE],CONTROL[IS_WAGON_OR_COACH])</f>
        <v>0</v>
      </c>
      <c r="D567">
        <f>FLOOR(_xlfn.XLOOKUP($A567,PROPERTIES[VEHIDCODE],PROPERTIES[INTRODUCTION_YEAR]),20)</f>
        <v>1920</v>
      </c>
      <c r="E567" t="e">
        <f>_xlfn.XLOOKUP($A567,PROPERTIES[VEHIDCODE],#REF!)</f>
        <v>#REF!</v>
      </c>
      <c r="F567" s="25" t="str" cm="1">
        <f t="array" ref="F567">_xlfn.CONCAT(_xlfn.XLOOKUP($A567,PROPERTIES[VEHIDCODE],PROPERTIES[REGION1]),"_",_xlfn.XLOOKUP($A567,PROPERTIES[VEHIDCODE],PROPERTIES[REGION2]),"_",_xlfn.XLOOKUP($A567,PROPERTIES[VEHIDCODE],PROPERTIES[REGION3]&amp;"_"&amp;_xlfn.XLOOKUP($A567,PROPERTIES[VEHIDCODE],PROPERTIES[REGION4])))</f>
        <v>WESTERN_EUROPE_NO_REGION_NO_REGION_NO_REGION</v>
      </c>
      <c r="G567" t="b">
        <f t="shared" si="72"/>
        <v>0</v>
      </c>
      <c r="H567" t="b">
        <f t="shared" si="79"/>
        <v>0</v>
      </c>
      <c r="I567" t="b">
        <f t="shared" si="73"/>
        <v>0</v>
      </c>
      <c r="J567" t="b">
        <f t="shared" si="80"/>
        <v>0</v>
      </c>
      <c r="K567" t="b">
        <f t="shared" si="74"/>
        <v>1</v>
      </c>
      <c r="L567" t="b">
        <f t="shared" si="75"/>
        <v>0</v>
      </c>
      <c r="M567" t="b">
        <f t="shared" si="76"/>
        <v>0</v>
      </c>
      <c r="N567" t="b">
        <f t="shared" si="77"/>
        <v>0</v>
      </c>
      <c r="O567" t="b">
        <f t="shared" si="78"/>
        <v>0</v>
      </c>
    </row>
    <row r="568" spans="1:15" x14ac:dyDescent="0.35">
      <c r="A568" t="str">
        <v>rbm_ACME_Corp__Turbobus</v>
      </c>
      <c r="B568" t="b" cm="1">
        <f t="array" ref="B568">_xlfn.XLOOKUP(A568,CONTROL[VEHIDCODE],PROPERTIES[EXCLUDE])</f>
        <v>0</v>
      </c>
      <c r="C568" t="b">
        <f>_xlfn.XLOOKUP(A568,CONTROL[VEHIDCODE],CONTROL[IS_WAGON_OR_COACH])</f>
        <v>0</v>
      </c>
      <c r="D568">
        <f>FLOOR(_xlfn.XLOOKUP($A568,PROPERTIES[VEHIDCODE],PROPERTIES[INTRODUCTION_YEAR]),20)</f>
        <v>2040</v>
      </c>
      <c r="E568" t="e">
        <f>_xlfn.XLOOKUP($A568,PROPERTIES[VEHIDCODE],#REF!)</f>
        <v>#REF!</v>
      </c>
      <c r="F568" s="25" t="str" cm="1">
        <f t="array" ref="F568">_xlfn.CONCAT(_xlfn.XLOOKUP($A568,PROPERTIES[VEHIDCODE],PROPERTIES[REGION1]),"_",_xlfn.XLOOKUP($A568,PROPERTIES[VEHIDCODE],PROPERTIES[REGION2]),"_",_xlfn.XLOOKUP($A568,PROPERTIES[VEHIDCODE],PROPERTIES[REGION3]&amp;"_"&amp;_xlfn.XLOOKUP($A568,PROPERTIES[VEHIDCODE],PROPERTIES[REGION4])))</f>
        <v>ALL_REGION_NO_REGION_NO_REGION_NO_REGION</v>
      </c>
      <c r="G568" t="b">
        <f t="shared" si="72"/>
        <v>1</v>
      </c>
      <c r="H568" t="b">
        <f t="shared" si="79"/>
        <v>1</v>
      </c>
      <c r="I568" t="b">
        <f t="shared" si="73"/>
        <v>1</v>
      </c>
      <c r="J568" t="b">
        <f t="shared" si="80"/>
        <v>1</v>
      </c>
      <c r="K568" t="b">
        <f t="shared" si="74"/>
        <v>1</v>
      </c>
      <c r="L568" t="b">
        <f t="shared" si="75"/>
        <v>1</v>
      </c>
      <c r="M568" t="b">
        <f t="shared" si="76"/>
        <v>1</v>
      </c>
      <c r="N568" t="b">
        <f t="shared" si="77"/>
        <v>1</v>
      </c>
      <c r="O568" t="b">
        <f t="shared" si="78"/>
        <v>1</v>
      </c>
    </row>
    <row r="569" spans="1:15" x14ac:dyDescent="0.35">
      <c r="A569" t="str">
        <v>mglv_Siemens_Eurosprinter_ES64U4M</v>
      </c>
      <c r="B569" t="b" cm="1">
        <f t="array" ref="B569">_xlfn.XLOOKUP(A569,CONTROL[VEHIDCODE],PROPERTIES[EXCLUDE])</f>
        <v>0</v>
      </c>
      <c r="C569" t="b">
        <f>_xlfn.XLOOKUP(A569,CONTROL[VEHIDCODE],CONTROL[IS_WAGON_OR_COACH])</f>
        <v>0</v>
      </c>
      <c r="D569">
        <f>FLOOR(_xlfn.XLOOKUP($A569,PROPERTIES[VEHIDCODE],PROPERTIES[INTRODUCTION_YEAR]),20)</f>
        <v>2000</v>
      </c>
      <c r="E569" t="e">
        <f>_xlfn.XLOOKUP($A569,PROPERTIES[VEHIDCODE],#REF!)</f>
        <v>#REF!</v>
      </c>
      <c r="F569" s="25" t="str" cm="1">
        <f t="array" ref="F569">_xlfn.CONCAT(_xlfn.XLOOKUP($A569,PROPERTIES[VEHIDCODE],PROPERTIES[REGION1]),"_",_xlfn.XLOOKUP($A569,PROPERTIES[VEHIDCODE],PROPERTIES[REGION2]),"_",_xlfn.XLOOKUP($A569,PROPERTIES[VEHIDCODE],PROPERTIES[REGION3]&amp;"_"&amp;_xlfn.XLOOKUP($A569,PROPERTIES[VEHIDCODE],PROPERTIES[REGION4])))</f>
        <v>WESTERN_EUROPE_NO_REGION_NO_REGION_NO_REGION</v>
      </c>
      <c r="G569" t="b">
        <f t="shared" si="72"/>
        <v>0</v>
      </c>
      <c r="H569" t="b">
        <f t="shared" si="79"/>
        <v>0</v>
      </c>
      <c r="I569" t="b">
        <f t="shared" si="73"/>
        <v>0</v>
      </c>
      <c r="J569" t="b">
        <f t="shared" si="80"/>
        <v>0</v>
      </c>
      <c r="K569" t="b">
        <f t="shared" si="74"/>
        <v>1</v>
      </c>
      <c r="L569" t="b">
        <f t="shared" si="75"/>
        <v>0</v>
      </c>
      <c r="M569" t="b">
        <f t="shared" si="76"/>
        <v>0</v>
      </c>
      <c r="N569" t="b">
        <f t="shared" si="77"/>
        <v>0</v>
      </c>
      <c r="O569" t="b">
        <f t="shared" si="78"/>
        <v>0</v>
      </c>
    </row>
    <row r="570" spans="1:15" x14ac:dyDescent="0.35">
      <c r="A570" t="str">
        <v>mmu_Siemens_Thyssenkrupp_Transrapid</v>
      </c>
      <c r="B570" t="b" cm="1">
        <f t="array" ref="B570">_xlfn.XLOOKUP(A570,CONTROL[VEHIDCODE],PROPERTIES[EXCLUDE])</f>
        <v>0</v>
      </c>
      <c r="C570" t="b">
        <f>_xlfn.XLOOKUP(A570,CONTROL[VEHIDCODE],CONTROL[IS_WAGON_OR_COACH])</f>
        <v>0</v>
      </c>
      <c r="D570">
        <f>FLOOR(_xlfn.XLOOKUP($A570,PROPERTIES[VEHIDCODE],PROPERTIES[INTRODUCTION_YEAR]),20)</f>
        <v>2000</v>
      </c>
      <c r="E570" t="e">
        <f>_xlfn.XLOOKUP($A570,PROPERTIES[VEHIDCODE],#REF!)</f>
        <v>#REF!</v>
      </c>
      <c r="F570" s="25" t="str" cm="1">
        <f t="array" ref="F570">_xlfn.CONCAT(_xlfn.XLOOKUP($A570,PROPERTIES[VEHIDCODE],PROPERTIES[REGION1]),"_",_xlfn.XLOOKUP($A570,PROPERTIES[VEHIDCODE],PROPERTIES[REGION2]),"_",_xlfn.XLOOKUP($A570,PROPERTIES[VEHIDCODE],PROPERTIES[REGION3]&amp;"_"&amp;_xlfn.XLOOKUP($A570,PROPERTIES[VEHIDCODE],PROPERTIES[REGION4])))</f>
        <v>ASIA_WESTERN_EUROPE_NO_REGION_NO_REGION</v>
      </c>
      <c r="G570" t="b">
        <f t="shared" si="72"/>
        <v>0</v>
      </c>
      <c r="H570" t="b">
        <f t="shared" si="79"/>
        <v>1</v>
      </c>
      <c r="I570" t="b">
        <f t="shared" si="73"/>
        <v>0</v>
      </c>
      <c r="J570" t="b">
        <f t="shared" si="80"/>
        <v>0</v>
      </c>
      <c r="K570" t="b">
        <f t="shared" si="74"/>
        <v>1</v>
      </c>
      <c r="L570" t="b">
        <f t="shared" si="75"/>
        <v>0</v>
      </c>
      <c r="M570" t="b">
        <f t="shared" si="76"/>
        <v>0</v>
      </c>
      <c r="N570" t="b">
        <f t="shared" si="77"/>
        <v>0</v>
      </c>
      <c r="O570" t="b">
        <f t="shared" si="78"/>
        <v>0</v>
      </c>
    </row>
    <row r="571" spans="1:15" x14ac:dyDescent="0.35">
      <c r="A571" t="str">
        <v>mmu_Mistubishi_Nippon_Sharyo_MLX01_901</v>
      </c>
      <c r="B571" t="b" cm="1">
        <f t="array" ref="B571">_xlfn.XLOOKUP(A571,CONTROL[VEHIDCODE],PROPERTIES[EXCLUDE])</f>
        <v>0</v>
      </c>
      <c r="C571" t="b">
        <f>_xlfn.XLOOKUP(A571,CONTROL[VEHIDCODE],CONTROL[IS_WAGON_OR_COACH])</f>
        <v>0</v>
      </c>
      <c r="D571">
        <f>FLOOR(_xlfn.XLOOKUP($A571,PROPERTIES[VEHIDCODE],PROPERTIES[INTRODUCTION_YEAR]),20)</f>
        <v>2020</v>
      </c>
      <c r="E571" t="e">
        <f>_xlfn.XLOOKUP($A571,PROPERTIES[VEHIDCODE],#REF!)</f>
        <v>#REF!</v>
      </c>
      <c r="F571" s="25" t="str" cm="1">
        <f t="array" ref="F571">_xlfn.CONCAT(_xlfn.XLOOKUP($A571,PROPERTIES[VEHIDCODE],PROPERTIES[REGION1]),"_",_xlfn.XLOOKUP($A571,PROPERTIES[VEHIDCODE],PROPERTIES[REGION2]),"_",_xlfn.XLOOKUP($A571,PROPERTIES[VEHIDCODE],PROPERTIES[REGION3]&amp;"_"&amp;_xlfn.XLOOKUP($A571,PROPERTIES[VEHIDCODE],PROPERTIES[REGION4])))</f>
        <v>ASIA_NO_REGION_NO_REGION_NO_REGION</v>
      </c>
      <c r="G571" t="b">
        <f t="shared" si="72"/>
        <v>0</v>
      </c>
      <c r="H571" t="b">
        <f t="shared" si="79"/>
        <v>1</v>
      </c>
      <c r="I571" t="b">
        <f t="shared" si="73"/>
        <v>0</v>
      </c>
      <c r="J571" t="b">
        <f t="shared" si="80"/>
        <v>0</v>
      </c>
      <c r="K571" t="b">
        <f t="shared" si="74"/>
        <v>0</v>
      </c>
      <c r="L571" t="b">
        <f t="shared" si="75"/>
        <v>0</v>
      </c>
      <c r="M571" t="b">
        <f t="shared" si="76"/>
        <v>0</v>
      </c>
      <c r="N571" t="b">
        <f t="shared" si="77"/>
        <v>0</v>
      </c>
      <c r="O571" t="b">
        <f t="shared" si="78"/>
        <v>0</v>
      </c>
    </row>
    <row r="572" spans="1:15" x14ac:dyDescent="0.35">
      <c r="A572" t="str">
        <v>mglv_Wagon_Gen7M_Boxcar_Type1</v>
      </c>
      <c r="B572" t="b" cm="1">
        <f t="array" ref="B572">_xlfn.XLOOKUP(A572,CONTROL[VEHIDCODE],PROPERTIES[EXCLUDE])</f>
        <v>0</v>
      </c>
      <c r="C572" t="b">
        <f>_xlfn.XLOOKUP(A572,CONTROL[VEHIDCODE],CONTROL[IS_WAGON_OR_COACH])</f>
        <v>1</v>
      </c>
      <c r="D572">
        <f>FLOOR(_xlfn.XLOOKUP($A572,PROPERTIES[VEHIDCODE],PROPERTIES[INTRODUCTION_YEAR]),20)</f>
        <v>2000</v>
      </c>
      <c r="E572" t="e">
        <f>_xlfn.XLOOKUP($A572,PROPERTIES[VEHIDCODE],#REF!)</f>
        <v>#REF!</v>
      </c>
      <c r="F572" s="25" t="str" cm="1">
        <f t="array" ref="F572">_xlfn.CONCAT(_xlfn.XLOOKUP($A572,PROPERTIES[VEHIDCODE],PROPERTIES[REGION1]),"_",_xlfn.XLOOKUP($A572,PROPERTIES[VEHIDCODE],PROPERTIES[REGION2]),"_",_xlfn.XLOOKUP($A572,PROPERTIES[VEHIDCODE],PROPERTIES[REGION3]&amp;"_"&amp;_xlfn.XLOOKUP($A572,PROPERTIES[VEHIDCODE],PROPERTIES[REGION4])))</f>
        <v>ALL_REGION_NO_REGION_NO_REGION_NO_REGION</v>
      </c>
      <c r="G572" t="b">
        <f t="shared" si="72"/>
        <v>1</v>
      </c>
      <c r="H572" t="b">
        <f t="shared" si="79"/>
        <v>1</v>
      </c>
      <c r="I572" t="b">
        <f t="shared" si="73"/>
        <v>1</v>
      </c>
      <c r="J572" t="b">
        <f t="shared" si="80"/>
        <v>1</v>
      </c>
      <c r="K572" t="b">
        <f t="shared" si="74"/>
        <v>1</v>
      </c>
      <c r="L572" t="b">
        <f t="shared" si="75"/>
        <v>1</v>
      </c>
      <c r="M572" t="b">
        <f t="shared" si="76"/>
        <v>1</v>
      </c>
      <c r="N572" t="b">
        <f t="shared" si="77"/>
        <v>1</v>
      </c>
      <c r="O572" t="b">
        <f t="shared" si="78"/>
        <v>1</v>
      </c>
    </row>
    <row r="573" spans="1:15" x14ac:dyDescent="0.35">
      <c r="A573" t="str">
        <v>mglv_Wagon_Gen7M_Boxcar_Type2</v>
      </c>
      <c r="B573" t="b" cm="1">
        <f t="array" ref="B573">_xlfn.XLOOKUP(A573,CONTROL[VEHIDCODE],PROPERTIES[EXCLUDE])</f>
        <v>0</v>
      </c>
      <c r="C573" t="b">
        <f>_xlfn.XLOOKUP(A573,CONTROL[VEHIDCODE],CONTROL[IS_WAGON_OR_COACH])</f>
        <v>1</v>
      </c>
      <c r="D573">
        <f>FLOOR(_xlfn.XLOOKUP($A573,PROPERTIES[VEHIDCODE],PROPERTIES[INTRODUCTION_YEAR]),20)</f>
        <v>2000</v>
      </c>
      <c r="E573" t="e">
        <f>_xlfn.XLOOKUP($A573,PROPERTIES[VEHIDCODE],#REF!)</f>
        <v>#REF!</v>
      </c>
      <c r="F573" s="25" t="str" cm="1">
        <f t="array" ref="F573">_xlfn.CONCAT(_xlfn.XLOOKUP($A573,PROPERTIES[VEHIDCODE],PROPERTIES[REGION1]),"_",_xlfn.XLOOKUP($A573,PROPERTIES[VEHIDCODE],PROPERTIES[REGION2]),"_",_xlfn.XLOOKUP($A573,PROPERTIES[VEHIDCODE],PROPERTIES[REGION3]&amp;"_"&amp;_xlfn.XLOOKUP($A573,PROPERTIES[VEHIDCODE],PROPERTIES[REGION4])))</f>
        <v>ALL_REGION_NO_REGION_NO_REGION_NO_REGION</v>
      </c>
      <c r="G573" t="b">
        <f t="shared" si="72"/>
        <v>1</v>
      </c>
      <c r="H573" t="b">
        <f t="shared" si="79"/>
        <v>1</v>
      </c>
      <c r="I573" t="b">
        <f t="shared" si="73"/>
        <v>1</v>
      </c>
      <c r="J573" t="b">
        <f t="shared" si="80"/>
        <v>1</v>
      </c>
      <c r="K573" t="b">
        <f t="shared" si="74"/>
        <v>1</v>
      </c>
      <c r="L573" t="b">
        <f t="shared" si="75"/>
        <v>1</v>
      </c>
      <c r="M573" t="b">
        <f t="shared" si="76"/>
        <v>1</v>
      </c>
      <c r="N573" t="b">
        <f t="shared" si="77"/>
        <v>1</v>
      </c>
      <c r="O573" t="b">
        <f t="shared" si="78"/>
        <v>1</v>
      </c>
    </row>
    <row r="574" spans="1:15" x14ac:dyDescent="0.35">
      <c r="A574" t="str">
        <v>mglv_Wagon_Gen7M_Car_Transporter</v>
      </c>
      <c r="B574" t="b" cm="1">
        <f t="array" ref="B574">_xlfn.XLOOKUP(A574,CONTROL[VEHIDCODE],PROPERTIES[EXCLUDE])</f>
        <v>0</v>
      </c>
      <c r="C574" t="b">
        <f>_xlfn.XLOOKUP(A574,CONTROL[VEHIDCODE],CONTROL[IS_WAGON_OR_COACH])</f>
        <v>1</v>
      </c>
      <c r="D574">
        <f>FLOOR(_xlfn.XLOOKUP($A574,PROPERTIES[VEHIDCODE],PROPERTIES[INTRODUCTION_YEAR]),20)</f>
        <v>2020</v>
      </c>
      <c r="E574" t="e">
        <f>_xlfn.XLOOKUP($A574,PROPERTIES[VEHIDCODE],#REF!)</f>
        <v>#REF!</v>
      </c>
      <c r="F574" s="25" t="str" cm="1">
        <f t="array" ref="F574">_xlfn.CONCAT(_xlfn.XLOOKUP($A574,PROPERTIES[VEHIDCODE],PROPERTIES[REGION1]),"_",_xlfn.XLOOKUP($A574,PROPERTIES[VEHIDCODE],PROPERTIES[REGION2]),"_",_xlfn.XLOOKUP($A574,PROPERTIES[VEHIDCODE],PROPERTIES[REGION3]&amp;"_"&amp;_xlfn.XLOOKUP($A574,PROPERTIES[VEHIDCODE],PROPERTIES[REGION4])))</f>
        <v>ALL_REGION_NO_REGION_NO_REGION_NO_REGION</v>
      </c>
      <c r="G574" t="b">
        <f t="shared" si="72"/>
        <v>1</v>
      </c>
      <c r="H574" t="b">
        <f t="shared" si="79"/>
        <v>1</v>
      </c>
      <c r="I574" t="b">
        <f t="shared" si="73"/>
        <v>1</v>
      </c>
      <c r="J574" t="b">
        <f t="shared" si="80"/>
        <v>1</v>
      </c>
      <c r="K574" t="b">
        <f t="shared" si="74"/>
        <v>1</v>
      </c>
      <c r="L574" t="b">
        <f t="shared" si="75"/>
        <v>1</v>
      </c>
      <c r="M574" t="b">
        <f t="shared" si="76"/>
        <v>1</v>
      </c>
      <c r="N574" t="b">
        <f t="shared" si="77"/>
        <v>1</v>
      </c>
      <c r="O574" t="b">
        <f t="shared" si="78"/>
        <v>1</v>
      </c>
    </row>
    <row r="575" spans="1:15" x14ac:dyDescent="0.35">
      <c r="A575" t="str">
        <v>mglv_Wagon_Gen7M_Centerbeam</v>
      </c>
      <c r="B575" t="b" cm="1">
        <f t="array" ref="B575">_xlfn.XLOOKUP(A575,CONTROL[VEHIDCODE],PROPERTIES[EXCLUDE])</f>
        <v>0</v>
      </c>
      <c r="C575" t="b">
        <f>_xlfn.XLOOKUP(A575,CONTROL[VEHIDCODE],CONTROL[IS_WAGON_OR_COACH])</f>
        <v>1</v>
      </c>
      <c r="D575">
        <f>FLOOR(_xlfn.XLOOKUP($A575,PROPERTIES[VEHIDCODE],PROPERTIES[INTRODUCTION_YEAR]),20)</f>
        <v>2000</v>
      </c>
      <c r="E575" t="e">
        <f>_xlfn.XLOOKUP($A575,PROPERTIES[VEHIDCODE],#REF!)</f>
        <v>#REF!</v>
      </c>
      <c r="F575" s="25" t="str" cm="1">
        <f t="array" ref="F575">_xlfn.CONCAT(_xlfn.XLOOKUP($A575,PROPERTIES[VEHIDCODE],PROPERTIES[REGION1]),"_",_xlfn.XLOOKUP($A575,PROPERTIES[VEHIDCODE],PROPERTIES[REGION2]),"_",_xlfn.XLOOKUP($A575,PROPERTIES[VEHIDCODE],PROPERTIES[REGION3]&amp;"_"&amp;_xlfn.XLOOKUP($A575,PROPERTIES[VEHIDCODE],PROPERTIES[REGION4])))</f>
        <v>ALL_REGION_NO_REGION_NO_REGION_NO_REGION</v>
      </c>
      <c r="G575" t="b">
        <f t="shared" si="72"/>
        <v>1</v>
      </c>
      <c r="H575" t="b">
        <f t="shared" si="79"/>
        <v>1</v>
      </c>
      <c r="I575" t="b">
        <f t="shared" si="73"/>
        <v>1</v>
      </c>
      <c r="J575" t="b">
        <f t="shared" si="80"/>
        <v>1</v>
      </c>
      <c r="K575" t="b">
        <f t="shared" si="74"/>
        <v>1</v>
      </c>
      <c r="L575" t="b">
        <f t="shared" si="75"/>
        <v>1</v>
      </c>
      <c r="M575" t="b">
        <f t="shared" si="76"/>
        <v>1</v>
      </c>
      <c r="N575" t="b">
        <f t="shared" si="77"/>
        <v>1</v>
      </c>
      <c r="O575" t="b">
        <f t="shared" si="78"/>
        <v>1</v>
      </c>
    </row>
    <row r="576" spans="1:15" x14ac:dyDescent="0.35">
      <c r="A576" t="str">
        <v>mglv_Wagon_Gen7M_Container_Carrier</v>
      </c>
      <c r="B576" t="b" cm="1">
        <f t="array" ref="B576">_xlfn.XLOOKUP(A576,CONTROL[VEHIDCODE],PROPERTIES[EXCLUDE])</f>
        <v>0</v>
      </c>
      <c r="C576" t="b">
        <f>_xlfn.XLOOKUP(A576,CONTROL[VEHIDCODE],CONTROL[IS_WAGON_OR_COACH])</f>
        <v>1</v>
      </c>
      <c r="D576">
        <f>FLOOR(_xlfn.XLOOKUP($A576,PROPERTIES[VEHIDCODE],PROPERTIES[INTRODUCTION_YEAR]),20)</f>
        <v>2000</v>
      </c>
      <c r="E576" t="e">
        <f>_xlfn.XLOOKUP($A576,PROPERTIES[VEHIDCODE],#REF!)</f>
        <v>#REF!</v>
      </c>
      <c r="F576" s="25" t="str" cm="1">
        <f t="array" ref="F576">_xlfn.CONCAT(_xlfn.XLOOKUP($A576,PROPERTIES[VEHIDCODE],PROPERTIES[REGION1]),"_",_xlfn.XLOOKUP($A576,PROPERTIES[VEHIDCODE],PROPERTIES[REGION2]),"_",_xlfn.XLOOKUP($A576,PROPERTIES[VEHIDCODE],PROPERTIES[REGION3]&amp;"_"&amp;_xlfn.XLOOKUP($A576,PROPERTIES[VEHIDCODE],PROPERTIES[REGION4])))</f>
        <v>ALL_REGION_NO_REGION_NO_REGION_NO_REGION</v>
      </c>
      <c r="G576" t="b">
        <f t="shared" si="72"/>
        <v>1</v>
      </c>
      <c r="H576" t="b">
        <f t="shared" si="79"/>
        <v>1</v>
      </c>
      <c r="I576" t="b">
        <f t="shared" si="73"/>
        <v>1</v>
      </c>
      <c r="J576" t="b">
        <f t="shared" si="80"/>
        <v>1</v>
      </c>
      <c r="K576" t="b">
        <f t="shared" si="74"/>
        <v>1</v>
      </c>
      <c r="L576" t="b">
        <f t="shared" si="75"/>
        <v>1</v>
      </c>
      <c r="M576" t="b">
        <f t="shared" si="76"/>
        <v>1</v>
      </c>
      <c r="N576" t="b">
        <f t="shared" si="77"/>
        <v>1</v>
      </c>
      <c r="O576" t="b">
        <f t="shared" si="78"/>
        <v>1</v>
      </c>
    </row>
    <row r="577" spans="1:15" x14ac:dyDescent="0.35">
      <c r="A577" t="str">
        <v>mglv_Wagon_Gen7M_Container_Doublestack</v>
      </c>
      <c r="B577" t="b" cm="1">
        <f t="array" ref="B577">_xlfn.XLOOKUP(A577,CONTROL[VEHIDCODE],PROPERTIES[EXCLUDE])</f>
        <v>0</v>
      </c>
      <c r="C577" t="b">
        <f>_xlfn.XLOOKUP(A577,CONTROL[VEHIDCODE],CONTROL[IS_WAGON_OR_COACH])</f>
        <v>1</v>
      </c>
      <c r="D577">
        <f>FLOOR(_xlfn.XLOOKUP($A577,PROPERTIES[VEHIDCODE],PROPERTIES[INTRODUCTION_YEAR]),20)</f>
        <v>2000</v>
      </c>
      <c r="E577" t="e">
        <f>_xlfn.XLOOKUP($A577,PROPERTIES[VEHIDCODE],#REF!)</f>
        <v>#REF!</v>
      </c>
      <c r="F577" s="25" t="str" cm="1">
        <f t="array" ref="F577">_xlfn.CONCAT(_xlfn.XLOOKUP($A577,PROPERTIES[VEHIDCODE],PROPERTIES[REGION1]),"_",_xlfn.XLOOKUP($A577,PROPERTIES[VEHIDCODE],PROPERTIES[REGION2]),"_",_xlfn.XLOOKUP($A577,PROPERTIES[VEHIDCODE],PROPERTIES[REGION3]&amp;"_"&amp;_xlfn.XLOOKUP($A577,PROPERTIES[VEHIDCODE],PROPERTIES[REGION4])))</f>
        <v>ALL_REGION_NO_REGION_NO_REGION_NO_REGION</v>
      </c>
      <c r="G577" t="b">
        <f t="shared" si="72"/>
        <v>1</v>
      </c>
      <c r="H577" t="b">
        <f t="shared" si="79"/>
        <v>1</v>
      </c>
      <c r="I577" t="b">
        <f t="shared" si="73"/>
        <v>1</v>
      </c>
      <c r="J577" t="b">
        <f t="shared" si="80"/>
        <v>1</v>
      </c>
      <c r="K577" t="b">
        <f t="shared" si="74"/>
        <v>1</v>
      </c>
      <c r="L577" t="b">
        <f t="shared" si="75"/>
        <v>1</v>
      </c>
      <c r="M577" t="b">
        <f t="shared" si="76"/>
        <v>1</v>
      </c>
      <c r="N577" t="b">
        <f t="shared" si="77"/>
        <v>1</v>
      </c>
      <c r="O577" t="b">
        <f t="shared" si="78"/>
        <v>1</v>
      </c>
    </row>
    <row r="578" spans="1:15" x14ac:dyDescent="0.35">
      <c r="A578" t="str">
        <v>mglv_Wagon_Gen7M_Flatcar</v>
      </c>
      <c r="B578" t="b" cm="1">
        <f t="array" ref="B578">_xlfn.XLOOKUP(A578,CONTROL[VEHIDCODE],PROPERTIES[EXCLUDE])</f>
        <v>0</v>
      </c>
      <c r="C578" t="b">
        <f>_xlfn.XLOOKUP(A578,CONTROL[VEHIDCODE],CONTROL[IS_WAGON_OR_COACH])</f>
        <v>1</v>
      </c>
      <c r="D578">
        <f>FLOOR(_xlfn.XLOOKUP($A578,PROPERTIES[VEHIDCODE],PROPERTIES[INTRODUCTION_YEAR]),20)</f>
        <v>2000</v>
      </c>
      <c r="E578" t="e">
        <f>_xlfn.XLOOKUP($A578,PROPERTIES[VEHIDCODE],#REF!)</f>
        <v>#REF!</v>
      </c>
      <c r="F578" s="25" t="str" cm="1">
        <f t="array" ref="F578">_xlfn.CONCAT(_xlfn.XLOOKUP($A578,PROPERTIES[VEHIDCODE],PROPERTIES[REGION1]),"_",_xlfn.XLOOKUP($A578,PROPERTIES[VEHIDCODE],PROPERTIES[REGION2]),"_",_xlfn.XLOOKUP($A578,PROPERTIES[VEHIDCODE],PROPERTIES[REGION3]&amp;"_"&amp;_xlfn.XLOOKUP($A578,PROPERTIES[VEHIDCODE],PROPERTIES[REGION4])))</f>
        <v>ALL_REGION_NO_REGION_NO_REGION_NO_REGION</v>
      </c>
      <c r="G578" t="b">
        <f t="shared" ref="G578:G641" si="81">OR(ISNUMBER(SEARCH("ALL_REGION",$F578)),
ISNUMBER(SEARCH("AFRICA",$F578)),
ISNUMBER(SEARCH("OLD_WORLD",$F578)),
ISNUMBER(SEARCH("NON_EUROPEAN",$F578)))</f>
        <v>1</v>
      </c>
      <c r="H578" t="b">
        <f t="shared" si="79"/>
        <v>1</v>
      </c>
      <c r="I578" t="b">
        <f t="shared" ref="I578:I641" si="82">OR(ISNUMBER(SEARCH("ALL_REGION",$F578)),
ISNUMBER(SEARCH("ALL_EUROPE",$F578)),
ISNUMBER(SEARCH(I$1,$F578)),
ISNUMBER(SEARCH("OLD_WORLD",$F578)))</f>
        <v>1</v>
      </c>
      <c r="J578" t="b">
        <f t="shared" si="80"/>
        <v>1</v>
      </c>
      <c r="K578" t="b">
        <f t="shared" ref="K578:K641" si="83">OR(ISNUMBER(SEARCH("ALL_REGION",$F578)),
ISNUMBER(SEARCH("ALL_EUROPE",$F578)),
ISNUMBER(SEARCH(K$1,$F578)),
ISNUMBER(SEARCH("OLD_WORLD",$F578)),
ISNUMBER(SEARCH("NORTH_WEST_EUROPE",$F578)))</f>
        <v>1</v>
      </c>
      <c r="L578" t="b">
        <f t="shared" ref="L578:L641" si="84">OR(ISNUMBER(SEARCH("ALL_REGION",$F578)),
ISNUMBER(SEARCH("ALL_EUROPE",$F578)),
ISNUMBER(SEARCH(L$1,$F578)),
ISNUMBER(SEARCH("OLD_WORLD",$F578)),
ISNUMBER(SEARCH("NORTH_WEST_EUROPE",$F578)),
ISNUMBER(SEARCH("POST_SOVIET_BALTIC",$F578)))</f>
        <v>1</v>
      </c>
      <c r="M578" t="b">
        <f t="shared" ref="M578:M641" si="85">OR(ISNUMBER(SEARCH("ALL_REGION",$F578)),
ISNUMBER(SEARCH("ALL_AMERICA",$F578)),
ISNUMBER(SEARCH(M$1,$F578)),
ISNUMBER(SEARCH("NON_EUROPEAN",$F578)))</f>
        <v>1</v>
      </c>
      <c r="N578" t="b">
        <f t="shared" ref="N578:N641" si="86">OR(ISNUMBER(SEARCH("ALL_REGION",$F578)),
ISNUMBER(SEARCH("ALL_AMERICA",$F578)),
ISNUMBER(SEARCH(N$1,$F578)),
ISNUMBER(SEARCH("NON_EUROPEAN",$F578)),
ISNUMBER(SEARCH("COMECON_EXTENDED",$F578)))</f>
        <v>1</v>
      </c>
      <c r="O578" t="b">
        <f t="shared" ref="O578:O641" si="87">OR(ISNUMBER(SEARCH("ALL_REGION",$F578)),
ISNUMBER(SEARCH(O$1,$F578)),
ISNUMBER(SEARCH("APAC",$F578)))</f>
        <v>1</v>
      </c>
    </row>
    <row r="579" spans="1:15" x14ac:dyDescent="0.35">
      <c r="A579" t="str">
        <v>mglv_Wagon_Gen7M_Gondola</v>
      </c>
      <c r="B579" t="b" cm="1">
        <f t="array" ref="B579">_xlfn.XLOOKUP(A579,CONTROL[VEHIDCODE],PROPERTIES[EXCLUDE])</f>
        <v>0</v>
      </c>
      <c r="C579" t="b">
        <f>_xlfn.XLOOKUP(A579,CONTROL[VEHIDCODE],CONTROL[IS_WAGON_OR_COACH])</f>
        <v>1</v>
      </c>
      <c r="D579">
        <f>FLOOR(_xlfn.XLOOKUP($A579,PROPERTIES[VEHIDCODE],PROPERTIES[INTRODUCTION_YEAR]),20)</f>
        <v>2000</v>
      </c>
      <c r="E579" t="e">
        <f>_xlfn.XLOOKUP($A579,PROPERTIES[VEHIDCODE],#REF!)</f>
        <v>#REF!</v>
      </c>
      <c r="F579" s="25" t="str" cm="1">
        <f t="array" ref="F579">_xlfn.CONCAT(_xlfn.XLOOKUP($A579,PROPERTIES[VEHIDCODE],PROPERTIES[REGION1]),"_",_xlfn.XLOOKUP($A579,PROPERTIES[VEHIDCODE],PROPERTIES[REGION2]),"_",_xlfn.XLOOKUP($A579,PROPERTIES[VEHIDCODE],PROPERTIES[REGION3]&amp;"_"&amp;_xlfn.XLOOKUP($A579,PROPERTIES[VEHIDCODE],PROPERTIES[REGION4])))</f>
        <v>ALL_REGION_NO_REGION_NO_REGION_NO_REGION</v>
      </c>
      <c r="G579" t="b">
        <f t="shared" si="81"/>
        <v>1</v>
      </c>
      <c r="H579" t="b">
        <f t="shared" ref="H579:H642" si="88">OR(ISNUMBER(SEARCH("ALL_REGION",$F579)),
ISNUMBER(SEARCH("ASIA",$F579)),
ISNUMBER(SEARCH("OLD_WORLD",$F579)),
ISNUMBER(SEARCH("NON_EUROPEAN",$F579)),
ISNUMBER(SEARCH("APAC",$F579)),
ISNUMBER(SEARCH("COMECON",$F579)),
ISNUMBER(SEARCH("COMECON_EXTENDED",$F579)),
ISNUMBER(SEARCH("POST_SOVIET_BALTIC",$F579)))</f>
        <v>1</v>
      </c>
      <c r="I579" t="b">
        <f t="shared" si="82"/>
        <v>1</v>
      </c>
      <c r="J579" t="b">
        <f t="shared" ref="J579:J642" si="89">OR(ISNUMBER(SEARCH("ALL_REGION",$F579)),
ISNUMBER(SEARCH("ALL_EUROPE",$F579)),
ISNUMBER(SEARCH(J$1,$F579)),
ISNUMBER(SEARCH("OLD_WORLD",$F579)),
ISNUMBER(SEARCH("COMECON",$F579)),
ISNUMBER(SEARCH("POST_SOVIET_BALTIC",$F579)))</f>
        <v>1</v>
      </c>
      <c r="K579" t="b">
        <f t="shared" si="83"/>
        <v>1</v>
      </c>
      <c r="L579" t="b">
        <f t="shared" si="84"/>
        <v>1</v>
      </c>
      <c r="M579" t="b">
        <f t="shared" si="85"/>
        <v>1</v>
      </c>
      <c r="N579" t="b">
        <f t="shared" si="86"/>
        <v>1</v>
      </c>
      <c r="O579" t="b">
        <f t="shared" si="87"/>
        <v>1</v>
      </c>
    </row>
    <row r="580" spans="1:15" x14ac:dyDescent="0.35">
      <c r="A580" t="str">
        <v>mglv_Wagon_Gen7M_Heavy_Flatcar</v>
      </c>
      <c r="B580" t="b" cm="1">
        <f t="array" ref="B580">_xlfn.XLOOKUP(A580,CONTROL[VEHIDCODE],PROPERTIES[EXCLUDE])</f>
        <v>0</v>
      </c>
      <c r="C580" t="b">
        <f>_xlfn.XLOOKUP(A580,CONTROL[VEHIDCODE],CONTROL[IS_WAGON_OR_COACH])</f>
        <v>1</v>
      </c>
      <c r="D580">
        <f>FLOOR(_xlfn.XLOOKUP($A580,PROPERTIES[VEHIDCODE],PROPERTIES[INTRODUCTION_YEAR]),20)</f>
        <v>2020</v>
      </c>
      <c r="E580" t="e">
        <f>_xlfn.XLOOKUP($A580,PROPERTIES[VEHIDCODE],#REF!)</f>
        <v>#REF!</v>
      </c>
      <c r="F580" s="25" t="str" cm="1">
        <f t="array" ref="F580">_xlfn.CONCAT(_xlfn.XLOOKUP($A580,PROPERTIES[VEHIDCODE],PROPERTIES[REGION1]),"_",_xlfn.XLOOKUP($A580,PROPERTIES[VEHIDCODE],PROPERTIES[REGION2]),"_",_xlfn.XLOOKUP($A580,PROPERTIES[VEHIDCODE],PROPERTIES[REGION3]&amp;"_"&amp;_xlfn.XLOOKUP($A580,PROPERTIES[VEHIDCODE],PROPERTIES[REGION4])))</f>
        <v>ALL_REGION_NO_REGION_NO_REGION_NO_REGION</v>
      </c>
      <c r="G580" t="b">
        <f t="shared" si="81"/>
        <v>1</v>
      </c>
      <c r="H580" t="b">
        <f t="shared" si="88"/>
        <v>1</v>
      </c>
      <c r="I580" t="b">
        <f t="shared" si="82"/>
        <v>1</v>
      </c>
      <c r="J580" t="b">
        <f t="shared" si="89"/>
        <v>1</v>
      </c>
      <c r="K580" t="b">
        <f t="shared" si="83"/>
        <v>1</v>
      </c>
      <c r="L580" t="b">
        <f t="shared" si="84"/>
        <v>1</v>
      </c>
      <c r="M580" t="b">
        <f t="shared" si="85"/>
        <v>1</v>
      </c>
      <c r="N580" t="b">
        <f t="shared" si="86"/>
        <v>1</v>
      </c>
      <c r="O580" t="b">
        <f t="shared" si="87"/>
        <v>1</v>
      </c>
    </row>
    <row r="581" spans="1:15" x14ac:dyDescent="0.35">
      <c r="A581" t="str">
        <v>mglv_Wagon_Gen7M_Hopper_Type1</v>
      </c>
      <c r="B581" t="b" cm="1">
        <f t="array" ref="B581">_xlfn.XLOOKUP(A581,CONTROL[VEHIDCODE],PROPERTIES[EXCLUDE])</f>
        <v>0</v>
      </c>
      <c r="C581" t="b">
        <f>_xlfn.XLOOKUP(A581,CONTROL[VEHIDCODE],CONTROL[IS_WAGON_OR_COACH])</f>
        <v>1</v>
      </c>
      <c r="D581">
        <f>FLOOR(_xlfn.XLOOKUP($A581,PROPERTIES[VEHIDCODE],PROPERTIES[INTRODUCTION_YEAR]),20)</f>
        <v>2020</v>
      </c>
      <c r="E581" t="e">
        <f>_xlfn.XLOOKUP($A581,PROPERTIES[VEHIDCODE],#REF!)</f>
        <v>#REF!</v>
      </c>
      <c r="F581" s="25" t="str" cm="1">
        <f t="array" ref="F581">_xlfn.CONCAT(_xlfn.XLOOKUP($A581,PROPERTIES[VEHIDCODE],PROPERTIES[REGION1]),"_",_xlfn.XLOOKUP($A581,PROPERTIES[VEHIDCODE],PROPERTIES[REGION2]),"_",_xlfn.XLOOKUP($A581,PROPERTIES[VEHIDCODE],PROPERTIES[REGION3]&amp;"_"&amp;_xlfn.XLOOKUP($A581,PROPERTIES[VEHIDCODE],PROPERTIES[REGION4])))</f>
        <v>ALL_REGION_NO_REGION_NO_REGION_NO_REGION</v>
      </c>
      <c r="G581" t="b">
        <f t="shared" si="81"/>
        <v>1</v>
      </c>
      <c r="H581" t="b">
        <f t="shared" si="88"/>
        <v>1</v>
      </c>
      <c r="I581" t="b">
        <f t="shared" si="82"/>
        <v>1</v>
      </c>
      <c r="J581" t="b">
        <f t="shared" si="89"/>
        <v>1</v>
      </c>
      <c r="K581" t="b">
        <f t="shared" si="83"/>
        <v>1</v>
      </c>
      <c r="L581" t="b">
        <f t="shared" si="84"/>
        <v>1</v>
      </c>
      <c r="M581" t="b">
        <f t="shared" si="85"/>
        <v>1</v>
      </c>
      <c r="N581" t="b">
        <f t="shared" si="86"/>
        <v>1</v>
      </c>
      <c r="O581" t="b">
        <f t="shared" si="87"/>
        <v>1</v>
      </c>
    </row>
    <row r="582" spans="1:15" x14ac:dyDescent="0.35">
      <c r="A582" t="str">
        <v>mglv_Wagon_Gen7M_Hopper_Type2</v>
      </c>
      <c r="B582" t="b" cm="1">
        <f t="array" ref="B582">_xlfn.XLOOKUP(A582,CONTROL[VEHIDCODE],PROPERTIES[EXCLUDE])</f>
        <v>0</v>
      </c>
      <c r="C582" t="b">
        <f>_xlfn.XLOOKUP(A582,CONTROL[VEHIDCODE],CONTROL[IS_WAGON_OR_COACH])</f>
        <v>1</v>
      </c>
      <c r="D582">
        <f>FLOOR(_xlfn.XLOOKUP($A582,PROPERTIES[VEHIDCODE],PROPERTIES[INTRODUCTION_YEAR]),20)</f>
        <v>2020</v>
      </c>
      <c r="E582" t="e">
        <f>_xlfn.XLOOKUP($A582,PROPERTIES[VEHIDCODE],#REF!)</f>
        <v>#REF!</v>
      </c>
      <c r="F582" s="25" t="str" cm="1">
        <f t="array" ref="F582">_xlfn.CONCAT(_xlfn.XLOOKUP($A582,PROPERTIES[VEHIDCODE],PROPERTIES[REGION1]),"_",_xlfn.XLOOKUP($A582,PROPERTIES[VEHIDCODE],PROPERTIES[REGION2]),"_",_xlfn.XLOOKUP($A582,PROPERTIES[VEHIDCODE],PROPERTIES[REGION3]&amp;"_"&amp;_xlfn.XLOOKUP($A582,PROPERTIES[VEHIDCODE],PROPERTIES[REGION4])))</f>
        <v>ALL_REGION_NO_REGION_NO_REGION_NO_REGION</v>
      </c>
      <c r="G582" t="b">
        <f t="shared" si="81"/>
        <v>1</v>
      </c>
      <c r="H582" t="b">
        <f t="shared" si="88"/>
        <v>1</v>
      </c>
      <c r="I582" t="b">
        <f t="shared" si="82"/>
        <v>1</v>
      </c>
      <c r="J582" t="b">
        <f t="shared" si="89"/>
        <v>1</v>
      </c>
      <c r="K582" t="b">
        <f t="shared" si="83"/>
        <v>1</v>
      </c>
      <c r="L582" t="b">
        <f t="shared" si="84"/>
        <v>1</v>
      </c>
      <c r="M582" t="b">
        <f t="shared" si="85"/>
        <v>1</v>
      </c>
      <c r="N582" t="b">
        <f t="shared" si="86"/>
        <v>1</v>
      </c>
      <c r="O582" t="b">
        <f t="shared" si="87"/>
        <v>1</v>
      </c>
    </row>
    <row r="583" spans="1:15" x14ac:dyDescent="0.35">
      <c r="A583" t="str">
        <v>mglv_Wagon_Gen7M_Silo_Type1</v>
      </c>
      <c r="B583" t="b" cm="1">
        <f t="array" ref="B583">_xlfn.XLOOKUP(A583,CONTROL[VEHIDCODE],PROPERTIES[EXCLUDE])</f>
        <v>0</v>
      </c>
      <c r="C583" t="b">
        <f>_xlfn.XLOOKUP(A583,CONTROL[VEHIDCODE],CONTROL[IS_WAGON_OR_COACH])</f>
        <v>1</v>
      </c>
      <c r="D583">
        <f>FLOOR(_xlfn.XLOOKUP($A583,PROPERTIES[VEHIDCODE],PROPERTIES[INTRODUCTION_YEAR]),20)</f>
        <v>2020</v>
      </c>
      <c r="E583" t="e">
        <f>_xlfn.XLOOKUP($A583,PROPERTIES[VEHIDCODE],#REF!)</f>
        <v>#REF!</v>
      </c>
      <c r="F583" s="25" t="str" cm="1">
        <f t="array" ref="F583">_xlfn.CONCAT(_xlfn.XLOOKUP($A583,PROPERTIES[VEHIDCODE],PROPERTIES[REGION1]),"_",_xlfn.XLOOKUP($A583,PROPERTIES[VEHIDCODE],PROPERTIES[REGION2]),"_",_xlfn.XLOOKUP($A583,PROPERTIES[VEHIDCODE],PROPERTIES[REGION3]&amp;"_"&amp;_xlfn.XLOOKUP($A583,PROPERTIES[VEHIDCODE],PROPERTIES[REGION4])))</f>
        <v>ALL_REGION_NO_REGION_NO_REGION_NO_REGION</v>
      </c>
      <c r="G583" t="b">
        <f t="shared" si="81"/>
        <v>1</v>
      </c>
      <c r="H583" t="b">
        <f t="shared" si="88"/>
        <v>1</v>
      </c>
      <c r="I583" t="b">
        <f t="shared" si="82"/>
        <v>1</v>
      </c>
      <c r="J583" t="b">
        <f t="shared" si="89"/>
        <v>1</v>
      </c>
      <c r="K583" t="b">
        <f t="shared" si="83"/>
        <v>1</v>
      </c>
      <c r="L583" t="b">
        <f t="shared" si="84"/>
        <v>1</v>
      </c>
      <c r="M583" t="b">
        <f t="shared" si="85"/>
        <v>1</v>
      </c>
      <c r="N583" t="b">
        <f t="shared" si="86"/>
        <v>1</v>
      </c>
      <c r="O583" t="b">
        <f t="shared" si="87"/>
        <v>1</v>
      </c>
    </row>
    <row r="584" spans="1:15" x14ac:dyDescent="0.35">
      <c r="A584" t="str">
        <v>mglv_Wagon_Gen7M_Silo_Type2</v>
      </c>
      <c r="B584" t="b" cm="1">
        <f t="array" ref="B584">_xlfn.XLOOKUP(A584,CONTROL[VEHIDCODE],PROPERTIES[EXCLUDE])</f>
        <v>0</v>
      </c>
      <c r="C584" t="b">
        <f>_xlfn.XLOOKUP(A584,CONTROL[VEHIDCODE],CONTROL[IS_WAGON_OR_COACH])</f>
        <v>1</v>
      </c>
      <c r="D584">
        <f>FLOOR(_xlfn.XLOOKUP($A584,PROPERTIES[VEHIDCODE],PROPERTIES[INTRODUCTION_YEAR]),20)</f>
        <v>2020</v>
      </c>
      <c r="E584" t="e">
        <f>_xlfn.XLOOKUP($A584,PROPERTIES[VEHIDCODE],#REF!)</f>
        <v>#REF!</v>
      </c>
      <c r="F584" s="25" t="str" cm="1">
        <f t="array" ref="F584">_xlfn.CONCAT(_xlfn.XLOOKUP($A584,PROPERTIES[VEHIDCODE],PROPERTIES[REGION1]),"_",_xlfn.XLOOKUP($A584,PROPERTIES[VEHIDCODE],PROPERTIES[REGION2]),"_",_xlfn.XLOOKUP($A584,PROPERTIES[VEHIDCODE],PROPERTIES[REGION3]&amp;"_"&amp;_xlfn.XLOOKUP($A584,PROPERTIES[VEHIDCODE],PROPERTIES[REGION4])))</f>
        <v>ALL_REGION_NO_REGION_NO_REGION_NO_REGION</v>
      </c>
      <c r="G584" t="b">
        <f t="shared" si="81"/>
        <v>1</v>
      </c>
      <c r="H584" t="b">
        <f t="shared" si="88"/>
        <v>1</v>
      </c>
      <c r="I584" t="b">
        <f t="shared" si="82"/>
        <v>1</v>
      </c>
      <c r="J584" t="b">
        <f t="shared" si="89"/>
        <v>1</v>
      </c>
      <c r="K584" t="b">
        <f t="shared" si="83"/>
        <v>1</v>
      </c>
      <c r="L584" t="b">
        <f t="shared" si="84"/>
        <v>1</v>
      </c>
      <c r="M584" t="b">
        <f t="shared" si="85"/>
        <v>1</v>
      </c>
      <c r="N584" t="b">
        <f t="shared" si="86"/>
        <v>1</v>
      </c>
      <c r="O584" t="b">
        <f t="shared" si="87"/>
        <v>1</v>
      </c>
    </row>
    <row r="585" spans="1:15" x14ac:dyDescent="0.35">
      <c r="A585" t="str">
        <v>mglv_Wagon_Gen7M_Superheavy_Flatcar</v>
      </c>
      <c r="B585" t="b" cm="1">
        <f t="array" ref="B585">_xlfn.XLOOKUP(A585,CONTROL[VEHIDCODE],PROPERTIES[EXCLUDE])</f>
        <v>0</v>
      </c>
      <c r="C585" t="b">
        <f>_xlfn.XLOOKUP(A585,CONTROL[VEHIDCODE],CONTROL[IS_WAGON_OR_COACH])</f>
        <v>1</v>
      </c>
      <c r="D585">
        <f>FLOOR(_xlfn.XLOOKUP($A585,PROPERTIES[VEHIDCODE],PROPERTIES[INTRODUCTION_YEAR]),20)</f>
        <v>2000</v>
      </c>
      <c r="E585" t="e">
        <f>_xlfn.XLOOKUP($A585,PROPERTIES[VEHIDCODE],#REF!)</f>
        <v>#REF!</v>
      </c>
      <c r="F585" s="25" t="str" cm="1">
        <f t="array" ref="F585">_xlfn.CONCAT(_xlfn.XLOOKUP($A585,PROPERTIES[VEHIDCODE],PROPERTIES[REGION1]),"_",_xlfn.XLOOKUP($A585,PROPERTIES[VEHIDCODE],PROPERTIES[REGION2]),"_",_xlfn.XLOOKUP($A585,PROPERTIES[VEHIDCODE],PROPERTIES[REGION3]&amp;"_"&amp;_xlfn.XLOOKUP($A585,PROPERTIES[VEHIDCODE],PROPERTIES[REGION4])))</f>
        <v>ALL_REGION_NO_REGION_NO_REGION_NO_REGION</v>
      </c>
      <c r="G585" t="b">
        <f t="shared" si="81"/>
        <v>1</v>
      </c>
      <c r="H585" t="b">
        <f t="shared" si="88"/>
        <v>1</v>
      </c>
      <c r="I585" t="b">
        <f t="shared" si="82"/>
        <v>1</v>
      </c>
      <c r="J585" t="b">
        <f t="shared" si="89"/>
        <v>1</v>
      </c>
      <c r="K585" t="b">
        <f t="shared" si="83"/>
        <v>1</v>
      </c>
      <c r="L585" t="b">
        <f t="shared" si="84"/>
        <v>1</v>
      </c>
      <c r="M585" t="b">
        <f t="shared" si="85"/>
        <v>1</v>
      </c>
      <c r="N585" t="b">
        <f t="shared" si="86"/>
        <v>1</v>
      </c>
      <c r="O585" t="b">
        <f t="shared" si="87"/>
        <v>1</v>
      </c>
    </row>
    <row r="586" spans="1:15" x14ac:dyDescent="0.35">
      <c r="A586" t="str">
        <v>mglv_Wagon_Gen7M_Tanker</v>
      </c>
      <c r="B586" t="b" cm="1">
        <f t="array" ref="B586">_xlfn.XLOOKUP(A586,CONTROL[VEHIDCODE],PROPERTIES[EXCLUDE])</f>
        <v>0</v>
      </c>
      <c r="C586" t="b">
        <f>_xlfn.XLOOKUP(A586,CONTROL[VEHIDCODE],CONTROL[IS_WAGON_OR_COACH])</f>
        <v>1</v>
      </c>
      <c r="D586">
        <f>FLOOR(_xlfn.XLOOKUP($A586,PROPERTIES[VEHIDCODE],PROPERTIES[INTRODUCTION_YEAR]),20)</f>
        <v>2020</v>
      </c>
      <c r="E586" t="e">
        <f>_xlfn.XLOOKUP($A586,PROPERTIES[VEHIDCODE],#REF!)</f>
        <v>#REF!</v>
      </c>
      <c r="F586" s="25" t="str" cm="1">
        <f t="array" ref="F586">_xlfn.CONCAT(_xlfn.XLOOKUP($A586,PROPERTIES[VEHIDCODE],PROPERTIES[REGION1]),"_",_xlfn.XLOOKUP($A586,PROPERTIES[VEHIDCODE],PROPERTIES[REGION2]),"_",_xlfn.XLOOKUP($A586,PROPERTIES[VEHIDCODE],PROPERTIES[REGION3]&amp;"_"&amp;_xlfn.XLOOKUP($A586,PROPERTIES[VEHIDCODE],PROPERTIES[REGION4])))</f>
        <v>ALL_REGION_NO_REGION_NO_REGION_NO_REGION</v>
      </c>
      <c r="G586" t="b">
        <f t="shared" si="81"/>
        <v>1</v>
      </c>
      <c r="H586" t="b">
        <f t="shared" si="88"/>
        <v>1</v>
      </c>
      <c r="I586" t="b">
        <f t="shared" si="82"/>
        <v>1</v>
      </c>
      <c r="J586" t="b">
        <f t="shared" si="89"/>
        <v>1</v>
      </c>
      <c r="K586" t="b">
        <f t="shared" si="83"/>
        <v>1</v>
      </c>
      <c r="L586" t="b">
        <f t="shared" si="84"/>
        <v>1</v>
      </c>
      <c r="M586" t="b">
        <f t="shared" si="85"/>
        <v>1</v>
      </c>
      <c r="N586" t="b">
        <f t="shared" si="86"/>
        <v>1</v>
      </c>
      <c r="O586" t="b">
        <f t="shared" si="87"/>
        <v>1</v>
      </c>
    </row>
    <row r="587" spans="1:15" x14ac:dyDescent="0.35">
      <c r="A587" t="str">
        <v>rbd_Niigata_Transys_Shikoku_1000</v>
      </c>
      <c r="B587" t="b" cm="1">
        <f t="array" ref="B587">_xlfn.XLOOKUP(A587,CONTROL[VEHIDCODE],PROPERTIES[EXCLUDE])</f>
        <v>0</v>
      </c>
      <c r="C587" t="b">
        <f>_xlfn.XLOOKUP(A587,CONTROL[VEHIDCODE],CONTROL[IS_WAGON_OR_COACH])</f>
        <v>0</v>
      </c>
      <c r="D587">
        <f>FLOOR(_xlfn.XLOOKUP($A587,PROPERTIES[VEHIDCODE],PROPERTIES[INTRODUCTION_YEAR]),20)</f>
        <v>1980</v>
      </c>
      <c r="E587" t="e">
        <f>_xlfn.XLOOKUP($A587,PROPERTIES[VEHIDCODE],#REF!)</f>
        <v>#REF!</v>
      </c>
      <c r="F587" s="25" t="str" cm="1">
        <f t="array" ref="F587">_xlfn.CONCAT(_xlfn.XLOOKUP($A587,PROPERTIES[VEHIDCODE],PROPERTIES[REGION1]),"_",_xlfn.XLOOKUP($A587,PROPERTIES[VEHIDCODE],PROPERTIES[REGION2]),"_",_xlfn.XLOOKUP($A587,PROPERTIES[VEHIDCODE],PROPERTIES[REGION3]&amp;"_"&amp;_xlfn.XLOOKUP($A587,PROPERTIES[VEHIDCODE],PROPERTIES[REGION4])))</f>
        <v>ASIA_NO_REGION_NO_REGION_NO_REGION</v>
      </c>
      <c r="G587" t="b">
        <f t="shared" si="81"/>
        <v>0</v>
      </c>
      <c r="H587" t="b">
        <f t="shared" si="88"/>
        <v>1</v>
      </c>
      <c r="I587" t="b">
        <f t="shared" si="82"/>
        <v>0</v>
      </c>
      <c r="J587" t="b">
        <f t="shared" si="89"/>
        <v>0</v>
      </c>
      <c r="K587" t="b">
        <f t="shared" si="83"/>
        <v>0</v>
      </c>
      <c r="L587" t="b">
        <f t="shared" si="84"/>
        <v>0</v>
      </c>
      <c r="M587" t="b">
        <f t="shared" si="85"/>
        <v>0</v>
      </c>
      <c r="N587" t="b">
        <f t="shared" si="86"/>
        <v>0</v>
      </c>
      <c r="O587" t="b">
        <f t="shared" si="87"/>
        <v>0</v>
      </c>
    </row>
    <row r="588" spans="1:15" x14ac:dyDescent="0.35">
      <c r="A588" t="str">
        <v>rbd_Niigata_Transys_KiHa_E120</v>
      </c>
      <c r="B588" t="b" cm="1">
        <f t="array" ref="B588">_xlfn.XLOOKUP(A588,CONTROL[VEHIDCODE],PROPERTIES[EXCLUDE])</f>
        <v>0</v>
      </c>
      <c r="C588" t="b">
        <f>_xlfn.XLOOKUP(A588,CONTROL[VEHIDCODE],CONTROL[IS_WAGON_OR_COACH])</f>
        <v>0</v>
      </c>
      <c r="D588">
        <f>FLOOR(_xlfn.XLOOKUP($A588,PROPERTIES[VEHIDCODE],PROPERTIES[INTRODUCTION_YEAR]),20)</f>
        <v>2000</v>
      </c>
      <c r="E588" t="e">
        <f>_xlfn.XLOOKUP($A588,PROPERTIES[VEHIDCODE],#REF!)</f>
        <v>#REF!</v>
      </c>
      <c r="F588" s="25" t="str" cm="1">
        <f t="array" ref="F588">_xlfn.CONCAT(_xlfn.XLOOKUP($A588,PROPERTIES[VEHIDCODE],PROPERTIES[REGION1]),"_",_xlfn.XLOOKUP($A588,PROPERTIES[VEHIDCODE],PROPERTIES[REGION2]),"_",_xlfn.XLOOKUP($A588,PROPERTIES[VEHIDCODE],PROPERTIES[REGION3]&amp;"_"&amp;_xlfn.XLOOKUP($A588,PROPERTIES[VEHIDCODE],PROPERTIES[REGION4])))</f>
        <v>ASIA_NO_REGION_NO_REGION_NO_REGION</v>
      </c>
      <c r="G588" t="b">
        <f t="shared" si="81"/>
        <v>0</v>
      </c>
      <c r="H588" t="b">
        <f t="shared" si="88"/>
        <v>1</v>
      </c>
      <c r="I588" t="b">
        <f t="shared" si="82"/>
        <v>0</v>
      </c>
      <c r="J588" t="b">
        <f t="shared" si="89"/>
        <v>0</v>
      </c>
      <c r="K588" t="b">
        <f t="shared" si="83"/>
        <v>0</v>
      </c>
      <c r="L588" t="b">
        <f t="shared" si="84"/>
        <v>0</v>
      </c>
      <c r="M588" t="b">
        <f t="shared" si="85"/>
        <v>0</v>
      </c>
      <c r="N588" t="b">
        <f t="shared" si="86"/>
        <v>0</v>
      </c>
      <c r="O588" t="b">
        <f t="shared" si="87"/>
        <v>0</v>
      </c>
    </row>
    <row r="589" spans="1:15" x14ac:dyDescent="0.35">
      <c r="A589" t="str">
        <v>rbd_EFE_SB_56_Buscarril</v>
      </c>
      <c r="B589" t="b" cm="1">
        <f t="array" ref="B589">_xlfn.XLOOKUP(A589,CONTROL[VEHIDCODE],PROPERTIES[EXCLUDE])</f>
        <v>0</v>
      </c>
      <c r="C589" t="b">
        <f>_xlfn.XLOOKUP(A589,CONTROL[VEHIDCODE],CONTROL[IS_WAGON_OR_COACH])</f>
        <v>0</v>
      </c>
      <c r="D589">
        <f>FLOOR(_xlfn.XLOOKUP($A589,PROPERTIES[VEHIDCODE],PROPERTIES[INTRODUCTION_YEAR]),20)</f>
        <v>1960</v>
      </c>
      <c r="E589" t="e">
        <f>_xlfn.XLOOKUP($A589,PROPERTIES[VEHIDCODE],#REF!)</f>
        <v>#REF!</v>
      </c>
      <c r="F589" s="25" t="str" cm="1">
        <f t="array" ref="F589">_xlfn.CONCAT(_xlfn.XLOOKUP($A589,PROPERTIES[VEHIDCODE],PROPERTIES[REGION1]),"_",_xlfn.XLOOKUP($A589,PROPERTIES[VEHIDCODE],PROPERTIES[REGION2]),"_",_xlfn.XLOOKUP($A589,PROPERTIES[VEHIDCODE],PROPERTIES[REGION3]&amp;"_"&amp;_xlfn.XLOOKUP($A589,PROPERTIES[VEHIDCODE],PROPERTIES[REGION4])))</f>
        <v>SOUTH_AMERICA_NO_REGION_NO_REGION_NO_REGION</v>
      </c>
      <c r="G589" t="b">
        <f t="shared" si="81"/>
        <v>0</v>
      </c>
      <c r="H589" t="b">
        <f t="shared" si="88"/>
        <v>0</v>
      </c>
      <c r="I589" t="b">
        <f t="shared" si="82"/>
        <v>0</v>
      </c>
      <c r="J589" t="b">
        <f t="shared" si="89"/>
        <v>0</v>
      </c>
      <c r="K589" t="b">
        <f t="shared" si="83"/>
        <v>0</v>
      </c>
      <c r="L589" t="b">
        <f t="shared" si="84"/>
        <v>0</v>
      </c>
      <c r="M589" t="b">
        <f t="shared" si="85"/>
        <v>0</v>
      </c>
      <c r="N589" t="b">
        <f t="shared" si="86"/>
        <v>1</v>
      </c>
      <c r="O589" t="b">
        <f t="shared" si="87"/>
        <v>0</v>
      </c>
    </row>
    <row r="590" spans="1:15" x14ac:dyDescent="0.35">
      <c r="A590" t="str">
        <v>rbd_Sulzer_M_Railcar</v>
      </c>
      <c r="B590" t="b" cm="1">
        <f t="array" ref="B590">_xlfn.XLOOKUP(A590,CONTROL[VEHIDCODE],PROPERTIES[EXCLUDE])</f>
        <v>0</v>
      </c>
      <c r="C590" t="b">
        <f>_xlfn.XLOOKUP(A590,CONTROL[VEHIDCODE],CONTROL[IS_WAGON_OR_COACH])</f>
        <v>0</v>
      </c>
      <c r="D590">
        <f>FLOOR(_xlfn.XLOOKUP($A590,PROPERTIES[VEHIDCODE],PROPERTIES[INTRODUCTION_YEAR]),20)</f>
        <v>1920</v>
      </c>
      <c r="E590" t="e">
        <f>_xlfn.XLOOKUP($A590,PROPERTIES[VEHIDCODE],#REF!)</f>
        <v>#REF!</v>
      </c>
      <c r="F590" s="25" t="str" cm="1">
        <f t="array" ref="F590">_xlfn.CONCAT(_xlfn.XLOOKUP($A590,PROPERTIES[VEHIDCODE],PROPERTIES[REGION1]),"_",_xlfn.XLOOKUP($A590,PROPERTIES[VEHIDCODE],PROPERTIES[REGION2]),"_",_xlfn.XLOOKUP($A590,PROPERTIES[VEHIDCODE],PROPERTIES[REGION3]&amp;"_"&amp;_xlfn.XLOOKUP($A590,PROPERTIES[VEHIDCODE],PROPERTIES[REGION4])))</f>
        <v>SOUTH_AMERICA_NO_REGION_NO_REGION_NO_REGION</v>
      </c>
      <c r="G590" t="b">
        <f t="shared" si="81"/>
        <v>0</v>
      </c>
      <c r="H590" t="b">
        <f t="shared" si="88"/>
        <v>0</v>
      </c>
      <c r="I590" t="b">
        <f t="shared" si="82"/>
        <v>0</v>
      </c>
      <c r="J590" t="b">
        <f t="shared" si="89"/>
        <v>0</v>
      </c>
      <c r="K590" t="b">
        <f t="shared" si="83"/>
        <v>0</v>
      </c>
      <c r="L590" t="b">
        <f t="shared" si="84"/>
        <v>0</v>
      </c>
      <c r="M590" t="b">
        <f t="shared" si="85"/>
        <v>0</v>
      </c>
      <c r="N590" t="b">
        <f t="shared" si="86"/>
        <v>1</v>
      </c>
      <c r="O590" t="b">
        <f t="shared" si="87"/>
        <v>0</v>
      </c>
    </row>
    <row r="591" spans="1:15" x14ac:dyDescent="0.35">
      <c r="A591" t="str">
        <v>rbd_Eritrean_Railway_A_62_70_Littorina</v>
      </c>
      <c r="B591" t="b" cm="1">
        <f t="array" ref="B591">_xlfn.XLOOKUP(A591,CONTROL[VEHIDCODE],PROPERTIES[EXCLUDE])</f>
        <v>0</v>
      </c>
      <c r="C591" t="b">
        <f>_xlfn.XLOOKUP(A591,CONTROL[VEHIDCODE],CONTROL[IS_WAGON_OR_COACH])</f>
        <v>0</v>
      </c>
      <c r="D591">
        <f>FLOOR(_xlfn.XLOOKUP($A591,PROPERTIES[VEHIDCODE],PROPERTIES[INTRODUCTION_YEAR]),20)</f>
        <v>1920</v>
      </c>
      <c r="E591" t="e">
        <f>_xlfn.XLOOKUP($A591,PROPERTIES[VEHIDCODE],#REF!)</f>
        <v>#REF!</v>
      </c>
      <c r="F591" s="25" t="str" cm="1">
        <f t="array" ref="F591">_xlfn.CONCAT(_xlfn.XLOOKUP($A591,PROPERTIES[VEHIDCODE],PROPERTIES[REGION1]),"_",_xlfn.XLOOKUP($A591,PROPERTIES[VEHIDCODE],PROPERTIES[REGION2]),"_",_xlfn.XLOOKUP($A591,PROPERTIES[VEHIDCODE],PROPERTIES[REGION3]&amp;"_"&amp;_xlfn.XLOOKUP($A591,PROPERTIES[VEHIDCODE],PROPERTIES[REGION4])))</f>
        <v>AFRICA_NO_REGION_NO_REGION_NO_REGION</v>
      </c>
      <c r="G591" t="b">
        <f t="shared" si="81"/>
        <v>1</v>
      </c>
      <c r="H591" t="b">
        <f t="shared" si="88"/>
        <v>0</v>
      </c>
      <c r="I591" t="b">
        <f t="shared" si="82"/>
        <v>0</v>
      </c>
      <c r="J591" t="b">
        <f t="shared" si="89"/>
        <v>0</v>
      </c>
      <c r="K591" t="b">
        <f t="shared" si="83"/>
        <v>0</v>
      </c>
      <c r="L591" t="b">
        <f t="shared" si="84"/>
        <v>0</v>
      </c>
      <c r="M591" t="b">
        <f t="shared" si="85"/>
        <v>0</v>
      </c>
      <c r="N591" t="b">
        <f t="shared" si="86"/>
        <v>0</v>
      </c>
      <c r="O591" t="b">
        <f t="shared" si="87"/>
        <v>0</v>
      </c>
    </row>
    <row r="592" spans="1:15" x14ac:dyDescent="0.35">
      <c r="A592" t="str">
        <v>rbe_SLM_CFe_3_3</v>
      </c>
      <c r="B592" t="b" cm="1">
        <f t="array" ref="B592">_xlfn.XLOOKUP(A592,CONTROL[VEHIDCODE],PROPERTIES[EXCLUDE])</f>
        <v>0</v>
      </c>
      <c r="C592" t="b">
        <f>_xlfn.XLOOKUP(A592,CONTROL[VEHIDCODE],CONTROL[IS_WAGON_OR_COACH])</f>
        <v>0</v>
      </c>
      <c r="D592">
        <f>FLOOR(_xlfn.XLOOKUP($A592,PROPERTIES[VEHIDCODE],PROPERTIES[INTRODUCTION_YEAR]),20)</f>
        <v>1900</v>
      </c>
      <c r="E592" t="e">
        <f>_xlfn.XLOOKUP($A592,PROPERTIES[VEHIDCODE],#REF!)</f>
        <v>#REF!</v>
      </c>
      <c r="F592" s="25" t="str" cm="1">
        <f t="array" ref="F592">_xlfn.CONCAT(_xlfn.XLOOKUP($A592,PROPERTIES[VEHIDCODE],PROPERTIES[REGION1]),"_",_xlfn.XLOOKUP($A592,PROPERTIES[VEHIDCODE],PROPERTIES[REGION2]),"_",_xlfn.XLOOKUP($A592,PROPERTIES[VEHIDCODE],PROPERTIES[REGION3]&amp;"_"&amp;_xlfn.XLOOKUP($A592,PROPERTIES[VEHIDCODE],PROPERTIES[REGION4])))</f>
        <v>WESTERN_EUROPE_NO_REGION_NO_REGION_NO_REGION</v>
      </c>
      <c r="G592" t="b">
        <f t="shared" si="81"/>
        <v>0</v>
      </c>
      <c r="H592" t="b">
        <f t="shared" si="88"/>
        <v>0</v>
      </c>
      <c r="I592" t="b">
        <f t="shared" si="82"/>
        <v>0</v>
      </c>
      <c r="J592" t="b">
        <f t="shared" si="89"/>
        <v>0</v>
      </c>
      <c r="K592" t="b">
        <f t="shared" si="83"/>
        <v>1</v>
      </c>
      <c r="L592" t="b">
        <f t="shared" si="84"/>
        <v>0</v>
      </c>
      <c r="M592" t="b">
        <f t="shared" si="85"/>
        <v>0</v>
      </c>
      <c r="N592" t="b">
        <f t="shared" si="86"/>
        <v>0</v>
      </c>
      <c r="O592" t="b">
        <f t="shared" si="87"/>
        <v>0</v>
      </c>
    </row>
    <row r="593" spans="1:15" x14ac:dyDescent="0.35">
      <c r="A593" t="str">
        <v>rbe_TPC_BVB_Be_2_2</v>
      </c>
      <c r="B593" t="b" cm="1">
        <f t="array" ref="B593">_xlfn.XLOOKUP(A593,CONTROL[VEHIDCODE],PROPERTIES[EXCLUDE])</f>
        <v>0</v>
      </c>
      <c r="C593" t="b">
        <f>_xlfn.XLOOKUP(A593,CONTROL[VEHIDCODE],CONTROL[IS_WAGON_OR_COACH])</f>
        <v>0</v>
      </c>
      <c r="D593">
        <f>FLOOR(_xlfn.XLOOKUP($A593,PROPERTIES[VEHIDCODE],PROPERTIES[INTRODUCTION_YEAR]),20)</f>
        <v>1900</v>
      </c>
      <c r="E593" t="e">
        <f>_xlfn.XLOOKUP($A593,PROPERTIES[VEHIDCODE],#REF!)</f>
        <v>#REF!</v>
      </c>
      <c r="F593" s="25" t="str" cm="1">
        <f t="array" ref="F593">_xlfn.CONCAT(_xlfn.XLOOKUP($A593,PROPERTIES[VEHIDCODE],PROPERTIES[REGION1]),"_",_xlfn.XLOOKUP($A593,PROPERTIES[VEHIDCODE],PROPERTIES[REGION2]),"_",_xlfn.XLOOKUP($A593,PROPERTIES[VEHIDCODE],PROPERTIES[REGION3]&amp;"_"&amp;_xlfn.XLOOKUP($A593,PROPERTIES[VEHIDCODE],PROPERTIES[REGION4])))</f>
        <v>WESTERN_EUROPE_NO_REGION_NO_REGION_NO_REGION</v>
      </c>
      <c r="G593" t="b">
        <f t="shared" si="81"/>
        <v>0</v>
      </c>
      <c r="H593" t="b">
        <f t="shared" si="88"/>
        <v>0</v>
      </c>
      <c r="I593" t="b">
        <f t="shared" si="82"/>
        <v>0</v>
      </c>
      <c r="J593" t="b">
        <f t="shared" si="89"/>
        <v>0</v>
      </c>
      <c r="K593" t="b">
        <f t="shared" si="83"/>
        <v>1</v>
      </c>
      <c r="L593" t="b">
        <f t="shared" si="84"/>
        <v>0</v>
      </c>
      <c r="M593" t="b">
        <f t="shared" si="85"/>
        <v>0</v>
      </c>
      <c r="N593" t="b">
        <f t="shared" si="86"/>
        <v>0</v>
      </c>
      <c r="O593" t="b">
        <f t="shared" si="87"/>
        <v>0</v>
      </c>
    </row>
    <row r="594" spans="1:15" x14ac:dyDescent="0.35">
      <c r="A594" t="str">
        <v>rbe_MVR_Beh_2_4</v>
      </c>
      <c r="B594" t="b" cm="1">
        <f t="array" ref="B594">_xlfn.XLOOKUP(A594,CONTROL[VEHIDCODE],PROPERTIES[EXCLUDE])</f>
        <v>0</v>
      </c>
      <c r="C594" t="b">
        <f>_xlfn.XLOOKUP(A594,CONTROL[VEHIDCODE],CONTROL[IS_WAGON_OR_COACH])</f>
        <v>0</v>
      </c>
      <c r="D594">
        <f>FLOOR(_xlfn.XLOOKUP($A594,PROPERTIES[VEHIDCODE],PROPERTIES[INTRODUCTION_YEAR]),20)</f>
        <v>1980</v>
      </c>
      <c r="E594" t="e">
        <f>_xlfn.XLOOKUP($A594,PROPERTIES[VEHIDCODE],#REF!)</f>
        <v>#REF!</v>
      </c>
      <c r="F594" s="25" t="str" cm="1">
        <f t="array" ref="F594">_xlfn.CONCAT(_xlfn.XLOOKUP($A594,PROPERTIES[VEHIDCODE],PROPERTIES[REGION1]),"_",_xlfn.XLOOKUP($A594,PROPERTIES[VEHIDCODE],PROPERTIES[REGION2]),"_",_xlfn.XLOOKUP($A594,PROPERTIES[VEHIDCODE],PROPERTIES[REGION3]&amp;"_"&amp;_xlfn.XLOOKUP($A594,PROPERTIES[VEHIDCODE],PROPERTIES[REGION4])))</f>
        <v>WESTERN_EUROPE_NO_REGION_NO_REGION_NO_REGION</v>
      </c>
      <c r="G594" t="b">
        <f t="shared" si="81"/>
        <v>0</v>
      </c>
      <c r="H594" t="b">
        <f t="shared" si="88"/>
        <v>0</v>
      </c>
      <c r="I594" t="b">
        <f t="shared" si="82"/>
        <v>0</v>
      </c>
      <c r="J594" t="b">
        <f t="shared" si="89"/>
        <v>0</v>
      </c>
      <c r="K594" t="b">
        <f t="shared" si="83"/>
        <v>1</v>
      </c>
      <c r="L594" t="b">
        <f t="shared" si="84"/>
        <v>0</v>
      </c>
      <c r="M594" t="b">
        <f t="shared" si="85"/>
        <v>0</v>
      </c>
      <c r="N594" t="b">
        <f t="shared" si="86"/>
        <v>0</v>
      </c>
      <c r="O594" t="b">
        <f t="shared" si="87"/>
        <v>0</v>
      </c>
    </row>
    <row r="595" spans="1:15" x14ac:dyDescent="0.35">
      <c r="A595" t="str">
        <v>rbe_Ferrocarril_de_Soller_1_3</v>
      </c>
      <c r="B595" t="b" cm="1">
        <f t="array" ref="B595">_xlfn.XLOOKUP(A595,CONTROL[VEHIDCODE],PROPERTIES[EXCLUDE])</f>
        <v>0</v>
      </c>
      <c r="C595" t="b">
        <f>_xlfn.XLOOKUP(A595,CONTROL[VEHIDCODE],CONTROL[IS_WAGON_OR_COACH])</f>
        <v>0</v>
      </c>
      <c r="D595">
        <f>FLOOR(_xlfn.XLOOKUP($A595,PROPERTIES[VEHIDCODE],PROPERTIES[INTRODUCTION_YEAR]),20)</f>
        <v>1920</v>
      </c>
      <c r="E595" t="e">
        <f>_xlfn.XLOOKUP($A595,PROPERTIES[VEHIDCODE],#REF!)</f>
        <v>#REF!</v>
      </c>
      <c r="F595" s="25" t="str" cm="1">
        <f t="array" ref="F595">_xlfn.CONCAT(_xlfn.XLOOKUP($A595,PROPERTIES[VEHIDCODE],PROPERTIES[REGION1]),"_",_xlfn.XLOOKUP($A595,PROPERTIES[VEHIDCODE],PROPERTIES[REGION2]),"_",_xlfn.XLOOKUP($A595,PROPERTIES[VEHIDCODE],PROPERTIES[REGION3]&amp;"_"&amp;_xlfn.XLOOKUP($A595,PROPERTIES[VEHIDCODE],PROPERTIES[REGION4])))</f>
        <v>SOUTHERN_EUROPE_NO_REGION_NO_REGION_NO_REGION</v>
      </c>
      <c r="G595" t="b">
        <f t="shared" si="81"/>
        <v>0</v>
      </c>
      <c r="H595" t="b">
        <f t="shared" si="88"/>
        <v>0</v>
      </c>
      <c r="I595" t="b">
        <f t="shared" si="82"/>
        <v>1</v>
      </c>
      <c r="J595" t="b">
        <f t="shared" si="89"/>
        <v>0</v>
      </c>
      <c r="K595" t="b">
        <f t="shared" si="83"/>
        <v>0</v>
      </c>
      <c r="L595" t="b">
        <f t="shared" si="84"/>
        <v>0</v>
      </c>
      <c r="M595" t="b">
        <f t="shared" si="85"/>
        <v>0</v>
      </c>
      <c r="N595" t="b">
        <f t="shared" si="86"/>
        <v>0</v>
      </c>
      <c r="O595" t="b">
        <f t="shared" si="87"/>
        <v>0</v>
      </c>
    </row>
    <row r="596" spans="1:15" x14ac:dyDescent="0.35">
      <c r="A596" t="str">
        <v>rbe_Hitachi_Choshi_DeHa_1000</v>
      </c>
      <c r="B596" t="b" cm="1">
        <f t="array" ref="B596">_xlfn.XLOOKUP(A596,CONTROL[VEHIDCODE],PROPERTIES[EXCLUDE])</f>
        <v>0</v>
      </c>
      <c r="C596" t="b">
        <f>_xlfn.XLOOKUP(A596,CONTROL[VEHIDCODE],CONTROL[IS_WAGON_OR_COACH])</f>
        <v>0</v>
      </c>
      <c r="D596">
        <f>FLOOR(_xlfn.XLOOKUP($A596,PROPERTIES[VEHIDCODE],PROPERTIES[INTRODUCTION_YEAR]),20)</f>
        <v>1960</v>
      </c>
      <c r="E596" t="e">
        <f>_xlfn.XLOOKUP($A596,PROPERTIES[VEHIDCODE],#REF!)</f>
        <v>#REF!</v>
      </c>
      <c r="F596" s="25" t="str" cm="1">
        <f t="array" ref="F596">_xlfn.CONCAT(_xlfn.XLOOKUP($A596,PROPERTIES[VEHIDCODE],PROPERTIES[REGION1]),"_",_xlfn.XLOOKUP($A596,PROPERTIES[VEHIDCODE],PROPERTIES[REGION2]),"_",_xlfn.XLOOKUP($A596,PROPERTIES[VEHIDCODE],PROPERTIES[REGION3]&amp;"_"&amp;_xlfn.XLOOKUP($A596,PROPERTIES[VEHIDCODE],PROPERTIES[REGION4])))</f>
        <v>ASIA_NO_REGION_NO_REGION_NO_REGION</v>
      </c>
      <c r="G596" t="b">
        <f t="shared" si="81"/>
        <v>0</v>
      </c>
      <c r="H596" t="b">
        <f t="shared" si="88"/>
        <v>1</v>
      </c>
      <c r="I596" t="b">
        <f t="shared" si="82"/>
        <v>0</v>
      </c>
      <c r="J596" t="b">
        <f t="shared" si="89"/>
        <v>0</v>
      </c>
      <c r="K596" t="b">
        <f t="shared" si="83"/>
        <v>0</v>
      </c>
      <c r="L596" t="b">
        <f t="shared" si="84"/>
        <v>0</v>
      </c>
      <c r="M596" t="b">
        <f t="shared" si="85"/>
        <v>0</v>
      </c>
      <c r="N596" t="b">
        <f t="shared" si="86"/>
        <v>0</v>
      </c>
      <c r="O596" t="b">
        <f t="shared" si="87"/>
        <v>0</v>
      </c>
    </row>
    <row r="597" spans="1:15" x14ac:dyDescent="0.35">
      <c r="A597" t="str">
        <v>steam_SLM_G_3_4</v>
      </c>
      <c r="B597" t="b" cm="1">
        <f t="array" ref="B597">_xlfn.XLOOKUP(A597,CONTROL[VEHIDCODE],PROPERTIES[EXCLUDE])</f>
        <v>0</v>
      </c>
      <c r="C597" t="b">
        <f>_xlfn.XLOOKUP(A597,CONTROL[VEHIDCODE],CONTROL[IS_WAGON_OR_COACH])</f>
        <v>0</v>
      </c>
      <c r="D597">
        <f>FLOOR(_xlfn.XLOOKUP($A597,PROPERTIES[VEHIDCODE],PROPERTIES[INTRODUCTION_YEAR]),20)</f>
        <v>1880</v>
      </c>
      <c r="E597" t="e">
        <f>_xlfn.XLOOKUP($A597,PROPERTIES[VEHIDCODE],#REF!)</f>
        <v>#REF!</v>
      </c>
      <c r="F597" s="25" t="str" cm="1">
        <f t="array" ref="F597">_xlfn.CONCAT(_xlfn.XLOOKUP($A597,PROPERTIES[VEHIDCODE],PROPERTIES[REGION1]),"_",_xlfn.XLOOKUP($A597,PROPERTIES[VEHIDCODE],PROPERTIES[REGION2]),"_",_xlfn.XLOOKUP($A597,PROPERTIES[VEHIDCODE],PROPERTIES[REGION3]&amp;"_"&amp;_xlfn.XLOOKUP($A597,PROPERTIES[VEHIDCODE],PROPERTIES[REGION4])))</f>
        <v>WESTERN_EUROPE_NO_REGION_NO_REGION_NO_REGION</v>
      </c>
      <c r="G597" t="b">
        <f t="shared" si="81"/>
        <v>0</v>
      </c>
      <c r="H597" t="b">
        <f t="shared" si="88"/>
        <v>0</v>
      </c>
      <c r="I597" t="b">
        <f t="shared" si="82"/>
        <v>0</v>
      </c>
      <c r="J597" t="b">
        <f t="shared" si="89"/>
        <v>0</v>
      </c>
      <c r="K597" t="b">
        <f t="shared" si="83"/>
        <v>1</v>
      </c>
      <c r="L597" t="b">
        <f t="shared" si="84"/>
        <v>0</v>
      </c>
      <c r="M597" t="b">
        <f t="shared" si="85"/>
        <v>0</v>
      </c>
      <c r="N597" t="b">
        <f t="shared" si="86"/>
        <v>0</v>
      </c>
      <c r="O597" t="b">
        <f t="shared" si="87"/>
        <v>0</v>
      </c>
    </row>
    <row r="598" spans="1:15" x14ac:dyDescent="0.35">
      <c r="A598" t="str">
        <v>steam_Kisha_Seizo_2_10_4T_E10</v>
      </c>
      <c r="B598" t="b" cm="1">
        <f t="array" ref="B598">_xlfn.XLOOKUP(A598,CONTROL[VEHIDCODE],PROPERTIES[EXCLUDE])</f>
        <v>0</v>
      </c>
      <c r="C598" t="b">
        <f>_xlfn.XLOOKUP(A598,CONTROL[VEHIDCODE],CONTROL[IS_WAGON_OR_COACH])</f>
        <v>0</v>
      </c>
      <c r="D598">
        <f>FLOOR(_xlfn.XLOOKUP($A598,PROPERTIES[VEHIDCODE],PROPERTIES[INTRODUCTION_YEAR]),20)</f>
        <v>1940</v>
      </c>
      <c r="E598" t="e">
        <f>_xlfn.XLOOKUP($A598,PROPERTIES[VEHIDCODE],#REF!)</f>
        <v>#REF!</v>
      </c>
      <c r="F598" s="25" t="str" cm="1">
        <f t="array" ref="F598">_xlfn.CONCAT(_xlfn.XLOOKUP($A598,PROPERTIES[VEHIDCODE],PROPERTIES[REGION1]),"_",_xlfn.XLOOKUP($A598,PROPERTIES[VEHIDCODE],PROPERTIES[REGION2]),"_",_xlfn.XLOOKUP($A598,PROPERTIES[VEHIDCODE],PROPERTIES[REGION3]&amp;"_"&amp;_xlfn.XLOOKUP($A598,PROPERTIES[VEHIDCODE],PROPERTIES[REGION4])))</f>
        <v>ASIA_NO_REGION_NO_REGION_NO_REGION</v>
      </c>
      <c r="G598" t="b">
        <f t="shared" si="81"/>
        <v>0</v>
      </c>
      <c r="H598" t="b">
        <f t="shared" si="88"/>
        <v>1</v>
      </c>
      <c r="I598" t="b">
        <f t="shared" si="82"/>
        <v>0</v>
      </c>
      <c r="J598" t="b">
        <f t="shared" si="89"/>
        <v>0</v>
      </c>
      <c r="K598" t="b">
        <f t="shared" si="83"/>
        <v>0</v>
      </c>
      <c r="L598" t="b">
        <f t="shared" si="84"/>
        <v>0</v>
      </c>
      <c r="M598" t="b">
        <f t="shared" si="85"/>
        <v>0</v>
      </c>
      <c r="N598" t="b">
        <f t="shared" si="86"/>
        <v>0</v>
      </c>
      <c r="O598" t="b">
        <f t="shared" si="87"/>
        <v>0</v>
      </c>
    </row>
    <row r="599" spans="1:15" x14ac:dyDescent="0.35">
      <c r="A599" t="str">
        <v>steam_H__K__Porter__Inc_2_6_0_7100</v>
      </c>
      <c r="B599" t="b" cm="1">
        <f t="array" ref="B599">_xlfn.XLOOKUP(A599,CONTROL[VEHIDCODE],PROPERTIES[EXCLUDE])</f>
        <v>0</v>
      </c>
      <c r="C599" t="b">
        <f>_xlfn.XLOOKUP(A599,CONTROL[VEHIDCODE],CONTROL[IS_WAGON_OR_COACH])</f>
        <v>0</v>
      </c>
      <c r="D599">
        <f>FLOOR(_xlfn.XLOOKUP($A599,PROPERTIES[VEHIDCODE],PROPERTIES[INTRODUCTION_YEAR]),20)</f>
        <v>1880</v>
      </c>
      <c r="E599" t="e">
        <f>_xlfn.XLOOKUP($A599,PROPERTIES[VEHIDCODE],#REF!)</f>
        <v>#REF!</v>
      </c>
      <c r="F599" s="25" t="str" cm="1">
        <f t="array" ref="F599">_xlfn.CONCAT(_xlfn.XLOOKUP($A599,PROPERTIES[VEHIDCODE],PROPERTIES[REGION1]),"_",_xlfn.XLOOKUP($A599,PROPERTIES[VEHIDCODE],PROPERTIES[REGION2]),"_",_xlfn.XLOOKUP($A599,PROPERTIES[VEHIDCODE],PROPERTIES[REGION3]&amp;"_"&amp;_xlfn.XLOOKUP($A599,PROPERTIES[VEHIDCODE],PROPERTIES[REGION4])))</f>
        <v>ASIA_NO_REGION_NO_REGION_NO_REGION</v>
      </c>
      <c r="G599" t="b">
        <f t="shared" si="81"/>
        <v>0</v>
      </c>
      <c r="H599" t="b">
        <f t="shared" si="88"/>
        <v>1</v>
      </c>
      <c r="I599" t="b">
        <f t="shared" si="82"/>
        <v>0</v>
      </c>
      <c r="J599" t="b">
        <f t="shared" si="89"/>
        <v>0</v>
      </c>
      <c r="K599" t="b">
        <f t="shared" si="83"/>
        <v>0</v>
      </c>
      <c r="L599" t="b">
        <f t="shared" si="84"/>
        <v>0</v>
      </c>
      <c r="M599" t="b">
        <f t="shared" si="85"/>
        <v>0</v>
      </c>
      <c r="N599" t="b">
        <f t="shared" si="86"/>
        <v>0</v>
      </c>
      <c r="O599" t="b">
        <f t="shared" si="87"/>
        <v>0</v>
      </c>
    </row>
    <row r="600" spans="1:15" x14ac:dyDescent="0.35">
      <c r="A600" t="str">
        <v>steam_Richard_Francis_Trevithick_2_4_2T_860</v>
      </c>
      <c r="B600" t="b" cm="1">
        <f t="array" ref="B600">_xlfn.XLOOKUP(A600,CONTROL[VEHIDCODE],PROPERTIES[EXCLUDE])</f>
        <v>0</v>
      </c>
      <c r="C600" t="b">
        <f>_xlfn.XLOOKUP(A600,CONTROL[VEHIDCODE],CONTROL[IS_WAGON_OR_COACH])</f>
        <v>0</v>
      </c>
      <c r="D600">
        <f>FLOOR(_xlfn.XLOOKUP($A600,PROPERTIES[VEHIDCODE],PROPERTIES[INTRODUCTION_YEAR]),20)</f>
        <v>1880</v>
      </c>
      <c r="E600" t="e">
        <f>_xlfn.XLOOKUP($A600,PROPERTIES[VEHIDCODE],#REF!)</f>
        <v>#REF!</v>
      </c>
      <c r="F600" s="25" t="str" cm="1">
        <f t="array" ref="F600">_xlfn.CONCAT(_xlfn.XLOOKUP($A600,PROPERTIES[VEHIDCODE],PROPERTIES[REGION1]),"_",_xlfn.XLOOKUP($A600,PROPERTIES[VEHIDCODE],PROPERTIES[REGION2]),"_",_xlfn.XLOOKUP($A600,PROPERTIES[VEHIDCODE],PROPERTIES[REGION3]&amp;"_"&amp;_xlfn.XLOOKUP($A600,PROPERTIES[VEHIDCODE],PROPERTIES[REGION4])))</f>
        <v>ASIA_NO_REGION_NO_REGION_NO_REGION</v>
      </c>
      <c r="G600" t="b">
        <f t="shared" si="81"/>
        <v>0</v>
      </c>
      <c r="H600" t="b">
        <f t="shared" si="88"/>
        <v>1</v>
      </c>
      <c r="I600" t="b">
        <f t="shared" si="82"/>
        <v>0</v>
      </c>
      <c r="J600" t="b">
        <f t="shared" si="89"/>
        <v>0</v>
      </c>
      <c r="K600" t="b">
        <f t="shared" si="83"/>
        <v>0</v>
      </c>
      <c r="L600" t="b">
        <f t="shared" si="84"/>
        <v>0</v>
      </c>
      <c r="M600" t="b">
        <f t="shared" si="85"/>
        <v>0</v>
      </c>
      <c r="N600" t="b">
        <f t="shared" si="86"/>
        <v>0</v>
      </c>
      <c r="O600" t="b">
        <f t="shared" si="87"/>
        <v>0</v>
      </c>
    </row>
    <row r="601" spans="1:15" x14ac:dyDescent="0.35">
      <c r="A601" t="str">
        <v>steam_Kawasaki_2_8_0_9600</v>
      </c>
      <c r="B601" t="b" cm="1">
        <f t="array" ref="B601">_xlfn.XLOOKUP(A601,CONTROL[VEHIDCODE],PROPERTIES[EXCLUDE])</f>
        <v>0</v>
      </c>
      <c r="C601" t="b">
        <f>_xlfn.XLOOKUP(A601,CONTROL[VEHIDCODE],CONTROL[IS_WAGON_OR_COACH])</f>
        <v>0</v>
      </c>
      <c r="D601">
        <f>FLOOR(_xlfn.XLOOKUP($A601,PROPERTIES[VEHIDCODE],PROPERTIES[INTRODUCTION_YEAR]),20)</f>
        <v>1900</v>
      </c>
      <c r="E601" t="e">
        <f>_xlfn.XLOOKUP($A601,PROPERTIES[VEHIDCODE],#REF!)</f>
        <v>#REF!</v>
      </c>
      <c r="F601" s="25" t="str" cm="1">
        <f t="array" ref="F601">_xlfn.CONCAT(_xlfn.XLOOKUP($A601,PROPERTIES[VEHIDCODE],PROPERTIES[REGION1]),"_",_xlfn.XLOOKUP($A601,PROPERTIES[VEHIDCODE],PROPERTIES[REGION2]),"_",_xlfn.XLOOKUP($A601,PROPERTIES[VEHIDCODE],PROPERTIES[REGION3]&amp;"_"&amp;_xlfn.XLOOKUP($A601,PROPERTIES[VEHIDCODE],PROPERTIES[REGION4])))</f>
        <v>ASIA_NO_REGION_NO_REGION_NO_REGION</v>
      </c>
      <c r="G601" t="b">
        <f t="shared" si="81"/>
        <v>0</v>
      </c>
      <c r="H601" t="b">
        <f t="shared" si="88"/>
        <v>1</v>
      </c>
      <c r="I601" t="b">
        <f t="shared" si="82"/>
        <v>0</v>
      </c>
      <c r="J601" t="b">
        <f t="shared" si="89"/>
        <v>0</v>
      </c>
      <c r="K601" t="b">
        <f t="shared" si="83"/>
        <v>0</v>
      </c>
      <c r="L601" t="b">
        <f t="shared" si="84"/>
        <v>0</v>
      </c>
      <c r="M601" t="b">
        <f t="shared" si="85"/>
        <v>0</v>
      </c>
      <c r="N601" t="b">
        <f t="shared" si="86"/>
        <v>0</v>
      </c>
      <c r="O601" t="b">
        <f t="shared" si="87"/>
        <v>0</v>
      </c>
    </row>
    <row r="602" spans="1:15" x14ac:dyDescent="0.35">
      <c r="A602" t="str">
        <v>steam_Kawasaki_2_8_2_D50</v>
      </c>
      <c r="B602" t="b" cm="1">
        <f t="array" ref="B602">_xlfn.XLOOKUP(A602,CONTROL[VEHIDCODE],PROPERTIES[EXCLUDE])</f>
        <v>0</v>
      </c>
      <c r="C602" t="b">
        <f>_xlfn.XLOOKUP(A602,CONTROL[VEHIDCODE],CONTROL[IS_WAGON_OR_COACH])</f>
        <v>0</v>
      </c>
      <c r="D602">
        <f>FLOOR(_xlfn.XLOOKUP($A602,PROPERTIES[VEHIDCODE],PROPERTIES[INTRODUCTION_YEAR]),20)</f>
        <v>1920</v>
      </c>
      <c r="E602" t="e">
        <f>_xlfn.XLOOKUP($A602,PROPERTIES[VEHIDCODE],#REF!)</f>
        <v>#REF!</v>
      </c>
      <c r="F602" s="25" t="str" cm="1">
        <f t="array" ref="F602">_xlfn.CONCAT(_xlfn.XLOOKUP($A602,PROPERTIES[VEHIDCODE],PROPERTIES[REGION1]),"_",_xlfn.XLOOKUP($A602,PROPERTIES[VEHIDCODE],PROPERTIES[REGION2]),"_",_xlfn.XLOOKUP($A602,PROPERTIES[VEHIDCODE],PROPERTIES[REGION3]&amp;"_"&amp;_xlfn.XLOOKUP($A602,PROPERTIES[VEHIDCODE],PROPERTIES[REGION4])))</f>
        <v>ASIA_NO_REGION_NO_REGION_NO_REGION</v>
      </c>
      <c r="G602" t="b">
        <f t="shared" si="81"/>
        <v>0</v>
      </c>
      <c r="H602" t="b">
        <f t="shared" si="88"/>
        <v>1</v>
      </c>
      <c r="I602" t="b">
        <f t="shared" si="82"/>
        <v>0</v>
      </c>
      <c r="J602" t="b">
        <f t="shared" si="89"/>
        <v>0</v>
      </c>
      <c r="K602" t="b">
        <f t="shared" si="83"/>
        <v>0</v>
      </c>
      <c r="L602" t="b">
        <f t="shared" si="84"/>
        <v>0</v>
      </c>
      <c r="M602" t="b">
        <f t="shared" si="85"/>
        <v>0</v>
      </c>
      <c r="N602" t="b">
        <f t="shared" si="86"/>
        <v>0</v>
      </c>
      <c r="O602" t="b">
        <f t="shared" si="87"/>
        <v>0</v>
      </c>
    </row>
    <row r="603" spans="1:15" x14ac:dyDescent="0.35">
      <c r="A603" t="str">
        <v>diesel_Kisha_Mitsubishi_NS_DF50</v>
      </c>
      <c r="B603" t="b" cm="1">
        <f t="array" ref="B603">_xlfn.XLOOKUP(A603,CONTROL[VEHIDCODE],PROPERTIES[EXCLUDE])</f>
        <v>0</v>
      </c>
      <c r="C603" t="b">
        <f>_xlfn.XLOOKUP(A603,CONTROL[VEHIDCODE],CONTROL[IS_WAGON_OR_COACH])</f>
        <v>0</v>
      </c>
      <c r="D603">
        <f>FLOOR(_xlfn.XLOOKUP($A603,PROPERTIES[VEHIDCODE],PROPERTIES[INTRODUCTION_YEAR]),20)</f>
        <v>1940</v>
      </c>
      <c r="E603" t="e">
        <f>_xlfn.XLOOKUP($A603,PROPERTIES[VEHIDCODE],#REF!)</f>
        <v>#REF!</v>
      </c>
      <c r="F603" s="25" t="str" cm="1">
        <f t="array" ref="F603">_xlfn.CONCAT(_xlfn.XLOOKUP($A603,PROPERTIES[VEHIDCODE],PROPERTIES[REGION1]),"_",_xlfn.XLOOKUP($A603,PROPERTIES[VEHIDCODE],PROPERTIES[REGION2]),"_",_xlfn.XLOOKUP($A603,PROPERTIES[VEHIDCODE],PROPERTIES[REGION3]&amp;"_"&amp;_xlfn.XLOOKUP($A603,PROPERTIES[VEHIDCODE],PROPERTIES[REGION4])))</f>
        <v>ASIA_NO_REGION_NO_REGION_NO_REGION</v>
      </c>
      <c r="G603" t="b">
        <f t="shared" si="81"/>
        <v>0</v>
      </c>
      <c r="H603" t="b">
        <f t="shared" si="88"/>
        <v>1</v>
      </c>
      <c r="I603" t="b">
        <f t="shared" si="82"/>
        <v>0</v>
      </c>
      <c r="J603" t="b">
        <f t="shared" si="89"/>
        <v>0</v>
      </c>
      <c r="K603" t="b">
        <f t="shared" si="83"/>
        <v>0</v>
      </c>
      <c r="L603" t="b">
        <f t="shared" si="84"/>
        <v>0</v>
      </c>
      <c r="M603" t="b">
        <f t="shared" si="85"/>
        <v>0</v>
      </c>
      <c r="N603" t="b">
        <f t="shared" si="86"/>
        <v>0</v>
      </c>
      <c r="O603" t="b">
        <f t="shared" si="87"/>
        <v>0</v>
      </c>
    </row>
    <row r="604" spans="1:15" x14ac:dyDescent="0.35">
      <c r="A604" t="str">
        <v>electric_SIG_Alioth_De_2_2</v>
      </c>
      <c r="B604" t="b" cm="1">
        <f t="array" ref="B604">_xlfn.XLOOKUP(A604,CONTROL[VEHIDCODE],PROPERTIES[EXCLUDE])</f>
        <v>0</v>
      </c>
      <c r="C604" t="b">
        <f>_xlfn.XLOOKUP(A604,CONTROL[VEHIDCODE],CONTROL[IS_WAGON_OR_COACH])</f>
        <v>0</v>
      </c>
      <c r="D604">
        <f>FLOOR(_xlfn.XLOOKUP($A604,PROPERTIES[VEHIDCODE],PROPERTIES[INTRODUCTION_YEAR]),20)</f>
        <v>1900</v>
      </c>
      <c r="E604" t="e">
        <f>_xlfn.XLOOKUP($A604,PROPERTIES[VEHIDCODE],#REF!)</f>
        <v>#REF!</v>
      </c>
      <c r="F604" s="25" t="str" cm="1">
        <f t="array" ref="F604">_xlfn.CONCAT(_xlfn.XLOOKUP($A604,PROPERTIES[VEHIDCODE],PROPERTIES[REGION1]),"_",_xlfn.XLOOKUP($A604,PROPERTIES[VEHIDCODE],PROPERTIES[REGION2]),"_",_xlfn.XLOOKUP($A604,PROPERTIES[VEHIDCODE],PROPERTIES[REGION3]&amp;"_"&amp;_xlfn.XLOOKUP($A604,PROPERTIES[VEHIDCODE],PROPERTIES[REGION4])))</f>
        <v>WESTERN_EUROPE_NO_REGION_NO_REGION_NO_REGION</v>
      </c>
      <c r="G604" t="b">
        <f t="shared" si="81"/>
        <v>0</v>
      </c>
      <c r="H604" t="b">
        <f t="shared" si="88"/>
        <v>0</v>
      </c>
      <c r="I604" t="b">
        <f t="shared" si="82"/>
        <v>0</v>
      </c>
      <c r="J604" t="b">
        <f t="shared" si="89"/>
        <v>0</v>
      </c>
      <c r="K604" t="b">
        <f t="shared" si="83"/>
        <v>1</v>
      </c>
      <c r="L604" t="b">
        <f t="shared" si="84"/>
        <v>0</v>
      </c>
      <c r="M604" t="b">
        <f t="shared" si="85"/>
        <v>0</v>
      </c>
      <c r="N604" t="b">
        <f t="shared" si="86"/>
        <v>0</v>
      </c>
      <c r="O604" t="b">
        <f t="shared" si="87"/>
        <v>0</v>
      </c>
    </row>
    <row r="605" spans="1:15" x14ac:dyDescent="0.35">
      <c r="A605" t="str">
        <v>electric_Toshiba_EH10</v>
      </c>
      <c r="B605" t="b" cm="1">
        <f t="array" ref="B605">_xlfn.XLOOKUP(A605,CONTROL[VEHIDCODE],PROPERTIES[EXCLUDE])</f>
        <v>0</v>
      </c>
      <c r="C605" t="b">
        <f>_xlfn.XLOOKUP(A605,CONTROL[VEHIDCODE],CONTROL[IS_WAGON_OR_COACH])</f>
        <v>0</v>
      </c>
      <c r="D605">
        <f>FLOOR(_xlfn.XLOOKUP($A605,PROPERTIES[VEHIDCODE],PROPERTIES[INTRODUCTION_YEAR]),20)</f>
        <v>1940</v>
      </c>
      <c r="E605" t="e">
        <f>_xlfn.XLOOKUP($A605,PROPERTIES[VEHIDCODE],#REF!)</f>
        <v>#REF!</v>
      </c>
      <c r="F605" s="25" t="str" cm="1">
        <f t="array" ref="F605">_xlfn.CONCAT(_xlfn.XLOOKUP($A605,PROPERTIES[VEHIDCODE],PROPERTIES[REGION1]),"_",_xlfn.XLOOKUP($A605,PROPERTIES[VEHIDCODE],PROPERTIES[REGION2]),"_",_xlfn.XLOOKUP($A605,PROPERTIES[VEHIDCODE],PROPERTIES[REGION3]&amp;"_"&amp;_xlfn.XLOOKUP($A605,PROPERTIES[VEHIDCODE],PROPERTIES[REGION4])))</f>
        <v>ASIA_NO_REGION_NO_REGION_NO_REGION</v>
      </c>
      <c r="G605" t="b">
        <f t="shared" si="81"/>
        <v>0</v>
      </c>
      <c r="H605" t="b">
        <f t="shared" si="88"/>
        <v>1</v>
      </c>
      <c r="I605" t="b">
        <f t="shared" si="82"/>
        <v>0</v>
      </c>
      <c r="J605" t="b">
        <f t="shared" si="89"/>
        <v>0</v>
      </c>
      <c r="K605" t="b">
        <f t="shared" si="83"/>
        <v>0</v>
      </c>
      <c r="L605" t="b">
        <f t="shared" si="84"/>
        <v>0</v>
      </c>
      <c r="M605" t="b">
        <f t="shared" si="85"/>
        <v>0</v>
      </c>
      <c r="N605" t="b">
        <f t="shared" si="86"/>
        <v>0</v>
      </c>
      <c r="O605" t="b">
        <f t="shared" si="87"/>
        <v>0</v>
      </c>
    </row>
    <row r="606" spans="1:15" x14ac:dyDescent="0.35">
      <c r="A606" t="str">
        <v>electric_Kawasaki_Toshiba_EF64</v>
      </c>
      <c r="B606" t="b" cm="1">
        <f t="array" ref="B606">_xlfn.XLOOKUP(A606,CONTROL[VEHIDCODE],PROPERTIES[EXCLUDE])</f>
        <v>0</v>
      </c>
      <c r="C606" t="b">
        <f>_xlfn.XLOOKUP(A606,CONTROL[VEHIDCODE],CONTROL[IS_WAGON_OR_COACH])</f>
        <v>0</v>
      </c>
      <c r="D606">
        <f>FLOOR(_xlfn.XLOOKUP($A606,PROPERTIES[VEHIDCODE],PROPERTIES[INTRODUCTION_YEAR]),20)</f>
        <v>1960</v>
      </c>
      <c r="E606" t="e">
        <f>_xlfn.XLOOKUP($A606,PROPERTIES[VEHIDCODE],#REF!)</f>
        <v>#REF!</v>
      </c>
      <c r="F606" s="25" t="str" cm="1">
        <f t="array" ref="F606">_xlfn.CONCAT(_xlfn.XLOOKUP($A606,PROPERTIES[VEHIDCODE],PROPERTIES[REGION1]),"_",_xlfn.XLOOKUP($A606,PROPERTIES[VEHIDCODE],PROPERTIES[REGION2]),"_",_xlfn.XLOOKUP($A606,PROPERTIES[VEHIDCODE],PROPERTIES[REGION3]&amp;"_"&amp;_xlfn.XLOOKUP($A606,PROPERTIES[VEHIDCODE],PROPERTIES[REGION4])))</f>
        <v>ASIA_NO_REGION_NO_REGION_NO_REGION</v>
      </c>
      <c r="G606" t="b">
        <f t="shared" si="81"/>
        <v>0</v>
      </c>
      <c r="H606" t="b">
        <f t="shared" si="88"/>
        <v>1</v>
      </c>
      <c r="I606" t="b">
        <f t="shared" si="82"/>
        <v>0</v>
      </c>
      <c r="J606" t="b">
        <f t="shared" si="89"/>
        <v>0</v>
      </c>
      <c r="K606" t="b">
        <f t="shared" si="83"/>
        <v>0</v>
      </c>
      <c r="L606" t="b">
        <f t="shared" si="84"/>
        <v>0</v>
      </c>
      <c r="M606" t="b">
        <f t="shared" si="85"/>
        <v>0</v>
      </c>
      <c r="N606" t="b">
        <f t="shared" si="86"/>
        <v>0</v>
      </c>
      <c r="O606" t="b">
        <f t="shared" si="87"/>
        <v>0</v>
      </c>
    </row>
    <row r="607" spans="1:15" x14ac:dyDescent="0.35">
      <c r="A607" t="str">
        <v>electric_EEC_EO_Class</v>
      </c>
      <c r="B607" t="b" cm="1">
        <f t="array" ref="B607">_xlfn.XLOOKUP(A607,CONTROL[VEHIDCODE],PROPERTIES[EXCLUDE])</f>
        <v>0</v>
      </c>
      <c r="C607" t="b">
        <f>_xlfn.XLOOKUP(A607,CONTROL[VEHIDCODE],CONTROL[IS_WAGON_OR_COACH])</f>
        <v>0</v>
      </c>
      <c r="D607">
        <f>FLOOR(_xlfn.XLOOKUP($A607,PROPERTIES[VEHIDCODE],PROPERTIES[INTRODUCTION_YEAR]),20)</f>
        <v>1920</v>
      </c>
      <c r="E607" t="e">
        <f>_xlfn.XLOOKUP($A607,PROPERTIES[VEHIDCODE],#REF!)</f>
        <v>#REF!</v>
      </c>
      <c r="F607" s="25" t="str" cm="1">
        <f t="array" ref="F607">_xlfn.CONCAT(_xlfn.XLOOKUP($A607,PROPERTIES[VEHIDCODE],PROPERTIES[REGION1]),"_",_xlfn.XLOOKUP($A607,PROPERTIES[VEHIDCODE],PROPERTIES[REGION2]),"_",_xlfn.XLOOKUP($A607,PROPERTIES[VEHIDCODE],PROPERTIES[REGION3]&amp;"_"&amp;_xlfn.XLOOKUP($A607,PROPERTIES[VEHIDCODE],PROPERTIES[REGION4])))</f>
        <v>OCEANIA_NO_REGION_NO_REGION_NO_REGION</v>
      </c>
      <c r="G607" t="b">
        <f t="shared" si="81"/>
        <v>0</v>
      </c>
      <c r="H607" t="b">
        <f t="shared" si="88"/>
        <v>0</v>
      </c>
      <c r="I607" t="b">
        <f t="shared" si="82"/>
        <v>0</v>
      </c>
      <c r="J607" t="b">
        <f t="shared" si="89"/>
        <v>0</v>
      </c>
      <c r="K607" t="b">
        <f t="shared" si="83"/>
        <v>0</v>
      </c>
      <c r="L607" t="b">
        <f t="shared" si="84"/>
        <v>0</v>
      </c>
      <c r="M607" t="b">
        <f t="shared" si="85"/>
        <v>0</v>
      </c>
      <c r="N607" t="b">
        <f t="shared" si="86"/>
        <v>0</v>
      </c>
      <c r="O607" t="b">
        <f t="shared" si="87"/>
        <v>1</v>
      </c>
    </row>
    <row r="608" spans="1:15" x14ac:dyDescent="0.35">
      <c r="A608" t="str">
        <v>electric_Tulloch_0_6_0DM_W_Class</v>
      </c>
      <c r="B608" t="b" cm="1">
        <f t="array" ref="B608">_xlfn.XLOOKUP(A608,CONTROL[VEHIDCODE],PROPERTIES[EXCLUDE])</f>
        <v>1</v>
      </c>
      <c r="C608" t="b">
        <f>_xlfn.XLOOKUP(A608,CONTROL[VEHIDCODE],CONTROL[IS_WAGON_OR_COACH])</f>
        <v>0</v>
      </c>
      <c r="D608">
        <f>FLOOR(_xlfn.XLOOKUP($A608,PROPERTIES[VEHIDCODE],PROPERTIES[INTRODUCTION_YEAR]),20)</f>
        <v>1940</v>
      </c>
      <c r="E608" t="e">
        <f>_xlfn.XLOOKUP($A608,PROPERTIES[VEHIDCODE],#REF!)</f>
        <v>#REF!</v>
      </c>
      <c r="F608" s="25" t="str" cm="1">
        <f t="array" ref="F608">_xlfn.CONCAT(_xlfn.XLOOKUP($A608,PROPERTIES[VEHIDCODE],PROPERTIES[REGION1]),"_",_xlfn.XLOOKUP($A608,PROPERTIES[VEHIDCODE],PROPERTIES[REGION2]),"_",_xlfn.XLOOKUP($A608,PROPERTIES[VEHIDCODE],PROPERTIES[REGION3]&amp;"_"&amp;_xlfn.XLOOKUP($A608,PROPERTIES[VEHIDCODE],PROPERTIES[REGION4])))</f>
        <v>OCEANIA_NO_REGION_NO_REGION_NO_REGION</v>
      </c>
      <c r="G608" t="b">
        <f t="shared" si="81"/>
        <v>0</v>
      </c>
      <c r="H608" t="b">
        <f t="shared" si="88"/>
        <v>0</v>
      </c>
      <c r="I608" t="b">
        <f t="shared" si="82"/>
        <v>0</v>
      </c>
      <c r="J608" t="b">
        <f t="shared" si="89"/>
        <v>0</v>
      </c>
      <c r="K608" t="b">
        <f t="shared" si="83"/>
        <v>0</v>
      </c>
      <c r="L608" t="b">
        <f t="shared" si="84"/>
        <v>0</v>
      </c>
      <c r="M608" t="b">
        <f t="shared" si="85"/>
        <v>0</v>
      </c>
      <c r="N608" t="b">
        <f t="shared" si="86"/>
        <v>0</v>
      </c>
      <c r="O608" t="b">
        <f t="shared" si="87"/>
        <v>1</v>
      </c>
    </row>
    <row r="609" spans="1:15" x14ac:dyDescent="0.35">
      <c r="A609" t="str">
        <v>electric_GEC_NBLC_SAR_4E_</v>
      </c>
      <c r="B609" t="b" cm="1">
        <f t="array" ref="B609">_xlfn.XLOOKUP(A609,CONTROL[VEHIDCODE],PROPERTIES[EXCLUDE])</f>
        <v>0</v>
      </c>
      <c r="C609" t="b">
        <f>_xlfn.XLOOKUP(A609,CONTROL[VEHIDCODE],CONTROL[IS_WAGON_OR_COACH])</f>
        <v>0</v>
      </c>
      <c r="D609">
        <f>FLOOR(_xlfn.XLOOKUP($A609,PROPERTIES[VEHIDCODE],PROPERTIES[INTRODUCTION_YEAR]),20)</f>
        <v>1940</v>
      </c>
      <c r="E609" t="e">
        <f>_xlfn.XLOOKUP($A609,PROPERTIES[VEHIDCODE],#REF!)</f>
        <v>#REF!</v>
      </c>
      <c r="F609" s="25" t="str" cm="1">
        <f t="array" ref="F609">_xlfn.CONCAT(_xlfn.XLOOKUP($A609,PROPERTIES[VEHIDCODE],PROPERTIES[REGION1]),"_",_xlfn.XLOOKUP($A609,PROPERTIES[VEHIDCODE],PROPERTIES[REGION2]),"_",_xlfn.XLOOKUP($A609,PROPERTIES[VEHIDCODE],PROPERTIES[REGION3]&amp;"_"&amp;_xlfn.XLOOKUP($A609,PROPERTIES[VEHIDCODE],PROPERTIES[REGION4])))</f>
        <v>AFRICA_NO_REGION_NO_REGION_NO_REGION</v>
      </c>
      <c r="G609" t="b">
        <f t="shared" si="81"/>
        <v>1</v>
      </c>
      <c r="H609" t="b">
        <f t="shared" si="88"/>
        <v>0</v>
      </c>
      <c r="I609" t="b">
        <f t="shared" si="82"/>
        <v>0</v>
      </c>
      <c r="J609" t="b">
        <f t="shared" si="89"/>
        <v>0</v>
      </c>
      <c r="K609" t="b">
        <f t="shared" si="83"/>
        <v>0</v>
      </c>
      <c r="L609" t="b">
        <f t="shared" si="84"/>
        <v>0</v>
      </c>
      <c r="M609" t="b">
        <f t="shared" si="85"/>
        <v>0</v>
      </c>
      <c r="N609" t="b">
        <f t="shared" si="86"/>
        <v>0</v>
      </c>
      <c r="O609" t="b">
        <f t="shared" si="87"/>
        <v>0</v>
      </c>
    </row>
    <row r="610" spans="1:15" x14ac:dyDescent="0.35">
      <c r="A610" t="str">
        <v>electric_Metrowick_MV_5E1</v>
      </c>
      <c r="B610" t="b" cm="1">
        <f t="array" ref="B610">_xlfn.XLOOKUP(A610,CONTROL[VEHIDCODE],PROPERTIES[EXCLUDE])</f>
        <v>0</v>
      </c>
      <c r="C610" t="b">
        <f>_xlfn.XLOOKUP(A610,CONTROL[VEHIDCODE],CONTROL[IS_WAGON_OR_COACH])</f>
        <v>0</v>
      </c>
      <c r="D610">
        <f>FLOOR(_xlfn.XLOOKUP($A610,PROPERTIES[VEHIDCODE],PROPERTIES[INTRODUCTION_YEAR]),20)</f>
        <v>1960</v>
      </c>
      <c r="E610" t="e">
        <f>_xlfn.XLOOKUP($A610,PROPERTIES[VEHIDCODE],#REF!)</f>
        <v>#REF!</v>
      </c>
      <c r="F610" s="25" t="str" cm="1">
        <f t="array" ref="F610">_xlfn.CONCAT(_xlfn.XLOOKUP($A610,PROPERTIES[VEHIDCODE],PROPERTIES[REGION1]),"_",_xlfn.XLOOKUP($A610,PROPERTIES[VEHIDCODE],PROPERTIES[REGION2]),"_",_xlfn.XLOOKUP($A610,PROPERTIES[VEHIDCODE],PROPERTIES[REGION3]&amp;"_"&amp;_xlfn.XLOOKUP($A610,PROPERTIES[VEHIDCODE],PROPERTIES[REGION4])))</f>
        <v>AFRICA_NO_REGION_NO_REGION_NO_REGION</v>
      </c>
      <c r="G610" t="b">
        <f t="shared" si="81"/>
        <v>1</v>
      </c>
      <c r="H610" t="b">
        <f t="shared" si="88"/>
        <v>0</v>
      </c>
      <c r="I610" t="b">
        <f t="shared" si="82"/>
        <v>0</v>
      </c>
      <c r="J610" t="b">
        <f t="shared" si="89"/>
        <v>0</v>
      </c>
      <c r="K610" t="b">
        <f t="shared" si="83"/>
        <v>0</v>
      </c>
      <c r="L610" t="b">
        <f t="shared" si="84"/>
        <v>0</v>
      </c>
      <c r="M610" t="b">
        <f t="shared" si="85"/>
        <v>0</v>
      </c>
      <c r="N610" t="b">
        <f t="shared" si="86"/>
        <v>0</v>
      </c>
      <c r="O610" t="b">
        <f t="shared" si="87"/>
        <v>0</v>
      </c>
    </row>
    <row r="611" spans="1:15" x14ac:dyDescent="0.35">
      <c r="A611" t="str">
        <v>electric_UCW_6E</v>
      </c>
      <c r="B611" t="b" cm="1">
        <f t="array" ref="B611">_xlfn.XLOOKUP(A611,CONTROL[VEHIDCODE],PROPERTIES[EXCLUDE])</f>
        <v>0</v>
      </c>
      <c r="C611" t="b">
        <f>_xlfn.XLOOKUP(A611,CONTROL[VEHIDCODE],CONTROL[IS_WAGON_OR_COACH])</f>
        <v>0</v>
      </c>
      <c r="D611">
        <f>FLOOR(_xlfn.XLOOKUP($A611,PROPERTIES[VEHIDCODE],PROPERTIES[INTRODUCTION_YEAR]),20)</f>
        <v>1960</v>
      </c>
      <c r="E611" t="e">
        <f>_xlfn.XLOOKUP($A611,PROPERTIES[VEHIDCODE],#REF!)</f>
        <v>#REF!</v>
      </c>
      <c r="F611" s="25" t="str" cm="1">
        <f t="array" ref="F611">_xlfn.CONCAT(_xlfn.XLOOKUP($A611,PROPERTIES[VEHIDCODE],PROPERTIES[REGION1]),"_",_xlfn.XLOOKUP($A611,PROPERTIES[VEHIDCODE],PROPERTIES[REGION2]),"_",_xlfn.XLOOKUP($A611,PROPERTIES[VEHIDCODE],PROPERTIES[REGION3]&amp;"_"&amp;_xlfn.XLOOKUP($A611,PROPERTIES[VEHIDCODE],PROPERTIES[REGION4])))</f>
        <v>AFRICA_NO_REGION_NO_REGION_NO_REGION</v>
      </c>
      <c r="G611" t="b">
        <f t="shared" si="81"/>
        <v>1</v>
      </c>
      <c r="H611" t="b">
        <f t="shared" si="88"/>
        <v>0</v>
      </c>
      <c r="I611" t="b">
        <f t="shared" si="82"/>
        <v>0</v>
      </c>
      <c r="J611" t="b">
        <f t="shared" si="89"/>
        <v>0</v>
      </c>
      <c r="K611" t="b">
        <f t="shared" si="83"/>
        <v>0</v>
      </c>
      <c r="L611" t="b">
        <f t="shared" si="84"/>
        <v>0</v>
      </c>
      <c r="M611" t="b">
        <f t="shared" si="85"/>
        <v>0</v>
      </c>
      <c r="N611" t="b">
        <f t="shared" si="86"/>
        <v>0</v>
      </c>
      <c r="O611" t="b">
        <f t="shared" si="87"/>
        <v>0</v>
      </c>
    </row>
    <row r="612" spans="1:15" x14ac:dyDescent="0.35">
      <c r="A612" t="str">
        <v>electric_SLM_BBC_MFO_Ge_4_4_I</v>
      </c>
      <c r="B612" t="b" cm="1">
        <f t="array" ref="B612">_xlfn.XLOOKUP(A612,CONTROL[VEHIDCODE],PROPERTIES[EXCLUDE])</f>
        <v>0</v>
      </c>
      <c r="C612" t="b">
        <f>_xlfn.XLOOKUP(A612,CONTROL[VEHIDCODE],CONTROL[IS_WAGON_OR_COACH])</f>
        <v>0</v>
      </c>
      <c r="D612">
        <f>FLOOR(_xlfn.XLOOKUP($A612,PROPERTIES[VEHIDCODE],PROPERTIES[INTRODUCTION_YEAR]),20)</f>
        <v>1940</v>
      </c>
      <c r="E612" t="e">
        <f>_xlfn.XLOOKUP($A612,PROPERTIES[VEHIDCODE],#REF!)</f>
        <v>#REF!</v>
      </c>
      <c r="F612" s="25" t="str" cm="1">
        <f t="array" ref="F612">_xlfn.CONCAT(_xlfn.XLOOKUP($A612,PROPERTIES[VEHIDCODE],PROPERTIES[REGION1]),"_",_xlfn.XLOOKUP($A612,PROPERTIES[VEHIDCODE],PROPERTIES[REGION2]),"_",_xlfn.XLOOKUP($A612,PROPERTIES[VEHIDCODE],PROPERTIES[REGION3]&amp;"_"&amp;_xlfn.XLOOKUP($A612,PROPERTIES[VEHIDCODE],PROPERTIES[REGION4])))</f>
        <v>WESTERN_EUROPE_NO_REGION_NO_REGION_NO_REGION</v>
      </c>
      <c r="G612" t="b">
        <f t="shared" si="81"/>
        <v>0</v>
      </c>
      <c r="H612" t="b">
        <f t="shared" si="88"/>
        <v>0</v>
      </c>
      <c r="I612" t="b">
        <f t="shared" si="82"/>
        <v>0</v>
      </c>
      <c r="J612" t="b">
        <f t="shared" si="89"/>
        <v>0</v>
      </c>
      <c r="K612" t="b">
        <f t="shared" si="83"/>
        <v>1</v>
      </c>
      <c r="L612" t="b">
        <f t="shared" si="84"/>
        <v>0</v>
      </c>
      <c r="M612" t="b">
        <f t="shared" si="85"/>
        <v>0</v>
      </c>
      <c r="N612" t="b">
        <f t="shared" si="86"/>
        <v>0</v>
      </c>
      <c r="O612" t="b">
        <f t="shared" si="87"/>
        <v>0</v>
      </c>
    </row>
    <row r="613" spans="1:15" x14ac:dyDescent="0.35">
      <c r="A613" t="str">
        <v>electric_SLM_BBC_MFO_Ge_6_6_Krokodil</v>
      </c>
      <c r="B613" t="b" cm="1">
        <f t="array" ref="B613">_xlfn.XLOOKUP(A613,CONTROL[VEHIDCODE],PROPERTIES[EXCLUDE])</f>
        <v>0</v>
      </c>
      <c r="C613" t="b">
        <f>_xlfn.XLOOKUP(A613,CONTROL[VEHIDCODE],CONTROL[IS_WAGON_OR_COACH])</f>
        <v>0</v>
      </c>
      <c r="D613">
        <f>FLOOR(_xlfn.XLOOKUP($A613,PROPERTIES[VEHIDCODE],PROPERTIES[INTRODUCTION_YEAR]),20)</f>
        <v>1920</v>
      </c>
      <c r="E613" t="e">
        <f>_xlfn.XLOOKUP($A613,PROPERTIES[VEHIDCODE],#REF!)</f>
        <v>#REF!</v>
      </c>
      <c r="F613" s="25" t="str" cm="1">
        <f t="array" ref="F613">_xlfn.CONCAT(_xlfn.XLOOKUP($A613,PROPERTIES[VEHIDCODE],PROPERTIES[REGION1]),"_",_xlfn.XLOOKUP($A613,PROPERTIES[VEHIDCODE],PROPERTIES[REGION2]),"_",_xlfn.XLOOKUP($A613,PROPERTIES[VEHIDCODE],PROPERTIES[REGION3]&amp;"_"&amp;_xlfn.XLOOKUP($A613,PROPERTIES[VEHIDCODE],PROPERTIES[REGION4])))</f>
        <v>WESTERN_EUROPE_NO_REGION_NO_REGION_NO_REGION</v>
      </c>
      <c r="G613" t="b">
        <f t="shared" si="81"/>
        <v>0</v>
      </c>
      <c r="H613" t="b">
        <f t="shared" si="88"/>
        <v>0</v>
      </c>
      <c r="I613" t="b">
        <f t="shared" si="82"/>
        <v>0</v>
      </c>
      <c r="J613" t="b">
        <f t="shared" si="89"/>
        <v>0</v>
      </c>
      <c r="K613" t="b">
        <f t="shared" si="83"/>
        <v>1</v>
      </c>
      <c r="L613" t="b">
        <f t="shared" si="84"/>
        <v>0</v>
      </c>
      <c r="M613" t="b">
        <f t="shared" si="85"/>
        <v>0</v>
      </c>
      <c r="N613" t="b">
        <f t="shared" si="86"/>
        <v>0</v>
      </c>
      <c r="O613" t="b">
        <f t="shared" si="87"/>
        <v>0</v>
      </c>
    </row>
    <row r="614" spans="1:15" x14ac:dyDescent="0.35">
      <c r="A614" t="str">
        <v>electric_Stadler_He_4_4</v>
      </c>
      <c r="B614" t="b" cm="1">
        <f t="array" ref="B614">_xlfn.XLOOKUP(A614,CONTROL[VEHIDCODE],PROPERTIES[EXCLUDE])</f>
        <v>0</v>
      </c>
      <c r="C614" t="b">
        <f>_xlfn.XLOOKUP(A614,CONTROL[VEHIDCODE],CONTROL[IS_WAGON_OR_COACH])</f>
        <v>0</v>
      </c>
      <c r="D614">
        <f>FLOOR(_xlfn.XLOOKUP($A614,PROPERTIES[VEHIDCODE],PROPERTIES[INTRODUCTION_YEAR]),20)</f>
        <v>2000</v>
      </c>
      <c r="E614" t="e">
        <f>_xlfn.XLOOKUP($A614,PROPERTIES[VEHIDCODE],#REF!)</f>
        <v>#REF!</v>
      </c>
      <c r="F614" s="25" t="str" cm="1">
        <f t="array" ref="F614">_xlfn.CONCAT(_xlfn.XLOOKUP($A614,PROPERTIES[VEHIDCODE],PROPERTIES[REGION1]),"_",_xlfn.XLOOKUP($A614,PROPERTIES[VEHIDCODE],PROPERTIES[REGION2]),"_",_xlfn.XLOOKUP($A614,PROPERTIES[VEHIDCODE],PROPERTIES[REGION3]&amp;"_"&amp;_xlfn.XLOOKUP($A614,PROPERTIES[VEHIDCODE],PROPERTIES[REGION4])))</f>
        <v>SOUTH_AMERICA_NO_REGION_NO_REGION_NO_REGION</v>
      </c>
      <c r="G614" t="b">
        <f t="shared" si="81"/>
        <v>0</v>
      </c>
      <c r="H614" t="b">
        <f t="shared" si="88"/>
        <v>0</v>
      </c>
      <c r="I614" t="b">
        <f t="shared" si="82"/>
        <v>0</v>
      </c>
      <c r="J614" t="b">
        <f t="shared" si="89"/>
        <v>0</v>
      </c>
      <c r="K614" t="b">
        <f t="shared" si="83"/>
        <v>0</v>
      </c>
      <c r="L614" t="b">
        <f t="shared" si="84"/>
        <v>0</v>
      </c>
      <c r="M614" t="b">
        <f t="shared" si="85"/>
        <v>0</v>
      </c>
      <c r="N614" t="b">
        <f t="shared" si="86"/>
        <v>1</v>
      </c>
      <c r="O614" t="b">
        <f t="shared" si="87"/>
        <v>0</v>
      </c>
    </row>
    <row r="615" spans="1:15" x14ac:dyDescent="0.35">
      <c r="A615" t="str">
        <v>electric_UCW_50_c_s_Group_7E</v>
      </c>
      <c r="B615" t="b" cm="1">
        <f t="array" ref="B615">_xlfn.XLOOKUP(A615,CONTROL[VEHIDCODE],PROPERTIES[EXCLUDE])</f>
        <v>0</v>
      </c>
      <c r="C615" t="b">
        <f>_xlfn.XLOOKUP(A615,CONTROL[VEHIDCODE],CONTROL[IS_WAGON_OR_COACH])</f>
        <v>0</v>
      </c>
      <c r="D615">
        <f>FLOOR(_xlfn.XLOOKUP($A615,PROPERTIES[VEHIDCODE],PROPERTIES[INTRODUCTION_YEAR]),20)</f>
        <v>1960</v>
      </c>
      <c r="E615" t="e">
        <f>_xlfn.XLOOKUP($A615,PROPERTIES[VEHIDCODE],#REF!)</f>
        <v>#REF!</v>
      </c>
      <c r="F615" s="25" t="str" cm="1">
        <f t="array" ref="F615">_xlfn.CONCAT(_xlfn.XLOOKUP($A615,PROPERTIES[VEHIDCODE],PROPERTIES[REGION1]),"_",_xlfn.XLOOKUP($A615,PROPERTIES[VEHIDCODE],PROPERTIES[REGION2]),"_",_xlfn.XLOOKUP($A615,PROPERTIES[VEHIDCODE],PROPERTIES[REGION3]&amp;"_"&amp;_xlfn.XLOOKUP($A615,PROPERTIES[VEHIDCODE],PROPERTIES[REGION4])))</f>
        <v>AFRICA_NO_REGION_NO_REGION_NO_REGION</v>
      </c>
      <c r="G615" t="b">
        <f t="shared" si="81"/>
        <v>1</v>
      </c>
      <c r="H615" t="b">
        <f t="shared" si="88"/>
        <v>0</v>
      </c>
      <c r="I615" t="b">
        <f t="shared" si="82"/>
        <v>0</v>
      </c>
      <c r="J615" t="b">
        <f t="shared" si="89"/>
        <v>0</v>
      </c>
      <c r="K615" t="b">
        <f t="shared" si="83"/>
        <v>0</v>
      </c>
      <c r="L615" t="b">
        <f t="shared" si="84"/>
        <v>0</v>
      </c>
      <c r="M615" t="b">
        <f t="shared" si="85"/>
        <v>0</v>
      </c>
      <c r="N615" t="b">
        <f t="shared" si="86"/>
        <v>0</v>
      </c>
      <c r="O615" t="b">
        <f t="shared" si="87"/>
        <v>0</v>
      </c>
    </row>
    <row r="616" spans="1:15" x14ac:dyDescent="0.35">
      <c r="A616" t="str">
        <v>electric_General_Motors_GM5FC</v>
      </c>
      <c r="B616" t="b" cm="1">
        <f t="array" ref="B616">_xlfn.XLOOKUP(A616,CONTROL[VEHIDCODE],PROPERTIES[EXCLUDE])</f>
        <v>0</v>
      </c>
      <c r="C616" t="b">
        <f>_xlfn.XLOOKUP(A616,CONTROL[VEHIDCODE],CONTROL[IS_WAGON_OR_COACH])</f>
        <v>0</v>
      </c>
      <c r="D616">
        <f>FLOOR(_xlfn.XLOOKUP($A616,PROPERTIES[VEHIDCODE],PROPERTIES[INTRODUCTION_YEAR]),20)</f>
        <v>1980</v>
      </c>
      <c r="E616" t="e">
        <f>_xlfn.XLOOKUP($A616,PROPERTIES[VEHIDCODE],#REF!)</f>
        <v>#REF!</v>
      </c>
      <c r="F616" s="25" t="str" cm="1">
        <f t="array" ref="F616">_xlfn.CONCAT(_xlfn.XLOOKUP($A616,PROPERTIES[VEHIDCODE],PROPERTIES[REGION1]),"_",_xlfn.XLOOKUP($A616,PROPERTIES[VEHIDCODE],PROPERTIES[REGION2]),"_",_xlfn.XLOOKUP($A616,PROPERTIES[VEHIDCODE],PROPERTIES[REGION3]&amp;"_"&amp;_xlfn.XLOOKUP($A616,PROPERTIES[VEHIDCODE],PROPERTIES[REGION4])))</f>
        <v>AFRICA_NO_REGION_NO_REGION_NO_REGION</v>
      </c>
      <c r="G616" t="b">
        <f t="shared" si="81"/>
        <v>1</v>
      </c>
      <c r="H616" t="b">
        <f t="shared" si="88"/>
        <v>0</v>
      </c>
      <c r="I616" t="b">
        <f t="shared" si="82"/>
        <v>0</v>
      </c>
      <c r="J616" t="b">
        <f t="shared" si="89"/>
        <v>0</v>
      </c>
      <c r="K616" t="b">
        <f t="shared" si="83"/>
        <v>0</v>
      </c>
      <c r="L616" t="b">
        <f t="shared" si="84"/>
        <v>0</v>
      </c>
      <c r="M616" t="b">
        <f t="shared" si="85"/>
        <v>0</v>
      </c>
      <c r="N616" t="b">
        <f t="shared" si="86"/>
        <v>0</v>
      </c>
      <c r="O616" t="b">
        <f t="shared" si="87"/>
        <v>0</v>
      </c>
    </row>
    <row r="617" spans="1:15" x14ac:dyDescent="0.35">
      <c r="A617" t="str">
        <v>electric_Brush_EF_Class</v>
      </c>
      <c r="B617" t="b" cm="1">
        <f t="array" ref="B617">_xlfn.XLOOKUP(A617,CONTROL[VEHIDCODE],PROPERTIES[EXCLUDE])</f>
        <v>0</v>
      </c>
      <c r="C617" t="b">
        <f>_xlfn.XLOOKUP(A617,CONTROL[VEHIDCODE],CONTROL[IS_WAGON_OR_COACH])</f>
        <v>0</v>
      </c>
      <c r="D617">
        <f>FLOOR(_xlfn.XLOOKUP($A617,PROPERTIES[VEHIDCODE],PROPERTIES[INTRODUCTION_YEAR]),20)</f>
        <v>1980</v>
      </c>
      <c r="E617" t="e">
        <f>_xlfn.XLOOKUP($A617,PROPERTIES[VEHIDCODE],#REF!)</f>
        <v>#REF!</v>
      </c>
      <c r="F617" s="25" t="str" cm="1">
        <f t="array" ref="F617">_xlfn.CONCAT(_xlfn.XLOOKUP($A617,PROPERTIES[VEHIDCODE],PROPERTIES[REGION1]),"_",_xlfn.XLOOKUP($A617,PROPERTIES[VEHIDCODE],PROPERTIES[REGION2]),"_",_xlfn.XLOOKUP($A617,PROPERTIES[VEHIDCODE],PROPERTIES[REGION3]&amp;"_"&amp;_xlfn.XLOOKUP($A617,PROPERTIES[VEHIDCODE],PROPERTIES[REGION4])))</f>
        <v>OCEANIA_NO_REGION_NO_REGION_NO_REGION</v>
      </c>
      <c r="G617" t="b">
        <f t="shared" si="81"/>
        <v>0</v>
      </c>
      <c r="H617" t="b">
        <f t="shared" si="88"/>
        <v>0</v>
      </c>
      <c r="I617" t="b">
        <f t="shared" si="82"/>
        <v>0</v>
      </c>
      <c r="J617" t="b">
        <f t="shared" si="89"/>
        <v>0</v>
      </c>
      <c r="K617" t="b">
        <f t="shared" si="83"/>
        <v>0</v>
      </c>
      <c r="L617" t="b">
        <f t="shared" si="84"/>
        <v>0</v>
      </c>
      <c r="M617" t="b">
        <f t="shared" si="85"/>
        <v>0</v>
      </c>
      <c r="N617" t="b">
        <f t="shared" si="86"/>
        <v>0</v>
      </c>
      <c r="O617" t="b">
        <f t="shared" si="87"/>
        <v>1</v>
      </c>
    </row>
    <row r="618" spans="1:15" x14ac:dyDescent="0.35">
      <c r="A618" t="str">
        <v>emu_Nippon_Sharyo_Odakyu_3100_series_NSE</v>
      </c>
      <c r="B618" t="b" cm="1">
        <f t="array" ref="B618">_xlfn.XLOOKUP(A618,CONTROL[VEHIDCODE],PROPERTIES[EXCLUDE])</f>
        <v>0</v>
      </c>
      <c r="C618" t="b">
        <f>_xlfn.XLOOKUP(A618,CONTROL[VEHIDCODE],CONTROL[IS_WAGON_OR_COACH])</f>
        <v>0</v>
      </c>
      <c r="D618">
        <f>FLOOR(_xlfn.XLOOKUP($A618,PROPERTIES[VEHIDCODE],PROPERTIES[INTRODUCTION_YEAR]),20)</f>
        <v>1960</v>
      </c>
      <c r="E618" t="e">
        <f>_xlfn.XLOOKUP($A618,PROPERTIES[VEHIDCODE],#REF!)</f>
        <v>#REF!</v>
      </c>
      <c r="F618" s="25" t="str" cm="1">
        <f t="array" ref="F618">_xlfn.CONCAT(_xlfn.XLOOKUP($A618,PROPERTIES[VEHIDCODE],PROPERTIES[REGION1]),"_",_xlfn.XLOOKUP($A618,PROPERTIES[VEHIDCODE],PROPERTIES[REGION2]),"_",_xlfn.XLOOKUP($A618,PROPERTIES[VEHIDCODE],PROPERTIES[REGION3]&amp;"_"&amp;_xlfn.XLOOKUP($A618,PROPERTIES[VEHIDCODE],PROPERTIES[REGION4])))</f>
        <v>ASIA_NO_REGION_NO_REGION_NO_REGION</v>
      </c>
      <c r="G618" t="b">
        <f t="shared" si="81"/>
        <v>0</v>
      </c>
      <c r="H618" t="b">
        <f t="shared" si="88"/>
        <v>1</v>
      </c>
      <c r="I618" t="b">
        <f t="shared" si="82"/>
        <v>0</v>
      </c>
      <c r="J618" t="b">
        <f t="shared" si="89"/>
        <v>0</v>
      </c>
      <c r="K618" t="b">
        <f t="shared" si="83"/>
        <v>0</v>
      </c>
      <c r="L618" t="b">
        <f t="shared" si="84"/>
        <v>0</v>
      </c>
      <c r="M618" t="b">
        <f t="shared" si="85"/>
        <v>0</v>
      </c>
      <c r="N618" t="b">
        <f t="shared" si="86"/>
        <v>0</v>
      </c>
      <c r="O618" t="b">
        <f t="shared" si="87"/>
        <v>0</v>
      </c>
    </row>
    <row r="619" spans="1:15" x14ac:dyDescent="0.35">
      <c r="A619" t="str">
        <v>emu_Nippon_Sharyo_Odakyu_10000_series_HiSE</v>
      </c>
      <c r="B619" t="b" cm="1">
        <f t="array" ref="B619">_xlfn.XLOOKUP(A619,CONTROL[VEHIDCODE],PROPERTIES[EXCLUDE])</f>
        <v>0</v>
      </c>
      <c r="C619" t="b">
        <f>_xlfn.XLOOKUP(A619,CONTROL[VEHIDCODE],CONTROL[IS_WAGON_OR_COACH])</f>
        <v>0</v>
      </c>
      <c r="D619">
        <f>FLOOR(_xlfn.XLOOKUP($A619,PROPERTIES[VEHIDCODE],PROPERTIES[INTRODUCTION_YEAR]),20)</f>
        <v>1980</v>
      </c>
      <c r="E619" t="e">
        <f>_xlfn.XLOOKUP($A619,PROPERTIES[VEHIDCODE],#REF!)</f>
        <v>#REF!</v>
      </c>
      <c r="F619" s="25" t="str" cm="1">
        <f t="array" ref="F619">_xlfn.CONCAT(_xlfn.XLOOKUP($A619,PROPERTIES[VEHIDCODE],PROPERTIES[REGION1]),"_",_xlfn.XLOOKUP($A619,PROPERTIES[VEHIDCODE],PROPERTIES[REGION2]),"_",_xlfn.XLOOKUP($A619,PROPERTIES[VEHIDCODE],PROPERTIES[REGION3]&amp;"_"&amp;_xlfn.XLOOKUP($A619,PROPERTIES[VEHIDCODE],PROPERTIES[REGION4])))</f>
        <v>ASIA_NO_REGION_NO_REGION_NO_REGION</v>
      </c>
      <c r="G619" t="b">
        <f t="shared" si="81"/>
        <v>0</v>
      </c>
      <c r="H619" t="b">
        <f t="shared" si="88"/>
        <v>1</v>
      </c>
      <c r="I619" t="b">
        <f t="shared" si="82"/>
        <v>0</v>
      </c>
      <c r="J619" t="b">
        <f t="shared" si="89"/>
        <v>0</v>
      </c>
      <c r="K619" t="b">
        <f t="shared" si="83"/>
        <v>0</v>
      </c>
      <c r="L619" t="b">
        <f t="shared" si="84"/>
        <v>0</v>
      </c>
      <c r="M619" t="b">
        <f t="shared" si="85"/>
        <v>0</v>
      </c>
      <c r="N619" t="b">
        <f t="shared" si="86"/>
        <v>0</v>
      </c>
      <c r="O619" t="b">
        <f t="shared" si="87"/>
        <v>0</v>
      </c>
    </row>
    <row r="620" spans="1:15" x14ac:dyDescent="0.35">
      <c r="A620" t="str">
        <v>emu_Comeng_Goninan_S_set</v>
      </c>
      <c r="B620" t="b" cm="1">
        <f t="array" ref="B620">_xlfn.XLOOKUP(A620,CONTROL[VEHIDCODE],PROPERTIES[EXCLUDE])</f>
        <v>0</v>
      </c>
      <c r="C620" t="b">
        <f>_xlfn.XLOOKUP(A620,CONTROL[VEHIDCODE],CONTROL[IS_WAGON_OR_COACH])</f>
        <v>0</v>
      </c>
      <c r="D620">
        <f>FLOOR(_xlfn.XLOOKUP($A620,PROPERTIES[VEHIDCODE],PROPERTIES[INTRODUCTION_YEAR]),20)</f>
        <v>1960</v>
      </c>
      <c r="E620" t="e">
        <f>_xlfn.XLOOKUP($A620,PROPERTIES[VEHIDCODE],#REF!)</f>
        <v>#REF!</v>
      </c>
      <c r="F620" s="25" t="str" cm="1">
        <f t="array" ref="F620">_xlfn.CONCAT(_xlfn.XLOOKUP($A620,PROPERTIES[VEHIDCODE],PROPERTIES[REGION1]),"_",_xlfn.XLOOKUP($A620,PROPERTIES[VEHIDCODE],PROPERTIES[REGION2]),"_",_xlfn.XLOOKUP($A620,PROPERTIES[VEHIDCODE],PROPERTIES[REGION3]&amp;"_"&amp;_xlfn.XLOOKUP($A620,PROPERTIES[VEHIDCODE],PROPERTIES[REGION4])))</f>
        <v>OCEANIA_NO_REGION_NO_REGION_NO_REGION</v>
      </c>
      <c r="G620" t="b">
        <f t="shared" si="81"/>
        <v>0</v>
      </c>
      <c r="H620" t="b">
        <f t="shared" si="88"/>
        <v>0</v>
      </c>
      <c r="I620" t="b">
        <f t="shared" si="82"/>
        <v>0</v>
      </c>
      <c r="J620" t="b">
        <f t="shared" si="89"/>
        <v>0</v>
      </c>
      <c r="K620" t="b">
        <f t="shared" si="83"/>
        <v>0</v>
      </c>
      <c r="L620" t="b">
        <f t="shared" si="84"/>
        <v>0</v>
      </c>
      <c r="M620" t="b">
        <f t="shared" si="85"/>
        <v>0</v>
      </c>
      <c r="N620" t="b">
        <f t="shared" si="86"/>
        <v>0</v>
      </c>
      <c r="O620" t="b">
        <f t="shared" si="87"/>
        <v>1</v>
      </c>
    </row>
    <row r="621" spans="1:15" x14ac:dyDescent="0.35">
      <c r="A621" t="str">
        <v>emu_UGL_Rail_H_set_OSCAR</v>
      </c>
      <c r="B621" t="b" cm="1">
        <f t="array" ref="B621">_xlfn.XLOOKUP(A621,CONTROL[VEHIDCODE],PROPERTIES[EXCLUDE])</f>
        <v>0</v>
      </c>
      <c r="C621" t="b">
        <f>_xlfn.XLOOKUP(A621,CONTROL[VEHIDCODE],CONTROL[IS_WAGON_OR_COACH])</f>
        <v>0</v>
      </c>
      <c r="D621">
        <f>FLOOR(_xlfn.XLOOKUP($A621,PROPERTIES[VEHIDCODE],PROPERTIES[INTRODUCTION_YEAR]),20)</f>
        <v>2000</v>
      </c>
      <c r="E621" t="e">
        <f>_xlfn.XLOOKUP($A621,PROPERTIES[VEHIDCODE],#REF!)</f>
        <v>#REF!</v>
      </c>
      <c r="F621" s="25" t="str" cm="1">
        <f t="array" ref="F621">_xlfn.CONCAT(_xlfn.XLOOKUP($A621,PROPERTIES[VEHIDCODE],PROPERTIES[REGION1]),"_",_xlfn.XLOOKUP($A621,PROPERTIES[VEHIDCODE],PROPERTIES[REGION2]),"_",_xlfn.XLOOKUP($A621,PROPERTIES[VEHIDCODE],PROPERTIES[REGION3]&amp;"_"&amp;_xlfn.XLOOKUP($A621,PROPERTIES[VEHIDCODE],PROPERTIES[REGION4])))</f>
        <v>OCEANIA_NO_REGION_NO_REGION_NO_REGION</v>
      </c>
      <c r="G621" t="b">
        <f t="shared" si="81"/>
        <v>0</v>
      </c>
      <c r="H621" t="b">
        <f t="shared" si="88"/>
        <v>0</v>
      </c>
      <c r="I621" t="b">
        <f t="shared" si="82"/>
        <v>0</v>
      </c>
      <c r="J621" t="b">
        <f t="shared" si="89"/>
        <v>0</v>
      </c>
      <c r="K621" t="b">
        <f t="shared" si="83"/>
        <v>0</v>
      </c>
      <c r="L621" t="b">
        <f t="shared" si="84"/>
        <v>0</v>
      </c>
      <c r="M621" t="b">
        <f t="shared" si="85"/>
        <v>0</v>
      </c>
      <c r="N621" t="b">
        <f t="shared" si="86"/>
        <v>0</v>
      </c>
      <c r="O621" t="b">
        <f t="shared" si="87"/>
        <v>1</v>
      </c>
    </row>
    <row r="622" spans="1:15" x14ac:dyDescent="0.35">
      <c r="A622" t="str">
        <v>emu_Victorian_Railways_Swing_Door</v>
      </c>
      <c r="B622" t="b" cm="1">
        <f t="array" ref="B622">_xlfn.XLOOKUP(A622,CONTROL[VEHIDCODE],PROPERTIES[EXCLUDE])</f>
        <v>0</v>
      </c>
      <c r="C622" t="b">
        <f>_xlfn.XLOOKUP(A622,CONTROL[VEHIDCODE],CONTROL[IS_WAGON_OR_COACH])</f>
        <v>0</v>
      </c>
      <c r="D622">
        <f>FLOOR(_xlfn.XLOOKUP($A622,PROPERTIES[VEHIDCODE],PROPERTIES[INTRODUCTION_YEAR]),20)</f>
        <v>1900</v>
      </c>
      <c r="E622" t="e">
        <f>_xlfn.XLOOKUP($A622,PROPERTIES[VEHIDCODE],#REF!)</f>
        <v>#REF!</v>
      </c>
      <c r="F622" s="25" t="str" cm="1">
        <f t="array" ref="F622">_xlfn.CONCAT(_xlfn.XLOOKUP($A622,PROPERTIES[VEHIDCODE],PROPERTIES[REGION1]),"_",_xlfn.XLOOKUP($A622,PROPERTIES[VEHIDCODE],PROPERTIES[REGION2]),"_",_xlfn.XLOOKUP($A622,PROPERTIES[VEHIDCODE],PROPERTIES[REGION3]&amp;"_"&amp;_xlfn.XLOOKUP($A622,PROPERTIES[VEHIDCODE],PROPERTIES[REGION4])))</f>
        <v>OCEANIA_NO_REGION_NO_REGION_NO_REGION</v>
      </c>
      <c r="G622" t="b">
        <f t="shared" si="81"/>
        <v>0</v>
      </c>
      <c r="H622" t="b">
        <f t="shared" si="88"/>
        <v>0</v>
      </c>
      <c r="I622" t="b">
        <f t="shared" si="82"/>
        <v>0</v>
      </c>
      <c r="J622" t="b">
        <f t="shared" si="89"/>
        <v>0</v>
      </c>
      <c r="K622" t="b">
        <f t="shared" si="83"/>
        <v>0</v>
      </c>
      <c r="L622" t="b">
        <f t="shared" si="84"/>
        <v>0</v>
      </c>
      <c r="M622" t="b">
        <f t="shared" si="85"/>
        <v>0</v>
      </c>
      <c r="N622" t="b">
        <f t="shared" si="86"/>
        <v>0</v>
      </c>
      <c r="O622" t="b">
        <f t="shared" si="87"/>
        <v>1</v>
      </c>
    </row>
    <row r="623" spans="1:15" x14ac:dyDescent="0.35">
      <c r="A623" t="str">
        <v>emu_Ganz_MAVAG_EM_ET_DNU</v>
      </c>
      <c r="B623" t="b" cm="1">
        <f t="array" ref="B623">_xlfn.XLOOKUP(A623,CONTROL[VEHIDCODE],PROPERTIES[EXCLUDE])</f>
        <v>1</v>
      </c>
      <c r="C623" t="b">
        <f>_xlfn.XLOOKUP(A623,CONTROL[VEHIDCODE],CONTROL[IS_WAGON_OR_COACH])</f>
        <v>0</v>
      </c>
      <c r="D623">
        <f>FLOOR(_xlfn.XLOOKUP($A623,PROPERTIES[VEHIDCODE],PROPERTIES[INTRODUCTION_YEAR]),20)</f>
        <v>1960</v>
      </c>
      <c r="E623" t="e">
        <f>_xlfn.XLOOKUP($A623,PROPERTIES[VEHIDCODE],#REF!)</f>
        <v>#REF!</v>
      </c>
      <c r="F623" s="25" t="str" cm="1">
        <f t="array" ref="F623">_xlfn.CONCAT(_xlfn.XLOOKUP($A623,PROPERTIES[VEHIDCODE],PROPERTIES[REGION1]),"_",_xlfn.XLOOKUP($A623,PROPERTIES[VEHIDCODE],PROPERTIES[REGION2]),"_",_xlfn.XLOOKUP($A623,PROPERTIES[VEHIDCODE],PROPERTIES[REGION3]&amp;"_"&amp;_xlfn.XLOOKUP($A623,PROPERTIES[VEHIDCODE],PROPERTIES[REGION4])))</f>
        <v>OCEANIA_NO_REGION_NO_REGION_NO_REGION</v>
      </c>
      <c r="G623" t="b">
        <f t="shared" si="81"/>
        <v>0</v>
      </c>
      <c r="H623" t="b">
        <f t="shared" si="88"/>
        <v>0</v>
      </c>
      <c r="I623" t="b">
        <f t="shared" si="82"/>
        <v>0</v>
      </c>
      <c r="J623" t="b">
        <f t="shared" si="89"/>
        <v>0</v>
      </c>
      <c r="K623" t="b">
        <f t="shared" si="83"/>
        <v>0</v>
      </c>
      <c r="L623" t="b">
        <f t="shared" si="84"/>
        <v>0</v>
      </c>
      <c r="M623" t="b">
        <f t="shared" si="85"/>
        <v>0</v>
      </c>
      <c r="N623" t="b">
        <f t="shared" si="86"/>
        <v>0</v>
      </c>
      <c r="O623" t="b">
        <f t="shared" si="87"/>
        <v>1</v>
      </c>
    </row>
    <row r="624" spans="1:15" x14ac:dyDescent="0.35">
      <c r="A624" t="str">
        <v>emu_Metro_Cammell_5M2</v>
      </c>
      <c r="B624" t="b" cm="1">
        <f t="array" ref="B624">_xlfn.XLOOKUP(A624,CONTROL[VEHIDCODE],PROPERTIES[EXCLUDE])</f>
        <v>0</v>
      </c>
      <c r="C624" t="b">
        <f>_xlfn.XLOOKUP(A624,CONTROL[VEHIDCODE],CONTROL[IS_WAGON_OR_COACH])</f>
        <v>0</v>
      </c>
      <c r="D624">
        <f>FLOOR(_xlfn.XLOOKUP($A624,PROPERTIES[VEHIDCODE],PROPERTIES[INTRODUCTION_YEAR]),20)</f>
        <v>1940</v>
      </c>
      <c r="E624" t="e">
        <f>_xlfn.XLOOKUP($A624,PROPERTIES[VEHIDCODE],#REF!)</f>
        <v>#REF!</v>
      </c>
      <c r="F624" s="25" t="str" cm="1">
        <f t="array" ref="F624">_xlfn.CONCAT(_xlfn.XLOOKUP($A624,PROPERTIES[VEHIDCODE],PROPERTIES[REGION1]),"_",_xlfn.XLOOKUP($A624,PROPERTIES[VEHIDCODE],PROPERTIES[REGION2]),"_",_xlfn.XLOOKUP($A624,PROPERTIES[VEHIDCODE],PROPERTIES[REGION3]&amp;"_"&amp;_xlfn.XLOOKUP($A624,PROPERTIES[VEHIDCODE],PROPERTIES[REGION4])))</f>
        <v>AFRICA_NO_REGION_NO_REGION_NO_REGION</v>
      </c>
      <c r="G624" t="b">
        <f t="shared" si="81"/>
        <v>1</v>
      </c>
      <c r="H624" t="b">
        <f t="shared" si="88"/>
        <v>0</v>
      </c>
      <c r="I624" t="b">
        <f t="shared" si="82"/>
        <v>0</v>
      </c>
      <c r="J624" t="b">
        <f t="shared" si="89"/>
        <v>0</v>
      </c>
      <c r="K624" t="b">
        <f t="shared" si="83"/>
        <v>0</v>
      </c>
      <c r="L624" t="b">
        <f t="shared" si="84"/>
        <v>0</v>
      </c>
      <c r="M624" t="b">
        <f t="shared" si="85"/>
        <v>0</v>
      </c>
      <c r="N624" t="b">
        <f t="shared" si="86"/>
        <v>0</v>
      </c>
      <c r="O624" t="b">
        <f t="shared" si="87"/>
        <v>0</v>
      </c>
    </row>
    <row r="625" spans="1:15" x14ac:dyDescent="0.35">
      <c r="A625" t="str">
        <v>emu_Alstom_XTrapolis_100</v>
      </c>
      <c r="B625" t="b" cm="1">
        <f t="array" ref="B625">_xlfn.XLOOKUP(A625,CONTROL[VEHIDCODE],PROPERTIES[EXCLUDE])</f>
        <v>0</v>
      </c>
      <c r="C625" t="b">
        <f>_xlfn.XLOOKUP(A625,CONTROL[VEHIDCODE],CONTROL[IS_WAGON_OR_COACH])</f>
        <v>0</v>
      </c>
      <c r="D625">
        <f>FLOOR(_xlfn.XLOOKUP($A625,PROPERTIES[VEHIDCODE],PROPERTIES[INTRODUCTION_YEAR]),20)</f>
        <v>2000</v>
      </c>
      <c r="E625" t="e">
        <f>_xlfn.XLOOKUP($A625,PROPERTIES[VEHIDCODE],#REF!)</f>
        <v>#REF!</v>
      </c>
      <c r="F625" s="25" t="str" cm="1">
        <f t="array" ref="F625">_xlfn.CONCAT(_xlfn.XLOOKUP($A625,PROPERTIES[VEHIDCODE],PROPERTIES[REGION1]),"_",_xlfn.XLOOKUP($A625,PROPERTIES[VEHIDCODE],PROPERTIES[REGION2]),"_",_xlfn.XLOOKUP($A625,PROPERTIES[VEHIDCODE],PROPERTIES[REGION3]&amp;"_"&amp;_xlfn.XLOOKUP($A625,PROPERTIES[VEHIDCODE],PROPERTIES[REGION4])))</f>
        <v>SOUTH_AMERICA_OCEANIA_NO_REGION_NO_REGION</v>
      </c>
      <c r="G625" t="b">
        <f t="shared" si="81"/>
        <v>0</v>
      </c>
      <c r="H625" t="b">
        <f t="shared" si="88"/>
        <v>0</v>
      </c>
      <c r="I625" t="b">
        <f t="shared" si="82"/>
        <v>0</v>
      </c>
      <c r="J625" t="b">
        <f t="shared" si="89"/>
        <v>0</v>
      </c>
      <c r="K625" t="b">
        <f t="shared" si="83"/>
        <v>0</v>
      </c>
      <c r="L625" t="b">
        <f t="shared" si="84"/>
        <v>0</v>
      </c>
      <c r="M625" t="b">
        <f t="shared" si="85"/>
        <v>0</v>
      </c>
      <c r="N625" t="b">
        <f t="shared" si="86"/>
        <v>1</v>
      </c>
      <c r="O625" t="b">
        <f t="shared" si="87"/>
        <v>1</v>
      </c>
    </row>
    <row r="626" spans="1:15" x14ac:dyDescent="0.35">
      <c r="A626" t="str">
        <v>emu_GEC_Fiat_AES_Railcar</v>
      </c>
      <c r="B626" t="b" cm="1">
        <f t="array" ref="B626">_xlfn.XLOOKUP(A626,CONTROL[VEHIDCODE],PROPERTIES[EXCLUDE])</f>
        <v>1</v>
      </c>
      <c r="C626" t="b">
        <f>_xlfn.XLOOKUP(A626,CONTROL[VEHIDCODE],CONTROL[IS_WAGON_OR_COACH])</f>
        <v>0</v>
      </c>
      <c r="D626">
        <f>FLOOR(_xlfn.XLOOKUP($A626,PROPERTIES[VEHIDCODE],PROPERTIES[INTRODUCTION_YEAR]),20)</f>
        <v>1960</v>
      </c>
      <c r="E626" t="e">
        <f>_xlfn.XLOOKUP($A626,PROPERTIES[VEHIDCODE],#REF!)</f>
        <v>#REF!</v>
      </c>
      <c r="F626" s="25" t="str" cm="1">
        <f t="array" ref="F626">_xlfn.CONCAT(_xlfn.XLOOKUP($A626,PROPERTIES[VEHIDCODE],PROPERTIES[REGION1]),"_",_xlfn.XLOOKUP($A626,PROPERTIES[VEHIDCODE],PROPERTIES[REGION2]),"_",_xlfn.XLOOKUP($A626,PROPERTIES[VEHIDCODE],PROPERTIES[REGION3]&amp;"_"&amp;_xlfn.XLOOKUP($A626,PROPERTIES[VEHIDCODE],PROPERTIES[REGION4])))</f>
        <v>SOUTH_AMERICA_NO_REGION_NO_REGION_NO_REGION</v>
      </c>
      <c r="G626" t="b">
        <f t="shared" si="81"/>
        <v>0</v>
      </c>
      <c r="H626" t="b">
        <f t="shared" si="88"/>
        <v>0</v>
      </c>
      <c r="I626" t="b">
        <f t="shared" si="82"/>
        <v>0</v>
      </c>
      <c r="J626" t="b">
        <f t="shared" si="89"/>
        <v>0</v>
      </c>
      <c r="K626" t="b">
        <f t="shared" si="83"/>
        <v>0</v>
      </c>
      <c r="L626" t="b">
        <f t="shared" si="84"/>
        <v>0</v>
      </c>
      <c r="M626" t="b">
        <f t="shared" si="85"/>
        <v>0</v>
      </c>
      <c r="N626" t="b">
        <f t="shared" si="86"/>
        <v>1</v>
      </c>
      <c r="O626" t="b">
        <f t="shared" si="87"/>
        <v>0</v>
      </c>
    </row>
    <row r="627" spans="1:15" x14ac:dyDescent="0.35">
      <c r="A627" t="str">
        <v>emu_Ganz_MAVAG_YZ_E</v>
      </c>
      <c r="B627" t="b" cm="1">
        <f t="array" ref="B627">_xlfn.XLOOKUP(A627,CONTROL[VEHIDCODE],PROPERTIES[EXCLUDE])</f>
        <v>0</v>
      </c>
      <c r="C627" t="b">
        <f>_xlfn.XLOOKUP(A627,CONTROL[VEHIDCODE],CONTROL[IS_WAGON_OR_COACH])</f>
        <v>0</v>
      </c>
      <c r="D627">
        <f>FLOOR(_xlfn.XLOOKUP($A627,PROPERTIES[VEHIDCODE],PROPERTIES[INTRODUCTION_YEAR]),20)</f>
        <v>1980</v>
      </c>
      <c r="E627" t="e">
        <f>_xlfn.XLOOKUP($A627,PROPERTIES[VEHIDCODE],#REF!)</f>
        <v>#REF!</v>
      </c>
      <c r="F627" s="25" t="str" cm="1">
        <f t="array" ref="F627">_xlfn.CONCAT(_xlfn.XLOOKUP($A627,PROPERTIES[VEHIDCODE],PROPERTIES[REGION1]),"_",_xlfn.XLOOKUP($A627,PROPERTIES[VEHIDCODE],PROPERTIES[REGION2]),"_",_xlfn.XLOOKUP($A627,PROPERTIES[VEHIDCODE],PROPERTIES[REGION3]&amp;"_"&amp;_xlfn.XLOOKUP($A627,PROPERTIES[VEHIDCODE],PROPERTIES[REGION4])))</f>
        <v>AFRICA_NO_REGION_NO_REGION_NO_REGION</v>
      </c>
      <c r="G627" t="b">
        <f t="shared" si="81"/>
        <v>1</v>
      </c>
      <c r="H627" t="b">
        <f t="shared" si="88"/>
        <v>0</v>
      </c>
      <c r="I627" t="b">
        <f t="shared" si="82"/>
        <v>0</v>
      </c>
      <c r="J627" t="b">
        <f t="shared" si="89"/>
        <v>0</v>
      </c>
      <c r="K627" t="b">
        <f t="shared" si="83"/>
        <v>0</v>
      </c>
      <c r="L627" t="b">
        <f t="shared" si="84"/>
        <v>0</v>
      </c>
      <c r="M627" t="b">
        <f t="shared" si="85"/>
        <v>0</v>
      </c>
      <c r="N627" t="b">
        <f t="shared" si="86"/>
        <v>0</v>
      </c>
      <c r="O627" t="b">
        <f t="shared" si="87"/>
        <v>0</v>
      </c>
    </row>
    <row r="628" spans="1:15" x14ac:dyDescent="0.35">
      <c r="A628" t="str">
        <v>emu_Walkers_Tilt_Train_ETT</v>
      </c>
      <c r="B628" t="b" cm="1">
        <f t="array" ref="B628">_xlfn.XLOOKUP(A628,CONTROL[VEHIDCODE],PROPERTIES[EXCLUDE])</f>
        <v>0</v>
      </c>
      <c r="C628" t="b">
        <f>_xlfn.XLOOKUP(A628,CONTROL[VEHIDCODE],CONTROL[IS_WAGON_OR_COACH])</f>
        <v>0</v>
      </c>
      <c r="D628">
        <f>FLOOR(_xlfn.XLOOKUP($A628,PROPERTIES[VEHIDCODE],PROPERTIES[INTRODUCTION_YEAR]),20)</f>
        <v>1980</v>
      </c>
      <c r="E628" t="e">
        <f>_xlfn.XLOOKUP($A628,PROPERTIES[VEHIDCODE],#REF!)</f>
        <v>#REF!</v>
      </c>
      <c r="F628" s="25" t="str" cm="1">
        <f t="array" ref="F628">_xlfn.CONCAT(_xlfn.XLOOKUP($A628,PROPERTIES[VEHIDCODE],PROPERTIES[REGION1]),"_",_xlfn.XLOOKUP($A628,PROPERTIES[VEHIDCODE],PROPERTIES[REGION2]),"_",_xlfn.XLOOKUP($A628,PROPERTIES[VEHIDCODE],PROPERTIES[REGION3]&amp;"_"&amp;_xlfn.XLOOKUP($A628,PROPERTIES[VEHIDCODE],PROPERTIES[REGION4])))</f>
        <v>OCEANIA_NO_REGION_NO_REGION_NO_REGION</v>
      </c>
      <c r="G628" t="b">
        <f t="shared" si="81"/>
        <v>0</v>
      </c>
      <c r="H628" t="b">
        <f t="shared" si="88"/>
        <v>0</v>
      </c>
      <c r="I628" t="b">
        <f t="shared" si="82"/>
        <v>0</v>
      </c>
      <c r="J628" t="b">
        <f t="shared" si="89"/>
        <v>0</v>
      </c>
      <c r="K628" t="b">
        <f t="shared" si="83"/>
        <v>0</v>
      </c>
      <c r="L628" t="b">
        <f t="shared" si="84"/>
        <v>0</v>
      </c>
      <c r="M628" t="b">
        <f t="shared" si="85"/>
        <v>0</v>
      </c>
      <c r="N628" t="b">
        <f t="shared" si="86"/>
        <v>0</v>
      </c>
      <c r="O628" t="b">
        <f t="shared" si="87"/>
        <v>1</v>
      </c>
    </row>
    <row r="629" spans="1:15" x14ac:dyDescent="0.35">
      <c r="A629" t="str">
        <v>electric_NEVZ_TEVZ_VL15</v>
      </c>
      <c r="B629" t="b" cm="1">
        <f t="array" ref="B629">_xlfn.XLOOKUP(A629,CONTROL[VEHIDCODE],PROPERTIES[EXCLUDE])</f>
        <v>0</v>
      </c>
      <c r="C629" t="b">
        <f>_xlfn.XLOOKUP(A629,CONTROL[VEHIDCODE],CONTROL[IS_WAGON_OR_COACH])</f>
        <v>0</v>
      </c>
      <c r="D629">
        <f>FLOOR(_xlfn.XLOOKUP($A629,PROPERTIES[VEHIDCODE],PROPERTIES[INTRODUCTION_YEAR]),20)</f>
        <v>1980</v>
      </c>
      <c r="E629" t="e">
        <f>_xlfn.XLOOKUP($A629,PROPERTIES[VEHIDCODE],#REF!)</f>
        <v>#REF!</v>
      </c>
      <c r="F629" s="25" t="str" cm="1">
        <f t="array" ref="F629">_xlfn.CONCAT(_xlfn.XLOOKUP($A629,PROPERTIES[VEHIDCODE],PROPERTIES[REGION1]),"_",_xlfn.XLOOKUP($A629,PROPERTIES[VEHIDCODE],PROPERTIES[REGION2]),"_",_xlfn.XLOOKUP($A629,PROPERTIES[VEHIDCODE],PROPERTIES[REGION3]&amp;"_"&amp;_xlfn.XLOOKUP($A629,PROPERTIES[VEHIDCODE],PROPERTIES[REGION4])))</f>
        <v>COMECON_NO_REGION_NO_REGION_NO_REGION</v>
      </c>
      <c r="G629" t="b">
        <f t="shared" si="81"/>
        <v>0</v>
      </c>
      <c r="H629" t="b">
        <f t="shared" si="88"/>
        <v>1</v>
      </c>
      <c r="I629" t="b">
        <f t="shared" si="82"/>
        <v>0</v>
      </c>
      <c r="J629" t="b">
        <f t="shared" si="89"/>
        <v>1</v>
      </c>
      <c r="K629" t="b">
        <f t="shared" si="83"/>
        <v>0</v>
      </c>
      <c r="L629" t="b">
        <f t="shared" si="84"/>
        <v>0</v>
      </c>
      <c r="M629" t="b">
        <f t="shared" si="85"/>
        <v>0</v>
      </c>
      <c r="N629" t="b">
        <f t="shared" si="86"/>
        <v>0</v>
      </c>
      <c r="O629" t="b">
        <f t="shared" si="87"/>
        <v>0</v>
      </c>
    </row>
    <row r="630" spans="1:15" x14ac:dyDescent="0.35">
      <c r="A630" t="str">
        <v>electric_TEVZ_VL11</v>
      </c>
      <c r="B630" t="b" cm="1">
        <f t="array" ref="B630">_xlfn.XLOOKUP(A630,CONTROL[VEHIDCODE],PROPERTIES[EXCLUDE])</f>
        <v>0</v>
      </c>
      <c r="C630" t="b">
        <f>_xlfn.XLOOKUP(A630,CONTROL[VEHIDCODE],CONTROL[IS_WAGON_OR_COACH])</f>
        <v>0</v>
      </c>
      <c r="D630">
        <f>FLOOR(_xlfn.XLOOKUP($A630,PROPERTIES[VEHIDCODE],PROPERTIES[INTRODUCTION_YEAR]),20)</f>
        <v>1960</v>
      </c>
      <c r="E630" t="e">
        <f>_xlfn.XLOOKUP($A630,PROPERTIES[VEHIDCODE],#REF!)</f>
        <v>#REF!</v>
      </c>
      <c r="F630" s="25" t="str" cm="1">
        <f t="array" ref="F630">_xlfn.CONCAT(_xlfn.XLOOKUP($A630,PROPERTIES[VEHIDCODE],PROPERTIES[REGION1]),"_",_xlfn.XLOOKUP($A630,PROPERTIES[VEHIDCODE],PROPERTIES[REGION2]),"_",_xlfn.XLOOKUP($A630,PROPERTIES[VEHIDCODE],PROPERTIES[REGION3]&amp;"_"&amp;_xlfn.XLOOKUP($A630,PROPERTIES[VEHIDCODE],PROPERTIES[REGION4])))</f>
        <v>COMECON_NO_REGION_NO_REGION_NO_REGION</v>
      </c>
      <c r="G630" t="b">
        <f t="shared" si="81"/>
        <v>0</v>
      </c>
      <c r="H630" t="b">
        <f t="shared" si="88"/>
        <v>1</v>
      </c>
      <c r="I630" t="b">
        <f t="shared" si="82"/>
        <v>0</v>
      </c>
      <c r="J630" t="b">
        <f t="shared" si="89"/>
        <v>1</v>
      </c>
      <c r="K630" t="b">
        <f t="shared" si="83"/>
        <v>0</v>
      </c>
      <c r="L630" t="b">
        <f t="shared" si="84"/>
        <v>0</v>
      </c>
      <c r="M630" t="b">
        <f t="shared" si="85"/>
        <v>0</v>
      </c>
      <c r="N630" t="b">
        <f t="shared" si="86"/>
        <v>0</v>
      </c>
      <c r="O630" t="b">
        <f t="shared" si="87"/>
        <v>0</v>
      </c>
    </row>
    <row r="631" spans="1:15" x14ac:dyDescent="0.35">
      <c r="A631" t="str">
        <v>electric_NEVZ_VL22M</v>
      </c>
      <c r="B631" t="b" cm="1">
        <f t="array" ref="B631">_xlfn.XLOOKUP(A631,CONTROL[VEHIDCODE],PROPERTIES[EXCLUDE])</f>
        <v>0</v>
      </c>
      <c r="C631" t="b">
        <f>_xlfn.XLOOKUP(A631,CONTROL[VEHIDCODE],CONTROL[IS_WAGON_OR_COACH])</f>
        <v>0</v>
      </c>
      <c r="D631">
        <f>FLOOR(_xlfn.XLOOKUP($A631,PROPERTIES[VEHIDCODE],PROPERTIES[INTRODUCTION_YEAR]),20)</f>
        <v>1940</v>
      </c>
      <c r="E631" t="e">
        <f>_xlfn.XLOOKUP($A631,PROPERTIES[VEHIDCODE],#REF!)</f>
        <v>#REF!</v>
      </c>
      <c r="F631" s="25" t="str" cm="1">
        <f t="array" ref="F631">_xlfn.CONCAT(_xlfn.XLOOKUP($A631,PROPERTIES[VEHIDCODE],PROPERTIES[REGION1]),"_",_xlfn.XLOOKUP($A631,PROPERTIES[VEHIDCODE],PROPERTIES[REGION2]),"_",_xlfn.XLOOKUP($A631,PROPERTIES[VEHIDCODE],PROPERTIES[REGION3]&amp;"_"&amp;_xlfn.XLOOKUP($A631,PROPERTIES[VEHIDCODE],PROPERTIES[REGION4])))</f>
        <v>COMECON_NO_REGION_NO_REGION_NO_REGION</v>
      </c>
      <c r="G631" t="b">
        <f t="shared" si="81"/>
        <v>0</v>
      </c>
      <c r="H631" t="b">
        <f t="shared" si="88"/>
        <v>1</v>
      </c>
      <c r="I631" t="b">
        <f t="shared" si="82"/>
        <v>0</v>
      </c>
      <c r="J631" t="b">
        <f t="shared" si="89"/>
        <v>1</v>
      </c>
      <c r="K631" t="b">
        <f t="shared" si="83"/>
        <v>0</v>
      </c>
      <c r="L631" t="b">
        <f t="shared" si="84"/>
        <v>0</v>
      </c>
      <c r="M631" t="b">
        <f t="shared" si="85"/>
        <v>0</v>
      </c>
      <c r="N631" t="b">
        <f t="shared" si="86"/>
        <v>0</v>
      </c>
      <c r="O631" t="b">
        <f t="shared" si="87"/>
        <v>0</v>
      </c>
    </row>
    <row r="632" spans="1:15" x14ac:dyDescent="0.35">
      <c r="A632" t="str">
        <v>electric_DEVZ_DE1</v>
      </c>
      <c r="B632" t="b" cm="1">
        <f t="array" ref="B632">_xlfn.XLOOKUP(A632,CONTROL[VEHIDCODE],PROPERTIES[EXCLUDE])</f>
        <v>0</v>
      </c>
      <c r="C632" t="b">
        <f>_xlfn.XLOOKUP(A632,CONTROL[VEHIDCODE],CONTROL[IS_WAGON_OR_COACH])</f>
        <v>0</v>
      </c>
      <c r="D632">
        <f>FLOOR(_xlfn.XLOOKUP($A632,PROPERTIES[VEHIDCODE],PROPERTIES[INTRODUCTION_YEAR]),20)</f>
        <v>1980</v>
      </c>
      <c r="E632" t="e">
        <f>_xlfn.XLOOKUP($A632,PROPERTIES[VEHIDCODE],#REF!)</f>
        <v>#REF!</v>
      </c>
      <c r="F632" s="25" t="str" cm="1">
        <f t="array" ref="F632">_xlfn.CONCAT(_xlfn.XLOOKUP($A632,PROPERTIES[VEHIDCODE],PROPERTIES[REGION1]),"_",_xlfn.XLOOKUP($A632,PROPERTIES[VEHIDCODE],PROPERTIES[REGION2]),"_",_xlfn.XLOOKUP($A632,PROPERTIES[VEHIDCODE],PROPERTIES[REGION3]&amp;"_"&amp;_xlfn.XLOOKUP($A632,PROPERTIES[VEHIDCODE],PROPERTIES[REGION4])))</f>
        <v>EASTERN_EUROPE_NO_REGION_NO_REGION_NO_REGION</v>
      </c>
      <c r="G632" t="b">
        <f t="shared" si="81"/>
        <v>0</v>
      </c>
      <c r="H632" t="b">
        <f t="shared" si="88"/>
        <v>0</v>
      </c>
      <c r="I632" t="b">
        <f t="shared" si="82"/>
        <v>0</v>
      </c>
      <c r="J632" t="b">
        <f t="shared" si="89"/>
        <v>1</v>
      </c>
      <c r="K632" t="b">
        <f t="shared" si="83"/>
        <v>0</v>
      </c>
      <c r="L632" t="b">
        <f t="shared" si="84"/>
        <v>0</v>
      </c>
      <c r="M632" t="b">
        <f t="shared" si="85"/>
        <v>0</v>
      </c>
      <c r="N632" t="b">
        <f t="shared" si="86"/>
        <v>0</v>
      </c>
      <c r="O632" t="b">
        <f t="shared" si="87"/>
        <v>0</v>
      </c>
    </row>
    <row r="633" spans="1:15" x14ac:dyDescent="0.35">
      <c r="A633" t="str">
        <v>electric_Skoda_29E</v>
      </c>
      <c r="B633" t="b" cm="1">
        <f t="array" ref="B633">_xlfn.XLOOKUP(A633,CONTROL[VEHIDCODE],PROPERTIES[EXCLUDE])</f>
        <v>0</v>
      </c>
      <c r="C633" t="b">
        <f>_xlfn.XLOOKUP(A633,CONTROL[VEHIDCODE],CONTROL[IS_WAGON_OR_COACH])</f>
        <v>0</v>
      </c>
      <c r="D633">
        <f>FLOOR(_xlfn.XLOOKUP($A633,PROPERTIES[VEHIDCODE],PROPERTIES[INTRODUCTION_YEAR]),20)</f>
        <v>1940</v>
      </c>
      <c r="E633" t="e">
        <f>_xlfn.XLOOKUP($A633,PROPERTIES[VEHIDCODE],#REF!)</f>
        <v>#REF!</v>
      </c>
      <c r="F633" s="25" t="str" cm="1">
        <f t="array" ref="F633">_xlfn.CONCAT(_xlfn.XLOOKUP($A633,PROPERTIES[VEHIDCODE],PROPERTIES[REGION1]),"_",_xlfn.XLOOKUP($A633,PROPERTIES[VEHIDCODE],PROPERTIES[REGION2]),"_",_xlfn.XLOOKUP($A633,PROPERTIES[VEHIDCODE],PROPERTIES[REGION3]&amp;"_"&amp;_xlfn.XLOOKUP($A633,PROPERTIES[VEHIDCODE],PROPERTIES[REGION4])))</f>
        <v>COMECON_NO_REGION_NO_REGION_NO_REGION</v>
      </c>
      <c r="G633" t="b">
        <f t="shared" si="81"/>
        <v>0</v>
      </c>
      <c r="H633" t="b">
        <f t="shared" si="88"/>
        <v>1</v>
      </c>
      <c r="I633" t="b">
        <f t="shared" si="82"/>
        <v>0</v>
      </c>
      <c r="J633" t="b">
        <f t="shared" si="89"/>
        <v>1</v>
      </c>
      <c r="K633" t="b">
        <f t="shared" si="83"/>
        <v>0</v>
      </c>
      <c r="L633" t="b">
        <f t="shared" si="84"/>
        <v>0</v>
      </c>
      <c r="M633" t="b">
        <f t="shared" si="85"/>
        <v>0</v>
      </c>
      <c r="N633" t="b">
        <f t="shared" si="86"/>
        <v>0</v>
      </c>
      <c r="O633" t="b">
        <f t="shared" si="87"/>
        <v>0</v>
      </c>
    </row>
    <row r="634" spans="1:15" x14ac:dyDescent="0.35">
      <c r="A634" t="str">
        <v>electric_Skoda_82E</v>
      </c>
      <c r="B634" t="b" cm="1">
        <f t="array" ref="B634">_xlfn.XLOOKUP(A634,CONTROL[VEHIDCODE],PROPERTIES[EXCLUDE])</f>
        <v>0</v>
      </c>
      <c r="C634" t="b">
        <f>_xlfn.XLOOKUP(A634,CONTROL[VEHIDCODE],CONTROL[IS_WAGON_OR_COACH])</f>
        <v>0</v>
      </c>
      <c r="D634">
        <f>FLOOR(_xlfn.XLOOKUP($A634,PROPERTIES[VEHIDCODE],PROPERTIES[INTRODUCTION_YEAR]),20)</f>
        <v>1980</v>
      </c>
      <c r="E634" t="e">
        <f>_xlfn.XLOOKUP($A634,PROPERTIES[VEHIDCODE],#REF!)</f>
        <v>#REF!</v>
      </c>
      <c r="F634" s="25" t="str" cm="1">
        <f t="array" ref="F634">_xlfn.CONCAT(_xlfn.XLOOKUP($A634,PROPERTIES[VEHIDCODE],PROPERTIES[REGION1]),"_",_xlfn.XLOOKUP($A634,PROPERTIES[VEHIDCODE],PROPERTIES[REGION2]),"_",_xlfn.XLOOKUP($A634,PROPERTIES[VEHIDCODE],PROPERTIES[REGION3]&amp;"_"&amp;_xlfn.XLOOKUP($A634,PROPERTIES[VEHIDCODE],PROPERTIES[REGION4])))</f>
        <v>COMECON_NO_REGION_NO_REGION_NO_REGION</v>
      </c>
      <c r="G634" t="b">
        <f t="shared" si="81"/>
        <v>0</v>
      </c>
      <c r="H634" t="b">
        <f t="shared" si="88"/>
        <v>1</v>
      </c>
      <c r="I634" t="b">
        <f t="shared" si="82"/>
        <v>0</v>
      </c>
      <c r="J634" t="b">
        <f t="shared" si="89"/>
        <v>1</v>
      </c>
      <c r="K634" t="b">
        <f t="shared" si="83"/>
        <v>0</v>
      </c>
      <c r="L634" t="b">
        <f t="shared" si="84"/>
        <v>0</v>
      </c>
      <c r="M634" t="b">
        <f t="shared" si="85"/>
        <v>0</v>
      </c>
      <c r="N634" t="b">
        <f t="shared" si="86"/>
        <v>0</v>
      </c>
      <c r="O634" t="b">
        <f t="shared" si="87"/>
        <v>0</v>
      </c>
    </row>
    <row r="635" spans="1:15" x14ac:dyDescent="0.35">
      <c r="A635" t="str">
        <v>electric_GE_C_C_4400_RFFSA</v>
      </c>
      <c r="B635" t="b" cm="1">
        <f t="array" ref="B635">_xlfn.XLOOKUP(A635,CONTROL[VEHIDCODE],PROPERTIES[EXCLUDE])</f>
        <v>0</v>
      </c>
      <c r="C635" t="b">
        <f>_xlfn.XLOOKUP(A635,CONTROL[VEHIDCODE],CONTROL[IS_WAGON_OR_COACH])</f>
        <v>0</v>
      </c>
      <c r="D635">
        <f>FLOOR(_xlfn.XLOOKUP($A635,PROPERTIES[VEHIDCODE],PROPERTIES[INTRODUCTION_YEAR]),20)</f>
        <v>1960</v>
      </c>
      <c r="E635" t="e">
        <f>_xlfn.XLOOKUP($A635,PROPERTIES[VEHIDCODE],#REF!)</f>
        <v>#REF!</v>
      </c>
      <c r="F635" s="25" t="str" cm="1">
        <f t="array" ref="F635">_xlfn.CONCAT(_xlfn.XLOOKUP($A635,PROPERTIES[VEHIDCODE],PROPERTIES[REGION1]),"_",_xlfn.XLOOKUP($A635,PROPERTIES[VEHIDCODE],PROPERTIES[REGION2]),"_",_xlfn.XLOOKUP($A635,PROPERTIES[VEHIDCODE],PROPERTIES[REGION3]&amp;"_"&amp;_xlfn.XLOOKUP($A635,PROPERTIES[VEHIDCODE],PROPERTIES[REGION4])))</f>
        <v>SOUTH_AMERICA_NO_REGION_NO_REGION_NO_REGION</v>
      </c>
      <c r="G635" t="b">
        <f t="shared" si="81"/>
        <v>0</v>
      </c>
      <c r="H635" t="b">
        <f t="shared" si="88"/>
        <v>0</v>
      </c>
      <c r="I635" t="b">
        <f t="shared" si="82"/>
        <v>0</v>
      </c>
      <c r="J635" t="b">
        <f t="shared" si="89"/>
        <v>0</v>
      </c>
      <c r="K635" t="b">
        <f t="shared" si="83"/>
        <v>0</v>
      </c>
      <c r="L635" t="b">
        <f t="shared" si="84"/>
        <v>0</v>
      </c>
      <c r="M635" t="b">
        <f t="shared" si="85"/>
        <v>0</v>
      </c>
      <c r="N635" t="b">
        <f t="shared" si="86"/>
        <v>1</v>
      </c>
      <c r="O635" t="b">
        <f t="shared" si="87"/>
        <v>0</v>
      </c>
    </row>
    <row r="636" spans="1:15" x14ac:dyDescent="0.35">
      <c r="A636" t="str">
        <v>electric_NEVZ_VL85</v>
      </c>
      <c r="B636" t="b" cm="1">
        <f t="array" ref="B636">_xlfn.XLOOKUP(A636,CONTROL[VEHIDCODE],PROPERTIES[EXCLUDE])</f>
        <v>0</v>
      </c>
      <c r="C636" t="b">
        <f>_xlfn.XLOOKUP(A636,CONTROL[VEHIDCODE],CONTROL[IS_WAGON_OR_COACH])</f>
        <v>0</v>
      </c>
      <c r="D636">
        <f>FLOOR(_xlfn.XLOOKUP($A636,PROPERTIES[VEHIDCODE],PROPERTIES[INTRODUCTION_YEAR]),20)</f>
        <v>1980</v>
      </c>
      <c r="E636" t="e">
        <f>_xlfn.XLOOKUP($A636,PROPERTIES[VEHIDCODE],#REF!)</f>
        <v>#REF!</v>
      </c>
      <c r="F636" s="25" t="str" cm="1">
        <f t="array" ref="F636">_xlfn.CONCAT(_xlfn.XLOOKUP($A636,PROPERTIES[VEHIDCODE],PROPERTIES[REGION1]),"_",_xlfn.XLOOKUP($A636,PROPERTIES[VEHIDCODE],PROPERTIES[REGION2]),"_",_xlfn.XLOOKUP($A636,PROPERTIES[VEHIDCODE],PROPERTIES[REGION3]&amp;"_"&amp;_xlfn.XLOOKUP($A636,PROPERTIES[VEHIDCODE],PROPERTIES[REGION4])))</f>
        <v>COMECON_NO_REGION_NO_REGION_NO_REGION</v>
      </c>
      <c r="G636" t="b">
        <f t="shared" si="81"/>
        <v>0</v>
      </c>
      <c r="H636" t="b">
        <f t="shared" si="88"/>
        <v>1</v>
      </c>
      <c r="I636" t="b">
        <f t="shared" si="82"/>
        <v>0</v>
      </c>
      <c r="J636" t="b">
        <f t="shared" si="89"/>
        <v>1</v>
      </c>
      <c r="K636" t="b">
        <f t="shared" si="83"/>
        <v>0</v>
      </c>
      <c r="L636" t="b">
        <f t="shared" si="84"/>
        <v>0</v>
      </c>
      <c r="M636" t="b">
        <f t="shared" si="85"/>
        <v>0</v>
      </c>
      <c r="N636" t="b">
        <f t="shared" si="86"/>
        <v>0</v>
      </c>
      <c r="O636" t="b">
        <f t="shared" si="87"/>
        <v>0</v>
      </c>
    </row>
    <row r="637" spans="1:15" x14ac:dyDescent="0.35">
      <c r="A637" t="str">
        <v>electric_DEVZ_VL41</v>
      </c>
      <c r="B637" t="b" cm="1">
        <f t="array" ref="B637">_xlfn.XLOOKUP(A637,CONTROL[VEHIDCODE],PROPERTIES[EXCLUDE])</f>
        <v>0</v>
      </c>
      <c r="C637" t="b">
        <f>_xlfn.XLOOKUP(A637,CONTROL[VEHIDCODE],CONTROL[IS_WAGON_OR_COACH])</f>
        <v>0</v>
      </c>
      <c r="D637">
        <f>FLOOR(_xlfn.XLOOKUP($A637,PROPERTIES[VEHIDCODE],PROPERTIES[INTRODUCTION_YEAR]),20)</f>
        <v>1960</v>
      </c>
      <c r="E637" t="e">
        <f>_xlfn.XLOOKUP($A637,PROPERTIES[VEHIDCODE],#REF!)</f>
        <v>#REF!</v>
      </c>
      <c r="F637" s="25" t="str" cm="1">
        <f t="array" ref="F637">_xlfn.CONCAT(_xlfn.XLOOKUP($A637,PROPERTIES[VEHIDCODE],PROPERTIES[REGION1]),"_",_xlfn.XLOOKUP($A637,PROPERTIES[VEHIDCODE],PROPERTIES[REGION2]),"_",_xlfn.XLOOKUP($A637,PROPERTIES[VEHIDCODE],PROPERTIES[REGION3]&amp;"_"&amp;_xlfn.XLOOKUP($A637,PROPERTIES[VEHIDCODE],PROPERTIES[REGION4])))</f>
        <v>COMECON_NO_REGION_NO_REGION_NO_REGION</v>
      </c>
      <c r="G637" t="b">
        <f t="shared" si="81"/>
        <v>0</v>
      </c>
      <c r="H637" t="b">
        <f t="shared" si="88"/>
        <v>1</v>
      </c>
      <c r="I637" t="b">
        <f t="shared" si="82"/>
        <v>0</v>
      </c>
      <c r="J637" t="b">
        <f t="shared" si="89"/>
        <v>1</v>
      </c>
      <c r="K637" t="b">
        <f t="shared" si="83"/>
        <v>0</v>
      </c>
      <c r="L637" t="b">
        <f t="shared" si="84"/>
        <v>0</v>
      </c>
      <c r="M637" t="b">
        <f t="shared" si="85"/>
        <v>0</v>
      </c>
      <c r="N637" t="b">
        <f t="shared" si="86"/>
        <v>0</v>
      </c>
      <c r="O637" t="b">
        <f t="shared" si="87"/>
        <v>0</v>
      </c>
    </row>
    <row r="638" spans="1:15" x14ac:dyDescent="0.35">
      <c r="A638" t="str">
        <v>electric_CLW_WAP_4</v>
      </c>
      <c r="B638" t="b" cm="1">
        <f t="array" ref="B638">_xlfn.XLOOKUP(A638,CONTROL[VEHIDCODE],PROPERTIES[EXCLUDE])</f>
        <v>0</v>
      </c>
      <c r="C638" t="b">
        <f>_xlfn.XLOOKUP(A638,CONTROL[VEHIDCODE],CONTROL[IS_WAGON_OR_COACH])</f>
        <v>0</v>
      </c>
      <c r="D638">
        <f>FLOOR(_xlfn.XLOOKUP($A638,PROPERTIES[VEHIDCODE],PROPERTIES[INTRODUCTION_YEAR]),20)</f>
        <v>1980</v>
      </c>
      <c r="E638" t="e">
        <f>_xlfn.XLOOKUP($A638,PROPERTIES[VEHIDCODE],#REF!)</f>
        <v>#REF!</v>
      </c>
      <c r="F638" s="25" t="str" cm="1">
        <f t="array" ref="F638">_xlfn.CONCAT(_xlfn.XLOOKUP($A638,PROPERTIES[VEHIDCODE],PROPERTIES[REGION1]),"_",_xlfn.XLOOKUP($A638,PROPERTIES[VEHIDCODE],PROPERTIES[REGION2]),"_",_xlfn.XLOOKUP($A638,PROPERTIES[VEHIDCODE],PROPERTIES[REGION3]&amp;"_"&amp;_xlfn.XLOOKUP($A638,PROPERTIES[VEHIDCODE],PROPERTIES[REGION4])))</f>
        <v>ASIA_NO_REGION_NO_REGION_NO_REGION</v>
      </c>
      <c r="G638" t="b">
        <f t="shared" si="81"/>
        <v>0</v>
      </c>
      <c r="H638" t="b">
        <f t="shared" si="88"/>
        <v>1</v>
      </c>
      <c r="I638" t="b">
        <f t="shared" si="82"/>
        <v>0</v>
      </c>
      <c r="J638" t="b">
        <f t="shared" si="89"/>
        <v>0</v>
      </c>
      <c r="K638" t="b">
        <f t="shared" si="83"/>
        <v>0</v>
      </c>
      <c r="L638" t="b">
        <f t="shared" si="84"/>
        <v>0</v>
      </c>
      <c r="M638" t="b">
        <f t="shared" si="85"/>
        <v>0</v>
      </c>
      <c r="N638" t="b">
        <f t="shared" si="86"/>
        <v>0</v>
      </c>
      <c r="O638" t="b">
        <f t="shared" si="87"/>
        <v>0</v>
      </c>
    </row>
    <row r="639" spans="1:15" x14ac:dyDescent="0.35">
      <c r="A639" t="str">
        <v>electric_NEVZ_ES40</v>
      </c>
      <c r="B639" t="b" cm="1">
        <f t="array" ref="B639">_xlfn.XLOOKUP(A639,CONTROL[VEHIDCODE],PROPERTIES[EXCLUDE])</f>
        <v>0</v>
      </c>
      <c r="C639" t="b">
        <f>_xlfn.XLOOKUP(A639,CONTROL[VEHIDCODE],CONTROL[IS_WAGON_OR_COACH])</f>
        <v>0</v>
      </c>
      <c r="D639">
        <f>FLOOR(_xlfn.XLOOKUP($A639,PROPERTIES[VEHIDCODE],PROPERTIES[INTRODUCTION_YEAR]),20)</f>
        <v>1960</v>
      </c>
      <c r="E639" t="e">
        <f>_xlfn.XLOOKUP($A639,PROPERTIES[VEHIDCODE],#REF!)</f>
        <v>#REF!</v>
      </c>
      <c r="F639" s="25" t="str" cm="1">
        <f t="array" ref="F639">_xlfn.CONCAT(_xlfn.XLOOKUP($A639,PROPERTIES[VEHIDCODE],PROPERTIES[REGION1]),"_",_xlfn.XLOOKUP($A639,PROPERTIES[VEHIDCODE],PROPERTIES[REGION2]),"_",_xlfn.XLOOKUP($A639,PROPERTIES[VEHIDCODE],PROPERTIES[REGION3]&amp;"_"&amp;_xlfn.XLOOKUP($A639,PROPERTIES[VEHIDCODE],PROPERTIES[REGION4])))</f>
        <v>NORTHERN_EUROPE_NO_REGION_NO_REGION_NO_REGION</v>
      </c>
      <c r="G639" t="b">
        <f t="shared" si="81"/>
        <v>0</v>
      </c>
      <c r="H639" t="b">
        <f t="shared" si="88"/>
        <v>0</v>
      </c>
      <c r="I639" t="b">
        <f t="shared" si="82"/>
        <v>0</v>
      </c>
      <c r="J639" t="b">
        <f t="shared" si="89"/>
        <v>0</v>
      </c>
      <c r="K639" t="b">
        <f t="shared" si="83"/>
        <v>0</v>
      </c>
      <c r="L639" t="b">
        <f t="shared" si="84"/>
        <v>1</v>
      </c>
      <c r="M639" t="b">
        <f t="shared" si="85"/>
        <v>0</v>
      </c>
      <c r="N639" t="b">
        <f t="shared" si="86"/>
        <v>0</v>
      </c>
      <c r="O639" t="b">
        <f t="shared" si="87"/>
        <v>0</v>
      </c>
    </row>
    <row r="640" spans="1:15" x14ac:dyDescent="0.35">
      <c r="A640" t="str">
        <v>electric_Zuzhou_KZ4A</v>
      </c>
      <c r="B640" t="b" cm="1">
        <f t="array" ref="B640">_xlfn.XLOOKUP(A640,CONTROL[VEHIDCODE],PROPERTIES[EXCLUDE])</f>
        <v>0</v>
      </c>
      <c r="C640" t="b">
        <f>_xlfn.XLOOKUP(A640,CONTROL[VEHIDCODE],CONTROL[IS_WAGON_OR_COACH])</f>
        <v>0</v>
      </c>
      <c r="D640">
        <f>FLOOR(_xlfn.XLOOKUP($A640,PROPERTIES[VEHIDCODE],PROPERTIES[INTRODUCTION_YEAR]),20)</f>
        <v>2000</v>
      </c>
      <c r="E640" t="e">
        <f>_xlfn.XLOOKUP($A640,PROPERTIES[VEHIDCODE],#REF!)</f>
        <v>#REF!</v>
      </c>
      <c r="F640" s="25" t="str" cm="1">
        <f t="array" ref="F640">_xlfn.CONCAT(_xlfn.XLOOKUP($A640,PROPERTIES[VEHIDCODE],PROPERTIES[REGION1]),"_",_xlfn.XLOOKUP($A640,PROPERTIES[VEHIDCODE],PROPERTIES[REGION2]),"_",_xlfn.XLOOKUP($A640,PROPERTIES[VEHIDCODE],PROPERTIES[REGION3]&amp;"_"&amp;_xlfn.XLOOKUP($A640,PROPERTIES[VEHIDCODE],PROPERTIES[REGION4])))</f>
        <v>ASIA_NO_REGION_NO_REGION_NO_REGION</v>
      </c>
      <c r="G640" t="b">
        <f t="shared" si="81"/>
        <v>0</v>
      </c>
      <c r="H640" t="b">
        <f t="shared" si="88"/>
        <v>1</v>
      </c>
      <c r="I640" t="b">
        <f t="shared" si="82"/>
        <v>0</v>
      </c>
      <c r="J640" t="b">
        <f t="shared" si="89"/>
        <v>0</v>
      </c>
      <c r="K640" t="b">
        <f t="shared" si="83"/>
        <v>0</v>
      </c>
      <c r="L640" t="b">
        <f t="shared" si="84"/>
        <v>0</v>
      </c>
      <c r="M640" t="b">
        <f t="shared" si="85"/>
        <v>0</v>
      </c>
      <c r="N640" t="b">
        <f t="shared" si="86"/>
        <v>0</v>
      </c>
      <c r="O640" t="b">
        <f t="shared" si="87"/>
        <v>0</v>
      </c>
    </row>
    <row r="641" spans="1:15" x14ac:dyDescent="0.35">
      <c r="A641" t="str">
        <v>electric_Alstom_KZ8A</v>
      </c>
      <c r="B641" t="b" cm="1">
        <f t="array" ref="B641">_xlfn.XLOOKUP(A641,CONTROL[VEHIDCODE],PROPERTIES[EXCLUDE])</f>
        <v>0</v>
      </c>
      <c r="C641" t="b">
        <f>_xlfn.XLOOKUP(A641,CONTROL[VEHIDCODE],CONTROL[IS_WAGON_OR_COACH])</f>
        <v>0</v>
      </c>
      <c r="D641">
        <f>FLOOR(_xlfn.XLOOKUP($A641,PROPERTIES[VEHIDCODE],PROPERTIES[INTRODUCTION_YEAR]),20)</f>
        <v>2000</v>
      </c>
      <c r="E641" t="e">
        <f>_xlfn.XLOOKUP($A641,PROPERTIES[VEHIDCODE],#REF!)</f>
        <v>#REF!</v>
      </c>
      <c r="F641" s="25" t="str" cm="1">
        <f t="array" ref="F641">_xlfn.CONCAT(_xlfn.XLOOKUP($A641,PROPERTIES[VEHIDCODE],PROPERTIES[REGION1]),"_",_xlfn.XLOOKUP($A641,PROPERTIES[VEHIDCODE],PROPERTIES[REGION2]),"_",_xlfn.XLOOKUP($A641,PROPERTIES[VEHIDCODE],PROPERTIES[REGION3]&amp;"_"&amp;_xlfn.XLOOKUP($A641,PROPERTIES[VEHIDCODE],PROPERTIES[REGION4])))</f>
        <v>ASIA_NO_REGION_NO_REGION_NO_REGION</v>
      </c>
      <c r="G641" t="b">
        <f t="shared" si="81"/>
        <v>0</v>
      </c>
      <c r="H641" t="b">
        <f t="shared" si="88"/>
        <v>1</v>
      </c>
      <c r="I641" t="b">
        <f t="shared" si="82"/>
        <v>0</v>
      </c>
      <c r="J641" t="b">
        <f t="shared" si="89"/>
        <v>0</v>
      </c>
      <c r="K641" t="b">
        <f t="shared" si="83"/>
        <v>0</v>
      </c>
      <c r="L641" t="b">
        <f t="shared" si="84"/>
        <v>0</v>
      </c>
      <c r="M641" t="b">
        <f t="shared" si="85"/>
        <v>0</v>
      </c>
      <c r="N641" t="b">
        <f t="shared" si="86"/>
        <v>0</v>
      </c>
      <c r="O641" t="b">
        <f t="shared" si="87"/>
        <v>0</v>
      </c>
    </row>
    <row r="642" spans="1:15" x14ac:dyDescent="0.35">
      <c r="A642" t="str">
        <v>electric_TRTrans_NEVZ_EP20</v>
      </c>
      <c r="B642" t="b" cm="1">
        <f t="array" ref="B642">_xlfn.XLOOKUP(A642,CONTROL[VEHIDCODE],PROPERTIES[EXCLUDE])</f>
        <v>0</v>
      </c>
      <c r="C642" t="b">
        <f>_xlfn.XLOOKUP(A642,CONTROL[VEHIDCODE],CONTROL[IS_WAGON_OR_COACH])</f>
        <v>0</v>
      </c>
      <c r="D642">
        <f>FLOOR(_xlfn.XLOOKUP($A642,PROPERTIES[VEHIDCODE],PROPERTIES[INTRODUCTION_YEAR]),20)</f>
        <v>2000</v>
      </c>
      <c r="E642" t="e">
        <f>_xlfn.XLOOKUP($A642,PROPERTIES[VEHIDCODE],#REF!)</f>
        <v>#REF!</v>
      </c>
      <c r="F642" s="25" t="str" cm="1">
        <f t="array" ref="F642">_xlfn.CONCAT(_xlfn.XLOOKUP($A642,PROPERTIES[VEHIDCODE],PROPERTIES[REGION1]),"_",_xlfn.XLOOKUP($A642,PROPERTIES[VEHIDCODE],PROPERTIES[REGION2]),"_",_xlfn.XLOOKUP($A642,PROPERTIES[VEHIDCODE],PROPERTIES[REGION3]&amp;"_"&amp;_xlfn.XLOOKUP($A642,PROPERTIES[VEHIDCODE],PROPERTIES[REGION4])))</f>
        <v>COMECON_NO_REGION_NO_REGION_NO_REGION</v>
      </c>
      <c r="G642" t="b">
        <f t="shared" ref="G642:G705" si="90">OR(ISNUMBER(SEARCH("ALL_REGION",$F642)),
ISNUMBER(SEARCH("AFRICA",$F642)),
ISNUMBER(SEARCH("OLD_WORLD",$F642)),
ISNUMBER(SEARCH("NON_EUROPEAN",$F642)))</f>
        <v>0</v>
      </c>
      <c r="H642" t="b">
        <f t="shared" si="88"/>
        <v>1</v>
      </c>
      <c r="I642" t="b">
        <f t="shared" ref="I642:I705" si="91">OR(ISNUMBER(SEARCH("ALL_REGION",$F642)),
ISNUMBER(SEARCH("ALL_EUROPE",$F642)),
ISNUMBER(SEARCH(I$1,$F642)),
ISNUMBER(SEARCH("OLD_WORLD",$F642)))</f>
        <v>0</v>
      </c>
      <c r="J642" t="b">
        <f t="shared" si="89"/>
        <v>1</v>
      </c>
      <c r="K642" t="b">
        <f t="shared" ref="K642:K705" si="92">OR(ISNUMBER(SEARCH("ALL_REGION",$F642)),
ISNUMBER(SEARCH("ALL_EUROPE",$F642)),
ISNUMBER(SEARCH(K$1,$F642)),
ISNUMBER(SEARCH("OLD_WORLD",$F642)),
ISNUMBER(SEARCH("NORTH_WEST_EUROPE",$F642)))</f>
        <v>0</v>
      </c>
      <c r="L642" t="b">
        <f t="shared" ref="L642:L705" si="93">OR(ISNUMBER(SEARCH("ALL_REGION",$F642)),
ISNUMBER(SEARCH("ALL_EUROPE",$F642)),
ISNUMBER(SEARCH(L$1,$F642)),
ISNUMBER(SEARCH("OLD_WORLD",$F642)),
ISNUMBER(SEARCH("NORTH_WEST_EUROPE",$F642)),
ISNUMBER(SEARCH("POST_SOVIET_BALTIC",$F642)))</f>
        <v>0</v>
      </c>
      <c r="M642" t="b">
        <f t="shared" ref="M642:M705" si="94">OR(ISNUMBER(SEARCH("ALL_REGION",$F642)),
ISNUMBER(SEARCH("ALL_AMERICA",$F642)),
ISNUMBER(SEARCH(M$1,$F642)),
ISNUMBER(SEARCH("NON_EUROPEAN",$F642)))</f>
        <v>0</v>
      </c>
      <c r="N642" t="b">
        <f t="shared" ref="N642:N705" si="95">OR(ISNUMBER(SEARCH("ALL_REGION",$F642)),
ISNUMBER(SEARCH("ALL_AMERICA",$F642)),
ISNUMBER(SEARCH(N$1,$F642)),
ISNUMBER(SEARCH("NON_EUROPEAN",$F642)),
ISNUMBER(SEARCH("COMECON_EXTENDED",$F642)))</f>
        <v>0</v>
      </c>
      <c r="O642" t="b">
        <f t="shared" ref="O642:O705" si="96">OR(ISNUMBER(SEARCH("ALL_REGION",$F642)),
ISNUMBER(SEARCH(O$1,$F642)),
ISNUMBER(SEARCH("APAC",$F642)))</f>
        <v>0</v>
      </c>
    </row>
    <row r="643" spans="1:15" x14ac:dyDescent="0.35">
      <c r="A643" t="str">
        <v>rbd_Valmet_Dm7</v>
      </c>
      <c r="B643" t="b" cm="1">
        <f t="array" ref="B643">_xlfn.XLOOKUP(A643,CONTROL[VEHIDCODE],PROPERTIES[EXCLUDE])</f>
        <v>0</v>
      </c>
      <c r="C643" t="b">
        <f>_xlfn.XLOOKUP(A643,CONTROL[VEHIDCODE],CONTROL[IS_WAGON_OR_COACH])</f>
        <v>0</v>
      </c>
      <c r="D643">
        <f>FLOOR(_xlfn.XLOOKUP($A643,PROPERTIES[VEHIDCODE],PROPERTIES[INTRODUCTION_YEAR]),20)</f>
        <v>1940</v>
      </c>
      <c r="E643" t="e">
        <f>_xlfn.XLOOKUP($A643,PROPERTIES[VEHIDCODE],#REF!)</f>
        <v>#REF!</v>
      </c>
      <c r="F643" s="25" t="str" cm="1">
        <f t="array" ref="F643">_xlfn.CONCAT(_xlfn.XLOOKUP($A643,PROPERTIES[VEHIDCODE],PROPERTIES[REGION1]),"_",_xlfn.XLOOKUP($A643,PROPERTIES[VEHIDCODE],PROPERTIES[REGION2]),"_",_xlfn.XLOOKUP($A643,PROPERTIES[VEHIDCODE],PROPERTIES[REGION3]&amp;"_"&amp;_xlfn.XLOOKUP($A643,PROPERTIES[VEHIDCODE],PROPERTIES[REGION4])))</f>
        <v>NORTHERN_EUROPE_NO_REGION_NO_REGION_NO_REGION</v>
      </c>
      <c r="G643" t="b">
        <f t="shared" si="90"/>
        <v>0</v>
      </c>
      <c r="H643" t="b">
        <f t="shared" ref="H643:H706" si="97">OR(ISNUMBER(SEARCH("ALL_REGION",$F643)),
ISNUMBER(SEARCH("ASIA",$F643)),
ISNUMBER(SEARCH("OLD_WORLD",$F643)),
ISNUMBER(SEARCH("NON_EUROPEAN",$F643)),
ISNUMBER(SEARCH("APAC",$F643)),
ISNUMBER(SEARCH("COMECON",$F643)),
ISNUMBER(SEARCH("COMECON_EXTENDED",$F643)),
ISNUMBER(SEARCH("POST_SOVIET_BALTIC",$F643)))</f>
        <v>0</v>
      </c>
      <c r="I643" t="b">
        <f t="shared" si="91"/>
        <v>0</v>
      </c>
      <c r="J643" t="b">
        <f t="shared" ref="J643:J706" si="98">OR(ISNUMBER(SEARCH("ALL_REGION",$F643)),
ISNUMBER(SEARCH("ALL_EUROPE",$F643)),
ISNUMBER(SEARCH(J$1,$F643)),
ISNUMBER(SEARCH("OLD_WORLD",$F643)),
ISNUMBER(SEARCH("COMECON",$F643)),
ISNUMBER(SEARCH("POST_SOVIET_BALTIC",$F643)))</f>
        <v>0</v>
      </c>
      <c r="K643" t="b">
        <f t="shared" si="92"/>
        <v>0</v>
      </c>
      <c r="L643" t="b">
        <f t="shared" si="93"/>
        <v>1</v>
      </c>
      <c r="M643" t="b">
        <f t="shared" si="94"/>
        <v>0</v>
      </c>
      <c r="N643" t="b">
        <f t="shared" si="95"/>
        <v>0</v>
      </c>
      <c r="O643" t="b">
        <f t="shared" si="96"/>
        <v>0</v>
      </c>
    </row>
    <row r="644" spans="1:15" x14ac:dyDescent="0.35">
      <c r="A644" t="str">
        <v>rbd_Vagonka_Studenka_91M0_</v>
      </c>
      <c r="B644" t="b" cm="1">
        <f t="array" ref="B644">_xlfn.XLOOKUP(A644,CONTROL[VEHIDCODE],PROPERTIES[EXCLUDE])</f>
        <v>0</v>
      </c>
      <c r="C644" t="b">
        <f>_xlfn.XLOOKUP(A644,CONTROL[VEHIDCODE],CONTROL[IS_WAGON_OR_COACH])</f>
        <v>0</v>
      </c>
      <c r="D644">
        <f>FLOOR(_xlfn.XLOOKUP($A644,PROPERTIES[VEHIDCODE],PROPERTIES[INTRODUCTION_YEAR]),20)</f>
        <v>1980</v>
      </c>
      <c r="E644" t="e">
        <f>_xlfn.XLOOKUP($A644,PROPERTIES[VEHIDCODE],#REF!)</f>
        <v>#REF!</v>
      </c>
      <c r="F644" s="25" t="str" cm="1">
        <f t="array" ref="F644">_xlfn.CONCAT(_xlfn.XLOOKUP($A644,PROPERTIES[VEHIDCODE],PROPERTIES[REGION1]),"_",_xlfn.XLOOKUP($A644,PROPERTIES[VEHIDCODE],PROPERTIES[REGION2]),"_",_xlfn.XLOOKUP($A644,PROPERTIES[VEHIDCODE],PROPERTIES[REGION3]&amp;"_"&amp;_xlfn.XLOOKUP($A644,PROPERTIES[VEHIDCODE],PROPERTIES[REGION4])))</f>
        <v>COMECON_NO_REGION_NO_REGION_NO_REGION</v>
      </c>
      <c r="G644" t="b">
        <f t="shared" si="90"/>
        <v>0</v>
      </c>
      <c r="H644" t="b">
        <f t="shared" si="97"/>
        <v>1</v>
      </c>
      <c r="I644" t="b">
        <f t="shared" si="91"/>
        <v>0</v>
      </c>
      <c r="J644" t="b">
        <f t="shared" si="98"/>
        <v>1</v>
      </c>
      <c r="K644" t="b">
        <f t="shared" si="92"/>
        <v>0</v>
      </c>
      <c r="L644" t="b">
        <f t="shared" si="93"/>
        <v>0</v>
      </c>
      <c r="M644" t="b">
        <f t="shared" si="94"/>
        <v>0</v>
      </c>
      <c r="N644" t="b">
        <f t="shared" si="95"/>
        <v>0</v>
      </c>
      <c r="O644" t="b">
        <f t="shared" si="96"/>
        <v>0</v>
      </c>
    </row>
    <row r="645" spans="1:15" x14ac:dyDescent="0.35">
      <c r="A645" t="str">
        <v>emu_RVR_ER200</v>
      </c>
      <c r="B645" t="b" cm="1">
        <f t="array" ref="B645">_xlfn.XLOOKUP(A645,CONTROL[VEHIDCODE],PROPERTIES[EXCLUDE])</f>
        <v>0</v>
      </c>
      <c r="C645" t="b">
        <f>_xlfn.XLOOKUP(A645,CONTROL[VEHIDCODE],CONTROL[IS_WAGON_OR_COACH])</f>
        <v>0</v>
      </c>
      <c r="D645">
        <f>FLOOR(_xlfn.XLOOKUP($A645,PROPERTIES[VEHIDCODE],PROPERTIES[INTRODUCTION_YEAR]),20)</f>
        <v>1960</v>
      </c>
      <c r="E645" t="e">
        <f>_xlfn.XLOOKUP($A645,PROPERTIES[VEHIDCODE],#REF!)</f>
        <v>#REF!</v>
      </c>
      <c r="F645" s="25" t="str" cm="1">
        <f t="array" ref="F645">_xlfn.CONCAT(_xlfn.XLOOKUP($A645,PROPERTIES[VEHIDCODE],PROPERTIES[REGION1]),"_",_xlfn.XLOOKUP($A645,PROPERTIES[VEHIDCODE],PROPERTIES[REGION2]),"_",_xlfn.XLOOKUP($A645,PROPERTIES[VEHIDCODE],PROPERTIES[REGION3]&amp;"_"&amp;_xlfn.XLOOKUP($A645,PROPERTIES[VEHIDCODE],PROPERTIES[REGION4])))</f>
        <v>EASTERN_EUROPE_NO_REGION_NO_REGION_NO_REGION</v>
      </c>
      <c r="G645" t="b">
        <f t="shared" si="90"/>
        <v>0</v>
      </c>
      <c r="H645" t="b">
        <f t="shared" si="97"/>
        <v>0</v>
      </c>
      <c r="I645" t="b">
        <f t="shared" si="91"/>
        <v>0</v>
      </c>
      <c r="J645" t="b">
        <f t="shared" si="98"/>
        <v>1</v>
      </c>
      <c r="K645" t="b">
        <f t="shared" si="92"/>
        <v>0</v>
      </c>
      <c r="L645" t="b">
        <f t="shared" si="93"/>
        <v>0</v>
      </c>
      <c r="M645" t="b">
        <f t="shared" si="94"/>
        <v>0</v>
      </c>
      <c r="N645" t="b">
        <f t="shared" si="95"/>
        <v>0</v>
      </c>
      <c r="O645" t="b">
        <f t="shared" si="96"/>
        <v>0</v>
      </c>
    </row>
    <row r="646" spans="1:15" x14ac:dyDescent="0.35">
      <c r="A646" t="str">
        <v>emu_MMZ_S</v>
      </c>
      <c r="B646" t="b" cm="1">
        <f t="array" ref="B646">_xlfn.XLOOKUP(A646,CONTROL[VEHIDCODE],PROPERTIES[EXCLUDE])</f>
        <v>0</v>
      </c>
      <c r="C646" t="b">
        <f>_xlfn.XLOOKUP(A646,CONTROL[VEHIDCODE],CONTROL[IS_WAGON_OR_COACH])</f>
        <v>0</v>
      </c>
      <c r="D646">
        <f>FLOOR(_xlfn.XLOOKUP($A646,PROPERTIES[VEHIDCODE],PROPERTIES[INTRODUCTION_YEAR]),20)</f>
        <v>1920</v>
      </c>
      <c r="E646" t="e">
        <f>_xlfn.XLOOKUP($A646,PROPERTIES[VEHIDCODE],#REF!)</f>
        <v>#REF!</v>
      </c>
      <c r="F646" s="25" t="str" cm="1">
        <f t="array" ref="F646">_xlfn.CONCAT(_xlfn.XLOOKUP($A646,PROPERTIES[VEHIDCODE],PROPERTIES[REGION1]),"_",_xlfn.XLOOKUP($A646,PROPERTIES[VEHIDCODE],PROPERTIES[REGION2]),"_",_xlfn.XLOOKUP($A646,PROPERTIES[VEHIDCODE],PROPERTIES[REGION3]&amp;"_"&amp;_xlfn.XLOOKUP($A646,PROPERTIES[VEHIDCODE],PROPERTIES[REGION4])))</f>
        <v>POST_SOVIET_BALTIC_NO_REGION_NO_REGION_NO_REGION</v>
      </c>
      <c r="G646" t="b">
        <f t="shared" si="90"/>
        <v>0</v>
      </c>
      <c r="H646" t="b">
        <f t="shared" si="97"/>
        <v>1</v>
      </c>
      <c r="I646" t="b">
        <f t="shared" si="91"/>
        <v>0</v>
      </c>
      <c r="J646" t="b">
        <f t="shared" si="98"/>
        <v>1</v>
      </c>
      <c r="K646" t="b">
        <f t="shared" si="92"/>
        <v>0</v>
      </c>
      <c r="L646" t="b">
        <f t="shared" si="93"/>
        <v>1</v>
      </c>
      <c r="M646" t="b">
        <f t="shared" si="94"/>
        <v>0</v>
      </c>
      <c r="N646" t="b">
        <f t="shared" si="95"/>
        <v>0</v>
      </c>
      <c r="O646" t="b">
        <f t="shared" si="96"/>
        <v>0</v>
      </c>
    </row>
    <row r="647" spans="1:15" x14ac:dyDescent="0.35">
      <c r="A647" t="str">
        <v>emu_Koncar_6112</v>
      </c>
      <c r="B647" t="b" cm="1">
        <f t="array" ref="B647">_xlfn.XLOOKUP(A647,CONTROL[VEHIDCODE],PROPERTIES[EXCLUDE])</f>
        <v>0</v>
      </c>
      <c r="C647" t="b">
        <f>_xlfn.XLOOKUP(A647,CONTROL[VEHIDCODE],CONTROL[IS_WAGON_OR_COACH])</f>
        <v>0</v>
      </c>
      <c r="D647">
        <f>FLOOR(_xlfn.XLOOKUP($A647,PROPERTIES[VEHIDCODE],PROPERTIES[INTRODUCTION_YEAR]),20)</f>
        <v>2000</v>
      </c>
      <c r="E647" t="e">
        <f>_xlfn.XLOOKUP($A647,PROPERTIES[VEHIDCODE],#REF!)</f>
        <v>#REF!</v>
      </c>
      <c r="F647" s="25" t="str" cm="1">
        <f t="array" ref="F647">_xlfn.CONCAT(_xlfn.XLOOKUP($A647,PROPERTIES[VEHIDCODE],PROPERTIES[REGION1]),"_",_xlfn.XLOOKUP($A647,PROPERTIES[VEHIDCODE],PROPERTIES[REGION2]),"_",_xlfn.XLOOKUP($A647,PROPERTIES[VEHIDCODE],PROPERTIES[REGION3]&amp;"_"&amp;_xlfn.XLOOKUP($A647,PROPERTIES[VEHIDCODE],PROPERTIES[REGION4])))</f>
        <v>EASTERN_EUROPE_NO_REGION_NO_REGION_NO_REGION</v>
      </c>
      <c r="G647" t="b">
        <f t="shared" si="90"/>
        <v>0</v>
      </c>
      <c r="H647" t="b">
        <f t="shared" si="97"/>
        <v>0</v>
      </c>
      <c r="I647" t="b">
        <f t="shared" si="91"/>
        <v>0</v>
      </c>
      <c r="J647" t="b">
        <f t="shared" si="98"/>
        <v>1</v>
      </c>
      <c r="K647" t="b">
        <f t="shared" si="92"/>
        <v>0</v>
      </c>
      <c r="L647" t="b">
        <f t="shared" si="93"/>
        <v>0</v>
      </c>
      <c r="M647" t="b">
        <f t="shared" si="94"/>
        <v>0</v>
      </c>
      <c r="N647" t="b">
        <f t="shared" si="95"/>
        <v>0</v>
      </c>
      <c r="O647" t="b">
        <f t="shared" si="96"/>
        <v>0</v>
      </c>
    </row>
    <row r="648" spans="1:15" x14ac:dyDescent="0.35">
      <c r="A648" t="str">
        <v>emu_Siemens_Desiro_ES1_Lastochka</v>
      </c>
      <c r="B648" t="b" cm="1">
        <f t="array" ref="B648">_xlfn.XLOOKUP(A648,CONTROL[VEHIDCODE],PROPERTIES[EXCLUDE])</f>
        <v>0</v>
      </c>
      <c r="C648" t="b">
        <f>_xlfn.XLOOKUP(A648,CONTROL[VEHIDCODE],CONTROL[IS_WAGON_OR_COACH])</f>
        <v>0</v>
      </c>
      <c r="D648">
        <f>FLOOR(_xlfn.XLOOKUP($A648,PROPERTIES[VEHIDCODE],PROPERTIES[INTRODUCTION_YEAR]),20)</f>
        <v>2000</v>
      </c>
      <c r="E648" t="e">
        <f>_xlfn.XLOOKUP($A648,PROPERTIES[VEHIDCODE],#REF!)</f>
        <v>#REF!</v>
      </c>
      <c r="F648" s="25" t="str" cm="1">
        <f t="array" ref="F648">_xlfn.CONCAT(_xlfn.XLOOKUP($A648,PROPERTIES[VEHIDCODE],PROPERTIES[REGION1]),"_",_xlfn.XLOOKUP($A648,PROPERTIES[VEHIDCODE],PROPERTIES[REGION2]),"_",_xlfn.XLOOKUP($A648,PROPERTIES[VEHIDCODE],PROPERTIES[REGION3]&amp;"_"&amp;_xlfn.XLOOKUP($A648,PROPERTIES[VEHIDCODE],PROPERTIES[REGION4])))</f>
        <v>ASIA_NO_REGION_NO_REGION_NO_REGION</v>
      </c>
      <c r="G648" t="b">
        <f t="shared" si="90"/>
        <v>0</v>
      </c>
      <c r="H648" t="b">
        <f t="shared" si="97"/>
        <v>1</v>
      </c>
      <c r="I648" t="b">
        <f t="shared" si="91"/>
        <v>0</v>
      </c>
      <c r="J648" t="b">
        <f t="shared" si="98"/>
        <v>0</v>
      </c>
      <c r="K648" t="b">
        <f t="shared" si="92"/>
        <v>0</v>
      </c>
      <c r="L648" t="b">
        <f t="shared" si="93"/>
        <v>0</v>
      </c>
      <c r="M648" t="b">
        <f t="shared" si="94"/>
        <v>0</v>
      </c>
      <c r="N648" t="b">
        <f t="shared" si="95"/>
        <v>0</v>
      </c>
      <c r="O648" t="b">
        <f t="shared" si="96"/>
        <v>0</v>
      </c>
    </row>
    <row r="649" spans="1:15" x14ac:dyDescent="0.35">
      <c r="A649" t="str">
        <v>mtro_Metro_Wagon_Powered</v>
      </c>
      <c r="B649" t="b" cm="1">
        <f t="array" ref="B649">_xlfn.XLOOKUP(A649,CONTROL[VEHIDCODE],PROPERTIES[EXCLUDE])</f>
        <v>0</v>
      </c>
      <c r="C649" t="b">
        <f>_xlfn.XLOOKUP(A649,CONTROL[VEHIDCODE],CONTROL[IS_WAGON_OR_COACH])</f>
        <v>1</v>
      </c>
      <c r="D649">
        <f>FLOOR(_xlfn.XLOOKUP($A649,PROPERTIES[VEHIDCODE],PROPERTIES[INTRODUCTION_YEAR]),20)</f>
        <v>1900</v>
      </c>
      <c r="E649" t="e">
        <f>_xlfn.XLOOKUP($A649,PROPERTIES[VEHIDCODE],#REF!)</f>
        <v>#REF!</v>
      </c>
      <c r="F649" s="25" t="str" cm="1">
        <f t="array" ref="F649">_xlfn.CONCAT(_xlfn.XLOOKUP($A649,PROPERTIES[VEHIDCODE],PROPERTIES[REGION1]),"_",_xlfn.XLOOKUP($A649,PROPERTIES[VEHIDCODE],PROPERTIES[REGION2]),"_",_xlfn.XLOOKUP($A649,PROPERTIES[VEHIDCODE],PROPERTIES[REGION3]&amp;"_"&amp;_xlfn.XLOOKUP($A649,PROPERTIES[VEHIDCODE],PROPERTIES[REGION4])))</f>
        <v>ALL_REGION_NO_REGION_NO_REGION_NO_REGION</v>
      </c>
      <c r="G649" t="b">
        <f t="shared" si="90"/>
        <v>1</v>
      </c>
      <c r="H649" t="b">
        <f t="shared" si="97"/>
        <v>1</v>
      </c>
      <c r="I649" t="b">
        <f t="shared" si="91"/>
        <v>1</v>
      </c>
      <c r="J649" t="b">
        <f t="shared" si="98"/>
        <v>1</v>
      </c>
      <c r="K649" t="b">
        <f t="shared" si="92"/>
        <v>1</v>
      </c>
      <c r="L649" t="b">
        <f t="shared" si="93"/>
        <v>1</v>
      </c>
      <c r="M649" t="b">
        <f t="shared" si="94"/>
        <v>1</v>
      </c>
      <c r="N649" t="b">
        <f t="shared" si="95"/>
        <v>1</v>
      </c>
      <c r="O649" t="b">
        <f t="shared" si="96"/>
        <v>1</v>
      </c>
    </row>
    <row r="650" spans="1:15" x14ac:dyDescent="0.35">
      <c r="A650" t="str">
        <v>mtro_Metro_Wagon_Unpowered</v>
      </c>
      <c r="B650" t="b" cm="1">
        <f t="array" ref="B650">_xlfn.XLOOKUP(A650,CONTROL[VEHIDCODE],PROPERTIES[EXCLUDE])</f>
        <v>0</v>
      </c>
      <c r="C650" t="b">
        <f>_xlfn.XLOOKUP(A650,CONTROL[VEHIDCODE],CONTROL[IS_WAGON_OR_COACH])</f>
        <v>1</v>
      </c>
      <c r="D650">
        <f>FLOOR(_xlfn.XLOOKUP($A650,PROPERTIES[VEHIDCODE],PROPERTIES[INTRODUCTION_YEAR]),20)</f>
        <v>1900</v>
      </c>
      <c r="E650" t="e">
        <f>_xlfn.XLOOKUP($A650,PROPERTIES[VEHIDCODE],#REF!)</f>
        <v>#REF!</v>
      </c>
      <c r="F650" s="25" t="str" cm="1">
        <f t="array" ref="F650">_xlfn.CONCAT(_xlfn.XLOOKUP($A650,PROPERTIES[VEHIDCODE],PROPERTIES[REGION1]),"_",_xlfn.XLOOKUP($A650,PROPERTIES[VEHIDCODE],PROPERTIES[REGION2]),"_",_xlfn.XLOOKUP($A650,PROPERTIES[VEHIDCODE],PROPERTIES[REGION3]&amp;"_"&amp;_xlfn.XLOOKUP($A650,PROPERTIES[VEHIDCODE],PROPERTIES[REGION4])))</f>
        <v>ALL_REGION_NO_REGION_NO_REGION_NO_REGION</v>
      </c>
      <c r="G650" t="b">
        <f t="shared" si="90"/>
        <v>1</v>
      </c>
      <c r="H650" t="b">
        <f t="shared" si="97"/>
        <v>1</v>
      </c>
      <c r="I650" t="b">
        <f t="shared" si="91"/>
        <v>1</v>
      </c>
      <c r="J650" t="b">
        <f t="shared" si="98"/>
        <v>1</v>
      </c>
      <c r="K650" t="b">
        <f t="shared" si="92"/>
        <v>1</v>
      </c>
      <c r="L650" t="b">
        <f t="shared" si="93"/>
        <v>1</v>
      </c>
      <c r="M650" t="b">
        <f t="shared" si="94"/>
        <v>1</v>
      </c>
      <c r="N650" t="b">
        <f t="shared" si="95"/>
        <v>1</v>
      </c>
      <c r="O650" t="b">
        <f t="shared" si="96"/>
        <v>1</v>
      </c>
    </row>
    <row r="651" spans="1:15" x14ac:dyDescent="0.35">
      <c r="A651" t="str">
        <v>mu_MU_Cargo_Wagon_Powered</v>
      </c>
      <c r="B651" t="b" cm="1">
        <f t="array" ref="B651">_xlfn.XLOOKUP(A651,CONTROL[VEHIDCODE],PROPERTIES[EXCLUDE])</f>
        <v>0</v>
      </c>
      <c r="C651" t="b">
        <f>_xlfn.XLOOKUP(A651,CONTROL[VEHIDCODE],CONTROL[IS_WAGON_OR_COACH])</f>
        <v>1</v>
      </c>
      <c r="D651">
        <f>FLOOR(_xlfn.XLOOKUP($A651,PROPERTIES[VEHIDCODE],PROPERTIES[INTRODUCTION_YEAR]),20)</f>
        <v>1980</v>
      </c>
      <c r="E651" t="e">
        <f>_xlfn.XLOOKUP($A651,PROPERTIES[VEHIDCODE],#REF!)</f>
        <v>#REF!</v>
      </c>
      <c r="F651" s="25" t="str" cm="1">
        <f t="array" ref="F651">_xlfn.CONCAT(_xlfn.XLOOKUP($A651,PROPERTIES[VEHIDCODE],PROPERTIES[REGION1]),"_",_xlfn.XLOOKUP($A651,PROPERTIES[VEHIDCODE],PROPERTIES[REGION2]),"_",_xlfn.XLOOKUP($A651,PROPERTIES[VEHIDCODE],PROPERTIES[REGION3]&amp;"_"&amp;_xlfn.XLOOKUP($A651,PROPERTIES[VEHIDCODE],PROPERTIES[REGION4])))</f>
        <v>ALL_REGION_NO_REGION_NO_REGION_NO_REGION</v>
      </c>
      <c r="G651" t="b">
        <f t="shared" si="90"/>
        <v>1</v>
      </c>
      <c r="H651" t="b">
        <f t="shared" si="97"/>
        <v>1</v>
      </c>
      <c r="I651" t="b">
        <f t="shared" si="91"/>
        <v>1</v>
      </c>
      <c r="J651" t="b">
        <f t="shared" si="98"/>
        <v>1</v>
      </c>
      <c r="K651" t="b">
        <f t="shared" si="92"/>
        <v>1</v>
      </c>
      <c r="L651" t="b">
        <f t="shared" si="93"/>
        <v>1</v>
      </c>
      <c r="M651" t="b">
        <f t="shared" si="94"/>
        <v>1</v>
      </c>
      <c r="N651" t="b">
        <f t="shared" si="95"/>
        <v>1</v>
      </c>
      <c r="O651" t="b">
        <f t="shared" si="96"/>
        <v>1</v>
      </c>
    </row>
    <row r="652" spans="1:15" x14ac:dyDescent="0.35">
      <c r="A652" t="str">
        <v>mu_MU_Cargo_Wagon_Unpowered</v>
      </c>
      <c r="B652" t="b" cm="1">
        <f t="array" ref="B652">_xlfn.XLOOKUP(A652,CONTROL[VEHIDCODE],PROPERTIES[EXCLUDE])</f>
        <v>0</v>
      </c>
      <c r="C652" t="b">
        <f>_xlfn.XLOOKUP(A652,CONTROL[VEHIDCODE],CONTROL[IS_WAGON_OR_COACH])</f>
        <v>1</v>
      </c>
      <c r="D652">
        <f>FLOOR(_xlfn.XLOOKUP($A652,PROPERTIES[VEHIDCODE],PROPERTIES[INTRODUCTION_YEAR]),20)</f>
        <v>1980</v>
      </c>
      <c r="E652" t="e">
        <f>_xlfn.XLOOKUP($A652,PROPERTIES[VEHIDCODE],#REF!)</f>
        <v>#REF!</v>
      </c>
      <c r="F652" s="25" t="str" cm="1">
        <f t="array" ref="F652">_xlfn.CONCAT(_xlfn.XLOOKUP($A652,PROPERTIES[VEHIDCODE],PROPERTIES[REGION1]),"_",_xlfn.XLOOKUP($A652,PROPERTIES[VEHIDCODE],PROPERTIES[REGION2]),"_",_xlfn.XLOOKUP($A652,PROPERTIES[VEHIDCODE],PROPERTIES[REGION3]&amp;"_"&amp;_xlfn.XLOOKUP($A652,PROPERTIES[VEHIDCODE],PROPERTIES[REGION4])))</f>
        <v>ALL_REGION_NO_REGION_NO_REGION_NO_REGION</v>
      </c>
      <c r="G652" t="b">
        <f t="shared" si="90"/>
        <v>1</v>
      </c>
      <c r="H652" t="b">
        <f t="shared" si="97"/>
        <v>1</v>
      </c>
      <c r="I652" t="b">
        <f t="shared" si="91"/>
        <v>1</v>
      </c>
      <c r="J652" t="b">
        <f t="shared" si="98"/>
        <v>1</v>
      </c>
      <c r="K652" t="b">
        <f t="shared" si="92"/>
        <v>1</v>
      </c>
      <c r="L652" t="b">
        <f t="shared" si="93"/>
        <v>1</v>
      </c>
      <c r="M652" t="b">
        <f t="shared" si="94"/>
        <v>1</v>
      </c>
      <c r="N652" t="b">
        <f t="shared" si="95"/>
        <v>1</v>
      </c>
      <c r="O652" t="b">
        <f t="shared" si="96"/>
        <v>1</v>
      </c>
    </row>
    <row r="653" spans="1:15" x14ac:dyDescent="0.35">
      <c r="A653" t="str">
        <v>mu_MU_Wagon_Powered</v>
      </c>
      <c r="B653" t="b" cm="1">
        <f t="array" ref="B653">_xlfn.XLOOKUP(A653,CONTROL[VEHIDCODE],PROPERTIES[EXCLUDE])</f>
        <v>0</v>
      </c>
      <c r="C653" t="b">
        <f>_xlfn.XLOOKUP(A653,CONTROL[VEHIDCODE],CONTROL[IS_WAGON_OR_COACH])</f>
        <v>1</v>
      </c>
      <c r="D653">
        <f>FLOOR(_xlfn.XLOOKUP($A653,PROPERTIES[VEHIDCODE],PROPERTIES[INTRODUCTION_YEAR]),20)</f>
        <v>1900</v>
      </c>
      <c r="E653" t="e">
        <f>_xlfn.XLOOKUP($A653,PROPERTIES[VEHIDCODE],#REF!)</f>
        <v>#REF!</v>
      </c>
      <c r="F653" s="25" t="str" cm="1">
        <f t="array" ref="F653">_xlfn.CONCAT(_xlfn.XLOOKUP($A653,PROPERTIES[VEHIDCODE],PROPERTIES[REGION1]),"_",_xlfn.XLOOKUP($A653,PROPERTIES[VEHIDCODE],PROPERTIES[REGION2]),"_",_xlfn.XLOOKUP($A653,PROPERTIES[VEHIDCODE],PROPERTIES[REGION3]&amp;"_"&amp;_xlfn.XLOOKUP($A653,PROPERTIES[VEHIDCODE],PROPERTIES[REGION4])))</f>
        <v>ALL_REGION_NO_REGION_NO_REGION_NO_REGION</v>
      </c>
      <c r="G653" t="b">
        <f t="shared" si="90"/>
        <v>1</v>
      </c>
      <c r="H653" t="b">
        <f t="shared" si="97"/>
        <v>1</v>
      </c>
      <c r="I653" t="b">
        <f t="shared" si="91"/>
        <v>1</v>
      </c>
      <c r="J653" t="b">
        <f t="shared" si="98"/>
        <v>1</v>
      </c>
      <c r="K653" t="b">
        <f t="shared" si="92"/>
        <v>1</v>
      </c>
      <c r="L653" t="b">
        <f t="shared" si="93"/>
        <v>1</v>
      </c>
      <c r="M653" t="b">
        <f t="shared" si="94"/>
        <v>1</v>
      </c>
      <c r="N653" t="b">
        <f t="shared" si="95"/>
        <v>1</v>
      </c>
      <c r="O653" t="b">
        <f t="shared" si="96"/>
        <v>1</v>
      </c>
    </row>
    <row r="654" spans="1:15" x14ac:dyDescent="0.35">
      <c r="A654" t="str">
        <v>mu_MU_Wagon_Unpowered</v>
      </c>
      <c r="B654" t="b" cm="1">
        <f t="array" ref="B654">_xlfn.XLOOKUP(A654,CONTROL[VEHIDCODE],PROPERTIES[EXCLUDE])</f>
        <v>0</v>
      </c>
      <c r="C654" t="b">
        <f>_xlfn.XLOOKUP(A654,CONTROL[VEHIDCODE],CONTROL[IS_WAGON_OR_COACH])</f>
        <v>1</v>
      </c>
      <c r="D654">
        <f>FLOOR(_xlfn.XLOOKUP($A654,PROPERTIES[VEHIDCODE],PROPERTIES[INTRODUCTION_YEAR]),20)</f>
        <v>1900</v>
      </c>
      <c r="E654" t="e">
        <f>_xlfn.XLOOKUP($A654,PROPERTIES[VEHIDCODE],#REF!)</f>
        <v>#REF!</v>
      </c>
      <c r="F654" s="25" t="str" cm="1">
        <f t="array" ref="F654">_xlfn.CONCAT(_xlfn.XLOOKUP($A654,PROPERTIES[VEHIDCODE],PROPERTIES[REGION1]),"_",_xlfn.XLOOKUP($A654,PROPERTIES[VEHIDCODE],PROPERTIES[REGION2]),"_",_xlfn.XLOOKUP($A654,PROPERTIES[VEHIDCODE],PROPERTIES[REGION3]&amp;"_"&amp;_xlfn.XLOOKUP($A654,PROPERTIES[VEHIDCODE],PROPERTIES[REGION4])))</f>
        <v>ALL_REGION_NO_REGION_NO_REGION_NO_REGION</v>
      </c>
      <c r="G654" t="b">
        <f t="shared" si="90"/>
        <v>1</v>
      </c>
      <c r="H654" t="b">
        <f t="shared" si="97"/>
        <v>1</v>
      </c>
      <c r="I654" t="b">
        <f t="shared" si="91"/>
        <v>1</v>
      </c>
      <c r="J654" t="b">
        <f t="shared" si="98"/>
        <v>1</v>
      </c>
      <c r="K654" t="b">
        <f t="shared" si="92"/>
        <v>1</v>
      </c>
      <c r="L654" t="b">
        <f t="shared" si="93"/>
        <v>1</v>
      </c>
      <c r="M654" t="b">
        <f t="shared" si="94"/>
        <v>1</v>
      </c>
      <c r="N654" t="b">
        <f t="shared" si="95"/>
        <v>1</v>
      </c>
      <c r="O654" t="b">
        <f t="shared" si="96"/>
        <v>1</v>
      </c>
    </row>
    <row r="655" spans="1:15" x14ac:dyDescent="0.35">
      <c r="A655" t="str">
        <v>mu_Wagon_Gen1_Flat_Wagon</v>
      </c>
      <c r="B655" t="b" cm="1">
        <f t="array" ref="B655">_xlfn.XLOOKUP(A655,CONTROL[VEHIDCODE],PROPERTIES[EXCLUDE])</f>
        <v>0</v>
      </c>
      <c r="C655" t="b">
        <f>_xlfn.XLOOKUP(A655,CONTROL[VEHIDCODE],CONTROL[IS_WAGON_OR_COACH])</f>
        <v>1</v>
      </c>
      <c r="D655">
        <f>FLOOR(_xlfn.XLOOKUP($A655,PROPERTIES[VEHIDCODE],PROPERTIES[INTRODUCTION_YEAR]),20)</f>
        <v>1820</v>
      </c>
      <c r="E655" t="e">
        <f>_xlfn.XLOOKUP($A655,PROPERTIES[VEHIDCODE],#REF!)</f>
        <v>#REF!</v>
      </c>
      <c r="F655" s="25" t="str" cm="1">
        <f t="array" ref="F655">_xlfn.CONCAT(_xlfn.XLOOKUP($A655,PROPERTIES[VEHIDCODE],PROPERTIES[REGION1]),"_",_xlfn.XLOOKUP($A655,PROPERTIES[VEHIDCODE],PROPERTIES[REGION2]),"_",_xlfn.XLOOKUP($A655,PROPERTIES[VEHIDCODE],PROPERTIES[REGION3]&amp;"_"&amp;_xlfn.XLOOKUP($A655,PROPERTIES[VEHIDCODE],PROPERTIES[REGION4])))</f>
        <v>ALL_REGION_NO_REGION_NO_REGION_NO_REGION</v>
      </c>
      <c r="G655" t="b">
        <f t="shared" si="90"/>
        <v>1</v>
      </c>
      <c r="H655" t="b">
        <f t="shared" si="97"/>
        <v>1</v>
      </c>
      <c r="I655" t="b">
        <f t="shared" si="91"/>
        <v>1</v>
      </c>
      <c r="J655" t="b">
        <f t="shared" si="98"/>
        <v>1</v>
      </c>
      <c r="K655" t="b">
        <f t="shared" si="92"/>
        <v>1</v>
      </c>
      <c r="L655" t="b">
        <f t="shared" si="93"/>
        <v>1</v>
      </c>
      <c r="M655" t="b">
        <f t="shared" si="94"/>
        <v>1</v>
      </c>
      <c r="N655" t="b">
        <f t="shared" si="95"/>
        <v>1</v>
      </c>
      <c r="O655" t="b">
        <f t="shared" si="96"/>
        <v>1</v>
      </c>
    </row>
    <row r="656" spans="1:15" x14ac:dyDescent="0.35">
      <c r="A656" t="str">
        <v>mu_Wagon_Gen1_Boxcar</v>
      </c>
      <c r="B656" t="b" cm="1">
        <f t="array" ref="B656">_xlfn.XLOOKUP(A656,CONTROL[VEHIDCODE],PROPERTIES[EXCLUDE])</f>
        <v>0</v>
      </c>
      <c r="C656" t="b">
        <f>_xlfn.XLOOKUP(A656,CONTROL[VEHIDCODE],CONTROL[IS_WAGON_OR_COACH])</f>
        <v>1</v>
      </c>
      <c r="D656">
        <f>FLOOR(_xlfn.XLOOKUP($A656,PROPERTIES[VEHIDCODE],PROPERTIES[INTRODUCTION_YEAR]),20)</f>
        <v>1820</v>
      </c>
      <c r="E656" t="e">
        <f>_xlfn.XLOOKUP($A656,PROPERTIES[VEHIDCODE],#REF!)</f>
        <v>#REF!</v>
      </c>
      <c r="F656" s="25" t="str" cm="1">
        <f t="array" ref="F656">_xlfn.CONCAT(_xlfn.XLOOKUP($A656,PROPERTIES[VEHIDCODE],PROPERTIES[REGION1]),"_",_xlfn.XLOOKUP($A656,PROPERTIES[VEHIDCODE],PROPERTIES[REGION2]),"_",_xlfn.XLOOKUP($A656,PROPERTIES[VEHIDCODE],PROPERTIES[REGION3]&amp;"_"&amp;_xlfn.XLOOKUP($A656,PROPERTIES[VEHIDCODE],PROPERTIES[REGION4])))</f>
        <v>ALL_REGION_NO_REGION_NO_REGION_NO_REGION</v>
      </c>
      <c r="G656" t="b">
        <f t="shared" si="90"/>
        <v>1</v>
      </c>
      <c r="H656" t="b">
        <f t="shared" si="97"/>
        <v>1</v>
      </c>
      <c r="I656" t="b">
        <f t="shared" si="91"/>
        <v>1</v>
      </c>
      <c r="J656" t="b">
        <f t="shared" si="98"/>
        <v>1</v>
      </c>
      <c r="K656" t="b">
        <f t="shared" si="92"/>
        <v>1</v>
      </c>
      <c r="L656" t="b">
        <f t="shared" si="93"/>
        <v>1</v>
      </c>
      <c r="M656" t="b">
        <f t="shared" si="94"/>
        <v>1</v>
      </c>
      <c r="N656" t="b">
        <f t="shared" si="95"/>
        <v>1</v>
      </c>
      <c r="O656" t="b">
        <f t="shared" si="96"/>
        <v>1</v>
      </c>
    </row>
    <row r="657" spans="1:15" x14ac:dyDescent="0.35">
      <c r="A657" t="str">
        <v>mu_Wagon_Gen1_Tanker</v>
      </c>
      <c r="B657" t="b" cm="1">
        <f t="array" ref="B657">_xlfn.XLOOKUP(A657,CONTROL[VEHIDCODE],PROPERTIES[EXCLUDE])</f>
        <v>0</v>
      </c>
      <c r="C657" t="b">
        <f>_xlfn.XLOOKUP(A657,CONTROL[VEHIDCODE],CONTROL[IS_WAGON_OR_COACH])</f>
        <v>1</v>
      </c>
      <c r="D657">
        <f>FLOOR(_xlfn.XLOOKUP($A657,PROPERTIES[VEHIDCODE],PROPERTIES[INTRODUCTION_YEAR]),20)</f>
        <v>1820</v>
      </c>
      <c r="E657" t="e">
        <f>_xlfn.XLOOKUP($A657,PROPERTIES[VEHIDCODE],#REF!)</f>
        <v>#REF!</v>
      </c>
      <c r="F657" s="25" t="str" cm="1">
        <f t="array" ref="F657">_xlfn.CONCAT(_xlfn.XLOOKUP($A657,PROPERTIES[VEHIDCODE],PROPERTIES[REGION1]),"_",_xlfn.XLOOKUP($A657,PROPERTIES[VEHIDCODE],PROPERTIES[REGION2]),"_",_xlfn.XLOOKUP($A657,PROPERTIES[VEHIDCODE],PROPERTIES[REGION3]&amp;"_"&amp;_xlfn.XLOOKUP($A657,PROPERTIES[VEHIDCODE],PROPERTIES[REGION4])))</f>
        <v>ALL_REGION_NO_REGION_NO_REGION_NO_REGION</v>
      </c>
      <c r="G657" t="b">
        <f t="shared" si="90"/>
        <v>1</v>
      </c>
      <c r="H657" t="b">
        <f t="shared" si="97"/>
        <v>1</v>
      </c>
      <c r="I657" t="b">
        <f t="shared" si="91"/>
        <v>1</v>
      </c>
      <c r="J657" t="b">
        <f t="shared" si="98"/>
        <v>1</v>
      </c>
      <c r="K657" t="b">
        <f t="shared" si="92"/>
        <v>1</v>
      </c>
      <c r="L657" t="b">
        <f t="shared" si="93"/>
        <v>1</v>
      </c>
      <c r="M657" t="b">
        <f t="shared" si="94"/>
        <v>1</v>
      </c>
      <c r="N657" t="b">
        <f t="shared" si="95"/>
        <v>1</v>
      </c>
      <c r="O657" t="b">
        <f t="shared" si="96"/>
        <v>1</v>
      </c>
    </row>
    <row r="658" spans="1:15" x14ac:dyDescent="0.35">
      <c r="A658" t="str">
        <v>mu_Wagon_Gen1_Open_Wagon</v>
      </c>
      <c r="B658" t="b" cm="1">
        <f t="array" ref="B658">_xlfn.XLOOKUP(A658,CONTROL[VEHIDCODE],PROPERTIES[EXCLUDE])</f>
        <v>0</v>
      </c>
      <c r="C658" t="b">
        <f>_xlfn.XLOOKUP(A658,CONTROL[VEHIDCODE],CONTROL[IS_WAGON_OR_COACH])</f>
        <v>1</v>
      </c>
      <c r="D658">
        <f>FLOOR(_xlfn.XLOOKUP($A658,PROPERTIES[VEHIDCODE],PROPERTIES[INTRODUCTION_YEAR]),20)</f>
        <v>1820</v>
      </c>
      <c r="E658" t="e">
        <f>_xlfn.XLOOKUP($A658,PROPERTIES[VEHIDCODE],#REF!)</f>
        <v>#REF!</v>
      </c>
      <c r="F658" s="25" t="str" cm="1">
        <f t="array" ref="F658">_xlfn.CONCAT(_xlfn.XLOOKUP($A658,PROPERTIES[VEHIDCODE],PROPERTIES[REGION1]),"_",_xlfn.XLOOKUP($A658,PROPERTIES[VEHIDCODE],PROPERTIES[REGION2]),"_",_xlfn.XLOOKUP($A658,PROPERTIES[VEHIDCODE],PROPERTIES[REGION3]&amp;"_"&amp;_xlfn.XLOOKUP($A658,PROPERTIES[VEHIDCODE],PROPERTIES[REGION4])))</f>
        <v>ALL_REGION_NO_REGION_NO_REGION_NO_REGION</v>
      </c>
      <c r="G658" t="b">
        <f t="shared" si="90"/>
        <v>1</v>
      </c>
      <c r="H658" t="b">
        <f t="shared" si="97"/>
        <v>1</v>
      </c>
      <c r="I658" t="b">
        <f t="shared" si="91"/>
        <v>1</v>
      </c>
      <c r="J658" t="b">
        <f t="shared" si="98"/>
        <v>1</v>
      </c>
      <c r="K658" t="b">
        <f t="shared" si="92"/>
        <v>1</v>
      </c>
      <c r="L658" t="b">
        <f t="shared" si="93"/>
        <v>1</v>
      </c>
      <c r="M658" t="b">
        <f t="shared" si="94"/>
        <v>1</v>
      </c>
      <c r="N658" t="b">
        <f t="shared" si="95"/>
        <v>1</v>
      </c>
      <c r="O658" t="b">
        <f t="shared" si="96"/>
        <v>1</v>
      </c>
    </row>
    <row r="659" spans="1:15" x14ac:dyDescent="0.35">
      <c r="A659" t="str">
        <v>mu_Wagon_Gen2_Flat_Wagon</v>
      </c>
      <c r="B659" t="b" cm="1">
        <f t="array" ref="B659">_xlfn.XLOOKUP(A659,CONTROL[VEHIDCODE],PROPERTIES[EXCLUDE])</f>
        <v>0</v>
      </c>
      <c r="C659" t="b">
        <f>_xlfn.XLOOKUP(A659,CONTROL[VEHIDCODE],CONTROL[IS_WAGON_OR_COACH])</f>
        <v>1</v>
      </c>
      <c r="D659">
        <f>FLOOR(_xlfn.XLOOKUP($A659,PROPERTIES[VEHIDCODE],PROPERTIES[INTRODUCTION_YEAR]),20)</f>
        <v>1900</v>
      </c>
      <c r="E659" t="e">
        <f>_xlfn.XLOOKUP($A659,PROPERTIES[VEHIDCODE],#REF!)</f>
        <v>#REF!</v>
      </c>
      <c r="F659" s="25" t="str" cm="1">
        <f t="array" ref="F659">_xlfn.CONCAT(_xlfn.XLOOKUP($A659,PROPERTIES[VEHIDCODE],PROPERTIES[REGION1]),"_",_xlfn.XLOOKUP($A659,PROPERTIES[VEHIDCODE],PROPERTIES[REGION2]),"_",_xlfn.XLOOKUP($A659,PROPERTIES[VEHIDCODE],PROPERTIES[REGION3]&amp;"_"&amp;_xlfn.XLOOKUP($A659,PROPERTIES[VEHIDCODE],PROPERTIES[REGION4])))</f>
        <v>ALL_REGION_NO_REGION_NO_REGION_NO_REGION</v>
      </c>
      <c r="G659" t="b">
        <f t="shared" si="90"/>
        <v>1</v>
      </c>
      <c r="H659" t="b">
        <f t="shared" si="97"/>
        <v>1</v>
      </c>
      <c r="I659" t="b">
        <f t="shared" si="91"/>
        <v>1</v>
      </c>
      <c r="J659" t="b">
        <f t="shared" si="98"/>
        <v>1</v>
      </c>
      <c r="K659" t="b">
        <f t="shared" si="92"/>
        <v>1</v>
      </c>
      <c r="L659" t="b">
        <f t="shared" si="93"/>
        <v>1</v>
      </c>
      <c r="M659" t="b">
        <f t="shared" si="94"/>
        <v>1</v>
      </c>
      <c r="N659" t="b">
        <f t="shared" si="95"/>
        <v>1</v>
      </c>
      <c r="O659" t="b">
        <f t="shared" si="96"/>
        <v>1</v>
      </c>
    </row>
    <row r="660" spans="1:15" x14ac:dyDescent="0.35">
      <c r="A660" t="str">
        <v>mu_Wagon_Gen2_Boxcar_Type1</v>
      </c>
      <c r="B660" t="b" cm="1">
        <f t="array" ref="B660">_xlfn.XLOOKUP(A660,CONTROL[VEHIDCODE],PROPERTIES[EXCLUDE])</f>
        <v>0</v>
      </c>
      <c r="C660" t="b">
        <f>_xlfn.XLOOKUP(A660,CONTROL[VEHIDCODE],CONTROL[IS_WAGON_OR_COACH])</f>
        <v>1</v>
      </c>
      <c r="D660">
        <f>FLOOR(_xlfn.XLOOKUP($A660,PROPERTIES[VEHIDCODE],PROPERTIES[INTRODUCTION_YEAR]),20)</f>
        <v>1880</v>
      </c>
      <c r="E660" t="e">
        <f>_xlfn.XLOOKUP($A660,PROPERTIES[VEHIDCODE],#REF!)</f>
        <v>#REF!</v>
      </c>
      <c r="F660" s="25" t="str" cm="1">
        <f t="array" ref="F660">_xlfn.CONCAT(_xlfn.XLOOKUP($A660,PROPERTIES[VEHIDCODE],PROPERTIES[REGION1]),"_",_xlfn.XLOOKUP($A660,PROPERTIES[VEHIDCODE],PROPERTIES[REGION2]),"_",_xlfn.XLOOKUP($A660,PROPERTIES[VEHIDCODE],PROPERTIES[REGION3]&amp;"_"&amp;_xlfn.XLOOKUP($A660,PROPERTIES[VEHIDCODE],PROPERTIES[REGION4])))</f>
        <v>ALL_REGION_NO_REGION_NO_REGION_NO_REGION</v>
      </c>
      <c r="G660" t="b">
        <f t="shared" si="90"/>
        <v>1</v>
      </c>
      <c r="H660" t="b">
        <f t="shared" si="97"/>
        <v>1</v>
      </c>
      <c r="I660" t="b">
        <f t="shared" si="91"/>
        <v>1</v>
      </c>
      <c r="J660" t="b">
        <f t="shared" si="98"/>
        <v>1</v>
      </c>
      <c r="K660" t="b">
        <f t="shared" si="92"/>
        <v>1</v>
      </c>
      <c r="L660" t="b">
        <f t="shared" si="93"/>
        <v>1</v>
      </c>
      <c r="M660" t="b">
        <f t="shared" si="94"/>
        <v>1</v>
      </c>
      <c r="N660" t="b">
        <f t="shared" si="95"/>
        <v>1</v>
      </c>
      <c r="O660" t="b">
        <f t="shared" si="96"/>
        <v>1</v>
      </c>
    </row>
    <row r="661" spans="1:15" x14ac:dyDescent="0.35">
      <c r="A661" t="str">
        <v>mu_Wagon_Gen2_Boxcar_Type2</v>
      </c>
      <c r="B661" t="b" cm="1">
        <f t="array" ref="B661">_xlfn.XLOOKUP(A661,CONTROL[VEHIDCODE],PROPERTIES[EXCLUDE])</f>
        <v>0</v>
      </c>
      <c r="C661" t="b">
        <f>_xlfn.XLOOKUP(A661,CONTROL[VEHIDCODE],CONTROL[IS_WAGON_OR_COACH])</f>
        <v>1</v>
      </c>
      <c r="D661">
        <f>FLOOR(_xlfn.XLOOKUP($A661,PROPERTIES[VEHIDCODE],PROPERTIES[INTRODUCTION_YEAR]),20)</f>
        <v>1880</v>
      </c>
      <c r="E661" t="e">
        <f>_xlfn.XLOOKUP($A661,PROPERTIES[VEHIDCODE],#REF!)</f>
        <v>#REF!</v>
      </c>
      <c r="F661" s="25" t="str" cm="1">
        <f t="array" ref="F661">_xlfn.CONCAT(_xlfn.XLOOKUP($A661,PROPERTIES[VEHIDCODE],PROPERTIES[REGION1]),"_",_xlfn.XLOOKUP($A661,PROPERTIES[VEHIDCODE],PROPERTIES[REGION2]),"_",_xlfn.XLOOKUP($A661,PROPERTIES[VEHIDCODE],PROPERTIES[REGION3]&amp;"_"&amp;_xlfn.XLOOKUP($A661,PROPERTIES[VEHIDCODE],PROPERTIES[REGION4])))</f>
        <v>ALL_REGION_NO_REGION_NO_REGION_NO_REGION</v>
      </c>
      <c r="G661" t="b">
        <f t="shared" si="90"/>
        <v>1</v>
      </c>
      <c r="H661" t="b">
        <f t="shared" si="97"/>
        <v>1</v>
      </c>
      <c r="I661" t="b">
        <f t="shared" si="91"/>
        <v>1</v>
      </c>
      <c r="J661" t="b">
        <f t="shared" si="98"/>
        <v>1</v>
      </c>
      <c r="K661" t="b">
        <f t="shared" si="92"/>
        <v>1</v>
      </c>
      <c r="L661" t="b">
        <f t="shared" si="93"/>
        <v>1</v>
      </c>
      <c r="M661" t="b">
        <f t="shared" si="94"/>
        <v>1</v>
      </c>
      <c r="N661" t="b">
        <f t="shared" si="95"/>
        <v>1</v>
      </c>
      <c r="O661" t="b">
        <f t="shared" si="96"/>
        <v>1</v>
      </c>
    </row>
    <row r="662" spans="1:15" x14ac:dyDescent="0.35">
      <c r="A662" t="str">
        <v>mu_Wagon_Gen2_Tanker</v>
      </c>
      <c r="B662" t="b" cm="1">
        <f t="array" ref="B662">_xlfn.XLOOKUP(A662,CONTROL[VEHIDCODE],PROPERTIES[EXCLUDE])</f>
        <v>0</v>
      </c>
      <c r="C662" t="b">
        <f>_xlfn.XLOOKUP(A662,CONTROL[VEHIDCODE],CONTROL[IS_WAGON_OR_COACH])</f>
        <v>1</v>
      </c>
      <c r="D662">
        <f>FLOOR(_xlfn.XLOOKUP($A662,PROPERTIES[VEHIDCODE],PROPERTIES[INTRODUCTION_YEAR]),20)</f>
        <v>1900</v>
      </c>
      <c r="E662" t="e">
        <f>_xlfn.XLOOKUP($A662,PROPERTIES[VEHIDCODE],#REF!)</f>
        <v>#REF!</v>
      </c>
      <c r="F662" s="25" t="str" cm="1">
        <f t="array" ref="F662">_xlfn.CONCAT(_xlfn.XLOOKUP($A662,PROPERTIES[VEHIDCODE],PROPERTIES[REGION1]),"_",_xlfn.XLOOKUP($A662,PROPERTIES[VEHIDCODE],PROPERTIES[REGION2]),"_",_xlfn.XLOOKUP($A662,PROPERTIES[VEHIDCODE],PROPERTIES[REGION3]&amp;"_"&amp;_xlfn.XLOOKUP($A662,PROPERTIES[VEHIDCODE],PROPERTIES[REGION4])))</f>
        <v>ALL_REGION_NO_REGION_NO_REGION_NO_REGION</v>
      </c>
      <c r="G662" t="b">
        <f t="shared" si="90"/>
        <v>1</v>
      </c>
      <c r="H662" t="b">
        <f t="shared" si="97"/>
        <v>1</v>
      </c>
      <c r="I662" t="b">
        <f t="shared" si="91"/>
        <v>1</v>
      </c>
      <c r="J662" t="b">
        <f t="shared" si="98"/>
        <v>1</v>
      </c>
      <c r="K662" t="b">
        <f t="shared" si="92"/>
        <v>1</v>
      </c>
      <c r="L662" t="b">
        <f t="shared" si="93"/>
        <v>1</v>
      </c>
      <c r="M662" t="b">
        <f t="shared" si="94"/>
        <v>1</v>
      </c>
      <c r="N662" t="b">
        <f t="shared" si="95"/>
        <v>1</v>
      </c>
      <c r="O662" t="b">
        <f t="shared" si="96"/>
        <v>1</v>
      </c>
    </row>
    <row r="663" spans="1:15" x14ac:dyDescent="0.35">
      <c r="A663" t="str">
        <v>mu_Wagon_Gen2_Open_Wagon</v>
      </c>
      <c r="B663" t="b" cm="1">
        <f t="array" ref="B663">_xlfn.XLOOKUP(A663,CONTROL[VEHIDCODE],PROPERTIES[EXCLUDE])</f>
        <v>0</v>
      </c>
      <c r="C663" t="b">
        <f>_xlfn.XLOOKUP(A663,CONTROL[VEHIDCODE],CONTROL[IS_WAGON_OR_COACH])</f>
        <v>1</v>
      </c>
      <c r="D663">
        <f>FLOOR(_xlfn.XLOOKUP($A663,PROPERTIES[VEHIDCODE],PROPERTIES[INTRODUCTION_YEAR]),20)</f>
        <v>1880</v>
      </c>
      <c r="E663" t="e">
        <f>_xlfn.XLOOKUP($A663,PROPERTIES[VEHIDCODE],#REF!)</f>
        <v>#REF!</v>
      </c>
      <c r="F663" s="25" t="str" cm="1">
        <f t="array" ref="F663">_xlfn.CONCAT(_xlfn.XLOOKUP($A663,PROPERTIES[VEHIDCODE],PROPERTIES[REGION1]),"_",_xlfn.XLOOKUP($A663,PROPERTIES[VEHIDCODE],PROPERTIES[REGION2]),"_",_xlfn.XLOOKUP($A663,PROPERTIES[VEHIDCODE],PROPERTIES[REGION3]&amp;"_"&amp;_xlfn.XLOOKUP($A663,PROPERTIES[VEHIDCODE],PROPERTIES[REGION4])))</f>
        <v>ALL_REGION_NO_REGION_NO_REGION_NO_REGION</v>
      </c>
      <c r="G663" t="b">
        <f t="shared" si="90"/>
        <v>1</v>
      </c>
      <c r="H663" t="b">
        <f t="shared" si="97"/>
        <v>1</v>
      </c>
      <c r="I663" t="b">
        <f t="shared" si="91"/>
        <v>1</v>
      </c>
      <c r="J663" t="b">
        <f t="shared" si="98"/>
        <v>1</v>
      </c>
      <c r="K663" t="b">
        <f t="shared" si="92"/>
        <v>1</v>
      </c>
      <c r="L663" t="b">
        <f t="shared" si="93"/>
        <v>1</v>
      </c>
      <c r="M663" t="b">
        <f t="shared" si="94"/>
        <v>1</v>
      </c>
      <c r="N663" t="b">
        <f t="shared" si="95"/>
        <v>1</v>
      </c>
      <c r="O663" t="b">
        <f t="shared" si="96"/>
        <v>1</v>
      </c>
    </row>
    <row r="664" spans="1:15" x14ac:dyDescent="0.35">
      <c r="A664" t="str">
        <v>mu_Wagon_Gen2_Silo</v>
      </c>
      <c r="B664" t="b" cm="1">
        <f t="array" ref="B664">_xlfn.XLOOKUP(A664,CONTROL[VEHIDCODE],PROPERTIES[EXCLUDE])</f>
        <v>0</v>
      </c>
      <c r="C664" t="b">
        <f>_xlfn.XLOOKUP(A664,CONTROL[VEHIDCODE],CONTROL[IS_WAGON_OR_COACH])</f>
        <v>1</v>
      </c>
      <c r="D664">
        <f>FLOOR(_xlfn.XLOOKUP($A664,PROPERTIES[VEHIDCODE],PROPERTIES[INTRODUCTION_YEAR]),20)</f>
        <v>1900</v>
      </c>
      <c r="E664" t="e">
        <f>_xlfn.XLOOKUP($A664,PROPERTIES[VEHIDCODE],#REF!)</f>
        <v>#REF!</v>
      </c>
      <c r="F664" s="25" t="str" cm="1">
        <f t="array" ref="F664">_xlfn.CONCAT(_xlfn.XLOOKUP($A664,PROPERTIES[VEHIDCODE],PROPERTIES[REGION1]),"_",_xlfn.XLOOKUP($A664,PROPERTIES[VEHIDCODE],PROPERTIES[REGION2]),"_",_xlfn.XLOOKUP($A664,PROPERTIES[VEHIDCODE],PROPERTIES[REGION3]&amp;"_"&amp;_xlfn.XLOOKUP($A664,PROPERTIES[VEHIDCODE],PROPERTIES[REGION4])))</f>
        <v>ALL_REGION_NO_REGION_NO_REGION_NO_REGION</v>
      </c>
      <c r="G664" t="b">
        <f t="shared" si="90"/>
        <v>1</v>
      </c>
      <c r="H664" t="b">
        <f t="shared" si="97"/>
        <v>1</v>
      </c>
      <c r="I664" t="b">
        <f t="shared" si="91"/>
        <v>1</v>
      </c>
      <c r="J664" t="b">
        <f t="shared" si="98"/>
        <v>1</v>
      </c>
      <c r="K664" t="b">
        <f t="shared" si="92"/>
        <v>1</v>
      </c>
      <c r="L664" t="b">
        <f t="shared" si="93"/>
        <v>1</v>
      </c>
      <c r="M664" t="b">
        <f t="shared" si="94"/>
        <v>1</v>
      </c>
      <c r="N664" t="b">
        <f t="shared" si="95"/>
        <v>1</v>
      </c>
      <c r="O664" t="b">
        <f t="shared" si="96"/>
        <v>1</v>
      </c>
    </row>
    <row r="665" spans="1:15" x14ac:dyDescent="0.35">
      <c r="A665" t="str">
        <v>mu_Wagon_Gen2_Hopper</v>
      </c>
      <c r="B665" t="b" cm="1">
        <f t="array" ref="B665">_xlfn.XLOOKUP(A665,CONTROL[VEHIDCODE],PROPERTIES[EXCLUDE])</f>
        <v>0</v>
      </c>
      <c r="C665" t="b">
        <f>_xlfn.XLOOKUP(A665,CONTROL[VEHIDCODE],CONTROL[IS_WAGON_OR_COACH])</f>
        <v>1</v>
      </c>
      <c r="D665">
        <f>FLOOR(_xlfn.XLOOKUP($A665,PROPERTIES[VEHIDCODE],PROPERTIES[INTRODUCTION_YEAR]),20)</f>
        <v>1880</v>
      </c>
      <c r="E665" t="e">
        <f>_xlfn.XLOOKUP($A665,PROPERTIES[VEHIDCODE],#REF!)</f>
        <v>#REF!</v>
      </c>
      <c r="F665" s="25" t="str" cm="1">
        <f t="array" ref="F665">_xlfn.CONCAT(_xlfn.XLOOKUP($A665,PROPERTIES[VEHIDCODE],PROPERTIES[REGION1]),"_",_xlfn.XLOOKUP($A665,PROPERTIES[VEHIDCODE],PROPERTIES[REGION2]),"_",_xlfn.XLOOKUP($A665,PROPERTIES[VEHIDCODE],PROPERTIES[REGION3]&amp;"_"&amp;_xlfn.XLOOKUP($A665,PROPERTIES[VEHIDCODE],PROPERTIES[REGION4])))</f>
        <v>ALL_REGION_NO_REGION_NO_REGION_NO_REGION</v>
      </c>
      <c r="G665" t="b">
        <f t="shared" si="90"/>
        <v>1</v>
      </c>
      <c r="H665" t="b">
        <f t="shared" si="97"/>
        <v>1</v>
      </c>
      <c r="I665" t="b">
        <f t="shared" si="91"/>
        <v>1</v>
      </c>
      <c r="J665" t="b">
        <f t="shared" si="98"/>
        <v>1</v>
      </c>
      <c r="K665" t="b">
        <f t="shared" si="92"/>
        <v>1</v>
      </c>
      <c r="L665" t="b">
        <f t="shared" si="93"/>
        <v>1</v>
      </c>
      <c r="M665" t="b">
        <f t="shared" si="94"/>
        <v>1</v>
      </c>
      <c r="N665" t="b">
        <f t="shared" si="95"/>
        <v>1</v>
      </c>
      <c r="O665" t="b">
        <f t="shared" si="96"/>
        <v>1</v>
      </c>
    </row>
    <row r="666" spans="1:15" x14ac:dyDescent="0.35">
      <c r="A666" t="str">
        <v>mu_Wagon_Gen3_Flat_Wagon</v>
      </c>
      <c r="B666" t="b" cm="1">
        <f t="array" ref="B666">_xlfn.XLOOKUP(A666,CONTROL[VEHIDCODE],PROPERTIES[EXCLUDE])</f>
        <v>0</v>
      </c>
      <c r="C666" t="b">
        <f>_xlfn.XLOOKUP(A666,CONTROL[VEHIDCODE],CONTROL[IS_WAGON_OR_COACH])</f>
        <v>1</v>
      </c>
      <c r="D666">
        <f>FLOOR(_xlfn.XLOOKUP($A666,PROPERTIES[VEHIDCODE],PROPERTIES[INTRODUCTION_YEAR]),20)</f>
        <v>1920</v>
      </c>
      <c r="E666" t="e">
        <f>_xlfn.XLOOKUP($A666,PROPERTIES[VEHIDCODE],#REF!)</f>
        <v>#REF!</v>
      </c>
      <c r="F666" s="25" t="str" cm="1">
        <f t="array" ref="F666">_xlfn.CONCAT(_xlfn.XLOOKUP($A666,PROPERTIES[VEHIDCODE],PROPERTIES[REGION1]),"_",_xlfn.XLOOKUP($A666,PROPERTIES[VEHIDCODE],PROPERTIES[REGION2]),"_",_xlfn.XLOOKUP($A666,PROPERTIES[VEHIDCODE],PROPERTIES[REGION3]&amp;"_"&amp;_xlfn.XLOOKUP($A666,PROPERTIES[VEHIDCODE],PROPERTIES[REGION4])))</f>
        <v>ALL_REGION_NO_REGION_NO_REGION_NO_REGION</v>
      </c>
      <c r="G666" t="b">
        <f t="shared" si="90"/>
        <v>1</v>
      </c>
      <c r="H666" t="b">
        <f t="shared" si="97"/>
        <v>1</v>
      </c>
      <c r="I666" t="b">
        <f t="shared" si="91"/>
        <v>1</v>
      </c>
      <c r="J666" t="b">
        <f t="shared" si="98"/>
        <v>1</v>
      </c>
      <c r="K666" t="b">
        <f t="shared" si="92"/>
        <v>1</v>
      </c>
      <c r="L666" t="b">
        <f t="shared" si="93"/>
        <v>1</v>
      </c>
      <c r="M666" t="b">
        <f t="shared" si="94"/>
        <v>1</v>
      </c>
      <c r="N666" t="b">
        <f t="shared" si="95"/>
        <v>1</v>
      </c>
      <c r="O666" t="b">
        <f t="shared" si="96"/>
        <v>1</v>
      </c>
    </row>
    <row r="667" spans="1:15" x14ac:dyDescent="0.35">
      <c r="A667" t="str">
        <v>mu_Wagon_Gen3_Boxcar_Type1</v>
      </c>
      <c r="B667" t="b" cm="1">
        <f t="array" ref="B667">_xlfn.XLOOKUP(A667,CONTROL[VEHIDCODE],PROPERTIES[EXCLUDE])</f>
        <v>0</v>
      </c>
      <c r="C667" t="b">
        <f>_xlfn.XLOOKUP(A667,CONTROL[VEHIDCODE],CONTROL[IS_WAGON_OR_COACH])</f>
        <v>1</v>
      </c>
      <c r="D667">
        <f>FLOOR(_xlfn.XLOOKUP($A667,PROPERTIES[VEHIDCODE],PROPERTIES[INTRODUCTION_YEAR]),20)</f>
        <v>1920</v>
      </c>
      <c r="E667" t="e">
        <f>_xlfn.XLOOKUP($A667,PROPERTIES[VEHIDCODE],#REF!)</f>
        <v>#REF!</v>
      </c>
      <c r="F667" s="25" t="str" cm="1">
        <f t="array" ref="F667">_xlfn.CONCAT(_xlfn.XLOOKUP($A667,PROPERTIES[VEHIDCODE],PROPERTIES[REGION1]),"_",_xlfn.XLOOKUP($A667,PROPERTIES[VEHIDCODE],PROPERTIES[REGION2]),"_",_xlfn.XLOOKUP($A667,PROPERTIES[VEHIDCODE],PROPERTIES[REGION3]&amp;"_"&amp;_xlfn.XLOOKUP($A667,PROPERTIES[VEHIDCODE],PROPERTIES[REGION4])))</f>
        <v>ALL_REGION_NO_REGION_NO_REGION_NO_REGION</v>
      </c>
      <c r="G667" t="b">
        <f t="shared" si="90"/>
        <v>1</v>
      </c>
      <c r="H667" t="b">
        <f t="shared" si="97"/>
        <v>1</v>
      </c>
      <c r="I667" t="b">
        <f t="shared" si="91"/>
        <v>1</v>
      </c>
      <c r="J667" t="b">
        <f t="shared" si="98"/>
        <v>1</v>
      </c>
      <c r="K667" t="b">
        <f t="shared" si="92"/>
        <v>1</v>
      </c>
      <c r="L667" t="b">
        <f t="shared" si="93"/>
        <v>1</v>
      </c>
      <c r="M667" t="b">
        <f t="shared" si="94"/>
        <v>1</v>
      </c>
      <c r="N667" t="b">
        <f t="shared" si="95"/>
        <v>1</v>
      </c>
      <c r="O667" t="b">
        <f t="shared" si="96"/>
        <v>1</v>
      </c>
    </row>
    <row r="668" spans="1:15" x14ac:dyDescent="0.35">
      <c r="A668" t="str">
        <v>mu_Wagon_Gen3_Boxcar_Type2</v>
      </c>
      <c r="B668" t="b" cm="1">
        <f t="array" ref="B668">_xlfn.XLOOKUP(A668,CONTROL[VEHIDCODE],PROPERTIES[EXCLUDE])</f>
        <v>0</v>
      </c>
      <c r="C668" t="b">
        <f>_xlfn.XLOOKUP(A668,CONTROL[VEHIDCODE],CONTROL[IS_WAGON_OR_COACH])</f>
        <v>1</v>
      </c>
      <c r="D668">
        <f>FLOOR(_xlfn.XLOOKUP($A668,PROPERTIES[VEHIDCODE],PROPERTIES[INTRODUCTION_YEAR]),20)</f>
        <v>1920</v>
      </c>
      <c r="E668" t="e">
        <f>_xlfn.XLOOKUP($A668,PROPERTIES[VEHIDCODE],#REF!)</f>
        <v>#REF!</v>
      </c>
      <c r="F668" s="25" t="str" cm="1">
        <f t="array" ref="F668">_xlfn.CONCAT(_xlfn.XLOOKUP($A668,PROPERTIES[VEHIDCODE],PROPERTIES[REGION1]),"_",_xlfn.XLOOKUP($A668,PROPERTIES[VEHIDCODE],PROPERTIES[REGION2]),"_",_xlfn.XLOOKUP($A668,PROPERTIES[VEHIDCODE],PROPERTIES[REGION3]&amp;"_"&amp;_xlfn.XLOOKUP($A668,PROPERTIES[VEHIDCODE],PROPERTIES[REGION4])))</f>
        <v>ALL_REGION_NO_REGION_NO_REGION_NO_REGION</v>
      </c>
      <c r="G668" t="b">
        <f t="shared" si="90"/>
        <v>1</v>
      </c>
      <c r="H668" t="b">
        <f t="shared" si="97"/>
        <v>1</v>
      </c>
      <c r="I668" t="b">
        <f t="shared" si="91"/>
        <v>1</v>
      </c>
      <c r="J668" t="b">
        <f t="shared" si="98"/>
        <v>1</v>
      </c>
      <c r="K668" t="b">
        <f t="shared" si="92"/>
        <v>1</v>
      </c>
      <c r="L668" t="b">
        <f t="shared" si="93"/>
        <v>1</v>
      </c>
      <c r="M668" t="b">
        <f t="shared" si="94"/>
        <v>1</v>
      </c>
      <c r="N668" t="b">
        <f t="shared" si="95"/>
        <v>1</v>
      </c>
      <c r="O668" t="b">
        <f t="shared" si="96"/>
        <v>1</v>
      </c>
    </row>
    <row r="669" spans="1:15" x14ac:dyDescent="0.35">
      <c r="A669" t="str">
        <v>mu_Wagon_Gen3_Tanker</v>
      </c>
      <c r="B669" t="b" cm="1">
        <f t="array" ref="B669">_xlfn.XLOOKUP(A669,CONTROL[VEHIDCODE],PROPERTIES[EXCLUDE])</f>
        <v>0</v>
      </c>
      <c r="C669" t="b">
        <f>_xlfn.XLOOKUP(A669,CONTROL[VEHIDCODE],CONTROL[IS_WAGON_OR_COACH])</f>
        <v>1</v>
      </c>
      <c r="D669">
        <f>FLOOR(_xlfn.XLOOKUP($A669,PROPERTIES[VEHIDCODE],PROPERTIES[INTRODUCTION_YEAR]),20)</f>
        <v>1920</v>
      </c>
      <c r="E669" t="e">
        <f>_xlfn.XLOOKUP($A669,PROPERTIES[VEHIDCODE],#REF!)</f>
        <v>#REF!</v>
      </c>
      <c r="F669" s="25" t="str" cm="1">
        <f t="array" ref="F669">_xlfn.CONCAT(_xlfn.XLOOKUP($A669,PROPERTIES[VEHIDCODE],PROPERTIES[REGION1]),"_",_xlfn.XLOOKUP($A669,PROPERTIES[VEHIDCODE],PROPERTIES[REGION2]),"_",_xlfn.XLOOKUP($A669,PROPERTIES[VEHIDCODE],PROPERTIES[REGION3]&amp;"_"&amp;_xlfn.XLOOKUP($A669,PROPERTIES[VEHIDCODE],PROPERTIES[REGION4])))</f>
        <v>ALL_REGION_NO_REGION_NO_REGION_NO_REGION</v>
      </c>
      <c r="G669" t="b">
        <f t="shared" si="90"/>
        <v>1</v>
      </c>
      <c r="H669" t="b">
        <f t="shared" si="97"/>
        <v>1</v>
      </c>
      <c r="I669" t="b">
        <f t="shared" si="91"/>
        <v>1</v>
      </c>
      <c r="J669" t="b">
        <f t="shared" si="98"/>
        <v>1</v>
      </c>
      <c r="K669" t="b">
        <f t="shared" si="92"/>
        <v>1</v>
      </c>
      <c r="L669" t="b">
        <f t="shared" si="93"/>
        <v>1</v>
      </c>
      <c r="M669" t="b">
        <f t="shared" si="94"/>
        <v>1</v>
      </c>
      <c r="N669" t="b">
        <f t="shared" si="95"/>
        <v>1</v>
      </c>
      <c r="O669" t="b">
        <f t="shared" si="96"/>
        <v>1</v>
      </c>
    </row>
    <row r="670" spans="1:15" x14ac:dyDescent="0.35">
      <c r="A670" t="str">
        <v>mu_Wagon_Gen3_Open_Wagon</v>
      </c>
      <c r="B670" t="b" cm="1">
        <f t="array" ref="B670">_xlfn.XLOOKUP(A670,CONTROL[VEHIDCODE],PROPERTIES[EXCLUDE])</f>
        <v>0</v>
      </c>
      <c r="C670" t="b">
        <f>_xlfn.XLOOKUP(A670,CONTROL[VEHIDCODE],CONTROL[IS_WAGON_OR_COACH])</f>
        <v>1</v>
      </c>
      <c r="D670">
        <f>FLOOR(_xlfn.XLOOKUP($A670,PROPERTIES[VEHIDCODE],PROPERTIES[INTRODUCTION_YEAR]),20)</f>
        <v>1920</v>
      </c>
      <c r="E670" t="e">
        <f>_xlfn.XLOOKUP($A670,PROPERTIES[VEHIDCODE],#REF!)</f>
        <v>#REF!</v>
      </c>
      <c r="F670" s="25" t="str" cm="1">
        <f t="array" ref="F670">_xlfn.CONCAT(_xlfn.XLOOKUP($A670,PROPERTIES[VEHIDCODE],PROPERTIES[REGION1]),"_",_xlfn.XLOOKUP($A670,PROPERTIES[VEHIDCODE],PROPERTIES[REGION2]),"_",_xlfn.XLOOKUP($A670,PROPERTIES[VEHIDCODE],PROPERTIES[REGION3]&amp;"_"&amp;_xlfn.XLOOKUP($A670,PROPERTIES[VEHIDCODE],PROPERTIES[REGION4])))</f>
        <v>ALL_REGION_NO_REGION_NO_REGION_NO_REGION</v>
      </c>
      <c r="G670" t="b">
        <f t="shared" si="90"/>
        <v>1</v>
      </c>
      <c r="H670" t="b">
        <f t="shared" si="97"/>
        <v>1</v>
      </c>
      <c r="I670" t="b">
        <f t="shared" si="91"/>
        <v>1</v>
      </c>
      <c r="J670" t="b">
        <f t="shared" si="98"/>
        <v>1</v>
      </c>
      <c r="K670" t="b">
        <f t="shared" si="92"/>
        <v>1</v>
      </c>
      <c r="L670" t="b">
        <f t="shared" si="93"/>
        <v>1</v>
      </c>
      <c r="M670" t="b">
        <f t="shared" si="94"/>
        <v>1</v>
      </c>
      <c r="N670" t="b">
        <f t="shared" si="95"/>
        <v>1</v>
      </c>
      <c r="O670" t="b">
        <f t="shared" si="96"/>
        <v>1</v>
      </c>
    </row>
    <row r="671" spans="1:15" x14ac:dyDescent="0.35">
      <c r="A671" t="str">
        <v>mu_Wagon_Gen3_Silo_Type1</v>
      </c>
      <c r="B671" t="b" cm="1">
        <f t="array" ref="B671">_xlfn.XLOOKUP(A671,CONTROL[VEHIDCODE],PROPERTIES[EXCLUDE])</f>
        <v>0</v>
      </c>
      <c r="C671" t="b">
        <f>_xlfn.XLOOKUP(A671,CONTROL[VEHIDCODE],CONTROL[IS_WAGON_OR_COACH])</f>
        <v>1</v>
      </c>
      <c r="D671">
        <f>FLOOR(_xlfn.XLOOKUP($A671,PROPERTIES[VEHIDCODE],PROPERTIES[INTRODUCTION_YEAR]),20)</f>
        <v>1920</v>
      </c>
      <c r="E671" t="e">
        <f>_xlfn.XLOOKUP($A671,PROPERTIES[VEHIDCODE],#REF!)</f>
        <v>#REF!</v>
      </c>
      <c r="F671" s="25" t="str" cm="1">
        <f t="array" ref="F671">_xlfn.CONCAT(_xlfn.XLOOKUP($A671,PROPERTIES[VEHIDCODE],PROPERTIES[REGION1]),"_",_xlfn.XLOOKUP($A671,PROPERTIES[VEHIDCODE],PROPERTIES[REGION2]),"_",_xlfn.XLOOKUP($A671,PROPERTIES[VEHIDCODE],PROPERTIES[REGION3]&amp;"_"&amp;_xlfn.XLOOKUP($A671,PROPERTIES[VEHIDCODE],PROPERTIES[REGION4])))</f>
        <v>ALL_REGION_NO_REGION_NO_REGION_NO_REGION</v>
      </c>
      <c r="G671" t="b">
        <f t="shared" si="90"/>
        <v>1</v>
      </c>
      <c r="H671" t="b">
        <f t="shared" si="97"/>
        <v>1</v>
      </c>
      <c r="I671" t="b">
        <f t="shared" si="91"/>
        <v>1</v>
      </c>
      <c r="J671" t="b">
        <f t="shared" si="98"/>
        <v>1</v>
      </c>
      <c r="K671" t="b">
        <f t="shared" si="92"/>
        <v>1</v>
      </c>
      <c r="L671" t="b">
        <f t="shared" si="93"/>
        <v>1</v>
      </c>
      <c r="M671" t="b">
        <f t="shared" si="94"/>
        <v>1</v>
      </c>
      <c r="N671" t="b">
        <f t="shared" si="95"/>
        <v>1</v>
      </c>
      <c r="O671" t="b">
        <f t="shared" si="96"/>
        <v>1</v>
      </c>
    </row>
    <row r="672" spans="1:15" x14ac:dyDescent="0.35">
      <c r="A672" t="str">
        <v>mu_Wagon_Gen3_Silo_Type2</v>
      </c>
      <c r="B672" t="b" cm="1">
        <f t="array" ref="B672">_xlfn.XLOOKUP(A672,CONTROL[VEHIDCODE],PROPERTIES[EXCLUDE])</f>
        <v>0</v>
      </c>
      <c r="C672" t="b">
        <f>_xlfn.XLOOKUP(A672,CONTROL[VEHIDCODE],CONTROL[IS_WAGON_OR_COACH])</f>
        <v>1</v>
      </c>
      <c r="D672">
        <f>FLOOR(_xlfn.XLOOKUP($A672,PROPERTIES[VEHIDCODE],PROPERTIES[INTRODUCTION_YEAR]),20)</f>
        <v>1920</v>
      </c>
      <c r="E672" t="e">
        <f>_xlfn.XLOOKUP($A672,PROPERTIES[VEHIDCODE],#REF!)</f>
        <v>#REF!</v>
      </c>
      <c r="F672" s="25" t="str" cm="1">
        <f t="array" ref="F672">_xlfn.CONCAT(_xlfn.XLOOKUP($A672,PROPERTIES[VEHIDCODE],PROPERTIES[REGION1]),"_",_xlfn.XLOOKUP($A672,PROPERTIES[VEHIDCODE],PROPERTIES[REGION2]),"_",_xlfn.XLOOKUP($A672,PROPERTIES[VEHIDCODE],PROPERTIES[REGION3]&amp;"_"&amp;_xlfn.XLOOKUP($A672,PROPERTIES[VEHIDCODE],PROPERTIES[REGION4])))</f>
        <v>ALL_REGION_NO_REGION_NO_REGION_NO_REGION</v>
      </c>
      <c r="G672" t="b">
        <f t="shared" si="90"/>
        <v>1</v>
      </c>
      <c r="H672" t="b">
        <f t="shared" si="97"/>
        <v>1</v>
      </c>
      <c r="I672" t="b">
        <f t="shared" si="91"/>
        <v>1</v>
      </c>
      <c r="J672" t="b">
        <f t="shared" si="98"/>
        <v>1</v>
      </c>
      <c r="K672" t="b">
        <f t="shared" si="92"/>
        <v>1</v>
      </c>
      <c r="L672" t="b">
        <f t="shared" si="93"/>
        <v>1</v>
      </c>
      <c r="M672" t="b">
        <f t="shared" si="94"/>
        <v>1</v>
      </c>
      <c r="N672" t="b">
        <f t="shared" si="95"/>
        <v>1</v>
      </c>
      <c r="O672" t="b">
        <f t="shared" si="96"/>
        <v>1</v>
      </c>
    </row>
    <row r="673" spans="1:15" x14ac:dyDescent="0.35">
      <c r="A673" t="str">
        <v>mu_Wagon_Gen3_Hopper</v>
      </c>
      <c r="B673" t="b" cm="1">
        <f t="array" ref="B673">_xlfn.XLOOKUP(A673,CONTROL[VEHIDCODE],PROPERTIES[EXCLUDE])</f>
        <v>0</v>
      </c>
      <c r="C673" t="b">
        <f>_xlfn.XLOOKUP(A673,CONTROL[VEHIDCODE],CONTROL[IS_WAGON_OR_COACH])</f>
        <v>1</v>
      </c>
      <c r="D673">
        <f>FLOOR(_xlfn.XLOOKUP($A673,PROPERTIES[VEHIDCODE],PROPERTIES[INTRODUCTION_YEAR]),20)</f>
        <v>1920</v>
      </c>
      <c r="E673" t="e">
        <f>_xlfn.XLOOKUP($A673,PROPERTIES[VEHIDCODE],#REF!)</f>
        <v>#REF!</v>
      </c>
      <c r="F673" s="25" t="str" cm="1">
        <f t="array" ref="F673">_xlfn.CONCAT(_xlfn.XLOOKUP($A673,PROPERTIES[VEHIDCODE],PROPERTIES[REGION1]),"_",_xlfn.XLOOKUP($A673,PROPERTIES[VEHIDCODE],PROPERTIES[REGION2]),"_",_xlfn.XLOOKUP($A673,PROPERTIES[VEHIDCODE],PROPERTIES[REGION3]&amp;"_"&amp;_xlfn.XLOOKUP($A673,PROPERTIES[VEHIDCODE],PROPERTIES[REGION4])))</f>
        <v>ALL_REGION_NO_REGION_NO_REGION_NO_REGION</v>
      </c>
      <c r="G673" t="b">
        <f t="shared" si="90"/>
        <v>1</v>
      </c>
      <c r="H673" t="b">
        <f t="shared" si="97"/>
        <v>1</v>
      </c>
      <c r="I673" t="b">
        <f t="shared" si="91"/>
        <v>1</v>
      </c>
      <c r="J673" t="b">
        <f t="shared" si="98"/>
        <v>1</v>
      </c>
      <c r="K673" t="b">
        <f t="shared" si="92"/>
        <v>1</v>
      </c>
      <c r="L673" t="b">
        <f t="shared" si="93"/>
        <v>1</v>
      </c>
      <c r="M673" t="b">
        <f t="shared" si="94"/>
        <v>1</v>
      </c>
      <c r="N673" t="b">
        <f t="shared" si="95"/>
        <v>1</v>
      </c>
      <c r="O673" t="b">
        <f t="shared" si="96"/>
        <v>1</v>
      </c>
    </row>
    <row r="674" spans="1:15" x14ac:dyDescent="0.35">
      <c r="A674" t="str">
        <v>mu_Wagon_Gen4_Flatcar</v>
      </c>
      <c r="B674" t="b" cm="1">
        <f t="array" ref="B674">_xlfn.XLOOKUP(A674,CONTROL[VEHIDCODE],PROPERTIES[EXCLUDE])</f>
        <v>0</v>
      </c>
      <c r="C674" t="b">
        <f>_xlfn.XLOOKUP(A674,CONTROL[VEHIDCODE],CONTROL[IS_WAGON_OR_COACH])</f>
        <v>1</v>
      </c>
      <c r="D674">
        <f>FLOOR(_xlfn.XLOOKUP($A674,PROPERTIES[VEHIDCODE],PROPERTIES[INTRODUCTION_YEAR]),20)</f>
        <v>1960</v>
      </c>
      <c r="E674" t="e">
        <f>_xlfn.XLOOKUP($A674,PROPERTIES[VEHIDCODE],#REF!)</f>
        <v>#REF!</v>
      </c>
      <c r="F674" s="25" t="str" cm="1">
        <f t="array" ref="F674">_xlfn.CONCAT(_xlfn.XLOOKUP($A674,PROPERTIES[VEHIDCODE],PROPERTIES[REGION1]),"_",_xlfn.XLOOKUP($A674,PROPERTIES[VEHIDCODE],PROPERTIES[REGION2]),"_",_xlfn.XLOOKUP($A674,PROPERTIES[VEHIDCODE],PROPERTIES[REGION3]&amp;"_"&amp;_xlfn.XLOOKUP($A674,PROPERTIES[VEHIDCODE],PROPERTIES[REGION4])))</f>
        <v>ALL_REGION_NO_REGION_NO_REGION_NO_REGION</v>
      </c>
      <c r="G674" t="b">
        <f t="shared" si="90"/>
        <v>1</v>
      </c>
      <c r="H674" t="b">
        <f t="shared" si="97"/>
        <v>1</v>
      </c>
      <c r="I674" t="b">
        <f t="shared" si="91"/>
        <v>1</v>
      </c>
      <c r="J674" t="b">
        <f t="shared" si="98"/>
        <v>1</v>
      </c>
      <c r="K674" t="b">
        <f t="shared" si="92"/>
        <v>1</v>
      </c>
      <c r="L674" t="b">
        <f t="shared" si="93"/>
        <v>1</v>
      </c>
      <c r="M674" t="b">
        <f t="shared" si="94"/>
        <v>1</v>
      </c>
      <c r="N674" t="b">
        <f t="shared" si="95"/>
        <v>1</v>
      </c>
      <c r="O674" t="b">
        <f t="shared" si="96"/>
        <v>1</v>
      </c>
    </row>
    <row r="675" spans="1:15" x14ac:dyDescent="0.35">
      <c r="A675" t="str">
        <v>mu_Wagon_Gen4_Heavy_Flatcar</v>
      </c>
      <c r="B675" t="b" cm="1">
        <f t="array" ref="B675">_xlfn.XLOOKUP(A675,CONTROL[VEHIDCODE],PROPERTIES[EXCLUDE])</f>
        <v>0</v>
      </c>
      <c r="C675" t="b">
        <f>_xlfn.XLOOKUP(A675,CONTROL[VEHIDCODE],CONTROL[IS_WAGON_OR_COACH])</f>
        <v>1</v>
      </c>
      <c r="D675">
        <f>FLOOR(_xlfn.XLOOKUP($A675,PROPERTIES[VEHIDCODE],PROPERTIES[INTRODUCTION_YEAR]),20)</f>
        <v>1960</v>
      </c>
      <c r="E675" t="e">
        <f>_xlfn.XLOOKUP($A675,PROPERTIES[VEHIDCODE],#REF!)</f>
        <v>#REF!</v>
      </c>
      <c r="F675" s="25" t="str" cm="1">
        <f t="array" ref="F675">_xlfn.CONCAT(_xlfn.XLOOKUP($A675,PROPERTIES[VEHIDCODE],PROPERTIES[REGION1]),"_",_xlfn.XLOOKUP($A675,PROPERTIES[VEHIDCODE],PROPERTIES[REGION2]),"_",_xlfn.XLOOKUP($A675,PROPERTIES[VEHIDCODE],PROPERTIES[REGION3]&amp;"_"&amp;_xlfn.XLOOKUP($A675,PROPERTIES[VEHIDCODE],PROPERTIES[REGION4])))</f>
        <v>ALL_REGION_NO_REGION_NO_REGION_NO_REGION</v>
      </c>
      <c r="G675" t="b">
        <f t="shared" si="90"/>
        <v>1</v>
      </c>
      <c r="H675" t="b">
        <f t="shared" si="97"/>
        <v>1</v>
      </c>
      <c r="I675" t="b">
        <f t="shared" si="91"/>
        <v>1</v>
      </c>
      <c r="J675" t="b">
        <f t="shared" si="98"/>
        <v>1</v>
      </c>
      <c r="K675" t="b">
        <f t="shared" si="92"/>
        <v>1</v>
      </c>
      <c r="L675" t="b">
        <f t="shared" si="93"/>
        <v>1</v>
      </c>
      <c r="M675" t="b">
        <f t="shared" si="94"/>
        <v>1</v>
      </c>
      <c r="N675" t="b">
        <f t="shared" si="95"/>
        <v>1</v>
      </c>
      <c r="O675" t="b">
        <f t="shared" si="96"/>
        <v>1</v>
      </c>
    </row>
    <row r="676" spans="1:15" x14ac:dyDescent="0.35">
      <c r="A676" t="str">
        <v>mu_Wagon_Gen4_Boxcar_Type1</v>
      </c>
      <c r="B676" t="b" cm="1">
        <f t="array" ref="B676">_xlfn.XLOOKUP(A676,CONTROL[VEHIDCODE],PROPERTIES[EXCLUDE])</f>
        <v>0</v>
      </c>
      <c r="C676" t="b">
        <f>_xlfn.XLOOKUP(A676,CONTROL[VEHIDCODE],CONTROL[IS_WAGON_OR_COACH])</f>
        <v>1</v>
      </c>
      <c r="D676">
        <f>FLOOR(_xlfn.XLOOKUP($A676,PROPERTIES[VEHIDCODE],PROPERTIES[INTRODUCTION_YEAR]),20)</f>
        <v>1940</v>
      </c>
      <c r="E676" t="e">
        <f>_xlfn.XLOOKUP($A676,PROPERTIES[VEHIDCODE],#REF!)</f>
        <v>#REF!</v>
      </c>
      <c r="F676" s="25" t="str" cm="1">
        <f t="array" ref="F676">_xlfn.CONCAT(_xlfn.XLOOKUP($A676,PROPERTIES[VEHIDCODE],PROPERTIES[REGION1]),"_",_xlfn.XLOOKUP($A676,PROPERTIES[VEHIDCODE],PROPERTIES[REGION2]),"_",_xlfn.XLOOKUP($A676,PROPERTIES[VEHIDCODE],PROPERTIES[REGION3]&amp;"_"&amp;_xlfn.XLOOKUP($A676,PROPERTIES[VEHIDCODE],PROPERTIES[REGION4])))</f>
        <v>ALL_REGION_NO_REGION_NO_REGION_NO_REGION</v>
      </c>
      <c r="G676" t="b">
        <f t="shared" si="90"/>
        <v>1</v>
      </c>
      <c r="H676" t="b">
        <f t="shared" si="97"/>
        <v>1</v>
      </c>
      <c r="I676" t="b">
        <f t="shared" si="91"/>
        <v>1</v>
      </c>
      <c r="J676" t="b">
        <f t="shared" si="98"/>
        <v>1</v>
      </c>
      <c r="K676" t="b">
        <f t="shared" si="92"/>
        <v>1</v>
      </c>
      <c r="L676" t="b">
        <f t="shared" si="93"/>
        <v>1</v>
      </c>
      <c r="M676" t="b">
        <f t="shared" si="94"/>
        <v>1</v>
      </c>
      <c r="N676" t="b">
        <f t="shared" si="95"/>
        <v>1</v>
      </c>
      <c r="O676" t="b">
        <f t="shared" si="96"/>
        <v>1</v>
      </c>
    </row>
    <row r="677" spans="1:15" x14ac:dyDescent="0.35">
      <c r="A677" t="str">
        <v>mu_Wagon_Gen4_Boxcar_Type2</v>
      </c>
      <c r="B677" t="b" cm="1">
        <f t="array" ref="B677">_xlfn.XLOOKUP(A677,CONTROL[VEHIDCODE],PROPERTIES[EXCLUDE])</f>
        <v>0</v>
      </c>
      <c r="C677" t="b">
        <f>_xlfn.XLOOKUP(A677,CONTROL[VEHIDCODE],CONTROL[IS_WAGON_OR_COACH])</f>
        <v>1</v>
      </c>
      <c r="D677">
        <f>FLOOR(_xlfn.XLOOKUP($A677,PROPERTIES[VEHIDCODE],PROPERTIES[INTRODUCTION_YEAR]),20)</f>
        <v>1940</v>
      </c>
      <c r="E677" t="e">
        <f>_xlfn.XLOOKUP($A677,PROPERTIES[VEHIDCODE],#REF!)</f>
        <v>#REF!</v>
      </c>
      <c r="F677" s="25" t="str" cm="1">
        <f t="array" ref="F677">_xlfn.CONCAT(_xlfn.XLOOKUP($A677,PROPERTIES[VEHIDCODE],PROPERTIES[REGION1]),"_",_xlfn.XLOOKUP($A677,PROPERTIES[VEHIDCODE],PROPERTIES[REGION2]),"_",_xlfn.XLOOKUP($A677,PROPERTIES[VEHIDCODE],PROPERTIES[REGION3]&amp;"_"&amp;_xlfn.XLOOKUP($A677,PROPERTIES[VEHIDCODE],PROPERTIES[REGION4])))</f>
        <v>ALL_REGION_NO_REGION_NO_REGION_NO_REGION</v>
      </c>
      <c r="G677" t="b">
        <f t="shared" si="90"/>
        <v>1</v>
      </c>
      <c r="H677" t="b">
        <f t="shared" si="97"/>
        <v>1</v>
      </c>
      <c r="I677" t="b">
        <f t="shared" si="91"/>
        <v>1</v>
      </c>
      <c r="J677" t="b">
        <f t="shared" si="98"/>
        <v>1</v>
      </c>
      <c r="K677" t="b">
        <f t="shared" si="92"/>
        <v>1</v>
      </c>
      <c r="L677" t="b">
        <f t="shared" si="93"/>
        <v>1</v>
      </c>
      <c r="M677" t="b">
        <f t="shared" si="94"/>
        <v>1</v>
      </c>
      <c r="N677" t="b">
        <f t="shared" si="95"/>
        <v>1</v>
      </c>
      <c r="O677" t="b">
        <f t="shared" si="96"/>
        <v>1</v>
      </c>
    </row>
    <row r="678" spans="1:15" x14ac:dyDescent="0.35">
      <c r="A678" t="str">
        <v>mu_Wagon_Gen4_Tanker</v>
      </c>
      <c r="B678" t="b" cm="1">
        <f t="array" ref="B678">_xlfn.XLOOKUP(A678,CONTROL[VEHIDCODE],PROPERTIES[EXCLUDE])</f>
        <v>0</v>
      </c>
      <c r="C678" t="b">
        <f>_xlfn.XLOOKUP(A678,CONTROL[VEHIDCODE],CONTROL[IS_WAGON_OR_COACH])</f>
        <v>1</v>
      </c>
      <c r="D678">
        <f>FLOOR(_xlfn.XLOOKUP($A678,PROPERTIES[VEHIDCODE],PROPERTIES[INTRODUCTION_YEAR]),20)</f>
        <v>1940</v>
      </c>
      <c r="E678" t="e">
        <f>_xlfn.XLOOKUP($A678,PROPERTIES[VEHIDCODE],#REF!)</f>
        <v>#REF!</v>
      </c>
      <c r="F678" s="25" t="str" cm="1">
        <f t="array" ref="F678">_xlfn.CONCAT(_xlfn.XLOOKUP($A678,PROPERTIES[VEHIDCODE],PROPERTIES[REGION1]),"_",_xlfn.XLOOKUP($A678,PROPERTIES[VEHIDCODE],PROPERTIES[REGION2]),"_",_xlfn.XLOOKUP($A678,PROPERTIES[VEHIDCODE],PROPERTIES[REGION3]&amp;"_"&amp;_xlfn.XLOOKUP($A678,PROPERTIES[VEHIDCODE],PROPERTIES[REGION4])))</f>
        <v>ALL_REGION_NO_REGION_NO_REGION_NO_REGION</v>
      </c>
      <c r="G678" t="b">
        <f t="shared" si="90"/>
        <v>1</v>
      </c>
      <c r="H678" t="b">
        <f t="shared" si="97"/>
        <v>1</v>
      </c>
      <c r="I678" t="b">
        <f t="shared" si="91"/>
        <v>1</v>
      </c>
      <c r="J678" t="b">
        <f t="shared" si="98"/>
        <v>1</v>
      </c>
      <c r="K678" t="b">
        <f t="shared" si="92"/>
        <v>1</v>
      </c>
      <c r="L678" t="b">
        <f t="shared" si="93"/>
        <v>1</v>
      </c>
      <c r="M678" t="b">
        <f t="shared" si="94"/>
        <v>1</v>
      </c>
      <c r="N678" t="b">
        <f t="shared" si="95"/>
        <v>1</v>
      </c>
      <c r="O678" t="b">
        <f t="shared" si="96"/>
        <v>1</v>
      </c>
    </row>
    <row r="679" spans="1:15" x14ac:dyDescent="0.35">
      <c r="A679" t="str">
        <v>mu_Wagon_Gen4_Gondola</v>
      </c>
      <c r="B679" t="b" cm="1">
        <f t="array" ref="B679">_xlfn.XLOOKUP(A679,CONTROL[VEHIDCODE],PROPERTIES[EXCLUDE])</f>
        <v>0</v>
      </c>
      <c r="C679" t="b">
        <f>_xlfn.XLOOKUP(A679,CONTROL[VEHIDCODE],CONTROL[IS_WAGON_OR_COACH])</f>
        <v>1</v>
      </c>
      <c r="D679">
        <f>FLOOR(_xlfn.XLOOKUP($A679,PROPERTIES[VEHIDCODE],PROPERTIES[INTRODUCTION_YEAR]),20)</f>
        <v>1940</v>
      </c>
      <c r="E679" t="e">
        <f>_xlfn.XLOOKUP($A679,PROPERTIES[VEHIDCODE],#REF!)</f>
        <v>#REF!</v>
      </c>
      <c r="F679" s="25" t="str" cm="1">
        <f t="array" ref="F679">_xlfn.CONCAT(_xlfn.XLOOKUP($A679,PROPERTIES[VEHIDCODE],PROPERTIES[REGION1]),"_",_xlfn.XLOOKUP($A679,PROPERTIES[VEHIDCODE],PROPERTIES[REGION2]),"_",_xlfn.XLOOKUP($A679,PROPERTIES[VEHIDCODE],PROPERTIES[REGION3]&amp;"_"&amp;_xlfn.XLOOKUP($A679,PROPERTIES[VEHIDCODE],PROPERTIES[REGION4])))</f>
        <v>ALL_REGION_NO_REGION_NO_REGION_NO_REGION</v>
      </c>
      <c r="G679" t="b">
        <f t="shared" si="90"/>
        <v>1</v>
      </c>
      <c r="H679" t="b">
        <f t="shared" si="97"/>
        <v>1</v>
      </c>
      <c r="I679" t="b">
        <f t="shared" si="91"/>
        <v>1</v>
      </c>
      <c r="J679" t="b">
        <f t="shared" si="98"/>
        <v>1</v>
      </c>
      <c r="K679" t="b">
        <f t="shared" si="92"/>
        <v>1</v>
      </c>
      <c r="L679" t="b">
        <f t="shared" si="93"/>
        <v>1</v>
      </c>
      <c r="M679" t="b">
        <f t="shared" si="94"/>
        <v>1</v>
      </c>
      <c r="N679" t="b">
        <f t="shared" si="95"/>
        <v>1</v>
      </c>
      <c r="O679" t="b">
        <f t="shared" si="96"/>
        <v>1</v>
      </c>
    </row>
    <row r="680" spans="1:15" x14ac:dyDescent="0.35">
      <c r="A680" t="str">
        <v>mu_Wagon_Gen4_Silo_Type1</v>
      </c>
      <c r="B680" t="b" cm="1">
        <f t="array" ref="B680">_xlfn.XLOOKUP(A680,CONTROL[VEHIDCODE],PROPERTIES[EXCLUDE])</f>
        <v>0</v>
      </c>
      <c r="C680" t="b">
        <f>_xlfn.XLOOKUP(A680,CONTROL[VEHIDCODE],CONTROL[IS_WAGON_OR_COACH])</f>
        <v>1</v>
      </c>
      <c r="D680">
        <f>FLOOR(_xlfn.XLOOKUP($A680,PROPERTIES[VEHIDCODE],PROPERTIES[INTRODUCTION_YEAR]),20)</f>
        <v>1940</v>
      </c>
      <c r="E680" t="e">
        <f>_xlfn.XLOOKUP($A680,PROPERTIES[VEHIDCODE],#REF!)</f>
        <v>#REF!</v>
      </c>
      <c r="F680" s="25" t="str" cm="1">
        <f t="array" ref="F680">_xlfn.CONCAT(_xlfn.XLOOKUP($A680,PROPERTIES[VEHIDCODE],PROPERTIES[REGION1]),"_",_xlfn.XLOOKUP($A680,PROPERTIES[VEHIDCODE],PROPERTIES[REGION2]),"_",_xlfn.XLOOKUP($A680,PROPERTIES[VEHIDCODE],PROPERTIES[REGION3]&amp;"_"&amp;_xlfn.XLOOKUP($A680,PROPERTIES[VEHIDCODE],PROPERTIES[REGION4])))</f>
        <v>ALL_REGION_NO_REGION_NO_REGION_NO_REGION</v>
      </c>
      <c r="G680" t="b">
        <f t="shared" si="90"/>
        <v>1</v>
      </c>
      <c r="H680" t="b">
        <f t="shared" si="97"/>
        <v>1</v>
      </c>
      <c r="I680" t="b">
        <f t="shared" si="91"/>
        <v>1</v>
      </c>
      <c r="J680" t="b">
        <f t="shared" si="98"/>
        <v>1</v>
      </c>
      <c r="K680" t="b">
        <f t="shared" si="92"/>
        <v>1</v>
      </c>
      <c r="L680" t="b">
        <f t="shared" si="93"/>
        <v>1</v>
      </c>
      <c r="M680" t="b">
        <f t="shared" si="94"/>
        <v>1</v>
      </c>
      <c r="N680" t="b">
        <f t="shared" si="95"/>
        <v>1</v>
      </c>
      <c r="O680" t="b">
        <f t="shared" si="96"/>
        <v>1</v>
      </c>
    </row>
    <row r="681" spans="1:15" x14ac:dyDescent="0.35">
      <c r="A681" t="str">
        <v>mu_Wagon_Gen4_Silo_Type2</v>
      </c>
      <c r="B681" t="b" cm="1">
        <f t="array" ref="B681">_xlfn.XLOOKUP(A681,CONTROL[VEHIDCODE],PROPERTIES[EXCLUDE])</f>
        <v>0</v>
      </c>
      <c r="C681" t="b">
        <f>_xlfn.XLOOKUP(A681,CONTROL[VEHIDCODE],CONTROL[IS_WAGON_OR_COACH])</f>
        <v>1</v>
      </c>
      <c r="D681">
        <f>FLOOR(_xlfn.XLOOKUP($A681,PROPERTIES[VEHIDCODE],PROPERTIES[INTRODUCTION_YEAR]),20)</f>
        <v>1940</v>
      </c>
      <c r="E681" t="e">
        <f>_xlfn.XLOOKUP($A681,PROPERTIES[VEHIDCODE],#REF!)</f>
        <v>#REF!</v>
      </c>
      <c r="F681" s="25" t="str" cm="1">
        <f t="array" ref="F681">_xlfn.CONCAT(_xlfn.XLOOKUP($A681,PROPERTIES[VEHIDCODE],PROPERTIES[REGION1]),"_",_xlfn.XLOOKUP($A681,PROPERTIES[VEHIDCODE],PROPERTIES[REGION2]),"_",_xlfn.XLOOKUP($A681,PROPERTIES[VEHIDCODE],PROPERTIES[REGION3]&amp;"_"&amp;_xlfn.XLOOKUP($A681,PROPERTIES[VEHIDCODE],PROPERTIES[REGION4])))</f>
        <v>ALL_REGION_NO_REGION_NO_REGION_NO_REGION</v>
      </c>
      <c r="G681" t="b">
        <f t="shared" si="90"/>
        <v>1</v>
      </c>
      <c r="H681" t="b">
        <f t="shared" si="97"/>
        <v>1</v>
      </c>
      <c r="I681" t="b">
        <f t="shared" si="91"/>
        <v>1</v>
      </c>
      <c r="J681" t="b">
        <f t="shared" si="98"/>
        <v>1</v>
      </c>
      <c r="K681" t="b">
        <f t="shared" si="92"/>
        <v>1</v>
      </c>
      <c r="L681" t="b">
        <f t="shared" si="93"/>
        <v>1</v>
      </c>
      <c r="M681" t="b">
        <f t="shared" si="94"/>
        <v>1</v>
      </c>
      <c r="N681" t="b">
        <f t="shared" si="95"/>
        <v>1</v>
      </c>
      <c r="O681" t="b">
        <f t="shared" si="96"/>
        <v>1</v>
      </c>
    </row>
    <row r="682" spans="1:15" x14ac:dyDescent="0.35">
      <c r="A682" t="str">
        <v>mu_Wagon_Gen4_Hopper_Type1</v>
      </c>
      <c r="B682" t="b" cm="1">
        <f t="array" ref="B682">_xlfn.XLOOKUP(A682,CONTROL[VEHIDCODE],PROPERTIES[EXCLUDE])</f>
        <v>0</v>
      </c>
      <c r="C682" t="b">
        <f>_xlfn.XLOOKUP(A682,CONTROL[VEHIDCODE],CONTROL[IS_WAGON_OR_COACH])</f>
        <v>1</v>
      </c>
      <c r="D682">
        <f>FLOOR(_xlfn.XLOOKUP($A682,PROPERTIES[VEHIDCODE],PROPERTIES[INTRODUCTION_YEAR]),20)</f>
        <v>1960</v>
      </c>
      <c r="E682" t="e">
        <f>_xlfn.XLOOKUP($A682,PROPERTIES[VEHIDCODE],#REF!)</f>
        <v>#REF!</v>
      </c>
      <c r="F682" s="25" t="str" cm="1">
        <f t="array" ref="F682">_xlfn.CONCAT(_xlfn.XLOOKUP($A682,PROPERTIES[VEHIDCODE],PROPERTIES[REGION1]),"_",_xlfn.XLOOKUP($A682,PROPERTIES[VEHIDCODE],PROPERTIES[REGION2]),"_",_xlfn.XLOOKUP($A682,PROPERTIES[VEHIDCODE],PROPERTIES[REGION3]&amp;"_"&amp;_xlfn.XLOOKUP($A682,PROPERTIES[VEHIDCODE],PROPERTIES[REGION4])))</f>
        <v>ALL_REGION_NO_REGION_NO_REGION_NO_REGION</v>
      </c>
      <c r="G682" t="b">
        <f t="shared" si="90"/>
        <v>1</v>
      </c>
      <c r="H682" t="b">
        <f t="shared" si="97"/>
        <v>1</v>
      </c>
      <c r="I682" t="b">
        <f t="shared" si="91"/>
        <v>1</v>
      </c>
      <c r="J682" t="b">
        <f t="shared" si="98"/>
        <v>1</v>
      </c>
      <c r="K682" t="b">
        <f t="shared" si="92"/>
        <v>1</v>
      </c>
      <c r="L682" t="b">
        <f t="shared" si="93"/>
        <v>1</v>
      </c>
      <c r="M682" t="b">
        <f t="shared" si="94"/>
        <v>1</v>
      </c>
      <c r="N682" t="b">
        <f t="shared" si="95"/>
        <v>1</v>
      </c>
      <c r="O682" t="b">
        <f t="shared" si="96"/>
        <v>1</v>
      </c>
    </row>
    <row r="683" spans="1:15" x14ac:dyDescent="0.35">
      <c r="A683" t="str">
        <v>mu_Wagon_Gen4_Hopper_Type2</v>
      </c>
      <c r="B683" t="b" cm="1">
        <f t="array" ref="B683">_xlfn.XLOOKUP(A683,CONTROL[VEHIDCODE],PROPERTIES[EXCLUDE])</f>
        <v>0</v>
      </c>
      <c r="C683" t="b">
        <f>_xlfn.XLOOKUP(A683,CONTROL[VEHIDCODE],CONTROL[IS_WAGON_OR_COACH])</f>
        <v>1</v>
      </c>
      <c r="D683">
        <f>FLOOR(_xlfn.XLOOKUP($A683,PROPERTIES[VEHIDCODE],PROPERTIES[INTRODUCTION_YEAR]),20)</f>
        <v>1960</v>
      </c>
      <c r="E683" t="e">
        <f>_xlfn.XLOOKUP($A683,PROPERTIES[VEHIDCODE],#REF!)</f>
        <v>#REF!</v>
      </c>
      <c r="F683" s="25" t="str" cm="1">
        <f t="array" ref="F683">_xlfn.CONCAT(_xlfn.XLOOKUP($A683,PROPERTIES[VEHIDCODE],PROPERTIES[REGION1]),"_",_xlfn.XLOOKUP($A683,PROPERTIES[VEHIDCODE],PROPERTIES[REGION2]),"_",_xlfn.XLOOKUP($A683,PROPERTIES[VEHIDCODE],PROPERTIES[REGION3]&amp;"_"&amp;_xlfn.XLOOKUP($A683,PROPERTIES[VEHIDCODE],PROPERTIES[REGION4])))</f>
        <v>ALL_REGION_NO_REGION_NO_REGION_NO_REGION</v>
      </c>
      <c r="G683" t="b">
        <f t="shared" si="90"/>
        <v>1</v>
      </c>
      <c r="H683" t="b">
        <f t="shared" si="97"/>
        <v>1</v>
      </c>
      <c r="I683" t="b">
        <f t="shared" si="91"/>
        <v>1</v>
      </c>
      <c r="J683" t="b">
        <f t="shared" si="98"/>
        <v>1</v>
      </c>
      <c r="K683" t="b">
        <f t="shared" si="92"/>
        <v>1</v>
      </c>
      <c r="L683" t="b">
        <f t="shared" si="93"/>
        <v>1</v>
      </c>
      <c r="M683" t="b">
        <f t="shared" si="94"/>
        <v>1</v>
      </c>
      <c r="N683" t="b">
        <f t="shared" si="95"/>
        <v>1</v>
      </c>
      <c r="O683" t="b">
        <f t="shared" si="96"/>
        <v>1</v>
      </c>
    </row>
    <row r="684" spans="1:15" x14ac:dyDescent="0.35">
      <c r="A684" t="str">
        <v>mu_Wagon_Gen4_Car_Transporter</v>
      </c>
      <c r="B684" t="b" cm="1">
        <f t="array" ref="B684">_xlfn.XLOOKUP(A684,CONTROL[VEHIDCODE],PROPERTIES[EXCLUDE])</f>
        <v>0</v>
      </c>
      <c r="C684" t="b">
        <f>_xlfn.XLOOKUP(A684,CONTROL[VEHIDCODE],CONTROL[IS_WAGON_OR_COACH])</f>
        <v>1</v>
      </c>
      <c r="D684">
        <f>FLOOR(_xlfn.XLOOKUP($A684,PROPERTIES[VEHIDCODE],PROPERTIES[INTRODUCTION_YEAR]),20)</f>
        <v>1960</v>
      </c>
      <c r="E684" t="e">
        <f>_xlfn.XLOOKUP($A684,PROPERTIES[VEHIDCODE],#REF!)</f>
        <v>#REF!</v>
      </c>
      <c r="F684" s="25" t="str" cm="1">
        <f t="array" ref="F684">_xlfn.CONCAT(_xlfn.XLOOKUP($A684,PROPERTIES[VEHIDCODE],PROPERTIES[REGION1]),"_",_xlfn.XLOOKUP($A684,PROPERTIES[VEHIDCODE],PROPERTIES[REGION2]),"_",_xlfn.XLOOKUP($A684,PROPERTIES[VEHIDCODE],PROPERTIES[REGION3]&amp;"_"&amp;_xlfn.XLOOKUP($A684,PROPERTIES[VEHIDCODE],PROPERTIES[REGION4])))</f>
        <v>ALL_REGION_NO_REGION_NO_REGION_NO_REGION</v>
      </c>
      <c r="G684" t="b">
        <f t="shared" si="90"/>
        <v>1</v>
      </c>
      <c r="H684" t="b">
        <f t="shared" si="97"/>
        <v>1</v>
      </c>
      <c r="I684" t="b">
        <f t="shared" si="91"/>
        <v>1</v>
      </c>
      <c r="J684" t="b">
        <f t="shared" si="98"/>
        <v>1</v>
      </c>
      <c r="K684" t="b">
        <f t="shared" si="92"/>
        <v>1</v>
      </c>
      <c r="L684" t="b">
        <f t="shared" si="93"/>
        <v>1</v>
      </c>
      <c r="M684" t="b">
        <f t="shared" si="94"/>
        <v>1</v>
      </c>
      <c r="N684" t="b">
        <f t="shared" si="95"/>
        <v>1</v>
      </c>
      <c r="O684" t="b">
        <f t="shared" si="96"/>
        <v>1</v>
      </c>
    </row>
    <row r="685" spans="1:15" x14ac:dyDescent="0.35">
      <c r="A685" t="str">
        <v>mu_Wagon_Gen4_Container_Carrier</v>
      </c>
      <c r="B685" t="b" cm="1">
        <f t="array" ref="B685">_xlfn.XLOOKUP(A685,CONTROL[VEHIDCODE],PROPERTIES[EXCLUDE])</f>
        <v>0</v>
      </c>
      <c r="C685" t="b">
        <f>_xlfn.XLOOKUP(A685,CONTROL[VEHIDCODE],CONTROL[IS_WAGON_OR_COACH])</f>
        <v>1</v>
      </c>
      <c r="D685">
        <f>FLOOR(_xlfn.XLOOKUP($A685,PROPERTIES[VEHIDCODE],PROPERTIES[INTRODUCTION_YEAR]),20)</f>
        <v>1960</v>
      </c>
      <c r="E685" t="e">
        <f>_xlfn.XLOOKUP($A685,PROPERTIES[VEHIDCODE],#REF!)</f>
        <v>#REF!</v>
      </c>
      <c r="F685" s="25" t="str" cm="1">
        <f t="array" ref="F685">_xlfn.CONCAT(_xlfn.XLOOKUP($A685,PROPERTIES[VEHIDCODE],PROPERTIES[REGION1]),"_",_xlfn.XLOOKUP($A685,PROPERTIES[VEHIDCODE],PROPERTIES[REGION2]),"_",_xlfn.XLOOKUP($A685,PROPERTIES[VEHIDCODE],PROPERTIES[REGION3]&amp;"_"&amp;_xlfn.XLOOKUP($A685,PROPERTIES[VEHIDCODE],PROPERTIES[REGION4])))</f>
        <v>ALL_REGION_NO_REGION_NO_REGION_NO_REGION</v>
      </c>
      <c r="G685" t="b">
        <f t="shared" si="90"/>
        <v>1</v>
      </c>
      <c r="H685" t="b">
        <f t="shared" si="97"/>
        <v>1</v>
      </c>
      <c r="I685" t="b">
        <f t="shared" si="91"/>
        <v>1</v>
      </c>
      <c r="J685" t="b">
        <f t="shared" si="98"/>
        <v>1</v>
      </c>
      <c r="K685" t="b">
        <f t="shared" si="92"/>
        <v>1</v>
      </c>
      <c r="L685" t="b">
        <f t="shared" si="93"/>
        <v>1</v>
      </c>
      <c r="M685" t="b">
        <f t="shared" si="94"/>
        <v>1</v>
      </c>
      <c r="N685" t="b">
        <f t="shared" si="95"/>
        <v>1</v>
      </c>
      <c r="O685" t="b">
        <f t="shared" si="96"/>
        <v>1</v>
      </c>
    </row>
    <row r="686" spans="1:15" x14ac:dyDescent="0.35">
      <c r="A686" t="str">
        <v>mu_Wagon_Gen4_Centerbeam</v>
      </c>
      <c r="B686" t="b" cm="1">
        <f t="array" ref="B686">_xlfn.XLOOKUP(A686,CONTROL[VEHIDCODE],PROPERTIES[EXCLUDE])</f>
        <v>0</v>
      </c>
      <c r="C686" t="b">
        <f>_xlfn.XLOOKUP(A686,CONTROL[VEHIDCODE],CONTROL[IS_WAGON_OR_COACH])</f>
        <v>1</v>
      </c>
      <c r="D686">
        <f>FLOOR(_xlfn.XLOOKUP($A686,PROPERTIES[VEHIDCODE],PROPERTIES[INTRODUCTION_YEAR]),20)</f>
        <v>1940</v>
      </c>
      <c r="E686" t="e">
        <f>_xlfn.XLOOKUP($A686,PROPERTIES[VEHIDCODE],#REF!)</f>
        <v>#REF!</v>
      </c>
      <c r="F686" s="25" t="str" cm="1">
        <f t="array" ref="F686">_xlfn.CONCAT(_xlfn.XLOOKUP($A686,PROPERTIES[VEHIDCODE],PROPERTIES[REGION1]),"_",_xlfn.XLOOKUP($A686,PROPERTIES[VEHIDCODE],PROPERTIES[REGION2]),"_",_xlfn.XLOOKUP($A686,PROPERTIES[VEHIDCODE],PROPERTIES[REGION3]&amp;"_"&amp;_xlfn.XLOOKUP($A686,PROPERTIES[VEHIDCODE],PROPERTIES[REGION4])))</f>
        <v>ALL_REGION_NO_REGION_NO_REGION_NO_REGION</v>
      </c>
      <c r="G686" t="b">
        <f t="shared" si="90"/>
        <v>1</v>
      </c>
      <c r="H686" t="b">
        <f t="shared" si="97"/>
        <v>1</v>
      </c>
      <c r="I686" t="b">
        <f t="shared" si="91"/>
        <v>1</v>
      </c>
      <c r="J686" t="b">
        <f t="shared" si="98"/>
        <v>1</v>
      </c>
      <c r="K686" t="b">
        <f t="shared" si="92"/>
        <v>1</v>
      </c>
      <c r="L686" t="b">
        <f t="shared" si="93"/>
        <v>1</v>
      </c>
      <c r="M686" t="b">
        <f t="shared" si="94"/>
        <v>1</v>
      </c>
      <c r="N686" t="b">
        <f t="shared" si="95"/>
        <v>1</v>
      </c>
      <c r="O686" t="b">
        <f t="shared" si="96"/>
        <v>1</v>
      </c>
    </row>
    <row r="687" spans="1:15" x14ac:dyDescent="0.35">
      <c r="A687" t="str">
        <v>mu_Wagon_Gen5_Flatcar</v>
      </c>
      <c r="B687" t="b" cm="1">
        <f t="array" ref="B687">_xlfn.XLOOKUP(A687,CONTROL[VEHIDCODE],PROPERTIES[EXCLUDE])</f>
        <v>0</v>
      </c>
      <c r="C687" t="b">
        <f>_xlfn.XLOOKUP(A687,CONTROL[VEHIDCODE],CONTROL[IS_WAGON_OR_COACH])</f>
        <v>1</v>
      </c>
      <c r="D687">
        <f>FLOOR(_xlfn.XLOOKUP($A687,PROPERTIES[VEHIDCODE],PROPERTIES[INTRODUCTION_YEAR]),20)</f>
        <v>1980</v>
      </c>
      <c r="E687" t="e">
        <f>_xlfn.XLOOKUP($A687,PROPERTIES[VEHIDCODE],#REF!)</f>
        <v>#REF!</v>
      </c>
      <c r="F687" s="25" t="str" cm="1">
        <f t="array" ref="F687">_xlfn.CONCAT(_xlfn.XLOOKUP($A687,PROPERTIES[VEHIDCODE],PROPERTIES[REGION1]),"_",_xlfn.XLOOKUP($A687,PROPERTIES[VEHIDCODE],PROPERTIES[REGION2]),"_",_xlfn.XLOOKUP($A687,PROPERTIES[VEHIDCODE],PROPERTIES[REGION3]&amp;"_"&amp;_xlfn.XLOOKUP($A687,PROPERTIES[VEHIDCODE],PROPERTIES[REGION4])))</f>
        <v>ALL_REGION_NO_REGION_NO_REGION_NO_REGION</v>
      </c>
      <c r="G687" t="b">
        <f t="shared" si="90"/>
        <v>1</v>
      </c>
      <c r="H687" t="b">
        <f t="shared" si="97"/>
        <v>1</v>
      </c>
      <c r="I687" t="b">
        <f t="shared" si="91"/>
        <v>1</v>
      </c>
      <c r="J687" t="b">
        <f t="shared" si="98"/>
        <v>1</v>
      </c>
      <c r="K687" t="b">
        <f t="shared" si="92"/>
        <v>1</v>
      </c>
      <c r="L687" t="b">
        <f t="shared" si="93"/>
        <v>1</v>
      </c>
      <c r="M687" t="b">
        <f t="shared" si="94"/>
        <v>1</v>
      </c>
      <c r="N687" t="b">
        <f t="shared" si="95"/>
        <v>1</v>
      </c>
      <c r="O687" t="b">
        <f t="shared" si="96"/>
        <v>1</v>
      </c>
    </row>
    <row r="688" spans="1:15" x14ac:dyDescent="0.35">
      <c r="A688" t="str">
        <v>mu_Wagon_Gen5_Heavy_Flatcar</v>
      </c>
      <c r="B688" t="b" cm="1">
        <f t="array" ref="B688">_xlfn.XLOOKUP(A688,CONTROL[VEHIDCODE],PROPERTIES[EXCLUDE])</f>
        <v>0</v>
      </c>
      <c r="C688" t="b">
        <f>_xlfn.XLOOKUP(A688,CONTROL[VEHIDCODE],CONTROL[IS_WAGON_OR_COACH])</f>
        <v>1</v>
      </c>
      <c r="D688">
        <f>FLOOR(_xlfn.XLOOKUP($A688,PROPERTIES[VEHIDCODE],PROPERTIES[INTRODUCTION_YEAR]),20)</f>
        <v>2000</v>
      </c>
      <c r="E688" t="e">
        <f>_xlfn.XLOOKUP($A688,PROPERTIES[VEHIDCODE],#REF!)</f>
        <v>#REF!</v>
      </c>
      <c r="F688" s="25" t="str" cm="1">
        <f t="array" ref="F688">_xlfn.CONCAT(_xlfn.XLOOKUP($A688,PROPERTIES[VEHIDCODE],PROPERTIES[REGION1]),"_",_xlfn.XLOOKUP($A688,PROPERTIES[VEHIDCODE],PROPERTIES[REGION2]),"_",_xlfn.XLOOKUP($A688,PROPERTIES[VEHIDCODE],PROPERTIES[REGION3]&amp;"_"&amp;_xlfn.XLOOKUP($A688,PROPERTIES[VEHIDCODE],PROPERTIES[REGION4])))</f>
        <v>ALL_REGION_NO_REGION_NO_REGION_NO_REGION</v>
      </c>
      <c r="G688" t="b">
        <f t="shared" si="90"/>
        <v>1</v>
      </c>
      <c r="H688" t="b">
        <f t="shared" si="97"/>
        <v>1</v>
      </c>
      <c r="I688" t="b">
        <f t="shared" si="91"/>
        <v>1</v>
      </c>
      <c r="J688" t="b">
        <f t="shared" si="98"/>
        <v>1</v>
      </c>
      <c r="K688" t="b">
        <f t="shared" si="92"/>
        <v>1</v>
      </c>
      <c r="L688" t="b">
        <f t="shared" si="93"/>
        <v>1</v>
      </c>
      <c r="M688" t="b">
        <f t="shared" si="94"/>
        <v>1</v>
      </c>
      <c r="N688" t="b">
        <f t="shared" si="95"/>
        <v>1</v>
      </c>
      <c r="O688" t="b">
        <f t="shared" si="96"/>
        <v>1</v>
      </c>
    </row>
    <row r="689" spans="1:15" x14ac:dyDescent="0.35">
      <c r="A689" t="str">
        <v>mu_Wagon_Gen5_Boxcar_Type1</v>
      </c>
      <c r="B689" t="b" cm="1">
        <f t="array" ref="B689">_xlfn.XLOOKUP(A689,CONTROL[VEHIDCODE],PROPERTIES[EXCLUDE])</f>
        <v>0</v>
      </c>
      <c r="C689" t="b">
        <f>_xlfn.XLOOKUP(A689,CONTROL[VEHIDCODE],CONTROL[IS_WAGON_OR_COACH])</f>
        <v>1</v>
      </c>
      <c r="D689">
        <f>FLOOR(_xlfn.XLOOKUP($A689,PROPERTIES[VEHIDCODE],PROPERTIES[INTRODUCTION_YEAR]),20)</f>
        <v>1980</v>
      </c>
      <c r="E689" t="e">
        <f>_xlfn.XLOOKUP($A689,PROPERTIES[VEHIDCODE],#REF!)</f>
        <v>#REF!</v>
      </c>
      <c r="F689" s="25" t="str" cm="1">
        <f t="array" ref="F689">_xlfn.CONCAT(_xlfn.XLOOKUP($A689,PROPERTIES[VEHIDCODE],PROPERTIES[REGION1]),"_",_xlfn.XLOOKUP($A689,PROPERTIES[VEHIDCODE],PROPERTIES[REGION2]),"_",_xlfn.XLOOKUP($A689,PROPERTIES[VEHIDCODE],PROPERTIES[REGION3]&amp;"_"&amp;_xlfn.XLOOKUP($A689,PROPERTIES[VEHIDCODE],PROPERTIES[REGION4])))</f>
        <v>ALL_REGION_NO_REGION_NO_REGION_NO_REGION</v>
      </c>
      <c r="G689" t="b">
        <f t="shared" si="90"/>
        <v>1</v>
      </c>
      <c r="H689" t="b">
        <f t="shared" si="97"/>
        <v>1</v>
      </c>
      <c r="I689" t="b">
        <f t="shared" si="91"/>
        <v>1</v>
      </c>
      <c r="J689" t="b">
        <f t="shared" si="98"/>
        <v>1</v>
      </c>
      <c r="K689" t="b">
        <f t="shared" si="92"/>
        <v>1</v>
      </c>
      <c r="L689" t="b">
        <f t="shared" si="93"/>
        <v>1</v>
      </c>
      <c r="M689" t="b">
        <f t="shared" si="94"/>
        <v>1</v>
      </c>
      <c r="N689" t="b">
        <f t="shared" si="95"/>
        <v>1</v>
      </c>
      <c r="O689" t="b">
        <f t="shared" si="96"/>
        <v>1</v>
      </c>
    </row>
    <row r="690" spans="1:15" x14ac:dyDescent="0.35">
      <c r="A690" t="str">
        <v>mu_Wagon_Gen5_Boxcar_Type2</v>
      </c>
      <c r="B690" t="b" cm="1">
        <f t="array" ref="B690">_xlfn.XLOOKUP(A690,CONTROL[VEHIDCODE],PROPERTIES[EXCLUDE])</f>
        <v>0</v>
      </c>
      <c r="C690" t="b">
        <f>_xlfn.XLOOKUP(A690,CONTROL[VEHIDCODE],CONTROL[IS_WAGON_OR_COACH])</f>
        <v>1</v>
      </c>
      <c r="D690">
        <f>FLOOR(_xlfn.XLOOKUP($A690,PROPERTIES[VEHIDCODE],PROPERTIES[INTRODUCTION_YEAR]),20)</f>
        <v>1980</v>
      </c>
      <c r="E690" t="e">
        <f>_xlfn.XLOOKUP($A690,PROPERTIES[VEHIDCODE],#REF!)</f>
        <v>#REF!</v>
      </c>
      <c r="F690" s="25" t="str" cm="1">
        <f t="array" ref="F690">_xlfn.CONCAT(_xlfn.XLOOKUP($A690,PROPERTIES[VEHIDCODE],PROPERTIES[REGION1]),"_",_xlfn.XLOOKUP($A690,PROPERTIES[VEHIDCODE],PROPERTIES[REGION2]),"_",_xlfn.XLOOKUP($A690,PROPERTIES[VEHIDCODE],PROPERTIES[REGION3]&amp;"_"&amp;_xlfn.XLOOKUP($A690,PROPERTIES[VEHIDCODE],PROPERTIES[REGION4])))</f>
        <v>ALL_REGION_NO_REGION_NO_REGION_NO_REGION</v>
      </c>
      <c r="G690" t="b">
        <f t="shared" si="90"/>
        <v>1</v>
      </c>
      <c r="H690" t="b">
        <f t="shared" si="97"/>
        <v>1</v>
      </c>
      <c r="I690" t="b">
        <f t="shared" si="91"/>
        <v>1</v>
      </c>
      <c r="J690" t="b">
        <f t="shared" si="98"/>
        <v>1</v>
      </c>
      <c r="K690" t="b">
        <f t="shared" si="92"/>
        <v>1</v>
      </c>
      <c r="L690" t="b">
        <f t="shared" si="93"/>
        <v>1</v>
      </c>
      <c r="M690" t="b">
        <f t="shared" si="94"/>
        <v>1</v>
      </c>
      <c r="N690" t="b">
        <f t="shared" si="95"/>
        <v>1</v>
      </c>
      <c r="O690" t="b">
        <f t="shared" si="96"/>
        <v>1</v>
      </c>
    </row>
    <row r="691" spans="1:15" x14ac:dyDescent="0.35">
      <c r="A691" t="str">
        <v>mu_Wagon_Gen5_Tanker</v>
      </c>
      <c r="B691" t="b" cm="1">
        <f t="array" ref="B691">_xlfn.XLOOKUP(A691,CONTROL[VEHIDCODE],PROPERTIES[EXCLUDE])</f>
        <v>0</v>
      </c>
      <c r="C691" t="b">
        <f>_xlfn.XLOOKUP(A691,CONTROL[VEHIDCODE],CONTROL[IS_WAGON_OR_COACH])</f>
        <v>1</v>
      </c>
      <c r="D691">
        <f>FLOOR(_xlfn.XLOOKUP($A691,PROPERTIES[VEHIDCODE],PROPERTIES[INTRODUCTION_YEAR]),20)</f>
        <v>2000</v>
      </c>
      <c r="E691" t="e">
        <f>_xlfn.XLOOKUP($A691,PROPERTIES[VEHIDCODE],#REF!)</f>
        <v>#REF!</v>
      </c>
      <c r="F691" s="25" t="str" cm="1">
        <f t="array" ref="F691">_xlfn.CONCAT(_xlfn.XLOOKUP($A691,PROPERTIES[VEHIDCODE],PROPERTIES[REGION1]),"_",_xlfn.XLOOKUP($A691,PROPERTIES[VEHIDCODE],PROPERTIES[REGION2]),"_",_xlfn.XLOOKUP($A691,PROPERTIES[VEHIDCODE],PROPERTIES[REGION3]&amp;"_"&amp;_xlfn.XLOOKUP($A691,PROPERTIES[VEHIDCODE],PROPERTIES[REGION4])))</f>
        <v>ALL_REGION_NO_REGION_NO_REGION_NO_REGION</v>
      </c>
      <c r="G691" t="b">
        <f t="shared" si="90"/>
        <v>1</v>
      </c>
      <c r="H691" t="b">
        <f t="shared" si="97"/>
        <v>1</v>
      </c>
      <c r="I691" t="b">
        <f t="shared" si="91"/>
        <v>1</v>
      </c>
      <c r="J691" t="b">
        <f t="shared" si="98"/>
        <v>1</v>
      </c>
      <c r="K691" t="b">
        <f t="shared" si="92"/>
        <v>1</v>
      </c>
      <c r="L691" t="b">
        <f t="shared" si="93"/>
        <v>1</v>
      </c>
      <c r="M691" t="b">
        <f t="shared" si="94"/>
        <v>1</v>
      </c>
      <c r="N691" t="b">
        <f t="shared" si="95"/>
        <v>1</v>
      </c>
      <c r="O691" t="b">
        <f t="shared" si="96"/>
        <v>1</v>
      </c>
    </row>
    <row r="692" spans="1:15" x14ac:dyDescent="0.35">
      <c r="A692" t="str">
        <v>mu_Wagon_Gen5_Gondola</v>
      </c>
      <c r="B692" t="b" cm="1">
        <f t="array" ref="B692">_xlfn.XLOOKUP(A692,CONTROL[VEHIDCODE],PROPERTIES[EXCLUDE])</f>
        <v>0</v>
      </c>
      <c r="C692" t="b">
        <f>_xlfn.XLOOKUP(A692,CONTROL[VEHIDCODE],CONTROL[IS_WAGON_OR_COACH])</f>
        <v>1</v>
      </c>
      <c r="D692">
        <f>FLOOR(_xlfn.XLOOKUP($A692,PROPERTIES[VEHIDCODE],PROPERTIES[INTRODUCTION_YEAR]),20)</f>
        <v>1980</v>
      </c>
      <c r="E692" t="e">
        <f>_xlfn.XLOOKUP($A692,PROPERTIES[VEHIDCODE],#REF!)</f>
        <v>#REF!</v>
      </c>
      <c r="F692" s="25" t="str" cm="1">
        <f t="array" ref="F692">_xlfn.CONCAT(_xlfn.XLOOKUP($A692,PROPERTIES[VEHIDCODE],PROPERTIES[REGION1]),"_",_xlfn.XLOOKUP($A692,PROPERTIES[VEHIDCODE],PROPERTIES[REGION2]),"_",_xlfn.XLOOKUP($A692,PROPERTIES[VEHIDCODE],PROPERTIES[REGION3]&amp;"_"&amp;_xlfn.XLOOKUP($A692,PROPERTIES[VEHIDCODE],PROPERTIES[REGION4])))</f>
        <v>ALL_REGION_NO_REGION_NO_REGION_NO_REGION</v>
      </c>
      <c r="G692" t="b">
        <f t="shared" si="90"/>
        <v>1</v>
      </c>
      <c r="H692" t="b">
        <f t="shared" si="97"/>
        <v>1</v>
      </c>
      <c r="I692" t="b">
        <f t="shared" si="91"/>
        <v>1</v>
      </c>
      <c r="J692" t="b">
        <f t="shared" si="98"/>
        <v>1</v>
      </c>
      <c r="K692" t="b">
        <f t="shared" si="92"/>
        <v>1</v>
      </c>
      <c r="L692" t="b">
        <f t="shared" si="93"/>
        <v>1</v>
      </c>
      <c r="M692" t="b">
        <f t="shared" si="94"/>
        <v>1</v>
      </c>
      <c r="N692" t="b">
        <f t="shared" si="95"/>
        <v>1</v>
      </c>
      <c r="O692" t="b">
        <f t="shared" si="96"/>
        <v>1</v>
      </c>
    </row>
    <row r="693" spans="1:15" x14ac:dyDescent="0.35">
      <c r="A693" t="str">
        <v>mu_Wagon_Gen5_Silo_Type1</v>
      </c>
      <c r="B693" t="b" cm="1">
        <f t="array" ref="B693">_xlfn.XLOOKUP(A693,CONTROL[VEHIDCODE],PROPERTIES[EXCLUDE])</f>
        <v>0</v>
      </c>
      <c r="C693" t="b">
        <f>_xlfn.XLOOKUP(A693,CONTROL[VEHIDCODE],CONTROL[IS_WAGON_OR_COACH])</f>
        <v>1</v>
      </c>
      <c r="D693">
        <f>FLOOR(_xlfn.XLOOKUP($A693,PROPERTIES[VEHIDCODE],PROPERTIES[INTRODUCTION_YEAR]),20)</f>
        <v>2000</v>
      </c>
      <c r="E693" t="e">
        <f>_xlfn.XLOOKUP($A693,PROPERTIES[VEHIDCODE],#REF!)</f>
        <v>#REF!</v>
      </c>
      <c r="F693" s="25" t="str" cm="1">
        <f t="array" ref="F693">_xlfn.CONCAT(_xlfn.XLOOKUP($A693,PROPERTIES[VEHIDCODE],PROPERTIES[REGION1]),"_",_xlfn.XLOOKUP($A693,PROPERTIES[VEHIDCODE],PROPERTIES[REGION2]),"_",_xlfn.XLOOKUP($A693,PROPERTIES[VEHIDCODE],PROPERTIES[REGION3]&amp;"_"&amp;_xlfn.XLOOKUP($A693,PROPERTIES[VEHIDCODE],PROPERTIES[REGION4])))</f>
        <v>ALL_REGION_NO_REGION_NO_REGION_NO_REGION</v>
      </c>
      <c r="G693" t="b">
        <f t="shared" si="90"/>
        <v>1</v>
      </c>
      <c r="H693" t="b">
        <f t="shared" si="97"/>
        <v>1</v>
      </c>
      <c r="I693" t="b">
        <f t="shared" si="91"/>
        <v>1</v>
      </c>
      <c r="J693" t="b">
        <f t="shared" si="98"/>
        <v>1</v>
      </c>
      <c r="K693" t="b">
        <f t="shared" si="92"/>
        <v>1</v>
      </c>
      <c r="L693" t="b">
        <f t="shared" si="93"/>
        <v>1</v>
      </c>
      <c r="M693" t="b">
        <f t="shared" si="94"/>
        <v>1</v>
      </c>
      <c r="N693" t="b">
        <f t="shared" si="95"/>
        <v>1</v>
      </c>
      <c r="O693" t="b">
        <f t="shared" si="96"/>
        <v>1</v>
      </c>
    </row>
    <row r="694" spans="1:15" x14ac:dyDescent="0.35">
      <c r="A694" t="str">
        <v>mu_Wagon_Gen5_Silo_Type2</v>
      </c>
      <c r="B694" t="b" cm="1">
        <f t="array" ref="B694">_xlfn.XLOOKUP(A694,CONTROL[VEHIDCODE],PROPERTIES[EXCLUDE])</f>
        <v>0</v>
      </c>
      <c r="C694" t="b">
        <f>_xlfn.XLOOKUP(A694,CONTROL[VEHIDCODE],CONTROL[IS_WAGON_OR_COACH])</f>
        <v>1</v>
      </c>
      <c r="D694">
        <f>FLOOR(_xlfn.XLOOKUP($A694,PROPERTIES[VEHIDCODE],PROPERTIES[INTRODUCTION_YEAR]),20)</f>
        <v>2000</v>
      </c>
      <c r="E694" t="e">
        <f>_xlfn.XLOOKUP($A694,PROPERTIES[VEHIDCODE],#REF!)</f>
        <v>#REF!</v>
      </c>
      <c r="F694" s="25" t="str" cm="1">
        <f t="array" ref="F694">_xlfn.CONCAT(_xlfn.XLOOKUP($A694,PROPERTIES[VEHIDCODE],PROPERTIES[REGION1]),"_",_xlfn.XLOOKUP($A694,PROPERTIES[VEHIDCODE],PROPERTIES[REGION2]),"_",_xlfn.XLOOKUP($A694,PROPERTIES[VEHIDCODE],PROPERTIES[REGION3]&amp;"_"&amp;_xlfn.XLOOKUP($A694,PROPERTIES[VEHIDCODE],PROPERTIES[REGION4])))</f>
        <v>ALL_REGION_NO_REGION_NO_REGION_NO_REGION</v>
      </c>
      <c r="G694" t="b">
        <f t="shared" si="90"/>
        <v>1</v>
      </c>
      <c r="H694" t="b">
        <f t="shared" si="97"/>
        <v>1</v>
      </c>
      <c r="I694" t="b">
        <f t="shared" si="91"/>
        <v>1</v>
      </c>
      <c r="J694" t="b">
        <f t="shared" si="98"/>
        <v>1</v>
      </c>
      <c r="K694" t="b">
        <f t="shared" si="92"/>
        <v>1</v>
      </c>
      <c r="L694" t="b">
        <f t="shared" si="93"/>
        <v>1</v>
      </c>
      <c r="M694" t="b">
        <f t="shared" si="94"/>
        <v>1</v>
      </c>
      <c r="N694" t="b">
        <f t="shared" si="95"/>
        <v>1</v>
      </c>
      <c r="O694" t="b">
        <f t="shared" si="96"/>
        <v>1</v>
      </c>
    </row>
    <row r="695" spans="1:15" x14ac:dyDescent="0.35">
      <c r="A695" t="str">
        <v>mu_Wagon_Gen5_Hopper_Type1</v>
      </c>
      <c r="B695" t="b" cm="1">
        <f t="array" ref="B695">_xlfn.XLOOKUP(A695,CONTROL[VEHIDCODE],PROPERTIES[EXCLUDE])</f>
        <v>0</v>
      </c>
      <c r="C695" t="b">
        <f>_xlfn.XLOOKUP(A695,CONTROL[VEHIDCODE],CONTROL[IS_WAGON_OR_COACH])</f>
        <v>1</v>
      </c>
      <c r="D695">
        <f>FLOOR(_xlfn.XLOOKUP($A695,PROPERTIES[VEHIDCODE],PROPERTIES[INTRODUCTION_YEAR]),20)</f>
        <v>2000</v>
      </c>
      <c r="E695" t="e">
        <f>_xlfn.XLOOKUP($A695,PROPERTIES[VEHIDCODE],#REF!)</f>
        <v>#REF!</v>
      </c>
      <c r="F695" s="25" t="str" cm="1">
        <f t="array" ref="F695">_xlfn.CONCAT(_xlfn.XLOOKUP($A695,PROPERTIES[VEHIDCODE],PROPERTIES[REGION1]),"_",_xlfn.XLOOKUP($A695,PROPERTIES[VEHIDCODE],PROPERTIES[REGION2]),"_",_xlfn.XLOOKUP($A695,PROPERTIES[VEHIDCODE],PROPERTIES[REGION3]&amp;"_"&amp;_xlfn.XLOOKUP($A695,PROPERTIES[VEHIDCODE],PROPERTIES[REGION4])))</f>
        <v>ALL_REGION_NO_REGION_NO_REGION_NO_REGION</v>
      </c>
      <c r="G695" t="b">
        <f t="shared" si="90"/>
        <v>1</v>
      </c>
      <c r="H695" t="b">
        <f t="shared" si="97"/>
        <v>1</v>
      </c>
      <c r="I695" t="b">
        <f t="shared" si="91"/>
        <v>1</v>
      </c>
      <c r="J695" t="b">
        <f t="shared" si="98"/>
        <v>1</v>
      </c>
      <c r="K695" t="b">
        <f t="shared" si="92"/>
        <v>1</v>
      </c>
      <c r="L695" t="b">
        <f t="shared" si="93"/>
        <v>1</v>
      </c>
      <c r="M695" t="b">
        <f t="shared" si="94"/>
        <v>1</v>
      </c>
      <c r="N695" t="b">
        <f t="shared" si="95"/>
        <v>1</v>
      </c>
      <c r="O695" t="b">
        <f t="shared" si="96"/>
        <v>1</v>
      </c>
    </row>
    <row r="696" spans="1:15" x14ac:dyDescent="0.35">
      <c r="A696" t="str">
        <v>mu_Wagon_Gen5_Hopper_Type2</v>
      </c>
      <c r="B696" t="b" cm="1">
        <f t="array" ref="B696">_xlfn.XLOOKUP(A696,CONTROL[VEHIDCODE],PROPERTIES[EXCLUDE])</f>
        <v>0</v>
      </c>
      <c r="C696" t="b">
        <f>_xlfn.XLOOKUP(A696,CONTROL[VEHIDCODE],CONTROL[IS_WAGON_OR_COACH])</f>
        <v>1</v>
      </c>
      <c r="D696">
        <f>FLOOR(_xlfn.XLOOKUP($A696,PROPERTIES[VEHIDCODE],PROPERTIES[INTRODUCTION_YEAR]),20)</f>
        <v>2000</v>
      </c>
      <c r="E696" t="e">
        <f>_xlfn.XLOOKUP($A696,PROPERTIES[VEHIDCODE],#REF!)</f>
        <v>#REF!</v>
      </c>
      <c r="F696" s="25" t="str" cm="1">
        <f t="array" ref="F696">_xlfn.CONCAT(_xlfn.XLOOKUP($A696,PROPERTIES[VEHIDCODE],PROPERTIES[REGION1]),"_",_xlfn.XLOOKUP($A696,PROPERTIES[VEHIDCODE],PROPERTIES[REGION2]),"_",_xlfn.XLOOKUP($A696,PROPERTIES[VEHIDCODE],PROPERTIES[REGION3]&amp;"_"&amp;_xlfn.XLOOKUP($A696,PROPERTIES[VEHIDCODE],PROPERTIES[REGION4])))</f>
        <v>ALL_REGION_NO_REGION_NO_REGION_NO_REGION</v>
      </c>
      <c r="G696" t="b">
        <f t="shared" si="90"/>
        <v>1</v>
      </c>
      <c r="H696" t="b">
        <f t="shared" si="97"/>
        <v>1</v>
      </c>
      <c r="I696" t="b">
        <f t="shared" si="91"/>
        <v>1</v>
      </c>
      <c r="J696" t="b">
        <f t="shared" si="98"/>
        <v>1</v>
      </c>
      <c r="K696" t="b">
        <f t="shared" si="92"/>
        <v>1</v>
      </c>
      <c r="L696" t="b">
        <f t="shared" si="93"/>
        <v>1</v>
      </c>
      <c r="M696" t="b">
        <f t="shared" si="94"/>
        <v>1</v>
      </c>
      <c r="N696" t="b">
        <f t="shared" si="95"/>
        <v>1</v>
      </c>
      <c r="O696" t="b">
        <f t="shared" si="96"/>
        <v>1</v>
      </c>
    </row>
    <row r="697" spans="1:15" x14ac:dyDescent="0.35">
      <c r="A697" t="str">
        <v>mu_Wagon_Gen5_Car_Transporter</v>
      </c>
      <c r="B697" t="b" cm="1">
        <f t="array" ref="B697">_xlfn.XLOOKUP(A697,CONTROL[VEHIDCODE],PROPERTIES[EXCLUDE])</f>
        <v>0</v>
      </c>
      <c r="C697" t="b">
        <f>_xlfn.XLOOKUP(A697,CONTROL[VEHIDCODE],CONTROL[IS_WAGON_OR_COACH])</f>
        <v>1</v>
      </c>
      <c r="D697">
        <f>FLOOR(_xlfn.XLOOKUP($A697,PROPERTIES[VEHIDCODE],PROPERTIES[INTRODUCTION_YEAR]),20)</f>
        <v>2000</v>
      </c>
      <c r="E697" t="e">
        <f>_xlfn.XLOOKUP($A697,PROPERTIES[VEHIDCODE],#REF!)</f>
        <v>#REF!</v>
      </c>
      <c r="F697" s="25" t="str" cm="1">
        <f t="array" ref="F697">_xlfn.CONCAT(_xlfn.XLOOKUP($A697,PROPERTIES[VEHIDCODE],PROPERTIES[REGION1]),"_",_xlfn.XLOOKUP($A697,PROPERTIES[VEHIDCODE],PROPERTIES[REGION2]),"_",_xlfn.XLOOKUP($A697,PROPERTIES[VEHIDCODE],PROPERTIES[REGION3]&amp;"_"&amp;_xlfn.XLOOKUP($A697,PROPERTIES[VEHIDCODE],PROPERTIES[REGION4])))</f>
        <v>ALL_REGION_NO_REGION_NO_REGION_NO_REGION</v>
      </c>
      <c r="G697" t="b">
        <f t="shared" si="90"/>
        <v>1</v>
      </c>
      <c r="H697" t="b">
        <f t="shared" si="97"/>
        <v>1</v>
      </c>
      <c r="I697" t="b">
        <f t="shared" si="91"/>
        <v>1</v>
      </c>
      <c r="J697" t="b">
        <f t="shared" si="98"/>
        <v>1</v>
      </c>
      <c r="K697" t="b">
        <f t="shared" si="92"/>
        <v>1</v>
      </c>
      <c r="L697" t="b">
        <f t="shared" si="93"/>
        <v>1</v>
      </c>
      <c r="M697" t="b">
        <f t="shared" si="94"/>
        <v>1</v>
      </c>
      <c r="N697" t="b">
        <f t="shared" si="95"/>
        <v>1</v>
      </c>
      <c r="O697" t="b">
        <f t="shared" si="96"/>
        <v>1</v>
      </c>
    </row>
    <row r="698" spans="1:15" x14ac:dyDescent="0.35">
      <c r="A698" t="str">
        <v>mu_Wagon_Gen5_Container_Carrier</v>
      </c>
      <c r="B698" t="b" cm="1">
        <f t="array" ref="B698">_xlfn.XLOOKUP(A698,CONTROL[VEHIDCODE],PROPERTIES[EXCLUDE])</f>
        <v>0</v>
      </c>
      <c r="C698" t="b">
        <f>_xlfn.XLOOKUP(A698,CONTROL[VEHIDCODE],CONTROL[IS_WAGON_OR_COACH])</f>
        <v>1</v>
      </c>
      <c r="D698">
        <f>FLOOR(_xlfn.XLOOKUP($A698,PROPERTIES[VEHIDCODE],PROPERTIES[INTRODUCTION_YEAR]),20)</f>
        <v>1980</v>
      </c>
      <c r="E698" t="e">
        <f>_xlfn.XLOOKUP($A698,PROPERTIES[VEHIDCODE],#REF!)</f>
        <v>#REF!</v>
      </c>
      <c r="F698" s="25" t="str" cm="1">
        <f t="array" ref="F698">_xlfn.CONCAT(_xlfn.XLOOKUP($A698,PROPERTIES[VEHIDCODE],PROPERTIES[REGION1]),"_",_xlfn.XLOOKUP($A698,PROPERTIES[VEHIDCODE],PROPERTIES[REGION2]),"_",_xlfn.XLOOKUP($A698,PROPERTIES[VEHIDCODE],PROPERTIES[REGION3]&amp;"_"&amp;_xlfn.XLOOKUP($A698,PROPERTIES[VEHIDCODE],PROPERTIES[REGION4])))</f>
        <v>ALL_REGION_NO_REGION_NO_REGION_NO_REGION</v>
      </c>
      <c r="G698" t="b">
        <f t="shared" si="90"/>
        <v>1</v>
      </c>
      <c r="H698" t="b">
        <f t="shared" si="97"/>
        <v>1</v>
      </c>
      <c r="I698" t="b">
        <f t="shared" si="91"/>
        <v>1</v>
      </c>
      <c r="J698" t="b">
        <f t="shared" si="98"/>
        <v>1</v>
      </c>
      <c r="K698" t="b">
        <f t="shared" si="92"/>
        <v>1</v>
      </c>
      <c r="L698" t="b">
        <f t="shared" si="93"/>
        <v>1</v>
      </c>
      <c r="M698" t="b">
        <f t="shared" si="94"/>
        <v>1</v>
      </c>
      <c r="N698" t="b">
        <f t="shared" si="95"/>
        <v>1</v>
      </c>
      <c r="O698" t="b">
        <f t="shared" si="96"/>
        <v>1</v>
      </c>
    </row>
    <row r="699" spans="1:15" x14ac:dyDescent="0.35">
      <c r="A699" t="str">
        <v>mu_Wagon_Gen5_Centerbeam</v>
      </c>
      <c r="B699" t="b" cm="1">
        <f t="array" ref="B699">_xlfn.XLOOKUP(A699,CONTROL[VEHIDCODE],PROPERTIES[EXCLUDE])</f>
        <v>0</v>
      </c>
      <c r="C699" t="b">
        <f>_xlfn.XLOOKUP(A699,CONTROL[VEHIDCODE],CONTROL[IS_WAGON_OR_COACH])</f>
        <v>1</v>
      </c>
      <c r="D699">
        <f>FLOOR(_xlfn.XLOOKUP($A699,PROPERTIES[VEHIDCODE],PROPERTIES[INTRODUCTION_YEAR]),20)</f>
        <v>1980</v>
      </c>
      <c r="E699" t="e">
        <f>_xlfn.XLOOKUP($A699,PROPERTIES[VEHIDCODE],#REF!)</f>
        <v>#REF!</v>
      </c>
      <c r="F699" s="25" t="str" cm="1">
        <f t="array" ref="F699">_xlfn.CONCAT(_xlfn.XLOOKUP($A699,PROPERTIES[VEHIDCODE],PROPERTIES[REGION1]),"_",_xlfn.XLOOKUP($A699,PROPERTIES[VEHIDCODE],PROPERTIES[REGION2]),"_",_xlfn.XLOOKUP($A699,PROPERTIES[VEHIDCODE],PROPERTIES[REGION3]&amp;"_"&amp;_xlfn.XLOOKUP($A699,PROPERTIES[VEHIDCODE],PROPERTIES[REGION4])))</f>
        <v>ALL_REGION_NO_REGION_NO_REGION_NO_REGION</v>
      </c>
      <c r="G699" t="b">
        <f t="shared" si="90"/>
        <v>1</v>
      </c>
      <c r="H699" t="b">
        <f t="shared" si="97"/>
        <v>1</v>
      </c>
      <c r="I699" t="b">
        <f t="shared" si="91"/>
        <v>1</v>
      </c>
      <c r="J699" t="b">
        <f t="shared" si="98"/>
        <v>1</v>
      </c>
      <c r="K699" t="b">
        <f t="shared" si="92"/>
        <v>1</v>
      </c>
      <c r="L699" t="b">
        <f t="shared" si="93"/>
        <v>1</v>
      </c>
      <c r="M699" t="b">
        <f t="shared" si="94"/>
        <v>1</v>
      </c>
      <c r="N699" t="b">
        <f t="shared" si="95"/>
        <v>1</v>
      </c>
      <c r="O699" t="b">
        <f t="shared" si="96"/>
        <v>1</v>
      </c>
    </row>
    <row r="700" spans="1:15" x14ac:dyDescent="0.35">
      <c r="A700" t="str">
        <v>mu_Wagon_Gen5_Container_Doublestack</v>
      </c>
      <c r="B700" t="b" cm="1">
        <f t="array" ref="B700">_xlfn.XLOOKUP(A700,CONTROL[VEHIDCODE],PROPERTIES[EXCLUDE])</f>
        <v>0</v>
      </c>
      <c r="C700" t="b">
        <f>_xlfn.XLOOKUP(A700,CONTROL[VEHIDCODE],CONTROL[IS_WAGON_OR_COACH])</f>
        <v>1</v>
      </c>
      <c r="D700">
        <f>FLOOR(_xlfn.XLOOKUP($A700,PROPERTIES[VEHIDCODE],PROPERTIES[INTRODUCTION_YEAR]),20)</f>
        <v>1980</v>
      </c>
      <c r="E700" t="e">
        <f>_xlfn.XLOOKUP($A700,PROPERTIES[VEHIDCODE],#REF!)</f>
        <v>#REF!</v>
      </c>
      <c r="F700" s="25" t="str" cm="1">
        <f t="array" ref="F700">_xlfn.CONCAT(_xlfn.XLOOKUP($A700,PROPERTIES[VEHIDCODE],PROPERTIES[REGION1]),"_",_xlfn.XLOOKUP($A700,PROPERTIES[VEHIDCODE],PROPERTIES[REGION2]),"_",_xlfn.XLOOKUP($A700,PROPERTIES[VEHIDCODE],PROPERTIES[REGION3]&amp;"_"&amp;_xlfn.XLOOKUP($A700,PROPERTIES[VEHIDCODE],PROPERTIES[REGION4])))</f>
        <v>ALL_REGION_NO_REGION_NO_REGION_NO_REGION</v>
      </c>
      <c r="G700" t="b">
        <f t="shared" si="90"/>
        <v>1</v>
      </c>
      <c r="H700" t="b">
        <f t="shared" si="97"/>
        <v>1</v>
      </c>
      <c r="I700" t="b">
        <f t="shared" si="91"/>
        <v>1</v>
      </c>
      <c r="J700" t="b">
        <f t="shared" si="98"/>
        <v>1</v>
      </c>
      <c r="K700" t="b">
        <f t="shared" si="92"/>
        <v>1</v>
      </c>
      <c r="L700" t="b">
        <f t="shared" si="93"/>
        <v>1</v>
      </c>
      <c r="M700" t="b">
        <f t="shared" si="94"/>
        <v>1</v>
      </c>
      <c r="N700" t="b">
        <f t="shared" si="95"/>
        <v>1</v>
      </c>
      <c r="O700" t="b">
        <f t="shared" si="96"/>
        <v>1</v>
      </c>
    </row>
    <row r="701" spans="1:15" x14ac:dyDescent="0.35">
      <c r="A701" t="str">
        <v>mu_Wagon_Gen5_Superheavy_Flatcar</v>
      </c>
      <c r="B701" t="b" cm="1">
        <f t="array" ref="B701">_xlfn.XLOOKUP(A701,CONTROL[VEHIDCODE],PROPERTIES[EXCLUDE])</f>
        <v>0</v>
      </c>
      <c r="C701" t="b">
        <f>_xlfn.XLOOKUP(A701,CONTROL[VEHIDCODE],CONTROL[IS_WAGON_OR_COACH])</f>
        <v>1</v>
      </c>
      <c r="D701">
        <f>FLOOR(_xlfn.XLOOKUP($A701,PROPERTIES[VEHIDCODE],PROPERTIES[INTRODUCTION_YEAR]),20)</f>
        <v>1980</v>
      </c>
      <c r="E701" t="e">
        <f>_xlfn.XLOOKUP($A701,PROPERTIES[VEHIDCODE],#REF!)</f>
        <v>#REF!</v>
      </c>
      <c r="F701" s="25" t="str" cm="1">
        <f t="array" ref="F701">_xlfn.CONCAT(_xlfn.XLOOKUP($A701,PROPERTIES[VEHIDCODE],PROPERTIES[REGION1]),"_",_xlfn.XLOOKUP($A701,PROPERTIES[VEHIDCODE],PROPERTIES[REGION2]),"_",_xlfn.XLOOKUP($A701,PROPERTIES[VEHIDCODE],PROPERTIES[REGION3]&amp;"_"&amp;_xlfn.XLOOKUP($A701,PROPERTIES[VEHIDCODE],PROPERTIES[REGION4])))</f>
        <v>ALL_REGION_NO_REGION_NO_REGION_NO_REGION</v>
      </c>
      <c r="G701" t="b">
        <f t="shared" si="90"/>
        <v>1</v>
      </c>
      <c r="H701" t="b">
        <f t="shared" si="97"/>
        <v>1</v>
      </c>
      <c r="I701" t="b">
        <f t="shared" si="91"/>
        <v>1</v>
      </c>
      <c r="J701" t="b">
        <f t="shared" si="98"/>
        <v>1</v>
      </c>
      <c r="K701" t="b">
        <f t="shared" si="92"/>
        <v>1</v>
      </c>
      <c r="L701" t="b">
        <f t="shared" si="93"/>
        <v>1</v>
      </c>
      <c r="M701" t="b">
        <f t="shared" si="94"/>
        <v>1</v>
      </c>
      <c r="N701" t="b">
        <f t="shared" si="95"/>
        <v>1</v>
      </c>
      <c r="O701" t="b">
        <f t="shared" si="96"/>
        <v>1</v>
      </c>
    </row>
    <row r="702" spans="1:15" x14ac:dyDescent="0.35">
      <c r="A702" t="str">
        <v>mu_Wagon_Gen6_Flatcar</v>
      </c>
      <c r="B702" t="b" cm="1">
        <f t="array" ref="B702">_xlfn.XLOOKUP(A702,CONTROL[VEHIDCODE],PROPERTIES[EXCLUDE])</f>
        <v>0</v>
      </c>
      <c r="C702" t="b">
        <f>_xlfn.XLOOKUP(A702,CONTROL[VEHIDCODE],CONTROL[IS_WAGON_OR_COACH])</f>
        <v>1</v>
      </c>
      <c r="D702">
        <f>FLOOR(_xlfn.XLOOKUP($A702,PROPERTIES[VEHIDCODE],PROPERTIES[INTRODUCTION_YEAR]),20)</f>
        <v>2000</v>
      </c>
      <c r="E702" t="e">
        <f>_xlfn.XLOOKUP($A702,PROPERTIES[VEHIDCODE],#REF!)</f>
        <v>#REF!</v>
      </c>
      <c r="F702" s="25" t="str" cm="1">
        <f t="array" ref="F702">_xlfn.CONCAT(_xlfn.XLOOKUP($A702,PROPERTIES[VEHIDCODE],PROPERTIES[REGION1]),"_",_xlfn.XLOOKUP($A702,PROPERTIES[VEHIDCODE],PROPERTIES[REGION2]),"_",_xlfn.XLOOKUP($A702,PROPERTIES[VEHIDCODE],PROPERTIES[REGION3]&amp;"_"&amp;_xlfn.XLOOKUP($A702,PROPERTIES[VEHIDCODE],PROPERTIES[REGION4])))</f>
        <v>ALL_REGION_NO_REGION_NO_REGION_NO_REGION</v>
      </c>
      <c r="G702" t="b">
        <f t="shared" si="90"/>
        <v>1</v>
      </c>
      <c r="H702" t="b">
        <f t="shared" si="97"/>
        <v>1</v>
      </c>
      <c r="I702" t="b">
        <f t="shared" si="91"/>
        <v>1</v>
      </c>
      <c r="J702" t="b">
        <f t="shared" si="98"/>
        <v>1</v>
      </c>
      <c r="K702" t="b">
        <f t="shared" si="92"/>
        <v>1</v>
      </c>
      <c r="L702" t="b">
        <f t="shared" si="93"/>
        <v>1</v>
      </c>
      <c r="M702" t="b">
        <f t="shared" si="94"/>
        <v>1</v>
      </c>
      <c r="N702" t="b">
        <f t="shared" si="95"/>
        <v>1</v>
      </c>
      <c r="O702" t="b">
        <f t="shared" si="96"/>
        <v>1</v>
      </c>
    </row>
    <row r="703" spans="1:15" x14ac:dyDescent="0.35">
      <c r="A703" t="str">
        <v>mu_Wagon_Gen6_Heavy_Flatcar</v>
      </c>
      <c r="B703" t="b" cm="1">
        <f t="array" ref="B703">_xlfn.XLOOKUP(A703,CONTROL[VEHIDCODE],PROPERTIES[EXCLUDE])</f>
        <v>0</v>
      </c>
      <c r="C703" t="b">
        <f>_xlfn.XLOOKUP(A703,CONTROL[VEHIDCODE],CONTROL[IS_WAGON_OR_COACH])</f>
        <v>1</v>
      </c>
      <c r="D703">
        <f>FLOOR(_xlfn.XLOOKUP($A703,PROPERTIES[VEHIDCODE],PROPERTIES[INTRODUCTION_YEAR]),20)</f>
        <v>2020</v>
      </c>
      <c r="E703" t="e">
        <f>_xlfn.XLOOKUP($A703,PROPERTIES[VEHIDCODE],#REF!)</f>
        <v>#REF!</v>
      </c>
      <c r="F703" s="25" t="str" cm="1">
        <f t="array" ref="F703">_xlfn.CONCAT(_xlfn.XLOOKUP($A703,PROPERTIES[VEHIDCODE],PROPERTIES[REGION1]),"_",_xlfn.XLOOKUP($A703,PROPERTIES[VEHIDCODE],PROPERTIES[REGION2]),"_",_xlfn.XLOOKUP($A703,PROPERTIES[VEHIDCODE],PROPERTIES[REGION3]&amp;"_"&amp;_xlfn.XLOOKUP($A703,PROPERTIES[VEHIDCODE],PROPERTIES[REGION4])))</f>
        <v>ALL_REGION_NO_REGION_NO_REGION_NO_REGION</v>
      </c>
      <c r="G703" t="b">
        <f t="shared" si="90"/>
        <v>1</v>
      </c>
      <c r="H703" t="b">
        <f t="shared" si="97"/>
        <v>1</v>
      </c>
      <c r="I703" t="b">
        <f t="shared" si="91"/>
        <v>1</v>
      </c>
      <c r="J703" t="b">
        <f t="shared" si="98"/>
        <v>1</v>
      </c>
      <c r="K703" t="b">
        <f t="shared" si="92"/>
        <v>1</v>
      </c>
      <c r="L703" t="b">
        <f t="shared" si="93"/>
        <v>1</v>
      </c>
      <c r="M703" t="b">
        <f t="shared" si="94"/>
        <v>1</v>
      </c>
      <c r="N703" t="b">
        <f t="shared" si="95"/>
        <v>1</v>
      </c>
      <c r="O703" t="b">
        <f t="shared" si="96"/>
        <v>1</v>
      </c>
    </row>
    <row r="704" spans="1:15" x14ac:dyDescent="0.35">
      <c r="A704" t="str">
        <v>mu_Wagon_Gen6_Boxcar_Type1</v>
      </c>
      <c r="B704" t="b" cm="1">
        <f t="array" ref="B704">_xlfn.XLOOKUP(A704,CONTROL[VEHIDCODE],PROPERTIES[EXCLUDE])</f>
        <v>0</v>
      </c>
      <c r="C704" t="b">
        <f>_xlfn.XLOOKUP(A704,CONTROL[VEHIDCODE],CONTROL[IS_WAGON_OR_COACH])</f>
        <v>1</v>
      </c>
      <c r="D704">
        <f>FLOOR(_xlfn.XLOOKUP($A704,PROPERTIES[VEHIDCODE],PROPERTIES[INTRODUCTION_YEAR]),20)</f>
        <v>2000</v>
      </c>
      <c r="E704" t="e">
        <f>_xlfn.XLOOKUP($A704,PROPERTIES[VEHIDCODE],#REF!)</f>
        <v>#REF!</v>
      </c>
      <c r="F704" s="25" t="str" cm="1">
        <f t="array" ref="F704">_xlfn.CONCAT(_xlfn.XLOOKUP($A704,PROPERTIES[VEHIDCODE],PROPERTIES[REGION1]),"_",_xlfn.XLOOKUP($A704,PROPERTIES[VEHIDCODE],PROPERTIES[REGION2]),"_",_xlfn.XLOOKUP($A704,PROPERTIES[VEHIDCODE],PROPERTIES[REGION3]&amp;"_"&amp;_xlfn.XLOOKUP($A704,PROPERTIES[VEHIDCODE],PROPERTIES[REGION4])))</f>
        <v>ALL_REGION_NO_REGION_NO_REGION_NO_REGION</v>
      </c>
      <c r="G704" t="b">
        <f t="shared" si="90"/>
        <v>1</v>
      </c>
      <c r="H704" t="b">
        <f t="shared" si="97"/>
        <v>1</v>
      </c>
      <c r="I704" t="b">
        <f t="shared" si="91"/>
        <v>1</v>
      </c>
      <c r="J704" t="b">
        <f t="shared" si="98"/>
        <v>1</v>
      </c>
      <c r="K704" t="b">
        <f t="shared" si="92"/>
        <v>1</v>
      </c>
      <c r="L704" t="b">
        <f t="shared" si="93"/>
        <v>1</v>
      </c>
      <c r="M704" t="b">
        <f t="shared" si="94"/>
        <v>1</v>
      </c>
      <c r="N704" t="b">
        <f t="shared" si="95"/>
        <v>1</v>
      </c>
      <c r="O704" t="b">
        <f t="shared" si="96"/>
        <v>1</v>
      </c>
    </row>
    <row r="705" spans="1:15" x14ac:dyDescent="0.35">
      <c r="A705" t="str">
        <v>mu_Wagon_Gen6_Boxcar_Type2</v>
      </c>
      <c r="B705" t="b" cm="1">
        <f t="array" ref="B705">_xlfn.XLOOKUP(A705,CONTROL[VEHIDCODE],PROPERTIES[EXCLUDE])</f>
        <v>0</v>
      </c>
      <c r="C705" t="b">
        <f>_xlfn.XLOOKUP(A705,CONTROL[VEHIDCODE],CONTROL[IS_WAGON_OR_COACH])</f>
        <v>1</v>
      </c>
      <c r="D705">
        <f>FLOOR(_xlfn.XLOOKUP($A705,PROPERTIES[VEHIDCODE],PROPERTIES[INTRODUCTION_YEAR]),20)</f>
        <v>2000</v>
      </c>
      <c r="E705" t="e">
        <f>_xlfn.XLOOKUP($A705,PROPERTIES[VEHIDCODE],#REF!)</f>
        <v>#REF!</v>
      </c>
      <c r="F705" s="25" t="str" cm="1">
        <f t="array" ref="F705">_xlfn.CONCAT(_xlfn.XLOOKUP($A705,PROPERTIES[VEHIDCODE],PROPERTIES[REGION1]),"_",_xlfn.XLOOKUP($A705,PROPERTIES[VEHIDCODE],PROPERTIES[REGION2]),"_",_xlfn.XLOOKUP($A705,PROPERTIES[VEHIDCODE],PROPERTIES[REGION3]&amp;"_"&amp;_xlfn.XLOOKUP($A705,PROPERTIES[VEHIDCODE],PROPERTIES[REGION4])))</f>
        <v>ALL_REGION_NO_REGION_NO_REGION_NO_REGION</v>
      </c>
      <c r="G705" t="b">
        <f t="shared" si="90"/>
        <v>1</v>
      </c>
      <c r="H705" t="b">
        <f t="shared" si="97"/>
        <v>1</v>
      </c>
      <c r="I705" t="b">
        <f t="shared" si="91"/>
        <v>1</v>
      </c>
      <c r="J705" t="b">
        <f t="shared" si="98"/>
        <v>1</v>
      </c>
      <c r="K705" t="b">
        <f t="shared" si="92"/>
        <v>1</v>
      </c>
      <c r="L705" t="b">
        <f t="shared" si="93"/>
        <v>1</v>
      </c>
      <c r="M705" t="b">
        <f t="shared" si="94"/>
        <v>1</v>
      </c>
      <c r="N705" t="b">
        <f t="shared" si="95"/>
        <v>1</v>
      </c>
      <c r="O705" t="b">
        <f t="shared" si="96"/>
        <v>1</v>
      </c>
    </row>
    <row r="706" spans="1:15" x14ac:dyDescent="0.35">
      <c r="A706" t="str">
        <v>mu_Wagon_Gen6_Tanker</v>
      </c>
      <c r="B706" t="b" cm="1">
        <f t="array" ref="B706">_xlfn.XLOOKUP(A706,CONTROL[VEHIDCODE],PROPERTIES[EXCLUDE])</f>
        <v>0</v>
      </c>
      <c r="C706" t="b">
        <f>_xlfn.XLOOKUP(A706,CONTROL[VEHIDCODE],CONTROL[IS_WAGON_OR_COACH])</f>
        <v>1</v>
      </c>
      <c r="D706">
        <f>FLOOR(_xlfn.XLOOKUP($A706,PROPERTIES[VEHIDCODE],PROPERTIES[INTRODUCTION_YEAR]),20)</f>
        <v>2020</v>
      </c>
      <c r="E706" t="e">
        <f>_xlfn.XLOOKUP($A706,PROPERTIES[VEHIDCODE],#REF!)</f>
        <v>#REF!</v>
      </c>
      <c r="F706" s="25" t="str" cm="1">
        <f t="array" ref="F706">_xlfn.CONCAT(_xlfn.XLOOKUP($A706,PROPERTIES[VEHIDCODE],PROPERTIES[REGION1]),"_",_xlfn.XLOOKUP($A706,PROPERTIES[VEHIDCODE],PROPERTIES[REGION2]),"_",_xlfn.XLOOKUP($A706,PROPERTIES[VEHIDCODE],PROPERTIES[REGION3]&amp;"_"&amp;_xlfn.XLOOKUP($A706,PROPERTIES[VEHIDCODE],PROPERTIES[REGION4])))</f>
        <v>ALL_REGION_NO_REGION_NO_REGION_NO_REGION</v>
      </c>
      <c r="G706" t="b">
        <f t="shared" ref="G706:G769" si="99">OR(ISNUMBER(SEARCH("ALL_REGION",$F706)),
ISNUMBER(SEARCH("AFRICA",$F706)),
ISNUMBER(SEARCH("OLD_WORLD",$F706)),
ISNUMBER(SEARCH("NON_EUROPEAN",$F706)))</f>
        <v>1</v>
      </c>
      <c r="H706" t="b">
        <f t="shared" si="97"/>
        <v>1</v>
      </c>
      <c r="I706" t="b">
        <f t="shared" ref="I706:I769" si="100">OR(ISNUMBER(SEARCH("ALL_REGION",$F706)),
ISNUMBER(SEARCH("ALL_EUROPE",$F706)),
ISNUMBER(SEARCH(I$1,$F706)),
ISNUMBER(SEARCH("OLD_WORLD",$F706)))</f>
        <v>1</v>
      </c>
      <c r="J706" t="b">
        <f t="shared" si="98"/>
        <v>1</v>
      </c>
      <c r="K706" t="b">
        <f t="shared" ref="K706:K769" si="101">OR(ISNUMBER(SEARCH("ALL_REGION",$F706)),
ISNUMBER(SEARCH("ALL_EUROPE",$F706)),
ISNUMBER(SEARCH(K$1,$F706)),
ISNUMBER(SEARCH("OLD_WORLD",$F706)),
ISNUMBER(SEARCH("NORTH_WEST_EUROPE",$F706)))</f>
        <v>1</v>
      </c>
      <c r="L706" t="b">
        <f t="shared" ref="L706:L769" si="102">OR(ISNUMBER(SEARCH("ALL_REGION",$F706)),
ISNUMBER(SEARCH("ALL_EUROPE",$F706)),
ISNUMBER(SEARCH(L$1,$F706)),
ISNUMBER(SEARCH("OLD_WORLD",$F706)),
ISNUMBER(SEARCH("NORTH_WEST_EUROPE",$F706)),
ISNUMBER(SEARCH("POST_SOVIET_BALTIC",$F706)))</f>
        <v>1</v>
      </c>
      <c r="M706" t="b">
        <f t="shared" ref="M706:M769" si="103">OR(ISNUMBER(SEARCH("ALL_REGION",$F706)),
ISNUMBER(SEARCH("ALL_AMERICA",$F706)),
ISNUMBER(SEARCH(M$1,$F706)),
ISNUMBER(SEARCH("NON_EUROPEAN",$F706)))</f>
        <v>1</v>
      </c>
      <c r="N706" t="b">
        <f t="shared" ref="N706:N769" si="104">OR(ISNUMBER(SEARCH("ALL_REGION",$F706)),
ISNUMBER(SEARCH("ALL_AMERICA",$F706)),
ISNUMBER(SEARCH(N$1,$F706)),
ISNUMBER(SEARCH("NON_EUROPEAN",$F706)),
ISNUMBER(SEARCH("COMECON_EXTENDED",$F706)))</f>
        <v>1</v>
      </c>
      <c r="O706" t="b">
        <f t="shared" ref="O706:O769" si="105">OR(ISNUMBER(SEARCH("ALL_REGION",$F706)),
ISNUMBER(SEARCH(O$1,$F706)),
ISNUMBER(SEARCH("APAC",$F706)))</f>
        <v>1</v>
      </c>
    </row>
    <row r="707" spans="1:15" x14ac:dyDescent="0.35">
      <c r="A707" t="str">
        <v>mu_Wagon_Gen6_Gondola</v>
      </c>
      <c r="B707" t="b" cm="1">
        <f t="array" ref="B707">_xlfn.XLOOKUP(A707,CONTROL[VEHIDCODE],PROPERTIES[EXCLUDE])</f>
        <v>0</v>
      </c>
      <c r="C707" t="b">
        <f>_xlfn.XLOOKUP(A707,CONTROL[VEHIDCODE],CONTROL[IS_WAGON_OR_COACH])</f>
        <v>1</v>
      </c>
      <c r="D707">
        <f>FLOOR(_xlfn.XLOOKUP($A707,PROPERTIES[VEHIDCODE],PROPERTIES[INTRODUCTION_YEAR]),20)</f>
        <v>2000</v>
      </c>
      <c r="E707" t="e">
        <f>_xlfn.XLOOKUP($A707,PROPERTIES[VEHIDCODE],#REF!)</f>
        <v>#REF!</v>
      </c>
      <c r="F707" s="25" t="str" cm="1">
        <f t="array" ref="F707">_xlfn.CONCAT(_xlfn.XLOOKUP($A707,PROPERTIES[VEHIDCODE],PROPERTIES[REGION1]),"_",_xlfn.XLOOKUP($A707,PROPERTIES[VEHIDCODE],PROPERTIES[REGION2]),"_",_xlfn.XLOOKUP($A707,PROPERTIES[VEHIDCODE],PROPERTIES[REGION3]&amp;"_"&amp;_xlfn.XLOOKUP($A707,PROPERTIES[VEHIDCODE],PROPERTIES[REGION4])))</f>
        <v>ALL_REGION_NO_REGION_NO_REGION_NO_REGION</v>
      </c>
      <c r="G707" t="b">
        <f t="shared" si="99"/>
        <v>1</v>
      </c>
      <c r="H707" t="b">
        <f t="shared" ref="H707:H770" si="106">OR(ISNUMBER(SEARCH("ALL_REGION",$F707)),
ISNUMBER(SEARCH("ASIA",$F707)),
ISNUMBER(SEARCH("OLD_WORLD",$F707)),
ISNUMBER(SEARCH("NON_EUROPEAN",$F707)),
ISNUMBER(SEARCH("APAC",$F707)),
ISNUMBER(SEARCH("COMECON",$F707)),
ISNUMBER(SEARCH("COMECON_EXTENDED",$F707)),
ISNUMBER(SEARCH("POST_SOVIET_BALTIC",$F707)))</f>
        <v>1</v>
      </c>
      <c r="I707" t="b">
        <f t="shared" si="100"/>
        <v>1</v>
      </c>
      <c r="J707" t="b">
        <f t="shared" ref="J707:J770" si="107">OR(ISNUMBER(SEARCH("ALL_REGION",$F707)),
ISNUMBER(SEARCH("ALL_EUROPE",$F707)),
ISNUMBER(SEARCH(J$1,$F707)),
ISNUMBER(SEARCH("OLD_WORLD",$F707)),
ISNUMBER(SEARCH("COMECON",$F707)),
ISNUMBER(SEARCH("POST_SOVIET_BALTIC",$F707)))</f>
        <v>1</v>
      </c>
      <c r="K707" t="b">
        <f t="shared" si="101"/>
        <v>1</v>
      </c>
      <c r="L707" t="b">
        <f t="shared" si="102"/>
        <v>1</v>
      </c>
      <c r="M707" t="b">
        <f t="shared" si="103"/>
        <v>1</v>
      </c>
      <c r="N707" t="b">
        <f t="shared" si="104"/>
        <v>1</v>
      </c>
      <c r="O707" t="b">
        <f t="shared" si="105"/>
        <v>1</v>
      </c>
    </row>
    <row r="708" spans="1:15" x14ac:dyDescent="0.35">
      <c r="A708" t="str">
        <v>mu_Wagon_Gen6_Silo_Type1</v>
      </c>
      <c r="B708" t="b" cm="1">
        <f t="array" ref="B708">_xlfn.XLOOKUP(A708,CONTROL[VEHIDCODE],PROPERTIES[EXCLUDE])</f>
        <v>0</v>
      </c>
      <c r="C708" t="b">
        <f>_xlfn.XLOOKUP(A708,CONTROL[VEHIDCODE],CONTROL[IS_WAGON_OR_COACH])</f>
        <v>1</v>
      </c>
      <c r="D708">
        <f>FLOOR(_xlfn.XLOOKUP($A708,PROPERTIES[VEHIDCODE],PROPERTIES[INTRODUCTION_YEAR]),20)</f>
        <v>2020</v>
      </c>
      <c r="E708" t="e">
        <f>_xlfn.XLOOKUP($A708,PROPERTIES[VEHIDCODE],#REF!)</f>
        <v>#REF!</v>
      </c>
      <c r="F708" s="25" t="str" cm="1">
        <f t="array" ref="F708">_xlfn.CONCAT(_xlfn.XLOOKUP($A708,PROPERTIES[VEHIDCODE],PROPERTIES[REGION1]),"_",_xlfn.XLOOKUP($A708,PROPERTIES[VEHIDCODE],PROPERTIES[REGION2]),"_",_xlfn.XLOOKUP($A708,PROPERTIES[VEHIDCODE],PROPERTIES[REGION3]&amp;"_"&amp;_xlfn.XLOOKUP($A708,PROPERTIES[VEHIDCODE],PROPERTIES[REGION4])))</f>
        <v>ALL_REGION_NO_REGION_NO_REGION_NO_REGION</v>
      </c>
      <c r="G708" t="b">
        <f t="shared" si="99"/>
        <v>1</v>
      </c>
      <c r="H708" t="b">
        <f t="shared" si="106"/>
        <v>1</v>
      </c>
      <c r="I708" t="b">
        <f t="shared" si="100"/>
        <v>1</v>
      </c>
      <c r="J708" t="b">
        <f t="shared" si="107"/>
        <v>1</v>
      </c>
      <c r="K708" t="b">
        <f t="shared" si="101"/>
        <v>1</v>
      </c>
      <c r="L708" t="b">
        <f t="shared" si="102"/>
        <v>1</v>
      </c>
      <c r="M708" t="b">
        <f t="shared" si="103"/>
        <v>1</v>
      </c>
      <c r="N708" t="b">
        <f t="shared" si="104"/>
        <v>1</v>
      </c>
      <c r="O708" t="b">
        <f t="shared" si="105"/>
        <v>1</v>
      </c>
    </row>
    <row r="709" spans="1:15" x14ac:dyDescent="0.35">
      <c r="A709" t="str">
        <v>mu_Wagon_Gen6_Silo_Type2</v>
      </c>
      <c r="B709" t="b" cm="1">
        <f t="array" ref="B709">_xlfn.XLOOKUP(A709,CONTROL[VEHIDCODE],PROPERTIES[EXCLUDE])</f>
        <v>0</v>
      </c>
      <c r="C709" t="b">
        <f>_xlfn.XLOOKUP(A709,CONTROL[VEHIDCODE],CONTROL[IS_WAGON_OR_COACH])</f>
        <v>1</v>
      </c>
      <c r="D709">
        <f>FLOOR(_xlfn.XLOOKUP($A709,PROPERTIES[VEHIDCODE],PROPERTIES[INTRODUCTION_YEAR]),20)</f>
        <v>2020</v>
      </c>
      <c r="E709" t="e">
        <f>_xlfn.XLOOKUP($A709,PROPERTIES[VEHIDCODE],#REF!)</f>
        <v>#REF!</v>
      </c>
      <c r="F709" s="25" t="str" cm="1">
        <f t="array" ref="F709">_xlfn.CONCAT(_xlfn.XLOOKUP($A709,PROPERTIES[VEHIDCODE],PROPERTIES[REGION1]),"_",_xlfn.XLOOKUP($A709,PROPERTIES[VEHIDCODE],PROPERTIES[REGION2]),"_",_xlfn.XLOOKUP($A709,PROPERTIES[VEHIDCODE],PROPERTIES[REGION3]&amp;"_"&amp;_xlfn.XLOOKUP($A709,PROPERTIES[VEHIDCODE],PROPERTIES[REGION4])))</f>
        <v>ALL_REGION_NO_REGION_NO_REGION_NO_REGION</v>
      </c>
      <c r="G709" t="b">
        <f t="shared" si="99"/>
        <v>1</v>
      </c>
      <c r="H709" t="b">
        <f t="shared" si="106"/>
        <v>1</v>
      </c>
      <c r="I709" t="b">
        <f t="shared" si="100"/>
        <v>1</v>
      </c>
      <c r="J709" t="b">
        <f t="shared" si="107"/>
        <v>1</v>
      </c>
      <c r="K709" t="b">
        <f t="shared" si="101"/>
        <v>1</v>
      </c>
      <c r="L709" t="b">
        <f t="shared" si="102"/>
        <v>1</v>
      </c>
      <c r="M709" t="b">
        <f t="shared" si="103"/>
        <v>1</v>
      </c>
      <c r="N709" t="b">
        <f t="shared" si="104"/>
        <v>1</v>
      </c>
      <c r="O709" t="b">
        <f t="shared" si="105"/>
        <v>1</v>
      </c>
    </row>
    <row r="710" spans="1:15" x14ac:dyDescent="0.35">
      <c r="A710" t="str">
        <v>mu_Wagon_Gen6_Hopper_Type1</v>
      </c>
      <c r="B710" t="b" cm="1">
        <f t="array" ref="B710">_xlfn.XLOOKUP(A710,CONTROL[VEHIDCODE],PROPERTIES[EXCLUDE])</f>
        <v>0</v>
      </c>
      <c r="C710" t="b">
        <f>_xlfn.XLOOKUP(A710,CONTROL[VEHIDCODE],CONTROL[IS_WAGON_OR_COACH])</f>
        <v>1</v>
      </c>
      <c r="D710">
        <f>FLOOR(_xlfn.XLOOKUP($A710,PROPERTIES[VEHIDCODE],PROPERTIES[INTRODUCTION_YEAR]),20)</f>
        <v>2020</v>
      </c>
      <c r="E710" t="e">
        <f>_xlfn.XLOOKUP($A710,PROPERTIES[VEHIDCODE],#REF!)</f>
        <v>#REF!</v>
      </c>
      <c r="F710" s="25" t="str" cm="1">
        <f t="array" ref="F710">_xlfn.CONCAT(_xlfn.XLOOKUP($A710,PROPERTIES[VEHIDCODE],PROPERTIES[REGION1]),"_",_xlfn.XLOOKUP($A710,PROPERTIES[VEHIDCODE],PROPERTIES[REGION2]),"_",_xlfn.XLOOKUP($A710,PROPERTIES[VEHIDCODE],PROPERTIES[REGION3]&amp;"_"&amp;_xlfn.XLOOKUP($A710,PROPERTIES[VEHIDCODE],PROPERTIES[REGION4])))</f>
        <v>ALL_REGION_NO_REGION_NO_REGION_NO_REGION</v>
      </c>
      <c r="G710" t="b">
        <f t="shared" si="99"/>
        <v>1</v>
      </c>
      <c r="H710" t="b">
        <f t="shared" si="106"/>
        <v>1</v>
      </c>
      <c r="I710" t="b">
        <f t="shared" si="100"/>
        <v>1</v>
      </c>
      <c r="J710" t="b">
        <f t="shared" si="107"/>
        <v>1</v>
      </c>
      <c r="K710" t="b">
        <f t="shared" si="101"/>
        <v>1</v>
      </c>
      <c r="L710" t="b">
        <f t="shared" si="102"/>
        <v>1</v>
      </c>
      <c r="M710" t="b">
        <f t="shared" si="103"/>
        <v>1</v>
      </c>
      <c r="N710" t="b">
        <f t="shared" si="104"/>
        <v>1</v>
      </c>
      <c r="O710" t="b">
        <f t="shared" si="105"/>
        <v>1</v>
      </c>
    </row>
    <row r="711" spans="1:15" x14ac:dyDescent="0.35">
      <c r="A711" t="str">
        <v>mu_Wagon_Gen6_Hopper_Type2</v>
      </c>
      <c r="B711" t="b" cm="1">
        <f t="array" ref="B711">_xlfn.XLOOKUP(A711,CONTROL[VEHIDCODE],PROPERTIES[EXCLUDE])</f>
        <v>0</v>
      </c>
      <c r="C711" t="b">
        <f>_xlfn.XLOOKUP(A711,CONTROL[VEHIDCODE],CONTROL[IS_WAGON_OR_COACH])</f>
        <v>1</v>
      </c>
      <c r="D711">
        <f>FLOOR(_xlfn.XLOOKUP($A711,PROPERTIES[VEHIDCODE],PROPERTIES[INTRODUCTION_YEAR]),20)</f>
        <v>2020</v>
      </c>
      <c r="E711" t="e">
        <f>_xlfn.XLOOKUP($A711,PROPERTIES[VEHIDCODE],#REF!)</f>
        <v>#REF!</v>
      </c>
      <c r="F711" s="25" t="str" cm="1">
        <f t="array" ref="F711">_xlfn.CONCAT(_xlfn.XLOOKUP($A711,PROPERTIES[VEHIDCODE],PROPERTIES[REGION1]),"_",_xlfn.XLOOKUP($A711,PROPERTIES[VEHIDCODE],PROPERTIES[REGION2]),"_",_xlfn.XLOOKUP($A711,PROPERTIES[VEHIDCODE],PROPERTIES[REGION3]&amp;"_"&amp;_xlfn.XLOOKUP($A711,PROPERTIES[VEHIDCODE],PROPERTIES[REGION4])))</f>
        <v>ALL_REGION_NO_REGION_NO_REGION_NO_REGION</v>
      </c>
      <c r="G711" t="b">
        <f t="shared" si="99"/>
        <v>1</v>
      </c>
      <c r="H711" t="b">
        <f t="shared" si="106"/>
        <v>1</v>
      </c>
      <c r="I711" t="b">
        <f t="shared" si="100"/>
        <v>1</v>
      </c>
      <c r="J711" t="b">
        <f t="shared" si="107"/>
        <v>1</v>
      </c>
      <c r="K711" t="b">
        <f t="shared" si="101"/>
        <v>1</v>
      </c>
      <c r="L711" t="b">
        <f t="shared" si="102"/>
        <v>1</v>
      </c>
      <c r="M711" t="b">
        <f t="shared" si="103"/>
        <v>1</v>
      </c>
      <c r="N711" t="b">
        <f t="shared" si="104"/>
        <v>1</v>
      </c>
      <c r="O711" t="b">
        <f t="shared" si="105"/>
        <v>1</v>
      </c>
    </row>
    <row r="712" spans="1:15" x14ac:dyDescent="0.35">
      <c r="A712" t="str">
        <v>mu_Wagon_Gen6_Car_Transporter</v>
      </c>
      <c r="B712" t="b" cm="1">
        <f t="array" ref="B712">_xlfn.XLOOKUP(A712,CONTROL[VEHIDCODE],PROPERTIES[EXCLUDE])</f>
        <v>0</v>
      </c>
      <c r="C712" t="b">
        <f>_xlfn.XLOOKUP(A712,CONTROL[VEHIDCODE],CONTROL[IS_WAGON_OR_COACH])</f>
        <v>1</v>
      </c>
      <c r="D712">
        <f>FLOOR(_xlfn.XLOOKUP($A712,PROPERTIES[VEHIDCODE],PROPERTIES[INTRODUCTION_YEAR]),20)</f>
        <v>2020</v>
      </c>
      <c r="E712" t="e">
        <f>_xlfn.XLOOKUP($A712,PROPERTIES[VEHIDCODE],#REF!)</f>
        <v>#REF!</v>
      </c>
      <c r="F712" s="25" t="str" cm="1">
        <f t="array" ref="F712">_xlfn.CONCAT(_xlfn.XLOOKUP($A712,PROPERTIES[VEHIDCODE],PROPERTIES[REGION1]),"_",_xlfn.XLOOKUP($A712,PROPERTIES[VEHIDCODE],PROPERTIES[REGION2]),"_",_xlfn.XLOOKUP($A712,PROPERTIES[VEHIDCODE],PROPERTIES[REGION3]&amp;"_"&amp;_xlfn.XLOOKUP($A712,PROPERTIES[VEHIDCODE],PROPERTIES[REGION4])))</f>
        <v>ALL_REGION_NO_REGION_NO_REGION_NO_REGION</v>
      </c>
      <c r="G712" t="b">
        <f t="shared" si="99"/>
        <v>1</v>
      </c>
      <c r="H712" t="b">
        <f t="shared" si="106"/>
        <v>1</v>
      </c>
      <c r="I712" t="b">
        <f t="shared" si="100"/>
        <v>1</v>
      </c>
      <c r="J712" t="b">
        <f t="shared" si="107"/>
        <v>1</v>
      </c>
      <c r="K712" t="b">
        <f t="shared" si="101"/>
        <v>1</v>
      </c>
      <c r="L712" t="b">
        <f t="shared" si="102"/>
        <v>1</v>
      </c>
      <c r="M712" t="b">
        <f t="shared" si="103"/>
        <v>1</v>
      </c>
      <c r="N712" t="b">
        <f t="shared" si="104"/>
        <v>1</v>
      </c>
      <c r="O712" t="b">
        <f t="shared" si="105"/>
        <v>1</v>
      </c>
    </row>
    <row r="713" spans="1:15" x14ac:dyDescent="0.35">
      <c r="A713" t="str">
        <v>mu_Wagon_Gen6_Container_Carrier</v>
      </c>
      <c r="B713" t="b" cm="1">
        <f t="array" ref="B713">_xlfn.XLOOKUP(A713,CONTROL[VEHIDCODE],PROPERTIES[EXCLUDE])</f>
        <v>0</v>
      </c>
      <c r="C713" t="b">
        <f>_xlfn.XLOOKUP(A713,CONTROL[VEHIDCODE],CONTROL[IS_WAGON_OR_COACH])</f>
        <v>1</v>
      </c>
      <c r="D713">
        <f>FLOOR(_xlfn.XLOOKUP($A713,PROPERTIES[VEHIDCODE],PROPERTIES[INTRODUCTION_YEAR]),20)</f>
        <v>2000</v>
      </c>
      <c r="E713" t="e">
        <f>_xlfn.XLOOKUP($A713,PROPERTIES[VEHIDCODE],#REF!)</f>
        <v>#REF!</v>
      </c>
      <c r="F713" s="25" t="str" cm="1">
        <f t="array" ref="F713">_xlfn.CONCAT(_xlfn.XLOOKUP($A713,PROPERTIES[VEHIDCODE],PROPERTIES[REGION1]),"_",_xlfn.XLOOKUP($A713,PROPERTIES[VEHIDCODE],PROPERTIES[REGION2]),"_",_xlfn.XLOOKUP($A713,PROPERTIES[VEHIDCODE],PROPERTIES[REGION3]&amp;"_"&amp;_xlfn.XLOOKUP($A713,PROPERTIES[VEHIDCODE],PROPERTIES[REGION4])))</f>
        <v>ALL_REGION_NO_REGION_NO_REGION_NO_REGION</v>
      </c>
      <c r="G713" t="b">
        <f t="shared" si="99"/>
        <v>1</v>
      </c>
      <c r="H713" t="b">
        <f t="shared" si="106"/>
        <v>1</v>
      </c>
      <c r="I713" t="b">
        <f t="shared" si="100"/>
        <v>1</v>
      </c>
      <c r="J713" t="b">
        <f t="shared" si="107"/>
        <v>1</v>
      </c>
      <c r="K713" t="b">
        <f t="shared" si="101"/>
        <v>1</v>
      </c>
      <c r="L713" t="b">
        <f t="shared" si="102"/>
        <v>1</v>
      </c>
      <c r="M713" t="b">
        <f t="shared" si="103"/>
        <v>1</v>
      </c>
      <c r="N713" t="b">
        <f t="shared" si="104"/>
        <v>1</v>
      </c>
      <c r="O713" t="b">
        <f t="shared" si="105"/>
        <v>1</v>
      </c>
    </row>
    <row r="714" spans="1:15" x14ac:dyDescent="0.35">
      <c r="A714" t="str">
        <v>mu_Wagon_Gen6_Centerbeam</v>
      </c>
      <c r="B714" t="b" cm="1">
        <f t="array" ref="B714">_xlfn.XLOOKUP(A714,CONTROL[VEHIDCODE],PROPERTIES[EXCLUDE])</f>
        <v>0</v>
      </c>
      <c r="C714" t="b">
        <f>_xlfn.XLOOKUP(A714,CONTROL[VEHIDCODE],CONTROL[IS_WAGON_OR_COACH])</f>
        <v>1</v>
      </c>
      <c r="D714">
        <f>FLOOR(_xlfn.XLOOKUP($A714,PROPERTIES[VEHIDCODE],PROPERTIES[INTRODUCTION_YEAR]),20)</f>
        <v>2000</v>
      </c>
      <c r="E714" t="e">
        <f>_xlfn.XLOOKUP($A714,PROPERTIES[VEHIDCODE],#REF!)</f>
        <v>#REF!</v>
      </c>
      <c r="F714" s="25" t="str" cm="1">
        <f t="array" ref="F714">_xlfn.CONCAT(_xlfn.XLOOKUP($A714,PROPERTIES[VEHIDCODE],PROPERTIES[REGION1]),"_",_xlfn.XLOOKUP($A714,PROPERTIES[VEHIDCODE],PROPERTIES[REGION2]),"_",_xlfn.XLOOKUP($A714,PROPERTIES[VEHIDCODE],PROPERTIES[REGION3]&amp;"_"&amp;_xlfn.XLOOKUP($A714,PROPERTIES[VEHIDCODE],PROPERTIES[REGION4])))</f>
        <v>ALL_REGION_NO_REGION_NO_REGION_NO_REGION</v>
      </c>
      <c r="G714" t="b">
        <f t="shared" si="99"/>
        <v>1</v>
      </c>
      <c r="H714" t="b">
        <f t="shared" si="106"/>
        <v>1</v>
      </c>
      <c r="I714" t="b">
        <f t="shared" si="100"/>
        <v>1</v>
      </c>
      <c r="J714" t="b">
        <f t="shared" si="107"/>
        <v>1</v>
      </c>
      <c r="K714" t="b">
        <f t="shared" si="101"/>
        <v>1</v>
      </c>
      <c r="L714" t="b">
        <f t="shared" si="102"/>
        <v>1</v>
      </c>
      <c r="M714" t="b">
        <f t="shared" si="103"/>
        <v>1</v>
      </c>
      <c r="N714" t="b">
        <f t="shared" si="104"/>
        <v>1</v>
      </c>
      <c r="O714" t="b">
        <f t="shared" si="105"/>
        <v>1</v>
      </c>
    </row>
    <row r="715" spans="1:15" x14ac:dyDescent="0.35">
      <c r="A715" t="str">
        <v>mu_Wagon_Gen6_Container_Doublestack</v>
      </c>
      <c r="B715" t="b" cm="1">
        <f t="array" ref="B715">_xlfn.XLOOKUP(A715,CONTROL[VEHIDCODE],PROPERTIES[EXCLUDE])</f>
        <v>0</v>
      </c>
      <c r="C715" t="b">
        <f>_xlfn.XLOOKUP(A715,CONTROL[VEHIDCODE],CONTROL[IS_WAGON_OR_COACH])</f>
        <v>1</v>
      </c>
      <c r="D715">
        <f>FLOOR(_xlfn.XLOOKUP($A715,PROPERTIES[VEHIDCODE],PROPERTIES[INTRODUCTION_YEAR]),20)</f>
        <v>2000</v>
      </c>
      <c r="E715" t="e">
        <f>_xlfn.XLOOKUP($A715,PROPERTIES[VEHIDCODE],#REF!)</f>
        <v>#REF!</v>
      </c>
      <c r="F715" s="25" t="str" cm="1">
        <f t="array" ref="F715">_xlfn.CONCAT(_xlfn.XLOOKUP($A715,PROPERTIES[VEHIDCODE],PROPERTIES[REGION1]),"_",_xlfn.XLOOKUP($A715,PROPERTIES[VEHIDCODE],PROPERTIES[REGION2]),"_",_xlfn.XLOOKUP($A715,PROPERTIES[VEHIDCODE],PROPERTIES[REGION3]&amp;"_"&amp;_xlfn.XLOOKUP($A715,PROPERTIES[VEHIDCODE],PROPERTIES[REGION4])))</f>
        <v>ALL_REGION_NO_REGION_NO_REGION_NO_REGION</v>
      </c>
      <c r="G715" t="b">
        <f t="shared" si="99"/>
        <v>1</v>
      </c>
      <c r="H715" t="b">
        <f t="shared" si="106"/>
        <v>1</v>
      </c>
      <c r="I715" t="b">
        <f t="shared" si="100"/>
        <v>1</v>
      </c>
      <c r="J715" t="b">
        <f t="shared" si="107"/>
        <v>1</v>
      </c>
      <c r="K715" t="b">
        <f t="shared" si="101"/>
        <v>1</v>
      </c>
      <c r="L715" t="b">
        <f t="shared" si="102"/>
        <v>1</v>
      </c>
      <c r="M715" t="b">
        <f t="shared" si="103"/>
        <v>1</v>
      </c>
      <c r="N715" t="b">
        <f t="shared" si="104"/>
        <v>1</v>
      </c>
      <c r="O715" t="b">
        <f t="shared" si="105"/>
        <v>1</v>
      </c>
    </row>
    <row r="716" spans="1:15" x14ac:dyDescent="0.35">
      <c r="A716" t="str">
        <v>mu_Wagon_Gen6_Superheavy_Flatcar</v>
      </c>
      <c r="B716" t="b" cm="1">
        <f t="array" ref="B716">_xlfn.XLOOKUP(A716,CONTROL[VEHIDCODE],PROPERTIES[EXCLUDE])</f>
        <v>0</v>
      </c>
      <c r="C716" t="b">
        <f>_xlfn.XLOOKUP(A716,CONTROL[VEHIDCODE],CONTROL[IS_WAGON_OR_COACH])</f>
        <v>1</v>
      </c>
      <c r="D716">
        <f>FLOOR(_xlfn.XLOOKUP($A716,PROPERTIES[VEHIDCODE],PROPERTIES[INTRODUCTION_YEAR]),20)</f>
        <v>2000</v>
      </c>
      <c r="E716" t="e">
        <f>_xlfn.XLOOKUP($A716,PROPERTIES[VEHIDCODE],#REF!)</f>
        <v>#REF!</v>
      </c>
      <c r="F716" s="25" t="str" cm="1">
        <f t="array" ref="F716">_xlfn.CONCAT(_xlfn.XLOOKUP($A716,PROPERTIES[VEHIDCODE],PROPERTIES[REGION1]),"_",_xlfn.XLOOKUP($A716,PROPERTIES[VEHIDCODE],PROPERTIES[REGION2]),"_",_xlfn.XLOOKUP($A716,PROPERTIES[VEHIDCODE],PROPERTIES[REGION3]&amp;"_"&amp;_xlfn.XLOOKUP($A716,PROPERTIES[VEHIDCODE],PROPERTIES[REGION4])))</f>
        <v>ALL_REGION_NO_REGION_NO_REGION_NO_REGION</v>
      </c>
      <c r="G716" t="b">
        <f t="shared" si="99"/>
        <v>1</v>
      </c>
      <c r="H716" t="b">
        <f t="shared" si="106"/>
        <v>1</v>
      </c>
      <c r="I716" t="b">
        <f t="shared" si="100"/>
        <v>1</v>
      </c>
      <c r="J716" t="b">
        <f t="shared" si="107"/>
        <v>1</v>
      </c>
      <c r="K716" t="b">
        <f t="shared" si="101"/>
        <v>1</v>
      </c>
      <c r="L716" t="b">
        <f t="shared" si="102"/>
        <v>1</v>
      </c>
      <c r="M716" t="b">
        <f t="shared" si="103"/>
        <v>1</v>
      </c>
      <c r="N716" t="b">
        <f t="shared" si="104"/>
        <v>1</v>
      </c>
      <c r="O716" t="b">
        <f t="shared" si="105"/>
        <v>1</v>
      </c>
    </row>
    <row r="717" spans="1:15" x14ac:dyDescent="0.35">
      <c r="A717" t="str">
        <v>mu_Wagon_Service_Car_Type1</v>
      </c>
      <c r="B717" t="b" cm="1">
        <f t="array" ref="B717">_xlfn.XLOOKUP(A717,CONTROL[VEHIDCODE],PROPERTIES[EXCLUDE])</f>
        <v>0</v>
      </c>
      <c r="C717" t="b">
        <f>_xlfn.XLOOKUP(A717,CONTROL[VEHIDCODE],CONTROL[IS_WAGON_OR_COACH])</f>
        <v>1</v>
      </c>
      <c r="D717">
        <f>FLOOR(_xlfn.XLOOKUP($A717,PROPERTIES[VEHIDCODE],PROPERTIES[INTRODUCTION_YEAR]),20)</f>
        <v>1660</v>
      </c>
      <c r="E717" t="e">
        <f>_xlfn.XLOOKUP($A717,PROPERTIES[VEHIDCODE],#REF!)</f>
        <v>#REF!</v>
      </c>
      <c r="F717" s="25" t="str" cm="1">
        <f t="array" ref="F717">_xlfn.CONCAT(_xlfn.XLOOKUP($A717,PROPERTIES[VEHIDCODE],PROPERTIES[REGION1]),"_",_xlfn.XLOOKUP($A717,PROPERTIES[VEHIDCODE],PROPERTIES[REGION2]),"_",_xlfn.XLOOKUP($A717,PROPERTIES[VEHIDCODE],PROPERTIES[REGION3]&amp;"_"&amp;_xlfn.XLOOKUP($A717,PROPERTIES[VEHIDCODE],PROPERTIES[REGION4])))</f>
        <v>ALL_REGION_NO_REGION_NO_REGION_NO_REGION</v>
      </c>
      <c r="G717" t="b">
        <f t="shared" si="99"/>
        <v>1</v>
      </c>
      <c r="H717" t="b">
        <f t="shared" si="106"/>
        <v>1</v>
      </c>
      <c r="I717" t="b">
        <f t="shared" si="100"/>
        <v>1</v>
      </c>
      <c r="J717" t="b">
        <f t="shared" si="107"/>
        <v>1</v>
      </c>
      <c r="K717" t="b">
        <f t="shared" si="101"/>
        <v>1</v>
      </c>
      <c r="L717" t="b">
        <f t="shared" si="102"/>
        <v>1</v>
      </c>
      <c r="M717" t="b">
        <f t="shared" si="103"/>
        <v>1</v>
      </c>
      <c r="N717" t="b">
        <f t="shared" si="104"/>
        <v>1</v>
      </c>
      <c r="O717" t="b">
        <f t="shared" si="105"/>
        <v>1</v>
      </c>
    </row>
    <row r="718" spans="1:15" x14ac:dyDescent="0.35">
      <c r="A718" t="str">
        <v>mu_Wagon_Service_Car_Type2</v>
      </c>
      <c r="B718" t="b" cm="1">
        <f t="array" ref="B718">_xlfn.XLOOKUP(A718,CONTROL[VEHIDCODE],PROPERTIES[EXCLUDE])</f>
        <v>0</v>
      </c>
      <c r="C718" t="b">
        <f>_xlfn.XLOOKUP(A718,CONTROL[VEHIDCODE],CONTROL[IS_WAGON_OR_COACH])</f>
        <v>1</v>
      </c>
      <c r="D718">
        <f>FLOOR(_xlfn.XLOOKUP($A718,PROPERTIES[VEHIDCODE],PROPERTIES[INTRODUCTION_YEAR]),20)</f>
        <v>1660</v>
      </c>
      <c r="E718" t="e">
        <f>_xlfn.XLOOKUP($A718,PROPERTIES[VEHIDCODE],#REF!)</f>
        <v>#REF!</v>
      </c>
      <c r="F718" s="25" t="str" cm="1">
        <f t="array" ref="F718">_xlfn.CONCAT(_xlfn.XLOOKUP($A718,PROPERTIES[VEHIDCODE],PROPERTIES[REGION1]),"_",_xlfn.XLOOKUP($A718,PROPERTIES[VEHIDCODE],PROPERTIES[REGION2]),"_",_xlfn.XLOOKUP($A718,PROPERTIES[VEHIDCODE],PROPERTIES[REGION3]&amp;"_"&amp;_xlfn.XLOOKUP($A718,PROPERTIES[VEHIDCODE],PROPERTIES[REGION4])))</f>
        <v>ALL_REGION_NO_REGION_NO_REGION_NO_REGION</v>
      </c>
      <c r="G718" t="b">
        <f t="shared" si="99"/>
        <v>1</v>
      </c>
      <c r="H718" t="b">
        <f t="shared" si="106"/>
        <v>1</v>
      </c>
      <c r="I718" t="b">
        <f t="shared" si="100"/>
        <v>1</v>
      </c>
      <c r="J718" t="b">
        <f t="shared" si="107"/>
        <v>1</v>
      </c>
      <c r="K718" t="b">
        <f t="shared" si="101"/>
        <v>1</v>
      </c>
      <c r="L718" t="b">
        <f t="shared" si="102"/>
        <v>1</v>
      </c>
      <c r="M718" t="b">
        <f t="shared" si="103"/>
        <v>1</v>
      </c>
      <c r="N718" t="b">
        <f t="shared" si="104"/>
        <v>1</v>
      </c>
      <c r="O718" t="b">
        <f t="shared" si="105"/>
        <v>1</v>
      </c>
    </row>
    <row r="719" spans="1:15" x14ac:dyDescent="0.35">
      <c r="A719" t="str">
        <v>mu_Coach_Gen1_Wooden_2_axle_Compartment_Coach</v>
      </c>
      <c r="B719" t="b" cm="1">
        <f t="array" ref="B719">_xlfn.XLOOKUP(A719,CONTROL[VEHIDCODE],PROPERTIES[EXCLUDE])</f>
        <v>0</v>
      </c>
      <c r="C719" t="b">
        <f>_xlfn.XLOOKUP(A719,CONTROL[VEHIDCODE],CONTROL[IS_WAGON_OR_COACH])</f>
        <v>1</v>
      </c>
      <c r="D719">
        <f>FLOOR(_xlfn.XLOOKUP($A719,PROPERTIES[VEHIDCODE],PROPERTIES[INTRODUCTION_YEAR]),20)</f>
        <v>1820</v>
      </c>
      <c r="E719" t="e">
        <f>_xlfn.XLOOKUP($A719,PROPERTIES[VEHIDCODE],#REF!)</f>
        <v>#REF!</v>
      </c>
      <c r="F719" s="25" t="str" cm="1">
        <f t="array" ref="F719">_xlfn.CONCAT(_xlfn.XLOOKUP($A719,PROPERTIES[VEHIDCODE],PROPERTIES[REGION1]),"_",_xlfn.XLOOKUP($A719,PROPERTIES[VEHIDCODE],PROPERTIES[REGION2]),"_",_xlfn.XLOOKUP($A719,PROPERTIES[VEHIDCODE],PROPERTIES[REGION3]&amp;"_"&amp;_xlfn.XLOOKUP($A719,PROPERTIES[VEHIDCODE],PROPERTIES[REGION4])))</f>
        <v>OLD_WORLD_OCEANIA_NO_REGION_NO_REGION</v>
      </c>
      <c r="G719" t="b">
        <f t="shared" si="99"/>
        <v>1</v>
      </c>
      <c r="H719" t="b">
        <f t="shared" si="106"/>
        <v>1</v>
      </c>
      <c r="I719" t="b">
        <f t="shared" si="100"/>
        <v>1</v>
      </c>
      <c r="J719" t="b">
        <f t="shared" si="107"/>
        <v>1</v>
      </c>
      <c r="K719" t="b">
        <f t="shared" si="101"/>
        <v>1</v>
      </c>
      <c r="L719" t="b">
        <f t="shared" si="102"/>
        <v>1</v>
      </c>
      <c r="M719" t="b">
        <f t="shared" si="103"/>
        <v>0</v>
      </c>
      <c r="N719" t="b">
        <f t="shared" si="104"/>
        <v>0</v>
      </c>
      <c r="O719" t="b">
        <f t="shared" si="105"/>
        <v>1</v>
      </c>
    </row>
    <row r="720" spans="1:15" x14ac:dyDescent="0.35">
      <c r="A720" t="str">
        <v>mu_Coach_Gen1_Wooden_2_axle_Regional_Coach</v>
      </c>
      <c r="B720" t="b" cm="1">
        <f t="array" ref="B720">_xlfn.XLOOKUP(A720,CONTROL[VEHIDCODE],PROPERTIES[EXCLUDE])</f>
        <v>0</v>
      </c>
      <c r="C720" t="b">
        <f>_xlfn.XLOOKUP(A720,CONTROL[VEHIDCODE],CONTROL[IS_WAGON_OR_COACH])</f>
        <v>1</v>
      </c>
      <c r="D720">
        <f>FLOOR(_xlfn.XLOOKUP($A720,PROPERTIES[VEHIDCODE],PROPERTIES[INTRODUCTION_YEAR]),20)</f>
        <v>1820</v>
      </c>
      <c r="E720" t="e">
        <f>_xlfn.XLOOKUP($A720,PROPERTIES[VEHIDCODE],#REF!)</f>
        <v>#REF!</v>
      </c>
      <c r="F720" s="25" t="str" cm="1">
        <f t="array" ref="F720">_xlfn.CONCAT(_xlfn.XLOOKUP($A720,PROPERTIES[VEHIDCODE],PROPERTIES[REGION1]),"_",_xlfn.XLOOKUP($A720,PROPERTIES[VEHIDCODE],PROPERTIES[REGION2]),"_",_xlfn.XLOOKUP($A720,PROPERTIES[VEHIDCODE],PROPERTIES[REGION3]&amp;"_"&amp;_xlfn.XLOOKUP($A720,PROPERTIES[VEHIDCODE],PROPERTIES[REGION4])))</f>
        <v>ALL_REGION_NO_REGION_NO_REGION_NO_REGION</v>
      </c>
      <c r="G720" t="b">
        <f t="shared" si="99"/>
        <v>1</v>
      </c>
      <c r="H720" t="b">
        <f t="shared" si="106"/>
        <v>1</v>
      </c>
      <c r="I720" t="b">
        <f t="shared" si="100"/>
        <v>1</v>
      </c>
      <c r="J720" t="b">
        <f t="shared" si="107"/>
        <v>1</v>
      </c>
      <c r="K720" t="b">
        <f t="shared" si="101"/>
        <v>1</v>
      </c>
      <c r="L720" t="b">
        <f t="shared" si="102"/>
        <v>1</v>
      </c>
      <c r="M720" t="b">
        <f t="shared" si="103"/>
        <v>1</v>
      </c>
      <c r="N720" t="b">
        <f t="shared" si="104"/>
        <v>1</v>
      </c>
      <c r="O720" t="b">
        <f t="shared" si="105"/>
        <v>1</v>
      </c>
    </row>
    <row r="721" spans="1:15" x14ac:dyDescent="0.35">
      <c r="A721" t="str">
        <v>mu_Coach_Gen1_Wooden_2_axle_Mail_Coach</v>
      </c>
      <c r="B721" t="b" cm="1">
        <f t="array" ref="B721">_xlfn.XLOOKUP(A721,CONTROL[VEHIDCODE],PROPERTIES[EXCLUDE])</f>
        <v>0</v>
      </c>
      <c r="C721" t="b">
        <f>_xlfn.XLOOKUP(A721,CONTROL[VEHIDCODE],CONTROL[IS_WAGON_OR_COACH])</f>
        <v>1</v>
      </c>
      <c r="D721">
        <f>FLOOR(_xlfn.XLOOKUP($A721,PROPERTIES[VEHIDCODE],PROPERTIES[INTRODUCTION_YEAR]),20)</f>
        <v>1820</v>
      </c>
      <c r="E721" t="e">
        <f>_xlfn.XLOOKUP($A721,PROPERTIES[VEHIDCODE],#REF!)</f>
        <v>#REF!</v>
      </c>
      <c r="F721" s="25" t="str" cm="1">
        <f t="array" ref="F721">_xlfn.CONCAT(_xlfn.XLOOKUP($A721,PROPERTIES[VEHIDCODE],PROPERTIES[REGION1]),"_",_xlfn.XLOOKUP($A721,PROPERTIES[VEHIDCODE],PROPERTIES[REGION2]),"_",_xlfn.XLOOKUP($A721,PROPERTIES[VEHIDCODE],PROPERTIES[REGION3]&amp;"_"&amp;_xlfn.XLOOKUP($A721,PROPERTIES[VEHIDCODE],PROPERTIES[REGION4])))</f>
        <v>ALL_REGION_NO_REGION_NO_REGION_NO_REGION</v>
      </c>
      <c r="G721" t="b">
        <f t="shared" si="99"/>
        <v>1</v>
      </c>
      <c r="H721" t="b">
        <f t="shared" si="106"/>
        <v>1</v>
      </c>
      <c r="I721" t="b">
        <f t="shared" si="100"/>
        <v>1</v>
      </c>
      <c r="J721" t="b">
        <f t="shared" si="107"/>
        <v>1</v>
      </c>
      <c r="K721" t="b">
        <f t="shared" si="101"/>
        <v>1</v>
      </c>
      <c r="L721" t="b">
        <f t="shared" si="102"/>
        <v>1</v>
      </c>
      <c r="M721" t="b">
        <f t="shared" si="103"/>
        <v>1</v>
      </c>
      <c r="N721" t="b">
        <f t="shared" si="104"/>
        <v>1</v>
      </c>
      <c r="O721" t="b">
        <f t="shared" si="105"/>
        <v>1</v>
      </c>
    </row>
    <row r="722" spans="1:15" x14ac:dyDescent="0.35">
      <c r="A722" t="str">
        <v>mu_Coach_Gen1_Clerestory_Compartment_Coach</v>
      </c>
      <c r="B722" t="b" cm="1">
        <f t="array" ref="B722">_xlfn.XLOOKUP(A722,CONTROL[VEHIDCODE],PROPERTIES[EXCLUDE])</f>
        <v>0</v>
      </c>
      <c r="C722" t="b">
        <f>_xlfn.XLOOKUP(A722,CONTROL[VEHIDCODE],CONTROL[IS_WAGON_OR_COACH])</f>
        <v>1</v>
      </c>
      <c r="D722">
        <f>FLOOR(_xlfn.XLOOKUP($A722,PROPERTIES[VEHIDCODE],PROPERTIES[INTRODUCTION_YEAR]),20)</f>
        <v>1840</v>
      </c>
      <c r="E722" t="e">
        <f>_xlfn.XLOOKUP($A722,PROPERTIES[VEHIDCODE],#REF!)</f>
        <v>#REF!</v>
      </c>
      <c r="F722" s="25" t="str" cm="1">
        <f t="array" ref="F722">_xlfn.CONCAT(_xlfn.XLOOKUP($A722,PROPERTIES[VEHIDCODE],PROPERTIES[REGION1]),"_",_xlfn.XLOOKUP($A722,PROPERTIES[VEHIDCODE],PROPERTIES[REGION2]),"_",_xlfn.XLOOKUP($A722,PROPERTIES[VEHIDCODE],PROPERTIES[REGION3]&amp;"_"&amp;_xlfn.XLOOKUP($A722,PROPERTIES[VEHIDCODE],PROPERTIES[REGION4])))</f>
        <v>OLD_WORLD_OCEANIA_NO_REGION_NO_REGION</v>
      </c>
      <c r="G722" t="b">
        <f t="shared" si="99"/>
        <v>1</v>
      </c>
      <c r="H722" t="b">
        <f t="shared" si="106"/>
        <v>1</v>
      </c>
      <c r="I722" t="b">
        <f t="shared" si="100"/>
        <v>1</v>
      </c>
      <c r="J722" t="b">
        <f t="shared" si="107"/>
        <v>1</v>
      </c>
      <c r="K722" t="b">
        <f t="shared" si="101"/>
        <v>1</v>
      </c>
      <c r="L722" t="b">
        <f t="shared" si="102"/>
        <v>1</v>
      </c>
      <c r="M722" t="b">
        <f t="shared" si="103"/>
        <v>0</v>
      </c>
      <c r="N722" t="b">
        <f t="shared" si="104"/>
        <v>0</v>
      </c>
      <c r="O722" t="b">
        <f t="shared" si="105"/>
        <v>1</v>
      </c>
    </row>
    <row r="723" spans="1:15" x14ac:dyDescent="0.35">
      <c r="A723" t="str">
        <v>mu_Coach_Gen1_Clerestory_Regional_Coach</v>
      </c>
      <c r="B723" t="b" cm="1">
        <f t="array" ref="B723">_xlfn.XLOOKUP(A723,CONTROL[VEHIDCODE],PROPERTIES[EXCLUDE])</f>
        <v>0</v>
      </c>
      <c r="C723" t="b">
        <f>_xlfn.XLOOKUP(A723,CONTROL[VEHIDCODE],CONTROL[IS_WAGON_OR_COACH])</f>
        <v>1</v>
      </c>
      <c r="D723">
        <f>FLOOR(_xlfn.XLOOKUP($A723,PROPERTIES[VEHIDCODE],PROPERTIES[INTRODUCTION_YEAR]),20)</f>
        <v>1840</v>
      </c>
      <c r="E723" t="e">
        <f>_xlfn.XLOOKUP($A723,PROPERTIES[VEHIDCODE],#REF!)</f>
        <v>#REF!</v>
      </c>
      <c r="F723" s="25" t="str" cm="1">
        <f t="array" ref="F723">_xlfn.CONCAT(_xlfn.XLOOKUP($A723,PROPERTIES[VEHIDCODE],PROPERTIES[REGION1]),"_",_xlfn.XLOOKUP($A723,PROPERTIES[VEHIDCODE],PROPERTIES[REGION2]),"_",_xlfn.XLOOKUP($A723,PROPERTIES[VEHIDCODE],PROPERTIES[REGION3]&amp;"_"&amp;_xlfn.XLOOKUP($A723,PROPERTIES[VEHIDCODE],PROPERTIES[REGION4])))</f>
        <v>ALL_REGION_NO_REGION_NO_REGION_NO_REGION</v>
      </c>
      <c r="G723" t="b">
        <f t="shared" si="99"/>
        <v>1</v>
      </c>
      <c r="H723" t="b">
        <f t="shared" si="106"/>
        <v>1</v>
      </c>
      <c r="I723" t="b">
        <f t="shared" si="100"/>
        <v>1</v>
      </c>
      <c r="J723" t="b">
        <f t="shared" si="107"/>
        <v>1</v>
      </c>
      <c r="K723" t="b">
        <f t="shared" si="101"/>
        <v>1</v>
      </c>
      <c r="L723" t="b">
        <f t="shared" si="102"/>
        <v>1</v>
      </c>
      <c r="M723" t="b">
        <f t="shared" si="103"/>
        <v>1</v>
      </c>
      <c r="N723" t="b">
        <f t="shared" si="104"/>
        <v>1</v>
      </c>
      <c r="O723" t="b">
        <f t="shared" si="105"/>
        <v>1</v>
      </c>
    </row>
    <row r="724" spans="1:15" x14ac:dyDescent="0.35">
      <c r="A724" t="str">
        <v>mu_Coach_Gen1_Clerestory_Mail_Coach</v>
      </c>
      <c r="B724" t="b" cm="1">
        <f t="array" ref="B724">_xlfn.XLOOKUP(A724,CONTROL[VEHIDCODE],PROPERTIES[EXCLUDE])</f>
        <v>0</v>
      </c>
      <c r="C724" t="b">
        <f>_xlfn.XLOOKUP(A724,CONTROL[VEHIDCODE],CONTROL[IS_WAGON_OR_COACH])</f>
        <v>1</v>
      </c>
      <c r="D724">
        <f>FLOOR(_xlfn.XLOOKUP($A724,PROPERTIES[VEHIDCODE],PROPERTIES[INTRODUCTION_YEAR]),20)</f>
        <v>1840</v>
      </c>
      <c r="E724" t="e">
        <f>_xlfn.XLOOKUP($A724,PROPERTIES[VEHIDCODE],#REF!)</f>
        <v>#REF!</v>
      </c>
      <c r="F724" s="25" t="str" cm="1">
        <f t="array" ref="F724">_xlfn.CONCAT(_xlfn.XLOOKUP($A724,PROPERTIES[VEHIDCODE],PROPERTIES[REGION1]),"_",_xlfn.XLOOKUP($A724,PROPERTIES[VEHIDCODE],PROPERTIES[REGION2]),"_",_xlfn.XLOOKUP($A724,PROPERTIES[VEHIDCODE],PROPERTIES[REGION3]&amp;"_"&amp;_xlfn.XLOOKUP($A724,PROPERTIES[VEHIDCODE],PROPERTIES[REGION4])))</f>
        <v>ALL_REGION_NO_REGION_NO_REGION_NO_REGION</v>
      </c>
      <c r="G724" t="b">
        <f t="shared" si="99"/>
        <v>1</v>
      </c>
      <c r="H724" t="b">
        <f t="shared" si="106"/>
        <v>1</v>
      </c>
      <c r="I724" t="b">
        <f t="shared" si="100"/>
        <v>1</v>
      </c>
      <c r="J724" t="b">
        <f t="shared" si="107"/>
        <v>1</v>
      </c>
      <c r="K724" t="b">
        <f t="shared" si="101"/>
        <v>1</v>
      </c>
      <c r="L724" t="b">
        <f t="shared" si="102"/>
        <v>1</v>
      </c>
      <c r="M724" t="b">
        <f t="shared" si="103"/>
        <v>1</v>
      </c>
      <c r="N724" t="b">
        <f t="shared" si="104"/>
        <v>1</v>
      </c>
      <c r="O724" t="b">
        <f t="shared" si="105"/>
        <v>1</v>
      </c>
    </row>
    <row r="725" spans="1:15" x14ac:dyDescent="0.35">
      <c r="A725" t="str">
        <v>mu_Coach_Gen1_Wooden_3_axle_Compartment_Coach</v>
      </c>
      <c r="B725" t="b" cm="1">
        <f t="array" ref="B725">_xlfn.XLOOKUP(A725,CONTROL[VEHIDCODE],PROPERTIES[EXCLUDE])</f>
        <v>0</v>
      </c>
      <c r="C725" t="b">
        <f>_xlfn.XLOOKUP(A725,CONTROL[VEHIDCODE],CONTROL[IS_WAGON_OR_COACH])</f>
        <v>1</v>
      </c>
      <c r="D725">
        <f>FLOOR(_xlfn.XLOOKUP($A725,PROPERTIES[VEHIDCODE],PROPERTIES[INTRODUCTION_YEAR]),20)</f>
        <v>1840</v>
      </c>
      <c r="E725" t="e">
        <f>_xlfn.XLOOKUP($A725,PROPERTIES[VEHIDCODE],#REF!)</f>
        <v>#REF!</v>
      </c>
      <c r="F725" s="25" t="str" cm="1">
        <f t="array" ref="F725">_xlfn.CONCAT(_xlfn.XLOOKUP($A725,PROPERTIES[VEHIDCODE],PROPERTIES[REGION1]),"_",_xlfn.XLOOKUP($A725,PROPERTIES[VEHIDCODE],PROPERTIES[REGION2]),"_",_xlfn.XLOOKUP($A725,PROPERTIES[VEHIDCODE],PROPERTIES[REGION3]&amp;"_"&amp;_xlfn.XLOOKUP($A725,PROPERTIES[VEHIDCODE],PROPERTIES[REGION4])))</f>
        <v>OLD_WORLD_OCEANIA_NO_REGION_NO_REGION</v>
      </c>
      <c r="G725" t="b">
        <f t="shared" si="99"/>
        <v>1</v>
      </c>
      <c r="H725" t="b">
        <f t="shared" si="106"/>
        <v>1</v>
      </c>
      <c r="I725" t="b">
        <f t="shared" si="100"/>
        <v>1</v>
      </c>
      <c r="J725" t="b">
        <f t="shared" si="107"/>
        <v>1</v>
      </c>
      <c r="K725" t="b">
        <f t="shared" si="101"/>
        <v>1</v>
      </c>
      <c r="L725" t="b">
        <f t="shared" si="102"/>
        <v>1</v>
      </c>
      <c r="M725" t="b">
        <f t="shared" si="103"/>
        <v>0</v>
      </c>
      <c r="N725" t="b">
        <f t="shared" si="104"/>
        <v>0</v>
      </c>
      <c r="O725" t="b">
        <f t="shared" si="105"/>
        <v>1</v>
      </c>
    </row>
    <row r="726" spans="1:15" x14ac:dyDescent="0.35">
      <c r="A726" t="str">
        <v>mu_Coach_Gen1_Wooden_3_axle_Regional_Coach</v>
      </c>
      <c r="B726" t="b" cm="1">
        <f t="array" ref="B726">_xlfn.XLOOKUP(A726,CONTROL[VEHIDCODE],PROPERTIES[EXCLUDE])</f>
        <v>0</v>
      </c>
      <c r="C726" t="b">
        <f>_xlfn.XLOOKUP(A726,CONTROL[VEHIDCODE],CONTROL[IS_WAGON_OR_COACH])</f>
        <v>1</v>
      </c>
      <c r="D726">
        <f>FLOOR(_xlfn.XLOOKUP($A726,PROPERTIES[VEHIDCODE],PROPERTIES[INTRODUCTION_YEAR]),20)</f>
        <v>1840</v>
      </c>
      <c r="E726" t="e">
        <f>_xlfn.XLOOKUP($A726,PROPERTIES[VEHIDCODE],#REF!)</f>
        <v>#REF!</v>
      </c>
      <c r="F726" s="25" t="str" cm="1">
        <f t="array" ref="F726">_xlfn.CONCAT(_xlfn.XLOOKUP($A726,PROPERTIES[VEHIDCODE],PROPERTIES[REGION1]),"_",_xlfn.XLOOKUP($A726,PROPERTIES[VEHIDCODE],PROPERTIES[REGION2]),"_",_xlfn.XLOOKUP($A726,PROPERTIES[VEHIDCODE],PROPERTIES[REGION3]&amp;"_"&amp;_xlfn.XLOOKUP($A726,PROPERTIES[VEHIDCODE],PROPERTIES[REGION4])))</f>
        <v>OLD_WORLD_OCEANIA_NO_REGION_NO_REGION</v>
      </c>
      <c r="G726" t="b">
        <f t="shared" si="99"/>
        <v>1</v>
      </c>
      <c r="H726" t="b">
        <f t="shared" si="106"/>
        <v>1</v>
      </c>
      <c r="I726" t="b">
        <f t="shared" si="100"/>
        <v>1</v>
      </c>
      <c r="J726" t="b">
        <f t="shared" si="107"/>
        <v>1</v>
      </c>
      <c r="K726" t="b">
        <f t="shared" si="101"/>
        <v>1</v>
      </c>
      <c r="L726" t="b">
        <f t="shared" si="102"/>
        <v>1</v>
      </c>
      <c r="M726" t="b">
        <f t="shared" si="103"/>
        <v>0</v>
      </c>
      <c r="N726" t="b">
        <f t="shared" si="104"/>
        <v>0</v>
      </c>
      <c r="O726" t="b">
        <f t="shared" si="105"/>
        <v>1</v>
      </c>
    </row>
    <row r="727" spans="1:15" x14ac:dyDescent="0.35">
      <c r="A727" t="str">
        <v>mu_Coach_Gen1_Wooden_3_axle_Mail_Coach</v>
      </c>
      <c r="B727" t="b" cm="1">
        <f t="array" ref="B727">_xlfn.XLOOKUP(A727,CONTROL[VEHIDCODE],PROPERTIES[EXCLUDE])</f>
        <v>0</v>
      </c>
      <c r="C727" t="b">
        <f>_xlfn.XLOOKUP(A727,CONTROL[VEHIDCODE],CONTROL[IS_WAGON_OR_COACH])</f>
        <v>1</v>
      </c>
      <c r="D727">
        <f>FLOOR(_xlfn.XLOOKUP($A727,PROPERTIES[VEHIDCODE],PROPERTIES[INTRODUCTION_YEAR]),20)</f>
        <v>1840</v>
      </c>
      <c r="E727" t="e">
        <f>_xlfn.XLOOKUP($A727,PROPERTIES[VEHIDCODE],#REF!)</f>
        <v>#REF!</v>
      </c>
      <c r="F727" s="25" t="str" cm="1">
        <f t="array" ref="F727">_xlfn.CONCAT(_xlfn.XLOOKUP($A727,PROPERTIES[VEHIDCODE],PROPERTIES[REGION1]),"_",_xlfn.XLOOKUP($A727,PROPERTIES[VEHIDCODE],PROPERTIES[REGION2]),"_",_xlfn.XLOOKUP($A727,PROPERTIES[VEHIDCODE],PROPERTIES[REGION3]&amp;"_"&amp;_xlfn.XLOOKUP($A727,PROPERTIES[VEHIDCODE],PROPERTIES[REGION4])))</f>
        <v>OLD_WORLD_OCEANIA_NO_REGION_NO_REGION</v>
      </c>
      <c r="G727" t="b">
        <f t="shared" si="99"/>
        <v>1</v>
      </c>
      <c r="H727" t="b">
        <f t="shared" si="106"/>
        <v>1</v>
      </c>
      <c r="I727" t="b">
        <f t="shared" si="100"/>
        <v>1</v>
      </c>
      <c r="J727" t="b">
        <f t="shared" si="107"/>
        <v>1</v>
      </c>
      <c r="K727" t="b">
        <f t="shared" si="101"/>
        <v>1</v>
      </c>
      <c r="L727" t="b">
        <f t="shared" si="102"/>
        <v>1</v>
      </c>
      <c r="M727" t="b">
        <f t="shared" si="103"/>
        <v>0</v>
      </c>
      <c r="N727" t="b">
        <f t="shared" si="104"/>
        <v>0</v>
      </c>
      <c r="O727" t="b">
        <f t="shared" si="105"/>
        <v>1</v>
      </c>
    </row>
    <row r="728" spans="1:15" x14ac:dyDescent="0.35">
      <c r="A728" t="str">
        <v>mu_Coach_Gen2_Heavyweight_Intercity_Coach</v>
      </c>
      <c r="B728" t="b" cm="1">
        <f t="array" ref="B728">_xlfn.XLOOKUP(A728,CONTROL[VEHIDCODE],PROPERTIES[EXCLUDE])</f>
        <v>0</v>
      </c>
      <c r="C728" t="b">
        <f>_xlfn.XLOOKUP(A728,CONTROL[VEHIDCODE],CONTROL[IS_WAGON_OR_COACH])</f>
        <v>1</v>
      </c>
      <c r="D728">
        <f>FLOOR(_xlfn.XLOOKUP($A728,PROPERTIES[VEHIDCODE],PROPERTIES[INTRODUCTION_YEAR]),20)</f>
        <v>1900</v>
      </c>
      <c r="E728" t="e">
        <f>_xlfn.XLOOKUP($A728,PROPERTIES[VEHIDCODE],#REF!)</f>
        <v>#REF!</v>
      </c>
      <c r="F728" s="25" t="str" cm="1">
        <f t="array" ref="F728">_xlfn.CONCAT(_xlfn.XLOOKUP($A728,PROPERTIES[VEHIDCODE],PROPERTIES[REGION1]),"_",_xlfn.XLOOKUP($A728,PROPERTIES[VEHIDCODE],PROPERTIES[REGION2]),"_",_xlfn.XLOOKUP($A728,PROPERTIES[VEHIDCODE],PROPERTIES[REGION3]&amp;"_"&amp;_xlfn.XLOOKUP($A728,PROPERTIES[VEHIDCODE],PROPERTIES[REGION4])))</f>
        <v>ALL_AMERICA_OCEANIA_NO_REGION_NO_REGION</v>
      </c>
      <c r="G728" t="b">
        <f t="shared" si="99"/>
        <v>0</v>
      </c>
      <c r="H728" t="b">
        <f t="shared" si="106"/>
        <v>0</v>
      </c>
      <c r="I728" t="b">
        <f t="shared" si="100"/>
        <v>0</v>
      </c>
      <c r="J728" t="b">
        <f t="shared" si="107"/>
        <v>0</v>
      </c>
      <c r="K728" t="b">
        <f t="shared" si="101"/>
        <v>0</v>
      </c>
      <c r="L728" t="b">
        <f t="shared" si="102"/>
        <v>0</v>
      </c>
      <c r="M728" t="b">
        <f t="shared" si="103"/>
        <v>1</v>
      </c>
      <c r="N728" t="b">
        <f t="shared" si="104"/>
        <v>1</v>
      </c>
      <c r="O728" t="b">
        <f t="shared" si="105"/>
        <v>1</v>
      </c>
    </row>
    <row r="729" spans="1:15" x14ac:dyDescent="0.35">
      <c r="A729" t="str">
        <v>mu_Coach_Gen2_Heavyweight_Mail_Coach</v>
      </c>
      <c r="B729" t="b" cm="1">
        <f t="array" ref="B729">_xlfn.XLOOKUP(A729,CONTROL[VEHIDCODE],PROPERTIES[EXCLUDE])</f>
        <v>0</v>
      </c>
      <c r="C729" t="b">
        <f>_xlfn.XLOOKUP(A729,CONTROL[VEHIDCODE],CONTROL[IS_WAGON_OR_COACH])</f>
        <v>1</v>
      </c>
      <c r="D729">
        <f>FLOOR(_xlfn.XLOOKUP($A729,PROPERTIES[VEHIDCODE],PROPERTIES[INTRODUCTION_YEAR]),20)</f>
        <v>1900</v>
      </c>
      <c r="E729" t="e">
        <f>_xlfn.XLOOKUP($A729,PROPERTIES[VEHIDCODE],#REF!)</f>
        <v>#REF!</v>
      </c>
      <c r="F729" s="25" t="str" cm="1">
        <f t="array" ref="F729">_xlfn.CONCAT(_xlfn.XLOOKUP($A729,PROPERTIES[VEHIDCODE],PROPERTIES[REGION1]),"_",_xlfn.XLOOKUP($A729,PROPERTIES[VEHIDCODE],PROPERTIES[REGION2]),"_",_xlfn.XLOOKUP($A729,PROPERTIES[VEHIDCODE],PROPERTIES[REGION3]&amp;"_"&amp;_xlfn.XLOOKUP($A729,PROPERTIES[VEHIDCODE],PROPERTIES[REGION4])))</f>
        <v>ALL_AMERICA_OCEANIA_NO_REGION_NO_REGION</v>
      </c>
      <c r="G729" t="b">
        <f t="shared" si="99"/>
        <v>0</v>
      </c>
      <c r="H729" t="b">
        <f t="shared" si="106"/>
        <v>0</v>
      </c>
      <c r="I729" t="b">
        <f t="shared" si="100"/>
        <v>0</v>
      </c>
      <c r="J729" t="b">
        <f t="shared" si="107"/>
        <v>0</v>
      </c>
      <c r="K729" t="b">
        <f t="shared" si="101"/>
        <v>0</v>
      </c>
      <c r="L729" t="b">
        <f t="shared" si="102"/>
        <v>0</v>
      </c>
      <c r="M729" t="b">
        <f t="shared" si="103"/>
        <v>1</v>
      </c>
      <c r="N729" t="b">
        <f t="shared" si="104"/>
        <v>1</v>
      </c>
      <c r="O729" t="b">
        <f t="shared" si="105"/>
        <v>1</v>
      </c>
    </row>
    <row r="730" spans="1:15" x14ac:dyDescent="0.35">
      <c r="A730" t="str">
        <v>mu_Coach_Gen2_Steel_Intercity_Coach</v>
      </c>
      <c r="B730" t="b" cm="1">
        <f t="array" ref="B730">_xlfn.XLOOKUP(A730,CONTROL[VEHIDCODE],PROPERTIES[EXCLUDE])</f>
        <v>0</v>
      </c>
      <c r="C730" t="b">
        <f>_xlfn.XLOOKUP(A730,CONTROL[VEHIDCODE],CONTROL[IS_WAGON_OR_COACH])</f>
        <v>1</v>
      </c>
      <c r="D730">
        <f>FLOOR(_xlfn.XLOOKUP($A730,PROPERTIES[VEHIDCODE],PROPERTIES[INTRODUCTION_YEAR]),20)</f>
        <v>1900</v>
      </c>
      <c r="E730" t="e">
        <f>_xlfn.XLOOKUP($A730,PROPERTIES[VEHIDCODE],#REF!)</f>
        <v>#REF!</v>
      </c>
      <c r="F730" s="25" t="str" cm="1">
        <f t="array" ref="F730">_xlfn.CONCAT(_xlfn.XLOOKUP($A730,PROPERTIES[VEHIDCODE],PROPERTIES[REGION1]),"_",_xlfn.XLOOKUP($A730,PROPERTIES[VEHIDCODE],PROPERTIES[REGION2]),"_",_xlfn.XLOOKUP($A730,PROPERTIES[VEHIDCODE],PROPERTIES[REGION3]&amp;"_"&amp;_xlfn.XLOOKUP($A730,PROPERTIES[VEHIDCODE],PROPERTIES[REGION4])))</f>
        <v>OLD_WORLD_OCEANIA_NO_REGION_NO_REGION</v>
      </c>
      <c r="G730" t="b">
        <f t="shared" si="99"/>
        <v>1</v>
      </c>
      <c r="H730" t="b">
        <f t="shared" si="106"/>
        <v>1</v>
      </c>
      <c r="I730" t="b">
        <f t="shared" si="100"/>
        <v>1</v>
      </c>
      <c r="J730" t="b">
        <f t="shared" si="107"/>
        <v>1</v>
      </c>
      <c r="K730" t="b">
        <f t="shared" si="101"/>
        <v>1</v>
      </c>
      <c r="L730" t="b">
        <f t="shared" si="102"/>
        <v>1</v>
      </c>
      <c r="M730" t="b">
        <f t="shared" si="103"/>
        <v>0</v>
      </c>
      <c r="N730" t="b">
        <f t="shared" si="104"/>
        <v>0</v>
      </c>
      <c r="O730" t="b">
        <f t="shared" si="105"/>
        <v>1</v>
      </c>
    </row>
    <row r="731" spans="1:15" x14ac:dyDescent="0.35">
      <c r="A731" t="str">
        <v>mu_Coach_Gen2_Steel_Compartment_Coach</v>
      </c>
      <c r="B731" t="b" cm="1">
        <f t="array" ref="B731">_xlfn.XLOOKUP(A731,CONTROL[VEHIDCODE],PROPERTIES[EXCLUDE])</f>
        <v>0</v>
      </c>
      <c r="C731" t="b">
        <f>_xlfn.XLOOKUP(A731,CONTROL[VEHIDCODE],CONTROL[IS_WAGON_OR_COACH])</f>
        <v>1</v>
      </c>
      <c r="D731">
        <f>FLOOR(_xlfn.XLOOKUP($A731,PROPERTIES[VEHIDCODE],PROPERTIES[INTRODUCTION_YEAR]),20)</f>
        <v>1900</v>
      </c>
      <c r="E731" t="e">
        <f>_xlfn.XLOOKUP($A731,PROPERTIES[VEHIDCODE],#REF!)</f>
        <v>#REF!</v>
      </c>
      <c r="F731" s="25" t="str" cm="1">
        <f t="array" ref="F731">_xlfn.CONCAT(_xlfn.XLOOKUP($A731,PROPERTIES[VEHIDCODE],PROPERTIES[REGION1]),"_",_xlfn.XLOOKUP($A731,PROPERTIES[VEHIDCODE],PROPERTIES[REGION2]),"_",_xlfn.XLOOKUP($A731,PROPERTIES[VEHIDCODE],PROPERTIES[REGION3]&amp;"_"&amp;_xlfn.XLOOKUP($A731,PROPERTIES[VEHIDCODE],PROPERTIES[REGION4])))</f>
        <v>OLD_WORLD_OCEANIA_NO_REGION_NO_REGION</v>
      </c>
      <c r="G731" t="b">
        <f t="shared" si="99"/>
        <v>1</v>
      </c>
      <c r="H731" t="b">
        <f t="shared" si="106"/>
        <v>1</v>
      </c>
      <c r="I731" t="b">
        <f t="shared" si="100"/>
        <v>1</v>
      </c>
      <c r="J731" t="b">
        <f t="shared" si="107"/>
        <v>1</v>
      </c>
      <c r="K731" t="b">
        <f t="shared" si="101"/>
        <v>1</v>
      </c>
      <c r="L731" t="b">
        <f t="shared" si="102"/>
        <v>1</v>
      </c>
      <c r="M731" t="b">
        <f t="shared" si="103"/>
        <v>0</v>
      </c>
      <c r="N731" t="b">
        <f t="shared" si="104"/>
        <v>0</v>
      </c>
      <c r="O731" t="b">
        <f t="shared" si="105"/>
        <v>1</v>
      </c>
    </row>
    <row r="732" spans="1:15" x14ac:dyDescent="0.35">
      <c r="A732" t="str">
        <v>mu_Coach_Gen2_Steel_Regional_Coach</v>
      </c>
      <c r="B732" t="b" cm="1">
        <f t="array" ref="B732">_xlfn.XLOOKUP(A732,CONTROL[VEHIDCODE],PROPERTIES[EXCLUDE])</f>
        <v>0</v>
      </c>
      <c r="C732" t="b">
        <f>_xlfn.XLOOKUP(A732,CONTROL[VEHIDCODE],CONTROL[IS_WAGON_OR_COACH])</f>
        <v>1</v>
      </c>
      <c r="D732">
        <f>FLOOR(_xlfn.XLOOKUP($A732,PROPERTIES[VEHIDCODE],PROPERTIES[INTRODUCTION_YEAR]),20)</f>
        <v>1900</v>
      </c>
      <c r="E732" t="e">
        <f>_xlfn.XLOOKUP($A732,PROPERTIES[VEHIDCODE],#REF!)</f>
        <v>#REF!</v>
      </c>
      <c r="F732" s="25" t="str" cm="1">
        <f t="array" ref="F732">_xlfn.CONCAT(_xlfn.XLOOKUP($A732,PROPERTIES[VEHIDCODE],PROPERTIES[REGION1]),"_",_xlfn.XLOOKUP($A732,PROPERTIES[VEHIDCODE],PROPERTIES[REGION2]),"_",_xlfn.XLOOKUP($A732,PROPERTIES[VEHIDCODE],PROPERTIES[REGION3]&amp;"_"&amp;_xlfn.XLOOKUP($A732,PROPERTIES[VEHIDCODE],PROPERTIES[REGION4])))</f>
        <v>OLD_WORLD_OCEANIA_NO_REGION_NO_REGION</v>
      </c>
      <c r="G732" t="b">
        <f t="shared" si="99"/>
        <v>1</v>
      </c>
      <c r="H732" t="b">
        <f t="shared" si="106"/>
        <v>1</v>
      </c>
      <c r="I732" t="b">
        <f t="shared" si="100"/>
        <v>1</v>
      </c>
      <c r="J732" t="b">
        <f t="shared" si="107"/>
        <v>1</v>
      </c>
      <c r="K732" t="b">
        <f t="shared" si="101"/>
        <v>1</v>
      </c>
      <c r="L732" t="b">
        <f t="shared" si="102"/>
        <v>1</v>
      </c>
      <c r="M732" t="b">
        <f t="shared" si="103"/>
        <v>0</v>
      </c>
      <c r="N732" t="b">
        <f t="shared" si="104"/>
        <v>0</v>
      </c>
      <c r="O732" t="b">
        <f t="shared" si="105"/>
        <v>1</v>
      </c>
    </row>
    <row r="733" spans="1:15" x14ac:dyDescent="0.35">
      <c r="A733" t="str">
        <v>mu_Coach_Gen2_Steel_Mail_Coach</v>
      </c>
      <c r="B733" t="b" cm="1">
        <f t="array" ref="B733">_xlfn.XLOOKUP(A733,CONTROL[VEHIDCODE],PROPERTIES[EXCLUDE])</f>
        <v>0</v>
      </c>
      <c r="C733" t="b">
        <f>_xlfn.XLOOKUP(A733,CONTROL[VEHIDCODE],CONTROL[IS_WAGON_OR_COACH])</f>
        <v>1</v>
      </c>
      <c r="D733">
        <f>FLOOR(_xlfn.XLOOKUP($A733,PROPERTIES[VEHIDCODE],PROPERTIES[INTRODUCTION_YEAR]),20)</f>
        <v>1900</v>
      </c>
      <c r="E733" t="e">
        <f>_xlfn.XLOOKUP($A733,PROPERTIES[VEHIDCODE],#REF!)</f>
        <v>#REF!</v>
      </c>
      <c r="F733" s="25" t="str" cm="1">
        <f t="array" ref="F733">_xlfn.CONCAT(_xlfn.XLOOKUP($A733,PROPERTIES[VEHIDCODE],PROPERTIES[REGION1]),"_",_xlfn.XLOOKUP($A733,PROPERTIES[VEHIDCODE],PROPERTIES[REGION2]),"_",_xlfn.XLOOKUP($A733,PROPERTIES[VEHIDCODE],PROPERTIES[REGION3]&amp;"_"&amp;_xlfn.XLOOKUP($A733,PROPERTIES[VEHIDCODE],PROPERTIES[REGION4])))</f>
        <v>OLD_WORLD_OCEANIA_NO_REGION_NO_REGION</v>
      </c>
      <c r="G733" t="b">
        <f t="shared" si="99"/>
        <v>1</v>
      </c>
      <c r="H733" t="b">
        <f t="shared" si="106"/>
        <v>1</v>
      </c>
      <c r="I733" t="b">
        <f t="shared" si="100"/>
        <v>1</v>
      </c>
      <c r="J733" t="b">
        <f t="shared" si="107"/>
        <v>1</v>
      </c>
      <c r="K733" t="b">
        <f t="shared" si="101"/>
        <v>1</v>
      </c>
      <c r="L733" t="b">
        <f t="shared" si="102"/>
        <v>1</v>
      </c>
      <c r="M733" t="b">
        <f t="shared" si="103"/>
        <v>0</v>
      </c>
      <c r="N733" t="b">
        <f t="shared" si="104"/>
        <v>0</v>
      </c>
      <c r="O733" t="b">
        <f t="shared" si="105"/>
        <v>1</v>
      </c>
    </row>
    <row r="734" spans="1:15" x14ac:dyDescent="0.35">
      <c r="A734" t="str">
        <v>mu_Coach_Gen2_Steel_2_axle_Compartment_Coach</v>
      </c>
      <c r="B734" t="b" cm="1">
        <f t="array" ref="B734">_xlfn.XLOOKUP(A734,CONTROL[VEHIDCODE],PROPERTIES[EXCLUDE])</f>
        <v>0</v>
      </c>
      <c r="C734" t="b">
        <f>_xlfn.XLOOKUP(A734,CONTROL[VEHIDCODE],CONTROL[IS_WAGON_OR_COACH])</f>
        <v>1</v>
      </c>
      <c r="D734">
        <f>FLOOR(_xlfn.XLOOKUP($A734,PROPERTIES[VEHIDCODE],PROPERTIES[INTRODUCTION_YEAR]),20)</f>
        <v>1920</v>
      </c>
      <c r="E734" t="e">
        <f>_xlfn.XLOOKUP($A734,PROPERTIES[VEHIDCODE],#REF!)</f>
        <v>#REF!</v>
      </c>
      <c r="F734" s="25" t="str" cm="1">
        <f t="array" ref="F734">_xlfn.CONCAT(_xlfn.XLOOKUP($A734,PROPERTIES[VEHIDCODE],PROPERTIES[REGION1]),"_",_xlfn.XLOOKUP($A734,PROPERTIES[VEHIDCODE],PROPERTIES[REGION2]),"_",_xlfn.XLOOKUP($A734,PROPERTIES[VEHIDCODE],PROPERTIES[REGION3]&amp;"_"&amp;_xlfn.XLOOKUP($A734,PROPERTIES[VEHIDCODE],PROPERTIES[REGION4])))</f>
        <v>OLD_WORLD_OCEANIA_NO_REGION_NO_REGION</v>
      </c>
      <c r="G734" t="b">
        <f t="shared" si="99"/>
        <v>1</v>
      </c>
      <c r="H734" t="b">
        <f t="shared" si="106"/>
        <v>1</v>
      </c>
      <c r="I734" t="b">
        <f t="shared" si="100"/>
        <v>1</v>
      </c>
      <c r="J734" t="b">
        <f t="shared" si="107"/>
        <v>1</v>
      </c>
      <c r="K734" t="b">
        <f t="shared" si="101"/>
        <v>1</v>
      </c>
      <c r="L734" t="b">
        <f t="shared" si="102"/>
        <v>1</v>
      </c>
      <c r="M734" t="b">
        <f t="shared" si="103"/>
        <v>0</v>
      </c>
      <c r="N734" t="b">
        <f t="shared" si="104"/>
        <v>0</v>
      </c>
      <c r="O734" t="b">
        <f t="shared" si="105"/>
        <v>1</v>
      </c>
    </row>
    <row r="735" spans="1:15" x14ac:dyDescent="0.35">
      <c r="A735" t="str">
        <v>mu_Coach_Gen2_Steel_2_axle_Regional_Coach</v>
      </c>
      <c r="B735" t="b" cm="1">
        <f t="array" ref="B735">_xlfn.XLOOKUP(A735,CONTROL[VEHIDCODE],PROPERTIES[EXCLUDE])</f>
        <v>0</v>
      </c>
      <c r="C735" t="b">
        <f>_xlfn.XLOOKUP(A735,CONTROL[VEHIDCODE],CONTROL[IS_WAGON_OR_COACH])</f>
        <v>1</v>
      </c>
      <c r="D735">
        <f>FLOOR(_xlfn.XLOOKUP($A735,PROPERTIES[VEHIDCODE],PROPERTIES[INTRODUCTION_YEAR]),20)</f>
        <v>1920</v>
      </c>
      <c r="E735" t="e">
        <f>_xlfn.XLOOKUP($A735,PROPERTIES[VEHIDCODE],#REF!)</f>
        <v>#REF!</v>
      </c>
      <c r="F735" s="25" t="str" cm="1">
        <f t="array" ref="F735">_xlfn.CONCAT(_xlfn.XLOOKUP($A735,PROPERTIES[VEHIDCODE],PROPERTIES[REGION1]),"_",_xlfn.XLOOKUP($A735,PROPERTIES[VEHIDCODE],PROPERTIES[REGION2]),"_",_xlfn.XLOOKUP($A735,PROPERTIES[VEHIDCODE],PROPERTIES[REGION3]&amp;"_"&amp;_xlfn.XLOOKUP($A735,PROPERTIES[VEHIDCODE],PROPERTIES[REGION4])))</f>
        <v>ALL_REGION_NO_REGION_NO_REGION_NO_REGION</v>
      </c>
      <c r="G735" t="b">
        <f t="shared" si="99"/>
        <v>1</v>
      </c>
      <c r="H735" t="b">
        <f t="shared" si="106"/>
        <v>1</v>
      </c>
      <c r="I735" t="b">
        <f t="shared" si="100"/>
        <v>1</v>
      </c>
      <c r="J735" t="b">
        <f t="shared" si="107"/>
        <v>1</v>
      </c>
      <c r="K735" t="b">
        <f t="shared" si="101"/>
        <v>1</v>
      </c>
      <c r="L735" t="b">
        <f t="shared" si="102"/>
        <v>1</v>
      </c>
      <c r="M735" t="b">
        <f t="shared" si="103"/>
        <v>1</v>
      </c>
      <c r="N735" t="b">
        <f t="shared" si="104"/>
        <v>1</v>
      </c>
      <c r="O735" t="b">
        <f t="shared" si="105"/>
        <v>1</v>
      </c>
    </row>
    <row r="736" spans="1:15" x14ac:dyDescent="0.35">
      <c r="A736" t="str">
        <v>mu_Coach_Gen2_Steel_2_axle_Mail_Coach</v>
      </c>
      <c r="B736" t="b" cm="1">
        <f t="array" ref="B736">_xlfn.XLOOKUP(A736,CONTROL[VEHIDCODE],PROPERTIES[EXCLUDE])</f>
        <v>0</v>
      </c>
      <c r="C736" t="b">
        <f>_xlfn.XLOOKUP(A736,CONTROL[VEHIDCODE],CONTROL[IS_WAGON_OR_COACH])</f>
        <v>1</v>
      </c>
      <c r="D736">
        <f>FLOOR(_xlfn.XLOOKUP($A736,PROPERTIES[VEHIDCODE],PROPERTIES[INTRODUCTION_YEAR]),20)</f>
        <v>1920</v>
      </c>
      <c r="E736" t="e">
        <f>_xlfn.XLOOKUP($A736,PROPERTIES[VEHIDCODE],#REF!)</f>
        <v>#REF!</v>
      </c>
      <c r="F736" s="25" t="str" cm="1">
        <f t="array" ref="F736">_xlfn.CONCAT(_xlfn.XLOOKUP($A736,PROPERTIES[VEHIDCODE],PROPERTIES[REGION1]),"_",_xlfn.XLOOKUP($A736,PROPERTIES[VEHIDCODE],PROPERTIES[REGION2]),"_",_xlfn.XLOOKUP($A736,PROPERTIES[VEHIDCODE],PROPERTIES[REGION3]&amp;"_"&amp;_xlfn.XLOOKUP($A736,PROPERTIES[VEHIDCODE],PROPERTIES[REGION4])))</f>
        <v>ALL_REGION_NO_REGION_NO_REGION_NO_REGION</v>
      </c>
      <c r="G736" t="b">
        <f t="shared" si="99"/>
        <v>1</v>
      </c>
      <c r="H736" t="b">
        <f t="shared" si="106"/>
        <v>1</v>
      </c>
      <c r="I736" t="b">
        <f t="shared" si="100"/>
        <v>1</v>
      </c>
      <c r="J736" t="b">
        <f t="shared" si="107"/>
        <v>1</v>
      </c>
      <c r="K736" t="b">
        <f t="shared" si="101"/>
        <v>1</v>
      </c>
      <c r="L736" t="b">
        <f t="shared" si="102"/>
        <v>1</v>
      </c>
      <c r="M736" t="b">
        <f t="shared" si="103"/>
        <v>1</v>
      </c>
      <c r="N736" t="b">
        <f t="shared" si="104"/>
        <v>1</v>
      </c>
      <c r="O736" t="b">
        <f t="shared" si="105"/>
        <v>1</v>
      </c>
    </row>
    <row r="737" spans="1:15" x14ac:dyDescent="0.35">
      <c r="A737" t="str">
        <v>mu_Coach_Gen2_Steel_3_axle_Compartment_Coach</v>
      </c>
      <c r="B737" t="b" cm="1">
        <f t="array" ref="B737">_xlfn.XLOOKUP(A737,CONTROL[VEHIDCODE],PROPERTIES[EXCLUDE])</f>
        <v>0</v>
      </c>
      <c r="C737" t="b">
        <f>_xlfn.XLOOKUP(A737,CONTROL[VEHIDCODE],CONTROL[IS_WAGON_OR_COACH])</f>
        <v>1</v>
      </c>
      <c r="D737">
        <f>FLOOR(_xlfn.XLOOKUP($A737,PROPERTIES[VEHIDCODE],PROPERTIES[INTRODUCTION_YEAR]),20)</f>
        <v>1920</v>
      </c>
      <c r="E737" t="e">
        <f>_xlfn.XLOOKUP($A737,PROPERTIES[VEHIDCODE],#REF!)</f>
        <v>#REF!</v>
      </c>
      <c r="F737" s="25" t="str" cm="1">
        <f t="array" ref="F737">_xlfn.CONCAT(_xlfn.XLOOKUP($A737,PROPERTIES[VEHIDCODE],PROPERTIES[REGION1]),"_",_xlfn.XLOOKUP($A737,PROPERTIES[VEHIDCODE],PROPERTIES[REGION2]),"_",_xlfn.XLOOKUP($A737,PROPERTIES[VEHIDCODE],PROPERTIES[REGION3]&amp;"_"&amp;_xlfn.XLOOKUP($A737,PROPERTIES[VEHIDCODE],PROPERTIES[REGION4])))</f>
        <v>OLD_WORLD_OCEANIA_NO_REGION_NO_REGION</v>
      </c>
      <c r="G737" t="b">
        <f t="shared" si="99"/>
        <v>1</v>
      </c>
      <c r="H737" t="b">
        <f t="shared" si="106"/>
        <v>1</v>
      </c>
      <c r="I737" t="b">
        <f t="shared" si="100"/>
        <v>1</v>
      </c>
      <c r="J737" t="b">
        <f t="shared" si="107"/>
        <v>1</v>
      </c>
      <c r="K737" t="b">
        <f t="shared" si="101"/>
        <v>1</v>
      </c>
      <c r="L737" t="b">
        <f t="shared" si="102"/>
        <v>1</v>
      </c>
      <c r="M737" t="b">
        <f t="shared" si="103"/>
        <v>0</v>
      </c>
      <c r="N737" t="b">
        <f t="shared" si="104"/>
        <v>0</v>
      </c>
      <c r="O737" t="b">
        <f t="shared" si="105"/>
        <v>1</v>
      </c>
    </row>
    <row r="738" spans="1:15" x14ac:dyDescent="0.35">
      <c r="A738" t="str">
        <v>mu_Coach_Gen2_Steel_3_axle_Regional_Coach</v>
      </c>
      <c r="B738" t="b" cm="1">
        <f t="array" ref="B738">_xlfn.XLOOKUP(A738,CONTROL[VEHIDCODE],PROPERTIES[EXCLUDE])</f>
        <v>0</v>
      </c>
      <c r="C738" t="b">
        <f>_xlfn.XLOOKUP(A738,CONTROL[VEHIDCODE],CONTROL[IS_WAGON_OR_COACH])</f>
        <v>1</v>
      </c>
      <c r="D738">
        <f>FLOOR(_xlfn.XLOOKUP($A738,PROPERTIES[VEHIDCODE],PROPERTIES[INTRODUCTION_YEAR]),20)</f>
        <v>1920</v>
      </c>
      <c r="E738" t="e">
        <f>_xlfn.XLOOKUP($A738,PROPERTIES[VEHIDCODE],#REF!)</f>
        <v>#REF!</v>
      </c>
      <c r="F738" s="25" t="str" cm="1">
        <f t="array" ref="F738">_xlfn.CONCAT(_xlfn.XLOOKUP($A738,PROPERTIES[VEHIDCODE],PROPERTIES[REGION1]),"_",_xlfn.XLOOKUP($A738,PROPERTIES[VEHIDCODE],PROPERTIES[REGION2]),"_",_xlfn.XLOOKUP($A738,PROPERTIES[VEHIDCODE],PROPERTIES[REGION3]&amp;"_"&amp;_xlfn.XLOOKUP($A738,PROPERTIES[VEHIDCODE],PROPERTIES[REGION4])))</f>
        <v>OLD_WORLD_OCEANIA_NO_REGION_NO_REGION</v>
      </c>
      <c r="G738" t="b">
        <f t="shared" si="99"/>
        <v>1</v>
      </c>
      <c r="H738" t="b">
        <f t="shared" si="106"/>
        <v>1</v>
      </c>
      <c r="I738" t="b">
        <f t="shared" si="100"/>
        <v>1</v>
      </c>
      <c r="J738" t="b">
        <f t="shared" si="107"/>
        <v>1</v>
      </c>
      <c r="K738" t="b">
        <f t="shared" si="101"/>
        <v>1</v>
      </c>
      <c r="L738" t="b">
        <f t="shared" si="102"/>
        <v>1</v>
      </c>
      <c r="M738" t="b">
        <f t="shared" si="103"/>
        <v>0</v>
      </c>
      <c r="N738" t="b">
        <f t="shared" si="104"/>
        <v>0</v>
      </c>
      <c r="O738" t="b">
        <f t="shared" si="105"/>
        <v>1</v>
      </c>
    </row>
    <row r="739" spans="1:15" x14ac:dyDescent="0.35">
      <c r="A739" t="str">
        <v>mu_Coach_Gen2_Steel_3_axle_Mail_Coach</v>
      </c>
      <c r="B739" t="b" cm="1">
        <f t="array" ref="B739">_xlfn.XLOOKUP(A739,CONTROL[VEHIDCODE],PROPERTIES[EXCLUDE])</f>
        <v>0</v>
      </c>
      <c r="C739" t="b">
        <f>_xlfn.XLOOKUP(A739,CONTROL[VEHIDCODE],CONTROL[IS_WAGON_OR_COACH])</f>
        <v>1</v>
      </c>
      <c r="D739">
        <f>FLOOR(_xlfn.XLOOKUP($A739,PROPERTIES[VEHIDCODE],PROPERTIES[INTRODUCTION_YEAR]),20)</f>
        <v>1920</v>
      </c>
      <c r="E739" t="e">
        <f>_xlfn.XLOOKUP($A739,PROPERTIES[VEHIDCODE],#REF!)</f>
        <v>#REF!</v>
      </c>
      <c r="F739" s="25" t="str" cm="1">
        <f t="array" ref="F739">_xlfn.CONCAT(_xlfn.XLOOKUP($A739,PROPERTIES[VEHIDCODE],PROPERTIES[REGION1]),"_",_xlfn.XLOOKUP($A739,PROPERTIES[VEHIDCODE],PROPERTIES[REGION2]),"_",_xlfn.XLOOKUP($A739,PROPERTIES[VEHIDCODE],PROPERTIES[REGION3]&amp;"_"&amp;_xlfn.XLOOKUP($A739,PROPERTIES[VEHIDCODE],PROPERTIES[REGION4])))</f>
        <v>OLD_WORLD_OCEANIA_NO_REGION_NO_REGION</v>
      </c>
      <c r="G739" t="b">
        <f t="shared" si="99"/>
        <v>1</v>
      </c>
      <c r="H739" t="b">
        <f t="shared" si="106"/>
        <v>1</v>
      </c>
      <c r="I739" t="b">
        <f t="shared" si="100"/>
        <v>1</v>
      </c>
      <c r="J739" t="b">
        <f t="shared" si="107"/>
        <v>1</v>
      </c>
      <c r="K739" t="b">
        <f t="shared" si="101"/>
        <v>1</v>
      </c>
      <c r="L739" t="b">
        <f t="shared" si="102"/>
        <v>1</v>
      </c>
      <c r="M739" t="b">
        <f t="shared" si="103"/>
        <v>0</v>
      </c>
      <c r="N739" t="b">
        <f t="shared" si="104"/>
        <v>0</v>
      </c>
      <c r="O739" t="b">
        <f t="shared" si="105"/>
        <v>1</v>
      </c>
    </row>
    <row r="740" spans="1:15" x14ac:dyDescent="0.35">
      <c r="A740" t="str">
        <v>mu_Coach_Gen3_Steel_Lightweight_Intercity_Coach</v>
      </c>
      <c r="B740" t="b" cm="1">
        <f t="array" ref="B740">_xlfn.XLOOKUP(A740,CONTROL[VEHIDCODE],PROPERTIES[EXCLUDE])</f>
        <v>0</v>
      </c>
      <c r="C740" t="b">
        <f>_xlfn.XLOOKUP(A740,CONTROL[VEHIDCODE],CONTROL[IS_WAGON_OR_COACH])</f>
        <v>1</v>
      </c>
      <c r="D740">
        <f>FLOOR(_xlfn.XLOOKUP($A740,PROPERTIES[VEHIDCODE],PROPERTIES[INTRODUCTION_YEAR]),20)</f>
        <v>1920</v>
      </c>
      <c r="E740" t="e">
        <f>_xlfn.XLOOKUP($A740,PROPERTIES[VEHIDCODE],#REF!)</f>
        <v>#REF!</v>
      </c>
      <c r="F740" s="25" t="str" cm="1">
        <f t="array" ref="F740">_xlfn.CONCAT(_xlfn.XLOOKUP($A740,PROPERTIES[VEHIDCODE],PROPERTIES[REGION1]),"_",_xlfn.XLOOKUP($A740,PROPERTIES[VEHIDCODE],PROPERTIES[REGION2]),"_",_xlfn.XLOOKUP($A740,PROPERTIES[VEHIDCODE],PROPERTIES[REGION3]&amp;"_"&amp;_xlfn.XLOOKUP($A740,PROPERTIES[VEHIDCODE],PROPERTIES[REGION4])))</f>
        <v>APAC_ALL_AMERICA_NO_REGION_NO_REGION</v>
      </c>
      <c r="G740" t="b">
        <f t="shared" si="99"/>
        <v>0</v>
      </c>
      <c r="H740" t="b">
        <f t="shared" si="106"/>
        <v>1</v>
      </c>
      <c r="I740" t="b">
        <f t="shared" si="100"/>
        <v>0</v>
      </c>
      <c r="J740" t="b">
        <f t="shared" si="107"/>
        <v>0</v>
      </c>
      <c r="K740" t="b">
        <f t="shared" si="101"/>
        <v>0</v>
      </c>
      <c r="L740" t="b">
        <f t="shared" si="102"/>
        <v>0</v>
      </c>
      <c r="M740" t="b">
        <f t="shared" si="103"/>
        <v>1</v>
      </c>
      <c r="N740" t="b">
        <f t="shared" si="104"/>
        <v>1</v>
      </c>
      <c r="O740" t="b">
        <f t="shared" si="105"/>
        <v>1</v>
      </c>
    </row>
    <row r="741" spans="1:15" x14ac:dyDescent="0.35">
      <c r="A741" t="str">
        <v>mu_Coach_Gen3_Steel_Lightweight_Regional_Coach</v>
      </c>
      <c r="B741" t="b" cm="1">
        <f t="array" ref="B741">_xlfn.XLOOKUP(A741,CONTROL[VEHIDCODE],PROPERTIES[EXCLUDE])</f>
        <v>0</v>
      </c>
      <c r="C741" t="b">
        <f>_xlfn.XLOOKUP(A741,CONTROL[VEHIDCODE],CONTROL[IS_WAGON_OR_COACH])</f>
        <v>1</v>
      </c>
      <c r="D741">
        <f>FLOOR(_xlfn.XLOOKUP($A741,PROPERTIES[VEHIDCODE],PROPERTIES[INTRODUCTION_YEAR]),20)</f>
        <v>1920</v>
      </c>
      <c r="E741" t="e">
        <f>_xlfn.XLOOKUP($A741,PROPERTIES[VEHIDCODE],#REF!)</f>
        <v>#REF!</v>
      </c>
      <c r="F741" s="25" t="str" cm="1">
        <f t="array" ref="F741">_xlfn.CONCAT(_xlfn.XLOOKUP($A741,PROPERTIES[VEHIDCODE],PROPERTIES[REGION1]),"_",_xlfn.XLOOKUP($A741,PROPERTIES[VEHIDCODE],PROPERTIES[REGION2]),"_",_xlfn.XLOOKUP($A741,PROPERTIES[VEHIDCODE],PROPERTIES[REGION3]&amp;"_"&amp;_xlfn.XLOOKUP($A741,PROPERTIES[VEHIDCODE],PROPERTIES[REGION4])))</f>
        <v>APAC_ALL_AMERICA_NO_REGION_NO_REGION</v>
      </c>
      <c r="G741" t="b">
        <f t="shared" si="99"/>
        <v>0</v>
      </c>
      <c r="H741" t="b">
        <f t="shared" si="106"/>
        <v>1</v>
      </c>
      <c r="I741" t="b">
        <f t="shared" si="100"/>
        <v>0</v>
      </c>
      <c r="J741" t="b">
        <f t="shared" si="107"/>
        <v>0</v>
      </c>
      <c r="K741" t="b">
        <f t="shared" si="101"/>
        <v>0</v>
      </c>
      <c r="L741" t="b">
        <f t="shared" si="102"/>
        <v>0</v>
      </c>
      <c r="M741" t="b">
        <f t="shared" si="103"/>
        <v>1</v>
      </c>
      <c r="N741" t="b">
        <f t="shared" si="104"/>
        <v>1</v>
      </c>
      <c r="O741" t="b">
        <f t="shared" si="105"/>
        <v>1</v>
      </c>
    </row>
    <row r="742" spans="1:15" x14ac:dyDescent="0.35">
      <c r="A742" t="str">
        <v>mu_Coach_Gen3_Steel_Lightweight_Mail_Coach</v>
      </c>
      <c r="B742" t="b" cm="1">
        <f t="array" ref="B742">_xlfn.XLOOKUP(A742,CONTROL[VEHIDCODE],PROPERTIES[EXCLUDE])</f>
        <v>0</v>
      </c>
      <c r="C742" t="b">
        <f>_xlfn.XLOOKUP(A742,CONTROL[VEHIDCODE],CONTROL[IS_WAGON_OR_COACH])</f>
        <v>1</v>
      </c>
      <c r="D742">
        <f>FLOOR(_xlfn.XLOOKUP($A742,PROPERTIES[VEHIDCODE],PROPERTIES[INTRODUCTION_YEAR]),20)</f>
        <v>1920</v>
      </c>
      <c r="E742" t="e">
        <f>_xlfn.XLOOKUP($A742,PROPERTIES[VEHIDCODE],#REF!)</f>
        <v>#REF!</v>
      </c>
      <c r="F742" s="25" t="str" cm="1">
        <f t="array" ref="F742">_xlfn.CONCAT(_xlfn.XLOOKUP($A742,PROPERTIES[VEHIDCODE],PROPERTIES[REGION1]),"_",_xlfn.XLOOKUP($A742,PROPERTIES[VEHIDCODE],PROPERTIES[REGION2]),"_",_xlfn.XLOOKUP($A742,PROPERTIES[VEHIDCODE],PROPERTIES[REGION3]&amp;"_"&amp;_xlfn.XLOOKUP($A742,PROPERTIES[VEHIDCODE],PROPERTIES[REGION4])))</f>
        <v>APAC_ALL_AMERICA_NO_REGION_NO_REGION</v>
      </c>
      <c r="G742" t="b">
        <f t="shared" si="99"/>
        <v>0</v>
      </c>
      <c r="H742" t="b">
        <f t="shared" si="106"/>
        <v>1</v>
      </c>
      <c r="I742" t="b">
        <f t="shared" si="100"/>
        <v>0</v>
      </c>
      <c r="J742" t="b">
        <f t="shared" si="107"/>
        <v>0</v>
      </c>
      <c r="K742" t="b">
        <f t="shared" si="101"/>
        <v>0</v>
      </c>
      <c r="L742" t="b">
        <f t="shared" si="102"/>
        <v>0</v>
      </c>
      <c r="M742" t="b">
        <f t="shared" si="103"/>
        <v>1</v>
      </c>
      <c r="N742" t="b">
        <f t="shared" si="104"/>
        <v>1</v>
      </c>
      <c r="O742" t="b">
        <f t="shared" si="105"/>
        <v>1</v>
      </c>
    </row>
    <row r="743" spans="1:15" x14ac:dyDescent="0.35">
      <c r="A743" t="str">
        <v>mu_Coach_Gen3_Aluminium_Lightweight_Intercity_Coach</v>
      </c>
      <c r="B743" t="b" cm="1">
        <f t="array" ref="B743">_xlfn.XLOOKUP(A743,CONTROL[VEHIDCODE],PROPERTIES[EXCLUDE])</f>
        <v>0</v>
      </c>
      <c r="C743" t="b">
        <f>_xlfn.XLOOKUP(A743,CONTROL[VEHIDCODE],CONTROL[IS_WAGON_OR_COACH])</f>
        <v>1</v>
      </c>
      <c r="D743">
        <f>FLOOR(_xlfn.XLOOKUP($A743,PROPERTIES[VEHIDCODE],PROPERTIES[INTRODUCTION_YEAR]),20)</f>
        <v>1940</v>
      </c>
      <c r="E743" t="e">
        <f>_xlfn.XLOOKUP($A743,PROPERTIES[VEHIDCODE],#REF!)</f>
        <v>#REF!</v>
      </c>
      <c r="F743" s="25" t="str" cm="1">
        <f t="array" ref="F743">_xlfn.CONCAT(_xlfn.XLOOKUP($A743,PROPERTIES[VEHIDCODE],PROPERTIES[REGION1]),"_",_xlfn.XLOOKUP($A743,PROPERTIES[VEHIDCODE],PROPERTIES[REGION2]),"_",_xlfn.XLOOKUP($A743,PROPERTIES[VEHIDCODE],PROPERTIES[REGION3]&amp;"_"&amp;_xlfn.XLOOKUP($A743,PROPERTIES[VEHIDCODE],PROPERTIES[REGION4])))</f>
        <v>OLD_WORLD_OCEANIA_NO_REGION_NO_REGION</v>
      </c>
      <c r="G743" t="b">
        <f t="shared" si="99"/>
        <v>1</v>
      </c>
      <c r="H743" t="b">
        <f t="shared" si="106"/>
        <v>1</v>
      </c>
      <c r="I743" t="b">
        <f t="shared" si="100"/>
        <v>1</v>
      </c>
      <c r="J743" t="b">
        <f t="shared" si="107"/>
        <v>1</v>
      </c>
      <c r="K743" t="b">
        <f t="shared" si="101"/>
        <v>1</v>
      </c>
      <c r="L743" t="b">
        <f t="shared" si="102"/>
        <v>1</v>
      </c>
      <c r="M743" t="b">
        <f t="shared" si="103"/>
        <v>0</v>
      </c>
      <c r="N743" t="b">
        <f t="shared" si="104"/>
        <v>0</v>
      </c>
      <c r="O743" t="b">
        <f t="shared" si="105"/>
        <v>1</v>
      </c>
    </row>
    <row r="744" spans="1:15" x14ac:dyDescent="0.35">
      <c r="A744" t="str">
        <v>mu_Coach_Gen3_Aluminium_Lightweight_Regional_Coach</v>
      </c>
      <c r="B744" t="b" cm="1">
        <f t="array" ref="B744">_xlfn.XLOOKUP(A744,CONTROL[VEHIDCODE],PROPERTIES[EXCLUDE])</f>
        <v>0</v>
      </c>
      <c r="C744" t="b">
        <f>_xlfn.XLOOKUP(A744,CONTROL[VEHIDCODE],CONTROL[IS_WAGON_OR_COACH])</f>
        <v>1</v>
      </c>
      <c r="D744">
        <f>FLOOR(_xlfn.XLOOKUP($A744,PROPERTIES[VEHIDCODE],PROPERTIES[INTRODUCTION_YEAR]),20)</f>
        <v>1940</v>
      </c>
      <c r="E744" t="e">
        <f>_xlfn.XLOOKUP($A744,PROPERTIES[VEHIDCODE],#REF!)</f>
        <v>#REF!</v>
      </c>
      <c r="F744" s="25" t="str" cm="1">
        <f t="array" ref="F744">_xlfn.CONCAT(_xlfn.XLOOKUP($A744,PROPERTIES[VEHIDCODE],PROPERTIES[REGION1]),"_",_xlfn.XLOOKUP($A744,PROPERTIES[VEHIDCODE],PROPERTIES[REGION2]),"_",_xlfn.XLOOKUP($A744,PROPERTIES[VEHIDCODE],PROPERTIES[REGION3]&amp;"_"&amp;_xlfn.XLOOKUP($A744,PROPERTIES[VEHIDCODE],PROPERTIES[REGION4])))</f>
        <v>ALL_AMERICA_OCEANIA_NO_REGION_NO_REGION</v>
      </c>
      <c r="G744" t="b">
        <f t="shared" si="99"/>
        <v>0</v>
      </c>
      <c r="H744" t="b">
        <f t="shared" si="106"/>
        <v>0</v>
      </c>
      <c r="I744" t="b">
        <f t="shared" si="100"/>
        <v>0</v>
      </c>
      <c r="J744" t="b">
        <f t="shared" si="107"/>
        <v>0</v>
      </c>
      <c r="K744" t="b">
        <f t="shared" si="101"/>
        <v>0</v>
      </c>
      <c r="L744" t="b">
        <f t="shared" si="102"/>
        <v>0</v>
      </c>
      <c r="M744" t="b">
        <f t="shared" si="103"/>
        <v>1</v>
      </c>
      <c r="N744" t="b">
        <f t="shared" si="104"/>
        <v>1</v>
      </c>
      <c r="O744" t="b">
        <f t="shared" si="105"/>
        <v>1</v>
      </c>
    </row>
    <row r="745" spans="1:15" x14ac:dyDescent="0.35">
      <c r="A745" t="str">
        <v>mu_Coach_Gen3_Aluminium_Lightweight_Mail_Coach</v>
      </c>
      <c r="B745" t="b" cm="1">
        <f t="array" ref="B745">_xlfn.XLOOKUP(A745,CONTROL[VEHIDCODE],PROPERTIES[EXCLUDE])</f>
        <v>0</v>
      </c>
      <c r="C745" t="b">
        <f>_xlfn.XLOOKUP(A745,CONTROL[VEHIDCODE],CONTROL[IS_WAGON_OR_COACH])</f>
        <v>1</v>
      </c>
      <c r="D745">
        <f>FLOOR(_xlfn.XLOOKUP($A745,PROPERTIES[VEHIDCODE],PROPERTIES[INTRODUCTION_YEAR]),20)</f>
        <v>1940</v>
      </c>
      <c r="E745" t="e">
        <f>_xlfn.XLOOKUP($A745,PROPERTIES[VEHIDCODE],#REF!)</f>
        <v>#REF!</v>
      </c>
      <c r="F745" s="25" t="str" cm="1">
        <f t="array" ref="F745">_xlfn.CONCAT(_xlfn.XLOOKUP($A745,PROPERTIES[VEHIDCODE],PROPERTIES[REGION1]),"_",_xlfn.XLOOKUP($A745,PROPERTIES[VEHIDCODE],PROPERTIES[REGION2]),"_",_xlfn.XLOOKUP($A745,PROPERTIES[VEHIDCODE],PROPERTIES[REGION3]&amp;"_"&amp;_xlfn.XLOOKUP($A745,PROPERTIES[VEHIDCODE],PROPERTIES[REGION4])))</f>
        <v>ALL_AMERICA_OCEANIA_NO_REGION_NO_REGION</v>
      </c>
      <c r="G745" t="b">
        <f t="shared" si="99"/>
        <v>0</v>
      </c>
      <c r="H745" t="b">
        <f t="shared" si="106"/>
        <v>0</v>
      </c>
      <c r="I745" t="b">
        <f t="shared" si="100"/>
        <v>0</v>
      </c>
      <c r="J745" t="b">
        <f t="shared" si="107"/>
        <v>0</v>
      </c>
      <c r="K745" t="b">
        <f t="shared" si="101"/>
        <v>0</v>
      </c>
      <c r="L745" t="b">
        <f t="shared" si="102"/>
        <v>0</v>
      </c>
      <c r="M745" t="b">
        <f t="shared" si="103"/>
        <v>1</v>
      </c>
      <c r="N745" t="b">
        <f t="shared" si="104"/>
        <v>1</v>
      </c>
      <c r="O745" t="b">
        <f t="shared" si="105"/>
        <v>1</v>
      </c>
    </row>
    <row r="746" spans="1:15" x14ac:dyDescent="0.35">
      <c r="A746" t="str">
        <v>mu_Coach_Gen3_Gallery_Car</v>
      </c>
      <c r="B746" t="b" cm="1">
        <f t="array" ref="B746">_xlfn.XLOOKUP(A746,CONTROL[VEHIDCODE],PROPERTIES[EXCLUDE])</f>
        <v>0</v>
      </c>
      <c r="C746" t="b">
        <f>_xlfn.XLOOKUP(A746,CONTROL[VEHIDCODE],CONTROL[IS_WAGON_OR_COACH])</f>
        <v>1</v>
      </c>
      <c r="D746">
        <f>FLOOR(_xlfn.XLOOKUP($A746,PROPERTIES[VEHIDCODE],PROPERTIES[INTRODUCTION_YEAR]),20)</f>
        <v>1940</v>
      </c>
      <c r="E746" t="e">
        <f>_xlfn.XLOOKUP($A746,PROPERTIES[VEHIDCODE],#REF!)</f>
        <v>#REF!</v>
      </c>
      <c r="F746" s="25" t="str" cm="1">
        <f t="array" ref="F746">_xlfn.CONCAT(_xlfn.XLOOKUP($A746,PROPERTIES[VEHIDCODE],PROPERTIES[REGION1]),"_",_xlfn.XLOOKUP($A746,PROPERTIES[VEHIDCODE],PROPERTIES[REGION2]),"_",_xlfn.XLOOKUP($A746,PROPERTIES[VEHIDCODE],PROPERTIES[REGION3]&amp;"_"&amp;_xlfn.XLOOKUP($A746,PROPERTIES[VEHIDCODE],PROPERTIES[REGION4])))</f>
        <v>ALL_AMERICA_OCEANIA_NO_REGION_NO_REGION</v>
      </c>
      <c r="G746" t="b">
        <f t="shared" si="99"/>
        <v>0</v>
      </c>
      <c r="H746" t="b">
        <f t="shared" si="106"/>
        <v>0</v>
      </c>
      <c r="I746" t="b">
        <f t="shared" si="100"/>
        <v>0</v>
      </c>
      <c r="J746" t="b">
        <f t="shared" si="107"/>
        <v>0</v>
      </c>
      <c r="K746" t="b">
        <f t="shared" si="101"/>
        <v>0</v>
      </c>
      <c r="L746" t="b">
        <f t="shared" si="102"/>
        <v>0</v>
      </c>
      <c r="M746" t="b">
        <f t="shared" si="103"/>
        <v>1</v>
      </c>
      <c r="N746" t="b">
        <f t="shared" si="104"/>
        <v>1</v>
      </c>
      <c r="O746" t="b">
        <f t="shared" si="105"/>
        <v>1</v>
      </c>
    </row>
    <row r="747" spans="1:15" x14ac:dyDescent="0.35">
      <c r="A747" t="str">
        <v>mu_Coach_Gen3_Mk1_Intercity_Coach</v>
      </c>
      <c r="B747" t="b" cm="1">
        <f t="array" ref="B747">_xlfn.XLOOKUP(A747,CONTROL[VEHIDCODE],PROPERTIES[EXCLUDE])</f>
        <v>0</v>
      </c>
      <c r="C747" t="b">
        <f>_xlfn.XLOOKUP(A747,CONTROL[VEHIDCODE],CONTROL[IS_WAGON_OR_COACH])</f>
        <v>1</v>
      </c>
      <c r="D747">
        <f>FLOOR(_xlfn.XLOOKUP($A747,PROPERTIES[VEHIDCODE],PROPERTIES[INTRODUCTION_YEAR]),20)</f>
        <v>1940</v>
      </c>
      <c r="E747" t="e">
        <f>_xlfn.XLOOKUP($A747,PROPERTIES[VEHIDCODE],#REF!)</f>
        <v>#REF!</v>
      </c>
      <c r="F747" s="25" t="str" cm="1">
        <f t="array" ref="F747">_xlfn.CONCAT(_xlfn.XLOOKUP($A747,PROPERTIES[VEHIDCODE],PROPERTIES[REGION1]),"_",_xlfn.XLOOKUP($A747,PROPERTIES[VEHIDCODE],PROPERTIES[REGION2]),"_",_xlfn.XLOOKUP($A747,PROPERTIES[VEHIDCODE],PROPERTIES[REGION3]&amp;"_"&amp;_xlfn.XLOOKUP($A747,PROPERTIES[VEHIDCODE],PROPERTIES[REGION4])))</f>
        <v>OLD_WORLD_NO_REGION_NO_REGION_NO_REGION</v>
      </c>
      <c r="G747" t="b">
        <f t="shared" si="99"/>
        <v>1</v>
      </c>
      <c r="H747" t="b">
        <f t="shared" si="106"/>
        <v>1</v>
      </c>
      <c r="I747" t="b">
        <f t="shared" si="100"/>
        <v>1</v>
      </c>
      <c r="J747" t="b">
        <f t="shared" si="107"/>
        <v>1</v>
      </c>
      <c r="K747" t="b">
        <f t="shared" si="101"/>
        <v>1</v>
      </c>
      <c r="L747" t="b">
        <f t="shared" si="102"/>
        <v>1</v>
      </c>
      <c r="M747" t="b">
        <f t="shared" si="103"/>
        <v>0</v>
      </c>
      <c r="N747" t="b">
        <f t="shared" si="104"/>
        <v>0</v>
      </c>
      <c r="O747" t="b">
        <f t="shared" si="105"/>
        <v>0</v>
      </c>
    </row>
    <row r="748" spans="1:15" x14ac:dyDescent="0.35">
      <c r="A748" t="str">
        <v>mu_Coach_Gen3_Mk1_Regional_Coach</v>
      </c>
      <c r="B748" t="b" cm="1">
        <f t="array" ref="B748">_xlfn.XLOOKUP(A748,CONTROL[VEHIDCODE],PROPERTIES[EXCLUDE])</f>
        <v>0</v>
      </c>
      <c r="C748" t="b">
        <f>_xlfn.XLOOKUP(A748,CONTROL[VEHIDCODE],CONTROL[IS_WAGON_OR_COACH])</f>
        <v>1</v>
      </c>
      <c r="D748">
        <f>FLOOR(_xlfn.XLOOKUP($A748,PROPERTIES[VEHIDCODE],PROPERTIES[INTRODUCTION_YEAR]),20)</f>
        <v>1940</v>
      </c>
      <c r="E748" t="e">
        <f>_xlfn.XLOOKUP($A748,PROPERTIES[VEHIDCODE],#REF!)</f>
        <v>#REF!</v>
      </c>
      <c r="F748" s="25" t="str" cm="1">
        <f t="array" ref="F748">_xlfn.CONCAT(_xlfn.XLOOKUP($A748,PROPERTIES[VEHIDCODE],PROPERTIES[REGION1]),"_",_xlfn.XLOOKUP($A748,PROPERTIES[VEHIDCODE],PROPERTIES[REGION2]),"_",_xlfn.XLOOKUP($A748,PROPERTIES[VEHIDCODE],PROPERTIES[REGION3]&amp;"_"&amp;_xlfn.XLOOKUP($A748,PROPERTIES[VEHIDCODE],PROPERTIES[REGION4])))</f>
        <v>OLD_WORLD_NO_REGION_NO_REGION_NO_REGION</v>
      </c>
      <c r="G748" t="b">
        <f t="shared" si="99"/>
        <v>1</v>
      </c>
      <c r="H748" t="b">
        <f t="shared" si="106"/>
        <v>1</v>
      </c>
      <c r="I748" t="b">
        <f t="shared" si="100"/>
        <v>1</v>
      </c>
      <c r="J748" t="b">
        <f t="shared" si="107"/>
        <v>1</v>
      </c>
      <c r="K748" t="b">
        <f t="shared" si="101"/>
        <v>1</v>
      </c>
      <c r="L748" t="b">
        <f t="shared" si="102"/>
        <v>1</v>
      </c>
      <c r="M748" t="b">
        <f t="shared" si="103"/>
        <v>0</v>
      </c>
      <c r="N748" t="b">
        <f t="shared" si="104"/>
        <v>0</v>
      </c>
      <c r="O748" t="b">
        <f t="shared" si="105"/>
        <v>0</v>
      </c>
    </row>
    <row r="749" spans="1:15" x14ac:dyDescent="0.35">
      <c r="A749" t="str">
        <v>mu_Coach_Gen3_Mk1_Mail_Coach</v>
      </c>
      <c r="B749" t="b" cm="1">
        <f t="array" ref="B749">_xlfn.XLOOKUP(A749,CONTROL[VEHIDCODE],PROPERTIES[EXCLUDE])</f>
        <v>0</v>
      </c>
      <c r="C749" t="b">
        <f>_xlfn.XLOOKUP(A749,CONTROL[VEHIDCODE],CONTROL[IS_WAGON_OR_COACH])</f>
        <v>1</v>
      </c>
      <c r="D749">
        <f>FLOOR(_xlfn.XLOOKUP($A749,PROPERTIES[VEHIDCODE],PROPERTIES[INTRODUCTION_YEAR]),20)</f>
        <v>1940</v>
      </c>
      <c r="E749" t="e">
        <f>_xlfn.XLOOKUP($A749,PROPERTIES[VEHIDCODE],#REF!)</f>
        <v>#REF!</v>
      </c>
      <c r="F749" s="25" t="str" cm="1">
        <f t="array" ref="F749">_xlfn.CONCAT(_xlfn.XLOOKUP($A749,PROPERTIES[VEHIDCODE],PROPERTIES[REGION1]),"_",_xlfn.XLOOKUP($A749,PROPERTIES[VEHIDCODE],PROPERTIES[REGION2]),"_",_xlfn.XLOOKUP($A749,PROPERTIES[VEHIDCODE],PROPERTIES[REGION3]&amp;"_"&amp;_xlfn.XLOOKUP($A749,PROPERTIES[VEHIDCODE],PROPERTIES[REGION4])))</f>
        <v>OLD_WORLD_NO_REGION_NO_REGION_NO_REGION</v>
      </c>
      <c r="G749" t="b">
        <f t="shared" si="99"/>
        <v>1</v>
      </c>
      <c r="H749" t="b">
        <f t="shared" si="106"/>
        <v>1</v>
      </c>
      <c r="I749" t="b">
        <f t="shared" si="100"/>
        <v>1</v>
      </c>
      <c r="J749" t="b">
        <f t="shared" si="107"/>
        <v>1</v>
      </c>
      <c r="K749" t="b">
        <f t="shared" si="101"/>
        <v>1</v>
      </c>
      <c r="L749" t="b">
        <f t="shared" si="102"/>
        <v>1</v>
      </c>
      <c r="M749" t="b">
        <f t="shared" si="103"/>
        <v>0</v>
      </c>
      <c r="N749" t="b">
        <f t="shared" si="104"/>
        <v>0</v>
      </c>
      <c r="O749" t="b">
        <f t="shared" si="105"/>
        <v>0</v>
      </c>
    </row>
    <row r="750" spans="1:15" x14ac:dyDescent="0.35">
      <c r="A750" t="str">
        <v>mu_Coach_Gen3_UIC_X_Intercity_Coach</v>
      </c>
      <c r="B750" t="b" cm="1">
        <f t="array" ref="B750">_xlfn.XLOOKUP(A750,CONTROL[VEHIDCODE],PROPERTIES[EXCLUDE])</f>
        <v>0</v>
      </c>
      <c r="C750" t="b">
        <f>_xlfn.XLOOKUP(A750,CONTROL[VEHIDCODE],CONTROL[IS_WAGON_OR_COACH])</f>
        <v>1</v>
      </c>
      <c r="D750">
        <f>FLOOR(_xlfn.XLOOKUP($A750,PROPERTIES[VEHIDCODE],PROPERTIES[INTRODUCTION_YEAR]),20)</f>
        <v>1940</v>
      </c>
      <c r="E750" t="e">
        <f>_xlfn.XLOOKUP($A750,PROPERTIES[VEHIDCODE],#REF!)</f>
        <v>#REF!</v>
      </c>
      <c r="F750" s="25" t="str" cm="1">
        <f t="array" ref="F750">_xlfn.CONCAT(_xlfn.XLOOKUP($A750,PROPERTIES[VEHIDCODE],PROPERTIES[REGION1]),"_",_xlfn.XLOOKUP($A750,PROPERTIES[VEHIDCODE],PROPERTIES[REGION2]),"_",_xlfn.XLOOKUP($A750,PROPERTIES[VEHIDCODE],PROPERTIES[REGION3]&amp;"_"&amp;_xlfn.XLOOKUP($A750,PROPERTIES[VEHIDCODE],PROPERTIES[REGION4])))</f>
        <v>OLD_WORLD_NO_REGION_NO_REGION_NO_REGION</v>
      </c>
      <c r="G750" t="b">
        <f t="shared" si="99"/>
        <v>1</v>
      </c>
      <c r="H750" t="b">
        <f t="shared" si="106"/>
        <v>1</v>
      </c>
      <c r="I750" t="b">
        <f t="shared" si="100"/>
        <v>1</v>
      </c>
      <c r="J750" t="b">
        <f t="shared" si="107"/>
        <v>1</v>
      </c>
      <c r="K750" t="b">
        <f t="shared" si="101"/>
        <v>1</v>
      </c>
      <c r="L750" t="b">
        <f t="shared" si="102"/>
        <v>1</v>
      </c>
      <c r="M750" t="b">
        <f t="shared" si="103"/>
        <v>0</v>
      </c>
      <c r="N750" t="b">
        <f t="shared" si="104"/>
        <v>0</v>
      </c>
      <c r="O750" t="b">
        <f t="shared" si="105"/>
        <v>0</v>
      </c>
    </row>
    <row r="751" spans="1:15" x14ac:dyDescent="0.35">
      <c r="A751" t="str">
        <v>mu_Coach_Gen3_TEE_Intercity_Coach</v>
      </c>
      <c r="B751" t="b" cm="1">
        <f t="array" ref="B751">_xlfn.XLOOKUP(A751,CONTROL[VEHIDCODE],PROPERTIES[EXCLUDE])</f>
        <v>0</v>
      </c>
      <c r="C751" t="b">
        <f>_xlfn.XLOOKUP(A751,CONTROL[VEHIDCODE],CONTROL[IS_WAGON_OR_COACH])</f>
        <v>1</v>
      </c>
      <c r="D751">
        <f>FLOOR(_xlfn.XLOOKUP($A751,PROPERTIES[VEHIDCODE],PROPERTIES[INTRODUCTION_YEAR]),20)</f>
        <v>1940</v>
      </c>
      <c r="E751" t="e">
        <f>_xlfn.XLOOKUP($A751,PROPERTIES[VEHIDCODE],#REF!)</f>
        <v>#REF!</v>
      </c>
      <c r="F751" s="25" t="str" cm="1">
        <f t="array" ref="F751">_xlfn.CONCAT(_xlfn.XLOOKUP($A751,PROPERTIES[VEHIDCODE],PROPERTIES[REGION1]),"_",_xlfn.XLOOKUP($A751,PROPERTIES[VEHIDCODE],PROPERTIES[REGION2]),"_",_xlfn.XLOOKUP($A751,PROPERTIES[VEHIDCODE],PROPERTIES[REGION3]&amp;"_"&amp;_xlfn.XLOOKUP($A751,PROPERTIES[VEHIDCODE],PROPERTIES[REGION4])))</f>
        <v>ALL_EUROPE_NO_REGION_NO_REGION_NO_REGION</v>
      </c>
      <c r="G751" t="b">
        <f t="shared" si="99"/>
        <v>0</v>
      </c>
      <c r="H751" t="b">
        <f t="shared" si="106"/>
        <v>0</v>
      </c>
      <c r="I751" t="b">
        <f t="shared" si="100"/>
        <v>1</v>
      </c>
      <c r="J751" t="b">
        <f t="shared" si="107"/>
        <v>1</v>
      </c>
      <c r="K751" t="b">
        <f t="shared" si="101"/>
        <v>1</v>
      </c>
      <c r="L751" t="b">
        <f t="shared" si="102"/>
        <v>1</v>
      </c>
      <c r="M751" t="b">
        <f t="shared" si="103"/>
        <v>0</v>
      </c>
      <c r="N751" t="b">
        <f t="shared" si="104"/>
        <v>0</v>
      </c>
      <c r="O751" t="b">
        <f t="shared" si="105"/>
        <v>0</v>
      </c>
    </row>
    <row r="752" spans="1:15" x14ac:dyDescent="0.35">
      <c r="A752" t="str">
        <v>mu_Coach_Gen3_UIC_X_Regional_Coach</v>
      </c>
      <c r="B752" t="b" cm="1">
        <f t="array" ref="B752">_xlfn.XLOOKUP(A752,CONTROL[VEHIDCODE],PROPERTIES[EXCLUDE])</f>
        <v>0</v>
      </c>
      <c r="C752" t="b">
        <f>_xlfn.XLOOKUP(A752,CONTROL[VEHIDCODE],CONTROL[IS_WAGON_OR_COACH])</f>
        <v>1</v>
      </c>
      <c r="D752">
        <f>FLOOR(_xlfn.XLOOKUP($A752,PROPERTIES[VEHIDCODE],PROPERTIES[INTRODUCTION_YEAR]),20)</f>
        <v>1940</v>
      </c>
      <c r="E752" t="e">
        <f>_xlfn.XLOOKUP($A752,PROPERTIES[VEHIDCODE],#REF!)</f>
        <v>#REF!</v>
      </c>
      <c r="F752" s="25" t="str" cm="1">
        <f t="array" ref="F752">_xlfn.CONCAT(_xlfn.XLOOKUP($A752,PROPERTIES[VEHIDCODE],PROPERTIES[REGION1]),"_",_xlfn.XLOOKUP($A752,PROPERTIES[VEHIDCODE],PROPERTIES[REGION2]),"_",_xlfn.XLOOKUP($A752,PROPERTIES[VEHIDCODE],PROPERTIES[REGION3]&amp;"_"&amp;_xlfn.XLOOKUP($A752,PROPERTIES[VEHIDCODE],PROPERTIES[REGION4])))</f>
        <v>OLD_WORLD_NO_REGION_NO_REGION_NO_REGION</v>
      </c>
      <c r="G752" t="b">
        <f t="shared" si="99"/>
        <v>1</v>
      </c>
      <c r="H752" t="b">
        <f t="shared" si="106"/>
        <v>1</v>
      </c>
      <c r="I752" t="b">
        <f t="shared" si="100"/>
        <v>1</v>
      </c>
      <c r="J752" t="b">
        <f t="shared" si="107"/>
        <v>1</v>
      </c>
      <c r="K752" t="b">
        <f t="shared" si="101"/>
        <v>1</v>
      </c>
      <c r="L752" t="b">
        <f t="shared" si="102"/>
        <v>1</v>
      </c>
      <c r="M752" t="b">
        <f t="shared" si="103"/>
        <v>0</v>
      </c>
      <c r="N752" t="b">
        <f t="shared" si="104"/>
        <v>0</v>
      </c>
      <c r="O752" t="b">
        <f t="shared" si="105"/>
        <v>0</v>
      </c>
    </row>
    <row r="753" spans="1:15" x14ac:dyDescent="0.35">
      <c r="A753" t="str">
        <v>mu_Coach_Gen3_Umbauwagen_Local_Coach</v>
      </c>
      <c r="B753" t="b" cm="1">
        <f t="array" ref="B753">_xlfn.XLOOKUP(A753,CONTROL[VEHIDCODE],PROPERTIES[EXCLUDE])</f>
        <v>0</v>
      </c>
      <c r="C753" t="b">
        <f>_xlfn.XLOOKUP(A753,CONTROL[VEHIDCODE],CONTROL[IS_WAGON_OR_COACH])</f>
        <v>1</v>
      </c>
      <c r="D753">
        <f>FLOOR(_xlfn.XLOOKUP($A753,PROPERTIES[VEHIDCODE],PROPERTIES[INTRODUCTION_YEAR]),20)</f>
        <v>1940</v>
      </c>
      <c r="E753" t="e">
        <f>_xlfn.XLOOKUP($A753,PROPERTIES[VEHIDCODE],#REF!)</f>
        <v>#REF!</v>
      </c>
      <c r="F753" s="25" t="str" cm="1">
        <f t="array" ref="F753">_xlfn.CONCAT(_xlfn.XLOOKUP($A753,PROPERTIES[VEHIDCODE],PROPERTIES[REGION1]),"_",_xlfn.XLOOKUP($A753,PROPERTIES[VEHIDCODE],PROPERTIES[REGION2]),"_",_xlfn.XLOOKUP($A753,PROPERTIES[VEHIDCODE],PROPERTIES[REGION3]&amp;"_"&amp;_xlfn.XLOOKUP($A753,PROPERTIES[VEHIDCODE],PROPERTIES[REGION4])))</f>
        <v>OLD_WORLD_NO_REGION_NO_REGION_NO_REGION</v>
      </c>
      <c r="G753" t="b">
        <f t="shared" si="99"/>
        <v>1</v>
      </c>
      <c r="H753" t="b">
        <f t="shared" si="106"/>
        <v>1</v>
      </c>
      <c r="I753" t="b">
        <f t="shared" si="100"/>
        <v>1</v>
      </c>
      <c r="J753" t="b">
        <f t="shared" si="107"/>
        <v>1</v>
      </c>
      <c r="K753" t="b">
        <f t="shared" si="101"/>
        <v>1</v>
      </c>
      <c r="L753" t="b">
        <f t="shared" si="102"/>
        <v>1</v>
      </c>
      <c r="M753" t="b">
        <f t="shared" si="103"/>
        <v>0</v>
      </c>
      <c r="N753" t="b">
        <f t="shared" si="104"/>
        <v>0</v>
      </c>
      <c r="O753" t="b">
        <f t="shared" si="105"/>
        <v>0</v>
      </c>
    </row>
    <row r="754" spans="1:15" x14ac:dyDescent="0.35">
      <c r="A754" t="str">
        <v>mu_Coach_Gen4_Doppelstockwagen_Local_Coach</v>
      </c>
      <c r="B754" t="b" cm="1">
        <f t="array" ref="B754">_xlfn.XLOOKUP(A754,CONTROL[VEHIDCODE],PROPERTIES[EXCLUDE])</f>
        <v>0</v>
      </c>
      <c r="C754" t="b">
        <f>_xlfn.XLOOKUP(A754,CONTROL[VEHIDCODE],CONTROL[IS_WAGON_OR_COACH])</f>
        <v>1</v>
      </c>
      <c r="D754">
        <f>FLOOR(_xlfn.XLOOKUP($A754,PROPERTIES[VEHIDCODE],PROPERTIES[INTRODUCTION_YEAR]),20)</f>
        <v>1960</v>
      </c>
      <c r="E754" t="e">
        <f>_xlfn.XLOOKUP($A754,PROPERTIES[VEHIDCODE],#REF!)</f>
        <v>#REF!</v>
      </c>
      <c r="F754" s="25" t="str" cm="1">
        <f t="array" ref="F754">_xlfn.CONCAT(_xlfn.XLOOKUP($A754,PROPERTIES[VEHIDCODE],PROPERTIES[REGION1]),"_",_xlfn.XLOOKUP($A754,PROPERTIES[VEHIDCODE],PROPERTIES[REGION2]),"_",_xlfn.XLOOKUP($A754,PROPERTIES[VEHIDCODE],PROPERTIES[REGION3]&amp;"_"&amp;_xlfn.XLOOKUP($A754,PROPERTIES[VEHIDCODE],PROPERTIES[REGION4])))</f>
        <v>OLD_WORLD_NO_REGION_NO_REGION_NO_REGION</v>
      </c>
      <c r="G754" t="b">
        <f t="shared" si="99"/>
        <v>1</v>
      </c>
      <c r="H754" t="b">
        <f t="shared" si="106"/>
        <v>1</v>
      </c>
      <c r="I754" t="b">
        <f t="shared" si="100"/>
        <v>1</v>
      </c>
      <c r="J754" t="b">
        <f t="shared" si="107"/>
        <v>1</v>
      </c>
      <c r="K754" t="b">
        <f t="shared" si="101"/>
        <v>1</v>
      </c>
      <c r="L754" t="b">
        <f t="shared" si="102"/>
        <v>1</v>
      </c>
      <c r="M754" t="b">
        <f t="shared" si="103"/>
        <v>0</v>
      </c>
      <c r="N754" t="b">
        <f t="shared" si="104"/>
        <v>0</v>
      </c>
      <c r="O754" t="b">
        <f t="shared" si="105"/>
        <v>0</v>
      </c>
    </row>
    <row r="755" spans="1:15" x14ac:dyDescent="0.35">
      <c r="A755" t="str">
        <v>mu_Coach_Gen3_UIC_X_Mail_Coach</v>
      </c>
      <c r="B755" t="b" cm="1">
        <f t="array" ref="B755">_xlfn.XLOOKUP(A755,CONTROL[VEHIDCODE],PROPERTIES[EXCLUDE])</f>
        <v>0</v>
      </c>
      <c r="C755" t="b">
        <f>_xlfn.XLOOKUP(A755,CONTROL[VEHIDCODE],CONTROL[IS_WAGON_OR_COACH])</f>
        <v>1</v>
      </c>
      <c r="D755">
        <f>FLOOR(_xlfn.XLOOKUP($A755,PROPERTIES[VEHIDCODE],PROPERTIES[INTRODUCTION_YEAR]),20)</f>
        <v>1940</v>
      </c>
      <c r="E755" t="e">
        <f>_xlfn.XLOOKUP($A755,PROPERTIES[VEHIDCODE],#REF!)</f>
        <v>#REF!</v>
      </c>
      <c r="F755" s="25" t="str" cm="1">
        <f t="array" ref="F755">_xlfn.CONCAT(_xlfn.XLOOKUP($A755,PROPERTIES[VEHIDCODE],PROPERTIES[REGION1]),"_",_xlfn.XLOOKUP($A755,PROPERTIES[VEHIDCODE],PROPERTIES[REGION2]),"_",_xlfn.XLOOKUP($A755,PROPERTIES[VEHIDCODE],PROPERTIES[REGION3]&amp;"_"&amp;_xlfn.XLOOKUP($A755,PROPERTIES[VEHIDCODE],PROPERTIES[REGION4])))</f>
        <v>OLD_WORLD_NO_REGION_NO_REGION_NO_REGION</v>
      </c>
      <c r="G755" t="b">
        <f t="shared" si="99"/>
        <v>1</v>
      </c>
      <c r="H755" t="b">
        <f t="shared" si="106"/>
        <v>1</v>
      </c>
      <c r="I755" t="b">
        <f t="shared" si="100"/>
        <v>1</v>
      </c>
      <c r="J755" t="b">
        <f t="shared" si="107"/>
        <v>1</v>
      </c>
      <c r="K755" t="b">
        <f t="shared" si="101"/>
        <v>1</v>
      </c>
      <c r="L755" t="b">
        <f t="shared" si="102"/>
        <v>1</v>
      </c>
      <c r="M755" t="b">
        <f t="shared" si="103"/>
        <v>0</v>
      </c>
      <c r="N755" t="b">
        <f t="shared" si="104"/>
        <v>0</v>
      </c>
      <c r="O755" t="b">
        <f t="shared" si="105"/>
        <v>0</v>
      </c>
    </row>
    <row r="756" spans="1:15" x14ac:dyDescent="0.35">
      <c r="A756" t="str">
        <v>mu_Coach_Gen3_Indian_Intercity_Coach</v>
      </c>
      <c r="B756" t="b" cm="1">
        <f t="array" ref="B756">_xlfn.XLOOKUP(A756,CONTROL[VEHIDCODE],PROPERTIES[EXCLUDE])</f>
        <v>0</v>
      </c>
      <c r="C756" t="b">
        <f>_xlfn.XLOOKUP(A756,CONTROL[VEHIDCODE],CONTROL[IS_WAGON_OR_COACH])</f>
        <v>1</v>
      </c>
      <c r="D756">
        <f>FLOOR(_xlfn.XLOOKUP($A756,PROPERTIES[VEHIDCODE],PROPERTIES[INTRODUCTION_YEAR]),20)</f>
        <v>1940</v>
      </c>
      <c r="E756" t="e">
        <f>_xlfn.XLOOKUP($A756,PROPERTIES[VEHIDCODE],#REF!)</f>
        <v>#REF!</v>
      </c>
      <c r="F756" s="25" t="str" cm="1">
        <f t="array" ref="F756">_xlfn.CONCAT(_xlfn.XLOOKUP($A756,PROPERTIES[VEHIDCODE],PROPERTIES[REGION1]),"_",_xlfn.XLOOKUP($A756,PROPERTIES[VEHIDCODE],PROPERTIES[REGION2]),"_",_xlfn.XLOOKUP($A756,PROPERTIES[VEHIDCODE],PROPERTIES[REGION3]&amp;"_"&amp;_xlfn.XLOOKUP($A756,PROPERTIES[VEHIDCODE],PROPERTIES[REGION4])))</f>
        <v>ASIA_NO_REGION_NO_REGION_NO_REGION</v>
      </c>
      <c r="G756" t="b">
        <f t="shared" si="99"/>
        <v>0</v>
      </c>
      <c r="H756" t="b">
        <f t="shared" si="106"/>
        <v>1</v>
      </c>
      <c r="I756" t="b">
        <f t="shared" si="100"/>
        <v>0</v>
      </c>
      <c r="J756" t="b">
        <f t="shared" si="107"/>
        <v>0</v>
      </c>
      <c r="K756" t="b">
        <f t="shared" si="101"/>
        <v>0</v>
      </c>
      <c r="L756" t="b">
        <f t="shared" si="102"/>
        <v>0</v>
      </c>
      <c r="M756" t="b">
        <f t="shared" si="103"/>
        <v>0</v>
      </c>
      <c r="N756" t="b">
        <f t="shared" si="104"/>
        <v>0</v>
      </c>
      <c r="O756" t="b">
        <f t="shared" si="105"/>
        <v>0</v>
      </c>
    </row>
    <row r="757" spans="1:15" x14ac:dyDescent="0.35">
      <c r="A757" t="str">
        <v>mu_Coach_Gen3_Indian_Local_Coach</v>
      </c>
      <c r="B757" t="b" cm="1">
        <f t="array" ref="B757">_xlfn.XLOOKUP(A757,CONTROL[VEHIDCODE],PROPERTIES[EXCLUDE])</f>
        <v>0</v>
      </c>
      <c r="C757" t="b">
        <f>_xlfn.XLOOKUP(A757,CONTROL[VEHIDCODE],CONTROL[IS_WAGON_OR_COACH])</f>
        <v>1</v>
      </c>
      <c r="D757">
        <f>FLOOR(_xlfn.XLOOKUP($A757,PROPERTIES[VEHIDCODE],PROPERTIES[INTRODUCTION_YEAR]),20)</f>
        <v>1940</v>
      </c>
      <c r="E757" t="e">
        <f>_xlfn.XLOOKUP($A757,PROPERTIES[VEHIDCODE],#REF!)</f>
        <v>#REF!</v>
      </c>
      <c r="F757" s="25" t="str" cm="1">
        <f t="array" ref="F757">_xlfn.CONCAT(_xlfn.XLOOKUP($A757,PROPERTIES[VEHIDCODE],PROPERTIES[REGION1]),"_",_xlfn.XLOOKUP($A757,PROPERTIES[VEHIDCODE],PROPERTIES[REGION2]),"_",_xlfn.XLOOKUP($A757,PROPERTIES[VEHIDCODE],PROPERTIES[REGION3]&amp;"_"&amp;_xlfn.XLOOKUP($A757,PROPERTIES[VEHIDCODE],PROPERTIES[REGION4])))</f>
        <v>ASIA_NO_REGION_NO_REGION_NO_REGION</v>
      </c>
      <c r="G757" t="b">
        <f t="shared" si="99"/>
        <v>0</v>
      </c>
      <c r="H757" t="b">
        <f t="shared" si="106"/>
        <v>1</v>
      </c>
      <c r="I757" t="b">
        <f t="shared" si="100"/>
        <v>0</v>
      </c>
      <c r="J757" t="b">
        <f t="shared" si="107"/>
        <v>0</v>
      </c>
      <c r="K757" t="b">
        <f t="shared" si="101"/>
        <v>0</v>
      </c>
      <c r="L757" t="b">
        <f t="shared" si="102"/>
        <v>0</v>
      </c>
      <c r="M757" t="b">
        <f t="shared" si="103"/>
        <v>0</v>
      </c>
      <c r="N757" t="b">
        <f t="shared" si="104"/>
        <v>0</v>
      </c>
      <c r="O757" t="b">
        <f t="shared" si="105"/>
        <v>0</v>
      </c>
    </row>
    <row r="758" spans="1:15" x14ac:dyDescent="0.35">
      <c r="A758" t="str">
        <v>mu_Coach_Gen3_Indian_Regional_Coach</v>
      </c>
      <c r="B758" t="b" cm="1">
        <f t="array" ref="B758">_xlfn.XLOOKUP(A758,CONTROL[VEHIDCODE],PROPERTIES[EXCLUDE])</f>
        <v>0</v>
      </c>
      <c r="C758" t="b">
        <f>_xlfn.XLOOKUP(A758,CONTROL[VEHIDCODE],CONTROL[IS_WAGON_OR_COACH])</f>
        <v>1</v>
      </c>
      <c r="D758">
        <f>FLOOR(_xlfn.XLOOKUP($A758,PROPERTIES[VEHIDCODE],PROPERTIES[INTRODUCTION_YEAR]),20)</f>
        <v>1940</v>
      </c>
      <c r="E758" t="e">
        <f>_xlfn.XLOOKUP($A758,PROPERTIES[VEHIDCODE],#REF!)</f>
        <v>#REF!</v>
      </c>
      <c r="F758" s="25" t="str" cm="1">
        <f t="array" ref="F758">_xlfn.CONCAT(_xlfn.XLOOKUP($A758,PROPERTIES[VEHIDCODE],PROPERTIES[REGION1]),"_",_xlfn.XLOOKUP($A758,PROPERTIES[VEHIDCODE],PROPERTIES[REGION2]),"_",_xlfn.XLOOKUP($A758,PROPERTIES[VEHIDCODE],PROPERTIES[REGION3]&amp;"_"&amp;_xlfn.XLOOKUP($A758,PROPERTIES[VEHIDCODE],PROPERTIES[REGION4])))</f>
        <v>ASIA_NO_REGION_NO_REGION_NO_REGION</v>
      </c>
      <c r="G758" t="b">
        <f t="shared" si="99"/>
        <v>0</v>
      </c>
      <c r="H758" t="b">
        <f t="shared" si="106"/>
        <v>1</v>
      </c>
      <c r="I758" t="b">
        <f t="shared" si="100"/>
        <v>0</v>
      </c>
      <c r="J758" t="b">
        <f t="shared" si="107"/>
        <v>0</v>
      </c>
      <c r="K758" t="b">
        <f t="shared" si="101"/>
        <v>0</v>
      </c>
      <c r="L758" t="b">
        <f t="shared" si="102"/>
        <v>0</v>
      </c>
      <c r="M758" t="b">
        <f t="shared" si="103"/>
        <v>0</v>
      </c>
      <c r="N758" t="b">
        <f t="shared" si="104"/>
        <v>0</v>
      </c>
      <c r="O758" t="b">
        <f t="shared" si="105"/>
        <v>0</v>
      </c>
    </row>
    <row r="759" spans="1:15" x14ac:dyDescent="0.35">
      <c r="A759" t="str">
        <v>mu_Coach_Gen3_Indian_Mail_Coach</v>
      </c>
      <c r="B759" t="b" cm="1">
        <f t="array" ref="B759">_xlfn.XLOOKUP(A759,CONTROL[VEHIDCODE],PROPERTIES[EXCLUDE])</f>
        <v>0</v>
      </c>
      <c r="C759" t="b">
        <f>_xlfn.XLOOKUP(A759,CONTROL[VEHIDCODE],CONTROL[IS_WAGON_OR_COACH])</f>
        <v>1</v>
      </c>
      <c r="D759">
        <f>FLOOR(_xlfn.XLOOKUP($A759,PROPERTIES[VEHIDCODE],PROPERTIES[INTRODUCTION_YEAR]),20)</f>
        <v>1940</v>
      </c>
      <c r="E759" t="e">
        <f>_xlfn.XLOOKUP($A759,PROPERTIES[VEHIDCODE],#REF!)</f>
        <v>#REF!</v>
      </c>
      <c r="F759" s="25" t="str" cm="1">
        <f t="array" ref="F759">_xlfn.CONCAT(_xlfn.XLOOKUP($A759,PROPERTIES[VEHIDCODE],PROPERTIES[REGION1]),"_",_xlfn.XLOOKUP($A759,PROPERTIES[VEHIDCODE],PROPERTIES[REGION2]),"_",_xlfn.XLOOKUP($A759,PROPERTIES[VEHIDCODE],PROPERTIES[REGION3]&amp;"_"&amp;_xlfn.XLOOKUP($A759,PROPERTIES[VEHIDCODE],PROPERTIES[REGION4])))</f>
        <v>ASIA_NO_REGION_NO_REGION_NO_REGION</v>
      </c>
      <c r="G759" t="b">
        <f t="shared" si="99"/>
        <v>0</v>
      </c>
      <c r="H759" t="b">
        <f t="shared" si="106"/>
        <v>1</v>
      </c>
      <c r="I759" t="b">
        <f t="shared" si="100"/>
        <v>0</v>
      </c>
      <c r="J759" t="b">
        <f t="shared" si="107"/>
        <v>0</v>
      </c>
      <c r="K759" t="b">
        <f t="shared" si="101"/>
        <v>0</v>
      </c>
      <c r="L759" t="b">
        <f t="shared" si="102"/>
        <v>0</v>
      </c>
      <c r="M759" t="b">
        <f t="shared" si="103"/>
        <v>0</v>
      </c>
      <c r="N759" t="b">
        <f t="shared" si="104"/>
        <v>0</v>
      </c>
      <c r="O759" t="b">
        <f t="shared" si="105"/>
        <v>0</v>
      </c>
    </row>
    <row r="760" spans="1:15" x14ac:dyDescent="0.35">
      <c r="A760" t="str">
        <v>mu_Coach_Gen4_Eurofima_Intercity_Coach</v>
      </c>
      <c r="B760" t="b" cm="1">
        <f t="array" ref="B760">_xlfn.XLOOKUP(A760,CONTROL[VEHIDCODE],PROPERTIES[EXCLUDE])</f>
        <v>0</v>
      </c>
      <c r="C760" t="b">
        <f>_xlfn.XLOOKUP(A760,CONTROL[VEHIDCODE],CONTROL[IS_WAGON_OR_COACH])</f>
        <v>1</v>
      </c>
      <c r="D760">
        <f>FLOOR(_xlfn.XLOOKUP($A760,PROPERTIES[VEHIDCODE],PROPERTIES[INTRODUCTION_YEAR]),20)</f>
        <v>1960</v>
      </c>
      <c r="E760" t="e">
        <f>_xlfn.XLOOKUP($A760,PROPERTIES[VEHIDCODE],#REF!)</f>
        <v>#REF!</v>
      </c>
      <c r="F760" s="25" t="str" cm="1">
        <f t="array" ref="F760">_xlfn.CONCAT(_xlfn.XLOOKUP($A760,PROPERTIES[VEHIDCODE],PROPERTIES[REGION1]),"_",_xlfn.XLOOKUP($A760,PROPERTIES[VEHIDCODE],PROPERTIES[REGION2]),"_",_xlfn.XLOOKUP($A760,PROPERTIES[VEHIDCODE],PROPERTIES[REGION3]&amp;"_"&amp;_xlfn.XLOOKUP($A760,PROPERTIES[VEHIDCODE],PROPERTIES[REGION4])))</f>
        <v>OLD_WORLD_NO_REGION_NO_REGION_NO_REGION</v>
      </c>
      <c r="G760" t="b">
        <f t="shared" si="99"/>
        <v>1</v>
      </c>
      <c r="H760" t="b">
        <f t="shared" si="106"/>
        <v>1</v>
      </c>
      <c r="I760" t="b">
        <f t="shared" si="100"/>
        <v>1</v>
      </c>
      <c r="J760" t="b">
        <f t="shared" si="107"/>
        <v>1</v>
      </c>
      <c r="K760" t="b">
        <f t="shared" si="101"/>
        <v>1</v>
      </c>
      <c r="L760" t="b">
        <f t="shared" si="102"/>
        <v>1</v>
      </c>
      <c r="M760" t="b">
        <f t="shared" si="103"/>
        <v>0</v>
      </c>
      <c r="N760" t="b">
        <f t="shared" si="104"/>
        <v>0</v>
      </c>
      <c r="O760" t="b">
        <f t="shared" si="105"/>
        <v>0</v>
      </c>
    </row>
    <row r="761" spans="1:15" x14ac:dyDescent="0.35">
      <c r="A761" t="str">
        <v>mu_Coach_Gen4_InterRegio_Coach</v>
      </c>
      <c r="B761" t="b" cm="1">
        <f t="array" ref="B761">_xlfn.XLOOKUP(A761,CONTROL[VEHIDCODE],PROPERTIES[EXCLUDE])</f>
        <v>0</v>
      </c>
      <c r="C761" t="b">
        <f>_xlfn.XLOOKUP(A761,CONTROL[VEHIDCODE],CONTROL[IS_WAGON_OR_COACH])</f>
        <v>1</v>
      </c>
      <c r="D761">
        <f>FLOOR(_xlfn.XLOOKUP($A761,PROPERTIES[VEHIDCODE],PROPERTIES[INTRODUCTION_YEAR]),20)</f>
        <v>1960</v>
      </c>
      <c r="E761" t="e">
        <f>_xlfn.XLOOKUP($A761,PROPERTIES[VEHIDCODE],#REF!)</f>
        <v>#REF!</v>
      </c>
      <c r="F761" s="25" t="str" cm="1">
        <f t="array" ref="F761">_xlfn.CONCAT(_xlfn.XLOOKUP($A761,PROPERTIES[VEHIDCODE],PROPERTIES[REGION1]),"_",_xlfn.XLOOKUP($A761,PROPERTIES[VEHIDCODE],PROPERTIES[REGION2]),"_",_xlfn.XLOOKUP($A761,PROPERTIES[VEHIDCODE],PROPERTIES[REGION3]&amp;"_"&amp;_xlfn.XLOOKUP($A761,PROPERTIES[VEHIDCODE],PROPERTIES[REGION4])))</f>
        <v>OLD_WORLD_NO_REGION_NO_REGION_NO_REGION</v>
      </c>
      <c r="G761" t="b">
        <f t="shared" si="99"/>
        <v>1</v>
      </c>
      <c r="H761" t="b">
        <f t="shared" si="106"/>
        <v>1</v>
      </c>
      <c r="I761" t="b">
        <f t="shared" si="100"/>
        <v>1</v>
      </c>
      <c r="J761" t="b">
        <f t="shared" si="107"/>
        <v>1</v>
      </c>
      <c r="K761" t="b">
        <f t="shared" si="101"/>
        <v>1</v>
      </c>
      <c r="L761" t="b">
        <f t="shared" si="102"/>
        <v>1</v>
      </c>
      <c r="M761" t="b">
        <f t="shared" si="103"/>
        <v>0</v>
      </c>
      <c r="N761" t="b">
        <f t="shared" si="104"/>
        <v>0</v>
      </c>
      <c r="O761" t="b">
        <f t="shared" si="105"/>
        <v>0</v>
      </c>
    </row>
    <row r="762" spans="1:15" x14ac:dyDescent="0.35">
      <c r="A762" t="str">
        <v>mu_Coach_Gen4_Silberling_Commuter_Coach</v>
      </c>
      <c r="B762" t="b" cm="1">
        <f t="array" ref="B762">_xlfn.XLOOKUP(A762,CONTROL[VEHIDCODE],PROPERTIES[EXCLUDE])</f>
        <v>0</v>
      </c>
      <c r="C762" t="b">
        <f>_xlfn.XLOOKUP(A762,CONTROL[VEHIDCODE],CONTROL[IS_WAGON_OR_COACH])</f>
        <v>1</v>
      </c>
      <c r="D762">
        <f>FLOOR(_xlfn.XLOOKUP($A762,PROPERTIES[VEHIDCODE],PROPERTIES[INTRODUCTION_YEAR]),20)</f>
        <v>1960</v>
      </c>
      <c r="E762" t="e">
        <f>_xlfn.XLOOKUP($A762,PROPERTIES[VEHIDCODE],#REF!)</f>
        <v>#REF!</v>
      </c>
      <c r="F762" s="25" t="str" cm="1">
        <f t="array" ref="F762">_xlfn.CONCAT(_xlfn.XLOOKUP($A762,PROPERTIES[VEHIDCODE],PROPERTIES[REGION1]),"_",_xlfn.XLOOKUP($A762,PROPERTIES[VEHIDCODE],PROPERTIES[REGION2]),"_",_xlfn.XLOOKUP($A762,PROPERTIES[VEHIDCODE],PROPERTIES[REGION3]&amp;"_"&amp;_xlfn.XLOOKUP($A762,PROPERTIES[VEHIDCODE],PROPERTIES[REGION4])))</f>
        <v>OLD_WORLD_NO_REGION_NO_REGION_NO_REGION</v>
      </c>
      <c r="G762" t="b">
        <f t="shared" si="99"/>
        <v>1</v>
      </c>
      <c r="H762" t="b">
        <f t="shared" si="106"/>
        <v>1</v>
      </c>
      <c r="I762" t="b">
        <f t="shared" si="100"/>
        <v>1</v>
      </c>
      <c r="J762" t="b">
        <f t="shared" si="107"/>
        <v>1</v>
      </c>
      <c r="K762" t="b">
        <f t="shared" si="101"/>
        <v>1</v>
      </c>
      <c r="L762" t="b">
        <f t="shared" si="102"/>
        <v>1</v>
      </c>
      <c r="M762" t="b">
        <f t="shared" si="103"/>
        <v>0</v>
      </c>
      <c r="N762" t="b">
        <f t="shared" si="104"/>
        <v>0</v>
      </c>
      <c r="O762" t="b">
        <f t="shared" si="105"/>
        <v>0</v>
      </c>
    </row>
    <row r="763" spans="1:15" x14ac:dyDescent="0.35">
      <c r="A763" t="str">
        <v>mu_Coach_Gen4_Eurofima_Mail_Coach</v>
      </c>
      <c r="B763" t="b" cm="1">
        <f t="array" ref="B763">_xlfn.XLOOKUP(A763,CONTROL[VEHIDCODE],PROPERTIES[EXCLUDE])</f>
        <v>0</v>
      </c>
      <c r="C763" t="b">
        <f>_xlfn.XLOOKUP(A763,CONTROL[VEHIDCODE],CONTROL[IS_WAGON_OR_COACH])</f>
        <v>1</v>
      </c>
      <c r="D763">
        <f>FLOOR(_xlfn.XLOOKUP($A763,PROPERTIES[VEHIDCODE],PROPERTIES[INTRODUCTION_YEAR]),20)</f>
        <v>1960</v>
      </c>
      <c r="E763" t="e">
        <f>_xlfn.XLOOKUP($A763,PROPERTIES[VEHIDCODE],#REF!)</f>
        <v>#REF!</v>
      </c>
      <c r="F763" s="25" t="str" cm="1">
        <f t="array" ref="F763">_xlfn.CONCAT(_xlfn.XLOOKUP($A763,PROPERTIES[VEHIDCODE],PROPERTIES[REGION1]),"_",_xlfn.XLOOKUP($A763,PROPERTIES[VEHIDCODE],PROPERTIES[REGION2]),"_",_xlfn.XLOOKUP($A763,PROPERTIES[VEHIDCODE],PROPERTIES[REGION3]&amp;"_"&amp;_xlfn.XLOOKUP($A763,PROPERTIES[VEHIDCODE],PROPERTIES[REGION4])))</f>
        <v>OLD_WORLD_NO_REGION_NO_REGION_NO_REGION</v>
      </c>
      <c r="G763" t="b">
        <f t="shared" si="99"/>
        <v>1</v>
      </c>
      <c r="H763" t="b">
        <f t="shared" si="106"/>
        <v>1</v>
      </c>
      <c r="I763" t="b">
        <f t="shared" si="100"/>
        <v>1</v>
      </c>
      <c r="J763" t="b">
        <f t="shared" si="107"/>
        <v>1</v>
      </c>
      <c r="K763" t="b">
        <f t="shared" si="101"/>
        <v>1</v>
      </c>
      <c r="L763" t="b">
        <f t="shared" si="102"/>
        <v>1</v>
      </c>
      <c r="M763" t="b">
        <f t="shared" si="103"/>
        <v>0</v>
      </c>
      <c r="N763" t="b">
        <f t="shared" si="104"/>
        <v>0</v>
      </c>
      <c r="O763" t="b">
        <f t="shared" si="105"/>
        <v>0</v>
      </c>
    </row>
    <row r="764" spans="1:15" x14ac:dyDescent="0.35">
      <c r="A764" t="str">
        <v>mu_Coach_Gen4_Double_Decker_Coach</v>
      </c>
      <c r="B764" t="b" cm="1">
        <f t="array" ref="B764">_xlfn.XLOOKUP(A764,CONTROL[VEHIDCODE],PROPERTIES[EXCLUDE])</f>
        <v>0</v>
      </c>
      <c r="C764" t="b">
        <f>_xlfn.XLOOKUP(A764,CONTROL[VEHIDCODE],CONTROL[IS_WAGON_OR_COACH])</f>
        <v>1</v>
      </c>
      <c r="D764">
        <f>FLOOR(_xlfn.XLOOKUP($A764,PROPERTIES[VEHIDCODE],PROPERTIES[INTRODUCTION_YEAR]),20)</f>
        <v>1960</v>
      </c>
      <c r="E764" t="e">
        <f>_xlfn.XLOOKUP($A764,PROPERTIES[VEHIDCODE],#REF!)</f>
        <v>#REF!</v>
      </c>
      <c r="F764" s="25" t="str" cm="1">
        <f t="array" ref="F764">_xlfn.CONCAT(_xlfn.XLOOKUP($A764,PROPERTIES[VEHIDCODE],PROPERTIES[REGION1]),"_",_xlfn.XLOOKUP($A764,PROPERTIES[VEHIDCODE],PROPERTIES[REGION2]),"_",_xlfn.XLOOKUP($A764,PROPERTIES[VEHIDCODE],PROPERTIES[REGION3]&amp;"_"&amp;_xlfn.XLOOKUP($A764,PROPERTIES[VEHIDCODE],PROPERTIES[REGION4])))</f>
        <v>ALL_EUROPE_ASIA_NO_REGION_NO_REGION</v>
      </c>
      <c r="G764" t="b">
        <f t="shared" si="99"/>
        <v>0</v>
      </c>
      <c r="H764" t="b">
        <f t="shared" si="106"/>
        <v>1</v>
      </c>
      <c r="I764" t="b">
        <f t="shared" si="100"/>
        <v>1</v>
      </c>
      <c r="J764" t="b">
        <f t="shared" si="107"/>
        <v>1</v>
      </c>
      <c r="K764" t="b">
        <f t="shared" si="101"/>
        <v>1</v>
      </c>
      <c r="L764" t="b">
        <f t="shared" si="102"/>
        <v>1</v>
      </c>
      <c r="M764" t="b">
        <f t="shared" si="103"/>
        <v>0</v>
      </c>
      <c r="N764" t="b">
        <f t="shared" si="104"/>
        <v>0</v>
      </c>
      <c r="O764" t="b">
        <f t="shared" si="105"/>
        <v>0</v>
      </c>
    </row>
    <row r="765" spans="1:15" x14ac:dyDescent="0.35">
      <c r="A765" t="str">
        <v>mu_Coach_Gen4_Russian_Intercity_Coach</v>
      </c>
      <c r="B765" t="b" cm="1">
        <f t="array" ref="B765">_xlfn.XLOOKUP(A765,CONTROL[VEHIDCODE],PROPERTIES[EXCLUDE])</f>
        <v>0</v>
      </c>
      <c r="C765" t="b">
        <f>_xlfn.XLOOKUP(A765,CONTROL[VEHIDCODE],CONTROL[IS_WAGON_OR_COACH])</f>
        <v>1</v>
      </c>
      <c r="D765">
        <f>FLOOR(_xlfn.XLOOKUP($A765,PROPERTIES[VEHIDCODE],PROPERTIES[INTRODUCTION_YEAR]),20)</f>
        <v>1960</v>
      </c>
      <c r="E765" t="e">
        <f>_xlfn.XLOOKUP($A765,PROPERTIES[VEHIDCODE],#REF!)</f>
        <v>#REF!</v>
      </c>
      <c r="F765" s="25" t="str" cm="1">
        <f t="array" ref="F765">_xlfn.CONCAT(_xlfn.XLOOKUP($A765,PROPERTIES[VEHIDCODE],PROPERTIES[REGION1]),"_",_xlfn.XLOOKUP($A765,PROPERTIES[VEHIDCODE],PROPERTIES[REGION2]),"_",_xlfn.XLOOKUP($A765,PROPERTIES[VEHIDCODE],PROPERTIES[REGION3]&amp;"_"&amp;_xlfn.XLOOKUP($A765,PROPERTIES[VEHIDCODE],PROPERTIES[REGION4])))</f>
        <v>ALL_EUROPE_ASIA_NO_REGION_NO_REGION</v>
      </c>
      <c r="G765" t="b">
        <f t="shared" si="99"/>
        <v>0</v>
      </c>
      <c r="H765" t="b">
        <f t="shared" si="106"/>
        <v>1</v>
      </c>
      <c r="I765" t="b">
        <f t="shared" si="100"/>
        <v>1</v>
      </c>
      <c r="J765" t="b">
        <f t="shared" si="107"/>
        <v>1</v>
      </c>
      <c r="K765" t="b">
        <f t="shared" si="101"/>
        <v>1</v>
      </c>
      <c r="L765" t="b">
        <f t="shared" si="102"/>
        <v>1</v>
      </c>
      <c r="M765" t="b">
        <f t="shared" si="103"/>
        <v>0</v>
      </c>
      <c r="N765" t="b">
        <f t="shared" si="104"/>
        <v>0</v>
      </c>
      <c r="O765" t="b">
        <f t="shared" si="105"/>
        <v>0</v>
      </c>
    </row>
    <row r="766" spans="1:15" x14ac:dyDescent="0.35">
      <c r="A766" t="str">
        <v>mu_Coach_Gen4_Russian_Regional_Coach</v>
      </c>
      <c r="B766" t="b" cm="1">
        <f t="array" ref="B766">_xlfn.XLOOKUP(A766,CONTROL[VEHIDCODE],PROPERTIES[EXCLUDE])</f>
        <v>0</v>
      </c>
      <c r="C766" t="b">
        <f>_xlfn.XLOOKUP(A766,CONTROL[VEHIDCODE],CONTROL[IS_WAGON_OR_COACH])</f>
        <v>1</v>
      </c>
      <c r="D766">
        <f>FLOOR(_xlfn.XLOOKUP($A766,PROPERTIES[VEHIDCODE],PROPERTIES[INTRODUCTION_YEAR]),20)</f>
        <v>1960</v>
      </c>
      <c r="E766" t="e">
        <f>_xlfn.XLOOKUP($A766,PROPERTIES[VEHIDCODE],#REF!)</f>
        <v>#REF!</v>
      </c>
      <c r="F766" s="25" t="str" cm="1">
        <f t="array" ref="F766">_xlfn.CONCAT(_xlfn.XLOOKUP($A766,PROPERTIES[VEHIDCODE],PROPERTIES[REGION1]),"_",_xlfn.XLOOKUP($A766,PROPERTIES[VEHIDCODE],PROPERTIES[REGION2]),"_",_xlfn.XLOOKUP($A766,PROPERTIES[VEHIDCODE],PROPERTIES[REGION3]&amp;"_"&amp;_xlfn.XLOOKUP($A766,PROPERTIES[VEHIDCODE],PROPERTIES[REGION4])))</f>
        <v>ALL_EUROPE_ASIA_NO_REGION_NO_REGION</v>
      </c>
      <c r="G766" t="b">
        <f t="shared" si="99"/>
        <v>0</v>
      </c>
      <c r="H766" t="b">
        <f t="shared" si="106"/>
        <v>1</v>
      </c>
      <c r="I766" t="b">
        <f t="shared" si="100"/>
        <v>1</v>
      </c>
      <c r="J766" t="b">
        <f t="shared" si="107"/>
        <v>1</v>
      </c>
      <c r="K766" t="b">
        <f t="shared" si="101"/>
        <v>1</v>
      </c>
      <c r="L766" t="b">
        <f t="shared" si="102"/>
        <v>1</v>
      </c>
      <c r="M766" t="b">
        <f t="shared" si="103"/>
        <v>0</v>
      </c>
      <c r="N766" t="b">
        <f t="shared" si="104"/>
        <v>0</v>
      </c>
      <c r="O766" t="b">
        <f t="shared" si="105"/>
        <v>0</v>
      </c>
    </row>
    <row r="767" spans="1:15" x14ac:dyDescent="0.35">
      <c r="A767" t="str">
        <v>mu_Coach_Gen4_Russian_Mail_Coach</v>
      </c>
      <c r="B767" t="b" cm="1">
        <f t="array" ref="B767">_xlfn.XLOOKUP(A767,CONTROL[VEHIDCODE],PROPERTIES[EXCLUDE])</f>
        <v>0</v>
      </c>
      <c r="C767" t="b">
        <f>_xlfn.XLOOKUP(A767,CONTROL[VEHIDCODE],CONTROL[IS_WAGON_OR_COACH])</f>
        <v>1</v>
      </c>
      <c r="D767">
        <f>FLOOR(_xlfn.XLOOKUP($A767,PROPERTIES[VEHIDCODE],PROPERTIES[INTRODUCTION_YEAR]),20)</f>
        <v>1960</v>
      </c>
      <c r="E767" t="e">
        <f>_xlfn.XLOOKUP($A767,PROPERTIES[VEHIDCODE],#REF!)</f>
        <v>#REF!</v>
      </c>
      <c r="F767" s="25" t="str" cm="1">
        <f t="array" ref="F767">_xlfn.CONCAT(_xlfn.XLOOKUP($A767,PROPERTIES[VEHIDCODE],PROPERTIES[REGION1]),"_",_xlfn.XLOOKUP($A767,PROPERTIES[VEHIDCODE],PROPERTIES[REGION2]),"_",_xlfn.XLOOKUP($A767,PROPERTIES[VEHIDCODE],PROPERTIES[REGION3]&amp;"_"&amp;_xlfn.XLOOKUP($A767,PROPERTIES[VEHIDCODE],PROPERTIES[REGION4])))</f>
        <v>ALL_EUROPE_ASIA_NO_REGION_NO_REGION</v>
      </c>
      <c r="G767" t="b">
        <f t="shared" si="99"/>
        <v>0</v>
      </c>
      <c r="H767" t="b">
        <f t="shared" si="106"/>
        <v>1</v>
      </c>
      <c r="I767" t="b">
        <f t="shared" si="100"/>
        <v>1</v>
      </c>
      <c r="J767" t="b">
        <f t="shared" si="107"/>
        <v>1</v>
      </c>
      <c r="K767" t="b">
        <f t="shared" si="101"/>
        <v>1</v>
      </c>
      <c r="L767" t="b">
        <f t="shared" si="102"/>
        <v>1</v>
      </c>
      <c r="M767" t="b">
        <f t="shared" si="103"/>
        <v>0</v>
      </c>
      <c r="N767" t="b">
        <f t="shared" si="104"/>
        <v>0</v>
      </c>
      <c r="O767" t="b">
        <f t="shared" si="105"/>
        <v>0</v>
      </c>
    </row>
    <row r="768" spans="1:15" x14ac:dyDescent="0.35">
      <c r="A768" t="str">
        <v>mu_Coach_Gen4_Superliner_Coach</v>
      </c>
      <c r="B768" t="b" cm="1">
        <f t="array" ref="B768">_xlfn.XLOOKUP(A768,CONTROL[VEHIDCODE],PROPERTIES[EXCLUDE])</f>
        <v>0</v>
      </c>
      <c r="C768" t="b">
        <f>_xlfn.XLOOKUP(A768,CONTROL[VEHIDCODE],CONTROL[IS_WAGON_OR_COACH])</f>
        <v>1</v>
      </c>
      <c r="D768">
        <f>FLOOR(_xlfn.XLOOKUP($A768,PROPERTIES[VEHIDCODE],PROPERTIES[INTRODUCTION_YEAR]),20)</f>
        <v>1980</v>
      </c>
      <c r="E768" t="e">
        <f>_xlfn.XLOOKUP($A768,PROPERTIES[VEHIDCODE],#REF!)</f>
        <v>#REF!</v>
      </c>
      <c r="F768" s="25" t="str" cm="1">
        <f t="array" ref="F768">_xlfn.CONCAT(_xlfn.XLOOKUP($A768,PROPERTIES[VEHIDCODE],PROPERTIES[REGION1]),"_",_xlfn.XLOOKUP($A768,PROPERTIES[VEHIDCODE],PROPERTIES[REGION2]),"_",_xlfn.XLOOKUP($A768,PROPERTIES[VEHIDCODE],PROPERTIES[REGION3]&amp;"_"&amp;_xlfn.XLOOKUP($A768,PROPERTIES[VEHIDCODE],PROPERTIES[REGION4])))</f>
        <v>ALL_AMERICA_OCEANIA_NO_REGION_NO_REGION</v>
      </c>
      <c r="G768" t="b">
        <f t="shared" si="99"/>
        <v>0</v>
      </c>
      <c r="H768" t="b">
        <f t="shared" si="106"/>
        <v>0</v>
      </c>
      <c r="I768" t="b">
        <f t="shared" si="100"/>
        <v>0</v>
      </c>
      <c r="J768" t="b">
        <f t="shared" si="107"/>
        <v>0</v>
      </c>
      <c r="K768" t="b">
        <f t="shared" si="101"/>
        <v>0</v>
      </c>
      <c r="L768" t="b">
        <f t="shared" si="102"/>
        <v>0</v>
      </c>
      <c r="M768" t="b">
        <f t="shared" si="103"/>
        <v>1</v>
      </c>
      <c r="N768" t="b">
        <f t="shared" si="104"/>
        <v>1</v>
      </c>
      <c r="O768" t="b">
        <f t="shared" si="105"/>
        <v>1</v>
      </c>
    </row>
    <row r="769" spans="1:15" x14ac:dyDescent="0.35">
      <c r="A769" t="str">
        <v>mu_Coach_Gen4_Superliner_California</v>
      </c>
      <c r="B769" t="b" cm="1">
        <f t="array" ref="B769">_xlfn.XLOOKUP(A769,CONTROL[VEHIDCODE],PROPERTIES[EXCLUDE])</f>
        <v>0</v>
      </c>
      <c r="C769" t="b">
        <f>_xlfn.XLOOKUP(A769,CONTROL[VEHIDCODE],CONTROL[IS_WAGON_OR_COACH])</f>
        <v>1</v>
      </c>
      <c r="D769">
        <f>FLOOR(_xlfn.XLOOKUP($A769,PROPERTIES[VEHIDCODE],PROPERTIES[INTRODUCTION_YEAR]),20)</f>
        <v>1980</v>
      </c>
      <c r="E769" t="e">
        <f>_xlfn.XLOOKUP($A769,PROPERTIES[VEHIDCODE],#REF!)</f>
        <v>#REF!</v>
      </c>
      <c r="F769" s="25" t="str" cm="1">
        <f t="array" ref="F769">_xlfn.CONCAT(_xlfn.XLOOKUP($A769,PROPERTIES[VEHIDCODE],PROPERTIES[REGION1]),"_",_xlfn.XLOOKUP($A769,PROPERTIES[VEHIDCODE],PROPERTIES[REGION2]),"_",_xlfn.XLOOKUP($A769,PROPERTIES[VEHIDCODE],PROPERTIES[REGION3]&amp;"_"&amp;_xlfn.XLOOKUP($A769,PROPERTIES[VEHIDCODE],PROPERTIES[REGION4])))</f>
        <v>ALL_AMERICA_OCEANIA_NO_REGION_NO_REGION</v>
      </c>
      <c r="G769" t="b">
        <f t="shared" si="99"/>
        <v>0</v>
      </c>
      <c r="H769" t="b">
        <f t="shared" si="106"/>
        <v>0</v>
      </c>
      <c r="I769" t="b">
        <f t="shared" si="100"/>
        <v>0</v>
      </c>
      <c r="J769" t="b">
        <f t="shared" si="107"/>
        <v>0</v>
      </c>
      <c r="K769" t="b">
        <f t="shared" si="101"/>
        <v>0</v>
      </c>
      <c r="L769" t="b">
        <f t="shared" si="102"/>
        <v>0</v>
      </c>
      <c r="M769" t="b">
        <f t="shared" si="103"/>
        <v>1</v>
      </c>
      <c r="N769" t="b">
        <f t="shared" si="104"/>
        <v>1</v>
      </c>
      <c r="O769" t="b">
        <f t="shared" si="105"/>
        <v>1</v>
      </c>
    </row>
    <row r="770" spans="1:15" x14ac:dyDescent="0.35">
      <c r="A770" t="str">
        <v>mu_Coach_Gen4_Amfleet_Regional_Coach</v>
      </c>
      <c r="B770" t="b" cm="1">
        <f t="array" ref="B770">_xlfn.XLOOKUP(A770,CONTROL[VEHIDCODE],PROPERTIES[EXCLUDE])</f>
        <v>0</v>
      </c>
      <c r="C770" t="b">
        <f>_xlfn.XLOOKUP(A770,CONTROL[VEHIDCODE],CONTROL[IS_WAGON_OR_COACH])</f>
        <v>1</v>
      </c>
      <c r="D770">
        <f>FLOOR(_xlfn.XLOOKUP($A770,PROPERTIES[VEHIDCODE],PROPERTIES[INTRODUCTION_YEAR]),20)</f>
        <v>1960</v>
      </c>
      <c r="E770" t="e">
        <f>_xlfn.XLOOKUP($A770,PROPERTIES[VEHIDCODE],#REF!)</f>
        <v>#REF!</v>
      </c>
      <c r="F770" s="25" t="str" cm="1">
        <f t="array" ref="F770">_xlfn.CONCAT(_xlfn.XLOOKUP($A770,PROPERTIES[VEHIDCODE],PROPERTIES[REGION1]),"_",_xlfn.XLOOKUP($A770,PROPERTIES[VEHIDCODE],PROPERTIES[REGION2]),"_",_xlfn.XLOOKUP($A770,PROPERTIES[VEHIDCODE],PROPERTIES[REGION3]&amp;"_"&amp;_xlfn.XLOOKUP($A770,PROPERTIES[VEHIDCODE],PROPERTIES[REGION4])))</f>
        <v>ALL_AMERICA_OCEANIA_NO_REGION_NO_REGION</v>
      </c>
      <c r="G770" t="b">
        <f t="shared" ref="G770:G833" si="108">OR(ISNUMBER(SEARCH("ALL_REGION",$F770)),
ISNUMBER(SEARCH("AFRICA",$F770)),
ISNUMBER(SEARCH("OLD_WORLD",$F770)),
ISNUMBER(SEARCH("NON_EUROPEAN",$F770)))</f>
        <v>0</v>
      </c>
      <c r="H770" t="b">
        <f t="shared" si="106"/>
        <v>0</v>
      </c>
      <c r="I770" t="b">
        <f t="shared" ref="I770:I833" si="109">OR(ISNUMBER(SEARCH("ALL_REGION",$F770)),
ISNUMBER(SEARCH("ALL_EUROPE",$F770)),
ISNUMBER(SEARCH(I$1,$F770)),
ISNUMBER(SEARCH("OLD_WORLD",$F770)))</f>
        <v>0</v>
      </c>
      <c r="J770" t="b">
        <f t="shared" si="107"/>
        <v>0</v>
      </c>
      <c r="K770" t="b">
        <f t="shared" ref="K770:K833" si="110">OR(ISNUMBER(SEARCH("ALL_REGION",$F770)),
ISNUMBER(SEARCH("ALL_EUROPE",$F770)),
ISNUMBER(SEARCH(K$1,$F770)),
ISNUMBER(SEARCH("OLD_WORLD",$F770)),
ISNUMBER(SEARCH("NORTH_WEST_EUROPE",$F770)))</f>
        <v>0</v>
      </c>
      <c r="L770" t="b">
        <f t="shared" ref="L770:L833" si="111">OR(ISNUMBER(SEARCH("ALL_REGION",$F770)),
ISNUMBER(SEARCH("ALL_EUROPE",$F770)),
ISNUMBER(SEARCH(L$1,$F770)),
ISNUMBER(SEARCH("OLD_WORLD",$F770)),
ISNUMBER(SEARCH("NORTH_WEST_EUROPE",$F770)),
ISNUMBER(SEARCH("POST_SOVIET_BALTIC",$F770)))</f>
        <v>0</v>
      </c>
      <c r="M770" t="b">
        <f t="shared" ref="M770:M833" si="112">OR(ISNUMBER(SEARCH("ALL_REGION",$F770)),
ISNUMBER(SEARCH("ALL_AMERICA",$F770)),
ISNUMBER(SEARCH(M$1,$F770)),
ISNUMBER(SEARCH("NON_EUROPEAN",$F770)))</f>
        <v>1</v>
      </c>
      <c r="N770" t="b">
        <f t="shared" ref="N770:N833" si="113">OR(ISNUMBER(SEARCH("ALL_REGION",$F770)),
ISNUMBER(SEARCH("ALL_AMERICA",$F770)),
ISNUMBER(SEARCH(N$1,$F770)),
ISNUMBER(SEARCH("NON_EUROPEAN",$F770)),
ISNUMBER(SEARCH("COMECON_EXTENDED",$F770)))</f>
        <v>1</v>
      </c>
      <c r="O770" t="b">
        <f t="shared" ref="O770:O833" si="114">OR(ISNUMBER(SEARCH("ALL_REGION",$F770)),
ISNUMBER(SEARCH(O$1,$F770)),
ISNUMBER(SEARCH("APAC",$F770)))</f>
        <v>1</v>
      </c>
    </row>
    <row r="771" spans="1:15" x14ac:dyDescent="0.35">
      <c r="A771" t="str">
        <v>mu_Coach_Gen4_Amfleet_Intercity_Coach</v>
      </c>
      <c r="B771" t="b" cm="1">
        <f t="array" ref="B771">_xlfn.XLOOKUP(A771,CONTROL[VEHIDCODE],PROPERTIES[EXCLUDE])</f>
        <v>0</v>
      </c>
      <c r="C771" t="b">
        <f>_xlfn.XLOOKUP(A771,CONTROL[VEHIDCODE],CONTROL[IS_WAGON_OR_COACH])</f>
        <v>1</v>
      </c>
      <c r="D771">
        <f>FLOOR(_xlfn.XLOOKUP($A771,PROPERTIES[VEHIDCODE],PROPERTIES[INTRODUCTION_YEAR]),20)</f>
        <v>1960</v>
      </c>
      <c r="E771" t="e">
        <f>_xlfn.XLOOKUP($A771,PROPERTIES[VEHIDCODE],#REF!)</f>
        <v>#REF!</v>
      </c>
      <c r="F771" s="25" t="str" cm="1">
        <f t="array" ref="F771">_xlfn.CONCAT(_xlfn.XLOOKUP($A771,PROPERTIES[VEHIDCODE],PROPERTIES[REGION1]),"_",_xlfn.XLOOKUP($A771,PROPERTIES[VEHIDCODE],PROPERTIES[REGION2]),"_",_xlfn.XLOOKUP($A771,PROPERTIES[VEHIDCODE],PROPERTIES[REGION3]&amp;"_"&amp;_xlfn.XLOOKUP($A771,PROPERTIES[VEHIDCODE],PROPERTIES[REGION4])))</f>
        <v>ALL_AMERICA_OCEANIA_NO_REGION_NO_REGION</v>
      </c>
      <c r="G771" t="b">
        <f t="shared" si="108"/>
        <v>0</v>
      </c>
      <c r="H771" t="b">
        <f t="shared" ref="H771:H834" si="115">OR(ISNUMBER(SEARCH("ALL_REGION",$F771)),
ISNUMBER(SEARCH("ASIA",$F771)),
ISNUMBER(SEARCH("OLD_WORLD",$F771)),
ISNUMBER(SEARCH("NON_EUROPEAN",$F771)),
ISNUMBER(SEARCH("APAC",$F771)),
ISNUMBER(SEARCH("COMECON",$F771)),
ISNUMBER(SEARCH("COMECON_EXTENDED",$F771)),
ISNUMBER(SEARCH("POST_SOVIET_BALTIC",$F771)))</f>
        <v>0</v>
      </c>
      <c r="I771" t="b">
        <f t="shared" si="109"/>
        <v>0</v>
      </c>
      <c r="J771" t="b">
        <f t="shared" ref="J771:J834" si="116">OR(ISNUMBER(SEARCH("ALL_REGION",$F771)),
ISNUMBER(SEARCH("ALL_EUROPE",$F771)),
ISNUMBER(SEARCH(J$1,$F771)),
ISNUMBER(SEARCH("OLD_WORLD",$F771)),
ISNUMBER(SEARCH("COMECON",$F771)),
ISNUMBER(SEARCH("POST_SOVIET_BALTIC",$F771)))</f>
        <v>0</v>
      </c>
      <c r="K771" t="b">
        <f t="shared" si="110"/>
        <v>0</v>
      </c>
      <c r="L771" t="b">
        <f t="shared" si="111"/>
        <v>0</v>
      </c>
      <c r="M771" t="b">
        <f t="shared" si="112"/>
        <v>1</v>
      </c>
      <c r="N771" t="b">
        <f t="shared" si="113"/>
        <v>1</v>
      </c>
      <c r="O771" t="b">
        <f t="shared" si="114"/>
        <v>1</v>
      </c>
    </row>
    <row r="772" spans="1:15" x14ac:dyDescent="0.35">
      <c r="A772" t="str">
        <v>mu_Coach_Gen4_Comet_Commuter_Coach</v>
      </c>
      <c r="B772" t="b" cm="1">
        <f t="array" ref="B772">_xlfn.XLOOKUP(A772,CONTROL[VEHIDCODE],PROPERTIES[EXCLUDE])</f>
        <v>0</v>
      </c>
      <c r="C772" t="b">
        <f>_xlfn.XLOOKUP(A772,CONTROL[VEHIDCODE],CONTROL[IS_WAGON_OR_COACH])</f>
        <v>1</v>
      </c>
      <c r="D772">
        <f>FLOOR(_xlfn.XLOOKUP($A772,PROPERTIES[VEHIDCODE],PROPERTIES[INTRODUCTION_YEAR]),20)</f>
        <v>1960</v>
      </c>
      <c r="E772" t="e">
        <f>_xlfn.XLOOKUP($A772,PROPERTIES[VEHIDCODE],#REF!)</f>
        <v>#REF!</v>
      </c>
      <c r="F772" s="25" t="str" cm="1">
        <f t="array" ref="F772">_xlfn.CONCAT(_xlfn.XLOOKUP($A772,PROPERTIES[VEHIDCODE],PROPERTIES[REGION1]),"_",_xlfn.XLOOKUP($A772,PROPERTIES[VEHIDCODE],PROPERTIES[REGION2]),"_",_xlfn.XLOOKUP($A772,PROPERTIES[VEHIDCODE],PROPERTIES[REGION3]&amp;"_"&amp;_xlfn.XLOOKUP($A772,PROPERTIES[VEHIDCODE],PROPERTIES[REGION4])))</f>
        <v>ALL_AMERICA_OCEANIA_NO_REGION_NO_REGION</v>
      </c>
      <c r="G772" t="b">
        <f t="shared" si="108"/>
        <v>0</v>
      </c>
      <c r="H772" t="b">
        <f t="shared" si="115"/>
        <v>0</v>
      </c>
      <c r="I772" t="b">
        <f t="shared" si="109"/>
        <v>0</v>
      </c>
      <c r="J772" t="b">
        <f t="shared" si="116"/>
        <v>0</v>
      </c>
      <c r="K772" t="b">
        <f t="shared" si="110"/>
        <v>0</v>
      </c>
      <c r="L772" t="b">
        <f t="shared" si="111"/>
        <v>0</v>
      </c>
      <c r="M772" t="b">
        <f t="shared" si="112"/>
        <v>1</v>
      </c>
      <c r="N772" t="b">
        <f t="shared" si="113"/>
        <v>1</v>
      </c>
      <c r="O772" t="b">
        <f t="shared" si="114"/>
        <v>1</v>
      </c>
    </row>
    <row r="773" spans="1:15" x14ac:dyDescent="0.35">
      <c r="A773" t="str">
        <v>mu_Coach_Gen4_Horizon_Regional_Coach</v>
      </c>
      <c r="B773" t="b" cm="1">
        <f t="array" ref="B773">_xlfn.XLOOKUP(A773,CONTROL[VEHIDCODE],PROPERTIES[EXCLUDE])</f>
        <v>0</v>
      </c>
      <c r="C773" t="b">
        <f>_xlfn.XLOOKUP(A773,CONTROL[VEHIDCODE],CONTROL[IS_WAGON_OR_COACH])</f>
        <v>1</v>
      </c>
      <c r="D773">
        <f>FLOOR(_xlfn.XLOOKUP($A773,PROPERTIES[VEHIDCODE],PROPERTIES[INTRODUCTION_YEAR]),20)</f>
        <v>1960</v>
      </c>
      <c r="E773" t="e">
        <f>_xlfn.XLOOKUP($A773,PROPERTIES[VEHIDCODE],#REF!)</f>
        <v>#REF!</v>
      </c>
      <c r="F773" s="25" t="str" cm="1">
        <f t="array" ref="F773">_xlfn.CONCAT(_xlfn.XLOOKUP($A773,PROPERTIES[VEHIDCODE],PROPERTIES[REGION1]),"_",_xlfn.XLOOKUP($A773,PROPERTIES[VEHIDCODE],PROPERTIES[REGION2]),"_",_xlfn.XLOOKUP($A773,PROPERTIES[VEHIDCODE],PROPERTIES[REGION3]&amp;"_"&amp;_xlfn.XLOOKUP($A773,PROPERTIES[VEHIDCODE],PROPERTIES[REGION4])))</f>
        <v>ALL_AMERICA_OCEANIA_NO_REGION_NO_REGION</v>
      </c>
      <c r="G773" t="b">
        <f t="shared" si="108"/>
        <v>0</v>
      </c>
      <c r="H773" t="b">
        <f t="shared" si="115"/>
        <v>0</v>
      </c>
      <c r="I773" t="b">
        <f t="shared" si="109"/>
        <v>0</v>
      </c>
      <c r="J773" t="b">
        <f t="shared" si="116"/>
        <v>0</v>
      </c>
      <c r="K773" t="b">
        <f t="shared" si="110"/>
        <v>0</v>
      </c>
      <c r="L773" t="b">
        <f t="shared" si="111"/>
        <v>0</v>
      </c>
      <c r="M773" t="b">
        <f t="shared" si="112"/>
        <v>1</v>
      </c>
      <c r="N773" t="b">
        <f t="shared" si="113"/>
        <v>1</v>
      </c>
      <c r="O773" t="b">
        <f t="shared" si="114"/>
        <v>1</v>
      </c>
    </row>
    <row r="774" spans="1:15" x14ac:dyDescent="0.35">
      <c r="A774" t="str">
        <v>mu_Coach_Gen4_Horizon_Baggage_Coach</v>
      </c>
      <c r="B774" t="b" cm="1">
        <f t="array" ref="B774">_xlfn.XLOOKUP(A774,CONTROL[VEHIDCODE],PROPERTIES[EXCLUDE])</f>
        <v>0</v>
      </c>
      <c r="C774" t="b">
        <f>_xlfn.XLOOKUP(A774,CONTROL[VEHIDCODE],CONTROL[IS_WAGON_OR_COACH])</f>
        <v>1</v>
      </c>
      <c r="D774">
        <f>FLOOR(_xlfn.XLOOKUP($A774,PROPERTIES[VEHIDCODE],PROPERTIES[INTRODUCTION_YEAR]),20)</f>
        <v>1960</v>
      </c>
      <c r="E774" t="e">
        <f>_xlfn.XLOOKUP($A774,PROPERTIES[VEHIDCODE],#REF!)</f>
        <v>#REF!</v>
      </c>
      <c r="F774" s="25" t="str" cm="1">
        <f t="array" ref="F774">_xlfn.CONCAT(_xlfn.XLOOKUP($A774,PROPERTIES[VEHIDCODE],PROPERTIES[REGION1]),"_",_xlfn.XLOOKUP($A774,PROPERTIES[VEHIDCODE],PROPERTIES[REGION2]),"_",_xlfn.XLOOKUP($A774,PROPERTIES[VEHIDCODE],PROPERTIES[REGION3]&amp;"_"&amp;_xlfn.XLOOKUP($A774,PROPERTIES[VEHIDCODE],PROPERTIES[REGION4])))</f>
        <v>ALL_AMERICA_OCEANIA_NO_REGION_NO_REGION</v>
      </c>
      <c r="G774" t="b">
        <f t="shared" si="108"/>
        <v>0</v>
      </c>
      <c r="H774" t="b">
        <f t="shared" si="115"/>
        <v>0</v>
      </c>
      <c r="I774" t="b">
        <f t="shared" si="109"/>
        <v>0</v>
      </c>
      <c r="J774" t="b">
        <f t="shared" si="116"/>
        <v>0</v>
      </c>
      <c r="K774" t="b">
        <f t="shared" si="110"/>
        <v>0</v>
      </c>
      <c r="L774" t="b">
        <f t="shared" si="111"/>
        <v>0</v>
      </c>
      <c r="M774" t="b">
        <f t="shared" si="112"/>
        <v>1</v>
      </c>
      <c r="N774" t="b">
        <f t="shared" si="113"/>
        <v>1</v>
      </c>
      <c r="O774" t="b">
        <f t="shared" si="114"/>
        <v>1</v>
      </c>
    </row>
    <row r="775" spans="1:15" x14ac:dyDescent="0.35">
      <c r="A775" t="str">
        <v>mu_Coach_Gen4_Bombardier_Bi_level</v>
      </c>
      <c r="B775" t="b" cm="1">
        <f t="array" ref="B775">_xlfn.XLOOKUP(A775,CONTROL[VEHIDCODE],PROPERTIES[EXCLUDE])</f>
        <v>0</v>
      </c>
      <c r="C775" t="b">
        <f>_xlfn.XLOOKUP(A775,CONTROL[VEHIDCODE],CONTROL[IS_WAGON_OR_COACH])</f>
        <v>1</v>
      </c>
      <c r="D775">
        <f>FLOOR(_xlfn.XLOOKUP($A775,PROPERTIES[VEHIDCODE],PROPERTIES[INTRODUCTION_YEAR]),20)</f>
        <v>1960</v>
      </c>
      <c r="E775" t="e">
        <f>_xlfn.XLOOKUP($A775,PROPERTIES[VEHIDCODE],#REF!)</f>
        <v>#REF!</v>
      </c>
      <c r="F775" s="25" t="str" cm="1">
        <f t="array" ref="F775">_xlfn.CONCAT(_xlfn.XLOOKUP($A775,PROPERTIES[VEHIDCODE],PROPERTIES[REGION1]),"_",_xlfn.XLOOKUP($A775,PROPERTIES[VEHIDCODE],PROPERTIES[REGION2]),"_",_xlfn.XLOOKUP($A775,PROPERTIES[VEHIDCODE],PROPERTIES[REGION3]&amp;"_"&amp;_xlfn.XLOOKUP($A775,PROPERTIES[VEHIDCODE],PROPERTIES[REGION4])))</f>
        <v>ALL_AMERICA_OCEANIA_NO_REGION_NO_REGION</v>
      </c>
      <c r="G775" t="b">
        <f t="shared" si="108"/>
        <v>0</v>
      </c>
      <c r="H775" t="b">
        <f t="shared" si="115"/>
        <v>0</v>
      </c>
      <c r="I775" t="b">
        <f t="shared" si="109"/>
        <v>0</v>
      </c>
      <c r="J775" t="b">
        <f t="shared" si="116"/>
        <v>0</v>
      </c>
      <c r="K775" t="b">
        <f t="shared" si="110"/>
        <v>0</v>
      </c>
      <c r="L775" t="b">
        <f t="shared" si="111"/>
        <v>0</v>
      </c>
      <c r="M775" t="b">
        <f t="shared" si="112"/>
        <v>1</v>
      </c>
      <c r="N775" t="b">
        <f t="shared" si="113"/>
        <v>1</v>
      </c>
      <c r="O775" t="b">
        <f t="shared" si="114"/>
        <v>1</v>
      </c>
    </row>
    <row r="776" spans="1:15" x14ac:dyDescent="0.35">
      <c r="A776" t="str">
        <v>mu_Coach_Gen5_High_Speed_Coach</v>
      </c>
      <c r="B776" t="b" cm="1">
        <f t="array" ref="B776">_xlfn.XLOOKUP(A776,CONTROL[VEHIDCODE],PROPERTIES[EXCLUDE])</f>
        <v>0</v>
      </c>
      <c r="C776" t="b">
        <f>_xlfn.XLOOKUP(A776,CONTROL[VEHIDCODE],CONTROL[IS_WAGON_OR_COACH])</f>
        <v>1</v>
      </c>
      <c r="D776">
        <f>FLOOR(_xlfn.XLOOKUP($A776,PROPERTIES[VEHIDCODE],PROPERTIES[INTRODUCTION_YEAR]),20)</f>
        <v>2000</v>
      </c>
      <c r="E776" t="e">
        <f>_xlfn.XLOOKUP($A776,PROPERTIES[VEHIDCODE],#REF!)</f>
        <v>#REF!</v>
      </c>
      <c r="F776" s="25" t="str" cm="1">
        <f t="array" ref="F776">_xlfn.CONCAT(_xlfn.XLOOKUP($A776,PROPERTIES[VEHIDCODE],PROPERTIES[REGION1]),"_",_xlfn.XLOOKUP($A776,PROPERTIES[VEHIDCODE],PROPERTIES[REGION2]),"_",_xlfn.XLOOKUP($A776,PROPERTIES[VEHIDCODE],PROPERTIES[REGION3]&amp;"_"&amp;_xlfn.XLOOKUP($A776,PROPERTIES[VEHIDCODE],PROPERTIES[REGION4])))</f>
        <v>ALL_REGION_NO_REGION_NO_REGION_NO_REGION</v>
      </c>
      <c r="G776" t="b">
        <f t="shared" si="108"/>
        <v>1</v>
      </c>
      <c r="H776" t="b">
        <f t="shared" si="115"/>
        <v>1</v>
      </c>
      <c r="I776" t="b">
        <f t="shared" si="109"/>
        <v>1</v>
      </c>
      <c r="J776" t="b">
        <f t="shared" si="116"/>
        <v>1</v>
      </c>
      <c r="K776" t="b">
        <f t="shared" si="110"/>
        <v>1</v>
      </c>
      <c r="L776" t="b">
        <f t="shared" si="111"/>
        <v>1</v>
      </c>
      <c r="M776" t="b">
        <f t="shared" si="112"/>
        <v>1</v>
      </c>
      <c r="N776" t="b">
        <f t="shared" si="113"/>
        <v>1</v>
      </c>
      <c r="O776" t="b">
        <f t="shared" si="114"/>
        <v>1</v>
      </c>
    </row>
    <row r="777" spans="1:15" x14ac:dyDescent="0.35">
      <c r="A777" t="str">
        <v>mu_Coach_Gen5_Modern_Regional_Coach</v>
      </c>
      <c r="B777" t="b" cm="1">
        <f t="array" ref="B777">_xlfn.XLOOKUP(A777,CONTROL[VEHIDCODE],PROPERTIES[EXCLUDE])</f>
        <v>0</v>
      </c>
      <c r="C777" t="b">
        <f>_xlfn.XLOOKUP(A777,CONTROL[VEHIDCODE],CONTROL[IS_WAGON_OR_COACH])</f>
        <v>1</v>
      </c>
      <c r="D777">
        <f>FLOOR(_xlfn.XLOOKUP($A777,PROPERTIES[VEHIDCODE],PROPERTIES[INTRODUCTION_YEAR]),20)</f>
        <v>2000</v>
      </c>
      <c r="E777" t="e">
        <f>_xlfn.XLOOKUP($A777,PROPERTIES[VEHIDCODE],#REF!)</f>
        <v>#REF!</v>
      </c>
      <c r="F777" s="25" t="str" cm="1">
        <f t="array" ref="F777">_xlfn.CONCAT(_xlfn.XLOOKUP($A777,PROPERTIES[VEHIDCODE],PROPERTIES[REGION1]),"_",_xlfn.XLOOKUP($A777,PROPERTIES[VEHIDCODE],PROPERTIES[REGION2]),"_",_xlfn.XLOOKUP($A777,PROPERTIES[VEHIDCODE],PROPERTIES[REGION3]&amp;"_"&amp;_xlfn.XLOOKUP($A777,PROPERTIES[VEHIDCODE],PROPERTIES[REGION4])))</f>
        <v>ALL_REGION_NO_REGION_NO_REGION_NO_REGION</v>
      </c>
      <c r="G777" t="b">
        <f t="shared" si="108"/>
        <v>1</v>
      </c>
      <c r="H777" t="b">
        <f t="shared" si="115"/>
        <v>1</v>
      </c>
      <c r="I777" t="b">
        <f t="shared" si="109"/>
        <v>1</v>
      </c>
      <c r="J777" t="b">
        <f t="shared" si="116"/>
        <v>1</v>
      </c>
      <c r="K777" t="b">
        <f t="shared" si="110"/>
        <v>1</v>
      </c>
      <c r="L777" t="b">
        <f t="shared" si="111"/>
        <v>1</v>
      </c>
      <c r="M777" t="b">
        <f t="shared" si="112"/>
        <v>1</v>
      </c>
      <c r="N777" t="b">
        <f t="shared" si="113"/>
        <v>1</v>
      </c>
      <c r="O777" t="b">
        <f t="shared" si="114"/>
        <v>1</v>
      </c>
    </row>
    <row r="778" spans="1:15" x14ac:dyDescent="0.35">
      <c r="A778" t="str">
        <v>mu_Coach_Gen5_Modern_Commuter_Coach</v>
      </c>
      <c r="B778" t="b" cm="1">
        <f t="array" ref="B778">_xlfn.XLOOKUP(A778,CONTROL[VEHIDCODE],PROPERTIES[EXCLUDE])</f>
        <v>0</v>
      </c>
      <c r="C778" t="b">
        <f>_xlfn.XLOOKUP(A778,CONTROL[VEHIDCODE],CONTROL[IS_WAGON_OR_COACH])</f>
        <v>1</v>
      </c>
      <c r="D778">
        <f>FLOOR(_xlfn.XLOOKUP($A778,PROPERTIES[VEHIDCODE],PROPERTIES[INTRODUCTION_YEAR]),20)</f>
        <v>2000</v>
      </c>
      <c r="E778" t="e">
        <f>_xlfn.XLOOKUP($A778,PROPERTIES[VEHIDCODE],#REF!)</f>
        <v>#REF!</v>
      </c>
      <c r="F778" s="25" t="str" cm="1">
        <f t="array" ref="F778">_xlfn.CONCAT(_xlfn.XLOOKUP($A778,PROPERTIES[VEHIDCODE],PROPERTIES[REGION1]),"_",_xlfn.XLOOKUP($A778,PROPERTIES[VEHIDCODE],PROPERTIES[REGION2]),"_",_xlfn.XLOOKUP($A778,PROPERTIES[VEHIDCODE],PROPERTIES[REGION3]&amp;"_"&amp;_xlfn.XLOOKUP($A778,PROPERTIES[VEHIDCODE],PROPERTIES[REGION4])))</f>
        <v>ALL_REGION_NO_REGION_NO_REGION_NO_REGION</v>
      </c>
      <c r="G778" t="b">
        <f t="shared" si="108"/>
        <v>1</v>
      </c>
      <c r="H778" t="b">
        <f t="shared" si="115"/>
        <v>1</v>
      </c>
      <c r="I778" t="b">
        <f t="shared" si="109"/>
        <v>1</v>
      </c>
      <c r="J778" t="b">
        <f t="shared" si="116"/>
        <v>1</v>
      </c>
      <c r="K778" t="b">
        <f t="shared" si="110"/>
        <v>1</v>
      </c>
      <c r="L778" t="b">
        <f t="shared" si="111"/>
        <v>1</v>
      </c>
      <c r="M778" t="b">
        <f t="shared" si="112"/>
        <v>1</v>
      </c>
      <c r="N778" t="b">
        <f t="shared" si="113"/>
        <v>1</v>
      </c>
      <c r="O778" t="b">
        <f t="shared" si="114"/>
        <v>1</v>
      </c>
    </row>
    <row r="779" spans="1:15" x14ac:dyDescent="0.35">
      <c r="A779" t="str">
        <v>mu_Coach_Gen5_Modern_Double_Decker_Coach</v>
      </c>
      <c r="B779" t="b" cm="1">
        <f t="array" ref="B779">_xlfn.XLOOKUP(A779,CONTROL[VEHIDCODE],PROPERTIES[EXCLUDE])</f>
        <v>0</v>
      </c>
      <c r="C779" t="b">
        <f>_xlfn.XLOOKUP(A779,CONTROL[VEHIDCODE],CONTROL[IS_WAGON_OR_COACH])</f>
        <v>1</v>
      </c>
      <c r="D779">
        <f>FLOOR(_xlfn.XLOOKUP($A779,PROPERTIES[VEHIDCODE],PROPERTIES[INTRODUCTION_YEAR]),20)</f>
        <v>2000</v>
      </c>
      <c r="E779" t="e">
        <f>_xlfn.XLOOKUP($A779,PROPERTIES[VEHIDCODE],#REF!)</f>
        <v>#REF!</v>
      </c>
      <c r="F779" s="25" t="str" cm="1">
        <f t="array" ref="F779">_xlfn.CONCAT(_xlfn.XLOOKUP($A779,PROPERTIES[VEHIDCODE],PROPERTIES[REGION1]),"_",_xlfn.XLOOKUP($A779,PROPERTIES[VEHIDCODE],PROPERTIES[REGION2]),"_",_xlfn.XLOOKUP($A779,PROPERTIES[VEHIDCODE],PROPERTIES[REGION3]&amp;"_"&amp;_xlfn.XLOOKUP($A779,PROPERTIES[VEHIDCODE],PROPERTIES[REGION4])))</f>
        <v>ALL_REGION_NO_REGION_NO_REGION_NO_REGION</v>
      </c>
      <c r="G779" t="b">
        <f t="shared" si="108"/>
        <v>1</v>
      </c>
      <c r="H779" t="b">
        <f t="shared" si="115"/>
        <v>1</v>
      </c>
      <c r="I779" t="b">
        <f t="shared" si="109"/>
        <v>1</v>
      </c>
      <c r="J779" t="b">
        <f t="shared" si="116"/>
        <v>1</v>
      </c>
      <c r="K779" t="b">
        <f t="shared" si="110"/>
        <v>1</v>
      </c>
      <c r="L779" t="b">
        <f t="shared" si="111"/>
        <v>1</v>
      </c>
      <c r="M779" t="b">
        <f t="shared" si="112"/>
        <v>1</v>
      </c>
      <c r="N779" t="b">
        <f t="shared" si="113"/>
        <v>1</v>
      </c>
      <c r="O779" t="b">
        <f t="shared" si="114"/>
        <v>1</v>
      </c>
    </row>
    <row r="780" spans="1:15" x14ac:dyDescent="0.35">
      <c r="A780" t="str">
        <v>mu_Coach_Gen5_High_Speed_Double_Decker_IC2000</v>
      </c>
      <c r="B780" t="b" cm="1">
        <f t="array" ref="B780">_xlfn.XLOOKUP(A780,CONTROL[VEHIDCODE],PROPERTIES[EXCLUDE])</f>
        <v>0</v>
      </c>
      <c r="C780" t="b">
        <f>_xlfn.XLOOKUP(A780,CONTROL[VEHIDCODE],CONTROL[IS_WAGON_OR_COACH])</f>
        <v>1</v>
      </c>
      <c r="D780">
        <f>FLOOR(_xlfn.XLOOKUP($A780,PROPERTIES[VEHIDCODE],PROPERTIES[INTRODUCTION_YEAR]),20)</f>
        <v>2000</v>
      </c>
      <c r="E780" t="e">
        <f>_xlfn.XLOOKUP($A780,PROPERTIES[VEHIDCODE],#REF!)</f>
        <v>#REF!</v>
      </c>
      <c r="F780" s="25" t="str" cm="1">
        <f t="array" ref="F780">_xlfn.CONCAT(_xlfn.XLOOKUP($A780,PROPERTIES[VEHIDCODE],PROPERTIES[REGION1]),"_",_xlfn.XLOOKUP($A780,PROPERTIES[VEHIDCODE],PROPERTIES[REGION2]),"_",_xlfn.XLOOKUP($A780,PROPERTIES[VEHIDCODE],PROPERTIES[REGION3]&amp;"_"&amp;_xlfn.XLOOKUP($A780,PROPERTIES[VEHIDCODE],PROPERTIES[REGION4])))</f>
        <v>ALL_REGION_NO_REGION_NO_REGION_NO_REGION</v>
      </c>
      <c r="G780" t="b">
        <f t="shared" si="108"/>
        <v>1</v>
      </c>
      <c r="H780" t="b">
        <f t="shared" si="115"/>
        <v>1</v>
      </c>
      <c r="I780" t="b">
        <f t="shared" si="109"/>
        <v>1</v>
      </c>
      <c r="J780" t="b">
        <f t="shared" si="116"/>
        <v>1</v>
      </c>
      <c r="K780" t="b">
        <f t="shared" si="110"/>
        <v>1</v>
      </c>
      <c r="L780" t="b">
        <f t="shared" si="111"/>
        <v>1</v>
      </c>
      <c r="M780" t="b">
        <f t="shared" si="112"/>
        <v>1</v>
      </c>
      <c r="N780" t="b">
        <f t="shared" si="113"/>
        <v>1</v>
      </c>
      <c r="O780" t="b">
        <f t="shared" si="114"/>
        <v>1</v>
      </c>
    </row>
    <row r="781" spans="1:15" x14ac:dyDescent="0.35">
      <c r="A781" t="str">
        <v>mu_Coach_Gen5_High_Speed_Mail_Coach</v>
      </c>
      <c r="B781" t="b" cm="1">
        <f t="array" ref="B781">_xlfn.XLOOKUP(A781,CONTROL[VEHIDCODE],PROPERTIES[EXCLUDE])</f>
        <v>0</v>
      </c>
      <c r="C781" t="b">
        <f>_xlfn.XLOOKUP(A781,CONTROL[VEHIDCODE],CONTROL[IS_WAGON_OR_COACH])</f>
        <v>1</v>
      </c>
      <c r="D781">
        <f>FLOOR(_xlfn.XLOOKUP($A781,PROPERTIES[VEHIDCODE],PROPERTIES[INTRODUCTION_YEAR]),20)</f>
        <v>2000</v>
      </c>
      <c r="E781" t="e">
        <f>_xlfn.XLOOKUP($A781,PROPERTIES[VEHIDCODE],#REF!)</f>
        <v>#REF!</v>
      </c>
      <c r="F781" s="25" t="str" cm="1">
        <f t="array" ref="F781">_xlfn.CONCAT(_xlfn.XLOOKUP($A781,PROPERTIES[VEHIDCODE],PROPERTIES[REGION1]),"_",_xlfn.XLOOKUP($A781,PROPERTIES[VEHIDCODE],PROPERTIES[REGION2]),"_",_xlfn.XLOOKUP($A781,PROPERTIES[VEHIDCODE],PROPERTIES[REGION3]&amp;"_"&amp;_xlfn.XLOOKUP($A781,PROPERTIES[VEHIDCODE],PROPERTIES[REGION4])))</f>
        <v>ALL_REGION_NO_REGION_NO_REGION_NO_REGION</v>
      </c>
      <c r="G781" t="b">
        <f t="shared" si="108"/>
        <v>1</v>
      </c>
      <c r="H781" t="b">
        <f t="shared" si="115"/>
        <v>1</v>
      </c>
      <c r="I781" t="b">
        <f t="shared" si="109"/>
        <v>1</v>
      </c>
      <c r="J781" t="b">
        <f t="shared" si="116"/>
        <v>1</v>
      </c>
      <c r="K781" t="b">
        <f t="shared" si="110"/>
        <v>1</v>
      </c>
      <c r="L781" t="b">
        <f t="shared" si="111"/>
        <v>1</v>
      </c>
      <c r="M781" t="b">
        <f t="shared" si="112"/>
        <v>1</v>
      </c>
      <c r="N781" t="b">
        <f t="shared" si="113"/>
        <v>1</v>
      </c>
      <c r="O781" t="b">
        <f t="shared" si="114"/>
        <v>1</v>
      </c>
    </row>
    <row r="782" spans="1:15" x14ac:dyDescent="0.35">
      <c r="A782" t="str">
        <v>mu_Coach_Gen5_Talgo_Pendular</v>
      </c>
      <c r="B782" t="b" cm="1">
        <f t="array" ref="B782">_xlfn.XLOOKUP(A782,CONTROL[VEHIDCODE],PROPERTIES[EXCLUDE])</f>
        <v>0</v>
      </c>
      <c r="C782" t="b">
        <f>_xlfn.XLOOKUP(A782,CONTROL[VEHIDCODE],CONTROL[IS_WAGON_OR_COACH])</f>
        <v>1</v>
      </c>
      <c r="D782">
        <f>FLOOR(_xlfn.XLOOKUP($A782,PROPERTIES[VEHIDCODE],PROPERTIES[INTRODUCTION_YEAR]),20)</f>
        <v>1980</v>
      </c>
      <c r="E782" t="e">
        <f>_xlfn.XLOOKUP($A782,PROPERTIES[VEHIDCODE],#REF!)</f>
        <v>#REF!</v>
      </c>
      <c r="F782" s="25" t="str" cm="1">
        <f t="array" ref="F782">_xlfn.CONCAT(_xlfn.XLOOKUP($A782,PROPERTIES[VEHIDCODE],PROPERTIES[REGION1]),"_",_xlfn.XLOOKUP($A782,PROPERTIES[VEHIDCODE],PROPERTIES[REGION2]),"_",_xlfn.XLOOKUP($A782,PROPERTIES[VEHIDCODE],PROPERTIES[REGION3]&amp;"_"&amp;_xlfn.XLOOKUP($A782,PROPERTIES[VEHIDCODE],PROPERTIES[REGION4])))</f>
        <v>ALL_REGION_NO_REGION_NO_REGION_NO_REGION</v>
      </c>
      <c r="G782" t="b">
        <f t="shared" si="108"/>
        <v>1</v>
      </c>
      <c r="H782" t="b">
        <f t="shared" si="115"/>
        <v>1</v>
      </c>
      <c r="I782" t="b">
        <f t="shared" si="109"/>
        <v>1</v>
      </c>
      <c r="J782" t="b">
        <f t="shared" si="116"/>
        <v>1</v>
      </c>
      <c r="K782" t="b">
        <f t="shared" si="110"/>
        <v>1</v>
      </c>
      <c r="L782" t="b">
        <f t="shared" si="111"/>
        <v>1</v>
      </c>
      <c r="M782" t="b">
        <f t="shared" si="112"/>
        <v>1</v>
      </c>
      <c r="N782" t="b">
        <f t="shared" si="113"/>
        <v>1</v>
      </c>
      <c r="O782" t="b">
        <f t="shared" si="114"/>
        <v>1</v>
      </c>
    </row>
    <row r="783" spans="1:15" x14ac:dyDescent="0.35">
      <c r="A783" t="str">
        <v>mu_Coach_Gen5_Talgo_Pendular_Mail</v>
      </c>
      <c r="B783" t="b" cm="1">
        <f t="array" ref="B783">_xlfn.XLOOKUP(A783,CONTROL[VEHIDCODE],PROPERTIES[EXCLUDE])</f>
        <v>0</v>
      </c>
      <c r="C783" t="b">
        <f>_xlfn.XLOOKUP(A783,CONTROL[VEHIDCODE],CONTROL[IS_WAGON_OR_COACH])</f>
        <v>1</v>
      </c>
      <c r="D783">
        <f>FLOOR(_xlfn.XLOOKUP($A783,PROPERTIES[VEHIDCODE],PROPERTIES[INTRODUCTION_YEAR]),20)</f>
        <v>1980</v>
      </c>
      <c r="E783" t="e">
        <f>_xlfn.XLOOKUP($A783,PROPERTIES[VEHIDCODE],#REF!)</f>
        <v>#REF!</v>
      </c>
      <c r="F783" s="25" t="str" cm="1">
        <f t="array" ref="F783">_xlfn.CONCAT(_xlfn.XLOOKUP($A783,PROPERTIES[VEHIDCODE],PROPERTIES[REGION1]),"_",_xlfn.XLOOKUP($A783,PROPERTIES[VEHIDCODE],PROPERTIES[REGION2]),"_",_xlfn.XLOOKUP($A783,PROPERTIES[VEHIDCODE],PROPERTIES[REGION3]&amp;"_"&amp;_xlfn.XLOOKUP($A783,PROPERTIES[VEHIDCODE],PROPERTIES[REGION4])))</f>
        <v>ALL_REGION_NO_REGION_NO_REGION_NO_REGION</v>
      </c>
      <c r="G783" t="b">
        <f t="shared" si="108"/>
        <v>1</v>
      </c>
      <c r="H783" t="b">
        <f t="shared" si="115"/>
        <v>1</v>
      </c>
      <c r="I783" t="b">
        <f t="shared" si="109"/>
        <v>1</v>
      </c>
      <c r="J783" t="b">
        <f t="shared" si="116"/>
        <v>1</v>
      </c>
      <c r="K783" t="b">
        <f t="shared" si="110"/>
        <v>1</v>
      </c>
      <c r="L783" t="b">
        <f t="shared" si="111"/>
        <v>1</v>
      </c>
      <c r="M783" t="b">
        <f t="shared" si="112"/>
        <v>1</v>
      </c>
      <c r="N783" t="b">
        <f t="shared" si="113"/>
        <v>1</v>
      </c>
      <c r="O783" t="b">
        <f t="shared" si="114"/>
        <v>1</v>
      </c>
    </row>
    <row r="784" spans="1:15" x14ac:dyDescent="0.35">
      <c r="A784" t="str">
        <v>mu_Coach_Gen6_Grand_Voyager_Coach</v>
      </c>
      <c r="B784" t="b" cm="1">
        <f t="array" ref="B784">_xlfn.XLOOKUP(A784,CONTROL[VEHIDCODE],PROPERTIES[EXCLUDE])</f>
        <v>0</v>
      </c>
      <c r="C784" t="b">
        <f>_xlfn.XLOOKUP(A784,CONTROL[VEHIDCODE],CONTROL[IS_WAGON_OR_COACH])</f>
        <v>1</v>
      </c>
      <c r="D784">
        <f>FLOOR(_xlfn.XLOOKUP($A784,PROPERTIES[VEHIDCODE],PROPERTIES[INTRODUCTION_YEAR]),20)</f>
        <v>2020</v>
      </c>
      <c r="E784" t="e">
        <f>_xlfn.XLOOKUP($A784,PROPERTIES[VEHIDCODE],#REF!)</f>
        <v>#REF!</v>
      </c>
      <c r="F784" s="25" t="str" cm="1">
        <f t="array" ref="F784">_xlfn.CONCAT(_xlfn.XLOOKUP($A784,PROPERTIES[VEHIDCODE],PROPERTIES[REGION1]),"_",_xlfn.XLOOKUP($A784,PROPERTIES[VEHIDCODE],PROPERTIES[REGION2]),"_",_xlfn.XLOOKUP($A784,PROPERTIES[VEHIDCODE],PROPERTIES[REGION3]&amp;"_"&amp;_xlfn.XLOOKUP($A784,PROPERTIES[VEHIDCODE],PROPERTIES[REGION4])))</f>
        <v>ALL_REGION_NO_REGION_NO_REGION_NO_REGION</v>
      </c>
      <c r="G784" t="b">
        <f t="shared" si="108"/>
        <v>1</v>
      </c>
      <c r="H784" t="b">
        <f t="shared" si="115"/>
        <v>1</v>
      </c>
      <c r="I784" t="b">
        <f t="shared" si="109"/>
        <v>1</v>
      </c>
      <c r="J784" t="b">
        <f t="shared" si="116"/>
        <v>1</v>
      </c>
      <c r="K784" t="b">
        <f t="shared" si="110"/>
        <v>1</v>
      </c>
      <c r="L784" t="b">
        <f t="shared" si="111"/>
        <v>1</v>
      </c>
      <c r="M784" t="b">
        <f t="shared" si="112"/>
        <v>1</v>
      </c>
      <c r="N784" t="b">
        <f t="shared" si="113"/>
        <v>1</v>
      </c>
      <c r="O784" t="b">
        <f t="shared" si="114"/>
        <v>1</v>
      </c>
    </row>
    <row r="785" spans="1:15" x14ac:dyDescent="0.35">
      <c r="A785" t="str">
        <v>mu_Coach_Gen6_Grand_Regio_Coach</v>
      </c>
      <c r="B785" t="b" cm="1">
        <f t="array" ref="B785">_xlfn.XLOOKUP(A785,CONTROL[VEHIDCODE],PROPERTIES[EXCLUDE])</f>
        <v>0</v>
      </c>
      <c r="C785" t="b">
        <f>_xlfn.XLOOKUP(A785,CONTROL[VEHIDCODE],CONTROL[IS_WAGON_OR_COACH])</f>
        <v>1</v>
      </c>
      <c r="D785">
        <f>FLOOR(_xlfn.XLOOKUP($A785,PROPERTIES[VEHIDCODE],PROPERTIES[INTRODUCTION_YEAR]),20)</f>
        <v>2020</v>
      </c>
      <c r="E785" t="e">
        <f>_xlfn.XLOOKUP($A785,PROPERTIES[VEHIDCODE],#REF!)</f>
        <v>#REF!</v>
      </c>
      <c r="F785" s="25" t="str" cm="1">
        <f t="array" ref="F785">_xlfn.CONCAT(_xlfn.XLOOKUP($A785,PROPERTIES[VEHIDCODE],PROPERTIES[REGION1]),"_",_xlfn.XLOOKUP($A785,PROPERTIES[VEHIDCODE],PROPERTIES[REGION2]),"_",_xlfn.XLOOKUP($A785,PROPERTIES[VEHIDCODE],PROPERTIES[REGION3]&amp;"_"&amp;_xlfn.XLOOKUP($A785,PROPERTIES[VEHIDCODE],PROPERTIES[REGION4])))</f>
        <v>ALL_REGION_NO_REGION_NO_REGION_NO_REGION</v>
      </c>
      <c r="G785" t="b">
        <f t="shared" si="108"/>
        <v>1</v>
      </c>
      <c r="H785" t="b">
        <f t="shared" si="115"/>
        <v>1</v>
      </c>
      <c r="I785" t="b">
        <f t="shared" si="109"/>
        <v>1</v>
      </c>
      <c r="J785" t="b">
        <f t="shared" si="116"/>
        <v>1</v>
      </c>
      <c r="K785" t="b">
        <f t="shared" si="110"/>
        <v>1</v>
      </c>
      <c r="L785" t="b">
        <f t="shared" si="111"/>
        <v>1</v>
      </c>
      <c r="M785" t="b">
        <f t="shared" si="112"/>
        <v>1</v>
      </c>
      <c r="N785" t="b">
        <f t="shared" si="113"/>
        <v>1</v>
      </c>
      <c r="O785" t="b">
        <f t="shared" si="114"/>
        <v>1</v>
      </c>
    </row>
    <row r="786" spans="1:15" x14ac:dyDescent="0.35">
      <c r="A786" t="str">
        <v>mu_Coach_Gen6_Metropolis_Coach</v>
      </c>
      <c r="B786" t="b" cm="1">
        <f t="array" ref="B786">_xlfn.XLOOKUP(A786,CONTROL[VEHIDCODE],PROPERTIES[EXCLUDE])</f>
        <v>0</v>
      </c>
      <c r="C786" t="b">
        <f>_xlfn.XLOOKUP(A786,CONTROL[VEHIDCODE],CONTROL[IS_WAGON_OR_COACH])</f>
        <v>1</v>
      </c>
      <c r="D786">
        <f>FLOOR(_xlfn.XLOOKUP($A786,PROPERTIES[VEHIDCODE],PROPERTIES[INTRODUCTION_YEAR]),20)</f>
        <v>2020</v>
      </c>
      <c r="E786" t="e">
        <f>_xlfn.XLOOKUP($A786,PROPERTIES[VEHIDCODE],#REF!)</f>
        <v>#REF!</v>
      </c>
      <c r="F786" s="25" t="str" cm="1">
        <f t="array" ref="F786">_xlfn.CONCAT(_xlfn.XLOOKUP($A786,PROPERTIES[VEHIDCODE],PROPERTIES[REGION1]),"_",_xlfn.XLOOKUP($A786,PROPERTIES[VEHIDCODE],PROPERTIES[REGION2]),"_",_xlfn.XLOOKUP($A786,PROPERTIES[VEHIDCODE],PROPERTIES[REGION3]&amp;"_"&amp;_xlfn.XLOOKUP($A786,PROPERTIES[VEHIDCODE],PROPERTIES[REGION4])))</f>
        <v>ALL_REGION_NO_REGION_NO_REGION_NO_REGION</v>
      </c>
      <c r="G786" t="b">
        <f t="shared" si="108"/>
        <v>1</v>
      </c>
      <c r="H786" t="b">
        <f t="shared" si="115"/>
        <v>1</v>
      </c>
      <c r="I786" t="b">
        <f t="shared" si="109"/>
        <v>1</v>
      </c>
      <c r="J786" t="b">
        <f t="shared" si="116"/>
        <v>1</v>
      </c>
      <c r="K786" t="b">
        <f t="shared" si="110"/>
        <v>1</v>
      </c>
      <c r="L786" t="b">
        <f t="shared" si="111"/>
        <v>1</v>
      </c>
      <c r="M786" t="b">
        <f t="shared" si="112"/>
        <v>1</v>
      </c>
      <c r="N786" t="b">
        <f t="shared" si="113"/>
        <v>1</v>
      </c>
      <c r="O786" t="b">
        <f t="shared" si="114"/>
        <v>1</v>
      </c>
    </row>
    <row r="787" spans="1:15" x14ac:dyDescent="0.35">
      <c r="A787" t="str">
        <v>mu_Coach_Gen6_Speedmail_Coach</v>
      </c>
      <c r="B787" t="b" cm="1">
        <f t="array" ref="B787">_xlfn.XLOOKUP(A787,CONTROL[VEHIDCODE],PROPERTIES[EXCLUDE])</f>
        <v>0</v>
      </c>
      <c r="C787" t="b">
        <f>_xlfn.XLOOKUP(A787,CONTROL[VEHIDCODE],CONTROL[IS_WAGON_OR_COACH])</f>
        <v>1</v>
      </c>
      <c r="D787">
        <f>FLOOR(_xlfn.XLOOKUP($A787,PROPERTIES[VEHIDCODE],PROPERTIES[INTRODUCTION_YEAR]),20)</f>
        <v>2020</v>
      </c>
      <c r="E787" t="e">
        <f>_xlfn.XLOOKUP($A787,PROPERTIES[VEHIDCODE],#REF!)</f>
        <v>#REF!</v>
      </c>
      <c r="F787" s="25" t="str" cm="1">
        <f t="array" ref="F787">_xlfn.CONCAT(_xlfn.XLOOKUP($A787,PROPERTIES[VEHIDCODE],PROPERTIES[REGION1]),"_",_xlfn.XLOOKUP($A787,PROPERTIES[VEHIDCODE],PROPERTIES[REGION2]),"_",_xlfn.XLOOKUP($A787,PROPERTIES[VEHIDCODE],PROPERTIES[REGION3]&amp;"_"&amp;_xlfn.XLOOKUP($A787,PROPERTIES[VEHIDCODE],PROPERTIES[REGION4])))</f>
        <v>ALL_REGION_NO_REGION_NO_REGION_NO_REGION</v>
      </c>
      <c r="G787" t="b">
        <f t="shared" si="108"/>
        <v>1</v>
      </c>
      <c r="H787" t="b">
        <f t="shared" si="115"/>
        <v>1</v>
      </c>
      <c r="I787" t="b">
        <f t="shared" si="109"/>
        <v>1</v>
      </c>
      <c r="J787" t="b">
        <f t="shared" si="116"/>
        <v>1</v>
      </c>
      <c r="K787" t="b">
        <f t="shared" si="110"/>
        <v>1</v>
      </c>
      <c r="L787" t="b">
        <f t="shared" si="111"/>
        <v>1</v>
      </c>
      <c r="M787" t="b">
        <f t="shared" si="112"/>
        <v>1</v>
      </c>
      <c r="N787" t="b">
        <f t="shared" si="113"/>
        <v>1</v>
      </c>
      <c r="O787" t="b">
        <f t="shared" si="114"/>
        <v>1</v>
      </c>
    </row>
    <row r="788" spans="1:15" x14ac:dyDescent="0.35">
      <c r="A788" t="str">
        <v>mu_Coach_Gen6_Super_Regio_Coach</v>
      </c>
      <c r="B788" t="b" cm="1">
        <f t="array" ref="B788">_xlfn.XLOOKUP(A788,CONTROL[VEHIDCODE],PROPERTIES[EXCLUDE])</f>
        <v>0</v>
      </c>
      <c r="C788" t="b">
        <f>_xlfn.XLOOKUP(A788,CONTROL[VEHIDCODE],CONTROL[IS_WAGON_OR_COACH])</f>
        <v>1</v>
      </c>
      <c r="D788">
        <f>FLOOR(_xlfn.XLOOKUP($A788,PROPERTIES[VEHIDCODE],PROPERTIES[INTRODUCTION_YEAR]),20)</f>
        <v>2020</v>
      </c>
      <c r="E788" t="e">
        <f>_xlfn.XLOOKUP($A788,PROPERTIES[VEHIDCODE],#REF!)</f>
        <v>#REF!</v>
      </c>
      <c r="F788" s="25" t="str" cm="1">
        <f t="array" ref="F788">_xlfn.CONCAT(_xlfn.XLOOKUP($A788,PROPERTIES[VEHIDCODE],PROPERTIES[REGION1]),"_",_xlfn.XLOOKUP($A788,PROPERTIES[VEHIDCODE],PROPERTIES[REGION2]),"_",_xlfn.XLOOKUP($A788,PROPERTIES[VEHIDCODE],PROPERTIES[REGION3]&amp;"_"&amp;_xlfn.XLOOKUP($A788,PROPERTIES[VEHIDCODE],PROPERTIES[REGION4])))</f>
        <v>ALL_REGION_NO_REGION_NO_REGION_NO_REGION</v>
      </c>
      <c r="G788" t="b">
        <f t="shared" si="108"/>
        <v>1</v>
      </c>
      <c r="H788" t="b">
        <f t="shared" si="115"/>
        <v>1</v>
      </c>
      <c r="I788" t="b">
        <f t="shared" si="109"/>
        <v>1</v>
      </c>
      <c r="J788" t="b">
        <f t="shared" si="116"/>
        <v>1</v>
      </c>
      <c r="K788" t="b">
        <f t="shared" si="110"/>
        <v>1</v>
      </c>
      <c r="L788" t="b">
        <f t="shared" si="111"/>
        <v>1</v>
      </c>
      <c r="M788" t="b">
        <f t="shared" si="112"/>
        <v>1</v>
      </c>
      <c r="N788" t="b">
        <f t="shared" si="113"/>
        <v>1</v>
      </c>
      <c r="O788" t="b">
        <f t="shared" si="114"/>
        <v>1</v>
      </c>
    </row>
    <row r="789" spans="1:15" x14ac:dyDescent="0.35">
      <c r="A789" t="str">
        <v>mu_Coach_Gen6_Super_Voyager_Coach</v>
      </c>
      <c r="B789" t="b" cm="1">
        <f t="array" ref="B789">_xlfn.XLOOKUP(A789,CONTROL[VEHIDCODE],PROPERTIES[EXCLUDE])</f>
        <v>0</v>
      </c>
      <c r="C789" t="b">
        <f>_xlfn.XLOOKUP(A789,CONTROL[VEHIDCODE],CONTROL[IS_WAGON_OR_COACH])</f>
        <v>1</v>
      </c>
      <c r="D789">
        <f>FLOOR(_xlfn.XLOOKUP($A789,PROPERTIES[VEHIDCODE],PROPERTIES[INTRODUCTION_YEAR]),20)</f>
        <v>2020</v>
      </c>
      <c r="E789" t="e">
        <f>_xlfn.XLOOKUP($A789,PROPERTIES[VEHIDCODE],#REF!)</f>
        <v>#REF!</v>
      </c>
      <c r="F789" s="25" t="str" cm="1">
        <f t="array" ref="F789">_xlfn.CONCAT(_xlfn.XLOOKUP($A789,PROPERTIES[VEHIDCODE],PROPERTIES[REGION1]),"_",_xlfn.XLOOKUP($A789,PROPERTIES[VEHIDCODE],PROPERTIES[REGION2]),"_",_xlfn.XLOOKUP($A789,PROPERTIES[VEHIDCODE],PROPERTIES[REGION3]&amp;"_"&amp;_xlfn.XLOOKUP($A789,PROPERTIES[VEHIDCODE],PROPERTIES[REGION4])))</f>
        <v>ALL_REGION_NO_REGION_NO_REGION_NO_REGION</v>
      </c>
      <c r="G789" t="b">
        <f t="shared" si="108"/>
        <v>1</v>
      </c>
      <c r="H789" t="b">
        <f t="shared" si="115"/>
        <v>1</v>
      </c>
      <c r="I789" t="b">
        <f t="shared" si="109"/>
        <v>1</v>
      </c>
      <c r="J789" t="b">
        <f t="shared" si="116"/>
        <v>1</v>
      </c>
      <c r="K789" t="b">
        <f t="shared" si="110"/>
        <v>1</v>
      </c>
      <c r="L789" t="b">
        <f t="shared" si="111"/>
        <v>1</v>
      </c>
      <c r="M789" t="b">
        <f t="shared" si="112"/>
        <v>1</v>
      </c>
      <c r="N789" t="b">
        <f t="shared" si="113"/>
        <v>1</v>
      </c>
      <c r="O789" t="b">
        <f t="shared" si="114"/>
        <v>1</v>
      </c>
    </row>
    <row r="790" spans="1:15" x14ac:dyDescent="0.35">
      <c r="A790" t="str">
        <v>diesel_Alsthom_AD30B</v>
      </c>
      <c r="B790" t="b" cm="1">
        <f t="array" ref="B790">_xlfn.XLOOKUP(A790,CONTROL[VEHIDCODE],PROPERTIES[EXCLUDE])</f>
        <v>0</v>
      </c>
      <c r="C790" t="b">
        <f>_xlfn.XLOOKUP(A790,CONTROL[VEHIDCODE],CONTROL[IS_WAGON_OR_COACH])</f>
        <v>0</v>
      </c>
      <c r="D790">
        <f>FLOOR(_xlfn.XLOOKUP($A790,PROPERTIES[VEHIDCODE],PROPERTIES[INTRODUCTION_YEAR]),20)</f>
        <v>1960</v>
      </c>
      <c r="E790" t="e">
        <f>_xlfn.XLOOKUP($A790,PROPERTIES[VEHIDCODE],#REF!)</f>
        <v>#REF!</v>
      </c>
      <c r="F790" s="25" t="str" cm="1">
        <f t="array" ref="F790">_xlfn.CONCAT(_xlfn.XLOOKUP($A790,PROPERTIES[VEHIDCODE],PROPERTIES[REGION1]),"_",_xlfn.XLOOKUP($A790,PROPERTIES[VEHIDCODE],PROPERTIES[REGION2]),"_",_xlfn.XLOOKUP($A790,PROPERTIES[VEHIDCODE],PROPERTIES[REGION3]&amp;"_"&amp;_xlfn.XLOOKUP($A790,PROPERTIES[VEHIDCODE],PROPERTIES[REGION4])))</f>
        <v>AFRICA_NO_REGION_NO_REGION_NO_REGION</v>
      </c>
      <c r="G790" t="b">
        <f t="shared" si="108"/>
        <v>1</v>
      </c>
      <c r="H790" t="b">
        <f t="shared" si="115"/>
        <v>0</v>
      </c>
      <c r="I790" t="b">
        <f t="shared" si="109"/>
        <v>0</v>
      </c>
      <c r="J790" t="b">
        <f t="shared" si="116"/>
        <v>0</v>
      </c>
      <c r="K790" t="b">
        <f t="shared" si="110"/>
        <v>0</v>
      </c>
      <c r="L790" t="b">
        <f t="shared" si="111"/>
        <v>0</v>
      </c>
      <c r="M790" t="b">
        <f t="shared" si="112"/>
        <v>0</v>
      </c>
      <c r="N790" t="b">
        <f t="shared" si="113"/>
        <v>0</v>
      </c>
      <c r="O790" t="b">
        <f t="shared" si="114"/>
        <v>0</v>
      </c>
    </row>
    <row r="791" spans="1:15" x14ac:dyDescent="0.35">
      <c r="A791" t="str">
        <v>steam_Porter_2_8_2_Class_200_Katanga_Mikado</v>
      </c>
      <c r="B791" t="b" cm="1">
        <f t="array" ref="B791">_xlfn.XLOOKUP(A791,CONTROL[VEHIDCODE],PROPERTIES[EXCLUDE])</f>
        <v>0</v>
      </c>
      <c r="C791" t="b">
        <f>_xlfn.XLOOKUP(A791,CONTROL[VEHIDCODE],CONTROL[IS_WAGON_OR_COACH])</f>
        <v>0</v>
      </c>
      <c r="D791">
        <f>FLOOR(_xlfn.XLOOKUP($A791,PROPERTIES[VEHIDCODE],PROPERTIES[INTRODUCTION_YEAR]),20)</f>
        <v>1900</v>
      </c>
      <c r="E791" t="e">
        <f>_xlfn.XLOOKUP($A791,PROPERTIES[VEHIDCODE],#REF!)</f>
        <v>#REF!</v>
      </c>
      <c r="F791" s="25" t="str" cm="1">
        <f t="array" ref="F791">_xlfn.CONCAT(_xlfn.XLOOKUP($A791,PROPERTIES[VEHIDCODE],PROPERTIES[REGION1]),"_",_xlfn.XLOOKUP($A791,PROPERTIES[VEHIDCODE],PROPERTIES[REGION2]),"_",_xlfn.XLOOKUP($A791,PROPERTIES[VEHIDCODE],PROPERTIES[REGION3]&amp;"_"&amp;_xlfn.XLOOKUP($A791,PROPERTIES[VEHIDCODE],PROPERTIES[REGION4])))</f>
        <v>AFRICA_NO_REGION_NO_REGION_NO_REGION</v>
      </c>
      <c r="G791" t="b">
        <f t="shared" si="108"/>
        <v>1</v>
      </c>
      <c r="H791" t="b">
        <f t="shared" si="115"/>
        <v>0</v>
      </c>
      <c r="I791" t="b">
        <f t="shared" si="109"/>
        <v>0</v>
      </c>
      <c r="J791" t="b">
        <f t="shared" si="116"/>
        <v>0</v>
      </c>
      <c r="K791" t="b">
        <f t="shared" si="110"/>
        <v>0</v>
      </c>
      <c r="L791" t="b">
        <f t="shared" si="111"/>
        <v>0</v>
      </c>
      <c r="M791" t="b">
        <f t="shared" si="112"/>
        <v>0</v>
      </c>
      <c r="N791" t="b">
        <f t="shared" si="113"/>
        <v>0</v>
      </c>
      <c r="O791" t="b">
        <f t="shared" si="114"/>
        <v>0</v>
      </c>
    </row>
    <row r="792" spans="1:15" x14ac:dyDescent="0.35">
      <c r="A792" t="str">
        <v>cargoemu_Kawasaki_Nippon_Sharyo_Toshiba_M250</v>
      </c>
      <c r="B792" t="b" cm="1">
        <f t="array" ref="B792">_xlfn.XLOOKUP(A792,CONTROL[VEHIDCODE],PROPERTIES[EXCLUDE])</f>
        <v>0</v>
      </c>
      <c r="C792" t="b">
        <f>_xlfn.XLOOKUP(A792,CONTROL[VEHIDCODE],CONTROL[IS_WAGON_OR_COACH])</f>
        <v>0</v>
      </c>
      <c r="D792">
        <f>FLOOR(_xlfn.XLOOKUP($A792,PROPERTIES[VEHIDCODE],PROPERTIES[INTRODUCTION_YEAR]),20)</f>
        <v>2000</v>
      </c>
      <c r="E792" t="e">
        <f>_xlfn.XLOOKUP($A792,PROPERTIES[VEHIDCODE],#REF!)</f>
        <v>#REF!</v>
      </c>
      <c r="F792" s="25" t="str" cm="1">
        <f t="array" ref="F792">_xlfn.CONCAT(_xlfn.XLOOKUP($A792,PROPERTIES[VEHIDCODE],PROPERTIES[REGION1]),"_",_xlfn.XLOOKUP($A792,PROPERTIES[VEHIDCODE],PROPERTIES[REGION2]),"_",_xlfn.XLOOKUP($A792,PROPERTIES[VEHIDCODE],PROPERTIES[REGION3]&amp;"_"&amp;_xlfn.XLOOKUP($A792,PROPERTIES[VEHIDCODE],PROPERTIES[REGION4])))</f>
        <v>ASIA_NO_REGION_NO_REGION_NO_REGION</v>
      </c>
      <c r="G792" t="b">
        <f t="shared" si="108"/>
        <v>0</v>
      </c>
      <c r="H792" t="b">
        <f t="shared" si="115"/>
        <v>1</v>
      </c>
      <c r="I792" t="b">
        <f t="shared" si="109"/>
        <v>0</v>
      </c>
      <c r="J792" t="b">
        <f t="shared" si="116"/>
        <v>0</v>
      </c>
      <c r="K792" t="b">
        <f t="shared" si="110"/>
        <v>0</v>
      </c>
      <c r="L792" t="b">
        <f t="shared" si="111"/>
        <v>0</v>
      </c>
      <c r="M792" t="b">
        <f t="shared" si="112"/>
        <v>0</v>
      </c>
      <c r="N792" t="b">
        <f t="shared" si="113"/>
        <v>0</v>
      </c>
      <c r="O792" t="b">
        <f t="shared" si="114"/>
        <v>0</v>
      </c>
    </row>
    <row r="793" spans="1:15" x14ac:dyDescent="0.35">
      <c r="A793" t="str">
        <v>rbs_Esslingen_MAN_Hohenzollern_Thomas</v>
      </c>
      <c r="B793" t="b" cm="1">
        <f t="array" ref="B793">_xlfn.XLOOKUP(A793,CONTROL[VEHIDCODE],PROPERTIES[EXCLUDE])</f>
        <v>0</v>
      </c>
      <c r="C793" t="b">
        <f>_xlfn.XLOOKUP(A793,CONTROL[VEHIDCODE],CONTROL[IS_WAGON_OR_COACH])</f>
        <v>0</v>
      </c>
      <c r="D793">
        <f>FLOOR(_xlfn.XLOOKUP($A793,PROPERTIES[VEHIDCODE],PROPERTIES[INTRODUCTION_YEAR]),20)</f>
        <v>1880</v>
      </c>
      <c r="E793" t="e">
        <f>_xlfn.XLOOKUP($A793,PROPERTIES[VEHIDCODE],#REF!)</f>
        <v>#REF!</v>
      </c>
      <c r="F793" s="25" t="str" cm="1">
        <f t="array" ref="F793">_xlfn.CONCAT(_xlfn.XLOOKUP($A793,PROPERTIES[VEHIDCODE],PROPERTIES[REGION1]),"_",_xlfn.XLOOKUP($A793,PROPERTIES[VEHIDCODE],PROPERTIES[REGION2]),"_",_xlfn.XLOOKUP($A793,PROPERTIES[VEHIDCODE],PROPERTIES[REGION3]&amp;"_"&amp;_xlfn.XLOOKUP($A793,PROPERTIES[VEHIDCODE],PROPERTIES[REGION4])))</f>
        <v>NORTH_WEST_EUROPE_NO_REGION_NO_REGION_NO_REGION</v>
      </c>
      <c r="G793" t="b">
        <f t="shared" si="108"/>
        <v>0</v>
      </c>
      <c r="H793" t="b">
        <f t="shared" si="115"/>
        <v>0</v>
      </c>
      <c r="I793" t="b">
        <f t="shared" si="109"/>
        <v>0</v>
      </c>
      <c r="J793" t="b">
        <f t="shared" si="116"/>
        <v>0</v>
      </c>
      <c r="K793" t="b">
        <f t="shared" si="110"/>
        <v>1</v>
      </c>
      <c r="L793" t="b">
        <f t="shared" si="111"/>
        <v>1</v>
      </c>
      <c r="M793" t="b">
        <f t="shared" si="112"/>
        <v>0</v>
      </c>
      <c r="N793" t="b">
        <f t="shared" si="113"/>
        <v>0</v>
      </c>
      <c r="O793" t="b">
        <f t="shared" si="114"/>
        <v>0</v>
      </c>
    </row>
    <row r="794" spans="1:15" x14ac:dyDescent="0.35">
      <c r="A794" t="str">
        <v>rbs_Komarek_NOLB_30_33</v>
      </c>
      <c r="B794" t="b" cm="1">
        <f t="array" ref="B794">_xlfn.XLOOKUP(A794,CONTROL[VEHIDCODE],PROPERTIES[EXCLUDE])</f>
        <v>0</v>
      </c>
      <c r="C794" t="b">
        <f>_xlfn.XLOOKUP(A794,CONTROL[VEHIDCODE],CONTROL[IS_WAGON_OR_COACH])</f>
        <v>0</v>
      </c>
      <c r="D794">
        <f>FLOOR(_xlfn.XLOOKUP($A794,PROPERTIES[VEHIDCODE],PROPERTIES[INTRODUCTION_YEAR]),20)</f>
        <v>1900</v>
      </c>
      <c r="E794" t="e">
        <f>_xlfn.XLOOKUP($A794,PROPERTIES[VEHIDCODE],#REF!)</f>
        <v>#REF!</v>
      </c>
      <c r="F794" s="25" t="str" cm="1">
        <f t="array" ref="F794">_xlfn.CONCAT(_xlfn.XLOOKUP($A794,PROPERTIES[VEHIDCODE],PROPERTIES[REGION1]),"_",_xlfn.XLOOKUP($A794,PROPERTIES[VEHIDCODE],PROPERTIES[REGION2]),"_",_xlfn.XLOOKUP($A794,PROPERTIES[VEHIDCODE],PROPERTIES[REGION3]&amp;"_"&amp;_xlfn.XLOOKUP($A794,PROPERTIES[VEHIDCODE],PROPERTIES[REGION4])))</f>
        <v>WESTERN_EUROPE_NO_REGION_NO_REGION_NO_REGION</v>
      </c>
      <c r="G794" t="b">
        <f t="shared" si="108"/>
        <v>0</v>
      </c>
      <c r="H794" t="b">
        <f t="shared" si="115"/>
        <v>0</v>
      </c>
      <c r="I794" t="b">
        <f t="shared" si="109"/>
        <v>0</v>
      </c>
      <c r="J794" t="b">
        <f t="shared" si="116"/>
        <v>0</v>
      </c>
      <c r="K794" t="b">
        <f t="shared" si="110"/>
        <v>1</v>
      </c>
      <c r="L794" t="b">
        <f t="shared" si="111"/>
        <v>0</v>
      </c>
      <c r="M794" t="b">
        <f t="shared" si="112"/>
        <v>0</v>
      </c>
      <c r="N794" t="b">
        <f t="shared" si="113"/>
        <v>0</v>
      </c>
      <c r="O794" t="b">
        <f t="shared" si="114"/>
        <v>0</v>
      </c>
    </row>
    <row r="795" spans="1:15" x14ac:dyDescent="0.35">
      <c r="A795" t="str">
        <v>steam_Henschel_4_4_2_19906</v>
      </c>
      <c r="B795" t="b" cm="1">
        <f t="array" ref="B795">_xlfn.XLOOKUP(A795,CONTROL[VEHIDCODE],PROPERTIES[EXCLUDE])</f>
        <v>0</v>
      </c>
      <c r="C795" t="b">
        <f>_xlfn.XLOOKUP(A795,CONTROL[VEHIDCODE],CONTROL[IS_WAGON_OR_COACH])</f>
        <v>0</v>
      </c>
      <c r="D795">
        <f>FLOOR(_xlfn.XLOOKUP($A795,PROPERTIES[VEHIDCODE],PROPERTIES[INTRODUCTION_YEAR]),20)</f>
        <v>1920</v>
      </c>
      <c r="E795" t="e">
        <f>_xlfn.XLOOKUP($A795,PROPERTIES[VEHIDCODE],#REF!)</f>
        <v>#REF!</v>
      </c>
      <c r="F795" s="25" t="str" cm="1">
        <f t="array" ref="F795">_xlfn.CONCAT(_xlfn.XLOOKUP($A795,PROPERTIES[VEHIDCODE],PROPERTIES[REGION1]),"_",_xlfn.XLOOKUP($A795,PROPERTIES[VEHIDCODE],PROPERTIES[REGION2]),"_",_xlfn.XLOOKUP($A795,PROPERTIES[VEHIDCODE],PROPERTIES[REGION3]&amp;"_"&amp;_xlfn.XLOOKUP($A795,PROPERTIES[VEHIDCODE],PROPERTIES[REGION4])))</f>
        <v>AFRICA_NO_REGION_NO_REGION_NO_REGION</v>
      </c>
      <c r="G795" t="b">
        <f t="shared" si="108"/>
        <v>1</v>
      </c>
      <c r="H795" t="b">
        <f t="shared" si="115"/>
        <v>0</v>
      </c>
      <c r="I795" t="b">
        <f t="shared" si="109"/>
        <v>0</v>
      </c>
      <c r="J795" t="b">
        <f t="shared" si="116"/>
        <v>0</v>
      </c>
      <c r="K795" t="b">
        <f t="shared" si="110"/>
        <v>0</v>
      </c>
      <c r="L795" t="b">
        <f t="shared" si="111"/>
        <v>0</v>
      </c>
      <c r="M795" t="b">
        <f t="shared" si="112"/>
        <v>0</v>
      </c>
      <c r="N795" t="b">
        <f t="shared" si="113"/>
        <v>0</v>
      </c>
      <c r="O795" t="b">
        <f t="shared" si="114"/>
        <v>0</v>
      </c>
    </row>
    <row r="796" spans="1:15" x14ac:dyDescent="0.35">
      <c r="A796" t="str">
        <v>steam_Haine_Saint_Pierre_2_6_0_0_6_2T_Golwe</v>
      </c>
      <c r="B796" t="b" cm="1">
        <f t="array" ref="B796">_xlfn.XLOOKUP(A796,CONTROL[VEHIDCODE],PROPERTIES[EXCLUDE])</f>
        <v>0</v>
      </c>
      <c r="C796" t="b">
        <f>_xlfn.XLOOKUP(A796,CONTROL[VEHIDCODE],CONTROL[IS_WAGON_OR_COACH])</f>
        <v>0</v>
      </c>
      <c r="D796">
        <f>FLOOR(_xlfn.XLOOKUP($A796,PROPERTIES[VEHIDCODE],PROPERTIES[INTRODUCTION_YEAR]),20)</f>
        <v>1920</v>
      </c>
      <c r="E796" t="e">
        <f>_xlfn.XLOOKUP($A796,PROPERTIES[VEHIDCODE],#REF!)</f>
        <v>#REF!</v>
      </c>
      <c r="F796" s="25" t="str" cm="1">
        <f t="array" ref="F796">_xlfn.CONCAT(_xlfn.XLOOKUP($A796,PROPERTIES[VEHIDCODE],PROPERTIES[REGION1]),"_",_xlfn.XLOOKUP($A796,PROPERTIES[VEHIDCODE],PROPERTIES[REGION2]),"_",_xlfn.XLOOKUP($A796,PROPERTIES[VEHIDCODE],PROPERTIES[REGION3]&amp;"_"&amp;_xlfn.XLOOKUP($A796,PROPERTIES[VEHIDCODE],PROPERTIES[REGION4])))</f>
        <v>AFRICA_NO_REGION_NO_REGION_NO_REGION</v>
      </c>
      <c r="G796" t="b">
        <f t="shared" si="108"/>
        <v>1</v>
      </c>
      <c r="H796" t="b">
        <f t="shared" si="115"/>
        <v>0</v>
      </c>
      <c r="I796" t="b">
        <f t="shared" si="109"/>
        <v>0</v>
      </c>
      <c r="J796" t="b">
        <f t="shared" si="116"/>
        <v>0</v>
      </c>
      <c r="K796" t="b">
        <f t="shared" si="110"/>
        <v>0</v>
      </c>
      <c r="L796" t="b">
        <f t="shared" si="111"/>
        <v>0</v>
      </c>
      <c r="M796" t="b">
        <f t="shared" si="112"/>
        <v>0</v>
      </c>
      <c r="N796" t="b">
        <f t="shared" si="113"/>
        <v>0</v>
      </c>
      <c r="O796" t="b">
        <f t="shared" si="114"/>
        <v>0</v>
      </c>
    </row>
    <row r="797" spans="1:15" x14ac:dyDescent="0.35">
      <c r="A797" t="str">
        <v>diesel_Henschel_EMD_TT12</v>
      </c>
      <c r="B797" t="b" cm="1">
        <f t="array" ref="B797">_xlfn.XLOOKUP(A797,CONTROL[VEHIDCODE],PROPERTIES[EXCLUDE])</f>
        <v>0</v>
      </c>
      <c r="C797" t="b">
        <f>_xlfn.XLOOKUP(A797,CONTROL[VEHIDCODE],CONTROL[IS_WAGON_OR_COACH])</f>
        <v>0</v>
      </c>
      <c r="D797">
        <f>FLOOR(_xlfn.XLOOKUP($A797,PROPERTIES[VEHIDCODE],PROPERTIES[INTRODUCTION_YEAR]),20)</f>
        <v>1940</v>
      </c>
      <c r="E797" t="e">
        <f>_xlfn.XLOOKUP($A797,PROPERTIES[VEHIDCODE],#REF!)</f>
        <v>#REF!</v>
      </c>
      <c r="F797" s="25" t="str" cm="1">
        <f t="array" ref="F797">_xlfn.CONCAT(_xlfn.XLOOKUP($A797,PROPERTIES[VEHIDCODE],PROPERTIES[REGION1]),"_",_xlfn.XLOOKUP($A797,PROPERTIES[VEHIDCODE],PROPERTIES[REGION2]),"_",_xlfn.XLOOKUP($A797,PROPERTIES[VEHIDCODE],PROPERTIES[REGION3]&amp;"_"&amp;_xlfn.XLOOKUP($A797,PROPERTIES[VEHIDCODE],PROPERTIES[REGION4])))</f>
        <v>AFRICA_NO_REGION_NO_REGION_NO_REGION</v>
      </c>
      <c r="G797" t="b">
        <f t="shared" si="108"/>
        <v>1</v>
      </c>
      <c r="H797" t="b">
        <f t="shared" si="115"/>
        <v>0</v>
      </c>
      <c r="I797" t="b">
        <f t="shared" si="109"/>
        <v>0</v>
      </c>
      <c r="J797" t="b">
        <f t="shared" si="116"/>
        <v>0</v>
      </c>
      <c r="K797" t="b">
        <f t="shared" si="110"/>
        <v>0</v>
      </c>
      <c r="L797" t="b">
        <f t="shared" si="111"/>
        <v>0</v>
      </c>
      <c r="M797" t="b">
        <f t="shared" si="112"/>
        <v>0</v>
      </c>
      <c r="N797" t="b">
        <f t="shared" si="113"/>
        <v>0</v>
      </c>
      <c r="O797" t="b">
        <f t="shared" si="114"/>
        <v>0</v>
      </c>
    </row>
    <row r="798" spans="1:15" x14ac:dyDescent="0.35">
      <c r="A798" t="str">
        <v>diesel_Henschel_GE_G16</v>
      </c>
      <c r="B798" t="b" cm="1">
        <f t="array" ref="B798">_xlfn.XLOOKUP(A798,CONTROL[VEHIDCODE],PROPERTIES[EXCLUDE])</f>
        <v>0</v>
      </c>
      <c r="C798" t="b">
        <f>_xlfn.XLOOKUP(A798,CONTROL[VEHIDCODE],CONTROL[IS_WAGON_OR_COACH])</f>
        <v>0</v>
      </c>
      <c r="D798">
        <f>FLOOR(_xlfn.XLOOKUP($A798,PROPERTIES[VEHIDCODE],PROPERTIES[INTRODUCTION_YEAR]),20)</f>
        <v>1960</v>
      </c>
      <c r="E798" t="e">
        <f>_xlfn.XLOOKUP($A798,PROPERTIES[VEHIDCODE],#REF!)</f>
        <v>#REF!</v>
      </c>
      <c r="F798" s="25" t="str" cm="1">
        <f t="array" ref="F798">_xlfn.CONCAT(_xlfn.XLOOKUP($A798,PROPERTIES[VEHIDCODE],PROPERTIES[REGION1]),"_",_xlfn.XLOOKUP($A798,PROPERTIES[VEHIDCODE],PROPERTIES[REGION2]),"_",_xlfn.XLOOKUP($A798,PROPERTIES[VEHIDCODE],PROPERTIES[REGION3]&amp;"_"&amp;_xlfn.XLOOKUP($A798,PROPERTIES[VEHIDCODE],PROPERTIES[REGION4])))</f>
        <v>AFRICA_NO_REGION_NO_REGION_NO_REGION</v>
      </c>
      <c r="G798" t="b">
        <f t="shared" si="108"/>
        <v>1</v>
      </c>
      <c r="H798" t="b">
        <f t="shared" si="115"/>
        <v>0</v>
      </c>
      <c r="I798" t="b">
        <f t="shared" si="109"/>
        <v>0</v>
      </c>
      <c r="J798" t="b">
        <f t="shared" si="116"/>
        <v>0</v>
      </c>
      <c r="K798" t="b">
        <f t="shared" si="110"/>
        <v>0</v>
      </c>
      <c r="L798" t="b">
        <f t="shared" si="111"/>
        <v>0</v>
      </c>
      <c r="M798" t="b">
        <f t="shared" si="112"/>
        <v>0</v>
      </c>
      <c r="N798" t="b">
        <f t="shared" si="113"/>
        <v>0</v>
      </c>
      <c r="O798" t="b">
        <f t="shared" si="114"/>
        <v>0</v>
      </c>
    </row>
    <row r="799" spans="1:15" x14ac:dyDescent="0.35">
      <c r="A799" t="str">
        <v>electric_ACEC_BN_Type_2450</v>
      </c>
      <c r="B799" t="b" cm="1">
        <f t="array" ref="B799">_xlfn.XLOOKUP(A799,CONTROL[VEHIDCODE],PROPERTIES[EXCLUDE])</f>
        <v>0</v>
      </c>
      <c r="C799" t="b">
        <f>_xlfn.XLOOKUP(A799,CONTROL[VEHIDCODE],CONTROL[IS_WAGON_OR_COACH])</f>
        <v>0</v>
      </c>
      <c r="D799">
        <f>FLOOR(_xlfn.XLOOKUP($A799,PROPERTIES[VEHIDCODE],PROPERTIES[INTRODUCTION_YEAR]),20)</f>
        <v>1960</v>
      </c>
      <c r="E799" t="e">
        <f>_xlfn.XLOOKUP($A799,PROPERTIES[VEHIDCODE],#REF!)</f>
        <v>#REF!</v>
      </c>
      <c r="F799" s="25" t="str" cm="1">
        <f t="array" ref="F799">_xlfn.CONCAT(_xlfn.XLOOKUP($A799,PROPERTIES[VEHIDCODE],PROPERTIES[REGION1]),"_",_xlfn.XLOOKUP($A799,PROPERTIES[VEHIDCODE],PROPERTIES[REGION2]),"_",_xlfn.XLOOKUP($A799,PROPERTIES[VEHIDCODE],PROPERTIES[REGION3]&amp;"_"&amp;_xlfn.XLOOKUP($A799,PROPERTIES[VEHIDCODE],PROPERTIES[REGION4])))</f>
        <v>AFRICA_NO_REGION_NO_REGION_NO_REGION</v>
      </c>
      <c r="G799" t="b">
        <f t="shared" si="108"/>
        <v>1</v>
      </c>
      <c r="H799" t="b">
        <f t="shared" si="115"/>
        <v>0</v>
      </c>
      <c r="I799" t="b">
        <f t="shared" si="109"/>
        <v>0</v>
      </c>
      <c r="J799" t="b">
        <f t="shared" si="116"/>
        <v>0</v>
      </c>
      <c r="K799" t="b">
        <f t="shared" si="110"/>
        <v>0</v>
      </c>
      <c r="L799" t="b">
        <f t="shared" si="111"/>
        <v>0</v>
      </c>
      <c r="M799" t="b">
        <f t="shared" si="112"/>
        <v>0</v>
      </c>
      <c r="N799" t="b">
        <f t="shared" si="113"/>
        <v>0</v>
      </c>
      <c r="O799" t="b">
        <f t="shared" si="114"/>
        <v>0</v>
      </c>
    </row>
    <row r="800" spans="1:15" x14ac:dyDescent="0.35">
      <c r="A800" t="str">
        <v>diesel_Alsthom_BB_BB_300</v>
      </c>
      <c r="B800" t="b" cm="1">
        <f t="array" ref="B800">_xlfn.XLOOKUP(A800,CONTROL[VEHIDCODE],PROPERTIES[EXCLUDE])</f>
        <v>0</v>
      </c>
      <c r="C800" t="b">
        <f>_xlfn.XLOOKUP(A800,CONTROL[VEHIDCODE],CONTROL[IS_WAGON_OR_COACH])</f>
        <v>0</v>
      </c>
      <c r="D800">
        <f>FLOOR(_xlfn.XLOOKUP($A800,PROPERTIES[VEHIDCODE],PROPERTIES[INTRODUCTION_YEAR]),20)</f>
        <v>1960</v>
      </c>
      <c r="E800" t="e">
        <f>_xlfn.XLOOKUP($A800,PROPERTIES[VEHIDCODE],#REF!)</f>
        <v>#REF!</v>
      </c>
      <c r="F800" s="25" t="str" cm="1">
        <f t="array" ref="F800">_xlfn.CONCAT(_xlfn.XLOOKUP($A800,PROPERTIES[VEHIDCODE],PROPERTIES[REGION1]),"_",_xlfn.XLOOKUP($A800,PROPERTIES[VEHIDCODE],PROPERTIES[REGION2]),"_",_xlfn.XLOOKUP($A800,PROPERTIES[VEHIDCODE],PROPERTIES[REGION3]&amp;"_"&amp;_xlfn.XLOOKUP($A800,PROPERTIES[VEHIDCODE],PROPERTIES[REGION4])))</f>
        <v>AFRICA_NO_REGION_NO_REGION_NO_REGION</v>
      </c>
      <c r="G800" t="b">
        <f t="shared" si="108"/>
        <v>1</v>
      </c>
      <c r="H800" t="b">
        <f t="shared" si="115"/>
        <v>0</v>
      </c>
      <c r="I800" t="b">
        <f t="shared" si="109"/>
        <v>0</v>
      </c>
      <c r="J800" t="b">
        <f t="shared" si="116"/>
        <v>0</v>
      </c>
      <c r="K800" t="b">
        <f t="shared" si="110"/>
        <v>0</v>
      </c>
      <c r="L800" t="b">
        <f t="shared" si="111"/>
        <v>0</v>
      </c>
      <c r="M800" t="b">
        <f t="shared" si="112"/>
        <v>0</v>
      </c>
      <c r="N800" t="b">
        <f t="shared" si="113"/>
        <v>0</v>
      </c>
      <c r="O800" t="b">
        <f t="shared" si="114"/>
        <v>0</v>
      </c>
    </row>
    <row r="801" spans="1:15" x14ac:dyDescent="0.35">
      <c r="A801" t="str">
        <v>diesel_Sorefame_DE8</v>
      </c>
      <c r="B801" t="b" cm="1">
        <f t="array" ref="B801">_xlfn.XLOOKUP(A801,CONTROL[VEHIDCODE],PROPERTIES[EXCLUDE])</f>
        <v>0</v>
      </c>
      <c r="C801" t="b">
        <f>_xlfn.XLOOKUP(A801,CONTROL[VEHIDCODE],CONTROL[IS_WAGON_OR_COACH])</f>
        <v>0</v>
      </c>
      <c r="D801">
        <f>FLOOR(_xlfn.XLOOKUP($A801,PROPERTIES[VEHIDCODE],PROPERTIES[INTRODUCTION_YEAR]),20)</f>
        <v>1960</v>
      </c>
      <c r="E801" t="e">
        <f>_xlfn.XLOOKUP($A801,PROPERTIES[VEHIDCODE],#REF!)</f>
        <v>#REF!</v>
      </c>
      <c r="F801" s="25" t="str" cm="1">
        <f t="array" ref="F801">_xlfn.CONCAT(_xlfn.XLOOKUP($A801,PROPERTIES[VEHIDCODE],PROPERTIES[REGION1]),"_",_xlfn.XLOOKUP($A801,PROPERTIES[VEHIDCODE],PROPERTIES[REGION2]),"_",_xlfn.XLOOKUP($A801,PROPERTIES[VEHIDCODE],PROPERTIES[REGION3]&amp;"_"&amp;_xlfn.XLOOKUP($A801,PROPERTIES[VEHIDCODE],PROPERTIES[REGION4])))</f>
        <v>AFRICA_NO_REGION_NO_REGION_NO_REGION</v>
      </c>
      <c r="G801" t="b">
        <f t="shared" si="108"/>
        <v>1</v>
      </c>
      <c r="H801" t="b">
        <f t="shared" si="115"/>
        <v>0</v>
      </c>
      <c r="I801" t="b">
        <f t="shared" si="109"/>
        <v>0</v>
      </c>
      <c r="J801" t="b">
        <f t="shared" si="116"/>
        <v>0</v>
      </c>
      <c r="K801" t="b">
        <f t="shared" si="110"/>
        <v>0</v>
      </c>
      <c r="L801" t="b">
        <f t="shared" si="111"/>
        <v>0</v>
      </c>
      <c r="M801" t="b">
        <f t="shared" si="112"/>
        <v>0</v>
      </c>
      <c r="N801" t="b">
        <f t="shared" si="113"/>
        <v>0</v>
      </c>
      <c r="O801" t="b">
        <f t="shared" si="114"/>
        <v>0</v>
      </c>
    </row>
    <row r="802" spans="1:15" x14ac:dyDescent="0.35">
      <c r="A802" t="str">
        <v>diesel_GMD_GT22LC_2</v>
      </c>
      <c r="B802" t="b" cm="1">
        <f t="array" ref="B802">_xlfn.XLOOKUP(A802,CONTROL[VEHIDCODE],PROPERTIES[EXCLUDE])</f>
        <v>0</v>
      </c>
      <c r="C802" t="b">
        <f>_xlfn.XLOOKUP(A802,CONTROL[VEHIDCODE],CONTROL[IS_WAGON_OR_COACH])</f>
        <v>0</v>
      </c>
      <c r="D802">
        <f>FLOOR(_xlfn.XLOOKUP($A802,PROPERTIES[VEHIDCODE],PROPERTIES[INTRODUCTION_YEAR]),20)</f>
        <v>1980</v>
      </c>
      <c r="E802" t="e">
        <f>_xlfn.XLOOKUP($A802,PROPERTIES[VEHIDCODE],#REF!)</f>
        <v>#REF!</v>
      </c>
      <c r="F802" s="25" t="str" cm="1">
        <f t="array" ref="F802">_xlfn.CONCAT(_xlfn.XLOOKUP($A802,PROPERTIES[VEHIDCODE],PROPERTIES[REGION1]),"_",_xlfn.XLOOKUP($A802,PROPERTIES[VEHIDCODE],PROPERTIES[REGION2]),"_",_xlfn.XLOOKUP($A802,PROPERTIES[VEHIDCODE],PROPERTIES[REGION3]&amp;"_"&amp;_xlfn.XLOOKUP($A802,PROPERTIES[VEHIDCODE],PROPERTIES[REGION4])))</f>
        <v>AFRICA_NO_REGION_NO_REGION_NO_REGION</v>
      </c>
      <c r="G802" t="b">
        <f t="shared" si="108"/>
        <v>1</v>
      </c>
      <c r="H802" t="b">
        <f t="shared" si="115"/>
        <v>0</v>
      </c>
      <c r="I802" t="b">
        <f t="shared" si="109"/>
        <v>0</v>
      </c>
      <c r="J802" t="b">
        <f t="shared" si="116"/>
        <v>0</v>
      </c>
      <c r="K802" t="b">
        <f t="shared" si="110"/>
        <v>0</v>
      </c>
      <c r="L802" t="b">
        <f t="shared" si="111"/>
        <v>0</v>
      </c>
      <c r="M802" t="b">
        <f t="shared" si="112"/>
        <v>0</v>
      </c>
      <c r="N802" t="b">
        <f t="shared" si="113"/>
        <v>0</v>
      </c>
      <c r="O802" t="b">
        <f t="shared" si="114"/>
        <v>0</v>
      </c>
    </row>
    <row r="803" spans="1:15" x14ac:dyDescent="0.35">
      <c r="A803" t="str">
        <v>electric_TRC_E6800</v>
      </c>
      <c r="B803" t="b" cm="1">
        <f t="array" ref="B803">_xlfn.XLOOKUP(A803,CONTROL[VEHIDCODE],PROPERTIES[EXCLUDE])</f>
        <v>0</v>
      </c>
      <c r="C803" t="b">
        <f>_xlfn.XLOOKUP(A803,CONTROL[VEHIDCODE],CONTROL[IS_WAGON_OR_COACH])</f>
        <v>0</v>
      </c>
      <c r="D803">
        <f>FLOOR(_xlfn.XLOOKUP($A803,PROPERTIES[VEHIDCODE],PROPERTIES[INTRODUCTION_YEAR]),20)</f>
        <v>2020</v>
      </c>
      <c r="E803" t="e">
        <f>_xlfn.XLOOKUP($A803,PROPERTIES[VEHIDCODE],#REF!)</f>
        <v>#REF!</v>
      </c>
      <c r="F803" s="25" t="str" cm="1">
        <f t="array" ref="F803">_xlfn.CONCAT(_xlfn.XLOOKUP($A803,PROPERTIES[VEHIDCODE],PROPERTIES[REGION1]),"_",_xlfn.XLOOKUP($A803,PROPERTIES[VEHIDCODE],PROPERTIES[REGION2]),"_",_xlfn.XLOOKUP($A803,PROPERTIES[VEHIDCODE],PROPERTIES[REGION3]&amp;"_"&amp;_xlfn.XLOOKUP($A803,PROPERTIES[VEHIDCODE],PROPERTIES[REGION4])))</f>
        <v>AFRICA_NO_REGION_NO_REGION_NO_REGION</v>
      </c>
      <c r="G803" t="b">
        <f t="shared" si="108"/>
        <v>1</v>
      </c>
      <c r="H803" t="b">
        <f t="shared" si="115"/>
        <v>0</v>
      </c>
      <c r="I803" t="b">
        <f t="shared" si="109"/>
        <v>0</v>
      </c>
      <c r="J803" t="b">
        <f t="shared" si="116"/>
        <v>0</v>
      </c>
      <c r="K803" t="b">
        <f t="shared" si="110"/>
        <v>0</v>
      </c>
      <c r="L803" t="b">
        <f t="shared" si="111"/>
        <v>0</v>
      </c>
      <c r="M803" t="b">
        <f t="shared" si="112"/>
        <v>0</v>
      </c>
      <c r="N803" t="b">
        <f t="shared" si="113"/>
        <v>0</v>
      </c>
      <c r="O803" t="b">
        <f t="shared" si="114"/>
        <v>0</v>
      </c>
    </row>
    <row r="804" spans="1:15" x14ac:dyDescent="0.35">
      <c r="A804" t="str">
        <v>mtro_Brooklyn_Union_Gate_Elevated</v>
      </c>
      <c r="B804" t="b" cm="1">
        <f t="array" ref="B804">_xlfn.XLOOKUP(A804,CONTROL[VEHIDCODE],PROPERTIES[EXCLUDE])</f>
        <v>0</v>
      </c>
      <c r="C804" t="b">
        <f>_xlfn.XLOOKUP(A804,CONTROL[VEHIDCODE],CONTROL[IS_WAGON_OR_COACH])</f>
        <v>0</v>
      </c>
      <c r="D804">
        <f>FLOOR(_xlfn.XLOOKUP($A804,PROPERTIES[VEHIDCODE],PROPERTIES[INTRODUCTION_YEAR]),20)</f>
        <v>1880</v>
      </c>
      <c r="E804" t="e">
        <f>_xlfn.XLOOKUP($A804,PROPERTIES[VEHIDCODE],#REF!)</f>
        <v>#REF!</v>
      </c>
      <c r="F804" s="25" t="str" cm="1">
        <f t="array" ref="F804">_xlfn.CONCAT(_xlfn.XLOOKUP($A804,PROPERTIES[VEHIDCODE],PROPERTIES[REGION1]),"_",_xlfn.XLOOKUP($A804,PROPERTIES[VEHIDCODE],PROPERTIES[REGION2]),"_",_xlfn.XLOOKUP($A804,PROPERTIES[VEHIDCODE],PROPERTIES[REGION3]&amp;"_"&amp;_xlfn.XLOOKUP($A804,PROPERTIES[VEHIDCODE],PROPERTIES[REGION4])))</f>
        <v>NORTH_AMERICA_NO_REGION_NO_REGION_NO_REGION</v>
      </c>
      <c r="G804" t="b">
        <f t="shared" si="108"/>
        <v>0</v>
      </c>
      <c r="H804" t="b">
        <f t="shared" si="115"/>
        <v>0</v>
      </c>
      <c r="I804" t="b">
        <f t="shared" si="109"/>
        <v>0</v>
      </c>
      <c r="J804" t="b">
        <f t="shared" si="116"/>
        <v>0</v>
      </c>
      <c r="K804" t="b">
        <f t="shared" si="110"/>
        <v>0</v>
      </c>
      <c r="L804" t="b">
        <f t="shared" si="111"/>
        <v>0</v>
      </c>
      <c r="M804" t="b">
        <f t="shared" si="112"/>
        <v>1</v>
      </c>
      <c r="N804" t="b">
        <f t="shared" si="113"/>
        <v>0</v>
      </c>
      <c r="O804" t="b">
        <f t="shared" si="114"/>
        <v>0</v>
      </c>
    </row>
    <row r="805" spans="1:15" x14ac:dyDescent="0.35">
      <c r="A805" t="str">
        <v>mu_Coach_Gen5_CityNightLine_Sleeper</v>
      </c>
      <c r="B805" t="b" cm="1">
        <f t="array" ref="B805">_xlfn.XLOOKUP(A805,CONTROL[VEHIDCODE],PROPERTIES[EXCLUDE])</f>
        <v>0</v>
      </c>
      <c r="C805" t="b">
        <f>_xlfn.XLOOKUP(A805,CONTROL[VEHIDCODE],CONTROL[IS_WAGON_OR_COACH])</f>
        <v>1</v>
      </c>
      <c r="D805">
        <f>FLOOR(_xlfn.XLOOKUP($A805,PROPERTIES[VEHIDCODE],PROPERTIES[INTRODUCTION_YEAR]),20)</f>
        <v>1980</v>
      </c>
      <c r="E805" t="e">
        <f>_xlfn.XLOOKUP($A805,PROPERTIES[VEHIDCODE],#REF!)</f>
        <v>#REF!</v>
      </c>
      <c r="F805" s="25" t="str" cm="1">
        <f t="array" ref="F805">_xlfn.CONCAT(_xlfn.XLOOKUP($A805,PROPERTIES[VEHIDCODE],PROPERTIES[REGION1]),"_",_xlfn.XLOOKUP($A805,PROPERTIES[VEHIDCODE],PROPERTIES[REGION2]),"_",_xlfn.XLOOKUP($A805,PROPERTIES[VEHIDCODE],PROPERTIES[REGION3]&amp;"_"&amp;_xlfn.XLOOKUP($A805,PROPERTIES[VEHIDCODE],PROPERTIES[REGION4])))</f>
        <v>ALL_REGION_NO_REGION_NO_REGION_NO_REGION</v>
      </c>
      <c r="G805" t="b">
        <f t="shared" si="108"/>
        <v>1</v>
      </c>
      <c r="H805" t="b">
        <f t="shared" si="115"/>
        <v>1</v>
      </c>
      <c r="I805" t="b">
        <f t="shared" si="109"/>
        <v>1</v>
      </c>
      <c r="J805" t="b">
        <f t="shared" si="116"/>
        <v>1</v>
      </c>
      <c r="K805" t="b">
        <f t="shared" si="110"/>
        <v>1</v>
      </c>
      <c r="L805" t="b">
        <f t="shared" si="111"/>
        <v>1</v>
      </c>
      <c r="M805" t="b">
        <f t="shared" si="112"/>
        <v>1</v>
      </c>
      <c r="N805" t="b">
        <f t="shared" si="113"/>
        <v>1</v>
      </c>
      <c r="O805" t="b">
        <f t="shared" si="114"/>
        <v>1</v>
      </c>
    </row>
    <row r="806" spans="1:15" x14ac:dyDescent="0.35">
      <c r="A806" t="str">
        <v>mu_Coach_Gen4_Trans_Euro_Night_Sleeper</v>
      </c>
      <c r="B806" t="b" cm="1">
        <f t="array" ref="B806">_xlfn.XLOOKUP(A806,CONTROL[VEHIDCODE],PROPERTIES[EXCLUDE])</f>
        <v>0</v>
      </c>
      <c r="C806" t="b">
        <f>_xlfn.XLOOKUP(A806,CONTROL[VEHIDCODE],CONTROL[IS_WAGON_OR_COACH])</f>
        <v>1</v>
      </c>
      <c r="D806">
        <f>FLOOR(_xlfn.XLOOKUP($A806,PROPERTIES[VEHIDCODE],PROPERTIES[INTRODUCTION_YEAR]),20)</f>
        <v>1960</v>
      </c>
      <c r="E806" t="e">
        <f>_xlfn.XLOOKUP($A806,PROPERTIES[VEHIDCODE],#REF!)</f>
        <v>#REF!</v>
      </c>
      <c r="F806" s="25" t="str" cm="1">
        <f t="array" ref="F806">_xlfn.CONCAT(_xlfn.XLOOKUP($A806,PROPERTIES[VEHIDCODE],PROPERTIES[REGION1]),"_",_xlfn.XLOOKUP($A806,PROPERTIES[VEHIDCODE],PROPERTIES[REGION2]),"_",_xlfn.XLOOKUP($A806,PROPERTIES[VEHIDCODE],PROPERTIES[REGION3]&amp;"_"&amp;_xlfn.XLOOKUP($A806,PROPERTIES[VEHIDCODE],PROPERTIES[REGION4])))</f>
        <v>ALL_REGION_NO_REGION_NO_REGION_NO_REGION</v>
      </c>
      <c r="G806" t="b">
        <f t="shared" si="108"/>
        <v>1</v>
      </c>
      <c r="H806" t="b">
        <f t="shared" si="115"/>
        <v>1</v>
      </c>
      <c r="I806" t="b">
        <f t="shared" si="109"/>
        <v>1</v>
      </c>
      <c r="J806" t="b">
        <f t="shared" si="116"/>
        <v>1</v>
      </c>
      <c r="K806" t="b">
        <f t="shared" si="110"/>
        <v>1</v>
      </c>
      <c r="L806" t="b">
        <f t="shared" si="111"/>
        <v>1</v>
      </c>
      <c r="M806" t="b">
        <f t="shared" si="112"/>
        <v>1</v>
      </c>
      <c r="N806" t="b">
        <f t="shared" si="113"/>
        <v>1</v>
      </c>
      <c r="O806" t="b">
        <f t="shared" si="114"/>
        <v>1</v>
      </c>
    </row>
    <row r="807" spans="1:15" x14ac:dyDescent="0.35">
      <c r="A807" t="str">
        <v>mu_Wagon_Gen1_Livestock_Van</v>
      </c>
      <c r="B807" t="b" cm="1">
        <f t="array" ref="B807">_xlfn.XLOOKUP(A807,CONTROL[VEHIDCODE],PROPERTIES[EXCLUDE])</f>
        <v>0</v>
      </c>
      <c r="C807" t="b">
        <f>_xlfn.XLOOKUP(A807,CONTROL[VEHIDCODE],CONTROL[IS_WAGON_OR_COACH])</f>
        <v>1</v>
      </c>
      <c r="D807">
        <f>FLOOR(_xlfn.XLOOKUP($A807,PROPERTIES[VEHIDCODE],PROPERTIES[INTRODUCTION_YEAR]),20)</f>
        <v>1820</v>
      </c>
      <c r="E807" t="e">
        <f>_xlfn.XLOOKUP($A807,PROPERTIES[VEHIDCODE],#REF!)</f>
        <v>#REF!</v>
      </c>
      <c r="F807" s="25" t="str" cm="1">
        <f t="array" ref="F807">_xlfn.CONCAT(_xlfn.XLOOKUP($A807,PROPERTIES[VEHIDCODE],PROPERTIES[REGION1]),"_",_xlfn.XLOOKUP($A807,PROPERTIES[VEHIDCODE],PROPERTIES[REGION2]),"_",_xlfn.XLOOKUP($A807,PROPERTIES[VEHIDCODE],PROPERTIES[REGION3]&amp;"_"&amp;_xlfn.XLOOKUP($A807,PROPERTIES[VEHIDCODE],PROPERTIES[REGION4])))</f>
        <v>ALL_REGION_NO_REGION_NO_REGION_NO_REGION</v>
      </c>
      <c r="G807" t="b">
        <f t="shared" si="108"/>
        <v>1</v>
      </c>
      <c r="H807" t="b">
        <f t="shared" si="115"/>
        <v>1</v>
      </c>
      <c r="I807" t="b">
        <f t="shared" si="109"/>
        <v>1</v>
      </c>
      <c r="J807" t="b">
        <f t="shared" si="116"/>
        <v>1</v>
      </c>
      <c r="K807" t="b">
        <f t="shared" si="110"/>
        <v>1</v>
      </c>
      <c r="L807" t="b">
        <f t="shared" si="111"/>
        <v>1</v>
      </c>
      <c r="M807" t="b">
        <f t="shared" si="112"/>
        <v>1</v>
      </c>
      <c r="N807" t="b">
        <f t="shared" si="113"/>
        <v>1</v>
      </c>
      <c r="O807" t="b">
        <f t="shared" si="114"/>
        <v>1</v>
      </c>
    </row>
    <row r="808" spans="1:15" x14ac:dyDescent="0.35">
      <c r="A808" t="str">
        <v>mu_Wagon_Gen2_Livestock_Van</v>
      </c>
      <c r="B808" t="b" cm="1">
        <f t="array" ref="B808">_xlfn.XLOOKUP(A808,CONTROL[VEHIDCODE],PROPERTIES[EXCLUDE])</f>
        <v>0</v>
      </c>
      <c r="C808" t="b">
        <f>_xlfn.XLOOKUP(A808,CONTROL[VEHIDCODE],CONTROL[IS_WAGON_OR_COACH])</f>
        <v>1</v>
      </c>
      <c r="D808">
        <f>FLOOR(_xlfn.XLOOKUP($A808,PROPERTIES[VEHIDCODE],PROPERTIES[INTRODUCTION_YEAR]),20)</f>
        <v>1880</v>
      </c>
      <c r="E808" t="e">
        <f>_xlfn.XLOOKUP($A808,PROPERTIES[VEHIDCODE],#REF!)</f>
        <v>#REF!</v>
      </c>
      <c r="F808" s="25" t="str" cm="1">
        <f t="array" ref="F808">_xlfn.CONCAT(_xlfn.XLOOKUP($A808,PROPERTIES[VEHIDCODE],PROPERTIES[REGION1]),"_",_xlfn.XLOOKUP($A808,PROPERTIES[VEHIDCODE],PROPERTIES[REGION2]),"_",_xlfn.XLOOKUP($A808,PROPERTIES[VEHIDCODE],PROPERTIES[REGION3]&amp;"_"&amp;_xlfn.XLOOKUP($A808,PROPERTIES[VEHIDCODE],PROPERTIES[REGION4])))</f>
        <v>ALL_REGION_NO_REGION_NO_REGION_NO_REGION</v>
      </c>
      <c r="G808" t="b">
        <f t="shared" si="108"/>
        <v>1</v>
      </c>
      <c r="H808" t="b">
        <f t="shared" si="115"/>
        <v>1</v>
      </c>
      <c r="I808" t="b">
        <f t="shared" si="109"/>
        <v>1</v>
      </c>
      <c r="J808" t="b">
        <f t="shared" si="116"/>
        <v>1</v>
      </c>
      <c r="K808" t="b">
        <f t="shared" si="110"/>
        <v>1</v>
      </c>
      <c r="L808" t="b">
        <f t="shared" si="111"/>
        <v>1</v>
      </c>
      <c r="M808" t="b">
        <f t="shared" si="112"/>
        <v>1</v>
      </c>
      <c r="N808" t="b">
        <f t="shared" si="113"/>
        <v>1</v>
      </c>
      <c r="O808" t="b">
        <f t="shared" si="114"/>
        <v>1</v>
      </c>
    </row>
    <row r="809" spans="1:15" x14ac:dyDescent="0.35">
      <c r="A809" t="str">
        <v>mu_Wagon_Gen3_Livestock_Van</v>
      </c>
      <c r="B809" t="b" cm="1">
        <f t="array" ref="B809">_xlfn.XLOOKUP(A809,CONTROL[VEHIDCODE],PROPERTIES[EXCLUDE])</f>
        <v>0</v>
      </c>
      <c r="C809" t="b">
        <f>_xlfn.XLOOKUP(A809,CONTROL[VEHIDCODE],CONTROL[IS_WAGON_OR_COACH])</f>
        <v>1</v>
      </c>
      <c r="D809">
        <f>FLOOR(_xlfn.XLOOKUP($A809,PROPERTIES[VEHIDCODE],PROPERTIES[INTRODUCTION_YEAR]),20)</f>
        <v>1920</v>
      </c>
      <c r="E809" t="e">
        <f>_xlfn.XLOOKUP($A809,PROPERTIES[VEHIDCODE],#REF!)</f>
        <v>#REF!</v>
      </c>
      <c r="F809" s="25" t="str" cm="1">
        <f t="array" ref="F809">_xlfn.CONCAT(_xlfn.XLOOKUP($A809,PROPERTIES[VEHIDCODE],PROPERTIES[REGION1]),"_",_xlfn.XLOOKUP($A809,PROPERTIES[VEHIDCODE],PROPERTIES[REGION2]),"_",_xlfn.XLOOKUP($A809,PROPERTIES[VEHIDCODE],PROPERTIES[REGION3]&amp;"_"&amp;_xlfn.XLOOKUP($A809,PROPERTIES[VEHIDCODE],PROPERTIES[REGION4])))</f>
        <v>ALL_REGION_NO_REGION_NO_REGION_NO_REGION</v>
      </c>
      <c r="G809" t="b">
        <f t="shared" si="108"/>
        <v>1</v>
      </c>
      <c r="H809" t="b">
        <f t="shared" si="115"/>
        <v>1</v>
      </c>
      <c r="I809" t="b">
        <f t="shared" si="109"/>
        <v>1</v>
      </c>
      <c r="J809" t="b">
        <f t="shared" si="116"/>
        <v>1</v>
      </c>
      <c r="K809" t="b">
        <f t="shared" si="110"/>
        <v>1</v>
      </c>
      <c r="L809" t="b">
        <f t="shared" si="111"/>
        <v>1</v>
      </c>
      <c r="M809" t="b">
        <f t="shared" si="112"/>
        <v>1</v>
      </c>
      <c r="N809" t="b">
        <f t="shared" si="113"/>
        <v>1</v>
      </c>
      <c r="O809" t="b">
        <f t="shared" si="114"/>
        <v>1</v>
      </c>
    </row>
    <row r="810" spans="1:15" x14ac:dyDescent="0.35">
      <c r="A810" t="str">
        <v>mu_Wagon_Gen4_Livestock_Van</v>
      </c>
      <c r="B810" t="b" cm="1">
        <f t="array" ref="B810">_xlfn.XLOOKUP(A810,CONTROL[VEHIDCODE],PROPERTIES[EXCLUDE])</f>
        <v>0</v>
      </c>
      <c r="C810" t="b">
        <f>_xlfn.XLOOKUP(A810,CONTROL[VEHIDCODE],CONTROL[IS_WAGON_OR_COACH])</f>
        <v>1</v>
      </c>
      <c r="D810">
        <f>FLOOR(_xlfn.XLOOKUP($A810,PROPERTIES[VEHIDCODE],PROPERTIES[INTRODUCTION_YEAR]),20)</f>
        <v>1940</v>
      </c>
      <c r="E810" t="e">
        <f>_xlfn.XLOOKUP($A810,PROPERTIES[VEHIDCODE],#REF!)</f>
        <v>#REF!</v>
      </c>
      <c r="F810" s="25" t="str" cm="1">
        <f t="array" ref="F810">_xlfn.CONCAT(_xlfn.XLOOKUP($A810,PROPERTIES[VEHIDCODE],PROPERTIES[REGION1]),"_",_xlfn.XLOOKUP($A810,PROPERTIES[VEHIDCODE],PROPERTIES[REGION2]),"_",_xlfn.XLOOKUP($A810,PROPERTIES[VEHIDCODE],PROPERTIES[REGION3]&amp;"_"&amp;_xlfn.XLOOKUP($A810,PROPERTIES[VEHIDCODE],PROPERTIES[REGION4])))</f>
        <v>ALL_REGION_NO_REGION_NO_REGION_NO_REGION</v>
      </c>
      <c r="G810" t="b">
        <f t="shared" si="108"/>
        <v>1</v>
      </c>
      <c r="H810" t="b">
        <f t="shared" si="115"/>
        <v>1</v>
      </c>
      <c r="I810" t="b">
        <f t="shared" si="109"/>
        <v>1</v>
      </c>
      <c r="J810" t="b">
        <f t="shared" si="116"/>
        <v>1</v>
      </c>
      <c r="K810" t="b">
        <f t="shared" si="110"/>
        <v>1</v>
      </c>
      <c r="L810" t="b">
        <f t="shared" si="111"/>
        <v>1</v>
      </c>
      <c r="M810" t="b">
        <f t="shared" si="112"/>
        <v>1</v>
      </c>
      <c r="N810" t="b">
        <f t="shared" si="113"/>
        <v>1</v>
      </c>
      <c r="O810" t="b">
        <f t="shared" si="114"/>
        <v>1</v>
      </c>
    </row>
    <row r="811" spans="1:15" x14ac:dyDescent="0.35">
      <c r="A811" t="str">
        <v>mu_Wagon_Gen5_Livestock_Van</v>
      </c>
      <c r="B811" t="b" cm="1">
        <f t="array" ref="B811">_xlfn.XLOOKUP(A811,CONTROL[VEHIDCODE],PROPERTIES[EXCLUDE])</f>
        <v>0</v>
      </c>
      <c r="C811" t="b">
        <f>_xlfn.XLOOKUP(A811,CONTROL[VEHIDCODE],CONTROL[IS_WAGON_OR_COACH])</f>
        <v>1</v>
      </c>
      <c r="D811">
        <f>FLOOR(_xlfn.XLOOKUP($A811,PROPERTIES[VEHIDCODE],PROPERTIES[INTRODUCTION_YEAR]),20)</f>
        <v>1980</v>
      </c>
      <c r="E811" t="e">
        <f>_xlfn.XLOOKUP($A811,PROPERTIES[VEHIDCODE],#REF!)</f>
        <v>#REF!</v>
      </c>
      <c r="F811" s="25" t="str" cm="1">
        <f t="array" ref="F811">_xlfn.CONCAT(_xlfn.XLOOKUP($A811,PROPERTIES[VEHIDCODE],PROPERTIES[REGION1]),"_",_xlfn.XLOOKUP($A811,PROPERTIES[VEHIDCODE],PROPERTIES[REGION2]),"_",_xlfn.XLOOKUP($A811,PROPERTIES[VEHIDCODE],PROPERTIES[REGION3]&amp;"_"&amp;_xlfn.XLOOKUP($A811,PROPERTIES[VEHIDCODE],PROPERTIES[REGION4])))</f>
        <v>ALL_REGION_NO_REGION_NO_REGION_NO_REGION</v>
      </c>
      <c r="G811" t="b">
        <f t="shared" si="108"/>
        <v>1</v>
      </c>
      <c r="H811" t="b">
        <f t="shared" si="115"/>
        <v>1</v>
      </c>
      <c r="I811" t="b">
        <f t="shared" si="109"/>
        <v>1</v>
      </c>
      <c r="J811" t="b">
        <f t="shared" si="116"/>
        <v>1</v>
      </c>
      <c r="K811" t="b">
        <f t="shared" si="110"/>
        <v>1</v>
      </c>
      <c r="L811" t="b">
        <f t="shared" si="111"/>
        <v>1</v>
      </c>
      <c r="M811" t="b">
        <f t="shared" si="112"/>
        <v>1</v>
      </c>
      <c r="N811" t="b">
        <f t="shared" si="113"/>
        <v>1</v>
      </c>
      <c r="O811" t="b">
        <f t="shared" si="114"/>
        <v>1</v>
      </c>
    </row>
    <row r="812" spans="1:15" x14ac:dyDescent="0.35">
      <c r="A812" t="str">
        <v>mu_Wagon_Gen6_Livestock_Van</v>
      </c>
      <c r="B812" t="b" cm="1">
        <f t="array" ref="B812">_xlfn.XLOOKUP(A812,CONTROL[VEHIDCODE],PROPERTIES[EXCLUDE])</f>
        <v>0</v>
      </c>
      <c r="C812" t="b">
        <f>_xlfn.XLOOKUP(A812,CONTROL[VEHIDCODE],CONTROL[IS_WAGON_OR_COACH])</f>
        <v>1</v>
      </c>
      <c r="D812">
        <f>FLOOR(_xlfn.XLOOKUP($A812,PROPERTIES[VEHIDCODE],PROPERTIES[INTRODUCTION_YEAR]),20)</f>
        <v>2000</v>
      </c>
      <c r="E812" t="e">
        <f>_xlfn.XLOOKUP($A812,PROPERTIES[VEHIDCODE],#REF!)</f>
        <v>#REF!</v>
      </c>
      <c r="F812" s="25" t="str" cm="1">
        <f t="array" ref="F812">_xlfn.CONCAT(_xlfn.XLOOKUP($A812,PROPERTIES[VEHIDCODE],PROPERTIES[REGION1]),"_",_xlfn.XLOOKUP($A812,PROPERTIES[VEHIDCODE],PROPERTIES[REGION2]),"_",_xlfn.XLOOKUP($A812,PROPERTIES[VEHIDCODE],PROPERTIES[REGION3]&amp;"_"&amp;_xlfn.XLOOKUP($A812,PROPERTIES[VEHIDCODE],PROPERTIES[REGION4])))</f>
        <v>ALL_REGION_NO_REGION_NO_REGION_NO_REGION</v>
      </c>
      <c r="G812" t="b">
        <f t="shared" si="108"/>
        <v>1</v>
      </c>
      <c r="H812" t="b">
        <f t="shared" si="115"/>
        <v>1</v>
      </c>
      <c r="I812" t="b">
        <f t="shared" si="109"/>
        <v>1</v>
      </c>
      <c r="J812" t="b">
        <f t="shared" si="116"/>
        <v>1</v>
      </c>
      <c r="K812" t="b">
        <f t="shared" si="110"/>
        <v>1</v>
      </c>
      <c r="L812" t="b">
        <f t="shared" si="111"/>
        <v>1</v>
      </c>
      <c r="M812" t="b">
        <f t="shared" si="112"/>
        <v>1</v>
      </c>
      <c r="N812" t="b">
        <f t="shared" si="113"/>
        <v>1</v>
      </c>
      <c r="O812" t="b">
        <f t="shared" si="114"/>
        <v>1</v>
      </c>
    </row>
    <row r="813" spans="1:15" x14ac:dyDescent="0.35">
      <c r="A813" t="str">
        <v>mglv_Wagon_Gen7M_Livestock_Van</v>
      </c>
      <c r="B813" t="b" cm="1">
        <f t="array" ref="B813">_xlfn.XLOOKUP(A813,CONTROL[VEHIDCODE],PROPERTIES[EXCLUDE])</f>
        <v>0</v>
      </c>
      <c r="C813" t="b">
        <f>_xlfn.XLOOKUP(A813,CONTROL[VEHIDCODE],CONTROL[IS_WAGON_OR_COACH])</f>
        <v>1</v>
      </c>
      <c r="D813">
        <f>FLOOR(_xlfn.XLOOKUP($A813,PROPERTIES[VEHIDCODE],PROPERTIES[INTRODUCTION_YEAR]),20)</f>
        <v>2000</v>
      </c>
      <c r="E813" t="e">
        <f>_xlfn.XLOOKUP($A813,PROPERTIES[VEHIDCODE],#REF!)</f>
        <v>#REF!</v>
      </c>
      <c r="F813" s="25" t="str" cm="1">
        <f t="array" ref="F813">_xlfn.CONCAT(_xlfn.XLOOKUP($A813,PROPERTIES[VEHIDCODE],PROPERTIES[REGION1]),"_",_xlfn.XLOOKUP($A813,PROPERTIES[VEHIDCODE],PROPERTIES[REGION2]),"_",_xlfn.XLOOKUP($A813,PROPERTIES[VEHIDCODE],PROPERTIES[REGION3]&amp;"_"&amp;_xlfn.XLOOKUP($A813,PROPERTIES[VEHIDCODE],PROPERTIES[REGION4])))</f>
        <v>ALL_REGION_NO_REGION_NO_REGION_NO_REGION</v>
      </c>
      <c r="G813" t="b">
        <f t="shared" si="108"/>
        <v>1</v>
      </c>
      <c r="H813" t="b">
        <f t="shared" si="115"/>
        <v>1</v>
      </c>
      <c r="I813" t="b">
        <f t="shared" si="109"/>
        <v>1</v>
      </c>
      <c r="J813" t="b">
        <f t="shared" si="116"/>
        <v>1</v>
      </c>
      <c r="K813" t="b">
        <f t="shared" si="110"/>
        <v>1</v>
      </c>
      <c r="L813" t="b">
        <f t="shared" si="111"/>
        <v>1</v>
      </c>
      <c r="M813" t="b">
        <f t="shared" si="112"/>
        <v>1</v>
      </c>
      <c r="N813" t="b">
        <f t="shared" si="113"/>
        <v>1</v>
      </c>
      <c r="O813" t="b">
        <f t="shared" si="114"/>
        <v>1</v>
      </c>
    </row>
    <row r="814" spans="1:15" x14ac:dyDescent="0.35">
      <c r="A814" t="str">
        <v>electric_Ganz_MAVAG_VM15_V63</v>
      </c>
      <c r="B814" t="b" cm="1">
        <f t="array" ref="B814">_xlfn.XLOOKUP(A814,CONTROL[VEHIDCODE],PROPERTIES[EXCLUDE])</f>
        <v>0</v>
      </c>
      <c r="C814" t="b">
        <f>_xlfn.XLOOKUP(A814,CONTROL[VEHIDCODE],CONTROL[IS_WAGON_OR_COACH])</f>
        <v>0</v>
      </c>
      <c r="D814">
        <f>FLOOR(_xlfn.XLOOKUP($A814,PROPERTIES[VEHIDCODE],PROPERTIES[INTRODUCTION_YEAR]),20)</f>
        <v>1960</v>
      </c>
      <c r="E814" t="e">
        <f>_xlfn.XLOOKUP($A814,PROPERTIES[VEHIDCODE],#REF!)</f>
        <v>#REF!</v>
      </c>
      <c r="F814" s="25" t="str" cm="1">
        <f t="array" ref="F814">_xlfn.CONCAT(_xlfn.XLOOKUP($A814,PROPERTIES[VEHIDCODE],PROPERTIES[REGION1]),"_",_xlfn.XLOOKUP($A814,PROPERTIES[VEHIDCODE],PROPERTIES[REGION2]),"_",_xlfn.XLOOKUP($A814,PROPERTIES[VEHIDCODE],PROPERTIES[REGION3]&amp;"_"&amp;_xlfn.XLOOKUP($A814,PROPERTIES[VEHIDCODE],PROPERTIES[REGION4])))</f>
        <v>EASTERN_EUROPE_NO_REGION_NO_REGION_NO_REGION</v>
      </c>
      <c r="G814" t="b">
        <f t="shared" si="108"/>
        <v>0</v>
      </c>
      <c r="H814" t="b">
        <f t="shared" si="115"/>
        <v>0</v>
      </c>
      <c r="I814" t="b">
        <f t="shared" si="109"/>
        <v>0</v>
      </c>
      <c r="J814" t="b">
        <f t="shared" si="116"/>
        <v>1</v>
      </c>
      <c r="K814" t="b">
        <f t="shared" si="110"/>
        <v>0</v>
      </c>
      <c r="L814" t="b">
        <f t="shared" si="111"/>
        <v>0</v>
      </c>
      <c r="M814" t="b">
        <f t="shared" si="112"/>
        <v>0</v>
      </c>
      <c r="N814" t="b">
        <f t="shared" si="113"/>
        <v>0</v>
      </c>
      <c r="O814" t="b">
        <f t="shared" si="114"/>
        <v>0</v>
      </c>
    </row>
    <row r="815" spans="1:15" x14ac:dyDescent="0.35">
      <c r="A815" t="str">
        <v>mtro_BREL_ABB_London_1992_Stock</v>
      </c>
      <c r="B815" t="b" cm="1">
        <f t="array" ref="B815">_xlfn.XLOOKUP(A815,CONTROL[VEHIDCODE],PROPERTIES[EXCLUDE])</f>
        <v>0</v>
      </c>
      <c r="C815" t="b">
        <f>_xlfn.XLOOKUP(A815,CONTROL[VEHIDCODE],CONTROL[IS_WAGON_OR_COACH])</f>
        <v>0</v>
      </c>
      <c r="D815">
        <f>FLOOR(_xlfn.XLOOKUP($A815,PROPERTIES[VEHIDCODE],PROPERTIES[INTRODUCTION_YEAR]),20)</f>
        <v>1980</v>
      </c>
      <c r="E815" t="e">
        <f>_xlfn.XLOOKUP($A815,PROPERTIES[VEHIDCODE],#REF!)</f>
        <v>#REF!</v>
      </c>
      <c r="F815" s="25" t="str" cm="1">
        <f t="array" ref="F815">_xlfn.CONCAT(_xlfn.XLOOKUP($A815,PROPERTIES[VEHIDCODE],PROPERTIES[REGION1]),"_",_xlfn.XLOOKUP($A815,PROPERTIES[VEHIDCODE],PROPERTIES[REGION2]),"_",_xlfn.XLOOKUP($A815,PROPERTIES[VEHIDCODE],PROPERTIES[REGION3]&amp;"_"&amp;_xlfn.XLOOKUP($A815,PROPERTIES[VEHIDCODE],PROPERTIES[REGION4])))</f>
        <v>NORTHERN_EUROPE_NO_REGION_NO_REGION_NO_REGION</v>
      </c>
      <c r="G815" t="b">
        <f t="shared" si="108"/>
        <v>0</v>
      </c>
      <c r="H815" t="b">
        <f t="shared" si="115"/>
        <v>0</v>
      </c>
      <c r="I815" t="b">
        <f t="shared" si="109"/>
        <v>0</v>
      </c>
      <c r="J815" t="b">
        <f t="shared" si="116"/>
        <v>0</v>
      </c>
      <c r="K815" t="b">
        <f t="shared" si="110"/>
        <v>0</v>
      </c>
      <c r="L815" t="b">
        <f t="shared" si="111"/>
        <v>1</v>
      </c>
      <c r="M815" t="b">
        <f t="shared" si="112"/>
        <v>0</v>
      </c>
      <c r="N815" t="b">
        <f t="shared" si="113"/>
        <v>0</v>
      </c>
      <c r="O815" t="b">
        <f t="shared" si="114"/>
        <v>0</v>
      </c>
    </row>
    <row r="816" spans="1:15" x14ac:dyDescent="0.35">
      <c r="A816" t="str">
        <v>mtro_Bombardier_Movia_London_S_Stock</v>
      </c>
      <c r="B816" t="b" cm="1">
        <f t="array" ref="B816">_xlfn.XLOOKUP(A816,CONTROL[VEHIDCODE],PROPERTIES[EXCLUDE])</f>
        <v>0</v>
      </c>
      <c r="C816" t="b">
        <f>_xlfn.XLOOKUP(A816,CONTROL[VEHIDCODE],CONTROL[IS_WAGON_OR_COACH])</f>
        <v>0</v>
      </c>
      <c r="D816">
        <f>FLOOR(_xlfn.XLOOKUP($A816,PROPERTIES[VEHIDCODE],PROPERTIES[INTRODUCTION_YEAR]),20)</f>
        <v>2000</v>
      </c>
      <c r="E816" t="e">
        <f>_xlfn.XLOOKUP($A816,PROPERTIES[VEHIDCODE],#REF!)</f>
        <v>#REF!</v>
      </c>
      <c r="F816" s="25" t="str" cm="1">
        <f t="array" ref="F816">_xlfn.CONCAT(_xlfn.XLOOKUP($A816,PROPERTIES[VEHIDCODE],PROPERTIES[REGION1]),"_",_xlfn.XLOOKUP($A816,PROPERTIES[VEHIDCODE],PROPERTIES[REGION2]),"_",_xlfn.XLOOKUP($A816,PROPERTIES[VEHIDCODE],PROPERTIES[REGION3]&amp;"_"&amp;_xlfn.XLOOKUP($A816,PROPERTIES[VEHIDCODE],PROPERTIES[REGION4])))</f>
        <v>NORTHERN_EUROPE_NO_REGION_NO_REGION_NO_REGION</v>
      </c>
      <c r="G816" t="b">
        <f t="shared" si="108"/>
        <v>0</v>
      </c>
      <c r="H816" t="b">
        <f t="shared" si="115"/>
        <v>0</v>
      </c>
      <c r="I816" t="b">
        <f t="shared" si="109"/>
        <v>0</v>
      </c>
      <c r="J816" t="b">
        <f t="shared" si="116"/>
        <v>0</v>
      </c>
      <c r="K816" t="b">
        <f t="shared" si="110"/>
        <v>0</v>
      </c>
      <c r="L816" t="b">
        <f t="shared" si="111"/>
        <v>1</v>
      </c>
      <c r="M816" t="b">
        <f t="shared" si="112"/>
        <v>0</v>
      </c>
      <c r="N816" t="b">
        <f t="shared" si="113"/>
        <v>0</v>
      </c>
      <c r="O816" t="b">
        <f t="shared" si="114"/>
        <v>0</v>
      </c>
    </row>
    <row r="817" spans="1:15" x14ac:dyDescent="0.35">
      <c r="A817" t="str">
        <v>mtro_Metro_Cammell_London_1972_Stock</v>
      </c>
      <c r="B817" t="b" cm="1">
        <f t="array" ref="B817">_xlfn.XLOOKUP(A817,CONTROL[VEHIDCODE],PROPERTIES[EXCLUDE])</f>
        <v>0</v>
      </c>
      <c r="C817" t="b">
        <f>_xlfn.XLOOKUP(A817,CONTROL[VEHIDCODE],CONTROL[IS_WAGON_OR_COACH])</f>
        <v>0</v>
      </c>
      <c r="D817">
        <f>FLOOR(_xlfn.XLOOKUP($A817,PROPERTIES[VEHIDCODE],PROPERTIES[INTRODUCTION_YEAR]),20)</f>
        <v>1960</v>
      </c>
      <c r="E817" t="e">
        <f>_xlfn.XLOOKUP($A817,PROPERTIES[VEHIDCODE],#REF!)</f>
        <v>#REF!</v>
      </c>
      <c r="F817" s="25" t="str" cm="1">
        <f t="array" ref="F817">_xlfn.CONCAT(_xlfn.XLOOKUP($A817,PROPERTIES[VEHIDCODE],PROPERTIES[REGION1]),"_",_xlfn.XLOOKUP($A817,PROPERTIES[VEHIDCODE],PROPERTIES[REGION2]),"_",_xlfn.XLOOKUP($A817,PROPERTIES[VEHIDCODE],PROPERTIES[REGION3]&amp;"_"&amp;_xlfn.XLOOKUP($A817,PROPERTIES[VEHIDCODE],PROPERTIES[REGION4])))</f>
        <v>NORTHERN_EUROPE_NO_REGION_NO_REGION_NO_REGION</v>
      </c>
      <c r="G817" t="b">
        <f t="shared" si="108"/>
        <v>0</v>
      </c>
      <c r="H817" t="b">
        <f t="shared" si="115"/>
        <v>0</v>
      </c>
      <c r="I817" t="b">
        <f t="shared" si="109"/>
        <v>0</v>
      </c>
      <c r="J817" t="b">
        <f t="shared" si="116"/>
        <v>0</v>
      </c>
      <c r="K817" t="b">
        <f t="shared" si="110"/>
        <v>0</v>
      </c>
      <c r="L817" t="b">
        <f t="shared" si="111"/>
        <v>1</v>
      </c>
      <c r="M817" t="b">
        <f t="shared" si="112"/>
        <v>0</v>
      </c>
      <c r="N817" t="b">
        <f t="shared" si="113"/>
        <v>0</v>
      </c>
      <c r="O817" t="b">
        <f t="shared" si="114"/>
        <v>0</v>
      </c>
    </row>
    <row r="818" spans="1:15" x14ac:dyDescent="0.35">
      <c r="A818" t="str">
        <v>mtro_Metro_Cammell_London_1959_Stock</v>
      </c>
      <c r="B818" t="b" cm="1">
        <f t="array" ref="B818">_xlfn.XLOOKUP(A818,CONTROL[VEHIDCODE],PROPERTIES[EXCLUDE])</f>
        <v>0</v>
      </c>
      <c r="C818" t="b">
        <f>_xlfn.XLOOKUP(A818,CONTROL[VEHIDCODE],CONTROL[IS_WAGON_OR_COACH])</f>
        <v>0</v>
      </c>
      <c r="D818">
        <f>FLOOR(_xlfn.XLOOKUP($A818,PROPERTIES[VEHIDCODE],PROPERTIES[INTRODUCTION_YEAR]),20)</f>
        <v>1940</v>
      </c>
      <c r="E818" t="e">
        <f>_xlfn.XLOOKUP($A818,PROPERTIES[VEHIDCODE],#REF!)</f>
        <v>#REF!</v>
      </c>
      <c r="F818" s="25" t="str" cm="1">
        <f t="array" ref="F818">_xlfn.CONCAT(_xlfn.XLOOKUP($A818,PROPERTIES[VEHIDCODE],PROPERTIES[REGION1]),"_",_xlfn.XLOOKUP($A818,PROPERTIES[VEHIDCODE],PROPERTIES[REGION2]),"_",_xlfn.XLOOKUP($A818,PROPERTIES[VEHIDCODE],PROPERTIES[REGION3]&amp;"_"&amp;_xlfn.XLOOKUP($A818,PROPERTIES[VEHIDCODE],PROPERTIES[REGION4])))</f>
        <v>NORTHERN_EUROPE_NO_REGION_NO_REGION_NO_REGION</v>
      </c>
      <c r="G818" t="b">
        <f t="shared" si="108"/>
        <v>0</v>
      </c>
      <c r="H818" t="b">
        <f t="shared" si="115"/>
        <v>0</v>
      </c>
      <c r="I818" t="b">
        <f t="shared" si="109"/>
        <v>0</v>
      </c>
      <c r="J818" t="b">
        <f t="shared" si="116"/>
        <v>0</v>
      </c>
      <c r="K818" t="b">
        <f t="shared" si="110"/>
        <v>0</v>
      </c>
      <c r="L818" t="b">
        <f t="shared" si="111"/>
        <v>1</v>
      </c>
      <c r="M818" t="b">
        <f t="shared" si="112"/>
        <v>0</v>
      </c>
      <c r="N818" t="b">
        <f t="shared" si="113"/>
        <v>0</v>
      </c>
      <c r="O818" t="b">
        <f t="shared" si="114"/>
        <v>0</v>
      </c>
    </row>
    <row r="819" spans="1:15" x14ac:dyDescent="0.35">
      <c r="A819" t="str">
        <v>mtro_Kawasaki_HI_C151</v>
      </c>
      <c r="B819" t="b" cm="1">
        <f t="array" ref="B819">_xlfn.XLOOKUP(A819,CONTROL[VEHIDCODE],PROPERTIES[EXCLUDE])</f>
        <v>0</v>
      </c>
      <c r="C819" t="b">
        <f>_xlfn.XLOOKUP(A819,CONTROL[VEHIDCODE],CONTROL[IS_WAGON_OR_COACH])</f>
        <v>0</v>
      </c>
      <c r="D819">
        <f>FLOOR(_xlfn.XLOOKUP($A819,PROPERTIES[VEHIDCODE],PROPERTIES[INTRODUCTION_YEAR]),20)</f>
        <v>1980</v>
      </c>
      <c r="E819" t="e">
        <f>_xlfn.XLOOKUP($A819,PROPERTIES[VEHIDCODE],#REF!)</f>
        <v>#REF!</v>
      </c>
      <c r="F819" s="25" t="str" cm="1">
        <f t="array" ref="F819">_xlfn.CONCAT(_xlfn.XLOOKUP($A819,PROPERTIES[VEHIDCODE],PROPERTIES[REGION1]),"_",_xlfn.XLOOKUP($A819,PROPERTIES[VEHIDCODE],PROPERTIES[REGION2]),"_",_xlfn.XLOOKUP($A819,PROPERTIES[VEHIDCODE],PROPERTIES[REGION3]&amp;"_"&amp;_xlfn.XLOOKUP($A819,PROPERTIES[VEHIDCODE],PROPERTIES[REGION4])))</f>
        <v>ASIA_NO_REGION_NO_REGION_NO_REGION</v>
      </c>
      <c r="G819" t="b">
        <f t="shared" si="108"/>
        <v>0</v>
      </c>
      <c r="H819" t="b">
        <f t="shared" si="115"/>
        <v>1</v>
      </c>
      <c r="I819" t="b">
        <f t="shared" si="109"/>
        <v>0</v>
      </c>
      <c r="J819" t="b">
        <f t="shared" si="116"/>
        <v>0</v>
      </c>
      <c r="K819" t="b">
        <f t="shared" si="110"/>
        <v>0</v>
      </c>
      <c r="L819" t="b">
        <f t="shared" si="111"/>
        <v>0</v>
      </c>
      <c r="M819" t="b">
        <f t="shared" si="112"/>
        <v>0</v>
      </c>
      <c r="N819" t="b">
        <f t="shared" si="113"/>
        <v>0</v>
      </c>
      <c r="O819" t="b">
        <f t="shared" si="114"/>
        <v>0</v>
      </c>
    </row>
    <row r="820" spans="1:15" x14ac:dyDescent="0.35">
      <c r="A820" t="str">
        <v>mtro_Kawasaki_HI___Nippon_Sharyo_C751B</v>
      </c>
      <c r="B820" t="b" cm="1">
        <f t="array" ref="B820">_xlfn.XLOOKUP(A820,CONTROL[VEHIDCODE],PROPERTIES[EXCLUDE])</f>
        <v>0</v>
      </c>
      <c r="C820" t="b">
        <f>_xlfn.XLOOKUP(A820,CONTROL[VEHIDCODE],CONTROL[IS_WAGON_OR_COACH])</f>
        <v>0</v>
      </c>
      <c r="D820">
        <f>FLOOR(_xlfn.XLOOKUP($A820,PROPERTIES[VEHIDCODE],PROPERTIES[INTRODUCTION_YEAR]),20)</f>
        <v>2000</v>
      </c>
      <c r="E820" t="e">
        <f>_xlfn.XLOOKUP($A820,PROPERTIES[VEHIDCODE],#REF!)</f>
        <v>#REF!</v>
      </c>
      <c r="F820" s="25" t="str" cm="1">
        <f t="array" ref="F820">_xlfn.CONCAT(_xlfn.XLOOKUP($A820,PROPERTIES[VEHIDCODE],PROPERTIES[REGION1]),"_",_xlfn.XLOOKUP($A820,PROPERTIES[VEHIDCODE],PROPERTIES[REGION2]),"_",_xlfn.XLOOKUP($A820,PROPERTIES[VEHIDCODE],PROPERTIES[REGION3]&amp;"_"&amp;_xlfn.XLOOKUP($A820,PROPERTIES[VEHIDCODE],PROPERTIES[REGION4])))</f>
        <v>ASIA_NO_REGION_NO_REGION_NO_REGION</v>
      </c>
      <c r="G820" t="b">
        <f t="shared" si="108"/>
        <v>0</v>
      </c>
      <c r="H820" t="b">
        <f t="shared" si="115"/>
        <v>1</v>
      </c>
      <c r="I820" t="b">
        <f t="shared" si="109"/>
        <v>0</v>
      </c>
      <c r="J820" t="b">
        <f t="shared" si="116"/>
        <v>0</v>
      </c>
      <c r="K820" t="b">
        <f t="shared" si="110"/>
        <v>0</v>
      </c>
      <c r="L820" t="b">
        <f t="shared" si="111"/>
        <v>0</v>
      </c>
      <c r="M820" t="b">
        <f t="shared" si="112"/>
        <v>0</v>
      </c>
      <c r="N820" t="b">
        <f t="shared" si="113"/>
        <v>0</v>
      </c>
      <c r="O820" t="b">
        <f t="shared" si="114"/>
        <v>0</v>
      </c>
    </row>
    <row r="821" spans="1:15" x14ac:dyDescent="0.35">
      <c r="A821" t="str">
        <v>mtro_Comeng_Light_Metro_Prototype</v>
      </c>
      <c r="B821" t="b" cm="1">
        <f t="array" ref="B821">_xlfn.XLOOKUP(A821,CONTROL[VEHIDCODE],PROPERTIES[EXCLUDE])</f>
        <v>0</v>
      </c>
      <c r="C821" t="b">
        <f>_xlfn.XLOOKUP(A821,CONTROL[VEHIDCODE],CONTROL[IS_WAGON_OR_COACH])</f>
        <v>0</v>
      </c>
      <c r="D821">
        <f>FLOOR(_xlfn.XLOOKUP($A821,PROPERTIES[VEHIDCODE],PROPERTIES[INTRODUCTION_YEAR]),20)</f>
        <v>1960</v>
      </c>
      <c r="E821" t="e">
        <f>_xlfn.XLOOKUP($A821,PROPERTIES[VEHIDCODE],#REF!)</f>
        <v>#REF!</v>
      </c>
      <c r="F821" s="25" t="str" cm="1">
        <f t="array" ref="F821">_xlfn.CONCAT(_xlfn.XLOOKUP($A821,PROPERTIES[VEHIDCODE],PROPERTIES[REGION1]),"_",_xlfn.XLOOKUP($A821,PROPERTIES[VEHIDCODE],PROPERTIES[REGION2]),"_",_xlfn.XLOOKUP($A821,PROPERTIES[VEHIDCODE],PROPERTIES[REGION3]&amp;"_"&amp;_xlfn.XLOOKUP($A821,PROPERTIES[VEHIDCODE],PROPERTIES[REGION4])))</f>
        <v>OCEANIA_NO_REGION_NO_REGION_NO_REGION</v>
      </c>
      <c r="G821" t="b">
        <f t="shared" si="108"/>
        <v>0</v>
      </c>
      <c r="H821" t="b">
        <f t="shared" si="115"/>
        <v>0</v>
      </c>
      <c r="I821" t="b">
        <f t="shared" si="109"/>
        <v>0</v>
      </c>
      <c r="J821" t="b">
        <f t="shared" si="116"/>
        <v>0</v>
      </c>
      <c r="K821" t="b">
        <f t="shared" si="110"/>
        <v>0</v>
      </c>
      <c r="L821" t="b">
        <f t="shared" si="111"/>
        <v>0</v>
      </c>
      <c r="M821" t="b">
        <f t="shared" si="112"/>
        <v>0</v>
      </c>
      <c r="N821" t="b">
        <f t="shared" si="113"/>
        <v>0</v>
      </c>
      <c r="O821" t="b">
        <f t="shared" si="114"/>
        <v>1</v>
      </c>
    </row>
    <row r="822" spans="1:15" x14ac:dyDescent="0.35">
      <c r="A822" t="str">
        <v>emu_Comeng_EMU</v>
      </c>
      <c r="B822" t="b" cm="1">
        <f t="array" ref="B822">_xlfn.XLOOKUP(A822,CONTROL[VEHIDCODE],PROPERTIES[EXCLUDE])</f>
        <v>0</v>
      </c>
      <c r="C822" t="b">
        <f>_xlfn.XLOOKUP(A822,CONTROL[VEHIDCODE],CONTROL[IS_WAGON_OR_COACH])</f>
        <v>0</v>
      </c>
      <c r="D822">
        <f>FLOOR(_xlfn.XLOOKUP($A822,PROPERTIES[VEHIDCODE],PROPERTIES[INTRODUCTION_YEAR]),20)</f>
        <v>1980</v>
      </c>
      <c r="E822" t="e">
        <f>_xlfn.XLOOKUP($A822,PROPERTIES[VEHIDCODE],#REF!)</f>
        <v>#REF!</v>
      </c>
      <c r="F822" s="25" t="str" cm="1">
        <f t="array" ref="F822">_xlfn.CONCAT(_xlfn.XLOOKUP($A822,PROPERTIES[VEHIDCODE],PROPERTIES[REGION1]),"_",_xlfn.XLOOKUP($A822,PROPERTIES[VEHIDCODE],PROPERTIES[REGION2]),"_",_xlfn.XLOOKUP($A822,PROPERTIES[VEHIDCODE],PROPERTIES[REGION3]&amp;"_"&amp;_xlfn.XLOOKUP($A822,PROPERTIES[VEHIDCODE],PROPERTIES[REGION4])))</f>
        <v>OCEANIA_NO_REGION_NO_REGION_NO_REGION</v>
      </c>
      <c r="G822" t="b">
        <f t="shared" si="108"/>
        <v>0</v>
      </c>
      <c r="H822" t="b">
        <f t="shared" si="115"/>
        <v>0</v>
      </c>
      <c r="I822" t="b">
        <f t="shared" si="109"/>
        <v>0</v>
      </c>
      <c r="J822" t="b">
        <f t="shared" si="116"/>
        <v>0</v>
      </c>
      <c r="K822" t="b">
        <f t="shared" si="110"/>
        <v>0</v>
      </c>
      <c r="L822" t="b">
        <f t="shared" si="111"/>
        <v>0</v>
      </c>
      <c r="M822" t="b">
        <f t="shared" si="112"/>
        <v>0</v>
      </c>
      <c r="N822" t="b">
        <f t="shared" si="113"/>
        <v>0</v>
      </c>
      <c r="O822" t="b">
        <f t="shared" si="114"/>
        <v>1</v>
      </c>
    </row>
    <row r="823" spans="1:15" x14ac:dyDescent="0.35">
      <c r="A823" t="str">
        <v>emu_Evolution_Rail_HCMT_Munnel</v>
      </c>
      <c r="B823" t="b" cm="1">
        <f t="array" ref="B823">_xlfn.XLOOKUP(A823,CONTROL[VEHIDCODE],PROPERTIES[EXCLUDE])</f>
        <v>0</v>
      </c>
      <c r="C823" t="b">
        <f>_xlfn.XLOOKUP(A823,CONTROL[VEHIDCODE],CONTROL[IS_WAGON_OR_COACH])</f>
        <v>0</v>
      </c>
      <c r="D823">
        <f>FLOOR(_xlfn.XLOOKUP($A823,PROPERTIES[VEHIDCODE],PROPERTIES[INTRODUCTION_YEAR]),20)</f>
        <v>2020</v>
      </c>
      <c r="E823" t="e">
        <f>_xlfn.XLOOKUP($A823,PROPERTIES[VEHIDCODE],#REF!)</f>
        <v>#REF!</v>
      </c>
      <c r="F823" s="25" t="str" cm="1">
        <f t="array" ref="F823">_xlfn.CONCAT(_xlfn.XLOOKUP($A823,PROPERTIES[VEHIDCODE],PROPERTIES[REGION1]),"_",_xlfn.XLOOKUP($A823,PROPERTIES[VEHIDCODE],PROPERTIES[REGION2]),"_",_xlfn.XLOOKUP($A823,PROPERTIES[VEHIDCODE],PROPERTIES[REGION3]&amp;"_"&amp;_xlfn.XLOOKUP($A823,PROPERTIES[VEHIDCODE],PROPERTIES[REGION4])))</f>
        <v>OCEANIA_NO_REGION_NO_REGION_NO_REGION</v>
      </c>
      <c r="G823" t="b">
        <f t="shared" si="108"/>
        <v>0</v>
      </c>
      <c r="H823" t="b">
        <f t="shared" si="115"/>
        <v>0</v>
      </c>
      <c r="I823" t="b">
        <f t="shared" si="109"/>
        <v>0</v>
      </c>
      <c r="J823" t="b">
        <f t="shared" si="116"/>
        <v>0</v>
      </c>
      <c r="K823" t="b">
        <f t="shared" si="110"/>
        <v>0</v>
      </c>
      <c r="L823" t="b">
        <f t="shared" si="111"/>
        <v>0</v>
      </c>
      <c r="M823" t="b">
        <f t="shared" si="112"/>
        <v>0</v>
      </c>
      <c r="N823" t="b">
        <f t="shared" si="113"/>
        <v>0</v>
      </c>
      <c r="O823" t="b">
        <f t="shared" si="114"/>
        <v>1</v>
      </c>
    </row>
    <row r="824" spans="1:15" x14ac:dyDescent="0.35">
      <c r="A824" t="str">
        <v>diesel_LTZ_DR_130</v>
      </c>
      <c r="B824" t="b" cm="1">
        <f t="array" ref="B824">_xlfn.XLOOKUP(A824,CONTROL[VEHIDCODE],PROPERTIES[EXCLUDE])</f>
        <v>1</v>
      </c>
      <c r="C824" t="b">
        <f>_xlfn.XLOOKUP(A824,CONTROL[VEHIDCODE],CONTROL[IS_WAGON_OR_COACH])</f>
        <v>0</v>
      </c>
      <c r="D824">
        <f>FLOOR(_xlfn.XLOOKUP($A824,PROPERTIES[VEHIDCODE],PROPERTIES[INTRODUCTION_YEAR]),20)</f>
        <v>1960</v>
      </c>
      <c r="E824" t="e">
        <f>_xlfn.XLOOKUP($A824,PROPERTIES[VEHIDCODE],#REF!)</f>
        <v>#REF!</v>
      </c>
      <c r="F824" s="25" t="str" cm="1">
        <f t="array" ref="F824">_xlfn.CONCAT(_xlfn.XLOOKUP($A824,PROPERTIES[VEHIDCODE],PROPERTIES[REGION1]),"_",_xlfn.XLOOKUP($A824,PROPERTIES[VEHIDCODE],PROPERTIES[REGION2]),"_",_xlfn.XLOOKUP($A824,PROPERTIES[VEHIDCODE],PROPERTIES[REGION3]&amp;"_"&amp;_xlfn.XLOOKUP($A824,PROPERTIES[VEHIDCODE],PROPERTIES[REGION4])))</f>
        <v>WESTERN_EUROPE_COMECON_NO_REGION_NO_REGION</v>
      </c>
      <c r="G824" t="b">
        <f t="shared" si="108"/>
        <v>0</v>
      </c>
      <c r="H824" t="b">
        <f t="shared" si="115"/>
        <v>1</v>
      </c>
      <c r="I824" t="b">
        <f t="shared" si="109"/>
        <v>0</v>
      </c>
      <c r="J824" t="b">
        <f t="shared" si="116"/>
        <v>1</v>
      </c>
      <c r="K824" t="b">
        <f t="shared" si="110"/>
        <v>1</v>
      </c>
      <c r="L824" t="b">
        <f t="shared" si="111"/>
        <v>0</v>
      </c>
      <c r="M824" t="b">
        <f t="shared" si="112"/>
        <v>0</v>
      </c>
      <c r="N824" t="b">
        <f t="shared" si="113"/>
        <v>0</v>
      </c>
      <c r="O824" t="b">
        <f t="shared" si="114"/>
        <v>0</v>
      </c>
    </row>
    <row r="825" spans="1:15" x14ac:dyDescent="0.35">
      <c r="A825" t="str">
        <v>diesel_GE_AC6044CW</v>
      </c>
      <c r="B825" t="b" cm="1">
        <f t="array" ref="B825">_xlfn.XLOOKUP(A825,CONTROL[VEHIDCODE],PROPERTIES[EXCLUDE])</f>
        <v>1</v>
      </c>
      <c r="C825" t="b">
        <f>_xlfn.XLOOKUP(A825,CONTROL[VEHIDCODE],CONTROL[IS_WAGON_OR_COACH])</f>
        <v>0</v>
      </c>
      <c r="D825">
        <f>FLOOR(_xlfn.XLOOKUP($A825,PROPERTIES[VEHIDCODE],PROPERTIES[INTRODUCTION_YEAR]),20)</f>
        <v>1980</v>
      </c>
      <c r="E825" t="e">
        <f>_xlfn.XLOOKUP($A825,PROPERTIES[VEHIDCODE],#REF!)</f>
        <v>#REF!</v>
      </c>
      <c r="F825" s="25" t="str" cm="1">
        <f t="array" ref="F825">_xlfn.CONCAT(_xlfn.XLOOKUP($A825,PROPERTIES[VEHIDCODE],PROPERTIES[REGION1]),"_",_xlfn.XLOOKUP($A825,PROPERTIES[VEHIDCODE],PROPERTIES[REGION2]),"_",_xlfn.XLOOKUP($A825,PROPERTIES[VEHIDCODE],PROPERTIES[REGION3]&amp;"_"&amp;_xlfn.XLOOKUP($A825,PROPERTIES[VEHIDCODE],PROPERTIES[REGION4])))</f>
        <v>ALL_AMERICA_OCEANIA_NO_REGION_NO_REGION</v>
      </c>
      <c r="G825" t="b">
        <f t="shared" si="108"/>
        <v>0</v>
      </c>
      <c r="H825" t="b">
        <f t="shared" si="115"/>
        <v>0</v>
      </c>
      <c r="I825" t="b">
        <f t="shared" si="109"/>
        <v>0</v>
      </c>
      <c r="J825" t="b">
        <f t="shared" si="116"/>
        <v>0</v>
      </c>
      <c r="K825" t="b">
        <f t="shared" si="110"/>
        <v>0</v>
      </c>
      <c r="L825" t="b">
        <f t="shared" si="111"/>
        <v>0</v>
      </c>
      <c r="M825" t="b">
        <f t="shared" si="112"/>
        <v>1</v>
      </c>
      <c r="N825" t="b">
        <f t="shared" si="113"/>
        <v>1</v>
      </c>
      <c r="O825" t="b">
        <f t="shared" si="114"/>
        <v>1</v>
      </c>
    </row>
    <row r="826" spans="1:15" x14ac:dyDescent="0.35">
      <c r="A826" t="str">
        <v>diesel_GE_AC6000CW</v>
      </c>
      <c r="B826" t="b" cm="1">
        <f t="array" ref="B826">_xlfn.XLOOKUP(A826,CONTROL[VEHIDCODE],PROPERTIES[EXCLUDE])</f>
        <v>0</v>
      </c>
      <c r="C826" t="b">
        <f>_xlfn.XLOOKUP(A826,CONTROL[VEHIDCODE],CONTROL[IS_WAGON_OR_COACH])</f>
        <v>0</v>
      </c>
      <c r="D826">
        <f>FLOOR(_xlfn.XLOOKUP($A826,PROPERTIES[VEHIDCODE],PROPERTIES[INTRODUCTION_YEAR]),20)</f>
        <v>1980</v>
      </c>
      <c r="E826" t="e">
        <f>_xlfn.XLOOKUP($A826,PROPERTIES[VEHIDCODE],#REF!)</f>
        <v>#REF!</v>
      </c>
      <c r="F826" s="25" t="str" cm="1">
        <f t="array" ref="F826">_xlfn.CONCAT(_xlfn.XLOOKUP($A826,PROPERTIES[VEHIDCODE],PROPERTIES[REGION1]),"_",_xlfn.XLOOKUP($A826,PROPERTIES[VEHIDCODE],PROPERTIES[REGION2]),"_",_xlfn.XLOOKUP($A826,PROPERTIES[VEHIDCODE],PROPERTIES[REGION3]&amp;"_"&amp;_xlfn.XLOOKUP($A826,PROPERTIES[VEHIDCODE],PROPERTIES[REGION4])))</f>
        <v>ALL_AMERICA_OCEANIA_NO_REGION_NO_REGION</v>
      </c>
      <c r="G826" t="b">
        <f t="shared" si="108"/>
        <v>0</v>
      </c>
      <c r="H826" t="b">
        <f t="shared" si="115"/>
        <v>0</v>
      </c>
      <c r="I826" t="b">
        <f t="shared" si="109"/>
        <v>0</v>
      </c>
      <c r="J826" t="b">
        <f t="shared" si="116"/>
        <v>0</v>
      </c>
      <c r="K826" t="b">
        <f t="shared" si="110"/>
        <v>0</v>
      </c>
      <c r="L826" t="b">
        <f t="shared" si="111"/>
        <v>0</v>
      </c>
      <c r="M826" t="b">
        <f t="shared" si="112"/>
        <v>1</v>
      </c>
      <c r="N826" t="b">
        <f t="shared" si="113"/>
        <v>1</v>
      </c>
      <c r="O826" t="b">
        <f t="shared" si="114"/>
        <v>1</v>
      </c>
    </row>
    <row r="827" spans="1:15" x14ac:dyDescent="0.35">
      <c r="A827" t="str">
        <v>steam_Robert_Stephenson_and_Co_2_2_2_192</v>
      </c>
      <c r="B827" t="b" cm="1">
        <f t="array" ref="B827">_xlfn.XLOOKUP(A827,CONTROL[VEHIDCODE],PROPERTIES[EXCLUDE])</f>
        <v>0</v>
      </c>
      <c r="C827" t="b">
        <f>_xlfn.XLOOKUP(A827,CONTROL[VEHIDCODE],CONTROL[IS_WAGON_OR_COACH])</f>
        <v>0</v>
      </c>
      <c r="D827">
        <f>FLOOR(_xlfn.XLOOKUP($A827,PROPERTIES[VEHIDCODE],PROPERTIES[INTRODUCTION_YEAR]),20)</f>
        <v>1860</v>
      </c>
      <c r="E827" t="e">
        <f>_xlfn.XLOOKUP($A827,PROPERTIES[VEHIDCODE],#REF!)</f>
        <v>#REF!</v>
      </c>
      <c r="F827" s="25" t="str" cm="1">
        <f t="array" ref="F827">_xlfn.CONCAT(_xlfn.XLOOKUP($A827,PROPERTIES[VEHIDCODE],PROPERTIES[REGION1]),"_",_xlfn.XLOOKUP($A827,PROPERTIES[VEHIDCODE],PROPERTIES[REGION2]),"_",_xlfn.XLOOKUP($A827,PROPERTIES[VEHIDCODE],PROPERTIES[REGION3]&amp;"_"&amp;_xlfn.XLOOKUP($A827,PROPERTIES[VEHIDCODE],PROPERTIES[REGION4])))</f>
        <v>AFRICA_NO_REGION_NO_REGION_NO_REGION</v>
      </c>
      <c r="G827" t="b">
        <f t="shared" si="108"/>
        <v>1</v>
      </c>
      <c r="H827" t="b">
        <f t="shared" si="115"/>
        <v>0</v>
      </c>
      <c r="I827" t="b">
        <f t="shared" si="109"/>
        <v>0</v>
      </c>
      <c r="J827" t="b">
        <f t="shared" si="116"/>
        <v>0</v>
      </c>
      <c r="K827" t="b">
        <f t="shared" si="110"/>
        <v>0</v>
      </c>
      <c r="L827" t="b">
        <f t="shared" si="111"/>
        <v>0</v>
      </c>
      <c r="M827" t="b">
        <f t="shared" si="112"/>
        <v>0</v>
      </c>
      <c r="N827" t="b">
        <f t="shared" si="113"/>
        <v>0</v>
      </c>
      <c r="O827" t="b">
        <f t="shared" si="114"/>
        <v>0</v>
      </c>
    </row>
    <row r="828" spans="1:15" x14ac:dyDescent="0.35">
      <c r="A828" t="str">
        <v>emu_Comeng_MK_Hitachi_Trains</v>
      </c>
      <c r="B828" t="b" cm="1">
        <f t="array" ref="B828">_xlfn.XLOOKUP(A828,CONTROL[VEHIDCODE],PROPERTIES[EXCLUDE])</f>
        <v>0</v>
      </c>
      <c r="C828" t="b">
        <f>_xlfn.XLOOKUP(A828,CONTROL[VEHIDCODE],CONTROL[IS_WAGON_OR_COACH])</f>
        <v>0</v>
      </c>
      <c r="D828">
        <f>FLOOR(_xlfn.XLOOKUP($A828,PROPERTIES[VEHIDCODE],PROPERTIES[INTRODUCTION_YEAR]),20)</f>
        <v>1960</v>
      </c>
      <c r="E828" t="e">
        <f>_xlfn.XLOOKUP($A828,PROPERTIES[VEHIDCODE],#REF!)</f>
        <v>#REF!</v>
      </c>
      <c r="F828" s="25" t="str" cm="1">
        <f t="array" ref="F828">_xlfn.CONCAT(_xlfn.XLOOKUP($A828,PROPERTIES[VEHIDCODE],PROPERTIES[REGION1]),"_",_xlfn.XLOOKUP($A828,PROPERTIES[VEHIDCODE],PROPERTIES[REGION2]),"_",_xlfn.XLOOKUP($A828,PROPERTIES[VEHIDCODE],PROPERTIES[REGION3]&amp;"_"&amp;_xlfn.XLOOKUP($A828,PROPERTIES[VEHIDCODE],PROPERTIES[REGION4])))</f>
        <v>OCEANIA_NO_REGION_NO_REGION_NO_REGION</v>
      </c>
      <c r="G828" t="b">
        <f t="shared" si="108"/>
        <v>0</v>
      </c>
      <c r="H828" t="b">
        <f t="shared" si="115"/>
        <v>0</v>
      </c>
      <c r="I828" t="b">
        <f t="shared" si="109"/>
        <v>0</v>
      </c>
      <c r="J828" t="b">
        <f t="shared" si="116"/>
        <v>0</v>
      </c>
      <c r="K828" t="b">
        <f t="shared" si="110"/>
        <v>0</v>
      </c>
      <c r="L828" t="b">
        <f t="shared" si="111"/>
        <v>0</v>
      </c>
      <c r="M828" t="b">
        <f t="shared" si="112"/>
        <v>0</v>
      </c>
      <c r="N828" t="b">
        <f t="shared" si="113"/>
        <v>0</v>
      </c>
      <c r="O828" t="b">
        <f t="shared" si="114"/>
        <v>1</v>
      </c>
    </row>
    <row r="829" spans="1:15" x14ac:dyDescent="0.35">
      <c r="A829" t="str">
        <v>emu_GRC_W_Harris_Trains</v>
      </c>
      <c r="B829" t="b" cm="1">
        <f t="array" ref="B829">_xlfn.XLOOKUP(A829,CONTROL[VEHIDCODE],PROPERTIES[EXCLUDE])</f>
        <v>0</v>
      </c>
      <c r="C829" t="b">
        <f>_xlfn.XLOOKUP(A829,CONTROL[VEHIDCODE],CONTROL[IS_WAGON_OR_COACH])</f>
        <v>0</v>
      </c>
      <c r="D829">
        <f>FLOOR(_xlfn.XLOOKUP($A829,PROPERTIES[VEHIDCODE],PROPERTIES[INTRODUCTION_YEAR]),20)</f>
        <v>1940</v>
      </c>
      <c r="E829" t="e">
        <f>_xlfn.XLOOKUP($A829,PROPERTIES[VEHIDCODE],#REF!)</f>
        <v>#REF!</v>
      </c>
      <c r="F829" s="25" t="str" cm="1">
        <f t="array" ref="F829">_xlfn.CONCAT(_xlfn.XLOOKUP($A829,PROPERTIES[VEHIDCODE],PROPERTIES[REGION1]),"_",_xlfn.XLOOKUP($A829,PROPERTIES[VEHIDCODE],PROPERTIES[REGION2]),"_",_xlfn.XLOOKUP($A829,PROPERTIES[VEHIDCODE],PROPERTIES[REGION3]&amp;"_"&amp;_xlfn.XLOOKUP($A829,PROPERTIES[VEHIDCODE],PROPERTIES[REGION4])))</f>
        <v>OCEANIA_NO_REGION_NO_REGION_NO_REGION</v>
      </c>
      <c r="G829" t="b">
        <f t="shared" si="108"/>
        <v>0</v>
      </c>
      <c r="H829" t="b">
        <f t="shared" si="115"/>
        <v>0</v>
      </c>
      <c r="I829" t="b">
        <f t="shared" si="109"/>
        <v>0</v>
      </c>
      <c r="J829" t="b">
        <f t="shared" si="116"/>
        <v>0</v>
      </c>
      <c r="K829" t="b">
        <f t="shared" si="110"/>
        <v>0</v>
      </c>
      <c r="L829" t="b">
        <f t="shared" si="111"/>
        <v>0</v>
      </c>
      <c r="M829" t="b">
        <f t="shared" si="112"/>
        <v>0</v>
      </c>
      <c r="N829" t="b">
        <f t="shared" si="113"/>
        <v>0</v>
      </c>
      <c r="O829" t="b">
        <f t="shared" si="114"/>
        <v>1</v>
      </c>
    </row>
    <row r="830" spans="1:15" x14ac:dyDescent="0.35">
      <c r="A830" t="str">
        <v>emu_Siemens_Nexas</v>
      </c>
      <c r="B830" t="b" cm="1">
        <f t="array" ref="B830">_xlfn.XLOOKUP(A830,CONTROL[VEHIDCODE],PROPERTIES[EXCLUDE])</f>
        <v>0</v>
      </c>
      <c r="C830" t="b">
        <f>_xlfn.XLOOKUP(A830,CONTROL[VEHIDCODE],CONTROL[IS_WAGON_OR_COACH])</f>
        <v>0</v>
      </c>
      <c r="D830">
        <f>FLOOR(_xlfn.XLOOKUP($A830,PROPERTIES[VEHIDCODE],PROPERTIES[INTRODUCTION_YEAR]),20)</f>
        <v>2020</v>
      </c>
      <c r="E830" t="e">
        <f>_xlfn.XLOOKUP($A830,PROPERTIES[VEHIDCODE],#REF!)</f>
        <v>#REF!</v>
      </c>
      <c r="F830" s="25" t="str" cm="1">
        <f t="array" ref="F830">_xlfn.CONCAT(_xlfn.XLOOKUP($A830,PROPERTIES[VEHIDCODE],PROPERTIES[REGION1]),"_",_xlfn.XLOOKUP($A830,PROPERTIES[VEHIDCODE],PROPERTIES[REGION2]),"_",_xlfn.XLOOKUP($A830,PROPERTIES[VEHIDCODE],PROPERTIES[REGION3]&amp;"_"&amp;_xlfn.XLOOKUP($A830,PROPERTIES[VEHIDCODE],PROPERTIES[REGION4])))</f>
        <v>OCEANIA_NO_REGION_NO_REGION_NO_REGION</v>
      </c>
      <c r="G830" t="b">
        <f t="shared" si="108"/>
        <v>0</v>
      </c>
      <c r="H830" t="b">
        <f t="shared" si="115"/>
        <v>0</v>
      </c>
      <c r="I830" t="b">
        <f t="shared" si="109"/>
        <v>0</v>
      </c>
      <c r="J830" t="b">
        <f t="shared" si="116"/>
        <v>0</v>
      </c>
      <c r="K830" t="b">
        <f t="shared" si="110"/>
        <v>0</v>
      </c>
      <c r="L830" t="b">
        <f t="shared" si="111"/>
        <v>0</v>
      </c>
      <c r="M830" t="b">
        <f t="shared" si="112"/>
        <v>0</v>
      </c>
      <c r="N830" t="b">
        <f t="shared" si="113"/>
        <v>0</v>
      </c>
      <c r="O830" t="b">
        <f t="shared" si="114"/>
        <v>1</v>
      </c>
    </row>
    <row r="831" spans="1:15" x14ac:dyDescent="0.35">
      <c r="A831" t="str">
        <v>emu_Victorian_Railways_Tait_Trains</v>
      </c>
      <c r="B831" t="b" cm="1">
        <f t="array" ref="B831">_xlfn.XLOOKUP(A831,CONTROL[VEHIDCODE],PROPERTIES[EXCLUDE])</f>
        <v>0</v>
      </c>
      <c r="C831" t="b">
        <f>_xlfn.XLOOKUP(A831,CONTROL[VEHIDCODE],CONTROL[IS_WAGON_OR_COACH])</f>
        <v>0</v>
      </c>
      <c r="D831">
        <f>FLOOR(_xlfn.XLOOKUP($A831,PROPERTIES[VEHIDCODE],PROPERTIES[INTRODUCTION_YEAR]),20)</f>
        <v>1900</v>
      </c>
      <c r="E831" t="e">
        <f>_xlfn.XLOOKUP($A831,PROPERTIES[VEHIDCODE],#REF!)</f>
        <v>#REF!</v>
      </c>
      <c r="F831" s="25" t="str" cm="1">
        <f t="array" ref="F831">_xlfn.CONCAT(_xlfn.XLOOKUP($A831,PROPERTIES[VEHIDCODE],PROPERTIES[REGION1]),"_",_xlfn.XLOOKUP($A831,PROPERTIES[VEHIDCODE],PROPERTIES[REGION2]),"_",_xlfn.XLOOKUP($A831,PROPERTIES[VEHIDCODE],PROPERTIES[REGION3]&amp;"_"&amp;_xlfn.XLOOKUP($A831,PROPERTIES[VEHIDCODE],PROPERTIES[REGION4])))</f>
        <v>OCEANIA_NO_REGION_NO_REGION_NO_REGION</v>
      </c>
      <c r="G831" t="b">
        <f t="shared" si="108"/>
        <v>0</v>
      </c>
      <c r="H831" t="b">
        <f t="shared" si="115"/>
        <v>0</v>
      </c>
      <c r="I831" t="b">
        <f t="shared" si="109"/>
        <v>0</v>
      </c>
      <c r="J831" t="b">
        <f t="shared" si="116"/>
        <v>0</v>
      </c>
      <c r="K831" t="b">
        <f t="shared" si="110"/>
        <v>0</v>
      </c>
      <c r="L831" t="b">
        <f t="shared" si="111"/>
        <v>0</v>
      </c>
      <c r="M831" t="b">
        <f t="shared" si="112"/>
        <v>0</v>
      </c>
      <c r="N831" t="b">
        <f t="shared" si="113"/>
        <v>0</v>
      </c>
      <c r="O831" t="b">
        <f t="shared" si="114"/>
        <v>1</v>
      </c>
    </row>
    <row r="832" spans="1:15" x14ac:dyDescent="0.35">
      <c r="A832" t="str">
        <v>mtro_ABB_Henschel_Berlin_BVG_F74</v>
      </c>
      <c r="B832" t="b" cm="1">
        <f t="array" ref="B832">_xlfn.XLOOKUP(A832,CONTROL[VEHIDCODE],PROPERTIES[EXCLUDE])</f>
        <v>0</v>
      </c>
      <c r="C832" t="b">
        <f>_xlfn.XLOOKUP(A832,CONTROL[VEHIDCODE],CONTROL[IS_WAGON_OR_COACH])</f>
        <v>0</v>
      </c>
      <c r="D832">
        <f>FLOOR(_xlfn.XLOOKUP($A832,PROPERTIES[VEHIDCODE],PROPERTIES[INTRODUCTION_YEAR]),20)</f>
        <v>1960</v>
      </c>
      <c r="E832" t="e">
        <f>_xlfn.XLOOKUP($A832,PROPERTIES[VEHIDCODE],#REF!)</f>
        <v>#REF!</v>
      </c>
      <c r="F832" s="25" t="str" cm="1">
        <f t="array" ref="F832">_xlfn.CONCAT(_xlfn.XLOOKUP($A832,PROPERTIES[VEHIDCODE],PROPERTIES[REGION1]),"_",_xlfn.XLOOKUP($A832,PROPERTIES[VEHIDCODE],PROPERTIES[REGION2]),"_",_xlfn.XLOOKUP($A832,PROPERTIES[VEHIDCODE],PROPERTIES[REGION3]&amp;"_"&amp;_xlfn.XLOOKUP($A832,PROPERTIES[VEHIDCODE],PROPERTIES[REGION4])))</f>
        <v>WESTERN_EUROPE_NO_REGION_NO_REGION_NO_REGION</v>
      </c>
      <c r="G832" t="b">
        <f t="shared" si="108"/>
        <v>0</v>
      </c>
      <c r="H832" t="b">
        <f t="shared" si="115"/>
        <v>0</v>
      </c>
      <c r="I832" t="b">
        <f t="shared" si="109"/>
        <v>0</v>
      </c>
      <c r="J832" t="b">
        <f t="shared" si="116"/>
        <v>0</v>
      </c>
      <c r="K832" t="b">
        <f t="shared" si="110"/>
        <v>1</v>
      </c>
      <c r="L832" t="b">
        <f t="shared" si="111"/>
        <v>0</v>
      </c>
      <c r="M832" t="b">
        <f t="shared" si="112"/>
        <v>0</v>
      </c>
      <c r="N832" t="b">
        <f t="shared" si="113"/>
        <v>0</v>
      </c>
      <c r="O832" t="b">
        <f t="shared" si="114"/>
        <v>0</v>
      </c>
    </row>
    <row r="833" spans="1:15" x14ac:dyDescent="0.35">
      <c r="A833" t="str">
        <v>mtro_Adtranz_Berlin_BVG_H</v>
      </c>
      <c r="B833" t="b" cm="1">
        <f t="array" ref="B833">_xlfn.XLOOKUP(A833,CONTROL[VEHIDCODE],PROPERTIES[EXCLUDE])</f>
        <v>0</v>
      </c>
      <c r="C833" t="b">
        <f>_xlfn.XLOOKUP(A833,CONTROL[VEHIDCODE],CONTROL[IS_WAGON_OR_COACH])</f>
        <v>0</v>
      </c>
      <c r="D833">
        <f>FLOOR(_xlfn.XLOOKUP($A833,PROPERTIES[VEHIDCODE],PROPERTIES[INTRODUCTION_YEAR]),20)</f>
        <v>1980</v>
      </c>
      <c r="E833" t="e">
        <f>_xlfn.XLOOKUP($A833,PROPERTIES[VEHIDCODE],#REF!)</f>
        <v>#REF!</v>
      </c>
      <c r="F833" s="25" t="str" cm="1">
        <f t="array" ref="F833">_xlfn.CONCAT(_xlfn.XLOOKUP($A833,PROPERTIES[VEHIDCODE],PROPERTIES[REGION1]),"_",_xlfn.XLOOKUP($A833,PROPERTIES[VEHIDCODE],PROPERTIES[REGION2]),"_",_xlfn.XLOOKUP($A833,PROPERTIES[VEHIDCODE],PROPERTIES[REGION3]&amp;"_"&amp;_xlfn.XLOOKUP($A833,PROPERTIES[VEHIDCODE],PROPERTIES[REGION4])))</f>
        <v>WESTERN_EUROPE_NO_REGION_NO_REGION_NO_REGION</v>
      </c>
      <c r="G833" t="b">
        <f t="shared" si="108"/>
        <v>0</v>
      </c>
      <c r="H833" t="b">
        <f t="shared" si="115"/>
        <v>0</v>
      </c>
      <c r="I833" t="b">
        <f t="shared" si="109"/>
        <v>0</v>
      </c>
      <c r="J833" t="b">
        <f t="shared" si="116"/>
        <v>0</v>
      </c>
      <c r="K833" t="b">
        <f t="shared" si="110"/>
        <v>1</v>
      </c>
      <c r="L833" t="b">
        <f t="shared" si="111"/>
        <v>0</v>
      </c>
      <c r="M833" t="b">
        <f t="shared" si="112"/>
        <v>0</v>
      </c>
      <c r="N833" t="b">
        <f t="shared" si="113"/>
        <v>0</v>
      </c>
      <c r="O833" t="b">
        <f t="shared" si="114"/>
        <v>0</v>
      </c>
    </row>
    <row r="834" spans="1:15" x14ac:dyDescent="0.35">
      <c r="A834" t="str">
        <v>steam_LB_SCR_BRW_0_6_0T_A1</v>
      </c>
      <c r="B834" t="b" cm="1">
        <f t="array" ref="B834">_xlfn.XLOOKUP(A834,CONTROL[VEHIDCODE],PROPERTIES[EXCLUDE])</f>
        <v>0</v>
      </c>
      <c r="C834" t="b">
        <f>_xlfn.XLOOKUP(A834,CONTROL[VEHIDCODE],CONTROL[IS_WAGON_OR_COACH])</f>
        <v>0</v>
      </c>
      <c r="D834">
        <f>FLOOR(_xlfn.XLOOKUP($A834,PROPERTIES[VEHIDCODE],PROPERTIES[INTRODUCTION_YEAR]),20)</f>
        <v>1860</v>
      </c>
      <c r="E834" t="e">
        <f>_xlfn.XLOOKUP($A834,PROPERTIES[VEHIDCODE],#REF!)</f>
        <v>#REF!</v>
      </c>
      <c r="F834" s="25" t="str" cm="1">
        <f t="array" ref="F834">_xlfn.CONCAT(_xlfn.XLOOKUP($A834,PROPERTIES[VEHIDCODE],PROPERTIES[REGION1]),"_",_xlfn.XLOOKUP($A834,PROPERTIES[VEHIDCODE],PROPERTIES[REGION2]),"_",_xlfn.XLOOKUP($A834,PROPERTIES[VEHIDCODE],PROPERTIES[REGION3]&amp;"_"&amp;_xlfn.XLOOKUP($A834,PROPERTIES[VEHIDCODE],PROPERTIES[REGION4])))</f>
        <v>NORTHERN_EUROPE_OCEANIA_NO_REGION_NO_REGION</v>
      </c>
      <c r="G834" t="b">
        <f t="shared" ref="G834:G897" si="117">OR(ISNUMBER(SEARCH("ALL_REGION",$F834)),
ISNUMBER(SEARCH("AFRICA",$F834)),
ISNUMBER(SEARCH("OLD_WORLD",$F834)),
ISNUMBER(SEARCH("NON_EUROPEAN",$F834)))</f>
        <v>0</v>
      </c>
      <c r="H834" t="b">
        <f t="shared" si="115"/>
        <v>0</v>
      </c>
      <c r="I834" t="b">
        <f t="shared" ref="I834:I897" si="118">OR(ISNUMBER(SEARCH("ALL_REGION",$F834)),
ISNUMBER(SEARCH("ALL_EUROPE",$F834)),
ISNUMBER(SEARCH(I$1,$F834)),
ISNUMBER(SEARCH("OLD_WORLD",$F834)))</f>
        <v>0</v>
      </c>
      <c r="J834" t="b">
        <f t="shared" si="116"/>
        <v>0</v>
      </c>
      <c r="K834" t="b">
        <f t="shared" ref="K834:K897" si="119">OR(ISNUMBER(SEARCH("ALL_REGION",$F834)),
ISNUMBER(SEARCH("ALL_EUROPE",$F834)),
ISNUMBER(SEARCH(K$1,$F834)),
ISNUMBER(SEARCH("OLD_WORLD",$F834)),
ISNUMBER(SEARCH("NORTH_WEST_EUROPE",$F834)))</f>
        <v>0</v>
      </c>
      <c r="L834" t="b">
        <f t="shared" ref="L834:L897" si="120">OR(ISNUMBER(SEARCH("ALL_REGION",$F834)),
ISNUMBER(SEARCH("ALL_EUROPE",$F834)),
ISNUMBER(SEARCH(L$1,$F834)),
ISNUMBER(SEARCH("OLD_WORLD",$F834)),
ISNUMBER(SEARCH("NORTH_WEST_EUROPE",$F834)),
ISNUMBER(SEARCH("POST_SOVIET_BALTIC",$F834)))</f>
        <v>1</v>
      </c>
      <c r="M834" t="b">
        <f t="shared" ref="M834:M897" si="121">OR(ISNUMBER(SEARCH("ALL_REGION",$F834)),
ISNUMBER(SEARCH("ALL_AMERICA",$F834)),
ISNUMBER(SEARCH(M$1,$F834)),
ISNUMBER(SEARCH("NON_EUROPEAN",$F834)))</f>
        <v>0</v>
      </c>
      <c r="N834" t="b">
        <f t="shared" ref="N834:N897" si="122">OR(ISNUMBER(SEARCH("ALL_REGION",$F834)),
ISNUMBER(SEARCH("ALL_AMERICA",$F834)),
ISNUMBER(SEARCH(N$1,$F834)),
ISNUMBER(SEARCH("NON_EUROPEAN",$F834)),
ISNUMBER(SEARCH("COMECON_EXTENDED",$F834)))</f>
        <v>0</v>
      </c>
      <c r="O834" t="b">
        <f t="shared" ref="O834:O897" si="123">OR(ISNUMBER(SEARCH("ALL_REGION",$F834)),
ISNUMBER(SEARCH(O$1,$F834)),
ISNUMBER(SEARCH("APAC",$F834)))</f>
        <v>1</v>
      </c>
    </row>
    <row r="835" spans="1:15" x14ac:dyDescent="0.35">
      <c r="A835" t="str">
        <v>steam_BP_4_6_4T_4444_4478_C30</v>
      </c>
      <c r="B835" t="b" cm="1">
        <f t="array" ref="B835">_xlfn.XLOOKUP(A835,CONTROL[VEHIDCODE],PROPERTIES[EXCLUDE])</f>
        <v>0</v>
      </c>
      <c r="C835" t="b">
        <f>_xlfn.XLOOKUP(A835,CONTROL[VEHIDCODE],CONTROL[IS_WAGON_OR_COACH])</f>
        <v>0</v>
      </c>
      <c r="D835">
        <f>FLOOR(_xlfn.XLOOKUP($A835,PROPERTIES[VEHIDCODE],PROPERTIES[INTRODUCTION_YEAR]),20)</f>
        <v>1900</v>
      </c>
      <c r="E835" t="e">
        <f>_xlfn.XLOOKUP($A835,PROPERTIES[VEHIDCODE],#REF!)</f>
        <v>#REF!</v>
      </c>
      <c r="F835" s="25" t="str" cm="1">
        <f t="array" ref="F835">_xlfn.CONCAT(_xlfn.XLOOKUP($A835,PROPERTIES[VEHIDCODE],PROPERTIES[REGION1]),"_",_xlfn.XLOOKUP($A835,PROPERTIES[VEHIDCODE],PROPERTIES[REGION2]),"_",_xlfn.XLOOKUP($A835,PROPERTIES[VEHIDCODE],PROPERTIES[REGION3]&amp;"_"&amp;_xlfn.XLOOKUP($A835,PROPERTIES[VEHIDCODE],PROPERTIES[REGION4])))</f>
        <v>OCEANIA_NO_REGION_NO_REGION_NO_REGION</v>
      </c>
      <c r="G835" t="b">
        <f t="shared" si="117"/>
        <v>0</v>
      </c>
      <c r="H835" t="b">
        <f t="shared" ref="H835:H898" si="124">OR(ISNUMBER(SEARCH("ALL_REGION",$F835)),
ISNUMBER(SEARCH("ASIA",$F835)),
ISNUMBER(SEARCH("OLD_WORLD",$F835)),
ISNUMBER(SEARCH("NON_EUROPEAN",$F835)),
ISNUMBER(SEARCH("APAC",$F835)),
ISNUMBER(SEARCH("COMECON",$F835)),
ISNUMBER(SEARCH("COMECON_EXTENDED",$F835)),
ISNUMBER(SEARCH("POST_SOVIET_BALTIC",$F835)))</f>
        <v>0</v>
      </c>
      <c r="I835" t="b">
        <f t="shared" si="118"/>
        <v>0</v>
      </c>
      <c r="J835" t="b">
        <f t="shared" ref="J835:J898" si="125">OR(ISNUMBER(SEARCH("ALL_REGION",$F835)),
ISNUMBER(SEARCH("ALL_EUROPE",$F835)),
ISNUMBER(SEARCH(J$1,$F835)),
ISNUMBER(SEARCH("OLD_WORLD",$F835)),
ISNUMBER(SEARCH("COMECON",$F835)),
ISNUMBER(SEARCH("POST_SOVIET_BALTIC",$F835)))</f>
        <v>0</v>
      </c>
      <c r="K835" t="b">
        <f t="shared" si="119"/>
        <v>0</v>
      </c>
      <c r="L835" t="b">
        <f t="shared" si="120"/>
        <v>0</v>
      </c>
      <c r="M835" t="b">
        <f t="shared" si="121"/>
        <v>0</v>
      </c>
      <c r="N835" t="b">
        <f t="shared" si="122"/>
        <v>0</v>
      </c>
      <c r="O835" t="b">
        <f t="shared" si="123"/>
        <v>1</v>
      </c>
    </row>
    <row r="836" spans="1:15" x14ac:dyDescent="0.35">
      <c r="A836" t="str">
        <v>steam_BP_Baldwin_Clyde_4_6_0_C32</v>
      </c>
      <c r="B836" t="b" cm="1">
        <f t="array" ref="B836">_xlfn.XLOOKUP(A836,CONTROL[VEHIDCODE],PROPERTIES[EXCLUDE])</f>
        <v>0</v>
      </c>
      <c r="C836" t="b">
        <f>_xlfn.XLOOKUP(A836,CONTROL[VEHIDCODE],CONTROL[IS_WAGON_OR_COACH])</f>
        <v>0</v>
      </c>
      <c r="D836">
        <f>FLOOR(_xlfn.XLOOKUP($A836,PROPERTIES[VEHIDCODE],PROPERTIES[INTRODUCTION_YEAR]),20)</f>
        <v>1880</v>
      </c>
      <c r="E836" t="e">
        <f>_xlfn.XLOOKUP($A836,PROPERTIES[VEHIDCODE],#REF!)</f>
        <v>#REF!</v>
      </c>
      <c r="F836" s="25" t="str" cm="1">
        <f t="array" ref="F836">_xlfn.CONCAT(_xlfn.XLOOKUP($A836,PROPERTIES[VEHIDCODE],PROPERTIES[REGION1]),"_",_xlfn.XLOOKUP($A836,PROPERTIES[VEHIDCODE],PROPERTIES[REGION2]),"_",_xlfn.XLOOKUP($A836,PROPERTIES[VEHIDCODE],PROPERTIES[REGION3]&amp;"_"&amp;_xlfn.XLOOKUP($A836,PROPERTIES[VEHIDCODE],PROPERTIES[REGION4])))</f>
        <v>OCEANIA_NO_REGION_NO_REGION_NO_REGION</v>
      </c>
      <c r="G836" t="b">
        <f t="shared" si="117"/>
        <v>0</v>
      </c>
      <c r="H836" t="b">
        <f t="shared" si="124"/>
        <v>0</v>
      </c>
      <c r="I836" t="b">
        <f t="shared" si="118"/>
        <v>0</v>
      </c>
      <c r="J836" t="b">
        <f t="shared" si="125"/>
        <v>0</v>
      </c>
      <c r="K836" t="b">
        <f t="shared" si="119"/>
        <v>0</v>
      </c>
      <c r="L836" t="b">
        <f t="shared" si="120"/>
        <v>0</v>
      </c>
      <c r="M836" t="b">
        <f t="shared" si="121"/>
        <v>0</v>
      </c>
      <c r="N836" t="b">
        <f t="shared" si="122"/>
        <v>0</v>
      </c>
      <c r="O836" t="b">
        <f t="shared" si="123"/>
        <v>1</v>
      </c>
    </row>
    <row r="837" spans="1:15" x14ac:dyDescent="0.35">
      <c r="A837" t="str">
        <v>steam_BP_NBLC_2_8_0_D50</v>
      </c>
      <c r="B837" t="b" cm="1">
        <f t="array" ref="B837">_xlfn.XLOOKUP(A837,CONTROL[VEHIDCODE],PROPERTIES[EXCLUDE])</f>
        <v>0</v>
      </c>
      <c r="C837" t="b">
        <f>_xlfn.XLOOKUP(A837,CONTROL[VEHIDCODE],CONTROL[IS_WAGON_OR_COACH])</f>
        <v>0</v>
      </c>
      <c r="D837">
        <f>FLOOR(_xlfn.XLOOKUP($A837,PROPERTIES[VEHIDCODE],PROPERTIES[INTRODUCTION_YEAR]),20)</f>
        <v>1880</v>
      </c>
      <c r="E837" t="e">
        <f>_xlfn.XLOOKUP($A837,PROPERTIES[VEHIDCODE],#REF!)</f>
        <v>#REF!</v>
      </c>
      <c r="F837" s="25" t="str" cm="1">
        <f t="array" ref="F837">_xlfn.CONCAT(_xlfn.XLOOKUP($A837,PROPERTIES[VEHIDCODE],PROPERTIES[REGION1]),"_",_xlfn.XLOOKUP($A837,PROPERTIES[VEHIDCODE],PROPERTIES[REGION2]),"_",_xlfn.XLOOKUP($A837,PROPERTIES[VEHIDCODE],PROPERTIES[REGION3]&amp;"_"&amp;_xlfn.XLOOKUP($A837,PROPERTIES[VEHIDCODE],PROPERTIES[REGION4])))</f>
        <v>OCEANIA_NO_REGION_NO_REGION_NO_REGION</v>
      </c>
      <c r="G837" t="b">
        <f t="shared" si="117"/>
        <v>0</v>
      </c>
      <c r="H837" t="b">
        <f t="shared" si="124"/>
        <v>0</v>
      </c>
      <c r="I837" t="b">
        <f t="shared" si="118"/>
        <v>0</v>
      </c>
      <c r="J837" t="b">
        <f t="shared" si="125"/>
        <v>0</v>
      </c>
      <c r="K837" t="b">
        <f t="shared" si="119"/>
        <v>0</v>
      </c>
      <c r="L837" t="b">
        <f t="shared" si="120"/>
        <v>0</v>
      </c>
      <c r="M837" t="b">
        <f t="shared" si="121"/>
        <v>0</v>
      </c>
      <c r="N837" t="b">
        <f t="shared" si="122"/>
        <v>0</v>
      </c>
      <c r="O837" t="b">
        <f t="shared" si="123"/>
        <v>1</v>
      </c>
    </row>
    <row r="838" spans="1:15" x14ac:dyDescent="0.35">
      <c r="A838" t="str">
        <v>steam_BP_Dubs_4_4_0_Z12</v>
      </c>
      <c r="B838" t="b" cm="1">
        <f t="array" ref="B838">_xlfn.XLOOKUP(A838,CONTROL[VEHIDCODE],PROPERTIES[EXCLUDE])</f>
        <v>0</v>
      </c>
      <c r="C838" t="b">
        <f>_xlfn.XLOOKUP(A838,CONTROL[VEHIDCODE],CONTROL[IS_WAGON_OR_COACH])</f>
        <v>0</v>
      </c>
      <c r="D838">
        <f>FLOOR(_xlfn.XLOOKUP($A838,PROPERTIES[VEHIDCODE],PROPERTIES[INTRODUCTION_YEAR]),20)</f>
        <v>1860</v>
      </c>
      <c r="E838" t="e">
        <f>_xlfn.XLOOKUP($A838,PROPERTIES[VEHIDCODE],#REF!)</f>
        <v>#REF!</v>
      </c>
      <c r="F838" s="25" t="str" cm="1">
        <f t="array" ref="F838">_xlfn.CONCAT(_xlfn.XLOOKUP($A838,PROPERTIES[VEHIDCODE],PROPERTIES[REGION1]),"_",_xlfn.XLOOKUP($A838,PROPERTIES[VEHIDCODE],PROPERTIES[REGION2]),"_",_xlfn.XLOOKUP($A838,PROPERTIES[VEHIDCODE],PROPERTIES[REGION3]&amp;"_"&amp;_xlfn.XLOOKUP($A838,PROPERTIES[VEHIDCODE],PROPERTIES[REGION4])))</f>
        <v>OCEANIA_NO_REGION_NO_REGION_NO_REGION</v>
      </c>
      <c r="G838" t="b">
        <f t="shared" si="117"/>
        <v>0</v>
      </c>
      <c r="H838" t="b">
        <f t="shared" si="124"/>
        <v>0</v>
      </c>
      <c r="I838" t="b">
        <f t="shared" si="118"/>
        <v>0</v>
      </c>
      <c r="J838" t="b">
        <f t="shared" si="125"/>
        <v>0</v>
      </c>
      <c r="K838" t="b">
        <f t="shared" si="119"/>
        <v>0</v>
      </c>
      <c r="L838" t="b">
        <f t="shared" si="120"/>
        <v>0</v>
      </c>
      <c r="M838" t="b">
        <f t="shared" si="121"/>
        <v>0</v>
      </c>
      <c r="N838" t="b">
        <f t="shared" si="122"/>
        <v>0</v>
      </c>
      <c r="O838" t="b">
        <f t="shared" si="123"/>
        <v>1</v>
      </c>
    </row>
    <row r="839" spans="1:15" x14ac:dyDescent="0.35">
      <c r="A839" t="str">
        <v>steam_BP_0_6_0_Z19</v>
      </c>
      <c r="B839" t="b" cm="1">
        <f t="array" ref="B839">_xlfn.XLOOKUP(A839,CONTROL[VEHIDCODE],PROPERTIES[EXCLUDE])</f>
        <v>0</v>
      </c>
      <c r="C839" t="b">
        <f>_xlfn.XLOOKUP(A839,CONTROL[VEHIDCODE],CONTROL[IS_WAGON_OR_COACH])</f>
        <v>0</v>
      </c>
      <c r="D839">
        <f>FLOOR(_xlfn.XLOOKUP($A839,PROPERTIES[VEHIDCODE],PROPERTIES[INTRODUCTION_YEAR]),20)</f>
        <v>1860</v>
      </c>
      <c r="E839" t="e">
        <f>_xlfn.XLOOKUP($A839,PROPERTIES[VEHIDCODE],#REF!)</f>
        <v>#REF!</v>
      </c>
      <c r="F839" s="25" t="str" cm="1">
        <f t="array" ref="F839">_xlfn.CONCAT(_xlfn.XLOOKUP($A839,PROPERTIES[VEHIDCODE],PROPERTIES[REGION1]),"_",_xlfn.XLOOKUP($A839,PROPERTIES[VEHIDCODE],PROPERTIES[REGION2]),"_",_xlfn.XLOOKUP($A839,PROPERTIES[VEHIDCODE],PROPERTIES[REGION3]&amp;"_"&amp;_xlfn.XLOOKUP($A839,PROPERTIES[VEHIDCODE],PROPERTIES[REGION4])))</f>
        <v>OCEANIA_NO_REGION_NO_REGION_NO_REGION</v>
      </c>
      <c r="G839" t="b">
        <f t="shared" si="117"/>
        <v>0</v>
      </c>
      <c r="H839" t="b">
        <f t="shared" si="124"/>
        <v>0</v>
      </c>
      <c r="I839" t="b">
        <f t="shared" si="118"/>
        <v>0</v>
      </c>
      <c r="J839" t="b">
        <f t="shared" si="125"/>
        <v>0</v>
      </c>
      <c r="K839" t="b">
        <f t="shared" si="119"/>
        <v>0</v>
      </c>
      <c r="L839" t="b">
        <f t="shared" si="120"/>
        <v>0</v>
      </c>
      <c r="M839" t="b">
        <f t="shared" si="121"/>
        <v>0</v>
      </c>
      <c r="N839" t="b">
        <f t="shared" si="122"/>
        <v>0</v>
      </c>
      <c r="O839" t="b">
        <f t="shared" si="123"/>
        <v>1</v>
      </c>
    </row>
    <row r="840" spans="1:15" x14ac:dyDescent="0.35">
      <c r="A840" t="str">
        <v>steam_Dubs_2_6_2ST_Z26</v>
      </c>
      <c r="B840" t="b" cm="1">
        <f t="array" ref="B840">_xlfn.XLOOKUP(A840,CONTROL[VEHIDCODE],PROPERTIES[EXCLUDE])</f>
        <v>0</v>
      </c>
      <c r="C840" t="b">
        <f>_xlfn.XLOOKUP(A840,CONTROL[VEHIDCODE],CONTROL[IS_WAGON_OR_COACH])</f>
        <v>0</v>
      </c>
      <c r="D840">
        <f>FLOOR(_xlfn.XLOOKUP($A840,PROPERTIES[VEHIDCODE],PROPERTIES[INTRODUCTION_YEAR]),20)</f>
        <v>1880</v>
      </c>
      <c r="E840" t="e">
        <f>_xlfn.XLOOKUP($A840,PROPERTIES[VEHIDCODE],#REF!)</f>
        <v>#REF!</v>
      </c>
      <c r="F840" s="25" t="str" cm="1">
        <f t="array" ref="F840">_xlfn.CONCAT(_xlfn.XLOOKUP($A840,PROPERTIES[VEHIDCODE],PROPERTIES[REGION1]),"_",_xlfn.XLOOKUP($A840,PROPERTIES[VEHIDCODE],PROPERTIES[REGION2]),"_",_xlfn.XLOOKUP($A840,PROPERTIES[VEHIDCODE],PROPERTIES[REGION3]&amp;"_"&amp;_xlfn.XLOOKUP($A840,PROPERTIES[VEHIDCODE],PROPERTIES[REGION4])))</f>
        <v>OCEANIA_NO_REGION_NO_REGION_NO_REGION</v>
      </c>
      <c r="G840" t="b">
        <f t="shared" si="117"/>
        <v>0</v>
      </c>
      <c r="H840" t="b">
        <f t="shared" si="124"/>
        <v>0</v>
      </c>
      <c r="I840" t="b">
        <f t="shared" si="118"/>
        <v>0</v>
      </c>
      <c r="J840" t="b">
        <f t="shared" si="125"/>
        <v>0</v>
      </c>
      <c r="K840" t="b">
        <f t="shared" si="119"/>
        <v>0</v>
      </c>
      <c r="L840" t="b">
        <f t="shared" si="120"/>
        <v>0</v>
      </c>
      <c r="M840" t="b">
        <f t="shared" si="121"/>
        <v>0</v>
      </c>
      <c r="N840" t="b">
        <f t="shared" si="122"/>
        <v>0</v>
      </c>
      <c r="O840" t="b">
        <f t="shared" si="123"/>
        <v>1</v>
      </c>
    </row>
    <row r="841" spans="1:15" x14ac:dyDescent="0.35">
      <c r="A841" t="str">
        <v>steam_GCR_Kitson_NBLC_ROD_2_8_0_8K</v>
      </c>
      <c r="B841" t="b" cm="1">
        <f t="array" ref="B841">_xlfn.XLOOKUP(A841,CONTROL[VEHIDCODE],PROPERTIES[EXCLUDE])</f>
        <v>0</v>
      </c>
      <c r="C841" t="b">
        <f>_xlfn.XLOOKUP(A841,CONTROL[VEHIDCODE],CONTROL[IS_WAGON_OR_COACH])</f>
        <v>0</v>
      </c>
      <c r="D841">
        <f>FLOOR(_xlfn.XLOOKUP($A841,PROPERTIES[VEHIDCODE],PROPERTIES[INTRODUCTION_YEAR]),20)</f>
        <v>1920</v>
      </c>
      <c r="E841" t="e">
        <f>_xlfn.XLOOKUP($A841,PROPERTIES[VEHIDCODE],#REF!)</f>
        <v>#REF!</v>
      </c>
      <c r="F841" s="25" t="str" cm="1">
        <f t="array" ref="F841">_xlfn.CONCAT(_xlfn.XLOOKUP($A841,PROPERTIES[VEHIDCODE],PROPERTIES[REGION1]),"_",_xlfn.XLOOKUP($A841,PROPERTIES[VEHIDCODE],PROPERTIES[REGION2]),"_",_xlfn.XLOOKUP($A841,PROPERTIES[VEHIDCODE],PROPERTIES[REGION3]&amp;"_"&amp;_xlfn.XLOOKUP($A841,PROPERTIES[VEHIDCODE],PROPERTIES[REGION4])))</f>
        <v>NORTHERN_EUROPE_OCEANIA_NO_REGION_NO_REGION</v>
      </c>
      <c r="G841" t="b">
        <f t="shared" si="117"/>
        <v>0</v>
      </c>
      <c r="H841" t="b">
        <f t="shared" si="124"/>
        <v>0</v>
      </c>
      <c r="I841" t="b">
        <f t="shared" si="118"/>
        <v>0</v>
      </c>
      <c r="J841" t="b">
        <f t="shared" si="125"/>
        <v>0</v>
      </c>
      <c r="K841" t="b">
        <f t="shared" si="119"/>
        <v>0</v>
      </c>
      <c r="L841" t="b">
        <f t="shared" si="120"/>
        <v>1</v>
      </c>
      <c r="M841" t="b">
        <f t="shared" si="121"/>
        <v>0</v>
      </c>
      <c r="N841" t="b">
        <f t="shared" si="122"/>
        <v>0</v>
      </c>
      <c r="O841" t="b">
        <f t="shared" si="123"/>
        <v>1</v>
      </c>
    </row>
    <row r="842" spans="1:15" x14ac:dyDescent="0.35">
      <c r="A842" t="str">
        <v>steam_ALCO_4_6_2_SAR_600</v>
      </c>
      <c r="B842" t="b" cm="1">
        <f t="array" ref="B842">_xlfn.XLOOKUP(A842,CONTROL[VEHIDCODE],PROPERTIES[EXCLUDE])</f>
        <v>0</v>
      </c>
      <c r="C842" t="b">
        <f>_xlfn.XLOOKUP(A842,CONTROL[VEHIDCODE],CONTROL[IS_WAGON_OR_COACH])</f>
        <v>0</v>
      </c>
      <c r="D842">
        <f>FLOOR(_xlfn.XLOOKUP($A842,PROPERTIES[VEHIDCODE],PROPERTIES[INTRODUCTION_YEAR]),20)</f>
        <v>1920</v>
      </c>
      <c r="E842" t="e">
        <f>_xlfn.XLOOKUP($A842,PROPERTIES[VEHIDCODE],#REF!)</f>
        <v>#REF!</v>
      </c>
      <c r="F842" s="25" t="str" cm="1">
        <f t="array" ref="F842">_xlfn.CONCAT(_xlfn.XLOOKUP($A842,PROPERTIES[VEHIDCODE],PROPERTIES[REGION1]),"_",_xlfn.XLOOKUP($A842,PROPERTIES[VEHIDCODE],PROPERTIES[REGION2]),"_",_xlfn.XLOOKUP($A842,PROPERTIES[VEHIDCODE],PROPERTIES[REGION3]&amp;"_"&amp;_xlfn.XLOOKUP($A842,PROPERTIES[VEHIDCODE],PROPERTIES[REGION4])))</f>
        <v>OCEANIA_NO_REGION_NO_REGION_NO_REGION</v>
      </c>
      <c r="G842" t="b">
        <f t="shared" si="117"/>
        <v>0</v>
      </c>
      <c r="H842" t="b">
        <f t="shared" si="124"/>
        <v>0</v>
      </c>
      <c r="I842" t="b">
        <f t="shared" si="118"/>
        <v>0</v>
      </c>
      <c r="J842" t="b">
        <f t="shared" si="125"/>
        <v>0</v>
      </c>
      <c r="K842" t="b">
        <f t="shared" si="119"/>
        <v>0</v>
      </c>
      <c r="L842" t="b">
        <f t="shared" si="120"/>
        <v>0</v>
      </c>
      <c r="M842" t="b">
        <f t="shared" si="121"/>
        <v>0</v>
      </c>
      <c r="N842" t="b">
        <f t="shared" si="122"/>
        <v>0</v>
      </c>
      <c r="O842" t="b">
        <f t="shared" si="123"/>
        <v>1</v>
      </c>
    </row>
    <row r="843" spans="1:15" x14ac:dyDescent="0.35">
      <c r="A843" t="str">
        <v>steam_BP_2_8_2T_South_Maitland_10</v>
      </c>
      <c r="B843" t="b" cm="1">
        <f t="array" ref="B843">_xlfn.XLOOKUP(A843,CONTROL[VEHIDCODE],PROPERTIES[EXCLUDE])</f>
        <v>0</v>
      </c>
      <c r="C843" t="b">
        <f>_xlfn.XLOOKUP(A843,CONTROL[VEHIDCODE],CONTROL[IS_WAGON_OR_COACH])</f>
        <v>0</v>
      </c>
      <c r="D843">
        <f>FLOOR(_xlfn.XLOOKUP($A843,PROPERTIES[VEHIDCODE],PROPERTIES[INTRODUCTION_YEAR]),20)</f>
        <v>1900</v>
      </c>
      <c r="E843" t="e">
        <f>_xlfn.XLOOKUP($A843,PROPERTIES[VEHIDCODE],#REF!)</f>
        <v>#REF!</v>
      </c>
      <c r="F843" s="25" t="str" cm="1">
        <f t="array" ref="F843">_xlfn.CONCAT(_xlfn.XLOOKUP($A843,PROPERTIES[VEHIDCODE],PROPERTIES[REGION1]),"_",_xlfn.XLOOKUP($A843,PROPERTIES[VEHIDCODE],PROPERTIES[REGION2]),"_",_xlfn.XLOOKUP($A843,PROPERTIES[VEHIDCODE],PROPERTIES[REGION3]&amp;"_"&amp;_xlfn.XLOOKUP($A843,PROPERTIES[VEHIDCODE],PROPERTIES[REGION4])))</f>
        <v>OCEANIA_NO_REGION_NO_REGION_NO_REGION</v>
      </c>
      <c r="G843" t="b">
        <f t="shared" si="117"/>
        <v>0</v>
      </c>
      <c r="H843" t="b">
        <f t="shared" si="124"/>
        <v>0</v>
      </c>
      <c r="I843" t="b">
        <f t="shared" si="118"/>
        <v>0</v>
      </c>
      <c r="J843" t="b">
        <f t="shared" si="125"/>
        <v>0</v>
      </c>
      <c r="K843" t="b">
        <f t="shared" si="119"/>
        <v>0</v>
      </c>
      <c r="L843" t="b">
        <f t="shared" si="120"/>
        <v>0</v>
      </c>
      <c r="M843" t="b">
        <f t="shared" si="121"/>
        <v>0</v>
      </c>
      <c r="N843" t="b">
        <f t="shared" si="122"/>
        <v>0</v>
      </c>
      <c r="O843" t="b">
        <f t="shared" si="123"/>
        <v>1</v>
      </c>
    </row>
    <row r="844" spans="1:15" x14ac:dyDescent="0.35">
      <c r="A844" t="str">
        <v>steam_Victorian_Railways_H</v>
      </c>
      <c r="B844" t="b" cm="1">
        <f t="array" ref="B844">_xlfn.XLOOKUP(A844,CONTROL[VEHIDCODE],PROPERTIES[EXCLUDE])</f>
        <v>0</v>
      </c>
      <c r="C844" t="b">
        <f>_xlfn.XLOOKUP(A844,CONTROL[VEHIDCODE],CONTROL[IS_WAGON_OR_COACH])</f>
        <v>0</v>
      </c>
      <c r="D844">
        <f>FLOOR(_xlfn.XLOOKUP($A844,PROPERTIES[VEHIDCODE],PROPERTIES[INTRODUCTION_YEAR]),20)</f>
        <v>1940</v>
      </c>
      <c r="E844" t="e">
        <f>_xlfn.XLOOKUP($A844,PROPERTIES[VEHIDCODE],#REF!)</f>
        <v>#REF!</v>
      </c>
      <c r="F844" s="25" t="str" cm="1">
        <f t="array" ref="F844">_xlfn.CONCAT(_xlfn.XLOOKUP($A844,PROPERTIES[VEHIDCODE],PROPERTIES[REGION1]),"_",_xlfn.XLOOKUP($A844,PROPERTIES[VEHIDCODE],PROPERTIES[REGION2]),"_",_xlfn.XLOOKUP($A844,PROPERTIES[VEHIDCODE],PROPERTIES[REGION3]&amp;"_"&amp;_xlfn.XLOOKUP($A844,PROPERTIES[VEHIDCODE],PROPERTIES[REGION4])))</f>
        <v>OCEANIA_NO_REGION_NO_REGION_NO_REGION</v>
      </c>
      <c r="G844" t="b">
        <f t="shared" si="117"/>
        <v>0</v>
      </c>
      <c r="H844" t="b">
        <f t="shared" si="124"/>
        <v>0</v>
      </c>
      <c r="I844" t="b">
        <f t="shared" si="118"/>
        <v>0</v>
      </c>
      <c r="J844" t="b">
        <f t="shared" si="125"/>
        <v>0</v>
      </c>
      <c r="K844" t="b">
        <f t="shared" si="119"/>
        <v>0</v>
      </c>
      <c r="L844" t="b">
        <f t="shared" si="120"/>
        <v>0</v>
      </c>
      <c r="M844" t="b">
        <f t="shared" si="121"/>
        <v>0</v>
      </c>
      <c r="N844" t="b">
        <f t="shared" si="122"/>
        <v>0</v>
      </c>
      <c r="O844" t="b">
        <f t="shared" si="123"/>
        <v>1</v>
      </c>
    </row>
    <row r="845" spans="1:15" x14ac:dyDescent="0.35">
      <c r="A845" t="str">
        <v>diesel_BTH_41_Class</v>
      </c>
      <c r="B845" t="b" cm="1">
        <f t="array" ref="B845">_xlfn.XLOOKUP(A845,CONTROL[VEHIDCODE],PROPERTIES[EXCLUDE])</f>
        <v>0</v>
      </c>
      <c r="C845" t="b">
        <f>_xlfn.XLOOKUP(A845,CONTROL[VEHIDCODE],CONTROL[IS_WAGON_OR_COACH])</f>
        <v>0</v>
      </c>
      <c r="D845">
        <f>FLOOR(_xlfn.XLOOKUP($A845,PROPERTIES[VEHIDCODE],PROPERTIES[INTRODUCTION_YEAR]),20)</f>
        <v>1940</v>
      </c>
      <c r="E845" t="e">
        <f>_xlfn.XLOOKUP($A845,PROPERTIES[VEHIDCODE],#REF!)</f>
        <v>#REF!</v>
      </c>
      <c r="F845" s="25" t="str" cm="1">
        <f t="array" ref="F845">_xlfn.CONCAT(_xlfn.XLOOKUP($A845,PROPERTIES[VEHIDCODE],PROPERTIES[REGION1]),"_",_xlfn.XLOOKUP($A845,PROPERTIES[VEHIDCODE],PROPERTIES[REGION2]),"_",_xlfn.XLOOKUP($A845,PROPERTIES[VEHIDCODE],PROPERTIES[REGION3]&amp;"_"&amp;_xlfn.XLOOKUP($A845,PROPERTIES[VEHIDCODE],PROPERTIES[REGION4])))</f>
        <v>OCEANIA_NO_REGION_NO_REGION_NO_REGION</v>
      </c>
      <c r="G845" t="b">
        <f t="shared" si="117"/>
        <v>0</v>
      </c>
      <c r="H845" t="b">
        <f t="shared" si="124"/>
        <v>0</v>
      </c>
      <c r="I845" t="b">
        <f t="shared" si="118"/>
        <v>0</v>
      </c>
      <c r="J845" t="b">
        <f t="shared" si="125"/>
        <v>0</v>
      </c>
      <c r="K845" t="b">
        <f t="shared" si="119"/>
        <v>0</v>
      </c>
      <c r="L845" t="b">
        <f t="shared" si="120"/>
        <v>0</v>
      </c>
      <c r="M845" t="b">
        <f t="shared" si="121"/>
        <v>0</v>
      </c>
      <c r="N845" t="b">
        <f t="shared" si="122"/>
        <v>0</v>
      </c>
      <c r="O845" t="b">
        <f t="shared" si="123"/>
        <v>1</v>
      </c>
    </row>
    <row r="846" spans="1:15" x14ac:dyDescent="0.35">
      <c r="A846" t="str">
        <v>diesel_ALCO_AE_Goodwin_DL531_532</v>
      </c>
      <c r="B846" t="b" cm="1">
        <f t="array" ref="B846">_xlfn.XLOOKUP(A846,CONTROL[VEHIDCODE],PROPERTIES[EXCLUDE])</f>
        <v>0</v>
      </c>
      <c r="C846" t="b">
        <f>_xlfn.XLOOKUP(A846,CONTROL[VEHIDCODE],CONTROL[IS_WAGON_OR_COACH])</f>
        <v>0</v>
      </c>
      <c r="D846">
        <f>FLOOR(_xlfn.XLOOKUP($A846,PROPERTIES[VEHIDCODE],PROPERTIES[INTRODUCTION_YEAR]),20)</f>
        <v>1940</v>
      </c>
      <c r="E846" t="e">
        <f>_xlfn.XLOOKUP($A846,PROPERTIES[VEHIDCODE],#REF!)</f>
        <v>#REF!</v>
      </c>
      <c r="F846" s="25" t="str" cm="1">
        <f t="array" ref="F846">_xlfn.CONCAT(_xlfn.XLOOKUP($A846,PROPERTIES[VEHIDCODE],PROPERTIES[REGION1]),"_",_xlfn.XLOOKUP($A846,PROPERTIES[VEHIDCODE],PROPERTIES[REGION2]),"_",_xlfn.XLOOKUP($A846,PROPERTIES[VEHIDCODE],PROPERTIES[REGION3]&amp;"_"&amp;_xlfn.XLOOKUP($A846,PROPERTIES[VEHIDCODE],PROPERTIES[REGION4])))</f>
        <v>COMECON_APAC_NO_REGION_NO_REGION</v>
      </c>
      <c r="G846" t="b">
        <f t="shared" si="117"/>
        <v>0</v>
      </c>
      <c r="H846" t="b">
        <f t="shared" si="124"/>
        <v>1</v>
      </c>
      <c r="I846" t="b">
        <f t="shared" si="118"/>
        <v>0</v>
      </c>
      <c r="J846" t="b">
        <f t="shared" si="125"/>
        <v>1</v>
      </c>
      <c r="K846" t="b">
        <f t="shared" si="119"/>
        <v>0</v>
      </c>
      <c r="L846" t="b">
        <f t="shared" si="120"/>
        <v>0</v>
      </c>
      <c r="M846" t="b">
        <f t="shared" si="121"/>
        <v>0</v>
      </c>
      <c r="N846" t="b">
        <f t="shared" si="122"/>
        <v>0</v>
      </c>
      <c r="O846" t="b">
        <f t="shared" si="123"/>
        <v>1</v>
      </c>
    </row>
    <row r="847" spans="1:15" x14ac:dyDescent="0.35">
      <c r="A847" t="str">
        <v>diesel_ALCO_AE_Goodwin_DL500</v>
      </c>
      <c r="B847" t="b" cm="1">
        <f t="array" ref="B847">_xlfn.XLOOKUP(A847,CONTROL[VEHIDCODE],PROPERTIES[EXCLUDE])</f>
        <v>0</v>
      </c>
      <c r="C847" t="b">
        <f>_xlfn.XLOOKUP(A847,CONTROL[VEHIDCODE],CONTROL[IS_WAGON_OR_COACH])</f>
        <v>0</v>
      </c>
      <c r="D847">
        <f>FLOOR(_xlfn.XLOOKUP($A847,PROPERTIES[VEHIDCODE],PROPERTIES[INTRODUCTION_YEAR]),20)</f>
        <v>1940</v>
      </c>
      <c r="E847" t="e">
        <f>_xlfn.XLOOKUP($A847,PROPERTIES[VEHIDCODE],#REF!)</f>
        <v>#REF!</v>
      </c>
      <c r="F847" s="25" t="str" cm="1">
        <f t="array" ref="F847">_xlfn.CONCAT(_xlfn.XLOOKUP($A847,PROPERTIES[VEHIDCODE],PROPERTIES[REGION1]),"_",_xlfn.XLOOKUP($A847,PROPERTIES[VEHIDCODE],PROPERTIES[REGION2]),"_",_xlfn.XLOOKUP($A847,PROPERTIES[VEHIDCODE],PROPERTIES[REGION3]&amp;"_"&amp;_xlfn.XLOOKUP($A847,PROPERTIES[VEHIDCODE],PROPERTIES[REGION4])))</f>
        <v>SOUTH_AMERICA_NORTHERN_EUROPE_SOUTHERN_EUROPE_APAC</v>
      </c>
      <c r="G847" t="b">
        <f t="shared" si="117"/>
        <v>0</v>
      </c>
      <c r="H847" t="b">
        <f t="shared" si="124"/>
        <v>1</v>
      </c>
      <c r="I847" t="b">
        <f t="shared" si="118"/>
        <v>1</v>
      </c>
      <c r="J847" t="b">
        <f t="shared" si="125"/>
        <v>0</v>
      </c>
      <c r="K847" t="b">
        <f t="shared" si="119"/>
        <v>0</v>
      </c>
      <c r="L847" t="b">
        <f t="shared" si="120"/>
        <v>1</v>
      </c>
      <c r="M847" t="b">
        <f t="shared" si="121"/>
        <v>0</v>
      </c>
      <c r="N847" t="b">
        <f t="shared" si="122"/>
        <v>1</v>
      </c>
      <c r="O847" t="b">
        <f t="shared" si="123"/>
        <v>1</v>
      </c>
    </row>
    <row r="848" spans="1:15" x14ac:dyDescent="0.35">
      <c r="A848" t="str">
        <v>diesel_EMD_Clyde_A16C</v>
      </c>
      <c r="B848" t="b" cm="1">
        <f t="array" ref="B848">_xlfn.XLOOKUP(A848,CONTROL[VEHIDCODE],PROPERTIES[EXCLUDE])</f>
        <v>0</v>
      </c>
      <c r="C848" t="b">
        <f>_xlfn.XLOOKUP(A848,CONTROL[VEHIDCODE],CONTROL[IS_WAGON_OR_COACH])</f>
        <v>0</v>
      </c>
      <c r="D848">
        <f>FLOOR(_xlfn.XLOOKUP($A848,PROPERTIES[VEHIDCODE],PROPERTIES[INTRODUCTION_YEAR]),20)</f>
        <v>1940</v>
      </c>
      <c r="E848" t="e">
        <f>_xlfn.XLOOKUP($A848,PROPERTIES[VEHIDCODE],#REF!)</f>
        <v>#REF!</v>
      </c>
      <c r="F848" s="25" t="str" cm="1">
        <f t="array" ref="F848">_xlfn.CONCAT(_xlfn.XLOOKUP($A848,PROPERTIES[VEHIDCODE],PROPERTIES[REGION1]),"_",_xlfn.XLOOKUP($A848,PROPERTIES[VEHIDCODE],PROPERTIES[REGION2]),"_",_xlfn.XLOOKUP($A848,PROPERTIES[VEHIDCODE],PROPERTIES[REGION3]&amp;"_"&amp;_xlfn.XLOOKUP($A848,PROPERTIES[VEHIDCODE],PROPERTIES[REGION4])))</f>
        <v>OCEANIA_NO_REGION_NO_REGION_NO_REGION</v>
      </c>
      <c r="G848" t="b">
        <f t="shared" si="117"/>
        <v>0</v>
      </c>
      <c r="H848" t="b">
        <f t="shared" si="124"/>
        <v>0</v>
      </c>
      <c r="I848" t="b">
        <f t="shared" si="118"/>
        <v>0</v>
      </c>
      <c r="J848" t="b">
        <f t="shared" si="125"/>
        <v>0</v>
      </c>
      <c r="K848" t="b">
        <f t="shared" si="119"/>
        <v>0</v>
      </c>
      <c r="L848" t="b">
        <f t="shared" si="120"/>
        <v>0</v>
      </c>
      <c r="M848" t="b">
        <f t="shared" si="121"/>
        <v>0</v>
      </c>
      <c r="N848" t="b">
        <f t="shared" si="122"/>
        <v>0</v>
      </c>
      <c r="O848" t="b">
        <f t="shared" si="123"/>
        <v>1</v>
      </c>
    </row>
    <row r="849" spans="1:15" x14ac:dyDescent="0.35">
      <c r="A849" t="str">
        <v>diesel_EMD_Clyde_AAT22C_2R</v>
      </c>
      <c r="B849" t="b" cm="1">
        <f t="array" ref="B849">_xlfn.XLOOKUP(A849,CONTROL[VEHIDCODE],PROPERTIES[EXCLUDE])</f>
        <v>1</v>
      </c>
      <c r="C849" t="b">
        <f>_xlfn.XLOOKUP(A849,CONTROL[VEHIDCODE],CONTROL[IS_WAGON_OR_COACH])</f>
        <v>0</v>
      </c>
      <c r="D849">
        <f>FLOOR(_xlfn.XLOOKUP($A849,PROPERTIES[VEHIDCODE],PROPERTIES[INTRODUCTION_YEAR]),20)</f>
        <v>1980</v>
      </c>
      <c r="E849" t="e">
        <f>_xlfn.XLOOKUP($A849,PROPERTIES[VEHIDCODE],#REF!)</f>
        <v>#REF!</v>
      </c>
      <c r="F849" s="25" t="str" cm="1">
        <f t="array" ref="F849">_xlfn.CONCAT(_xlfn.XLOOKUP($A849,PROPERTIES[VEHIDCODE],PROPERTIES[REGION1]),"_",_xlfn.XLOOKUP($A849,PROPERTIES[VEHIDCODE],PROPERTIES[REGION2]),"_",_xlfn.XLOOKUP($A849,PROPERTIES[VEHIDCODE],PROPERTIES[REGION3]&amp;"_"&amp;_xlfn.XLOOKUP($A849,PROPERTIES[VEHIDCODE],PROPERTIES[REGION4])))</f>
        <v>OCEANIA_NO_REGION_NO_REGION_NO_REGION</v>
      </c>
      <c r="G849" t="b">
        <f t="shared" si="117"/>
        <v>0</v>
      </c>
      <c r="H849" t="b">
        <f t="shared" si="124"/>
        <v>0</v>
      </c>
      <c r="I849" t="b">
        <f t="shared" si="118"/>
        <v>0</v>
      </c>
      <c r="J849" t="b">
        <f t="shared" si="125"/>
        <v>0</v>
      </c>
      <c r="K849" t="b">
        <f t="shared" si="119"/>
        <v>0</v>
      </c>
      <c r="L849" t="b">
        <f t="shared" si="120"/>
        <v>0</v>
      </c>
      <c r="M849" t="b">
        <f t="shared" si="121"/>
        <v>0</v>
      </c>
      <c r="N849" t="b">
        <f t="shared" si="122"/>
        <v>0</v>
      </c>
      <c r="O849" t="b">
        <f t="shared" si="123"/>
        <v>1</v>
      </c>
    </row>
    <row r="850" spans="1:15" x14ac:dyDescent="0.35">
      <c r="A850" t="str">
        <v>diesel_EMD_Clyde_A7</v>
      </c>
      <c r="B850" t="b" cm="1">
        <f t="array" ref="B850">_xlfn.XLOOKUP(A850,CONTROL[VEHIDCODE],PROPERTIES[EXCLUDE])</f>
        <v>0</v>
      </c>
      <c r="C850" t="b">
        <f>_xlfn.XLOOKUP(A850,CONTROL[VEHIDCODE],CONTROL[IS_WAGON_OR_COACH])</f>
        <v>0</v>
      </c>
      <c r="D850">
        <f>FLOOR(_xlfn.XLOOKUP($A850,PROPERTIES[VEHIDCODE],PROPERTIES[INTRODUCTION_YEAR]),20)</f>
        <v>1940</v>
      </c>
      <c r="E850" t="e">
        <f>_xlfn.XLOOKUP($A850,PROPERTIES[VEHIDCODE],#REF!)</f>
        <v>#REF!</v>
      </c>
      <c r="F850" s="25" t="str" cm="1">
        <f t="array" ref="F850">_xlfn.CONCAT(_xlfn.XLOOKUP($A850,PROPERTIES[VEHIDCODE],PROPERTIES[REGION1]),"_",_xlfn.XLOOKUP($A850,PROPERTIES[VEHIDCODE],PROPERTIES[REGION2]),"_",_xlfn.XLOOKUP($A850,PROPERTIES[VEHIDCODE],PROPERTIES[REGION3]&amp;"_"&amp;_xlfn.XLOOKUP($A850,PROPERTIES[VEHIDCODE],PROPERTIES[REGION4])))</f>
        <v>OCEANIA_NO_REGION_NO_REGION_NO_REGION</v>
      </c>
      <c r="G850" t="b">
        <f t="shared" si="117"/>
        <v>0</v>
      </c>
      <c r="H850" t="b">
        <f t="shared" si="124"/>
        <v>0</v>
      </c>
      <c r="I850" t="b">
        <f t="shared" si="118"/>
        <v>0</v>
      </c>
      <c r="J850" t="b">
        <f t="shared" si="125"/>
        <v>0</v>
      </c>
      <c r="K850" t="b">
        <f t="shared" si="119"/>
        <v>0</v>
      </c>
      <c r="L850" t="b">
        <f t="shared" si="120"/>
        <v>0</v>
      </c>
      <c r="M850" t="b">
        <f t="shared" si="121"/>
        <v>0</v>
      </c>
      <c r="N850" t="b">
        <f t="shared" si="122"/>
        <v>0</v>
      </c>
      <c r="O850" t="b">
        <f t="shared" si="123"/>
        <v>1</v>
      </c>
    </row>
    <row r="851" spans="1:15" x14ac:dyDescent="0.35">
      <c r="A851" t="str">
        <v>diesel_EMD_Clyde_AT42C_</v>
      </c>
      <c r="B851" t="b" cm="1">
        <f t="array" ref="B851">_xlfn.XLOOKUP(A851,CONTROL[VEHIDCODE],PROPERTIES[EXCLUDE])</f>
        <v>0</v>
      </c>
      <c r="C851" t="b">
        <f>_xlfn.XLOOKUP(A851,CONTROL[VEHIDCODE],CONTROL[IS_WAGON_OR_COACH])</f>
        <v>0</v>
      </c>
      <c r="D851">
        <f>FLOOR(_xlfn.XLOOKUP($A851,PROPERTIES[VEHIDCODE],PROPERTIES[INTRODUCTION_YEAR]),20)</f>
        <v>1980</v>
      </c>
      <c r="E851" t="e">
        <f>_xlfn.XLOOKUP($A851,PROPERTIES[VEHIDCODE],#REF!)</f>
        <v>#REF!</v>
      </c>
      <c r="F851" s="25" t="str" cm="1">
        <f t="array" ref="F851">_xlfn.CONCAT(_xlfn.XLOOKUP($A851,PROPERTIES[VEHIDCODE],PROPERTIES[REGION1]),"_",_xlfn.XLOOKUP($A851,PROPERTIES[VEHIDCODE],PROPERTIES[REGION2]),"_",_xlfn.XLOOKUP($A851,PROPERTIES[VEHIDCODE],PROPERTIES[REGION3]&amp;"_"&amp;_xlfn.XLOOKUP($A851,PROPERTIES[VEHIDCODE],PROPERTIES[REGION4])))</f>
        <v>OCEANIA_NO_REGION_NO_REGION_NO_REGION</v>
      </c>
      <c r="G851" t="b">
        <f t="shared" si="117"/>
        <v>0</v>
      </c>
      <c r="H851" t="b">
        <f t="shared" si="124"/>
        <v>0</v>
      </c>
      <c r="I851" t="b">
        <f t="shared" si="118"/>
        <v>0</v>
      </c>
      <c r="J851" t="b">
        <f t="shared" si="125"/>
        <v>0</v>
      </c>
      <c r="K851" t="b">
        <f t="shared" si="119"/>
        <v>0</v>
      </c>
      <c r="L851" t="b">
        <f t="shared" si="120"/>
        <v>0</v>
      </c>
      <c r="M851" t="b">
        <f t="shared" si="121"/>
        <v>0</v>
      </c>
      <c r="N851" t="b">
        <f t="shared" si="122"/>
        <v>0</v>
      </c>
      <c r="O851" t="b">
        <f t="shared" si="123"/>
        <v>1</v>
      </c>
    </row>
    <row r="852" spans="1:15" x14ac:dyDescent="0.35">
      <c r="A852" t="str">
        <v>electric_Clyde_ASEA_CF48</v>
      </c>
      <c r="B852" t="b" cm="1">
        <f t="array" ref="B852">_xlfn.XLOOKUP(A852,CONTROL[VEHIDCODE],PROPERTIES[EXCLUDE])</f>
        <v>0</v>
      </c>
      <c r="C852" t="b">
        <f>_xlfn.XLOOKUP(A852,CONTROL[VEHIDCODE],CONTROL[IS_WAGON_OR_COACH])</f>
        <v>0</v>
      </c>
      <c r="D852">
        <f>FLOOR(_xlfn.XLOOKUP($A852,PROPERTIES[VEHIDCODE],PROPERTIES[INTRODUCTION_YEAR]),20)</f>
        <v>1980</v>
      </c>
      <c r="E852" t="e">
        <f>_xlfn.XLOOKUP($A852,PROPERTIES[VEHIDCODE],#REF!)</f>
        <v>#REF!</v>
      </c>
      <c r="F852" s="25" t="str" cm="1">
        <f t="array" ref="F852">_xlfn.CONCAT(_xlfn.XLOOKUP($A852,PROPERTIES[VEHIDCODE],PROPERTIES[REGION1]),"_",_xlfn.XLOOKUP($A852,PROPERTIES[VEHIDCODE],PROPERTIES[REGION2]),"_",_xlfn.XLOOKUP($A852,PROPERTIES[VEHIDCODE],PROPERTIES[REGION3]&amp;"_"&amp;_xlfn.XLOOKUP($A852,PROPERTIES[VEHIDCODE],PROPERTIES[REGION4])))</f>
        <v>OCEANIA_NO_REGION_NO_REGION_NO_REGION</v>
      </c>
      <c r="G852" t="b">
        <f t="shared" si="117"/>
        <v>0</v>
      </c>
      <c r="H852" t="b">
        <f t="shared" si="124"/>
        <v>0</v>
      </c>
      <c r="I852" t="b">
        <f t="shared" si="118"/>
        <v>0</v>
      </c>
      <c r="J852" t="b">
        <f t="shared" si="125"/>
        <v>0</v>
      </c>
      <c r="K852" t="b">
        <f t="shared" si="119"/>
        <v>0</v>
      </c>
      <c r="L852" t="b">
        <f t="shared" si="120"/>
        <v>0</v>
      </c>
      <c r="M852" t="b">
        <f t="shared" si="121"/>
        <v>0</v>
      </c>
      <c r="N852" t="b">
        <f t="shared" si="122"/>
        <v>0</v>
      </c>
      <c r="O852" t="b">
        <f t="shared" si="123"/>
        <v>1</v>
      </c>
    </row>
    <row r="853" spans="1:15" x14ac:dyDescent="0.35">
      <c r="A853" t="str">
        <v>diesel_EMD_GT46CWM</v>
      </c>
      <c r="B853" t="b" cm="1">
        <f t="array" ref="B853">_xlfn.XLOOKUP(A853,CONTROL[VEHIDCODE],PROPERTIES[EXCLUDE])</f>
        <v>0</v>
      </c>
      <c r="C853" t="b">
        <f>_xlfn.XLOOKUP(A853,CONTROL[VEHIDCODE],CONTROL[IS_WAGON_OR_COACH])</f>
        <v>0</v>
      </c>
      <c r="D853">
        <f>FLOOR(_xlfn.XLOOKUP($A853,PROPERTIES[VEHIDCODE],PROPERTIES[INTRODUCTION_YEAR]),20)</f>
        <v>1980</v>
      </c>
      <c r="E853" t="e">
        <f>_xlfn.XLOOKUP($A853,PROPERTIES[VEHIDCODE],#REF!)</f>
        <v>#REF!</v>
      </c>
      <c r="F853" s="25" t="str" cm="1">
        <f t="array" ref="F853">_xlfn.CONCAT(_xlfn.XLOOKUP($A853,PROPERTIES[VEHIDCODE],PROPERTIES[REGION1]),"_",_xlfn.XLOOKUP($A853,PROPERTIES[VEHIDCODE],PROPERTIES[REGION2]),"_",_xlfn.XLOOKUP($A853,PROPERTIES[VEHIDCODE],PROPERTIES[REGION3]&amp;"_"&amp;_xlfn.XLOOKUP($A853,PROPERTIES[VEHIDCODE],PROPERTIES[REGION4])))</f>
        <v>OCEANIA_NO_REGION_NO_REGION_NO_REGION</v>
      </c>
      <c r="G853" t="b">
        <f t="shared" si="117"/>
        <v>0</v>
      </c>
      <c r="H853" t="b">
        <f t="shared" si="124"/>
        <v>0</v>
      </c>
      <c r="I853" t="b">
        <f t="shared" si="118"/>
        <v>0</v>
      </c>
      <c r="J853" t="b">
        <f t="shared" si="125"/>
        <v>0</v>
      </c>
      <c r="K853" t="b">
        <f t="shared" si="119"/>
        <v>0</v>
      </c>
      <c r="L853" t="b">
        <f t="shared" si="120"/>
        <v>0</v>
      </c>
      <c r="M853" t="b">
        <f t="shared" si="121"/>
        <v>0</v>
      </c>
      <c r="N853" t="b">
        <f t="shared" si="122"/>
        <v>0</v>
      </c>
      <c r="O853" t="b">
        <f t="shared" si="123"/>
        <v>1</v>
      </c>
    </row>
    <row r="854" spans="1:15" x14ac:dyDescent="0.35">
      <c r="A854" t="str">
        <v>diesel_Clyde_EMD_GT46CW_NR_Concept</v>
      </c>
      <c r="B854" t="b" cm="1">
        <f t="array" ref="B854">_xlfn.XLOOKUP(A854,CONTROL[VEHIDCODE],PROPERTIES[EXCLUDE])</f>
        <v>0</v>
      </c>
      <c r="C854" t="b">
        <f>_xlfn.XLOOKUP(A854,CONTROL[VEHIDCODE],CONTROL[IS_WAGON_OR_COACH])</f>
        <v>0</v>
      </c>
      <c r="D854">
        <f>FLOOR(_xlfn.XLOOKUP($A854,PROPERTIES[VEHIDCODE],PROPERTIES[INTRODUCTION_YEAR]),20)</f>
        <v>1980</v>
      </c>
      <c r="E854" t="e">
        <f>_xlfn.XLOOKUP($A854,PROPERTIES[VEHIDCODE],#REF!)</f>
        <v>#REF!</v>
      </c>
      <c r="F854" s="25" t="str" cm="1">
        <f t="array" ref="F854">_xlfn.CONCAT(_xlfn.XLOOKUP($A854,PROPERTIES[VEHIDCODE],PROPERTIES[REGION1]),"_",_xlfn.XLOOKUP($A854,PROPERTIES[VEHIDCODE],PROPERTIES[REGION2]),"_",_xlfn.XLOOKUP($A854,PROPERTIES[VEHIDCODE],PROPERTIES[REGION3]&amp;"_"&amp;_xlfn.XLOOKUP($A854,PROPERTIES[VEHIDCODE],PROPERTIES[REGION4])))</f>
        <v>OCEANIA_NO_REGION_NO_REGION_NO_REGION</v>
      </c>
      <c r="G854" t="b">
        <f t="shared" si="117"/>
        <v>0</v>
      </c>
      <c r="H854" t="b">
        <f t="shared" si="124"/>
        <v>0</v>
      </c>
      <c r="I854" t="b">
        <f t="shared" si="118"/>
        <v>0</v>
      </c>
      <c r="J854" t="b">
        <f t="shared" si="125"/>
        <v>0</v>
      </c>
      <c r="K854" t="b">
        <f t="shared" si="119"/>
        <v>0</v>
      </c>
      <c r="L854" t="b">
        <f t="shared" si="120"/>
        <v>0</v>
      </c>
      <c r="M854" t="b">
        <f t="shared" si="121"/>
        <v>0</v>
      </c>
      <c r="N854" t="b">
        <f t="shared" si="122"/>
        <v>0</v>
      </c>
      <c r="O854" t="b">
        <f t="shared" si="123"/>
        <v>1</v>
      </c>
    </row>
    <row r="855" spans="1:15" x14ac:dyDescent="0.35">
      <c r="A855" t="str">
        <v>diesel_Clyde_JE28C_PTC_73_Class_Concept</v>
      </c>
      <c r="B855" t="b" cm="1">
        <f t="array" ref="B855">_xlfn.XLOOKUP(A855,CONTROL[VEHIDCODE],PROPERTIES[EXCLUDE])</f>
        <v>0</v>
      </c>
      <c r="C855" t="b">
        <f>_xlfn.XLOOKUP(A855,CONTROL[VEHIDCODE],CONTROL[IS_WAGON_OR_COACH])</f>
        <v>0</v>
      </c>
      <c r="D855">
        <f>FLOOR(_xlfn.XLOOKUP($A855,PROPERTIES[VEHIDCODE],PROPERTIES[INTRODUCTION_YEAR]),20)</f>
        <v>1960</v>
      </c>
      <c r="E855" t="e">
        <f>_xlfn.XLOOKUP($A855,PROPERTIES[VEHIDCODE],#REF!)</f>
        <v>#REF!</v>
      </c>
      <c r="F855" s="25" t="str" cm="1">
        <f t="array" ref="F855">_xlfn.CONCAT(_xlfn.XLOOKUP($A855,PROPERTIES[VEHIDCODE],PROPERTIES[REGION1]),"_",_xlfn.XLOOKUP($A855,PROPERTIES[VEHIDCODE],PROPERTIES[REGION2]),"_",_xlfn.XLOOKUP($A855,PROPERTIES[VEHIDCODE],PROPERTIES[REGION3]&amp;"_"&amp;_xlfn.XLOOKUP($A855,PROPERTIES[VEHIDCODE],PROPERTIES[REGION4])))</f>
        <v>OCEANIA_NO_REGION_NO_REGION_NO_REGION</v>
      </c>
      <c r="G855" t="b">
        <f t="shared" si="117"/>
        <v>0</v>
      </c>
      <c r="H855" t="b">
        <f t="shared" si="124"/>
        <v>0</v>
      </c>
      <c r="I855" t="b">
        <f t="shared" si="118"/>
        <v>0</v>
      </c>
      <c r="J855" t="b">
        <f t="shared" si="125"/>
        <v>0</v>
      </c>
      <c r="K855" t="b">
        <f t="shared" si="119"/>
        <v>0</v>
      </c>
      <c r="L855" t="b">
        <f t="shared" si="120"/>
        <v>0</v>
      </c>
      <c r="M855" t="b">
        <f t="shared" si="121"/>
        <v>0</v>
      </c>
      <c r="N855" t="b">
        <f t="shared" si="122"/>
        <v>0</v>
      </c>
      <c r="O855" t="b">
        <f t="shared" si="123"/>
        <v>1</v>
      </c>
    </row>
    <row r="856" spans="1:15" x14ac:dyDescent="0.35">
      <c r="A856" t="str">
        <v>diesel_EMD_Clyde_JT22HC_2</v>
      </c>
      <c r="B856" t="b" cm="1">
        <f t="array" ref="B856">_xlfn.XLOOKUP(A856,CONTROL[VEHIDCODE],PROPERTIES[EXCLUDE])</f>
        <v>0</v>
      </c>
      <c r="C856" t="b">
        <f>_xlfn.XLOOKUP(A856,CONTROL[VEHIDCODE],CONTROL[IS_WAGON_OR_COACH])</f>
        <v>0</v>
      </c>
      <c r="D856">
        <f>FLOOR(_xlfn.XLOOKUP($A856,PROPERTIES[VEHIDCODE],PROPERTIES[INTRODUCTION_YEAR]),20)</f>
        <v>1980</v>
      </c>
      <c r="E856" t="e">
        <f>_xlfn.XLOOKUP($A856,PROPERTIES[VEHIDCODE],#REF!)</f>
        <v>#REF!</v>
      </c>
      <c r="F856" s="25" t="str" cm="1">
        <f t="array" ref="F856">_xlfn.CONCAT(_xlfn.XLOOKUP($A856,PROPERTIES[VEHIDCODE],PROPERTIES[REGION1]),"_",_xlfn.XLOOKUP($A856,PROPERTIES[VEHIDCODE],PROPERTIES[REGION2]),"_",_xlfn.XLOOKUP($A856,PROPERTIES[VEHIDCODE],PROPERTIES[REGION3]&amp;"_"&amp;_xlfn.XLOOKUP($A856,PROPERTIES[VEHIDCODE],PROPERTIES[REGION4])))</f>
        <v>OCEANIA_NO_REGION_NO_REGION_NO_REGION</v>
      </c>
      <c r="G856" t="b">
        <f t="shared" si="117"/>
        <v>0</v>
      </c>
      <c r="H856" t="b">
        <f t="shared" si="124"/>
        <v>0</v>
      </c>
      <c r="I856" t="b">
        <f t="shared" si="118"/>
        <v>0</v>
      </c>
      <c r="J856" t="b">
        <f t="shared" si="125"/>
        <v>0</v>
      </c>
      <c r="K856" t="b">
        <f t="shared" si="119"/>
        <v>0</v>
      </c>
      <c r="L856" t="b">
        <f t="shared" si="120"/>
        <v>0</v>
      </c>
      <c r="M856" t="b">
        <f t="shared" si="121"/>
        <v>0</v>
      </c>
      <c r="N856" t="b">
        <f t="shared" si="122"/>
        <v>0</v>
      </c>
      <c r="O856" t="b">
        <f t="shared" si="123"/>
        <v>1</v>
      </c>
    </row>
    <row r="857" spans="1:15" x14ac:dyDescent="0.35">
      <c r="A857" t="str">
        <v>diesel_EMD_Clyde_JT26C_2SS_NSW_81</v>
      </c>
      <c r="B857" t="b" cm="1">
        <f t="array" ref="B857">_xlfn.XLOOKUP(A857,CONTROL[VEHIDCODE],PROPERTIES[EXCLUDE])</f>
        <v>1</v>
      </c>
      <c r="C857" t="b">
        <f>_xlfn.XLOOKUP(A857,CONTROL[VEHIDCODE],CONTROL[IS_WAGON_OR_COACH])</f>
        <v>0</v>
      </c>
      <c r="D857">
        <f>FLOOR(_xlfn.XLOOKUP($A857,PROPERTIES[VEHIDCODE],PROPERTIES[INTRODUCTION_YEAR]),20)</f>
        <v>1980</v>
      </c>
      <c r="E857" t="e">
        <f>_xlfn.XLOOKUP($A857,PROPERTIES[VEHIDCODE],#REF!)</f>
        <v>#REF!</v>
      </c>
      <c r="F857" s="25" t="str" cm="1">
        <f t="array" ref="F857">_xlfn.CONCAT(_xlfn.XLOOKUP($A857,PROPERTIES[VEHIDCODE],PROPERTIES[REGION1]),"_",_xlfn.XLOOKUP($A857,PROPERTIES[VEHIDCODE],PROPERTIES[REGION2]),"_",_xlfn.XLOOKUP($A857,PROPERTIES[VEHIDCODE],PROPERTIES[REGION3]&amp;"_"&amp;_xlfn.XLOOKUP($A857,PROPERTIES[VEHIDCODE],PROPERTIES[REGION4])))</f>
        <v>OCEANIA_NO_REGION_NO_REGION_NO_REGION</v>
      </c>
      <c r="G857" t="b">
        <f t="shared" si="117"/>
        <v>0</v>
      </c>
      <c r="H857" t="b">
        <f t="shared" si="124"/>
        <v>0</v>
      </c>
      <c r="I857" t="b">
        <f t="shared" si="118"/>
        <v>0</v>
      </c>
      <c r="J857" t="b">
        <f t="shared" si="125"/>
        <v>0</v>
      </c>
      <c r="K857" t="b">
        <f t="shared" si="119"/>
        <v>0</v>
      </c>
      <c r="L857" t="b">
        <f t="shared" si="120"/>
        <v>0</v>
      </c>
      <c r="M857" t="b">
        <f t="shared" si="121"/>
        <v>0</v>
      </c>
      <c r="N857" t="b">
        <f t="shared" si="122"/>
        <v>0</v>
      </c>
      <c r="O857" t="b">
        <f t="shared" si="123"/>
        <v>1</v>
      </c>
    </row>
    <row r="858" spans="1:15" x14ac:dyDescent="0.35">
      <c r="A858" t="str">
        <v>diesel_EMD_Clyde_JT26C_2SS_V_line_G</v>
      </c>
      <c r="B858" t="b" cm="1">
        <f t="array" ref="B858">_xlfn.XLOOKUP(A858,CONTROL[VEHIDCODE],PROPERTIES[EXCLUDE])</f>
        <v>0</v>
      </c>
      <c r="C858" t="b">
        <f>_xlfn.XLOOKUP(A858,CONTROL[VEHIDCODE],CONTROL[IS_WAGON_OR_COACH])</f>
        <v>0</v>
      </c>
      <c r="D858">
        <f>FLOOR(_xlfn.XLOOKUP($A858,PROPERTIES[VEHIDCODE],PROPERTIES[INTRODUCTION_YEAR]),20)</f>
        <v>1980</v>
      </c>
      <c r="E858" t="e">
        <f>_xlfn.XLOOKUP($A858,PROPERTIES[VEHIDCODE],#REF!)</f>
        <v>#REF!</v>
      </c>
      <c r="F858" s="25" t="str" cm="1">
        <f t="array" ref="F858">_xlfn.CONCAT(_xlfn.XLOOKUP($A858,PROPERTIES[VEHIDCODE],PROPERTIES[REGION1]),"_",_xlfn.XLOOKUP($A858,PROPERTIES[VEHIDCODE],PROPERTIES[REGION2]),"_",_xlfn.XLOOKUP($A858,PROPERTIES[VEHIDCODE],PROPERTIES[REGION3]&amp;"_"&amp;_xlfn.XLOOKUP($A858,PROPERTIES[VEHIDCODE],PROPERTIES[REGION4])))</f>
        <v>OCEANIA_NO_REGION_NO_REGION_NO_REGION</v>
      </c>
      <c r="G858" t="b">
        <f t="shared" si="117"/>
        <v>0</v>
      </c>
      <c r="H858" t="b">
        <f t="shared" si="124"/>
        <v>0</v>
      </c>
      <c r="I858" t="b">
        <f t="shared" si="118"/>
        <v>0</v>
      </c>
      <c r="J858" t="b">
        <f t="shared" si="125"/>
        <v>0</v>
      </c>
      <c r="K858" t="b">
        <f t="shared" si="119"/>
        <v>0</v>
      </c>
      <c r="L858" t="b">
        <f t="shared" si="120"/>
        <v>0</v>
      </c>
      <c r="M858" t="b">
        <f t="shared" si="121"/>
        <v>0</v>
      </c>
      <c r="N858" t="b">
        <f t="shared" si="122"/>
        <v>0</v>
      </c>
      <c r="O858" t="b">
        <f t="shared" si="123"/>
        <v>1</v>
      </c>
    </row>
    <row r="859" spans="1:15" x14ac:dyDescent="0.35">
      <c r="A859" t="str">
        <v>diesel_EMD_Clyde_JT42C_NSW82</v>
      </c>
      <c r="B859" t="b" cm="1">
        <f t="array" ref="B859">_xlfn.XLOOKUP(A859,CONTROL[VEHIDCODE],PROPERTIES[EXCLUDE])</f>
        <v>0</v>
      </c>
      <c r="C859" t="b">
        <f>_xlfn.XLOOKUP(A859,CONTROL[VEHIDCODE],CONTROL[IS_WAGON_OR_COACH])</f>
        <v>0</v>
      </c>
      <c r="D859">
        <f>FLOOR(_xlfn.XLOOKUP($A859,PROPERTIES[VEHIDCODE],PROPERTIES[INTRODUCTION_YEAR]),20)</f>
        <v>1980</v>
      </c>
      <c r="E859" t="e">
        <f>_xlfn.XLOOKUP($A859,PROPERTIES[VEHIDCODE],#REF!)</f>
        <v>#REF!</v>
      </c>
      <c r="F859" s="25" t="str" cm="1">
        <f t="array" ref="F859">_xlfn.CONCAT(_xlfn.XLOOKUP($A859,PROPERTIES[VEHIDCODE],PROPERTIES[REGION1]),"_",_xlfn.XLOOKUP($A859,PROPERTIES[VEHIDCODE],PROPERTIES[REGION2]),"_",_xlfn.XLOOKUP($A859,PROPERTIES[VEHIDCODE],PROPERTIES[REGION3]&amp;"_"&amp;_xlfn.XLOOKUP($A859,PROPERTIES[VEHIDCODE],PROPERTIES[REGION4])))</f>
        <v>OCEANIA_NO_REGION_NO_REGION_NO_REGION</v>
      </c>
      <c r="G859" t="b">
        <f t="shared" si="117"/>
        <v>0</v>
      </c>
      <c r="H859" t="b">
        <f t="shared" si="124"/>
        <v>0</v>
      </c>
      <c r="I859" t="b">
        <f t="shared" si="118"/>
        <v>0</v>
      </c>
      <c r="J859" t="b">
        <f t="shared" si="125"/>
        <v>0</v>
      </c>
      <c r="K859" t="b">
        <f t="shared" si="119"/>
        <v>0</v>
      </c>
      <c r="L859" t="b">
        <f t="shared" si="120"/>
        <v>0</v>
      </c>
      <c r="M859" t="b">
        <f t="shared" si="121"/>
        <v>0</v>
      </c>
      <c r="N859" t="b">
        <f t="shared" si="122"/>
        <v>0</v>
      </c>
      <c r="O859" t="b">
        <f t="shared" si="123"/>
        <v>1</v>
      </c>
    </row>
    <row r="860" spans="1:15" x14ac:dyDescent="0.35">
      <c r="A860" t="str">
        <v>diesel_EMD_JT42C_90_1277</v>
      </c>
      <c r="B860" t="b" cm="1">
        <f t="array" ref="B860">_xlfn.XLOOKUP(A860,CONTROL[VEHIDCODE],PROPERTIES[EXCLUDE])</f>
        <v>0</v>
      </c>
      <c r="C860" t="b">
        <f>_xlfn.XLOOKUP(A860,CONTROL[VEHIDCODE],CONTROL[IS_WAGON_OR_COACH])</f>
        <v>0</v>
      </c>
      <c r="D860">
        <f>FLOOR(_xlfn.XLOOKUP($A860,PROPERTIES[VEHIDCODE],PROPERTIES[INTRODUCTION_YEAR]),20)</f>
        <v>1980</v>
      </c>
      <c r="E860" t="e">
        <f>_xlfn.XLOOKUP($A860,PROPERTIES[VEHIDCODE],#REF!)</f>
        <v>#REF!</v>
      </c>
      <c r="F860" s="25" t="str" cm="1">
        <f t="array" ref="F860">_xlfn.CONCAT(_xlfn.XLOOKUP($A860,PROPERTIES[VEHIDCODE],PROPERTIES[REGION1]),"_",_xlfn.XLOOKUP($A860,PROPERTIES[VEHIDCODE],PROPERTIES[REGION2]),"_",_xlfn.XLOOKUP($A860,PROPERTIES[VEHIDCODE],PROPERTIES[REGION3]&amp;"_"&amp;_xlfn.XLOOKUP($A860,PROPERTIES[VEHIDCODE],PROPERTIES[REGION4])))</f>
        <v>OCEANIA_NO_REGION_NO_REGION_NO_REGION</v>
      </c>
      <c r="G860" t="b">
        <f t="shared" si="117"/>
        <v>0</v>
      </c>
      <c r="H860" t="b">
        <f t="shared" si="124"/>
        <v>0</v>
      </c>
      <c r="I860" t="b">
        <f t="shared" si="118"/>
        <v>0</v>
      </c>
      <c r="J860" t="b">
        <f t="shared" si="125"/>
        <v>0</v>
      </c>
      <c r="K860" t="b">
        <f t="shared" si="119"/>
        <v>0</v>
      </c>
      <c r="L860" t="b">
        <f t="shared" si="120"/>
        <v>0</v>
      </c>
      <c r="M860" t="b">
        <f t="shared" si="121"/>
        <v>0</v>
      </c>
      <c r="N860" t="b">
        <f t="shared" si="122"/>
        <v>0</v>
      </c>
      <c r="O860" t="b">
        <f t="shared" si="123"/>
        <v>1</v>
      </c>
    </row>
    <row r="861" spans="1:15" x14ac:dyDescent="0.35">
      <c r="A861" t="str">
        <v>diesel_EMD_Clyde_JT42C</v>
      </c>
      <c r="B861" t="b" cm="1">
        <f t="array" ref="B861">_xlfn.XLOOKUP(A861,CONTROL[VEHIDCODE],PROPERTIES[EXCLUDE])</f>
        <v>1</v>
      </c>
      <c r="C861" t="b">
        <f>_xlfn.XLOOKUP(A861,CONTROL[VEHIDCODE],CONTROL[IS_WAGON_OR_COACH])</f>
        <v>0</v>
      </c>
      <c r="D861">
        <f>FLOOR(_xlfn.XLOOKUP($A861,PROPERTIES[VEHIDCODE],PROPERTIES[INTRODUCTION_YEAR]),20)</f>
        <v>1940</v>
      </c>
      <c r="E861" t="e">
        <f>_xlfn.XLOOKUP($A861,PROPERTIES[VEHIDCODE],#REF!)</f>
        <v>#REF!</v>
      </c>
      <c r="F861" s="25" t="str" cm="1">
        <f t="array" ref="F861">_xlfn.CONCAT(_xlfn.XLOOKUP($A861,PROPERTIES[VEHIDCODE],PROPERTIES[REGION1]),"_",_xlfn.XLOOKUP($A861,PROPERTIES[VEHIDCODE],PROPERTIES[REGION2]),"_",_xlfn.XLOOKUP($A861,PROPERTIES[VEHIDCODE],PROPERTIES[REGION3]&amp;"_"&amp;_xlfn.XLOOKUP($A861,PROPERTIES[VEHIDCODE],PROPERTIES[REGION4])))</f>
        <v>OCEANIA_NO_REGION_NO_REGION_NO_REGION</v>
      </c>
      <c r="G861" t="b">
        <f t="shared" si="117"/>
        <v>0</v>
      </c>
      <c r="H861" t="b">
        <f t="shared" si="124"/>
        <v>0</v>
      </c>
      <c r="I861" t="b">
        <f t="shared" si="118"/>
        <v>0</v>
      </c>
      <c r="J861" t="b">
        <f t="shared" si="125"/>
        <v>0</v>
      </c>
      <c r="K861" t="b">
        <f t="shared" si="119"/>
        <v>0</v>
      </c>
      <c r="L861" t="b">
        <f t="shared" si="120"/>
        <v>0</v>
      </c>
      <c r="M861" t="b">
        <f t="shared" si="121"/>
        <v>0</v>
      </c>
      <c r="N861" t="b">
        <f t="shared" si="122"/>
        <v>0</v>
      </c>
      <c r="O861" t="b">
        <f t="shared" si="123"/>
        <v>1</v>
      </c>
    </row>
    <row r="862" spans="1:15" x14ac:dyDescent="0.35">
      <c r="A862" t="str">
        <v>diesel_EMD_Clyde_ML2</v>
      </c>
      <c r="B862" t="b" cm="1">
        <f t="array" ref="B862">_xlfn.XLOOKUP(A862,CONTROL[VEHIDCODE],PROPERTIES[EXCLUDE])</f>
        <v>0</v>
      </c>
      <c r="C862" t="b">
        <f>_xlfn.XLOOKUP(A862,CONTROL[VEHIDCODE],CONTROL[IS_WAGON_OR_COACH])</f>
        <v>0</v>
      </c>
      <c r="D862">
        <f>FLOOR(_xlfn.XLOOKUP($A862,PROPERTIES[VEHIDCODE],PROPERTIES[INTRODUCTION_YEAR]),20)</f>
        <v>1980</v>
      </c>
      <c r="E862" t="e">
        <f>_xlfn.XLOOKUP($A862,PROPERTIES[VEHIDCODE],#REF!)</f>
        <v>#REF!</v>
      </c>
      <c r="F862" s="25" t="str" cm="1">
        <f t="array" ref="F862">_xlfn.CONCAT(_xlfn.XLOOKUP($A862,PROPERTIES[VEHIDCODE],PROPERTIES[REGION1]),"_",_xlfn.XLOOKUP($A862,PROPERTIES[VEHIDCODE],PROPERTIES[REGION2]),"_",_xlfn.XLOOKUP($A862,PROPERTIES[VEHIDCODE],PROPERTIES[REGION3]&amp;"_"&amp;_xlfn.XLOOKUP($A862,PROPERTIES[VEHIDCODE],PROPERTIES[REGION4])))</f>
        <v>OCEANIA_NO_REGION_NO_REGION_NO_REGION</v>
      </c>
      <c r="G862" t="b">
        <f t="shared" si="117"/>
        <v>0</v>
      </c>
      <c r="H862" t="b">
        <f t="shared" si="124"/>
        <v>0</v>
      </c>
      <c r="I862" t="b">
        <f t="shared" si="118"/>
        <v>0</v>
      </c>
      <c r="J862" t="b">
        <f t="shared" si="125"/>
        <v>0</v>
      </c>
      <c r="K862" t="b">
        <f t="shared" si="119"/>
        <v>0</v>
      </c>
      <c r="L862" t="b">
        <f t="shared" si="120"/>
        <v>0</v>
      </c>
      <c r="M862" t="b">
        <f t="shared" si="121"/>
        <v>0</v>
      </c>
      <c r="N862" t="b">
        <f t="shared" si="122"/>
        <v>0</v>
      </c>
      <c r="O862" t="b">
        <f t="shared" si="123"/>
        <v>1</v>
      </c>
    </row>
    <row r="863" spans="1:15" x14ac:dyDescent="0.35">
      <c r="A863" t="str">
        <v>diesel_EMD_Clyde_G16C_X1</v>
      </c>
      <c r="B863" t="b" cm="1">
        <f t="array" ref="B863">_xlfn.XLOOKUP(A863,CONTROL[VEHIDCODE],PROPERTIES[EXCLUDE])</f>
        <v>0</v>
      </c>
      <c r="C863" t="b">
        <f>_xlfn.XLOOKUP(A863,CONTROL[VEHIDCODE],CONTROL[IS_WAGON_OR_COACH])</f>
        <v>0</v>
      </c>
      <c r="D863">
        <f>FLOOR(_xlfn.XLOOKUP($A863,PROPERTIES[VEHIDCODE],PROPERTIES[INTRODUCTION_YEAR]),20)</f>
        <v>1960</v>
      </c>
      <c r="E863" t="e">
        <f>_xlfn.XLOOKUP($A863,PROPERTIES[VEHIDCODE],#REF!)</f>
        <v>#REF!</v>
      </c>
      <c r="F863" s="25" t="str" cm="1">
        <f t="array" ref="F863">_xlfn.CONCAT(_xlfn.XLOOKUP($A863,PROPERTIES[VEHIDCODE],PROPERTIES[REGION1]),"_",_xlfn.XLOOKUP($A863,PROPERTIES[VEHIDCODE],PROPERTIES[REGION2]),"_",_xlfn.XLOOKUP($A863,PROPERTIES[VEHIDCODE],PROPERTIES[REGION3]&amp;"_"&amp;_xlfn.XLOOKUP($A863,PROPERTIES[VEHIDCODE],PROPERTIES[REGION4])))</f>
        <v>OCEANIA_NO_REGION_NO_REGION_NO_REGION</v>
      </c>
      <c r="G863" t="b">
        <f t="shared" si="117"/>
        <v>0</v>
      </c>
      <c r="H863" t="b">
        <f t="shared" si="124"/>
        <v>0</v>
      </c>
      <c r="I863" t="b">
        <f t="shared" si="118"/>
        <v>0</v>
      </c>
      <c r="J863" t="b">
        <f t="shared" si="125"/>
        <v>0</v>
      </c>
      <c r="K863" t="b">
        <f t="shared" si="119"/>
        <v>0</v>
      </c>
      <c r="L863" t="b">
        <f t="shared" si="120"/>
        <v>0</v>
      </c>
      <c r="M863" t="b">
        <f t="shared" si="121"/>
        <v>0</v>
      </c>
      <c r="N863" t="b">
        <f t="shared" si="122"/>
        <v>0</v>
      </c>
      <c r="O863" t="b">
        <f t="shared" si="123"/>
        <v>1</v>
      </c>
    </row>
    <row r="864" spans="1:15" x14ac:dyDescent="0.35">
      <c r="A864" t="str">
        <v>diesel_EMD_Clyde_G26C_X2</v>
      </c>
      <c r="B864" t="b" cm="1">
        <f t="array" ref="B864">_xlfn.XLOOKUP(A864,CONTROL[VEHIDCODE],PROPERTIES[EXCLUDE])</f>
        <v>1</v>
      </c>
      <c r="C864" t="b">
        <f>_xlfn.XLOOKUP(A864,CONTROL[VEHIDCODE],CONTROL[IS_WAGON_OR_COACH])</f>
        <v>0</v>
      </c>
      <c r="D864">
        <f>FLOOR(_xlfn.XLOOKUP($A864,PROPERTIES[VEHIDCODE],PROPERTIES[INTRODUCTION_YEAR]),20)</f>
        <v>1960</v>
      </c>
      <c r="E864" t="e">
        <f>_xlfn.XLOOKUP($A864,PROPERTIES[VEHIDCODE],#REF!)</f>
        <v>#REF!</v>
      </c>
      <c r="F864" s="25" t="str" cm="1">
        <f t="array" ref="F864">_xlfn.CONCAT(_xlfn.XLOOKUP($A864,PROPERTIES[VEHIDCODE],PROPERTIES[REGION1]),"_",_xlfn.XLOOKUP($A864,PROPERTIES[VEHIDCODE],PROPERTIES[REGION2]),"_",_xlfn.XLOOKUP($A864,PROPERTIES[VEHIDCODE],PROPERTIES[REGION3]&amp;"_"&amp;_xlfn.XLOOKUP($A864,PROPERTIES[VEHIDCODE],PROPERTIES[REGION4])))</f>
        <v>OCEANIA_NO_REGION_NO_REGION_NO_REGION</v>
      </c>
      <c r="G864" t="b">
        <f t="shared" si="117"/>
        <v>0</v>
      </c>
      <c r="H864" t="b">
        <f t="shared" si="124"/>
        <v>0</v>
      </c>
      <c r="I864" t="b">
        <f t="shared" si="118"/>
        <v>0</v>
      </c>
      <c r="J864" t="b">
        <f t="shared" si="125"/>
        <v>0</v>
      </c>
      <c r="K864" t="b">
        <f t="shared" si="119"/>
        <v>0</v>
      </c>
      <c r="L864" t="b">
        <f t="shared" si="120"/>
        <v>0</v>
      </c>
      <c r="M864" t="b">
        <f t="shared" si="121"/>
        <v>0</v>
      </c>
      <c r="N864" t="b">
        <f t="shared" si="122"/>
        <v>0</v>
      </c>
      <c r="O864" t="b">
        <f t="shared" si="123"/>
        <v>1</v>
      </c>
    </row>
    <row r="865" spans="1:15" x14ac:dyDescent="0.35">
      <c r="A865" t="str">
        <v>diesel_EMD_Clyde_G26C_X3</v>
      </c>
      <c r="B865" t="b" cm="1">
        <f t="array" ref="B865">_xlfn.XLOOKUP(A865,CONTROL[VEHIDCODE],PROPERTIES[EXCLUDE])</f>
        <v>1</v>
      </c>
      <c r="C865" t="b">
        <f>_xlfn.XLOOKUP(A865,CONTROL[VEHIDCODE],CONTROL[IS_WAGON_OR_COACH])</f>
        <v>0</v>
      </c>
      <c r="D865">
        <f>FLOOR(_xlfn.XLOOKUP($A865,PROPERTIES[VEHIDCODE],PROPERTIES[INTRODUCTION_YEAR]),20)</f>
        <v>1960</v>
      </c>
      <c r="E865" t="e">
        <f>_xlfn.XLOOKUP($A865,PROPERTIES[VEHIDCODE],#REF!)</f>
        <v>#REF!</v>
      </c>
      <c r="F865" s="25" t="str" cm="1">
        <f t="array" ref="F865">_xlfn.CONCAT(_xlfn.XLOOKUP($A865,PROPERTIES[VEHIDCODE],PROPERTIES[REGION1]),"_",_xlfn.XLOOKUP($A865,PROPERTIES[VEHIDCODE],PROPERTIES[REGION2]),"_",_xlfn.XLOOKUP($A865,PROPERTIES[VEHIDCODE],PROPERTIES[REGION3]&amp;"_"&amp;_xlfn.XLOOKUP($A865,PROPERTIES[VEHIDCODE],PROPERTIES[REGION4])))</f>
        <v>OCEANIA_NO_REGION_NO_REGION_NO_REGION</v>
      </c>
      <c r="G865" t="b">
        <f t="shared" si="117"/>
        <v>0</v>
      </c>
      <c r="H865" t="b">
        <f t="shared" si="124"/>
        <v>0</v>
      </c>
      <c r="I865" t="b">
        <f t="shared" si="118"/>
        <v>0</v>
      </c>
      <c r="J865" t="b">
        <f t="shared" si="125"/>
        <v>0</v>
      </c>
      <c r="K865" t="b">
        <f t="shared" si="119"/>
        <v>0</v>
      </c>
      <c r="L865" t="b">
        <f t="shared" si="120"/>
        <v>0</v>
      </c>
      <c r="M865" t="b">
        <f t="shared" si="121"/>
        <v>0</v>
      </c>
      <c r="N865" t="b">
        <f t="shared" si="122"/>
        <v>0</v>
      </c>
      <c r="O865" t="b">
        <f t="shared" si="123"/>
        <v>1</v>
      </c>
    </row>
    <row r="866" spans="1:15" x14ac:dyDescent="0.35">
      <c r="A866" t="str">
        <v>diesel_ALCO_Comeng_CE615A</v>
      </c>
      <c r="B866" t="b" cm="1">
        <f t="array" ref="B866">_xlfn.XLOOKUP(A866,CONTROL[VEHIDCODE],PROPERTIES[EXCLUDE])</f>
        <v>0</v>
      </c>
      <c r="C866" t="b">
        <f>_xlfn.XLOOKUP(A866,CONTROL[VEHIDCODE],CONTROL[IS_WAGON_OR_COACH])</f>
        <v>0</v>
      </c>
      <c r="D866">
        <f>FLOOR(_xlfn.XLOOKUP($A866,PROPERTIES[VEHIDCODE],PROPERTIES[INTRODUCTION_YEAR]),20)</f>
        <v>1960</v>
      </c>
      <c r="E866" t="e">
        <f>_xlfn.XLOOKUP($A866,PROPERTIES[VEHIDCODE],#REF!)</f>
        <v>#REF!</v>
      </c>
      <c r="F866" s="25" t="str" cm="1">
        <f t="array" ref="F866">_xlfn.CONCAT(_xlfn.XLOOKUP($A866,PROPERTIES[VEHIDCODE],PROPERTIES[REGION1]),"_",_xlfn.XLOOKUP($A866,PROPERTIES[VEHIDCODE],PROPERTIES[REGION2]),"_",_xlfn.XLOOKUP($A866,PROPERTIES[VEHIDCODE],PROPERTIES[REGION3]&amp;"_"&amp;_xlfn.XLOOKUP($A866,PROPERTIES[VEHIDCODE],PROPERTIES[REGION4])))</f>
        <v>OCEANIA_NO_REGION_NO_REGION_NO_REGION</v>
      </c>
      <c r="G866" t="b">
        <f t="shared" si="117"/>
        <v>0</v>
      </c>
      <c r="H866" t="b">
        <f t="shared" si="124"/>
        <v>0</v>
      </c>
      <c r="I866" t="b">
        <f t="shared" si="118"/>
        <v>0</v>
      </c>
      <c r="J866" t="b">
        <f t="shared" si="125"/>
        <v>0</v>
      </c>
      <c r="K866" t="b">
        <f t="shared" si="119"/>
        <v>0</v>
      </c>
      <c r="L866" t="b">
        <f t="shared" si="120"/>
        <v>0</v>
      </c>
      <c r="M866" t="b">
        <f t="shared" si="121"/>
        <v>0</v>
      </c>
      <c r="N866" t="b">
        <f t="shared" si="122"/>
        <v>0</v>
      </c>
      <c r="O866" t="b">
        <f t="shared" si="123"/>
        <v>1</v>
      </c>
    </row>
    <row r="867" spans="1:15" x14ac:dyDescent="0.35">
      <c r="A867" t="str">
        <v>electric_Comeng_Class_85</v>
      </c>
      <c r="B867" t="b" cm="1">
        <f t="array" ref="B867">_xlfn.XLOOKUP(A867,CONTROL[VEHIDCODE],PROPERTIES[EXCLUDE])</f>
        <v>0</v>
      </c>
      <c r="C867" t="b">
        <f>_xlfn.XLOOKUP(A867,CONTROL[VEHIDCODE],CONTROL[IS_WAGON_OR_COACH])</f>
        <v>0</v>
      </c>
      <c r="D867">
        <f>FLOOR(_xlfn.XLOOKUP($A867,PROPERTIES[VEHIDCODE],PROPERTIES[INTRODUCTION_YEAR]),20)</f>
        <v>1960</v>
      </c>
      <c r="E867" t="e">
        <f>_xlfn.XLOOKUP($A867,PROPERTIES[VEHIDCODE],#REF!)</f>
        <v>#REF!</v>
      </c>
      <c r="F867" s="25" t="str" cm="1">
        <f t="array" ref="F867">_xlfn.CONCAT(_xlfn.XLOOKUP($A867,PROPERTIES[VEHIDCODE],PROPERTIES[REGION1]),"_",_xlfn.XLOOKUP($A867,PROPERTIES[VEHIDCODE],PROPERTIES[REGION2]),"_",_xlfn.XLOOKUP($A867,PROPERTIES[VEHIDCODE],PROPERTIES[REGION3]&amp;"_"&amp;_xlfn.XLOOKUP($A867,PROPERTIES[VEHIDCODE],PROPERTIES[REGION4])))</f>
        <v>OCEANIA_NO_REGION_NO_REGION_NO_REGION</v>
      </c>
      <c r="G867" t="b">
        <f t="shared" si="117"/>
        <v>0</v>
      </c>
      <c r="H867" t="b">
        <f t="shared" si="124"/>
        <v>0</v>
      </c>
      <c r="I867" t="b">
        <f t="shared" si="118"/>
        <v>0</v>
      </c>
      <c r="J867" t="b">
        <f t="shared" si="125"/>
        <v>0</v>
      </c>
      <c r="K867" t="b">
        <f t="shared" si="119"/>
        <v>0</v>
      </c>
      <c r="L867" t="b">
        <f t="shared" si="120"/>
        <v>0</v>
      </c>
      <c r="M867" t="b">
        <f t="shared" si="121"/>
        <v>0</v>
      </c>
      <c r="N867" t="b">
        <f t="shared" si="122"/>
        <v>0</v>
      </c>
      <c r="O867" t="b">
        <f t="shared" si="123"/>
        <v>1</v>
      </c>
    </row>
    <row r="868" spans="1:15" x14ac:dyDescent="0.35">
      <c r="A868" t="str">
        <v>electric_Comeng_Maldon_Dombarton_8650</v>
      </c>
      <c r="B868" t="b" cm="1">
        <f t="array" ref="B868">_xlfn.XLOOKUP(A868,CONTROL[VEHIDCODE],PROPERTIES[EXCLUDE])</f>
        <v>0</v>
      </c>
      <c r="C868" t="b">
        <f>_xlfn.XLOOKUP(A868,CONTROL[VEHIDCODE],CONTROL[IS_WAGON_OR_COACH])</f>
        <v>0</v>
      </c>
      <c r="D868">
        <f>FLOOR(_xlfn.XLOOKUP($A868,PROPERTIES[VEHIDCODE],PROPERTIES[INTRODUCTION_YEAR]),20)</f>
        <v>1980</v>
      </c>
      <c r="E868" t="e">
        <f>_xlfn.XLOOKUP($A868,PROPERTIES[VEHIDCODE],#REF!)</f>
        <v>#REF!</v>
      </c>
      <c r="F868" s="25" t="str" cm="1">
        <f t="array" ref="F868">_xlfn.CONCAT(_xlfn.XLOOKUP($A868,PROPERTIES[VEHIDCODE],PROPERTIES[REGION1]),"_",_xlfn.XLOOKUP($A868,PROPERTIES[VEHIDCODE],PROPERTIES[REGION2]),"_",_xlfn.XLOOKUP($A868,PROPERTIES[VEHIDCODE],PROPERTIES[REGION3]&amp;"_"&amp;_xlfn.XLOOKUP($A868,PROPERTIES[VEHIDCODE],PROPERTIES[REGION4])))</f>
        <v>OCEANIA_NO_REGION_NO_REGION_NO_REGION</v>
      </c>
      <c r="G868" t="b">
        <f t="shared" si="117"/>
        <v>0</v>
      </c>
      <c r="H868" t="b">
        <f t="shared" si="124"/>
        <v>0</v>
      </c>
      <c r="I868" t="b">
        <f t="shared" si="118"/>
        <v>0</v>
      </c>
      <c r="J868" t="b">
        <f t="shared" si="125"/>
        <v>0</v>
      </c>
      <c r="K868" t="b">
        <f t="shared" si="119"/>
        <v>0</v>
      </c>
      <c r="L868" t="b">
        <f t="shared" si="120"/>
        <v>0</v>
      </c>
      <c r="M868" t="b">
        <f t="shared" si="121"/>
        <v>0</v>
      </c>
      <c r="N868" t="b">
        <f t="shared" si="122"/>
        <v>0</v>
      </c>
      <c r="O868" t="b">
        <f t="shared" si="123"/>
        <v>1</v>
      </c>
    </row>
    <row r="869" spans="1:15" x14ac:dyDescent="0.35">
      <c r="A869" t="str">
        <v>diesel_EMD_NOHAB_J30C_2DSB_MZ_III</v>
      </c>
      <c r="B869" t="b" cm="1">
        <f t="array" ref="B869">_xlfn.XLOOKUP(A869,CONTROL[VEHIDCODE],PROPERTIES[EXCLUDE])</f>
        <v>0</v>
      </c>
      <c r="C869" t="b">
        <f>_xlfn.XLOOKUP(A869,CONTROL[VEHIDCODE],CONTROL[IS_WAGON_OR_COACH])</f>
        <v>0</v>
      </c>
      <c r="D869">
        <f>FLOOR(_xlfn.XLOOKUP($A869,PROPERTIES[VEHIDCODE],PROPERTIES[INTRODUCTION_YEAR]),20)</f>
        <v>1960</v>
      </c>
      <c r="E869" t="e">
        <f>_xlfn.XLOOKUP($A869,PROPERTIES[VEHIDCODE],#REF!)</f>
        <v>#REF!</v>
      </c>
      <c r="F869" s="25" t="str" cm="1">
        <f t="array" ref="F869">_xlfn.CONCAT(_xlfn.XLOOKUP($A869,PROPERTIES[VEHIDCODE],PROPERTIES[REGION1]),"_",_xlfn.XLOOKUP($A869,PROPERTIES[VEHIDCODE],PROPERTIES[REGION2]),"_",_xlfn.XLOOKUP($A869,PROPERTIES[VEHIDCODE],PROPERTIES[REGION3]&amp;"_"&amp;_xlfn.XLOOKUP($A869,PROPERTIES[VEHIDCODE],PROPERTIES[REGION4])))</f>
        <v>OCEANIA_NORTHERN_EUROPE_NO_REGION_NO_REGION</v>
      </c>
      <c r="G869" t="b">
        <f t="shared" si="117"/>
        <v>0</v>
      </c>
      <c r="H869" t="b">
        <f t="shared" si="124"/>
        <v>0</v>
      </c>
      <c r="I869" t="b">
        <f t="shared" si="118"/>
        <v>0</v>
      </c>
      <c r="J869" t="b">
        <f t="shared" si="125"/>
        <v>0</v>
      </c>
      <c r="K869" t="b">
        <f t="shared" si="119"/>
        <v>0</v>
      </c>
      <c r="L869" t="b">
        <f t="shared" si="120"/>
        <v>1</v>
      </c>
      <c r="M869" t="b">
        <f t="shared" si="121"/>
        <v>0</v>
      </c>
      <c r="N869" t="b">
        <f t="shared" si="122"/>
        <v>0</v>
      </c>
      <c r="O869" t="b">
        <f t="shared" si="123"/>
        <v>1</v>
      </c>
    </row>
    <row r="870" spans="1:15" x14ac:dyDescent="0.35">
      <c r="A870" t="str">
        <v>diesel_EMD_Clyde_AT26C_Twin_16_645</v>
      </c>
      <c r="B870" t="b" cm="1">
        <f t="array" ref="B870">_xlfn.XLOOKUP(A870,CONTROL[VEHIDCODE],PROPERTIES[EXCLUDE])</f>
        <v>0</v>
      </c>
      <c r="C870" t="b">
        <f>_xlfn.XLOOKUP(A870,CONTROL[VEHIDCODE],CONTROL[IS_WAGON_OR_COACH])</f>
        <v>0</v>
      </c>
      <c r="D870">
        <f>FLOOR(_xlfn.XLOOKUP($A870,PROPERTIES[VEHIDCODE],PROPERTIES[INTRODUCTION_YEAR]),20)</f>
        <v>1960</v>
      </c>
      <c r="E870" t="e">
        <f>_xlfn.XLOOKUP($A870,PROPERTIES[VEHIDCODE],#REF!)</f>
        <v>#REF!</v>
      </c>
      <c r="F870" s="25" t="str" cm="1">
        <f t="array" ref="F870">_xlfn.CONCAT(_xlfn.XLOOKUP($A870,PROPERTIES[VEHIDCODE],PROPERTIES[REGION1]),"_",_xlfn.XLOOKUP($A870,PROPERTIES[VEHIDCODE],PROPERTIES[REGION2]),"_",_xlfn.XLOOKUP($A870,PROPERTIES[VEHIDCODE],PROPERTIES[REGION3]&amp;"_"&amp;_xlfn.XLOOKUP($A870,PROPERTIES[VEHIDCODE],PROPERTIES[REGION4])))</f>
        <v>OCEANIA_NO_REGION_NO_REGION_NO_REGION</v>
      </c>
      <c r="G870" t="b">
        <f t="shared" si="117"/>
        <v>0</v>
      </c>
      <c r="H870" t="b">
        <f t="shared" si="124"/>
        <v>0</v>
      </c>
      <c r="I870" t="b">
        <f t="shared" si="118"/>
        <v>0</v>
      </c>
      <c r="J870" t="b">
        <f t="shared" si="125"/>
        <v>0</v>
      </c>
      <c r="K870" t="b">
        <f t="shared" si="119"/>
        <v>0</v>
      </c>
      <c r="L870" t="b">
        <f t="shared" si="120"/>
        <v>0</v>
      </c>
      <c r="M870" t="b">
        <f t="shared" si="121"/>
        <v>0</v>
      </c>
      <c r="N870" t="b">
        <f t="shared" si="122"/>
        <v>0</v>
      </c>
      <c r="O870" t="b">
        <f t="shared" si="123"/>
        <v>1</v>
      </c>
    </row>
    <row r="871" spans="1:15" x14ac:dyDescent="0.35">
      <c r="A871" t="str">
        <v>diesel_EMD_Clyde_GL26C_2</v>
      </c>
      <c r="B871" t="b" cm="1">
        <f t="array" ref="B871">_xlfn.XLOOKUP(A871,CONTROL[VEHIDCODE],PROPERTIES[EXCLUDE])</f>
        <v>0</v>
      </c>
      <c r="C871" t="b">
        <f>_xlfn.XLOOKUP(A871,CONTROL[VEHIDCODE],CONTROL[IS_WAGON_OR_COACH])</f>
        <v>0</v>
      </c>
      <c r="D871">
        <f>FLOOR(_xlfn.XLOOKUP($A871,PROPERTIES[VEHIDCODE],PROPERTIES[INTRODUCTION_YEAR]),20)</f>
        <v>1980</v>
      </c>
      <c r="E871" t="e">
        <f>_xlfn.XLOOKUP($A871,PROPERTIES[VEHIDCODE],#REF!)</f>
        <v>#REF!</v>
      </c>
      <c r="F871" s="25" t="str" cm="1">
        <f t="array" ref="F871">_xlfn.CONCAT(_xlfn.XLOOKUP($A871,PROPERTIES[VEHIDCODE],PROPERTIES[REGION1]),"_",_xlfn.XLOOKUP($A871,PROPERTIES[VEHIDCODE],PROPERTIES[REGION2]),"_",_xlfn.XLOOKUP($A871,PROPERTIES[VEHIDCODE],PROPERTIES[REGION3]&amp;"_"&amp;_xlfn.XLOOKUP($A871,PROPERTIES[VEHIDCODE],PROPERTIES[REGION4])))</f>
        <v>OCEANIA_NO_REGION_NO_REGION_NO_REGION</v>
      </c>
      <c r="G871" t="b">
        <f t="shared" si="117"/>
        <v>0</v>
      </c>
      <c r="H871" t="b">
        <f t="shared" si="124"/>
        <v>0</v>
      </c>
      <c r="I871" t="b">
        <f t="shared" si="118"/>
        <v>0</v>
      </c>
      <c r="J871" t="b">
        <f t="shared" si="125"/>
        <v>0</v>
      </c>
      <c r="K871" t="b">
        <f t="shared" si="119"/>
        <v>0</v>
      </c>
      <c r="L871" t="b">
        <f t="shared" si="120"/>
        <v>0</v>
      </c>
      <c r="M871" t="b">
        <f t="shared" si="121"/>
        <v>0</v>
      </c>
      <c r="N871" t="b">
        <f t="shared" si="122"/>
        <v>0</v>
      </c>
      <c r="O871" t="b">
        <f t="shared" si="123"/>
        <v>1</v>
      </c>
    </row>
    <row r="872" spans="1:15" x14ac:dyDescent="0.35">
      <c r="A872" t="str">
        <v>diesel_EEC_A_249_</v>
      </c>
      <c r="B872" t="b" cm="1">
        <f t="array" ref="B872">_xlfn.XLOOKUP(A872,CONTROL[VEHIDCODE],PROPERTIES[EXCLUDE])</f>
        <v>0</v>
      </c>
      <c r="C872" t="b">
        <f>_xlfn.XLOOKUP(A872,CONTROL[VEHIDCODE],CONTROL[IS_WAGON_OR_COACH])</f>
        <v>0</v>
      </c>
      <c r="D872">
        <f>FLOOR(_xlfn.XLOOKUP($A872,PROPERTIES[VEHIDCODE],PROPERTIES[INTRODUCTION_YEAR]),20)</f>
        <v>1960</v>
      </c>
      <c r="E872" t="e">
        <f>_xlfn.XLOOKUP($A872,PROPERTIES[VEHIDCODE],#REF!)</f>
        <v>#REF!</v>
      </c>
      <c r="F872" s="25" t="str" cm="1">
        <f t="array" ref="F872">_xlfn.CONCAT(_xlfn.XLOOKUP($A872,PROPERTIES[VEHIDCODE],PROPERTIES[REGION1]),"_",_xlfn.XLOOKUP($A872,PROPERTIES[VEHIDCODE],PROPERTIES[REGION2]),"_",_xlfn.XLOOKUP($A872,PROPERTIES[VEHIDCODE],PROPERTIES[REGION3]&amp;"_"&amp;_xlfn.XLOOKUP($A872,PROPERTIES[VEHIDCODE],PROPERTIES[REGION4])))</f>
        <v>OCEANIA_NO_REGION_NO_REGION_NO_REGION</v>
      </c>
      <c r="G872" t="b">
        <f t="shared" si="117"/>
        <v>0</v>
      </c>
      <c r="H872" t="b">
        <f t="shared" si="124"/>
        <v>0</v>
      </c>
      <c r="I872" t="b">
        <f t="shared" si="118"/>
        <v>0</v>
      </c>
      <c r="J872" t="b">
        <f t="shared" si="125"/>
        <v>0</v>
      </c>
      <c r="K872" t="b">
        <f t="shared" si="119"/>
        <v>0</v>
      </c>
      <c r="L872" t="b">
        <f t="shared" si="120"/>
        <v>0</v>
      </c>
      <c r="M872" t="b">
        <f t="shared" si="121"/>
        <v>0</v>
      </c>
      <c r="N872" t="b">
        <f t="shared" si="122"/>
        <v>0</v>
      </c>
      <c r="O872" t="b">
        <f t="shared" si="123"/>
        <v>1</v>
      </c>
    </row>
    <row r="873" spans="1:15" x14ac:dyDescent="0.35">
      <c r="A873" t="str">
        <v>diesel_EEC_A_253</v>
      </c>
      <c r="B873" t="b" cm="1">
        <f t="array" ref="B873">_xlfn.XLOOKUP(A873,CONTROL[VEHIDCODE],PROPERTIES[EXCLUDE])</f>
        <v>0</v>
      </c>
      <c r="C873" t="b">
        <f>_xlfn.XLOOKUP(A873,CONTROL[VEHIDCODE],CONTROL[IS_WAGON_OR_COACH])</f>
        <v>0</v>
      </c>
      <c r="D873">
        <f>FLOOR(_xlfn.XLOOKUP($A873,PROPERTIES[VEHIDCODE],PROPERTIES[INTRODUCTION_YEAR]),20)</f>
        <v>1960</v>
      </c>
      <c r="E873" t="e">
        <f>_xlfn.XLOOKUP($A873,PROPERTIES[VEHIDCODE],#REF!)</f>
        <v>#REF!</v>
      </c>
      <c r="F873" s="25" t="str" cm="1">
        <f t="array" ref="F873">_xlfn.CONCAT(_xlfn.XLOOKUP($A873,PROPERTIES[VEHIDCODE],PROPERTIES[REGION1]),"_",_xlfn.XLOOKUP($A873,PROPERTIES[VEHIDCODE],PROPERTIES[REGION2]),"_",_xlfn.XLOOKUP($A873,PROPERTIES[VEHIDCODE],PROPERTIES[REGION3]&amp;"_"&amp;_xlfn.XLOOKUP($A873,PROPERTIES[VEHIDCODE],PROPERTIES[REGION4])))</f>
        <v>OCEANIA_NO_REGION_NO_REGION_NO_REGION</v>
      </c>
      <c r="G873" t="b">
        <f t="shared" si="117"/>
        <v>0</v>
      </c>
      <c r="H873" t="b">
        <f t="shared" si="124"/>
        <v>0</v>
      </c>
      <c r="I873" t="b">
        <f t="shared" si="118"/>
        <v>0</v>
      </c>
      <c r="J873" t="b">
        <f t="shared" si="125"/>
        <v>0</v>
      </c>
      <c r="K873" t="b">
        <f t="shared" si="119"/>
        <v>0</v>
      </c>
      <c r="L873" t="b">
        <f t="shared" si="120"/>
        <v>0</v>
      </c>
      <c r="M873" t="b">
        <f t="shared" si="121"/>
        <v>0</v>
      </c>
      <c r="N873" t="b">
        <f t="shared" si="122"/>
        <v>0</v>
      </c>
      <c r="O873" t="b">
        <f t="shared" si="123"/>
        <v>1</v>
      </c>
    </row>
    <row r="874" spans="1:15" x14ac:dyDescent="0.35">
      <c r="A874" t="str">
        <v>diesel_GE_U26C</v>
      </c>
      <c r="B874" t="b" cm="1">
        <f t="array" ref="B874">_xlfn.XLOOKUP(A874,CONTROL[VEHIDCODE],PROPERTIES[EXCLUDE])</f>
        <v>0</v>
      </c>
      <c r="C874" t="b">
        <f>_xlfn.XLOOKUP(A874,CONTROL[VEHIDCODE],CONTROL[IS_WAGON_OR_COACH])</f>
        <v>0</v>
      </c>
      <c r="D874">
        <f>FLOOR(_xlfn.XLOOKUP($A874,PROPERTIES[VEHIDCODE],PROPERTIES[INTRODUCTION_YEAR]),20)</f>
        <v>1960</v>
      </c>
      <c r="E874" t="e">
        <f>_xlfn.XLOOKUP($A874,PROPERTIES[VEHIDCODE],#REF!)</f>
        <v>#REF!</v>
      </c>
      <c r="F874" s="25" t="str" cm="1">
        <f t="array" ref="F874">_xlfn.CONCAT(_xlfn.XLOOKUP($A874,PROPERTIES[VEHIDCODE],PROPERTIES[REGION1]),"_",_xlfn.XLOOKUP($A874,PROPERTIES[VEHIDCODE],PROPERTIES[REGION2]),"_",_xlfn.XLOOKUP($A874,PROPERTIES[VEHIDCODE],PROPERTIES[REGION3]&amp;"_"&amp;_xlfn.XLOOKUP($A874,PROPERTIES[VEHIDCODE],PROPERTIES[REGION4])))</f>
        <v>OCEANIA_AFRICA_SOUTH_AMERICA_NO_REGION</v>
      </c>
      <c r="G874" t="b">
        <f t="shared" si="117"/>
        <v>1</v>
      </c>
      <c r="H874" t="b">
        <f t="shared" si="124"/>
        <v>0</v>
      </c>
      <c r="I874" t="b">
        <f t="shared" si="118"/>
        <v>0</v>
      </c>
      <c r="J874" t="b">
        <f t="shared" si="125"/>
        <v>0</v>
      </c>
      <c r="K874" t="b">
        <f t="shared" si="119"/>
        <v>0</v>
      </c>
      <c r="L874" t="b">
        <f t="shared" si="120"/>
        <v>0</v>
      </c>
      <c r="M874" t="b">
        <f t="shared" si="121"/>
        <v>0</v>
      </c>
      <c r="N874" t="b">
        <f t="shared" si="122"/>
        <v>1</v>
      </c>
      <c r="O874" t="b">
        <f t="shared" si="123"/>
        <v>1</v>
      </c>
    </row>
    <row r="875" spans="1:15" x14ac:dyDescent="0.35">
      <c r="A875" t="str">
        <v>electric_Metrowick_BP_786</v>
      </c>
      <c r="B875" t="b" cm="1">
        <f t="array" ref="B875">_xlfn.XLOOKUP(A875,CONTROL[VEHIDCODE],PROPERTIES[EXCLUDE])</f>
        <v>0</v>
      </c>
      <c r="C875" t="b">
        <f>_xlfn.XLOOKUP(A875,CONTROL[VEHIDCODE],CONTROL[IS_WAGON_OR_COACH])</f>
        <v>0</v>
      </c>
      <c r="D875">
        <f>FLOOR(_xlfn.XLOOKUP($A875,PROPERTIES[VEHIDCODE],PROPERTIES[INTRODUCTION_YEAR]),20)</f>
        <v>1940</v>
      </c>
      <c r="E875" t="e">
        <f>_xlfn.XLOOKUP($A875,PROPERTIES[VEHIDCODE],#REF!)</f>
        <v>#REF!</v>
      </c>
      <c r="F875" s="25" t="str" cm="1">
        <f t="array" ref="F875">_xlfn.CONCAT(_xlfn.XLOOKUP($A875,PROPERTIES[VEHIDCODE],PROPERTIES[REGION1]),"_",_xlfn.XLOOKUP($A875,PROPERTIES[VEHIDCODE],PROPERTIES[REGION2]),"_",_xlfn.XLOOKUP($A875,PROPERTIES[VEHIDCODE],PROPERTIES[REGION3]&amp;"_"&amp;_xlfn.XLOOKUP($A875,PROPERTIES[VEHIDCODE],PROPERTIES[REGION4])))</f>
        <v>OCEANIA_NO_REGION_NO_REGION_NO_REGION</v>
      </c>
      <c r="G875" t="b">
        <f t="shared" si="117"/>
        <v>0</v>
      </c>
      <c r="H875" t="b">
        <f t="shared" si="124"/>
        <v>0</v>
      </c>
      <c r="I875" t="b">
        <f t="shared" si="118"/>
        <v>0</v>
      </c>
      <c r="J875" t="b">
        <f t="shared" si="125"/>
        <v>0</v>
      </c>
      <c r="K875" t="b">
        <f t="shared" si="119"/>
        <v>0</v>
      </c>
      <c r="L875" t="b">
        <f t="shared" si="120"/>
        <v>0</v>
      </c>
      <c r="M875" t="b">
        <f t="shared" si="121"/>
        <v>0</v>
      </c>
      <c r="N875" t="b">
        <f t="shared" si="122"/>
        <v>0</v>
      </c>
      <c r="O875" t="b">
        <f t="shared" si="123"/>
        <v>1</v>
      </c>
    </row>
    <row r="876" spans="1:15" x14ac:dyDescent="0.35">
      <c r="A876" t="str">
        <v>diesel_ALCO_RSC_3_77732</v>
      </c>
      <c r="B876" t="b" cm="1">
        <f t="array" ref="B876">_xlfn.XLOOKUP(A876,CONTROL[VEHIDCODE],PROPERTIES[EXCLUDE])</f>
        <v>1</v>
      </c>
      <c r="C876" t="b">
        <f>_xlfn.XLOOKUP(A876,CONTROL[VEHIDCODE],CONTROL[IS_WAGON_OR_COACH])</f>
        <v>0</v>
      </c>
      <c r="D876">
        <f>FLOOR(_xlfn.XLOOKUP($A876,PROPERTIES[VEHIDCODE],PROPERTIES[INTRODUCTION_YEAR]),20)</f>
        <v>1940</v>
      </c>
      <c r="E876" t="e">
        <f>_xlfn.XLOOKUP($A876,PROPERTIES[VEHIDCODE],#REF!)</f>
        <v>#REF!</v>
      </c>
      <c r="F876" s="25" t="str" cm="1">
        <f t="array" ref="F876">_xlfn.CONCAT(_xlfn.XLOOKUP($A876,PROPERTIES[VEHIDCODE],PROPERTIES[REGION1]),"_",_xlfn.XLOOKUP($A876,PROPERTIES[VEHIDCODE],PROPERTIES[REGION2]),"_",_xlfn.XLOOKUP($A876,PROPERTIES[VEHIDCODE],PROPERTIES[REGION3]&amp;"_"&amp;_xlfn.XLOOKUP($A876,PROPERTIES[VEHIDCODE],PROPERTIES[REGION4])))</f>
        <v>OCEANIA_NO_REGION_NO_REGION_NO_REGION</v>
      </c>
      <c r="G876" t="b">
        <f t="shared" si="117"/>
        <v>0</v>
      </c>
      <c r="H876" t="b">
        <f t="shared" si="124"/>
        <v>0</v>
      </c>
      <c r="I876" t="b">
        <f t="shared" si="118"/>
        <v>0</v>
      </c>
      <c r="J876" t="b">
        <f t="shared" si="125"/>
        <v>0</v>
      </c>
      <c r="K876" t="b">
        <f t="shared" si="119"/>
        <v>0</v>
      </c>
      <c r="L876" t="b">
        <f t="shared" si="120"/>
        <v>0</v>
      </c>
      <c r="M876" t="b">
        <f t="shared" si="121"/>
        <v>0</v>
      </c>
      <c r="N876" t="b">
        <f t="shared" si="122"/>
        <v>0</v>
      </c>
      <c r="O876" t="b">
        <f t="shared" si="123"/>
        <v>1</v>
      </c>
    </row>
    <row r="877" spans="1:15" x14ac:dyDescent="0.35">
      <c r="A877" t="str">
        <v>diesel_EMD_Clyde_G8C</v>
      </c>
      <c r="B877" t="b" cm="1">
        <f t="array" ref="B877">_xlfn.XLOOKUP(A877,CONTROL[VEHIDCODE],PROPERTIES[EXCLUDE])</f>
        <v>0</v>
      </c>
      <c r="C877" t="b">
        <f>_xlfn.XLOOKUP(A877,CONTROL[VEHIDCODE],CONTROL[IS_WAGON_OR_COACH])</f>
        <v>0</v>
      </c>
      <c r="D877">
        <f>FLOOR(_xlfn.XLOOKUP($A877,PROPERTIES[VEHIDCODE],PROPERTIES[INTRODUCTION_YEAR]),20)</f>
        <v>1960</v>
      </c>
      <c r="E877" t="e">
        <f>_xlfn.XLOOKUP($A877,PROPERTIES[VEHIDCODE],#REF!)</f>
        <v>#REF!</v>
      </c>
      <c r="F877" s="25" t="str" cm="1">
        <f t="array" ref="F877">_xlfn.CONCAT(_xlfn.XLOOKUP($A877,PROPERTIES[VEHIDCODE],PROPERTIES[REGION1]),"_",_xlfn.XLOOKUP($A877,PROPERTIES[VEHIDCODE],PROPERTIES[REGION2]),"_",_xlfn.XLOOKUP($A877,PROPERTIES[VEHIDCODE],PROPERTIES[REGION3]&amp;"_"&amp;_xlfn.XLOOKUP($A877,PROPERTIES[VEHIDCODE],PROPERTIES[REGION4])))</f>
        <v>OCEANIA_NO_REGION_NO_REGION_NO_REGION</v>
      </c>
      <c r="G877" t="b">
        <f t="shared" si="117"/>
        <v>0</v>
      </c>
      <c r="H877" t="b">
        <f t="shared" si="124"/>
        <v>0</v>
      </c>
      <c r="I877" t="b">
        <f t="shared" si="118"/>
        <v>0</v>
      </c>
      <c r="J877" t="b">
        <f t="shared" si="125"/>
        <v>0</v>
      </c>
      <c r="K877" t="b">
        <f t="shared" si="119"/>
        <v>0</v>
      </c>
      <c r="L877" t="b">
        <f t="shared" si="120"/>
        <v>0</v>
      </c>
      <c r="M877" t="b">
        <f t="shared" si="121"/>
        <v>0</v>
      </c>
      <c r="N877" t="b">
        <f t="shared" si="122"/>
        <v>0</v>
      </c>
      <c r="O877" t="b">
        <f t="shared" si="123"/>
        <v>1</v>
      </c>
    </row>
    <row r="878" spans="1:15" x14ac:dyDescent="0.35">
      <c r="A878" t="str">
        <v>diesel_EMD_Clyde_G12</v>
      </c>
      <c r="B878" t="b" cm="1">
        <f t="array" ref="B878">_xlfn.XLOOKUP(A878,CONTROL[VEHIDCODE],PROPERTIES[EXCLUDE])</f>
        <v>1</v>
      </c>
      <c r="C878" t="b">
        <f>_xlfn.XLOOKUP(A878,CONTROL[VEHIDCODE],CONTROL[IS_WAGON_OR_COACH])</f>
        <v>0</v>
      </c>
      <c r="D878">
        <f>FLOOR(_xlfn.XLOOKUP($A878,PROPERTIES[VEHIDCODE],PROPERTIES[INTRODUCTION_YEAR]),20)</f>
        <v>1940</v>
      </c>
      <c r="E878" t="e">
        <f>_xlfn.XLOOKUP($A878,PROPERTIES[VEHIDCODE],#REF!)</f>
        <v>#REF!</v>
      </c>
      <c r="F878" s="25" t="str" cm="1">
        <f t="array" ref="F878">_xlfn.CONCAT(_xlfn.XLOOKUP($A878,PROPERTIES[VEHIDCODE],PROPERTIES[REGION1]),"_",_xlfn.XLOOKUP($A878,PROPERTIES[VEHIDCODE],PROPERTIES[REGION2]),"_",_xlfn.XLOOKUP($A878,PROPERTIES[VEHIDCODE],PROPERTIES[REGION3]&amp;"_"&amp;_xlfn.XLOOKUP($A878,PROPERTIES[VEHIDCODE],PROPERTIES[REGION4])))</f>
        <v>OCEANIA_NO_REGION_NO_REGION_NO_REGION</v>
      </c>
      <c r="G878" t="b">
        <f t="shared" si="117"/>
        <v>0</v>
      </c>
      <c r="H878" t="b">
        <f t="shared" si="124"/>
        <v>0</v>
      </c>
      <c r="I878" t="b">
        <f t="shared" si="118"/>
        <v>0</v>
      </c>
      <c r="J878" t="b">
        <f t="shared" si="125"/>
        <v>0</v>
      </c>
      <c r="K878" t="b">
        <f t="shared" si="119"/>
        <v>0</v>
      </c>
      <c r="L878" t="b">
        <f t="shared" si="120"/>
        <v>0</v>
      </c>
      <c r="M878" t="b">
        <f t="shared" si="121"/>
        <v>0</v>
      </c>
      <c r="N878" t="b">
        <f t="shared" si="122"/>
        <v>0</v>
      </c>
      <c r="O878" t="b">
        <f t="shared" si="123"/>
        <v>1</v>
      </c>
    </row>
    <row r="879" spans="1:15" x14ac:dyDescent="0.35">
      <c r="A879" t="str">
        <v>diesel_EMD_Clyde_G8</v>
      </c>
      <c r="B879" t="b" cm="1">
        <f t="array" ref="B879">_xlfn.XLOOKUP(A879,CONTROL[VEHIDCODE],PROPERTIES[EXCLUDE])</f>
        <v>0</v>
      </c>
      <c r="C879" t="b">
        <f>_xlfn.XLOOKUP(A879,CONTROL[VEHIDCODE],CONTROL[IS_WAGON_OR_COACH])</f>
        <v>0</v>
      </c>
      <c r="D879">
        <f>FLOOR(_xlfn.XLOOKUP($A879,PROPERTIES[VEHIDCODE],PROPERTIES[INTRODUCTION_YEAR]),20)</f>
        <v>1960</v>
      </c>
      <c r="E879" t="e">
        <f>_xlfn.XLOOKUP($A879,PROPERTIES[VEHIDCODE],#REF!)</f>
        <v>#REF!</v>
      </c>
      <c r="F879" s="25" t="str" cm="1">
        <f t="array" ref="F879">_xlfn.CONCAT(_xlfn.XLOOKUP($A879,PROPERTIES[VEHIDCODE],PROPERTIES[REGION1]),"_",_xlfn.XLOOKUP($A879,PROPERTIES[VEHIDCODE],PROPERTIES[REGION2]),"_",_xlfn.XLOOKUP($A879,PROPERTIES[VEHIDCODE],PROPERTIES[REGION3]&amp;"_"&amp;_xlfn.XLOOKUP($A879,PROPERTIES[VEHIDCODE],PROPERTIES[REGION4])))</f>
        <v>OCEANIA_NO_REGION_NO_REGION_NO_REGION</v>
      </c>
      <c r="G879" t="b">
        <f t="shared" si="117"/>
        <v>0</v>
      </c>
      <c r="H879" t="b">
        <f t="shared" si="124"/>
        <v>0</v>
      </c>
      <c r="I879" t="b">
        <f t="shared" si="118"/>
        <v>0</v>
      </c>
      <c r="J879" t="b">
        <f t="shared" si="125"/>
        <v>0</v>
      </c>
      <c r="K879" t="b">
        <f t="shared" si="119"/>
        <v>0</v>
      </c>
      <c r="L879" t="b">
        <f t="shared" si="120"/>
        <v>0</v>
      </c>
      <c r="M879" t="b">
        <f t="shared" si="121"/>
        <v>0</v>
      </c>
      <c r="N879" t="b">
        <f t="shared" si="122"/>
        <v>0</v>
      </c>
      <c r="O879" t="b">
        <f t="shared" si="123"/>
        <v>1</v>
      </c>
    </row>
    <row r="880" spans="1:15" x14ac:dyDescent="0.35">
      <c r="A880" t="str">
        <v>diesel_Goninan_47_Class</v>
      </c>
      <c r="B880" t="b" cm="1">
        <f t="array" ref="B880">_xlfn.XLOOKUP(A880,CONTROL[VEHIDCODE],PROPERTIES[EXCLUDE])</f>
        <v>0</v>
      </c>
      <c r="C880" t="b">
        <f>_xlfn.XLOOKUP(A880,CONTROL[VEHIDCODE],CONTROL[IS_WAGON_OR_COACH])</f>
        <v>0</v>
      </c>
      <c r="D880">
        <f>FLOOR(_xlfn.XLOOKUP($A880,PROPERTIES[VEHIDCODE],PROPERTIES[INTRODUCTION_YEAR]),20)</f>
        <v>1960</v>
      </c>
      <c r="E880" t="e">
        <f>_xlfn.XLOOKUP($A880,PROPERTIES[VEHIDCODE],#REF!)</f>
        <v>#REF!</v>
      </c>
      <c r="F880" s="25" t="str" cm="1">
        <f t="array" ref="F880">_xlfn.CONCAT(_xlfn.XLOOKUP($A880,PROPERTIES[VEHIDCODE],PROPERTIES[REGION1]),"_",_xlfn.XLOOKUP($A880,PROPERTIES[VEHIDCODE],PROPERTIES[REGION2]),"_",_xlfn.XLOOKUP($A880,PROPERTIES[VEHIDCODE],PROPERTIES[REGION3]&amp;"_"&amp;_xlfn.XLOOKUP($A880,PROPERTIES[VEHIDCODE],PROPERTIES[REGION4])))</f>
        <v>OCEANIA_NO_REGION_NO_REGION_NO_REGION</v>
      </c>
      <c r="G880" t="b">
        <f t="shared" si="117"/>
        <v>0</v>
      </c>
      <c r="H880" t="b">
        <f t="shared" si="124"/>
        <v>0</v>
      </c>
      <c r="I880" t="b">
        <f t="shared" si="118"/>
        <v>0</v>
      </c>
      <c r="J880" t="b">
        <f t="shared" si="125"/>
        <v>0</v>
      </c>
      <c r="K880" t="b">
        <f t="shared" si="119"/>
        <v>0</v>
      </c>
      <c r="L880" t="b">
        <f t="shared" si="120"/>
        <v>0</v>
      </c>
      <c r="M880" t="b">
        <f t="shared" si="121"/>
        <v>0</v>
      </c>
      <c r="N880" t="b">
        <f t="shared" si="122"/>
        <v>0</v>
      </c>
      <c r="O880" t="b">
        <f t="shared" si="123"/>
        <v>1</v>
      </c>
    </row>
    <row r="881" spans="1:15" x14ac:dyDescent="0.35">
      <c r="A881" t="str">
        <v>steam_William_Fairbairn_2_2_2_Baroneza</v>
      </c>
      <c r="B881" t="b" cm="1">
        <f t="array" ref="B881">_xlfn.XLOOKUP(A881,CONTROL[VEHIDCODE],PROPERTIES[EXCLUDE])</f>
        <v>0</v>
      </c>
      <c r="C881" t="b">
        <f>_xlfn.XLOOKUP(A881,CONTROL[VEHIDCODE],CONTROL[IS_WAGON_OR_COACH])</f>
        <v>0</v>
      </c>
      <c r="D881">
        <f>FLOOR(_xlfn.XLOOKUP($A881,PROPERTIES[VEHIDCODE],PROPERTIES[INTRODUCTION_YEAR]),20)</f>
        <v>1840</v>
      </c>
      <c r="E881" t="e">
        <f>_xlfn.XLOOKUP($A881,PROPERTIES[VEHIDCODE],#REF!)</f>
        <v>#REF!</v>
      </c>
      <c r="F881" s="25" t="str" cm="1">
        <f t="array" ref="F881">_xlfn.CONCAT(_xlfn.XLOOKUP($A881,PROPERTIES[VEHIDCODE],PROPERTIES[REGION1]),"_",_xlfn.XLOOKUP($A881,PROPERTIES[VEHIDCODE],PROPERTIES[REGION2]),"_",_xlfn.XLOOKUP($A881,PROPERTIES[VEHIDCODE],PROPERTIES[REGION3]&amp;"_"&amp;_xlfn.XLOOKUP($A881,PROPERTIES[VEHIDCODE],PROPERTIES[REGION4])))</f>
        <v>SOUTH_AMERICA_NO_REGION_NO_REGION_NO_REGION</v>
      </c>
      <c r="G881" t="b">
        <f t="shared" si="117"/>
        <v>0</v>
      </c>
      <c r="H881" t="b">
        <f t="shared" si="124"/>
        <v>0</v>
      </c>
      <c r="I881" t="b">
        <f t="shared" si="118"/>
        <v>0</v>
      </c>
      <c r="J881" t="b">
        <f t="shared" si="125"/>
        <v>0</v>
      </c>
      <c r="K881" t="b">
        <f t="shared" si="119"/>
        <v>0</v>
      </c>
      <c r="L881" t="b">
        <f t="shared" si="120"/>
        <v>0</v>
      </c>
      <c r="M881" t="b">
        <f t="shared" si="121"/>
        <v>0</v>
      </c>
      <c r="N881" t="b">
        <f t="shared" si="122"/>
        <v>1</v>
      </c>
      <c r="O881" t="b">
        <f t="shared" si="123"/>
        <v>0</v>
      </c>
    </row>
    <row r="882" spans="1:15" x14ac:dyDescent="0.35">
      <c r="A882" t="str">
        <v>steam_Hunslet_0_4_0ST_La_Portena</v>
      </c>
      <c r="B882" t="b" cm="1">
        <f t="array" ref="B882">_xlfn.XLOOKUP(A882,CONTROL[VEHIDCODE],PROPERTIES[EXCLUDE])</f>
        <v>0</v>
      </c>
      <c r="C882" t="b">
        <f>_xlfn.XLOOKUP(A882,CONTROL[VEHIDCODE],CONTROL[IS_WAGON_OR_COACH])</f>
        <v>0</v>
      </c>
      <c r="D882">
        <f>FLOOR(_xlfn.XLOOKUP($A882,PROPERTIES[VEHIDCODE],PROPERTIES[INTRODUCTION_YEAR]),20)</f>
        <v>1840</v>
      </c>
      <c r="E882" t="e">
        <f>_xlfn.XLOOKUP($A882,PROPERTIES[VEHIDCODE],#REF!)</f>
        <v>#REF!</v>
      </c>
      <c r="F882" s="25" t="str" cm="1">
        <f t="array" ref="F882">_xlfn.CONCAT(_xlfn.XLOOKUP($A882,PROPERTIES[VEHIDCODE],PROPERTIES[REGION1]),"_",_xlfn.XLOOKUP($A882,PROPERTIES[VEHIDCODE],PROPERTIES[REGION2]),"_",_xlfn.XLOOKUP($A882,PROPERTIES[VEHIDCODE],PROPERTIES[REGION3]&amp;"_"&amp;_xlfn.XLOOKUP($A882,PROPERTIES[VEHIDCODE],PROPERTIES[REGION4])))</f>
        <v>SOUTH_AMERICA_NO_REGION_NO_REGION_NO_REGION</v>
      </c>
      <c r="G882" t="b">
        <f t="shared" si="117"/>
        <v>0</v>
      </c>
      <c r="H882" t="b">
        <f t="shared" si="124"/>
        <v>0</v>
      </c>
      <c r="I882" t="b">
        <f t="shared" si="118"/>
        <v>0</v>
      </c>
      <c r="J882" t="b">
        <f t="shared" si="125"/>
        <v>0</v>
      </c>
      <c r="K882" t="b">
        <f t="shared" si="119"/>
        <v>0</v>
      </c>
      <c r="L882" t="b">
        <f t="shared" si="120"/>
        <v>0</v>
      </c>
      <c r="M882" t="b">
        <f t="shared" si="121"/>
        <v>0</v>
      </c>
      <c r="N882" t="b">
        <f t="shared" si="122"/>
        <v>1</v>
      </c>
      <c r="O882" t="b">
        <f t="shared" si="123"/>
        <v>0</v>
      </c>
    </row>
    <row r="883" spans="1:15" x14ac:dyDescent="0.35">
      <c r="A883" t="str">
        <v>steam_Burnham_2_10_0_Dom_Pedro_Segundo_119</v>
      </c>
      <c r="B883" t="b" cm="1">
        <f t="array" ref="B883">_xlfn.XLOOKUP(A883,CONTROL[VEHIDCODE],PROPERTIES[EXCLUDE])</f>
        <v>0</v>
      </c>
      <c r="C883" t="b">
        <f>_xlfn.XLOOKUP(A883,CONTROL[VEHIDCODE],CONTROL[IS_WAGON_OR_COACH])</f>
        <v>0</v>
      </c>
      <c r="D883">
        <f>FLOOR(_xlfn.XLOOKUP($A883,PROPERTIES[VEHIDCODE],PROPERTIES[INTRODUCTION_YEAR]),20)</f>
        <v>1880</v>
      </c>
      <c r="E883" t="e">
        <f>_xlfn.XLOOKUP($A883,PROPERTIES[VEHIDCODE],#REF!)</f>
        <v>#REF!</v>
      </c>
      <c r="F883" s="25" t="str" cm="1">
        <f t="array" ref="F883">_xlfn.CONCAT(_xlfn.XLOOKUP($A883,PROPERTIES[VEHIDCODE],PROPERTIES[REGION1]),"_",_xlfn.XLOOKUP($A883,PROPERTIES[VEHIDCODE],PROPERTIES[REGION2]),"_",_xlfn.XLOOKUP($A883,PROPERTIES[VEHIDCODE],PROPERTIES[REGION3]&amp;"_"&amp;_xlfn.XLOOKUP($A883,PROPERTIES[VEHIDCODE],PROPERTIES[REGION4])))</f>
        <v>SOUTH_AMERICA_NO_REGION_NO_REGION_NO_REGION</v>
      </c>
      <c r="G883" t="b">
        <f t="shared" si="117"/>
        <v>0</v>
      </c>
      <c r="H883" t="b">
        <f t="shared" si="124"/>
        <v>0</v>
      </c>
      <c r="I883" t="b">
        <f t="shared" si="118"/>
        <v>0</v>
      </c>
      <c r="J883" t="b">
        <f t="shared" si="125"/>
        <v>0</v>
      </c>
      <c r="K883" t="b">
        <f t="shared" si="119"/>
        <v>0</v>
      </c>
      <c r="L883" t="b">
        <f t="shared" si="120"/>
        <v>0</v>
      </c>
      <c r="M883" t="b">
        <f t="shared" si="121"/>
        <v>0</v>
      </c>
      <c r="N883" t="b">
        <f t="shared" si="122"/>
        <v>1</v>
      </c>
      <c r="O883" t="b">
        <f t="shared" si="123"/>
        <v>0</v>
      </c>
    </row>
    <row r="884" spans="1:15" x14ac:dyDescent="0.35">
      <c r="A884" t="str">
        <v>steam_Baldwin_0_22C_No8_Monsefu</v>
      </c>
      <c r="B884" t="b" cm="1">
        <f t="array" ref="B884">_xlfn.XLOOKUP(A884,CONTROL[VEHIDCODE],PROPERTIES[EXCLUDE])</f>
        <v>0</v>
      </c>
      <c r="C884" t="b">
        <f>_xlfn.XLOOKUP(A884,CONTROL[VEHIDCODE],CONTROL[IS_WAGON_OR_COACH])</f>
        <v>0</v>
      </c>
      <c r="D884">
        <f>FLOOR(_xlfn.XLOOKUP($A884,PROPERTIES[VEHIDCODE],PROPERTIES[INTRODUCTION_YEAR]),20)</f>
        <v>1900</v>
      </c>
      <c r="E884" t="e">
        <f>_xlfn.XLOOKUP($A884,PROPERTIES[VEHIDCODE],#REF!)</f>
        <v>#REF!</v>
      </c>
      <c r="F884" s="25" t="str" cm="1">
        <f t="array" ref="F884">_xlfn.CONCAT(_xlfn.XLOOKUP($A884,PROPERTIES[VEHIDCODE],PROPERTIES[REGION1]),"_",_xlfn.XLOOKUP($A884,PROPERTIES[VEHIDCODE],PROPERTIES[REGION2]),"_",_xlfn.XLOOKUP($A884,PROPERTIES[VEHIDCODE],PROPERTIES[REGION3]&amp;"_"&amp;_xlfn.XLOOKUP($A884,PROPERTIES[VEHIDCODE],PROPERTIES[REGION4])))</f>
        <v>SOUTH_AMERICA_NO_REGION_NO_REGION_NO_REGION</v>
      </c>
      <c r="G884" t="b">
        <f t="shared" si="117"/>
        <v>0</v>
      </c>
      <c r="H884" t="b">
        <f t="shared" si="124"/>
        <v>0</v>
      </c>
      <c r="I884" t="b">
        <f t="shared" si="118"/>
        <v>0</v>
      </c>
      <c r="J884" t="b">
        <f t="shared" si="125"/>
        <v>0</v>
      </c>
      <c r="K884" t="b">
        <f t="shared" si="119"/>
        <v>0</v>
      </c>
      <c r="L884" t="b">
        <f t="shared" si="120"/>
        <v>0</v>
      </c>
      <c r="M884" t="b">
        <f t="shared" si="121"/>
        <v>0</v>
      </c>
      <c r="N884" t="b">
        <f t="shared" si="122"/>
        <v>1</v>
      </c>
      <c r="O884" t="b">
        <f t="shared" si="123"/>
        <v>0</v>
      </c>
    </row>
    <row r="885" spans="1:15" x14ac:dyDescent="0.35">
      <c r="A885" t="str">
        <v>steam_FCCP_Q_Class</v>
      </c>
      <c r="B885" t="b" cm="1">
        <f t="array" ref="B885">_xlfn.XLOOKUP(A885,CONTROL[VEHIDCODE],PROPERTIES[EXCLUDE])</f>
        <v>0</v>
      </c>
      <c r="C885" t="b">
        <f>_xlfn.XLOOKUP(A885,CONTROL[VEHIDCODE],CONTROL[IS_WAGON_OR_COACH])</f>
        <v>0</v>
      </c>
      <c r="D885">
        <f>FLOOR(_xlfn.XLOOKUP($A885,PROPERTIES[VEHIDCODE],PROPERTIES[INTRODUCTION_YEAR]),20)</f>
        <v>1900</v>
      </c>
      <c r="E885" t="e">
        <f>_xlfn.XLOOKUP($A885,PROPERTIES[VEHIDCODE],#REF!)</f>
        <v>#REF!</v>
      </c>
      <c r="F885" s="25" t="str" cm="1">
        <f t="array" ref="F885">_xlfn.CONCAT(_xlfn.XLOOKUP($A885,PROPERTIES[VEHIDCODE],PROPERTIES[REGION1]),"_",_xlfn.XLOOKUP($A885,PROPERTIES[VEHIDCODE],PROPERTIES[REGION2]),"_",_xlfn.XLOOKUP($A885,PROPERTIES[VEHIDCODE],PROPERTIES[REGION3]&amp;"_"&amp;_xlfn.XLOOKUP($A885,PROPERTIES[VEHIDCODE],PROPERTIES[REGION4])))</f>
        <v>SOUTH_AMERICA_NO_REGION_NO_REGION_NO_REGION</v>
      </c>
      <c r="G885" t="b">
        <f t="shared" si="117"/>
        <v>0</v>
      </c>
      <c r="H885" t="b">
        <f t="shared" si="124"/>
        <v>0</v>
      </c>
      <c r="I885" t="b">
        <f t="shared" si="118"/>
        <v>0</v>
      </c>
      <c r="J885" t="b">
        <f t="shared" si="125"/>
        <v>0</v>
      </c>
      <c r="K885" t="b">
        <f t="shared" si="119"/>
        <v>0</v>
      </c>
      <c r="L885" t="b">
        <f t="shared" si="120"/>
        <v>0</v>
      </c>
      <c r="M885" t="b">
        <f t="shared" si="121"/>
        <v>0</v>
      </c>
      <c r="N885" t="b">
        <f t="shared" si="122"/>
        <v>1</v>
      </c>
      <c r="O885" t="b">
        <f t="shared" si="123"/>
        <v>0</v>
      </c>
    </row>
    <row r="886" spans="1:15" x14ac:dyDescent="0.35">
      <c r="A886" t="str">
        <v>steam_NBLC_4_6_2_PS10_Class</v>
      </c>
      <c r="B886" t="b" cm="1">
        <f t="array" ref="B886">_xlfn.XLOOKUP(A886,CONTROL[VEHIDCODE],PROPERTIES[EXCLUDE])</f>
        <v>0</v>
      </c>
      <c r="C886" t="b">
        <f>_xlfn.XLOOKUP(A886,CONTROL[VEHIDCODE],CONTROL[IS_WAGON_OR_COACH])</f>
        <v>0</v>
      </c>
      <c r="D886">
        <f>FLOOR(_xlfn.XLOOKUP($A886,PROPERTIES[VEHIDCODE],PROPERTIES[INTRODUCTION_YEAR]),20)</f>
        <v>1900</v>
      </c>
      <c r="E886" t="e">
        <f>_xlfn.XLOOKUP($A886,PROPERTIES[VEHIDCODE],#REF!)</f>
        <v>#REF!</v>
      </c>
      <c r="F886" s="25" t="str" cm="1">
        <f t="array" ref="F886">_xlfn.CONCAT(_xlfn.XLOOKUP($A886,PROPERTIES[VEHIDCODE],PROPERTIES[REGION1]),"_",_xlfn.XLOOKUP($A886,PROPERTIES[VEHIDCODE],PROPERTIES[REGION2]),"_",_xlfn.XLOOKUP($A886,PROPERTIES[VEHIDCODE],PROPERTIES[REGION3]&amp;"_"&amp;_xlfn.XLOOKUP($A886,PROPERTIES[VEHIDCODE],PROPERTIES[REGION4])))</f>
        <v>SOUTH_AMERICA_NO_REGION_NO_REGION_NO_REGION</v>
      </c>
      <c r="G886" t="b">
        <f t="shared" si="117"/>
        <v>0</v>
      </c>
      <c r="H886" t="b">
        <f t="shared" si="124"/>
        <v>0</v>
      </c>
      <c r="I886" t="b">
        <f t="shared" si="118"/>
        <v>0</v>
      </c>
      <c r="J886" t="b">
        <f t="shared" si="125"/>
        <v>0</v>
      </c>
      <c r="K886" t="b">
        <f t="shared" si="119"/>
        <v>0</v>
      </c>
      <c r="L886" t="b">
        <f t="shared" si="120"/>
        <v>0</v>
      </c>
      <c r="M886" t="b">
        <f t="shared" si="121"/>
        <v>0</v>
      </c>
      <c r="N886" t="b">
        <f t="shared" si="122"/>
        <v>1</v>
      </c>
      <c r="O886" t="b">
        <f t="shared" si="123"/>
        <v>0</v>
      </c>
    </row>
    <row r="887" spans="1:15" x14ac:dyDescent="0.35">
      <c r="A887" t="str">
        <v>steam_Yorkshire_Engine_Co__4_8_4T_Nitrate_101</v>
      </c>
      <c r="B887" t="b" cm="1">
        <f t="array" ref="B887">_xlfn.XLOOKUP(A887,CONTROL[VEHIDCODE],PROPERTIES[EXCLUDE])</f>
        <v>0</v>
      </c>
      <c r="C887" t="b">
        <f>_xlfn.XLOOKUP(A887,CONTROL[VEHIDCODE],CONTROL[IS_WAGON_OR_COACH])</f>
        <v>0</v>
      </c>
      <c r="D887">
        <f>FLOOR(_xlfn.XLOOKUP($A887,PROPERTIES[VEHIDCODE],PROPERTIES[INTRODUCTION_YEAR]),20)</f>
        <v>1920</v>
      </c>
      <c r="E887" t="e">
        <f>_xlfn.XLOOKUP($A887,PROPERTIES[VEHIDCODE],#REF!)</f>
        <v>#REF!</v>
      </c>
      <c r="F887" s="25" t="str" cm="1">
        <f t="array" ref="F887">_xlfn.CONCAT(_xlfn.XLOOKUP($A887,PROPERTIES[VEHIDCODE],PROPERTIES[REGION1]),"_",_xlfn.XLOOKUP($A887,PROPERTIES[VEHIDCODE],PROPERTIES[REGION2]),"_",_xlfn.XLOOKUP($A887,PROPERTIES[VEHIDCODE],PROPERTIES[REGION3]&amp;"_"&amp;_xlfn.XLOOKUP($A887,PROPERTIES[VEHIDCODE],PROPERTIES[REGION4])))</f>
        <v>SOUTH_AMERICA_NO_REGION_NO_REGION_NO_REGION</v>
      </c>
      <c r="G887" t="b">
        <f t="shared" si="117"/>
        <v>0</v>
      </c>
      <c r="H887" t="b">
        <f t="shared" si="124"/>
        <v>0</v>
      </c>
      <c r="I887" t="b">
        <f t="shared" si="118"/>
        <v>0</v>
      </c>
      <c r="J887" t="b">
        <f t="shared" si="125"/>
        <v>0</v>
      </c>
      <c r="K887" t="b">
        <f t="shared" si="119"/>
        <v>0</v>
      </c>
      <c r="L887" t="b">
        <f t="shared" si="120"/>
        <v>0</v>
      </c>
      <c r="M887" t="b">
        <f t="shared" si="121"/>
        <v>0</v>
      </c>
      <c r="N887" t="b">
        <f t="shared" si="122"/>
        <v>1</v>
      </c>
      <c r="O887" t="b">
        <f t="shared" si="123"/>
        <v>0</v>
      </c>
    </row>
    <row r="888" spans="1:15" x14ac:dyDescent="0.35">
      <c r="A888" t="str">
        <v>electric_SLM_BBC_1_D_1</v>
      </c>
      <c r="B888" t="b" cm="1">
        <f t="array" ref="B888">_xlfn.XLOOKUP(A888,CONTROL[VEHIDCODE],PROPERTIES[EXCLUDE])</f>
        <v>0</v>
      </c>
      <c r="C888" t="b">
        <f>_xlfn.XLOOKUP(A888,CONTROL[VEHIDCODE],CONTROL[IS_WAGON_OR_COACH])</f>
        <v>0</v>
      </c>
      <c r="D888">
        <f>FLOOR(_xlfn.XLOOKUP($A888,PROPERTIES[VEHIDCODE],PROPERTIES[INTRODUCTION_YEAR]),20)</f>
        <v>1920</v>
      </c>
      <c r="E888" t="e">
        <f>_xlfn.XLOOKUP($A888,PROPERTIES[VEHIDCODE],#REF!)</f>
        <v>#REF!</v>
      </c>
      <c r="F888" s="25" t="str" cm="1">
        <f t="array" ref="F888">_xlfn.CONCAT(_xlfn.XLOOKUP($A888,PROPERTIES[VEHIDCODE],PROPERTIES[REGION1]),"_",_xlfn.XLOOKUP($A888,PROPERTIES[VEHIDCODE],PROPERTIES[REGION2]),"_",_xlfn.XLOOKUP($A888,PROPERTIES[VEHIDCODE],PROPERTIES[REGION3]&amp;"_"&amp;_xlfn.XLOOKUP($A888,PROPERTIES[VEHIDCODE],PROPERTIES[REGION4])))</f>
        <v>SOUTH_AMERICA_NO_REGION_NO_REGION_NO_REGION</v>
      </c>
      <c r="G888" t="b">
        <f t="shared" si="117"/>
        <v>0</v>
      </c>
      <c r="H888" t="b">
        <f t="shared" si="124"/>
        <v>0</v>
      </c>
      <c r="I888" t="b">
        <f t="shared" si="118"/>
        <v>0</v>
      </c>
      <c r="J888" t="b">
        <f t="shared" si="125"/>
        <v>0</v>
      </c>
      <c r="K888" t="b">
        <f t="shared" si="119"/>
        <v>0</v>
      </c>
      <c r="L888" t="b">
        <f t="shared" si="120"/>
        <v>0</v>
      </c>
      <c r="M888" t="b">
        <f t="shared" si="121"/>
        <v>0</v>
      </c>
      <c r="N888" t="b">
        <f t="shared" si="122"/>
        <v>1</v>
      </c>
      <c r="O888" t="b">
        <f t="shared" si="123"/>
        <v>0</v>
      </c>
    </row>
    <row r="889" spans="1:15" x14ac:dyDescent="0.35">
      <c r="A889" t="str">
        <v>electric_GE_2_C_C_2</v>
      </c>
      <c r="B889" t="b" cm="1">
        <f t="array" ref="B889">_xlfn.XLOOKUP(A889,CONTROL[VEHIDCODE],PROPERTIES[EXCLUDE])</f>
        <v>0</v>
      </c>
      <c r="C889" t="b">
        <f>_xlfn.XLOOKUP(A889,CONTROL[VEHIDCODE],CONTROL[IS_WAGON_OR_COACH])</f>
        <v>0</v>
      </c>
      <c r="D889">
        <f>FLOOR(_xlfn.XLOOKUP($A889,PROPERTIES[VEHIDCODE],PROPERTIES[INTRODUCTION_YEAR]),20)</f>
        <v>1940</v>
      </c>
      <c r="E889" t="e">
        <f>_xlfn.XLOOKUP($A889,PROPERTIES[VEHIDCODE],#REF!)</f>
        <v>#REF!</v>
      </c>
      <c r="F889" s="25" t="str" cm="1">
        <f t="array" ref="F889">_xlfn.CONCAT(_xlfn.XLOOKUP($A889,PROPERTIES[VEHIDCODE],PROPERTIES[REGION1]),"_",_xlfn.XLOOKUP($A889,PROPERTIES[VEHIDCODE],PROPERTIES[REGION2]),"_",_xlfn.XLOOKUP($A889,PROPERTIES[VEHIDCODE],PROPERTIES[REGION3]&amp;"_"&amp;_xlfn.XLOOKUP($A889,PROPERTIES[VEHIDCODE],PROPERTIES[REGION4])))</f>
        <v>SOUTH_AMERICA_NO_REGION_NO_REGION_NO_REGION</v>
      </c>
      <c r="G889" t="b">
        <f t="shared" si="117"/>
        <v>0</v>
      </c>
      <c r="H889" t="b">
        <f t="shared" si="124"/>
        <v>0</v>
      </c>
      <c r="I889" t="b">
        <f t="shared" si="118"/>
        <v>0</v>
      </c>
      <c r="J889" t="b">
        <f t="shared" si="125"/>
        <v>0</v>
      </c>
      <c r="K889" t="b">
        <f t="shared" si="119"/>
        <v>0</v>
      </c>
      <c r="L889" t="b">
        <f t="shared" si="120"/>
        <v>0</v>
      </c>
      <c r="M889" t="b">
        <f t="shared" si="121"/>
        <v>0</v>
      </c>
      <c r="N889" t="b">
        <f t="shared" si="122"/>
        <v>1</v>
      </c>
      <c r="O889" t="b">
        <f t="shared" si="123"/>
        <v>0</v>
      </c>
    </row>
    <row r="890" spans="1:15" x14ac:dyDescent="0.35">
      <c r="A890" t="str">
        <v>steam_Norris___Brothers_4_4_0_La_Copiapo</v>
      </c>
      <c r="B890" t="b" cm="1">
        <f t="array" ref="B890">_xlfn.XLOOKUP(A890,CONTROL[VEHIDCODE],PROPERTIES[EXCLUDE])</f>
        <v>0</v>
      </c>
      <c r="C890" t="b">
        <f>_xlfn.XLOOKUP(A890,CONTROL[VEHIDCODE],CONTROL[IS_WAGON_OR_COACH])</f>
        <v>0</v>
      </c>
      <c r="D890">
        <f>FLOOR(_xlfn.XLOOKUP($A890,PROPERTIES[VEHIDCODE],PROPERTIES[INTRODUCTION_YEAR]),20)</f>
        <v>1840</v>
      </c>
      <c r="E890" t="e">
        <f>_xlfn.XLOOKUP($A890,PROPERTIES[VEHIDCODE],#REF!)</f>
        <v>#REF!</v>
      </c>
      <c r="F890" s="25" t="str" cm="1">
        <f t="array" ref="F890">_xlfn.CONCAT(_xlfn.XLOOKUP($A890,PROPERTIES[VEHIDCODE],PROPERTIES[REGION1]),"_",_xlfn.XLOOKUP($A890,PROPERTIES[VEHIDCODE],PROPERTIES[REGION2]),"_",_xlfn.XLOOKUP($A890,PROPERTIES[VEHIDCODE],PROPERTIES[REGION3]&amp;"_"&amp;_xlfn.XLOOKUP($A890,PROPERTIES[VEHIDCODE],PROPERTIES[REGION4])))</f>
        <v>SOUTH_AMERICA_NO_REGION_NO_REGION_NO_REGION</v>
      </c>
      <c r="G890" t="b">
        <f t="shared" si="117"/>
        <v>0</v>
      </c>
      <c r="H890" t="b">
        <f t="shared" si="124"/>
        <v>0</v>
      </c>
      <c r="I890" t="b">
        <f t="shared" si="118"/>
        <v>0</v>
      </c>
      <c r="J890" t="b">
        <f t="shared" si="125"/>
        <v>0</v>
      </c>
      <c r="K890" t="b">
        <f t="shared" si="119"/>
        <v>0</v>
      </c>
      <c r="L890" t="b">
        <f t="shared" si="120"/>
        <v>0</v>
      </c>
      <c r="M890" t="b">
        <f t="shared" si="121"/>
        <v>0</v>
      </c>
      <c r="N890" t="b">
        <f t="shared" si="122"/>
        <v>1</v>
      </c>
      <c r="O890" t="b">
        <f t="shared" si="123"/>
        <v>0</v>
      </c>
    </row>
    <row r="891" spans="1:15" x14ac:dyDescent="0.35">
      <c r="A891" t="str">
        <v>electric_AEG_A1A_A1A</v>
      </c>
      <c r="B891" t="b" cm="1">
        <f t="array" ref="B891">_xlfn.XLOOKUP(A891,CONTROL[VEHIDCODE],PROPERTIES[EXCLUDE])</f>
        <v>0</v>
      </c>
      <c r="C891" t="b">
        <f>_xlfn.XLOOKUP(A891,CONTROL[VEHIDCODE],CONTROL[IS_WAGON_OR_COACH])</f>
        <v>0</v>
      </c>
      <c r="D891">
        <f>FLOOR(_xlfn.XLOOKUP($A891,PROPERTIES[VEHIDCODE],PROPERTIES[INTRODUCTION_YEAR]),20)</f>
        <v>1920</v>
      </c>
      <c r="E891" t="e">
        <f>_xlfn.XLOOKUP($A891,PROPERTIES[VEHIDCODE],#REF!)</f>
        <v>#REF!</v>
      </c>
      <c r="F891" s="25" t="str" cm="1">
        <f t="array" ref="F891">_xlfn.CONCAT(_xlfn.XLOOKUP($A891,PROPERTIES[VEHIDCODE],PROPERTIES[REGION1]),"_",_xlfn.XLOOKUP($A891,PROPERTIES[VEHIDCODE],PROPERTIES[REGION2]),"_",_xlfn.XLOOKUP($A891,PROPERTIES[VEHIDCODE],PROPERTIES[REGION3]&amp;"_"&amp;_xlfn.XLOOKUP($A891,PROPERTIES[VEHIDCODE],PROPERTIES[REGION4])))</f>
        <v>NORTH_AMERICA_NO_REGION_NO_REGION_NO_REGION</v>
      </c>
      <c r="G891" t="b">
        <f t="shared" si="117"/>
        <v>0</v>
      </c>
      <c r="H891" t="b">
        <f t="shared" si="124"/>
        <v>0</v>
      </c>
      <c r="I891" t="b">
        <f t="shared" si="118"/>
        <v>0</v>
      </c>
      <c r="J891" t="b">
        <f t="shared" si="125"/>
        <v>0</v>
      </c>
      <c r="K891" t="b">
        <f t="shared" si="119"/>
        <v>0</v>
      </c>
      <c r="L891" t="b">
        <f t="shared" si="120"/>
        <v>0</v>
      </c>
      <c r="M891" t="b">
        <f t="shared" si="121"/>
        <v>1</v>
      </c>
      <c r="N891" t="b">
        <f t="shared" si="122"/>
        <v>0</v>
      </c>
      <c r="O891" t="b">
        <f t="shared" si="123"/>
        <v>0</v>
      </c>
    </row>
    <row r="892" spans="1:15" x14ac:dyDescent="0.35">
      <c r="A892" t="str">
        <v>dmu_Ganz_Bariloche_DMU</v>
      </c>
      <c r="B892" t="b" cm="1">
        <f t="array" ref="B892">_xlfn.XLOOKUP(A892,CONTROL[VEHIDCODE],PROPERTIES[EXCLUDE])</f>
        <v>0</v>
      </c>
      <c r="C892" t="b">
        <f>_xlfn.XLOOKUP(A892,CONTROL[VEHIDCODE],CONTROL[IS_WAGON_OR_COACH])</f>
        <v>0</v>
      </c>
      <c r="D892">
        <f>FLOOR(_xlfn.XLOOKUP($A892,PROPERTIES[VEHIDCODE],PROPERTIES[INTRODUCTION_YEAR]),20)</f>
        <v>1920</v>
      </c>
      <c r="E892" t="e">
        <f>_xlfn.XLOOKUP($A892,PROPERTIES[VEHIDCODE],#REF!)</f>
        <v>#REF!</v>
      </c>
      <c r="F892" s="25" t="str" cm="1">
        <f t="array" ref="F892">_xlfn.CONCAT(_xlfn.XLOOKUP($A892,PROPERTIES[VEHIDCODE],PROPERTIES[REGION1]),"_",_xlfn.XLOOKUP($A892,PROPERTIES[VEHIDCODE],PROPERTIES[REGION2]),"_",_xlfn.XLOOKUP($A892,PROPERTIES[VEHIDCODE],PROPERTIES[REGION3]&amp;"_"&amp;_xlfn.XLOOKUP($A892,PROPERTIES[VEHIDCODE],PROPERTIES[REGION4])))</f>
        <v>SOUTH_AMERICA_NO_REGION_NO_REGION_NO_REGION</v>
      </c>
      <c r="G892" t="b">
        <f t="shared" si="117"/>
        <v>0</v>
      </c>
      <c r="H892" t="b">
        <f t="shared" si="124"/>
        <v>0</v>
      </c>
      <c r="I892" t="b">
        <f t="shared" si="118"/>
        <v>0</v>
      </c>
      <c r="J892" t="b">
        <f t="shared" si="125"/>
        <v>0</v>
      </c>
      <c r="K892" t="b">
        <f t="shared" si="119"/>
        <v>0</v>
      </c>
      <c r="L892" t="b">
        <f t="shared" si="120"/>
        <v>0</v>
      </c>
      <c r="M892" t="b">
        <f t="shared" si="121"/>
        <v>0</v>
      </c>
      <c r="N892" t="b">
        <f t="shared" si="122"/>
        <v>1</v>
      </c>
      <c r="O892" t="b">
        <f t="shared" si="123"/>
        <v>0</v>
      </c>
    </row>
    <row r="893" spans="1:15" x14ac:dyDescent="0.35">
      <c r="A893" t="str">
        <v>steam_Avonside_0_6_0ST_Sao_Paulo_No__13___14</v>
      </c>
      <c r="B893" t="b" cm="1">
        <f t="array" ref="B893">_xlfn.XLOOKUP(A893,CONTROL[VEHIDCODE],PROPERTIES[EXCLUDE])</f>
        <v>0</v>
      </c>
      <c r="C893" t="b">
        <f>_xlfn.XLOOKUP(A893,CONTROL[VEHIDCODE],CONTROL[IS_WAGON_OR_COACH])</f>
        <v>0</v>
      </c>
      <c r="D893">
        <f>FLOOR(_xlfn.XLOOKUP($A893,PROPERTIES[VEHIDCODE],PROPERTIES[INTRODUCTION_YEAR]),20)</f>
        <v>1860</v>
      </c>
      <c r="E893" t="e">
        <f>_xlfn.XLOOKUP($A893,PROPERTIES[VEHIDCODE],#REF!)</f>
        <v>#REF!</v>
      </c>
      <c r="F893" s="25" t="str" cm="1">
        <f t="array" ref="F893">_xlfn.CONCAT(_xlfn.XLOOKUP($A893,PROPERTIES[VEHIDCODE],PROPERTIES[REGION1]),"_",_xlfn.XLOOKUP($A893,PROPERTIES[VEHIDCODE],PROPERTIES[REGION2]),"_",_xlfn.XLOOKUP($A893,PROPERTIES[VEHIDCODE],PROPERTIES[REGION3]&amp;"_"&amp;_xlfn.XLOOKUP($A893,PROPERTIES[VEHIDCODE],PROPERTIES[REGION4])))</f>
        <v>SOUTH_AMERICA_NO_REGION_NO_REGION_NO_REGION</v>
      </c>
      <c r="G893" t="b">
        <f t="shared" si="117"/>
        <v>0</v>
      </c>
      <c r="H893" t="b">
        <f t="shared" si="124"/>
        <v>0</v>
      </c>
      <c r="I893" t="b">
        <f t="shared" si="118"/>
        <v>0</v>
      </c>
      <c r="J893" t="b">
        <f t="shared" si="125"/>
        <v>0</v>
      </c>
      <c r="K893" t="b">
        <f t="shared" si="119"/>
        <v>0</v>
      </c>
      <c r="L893" t="b">
        <f t="shared" si="120"/>
        <v>0</v>
      </c>
      <c r="M893" t="b">
        <f t="shared" si="121"/>
        <v>0</v>
      </c>
      <c r="N893" t="b">
        <f t="shared" si="122"/>
        <v>1</v>
      </c>
      <c r="O893" t="b">
        <f t="shared" si="123"/>
        <v>0</v>
      </c>
    </row>
    <row r="894" spans="1:15" x14ac:dyDescent="0.35">
      <c r="A894" t="str">
        <v>dmu_Ganz_CMU_4701_Transandino</v>
      </c>
      <c r="B894" t="b" cm="1">
        <f t="array" ref="B894">_xlfn.XLOOKUP(A894,CONTROL[VEHIDCODE],PROPERTIES[EXCLUDE])</f>
        <v>0</v>
      </c>
      <c r="C894" t="b">
        <f>_xlfn.XLOOKUP(A894,CONTROL[VEHIDCODE],CONTROL[IS_WAGON_OR_COACH])</f>
        <v>0</v>
      </c>
      <c r="D894">
        <f>FLOOR(_xlfn.XLOOKUP($A894,PROPERTIES[VEHIDCODE],PROPERTIES[INTRODUCTION_YEAR]),20)</f>
        <v>1960</v>
      </c>
      <c r="E894" t="e">
        <f>_xlfn.XLOOKUP($A894,PROPERTIES[VEHIDCODE],#REF!)</f>
        <v>#REF!</v>
      </c>
      <c r="F894" s="25" t="str" cm="1">
        <f t="array" ref="F894">_xlfn.CONCAT(_xlfn.XLOOKUP($A894,PROPERTIES[VEHIDCODE],PROPERTIES[REGION1]),"_",_xlfn.XLOOKUP($A894,PROPERTIES[VEHIDCODE],PROPERTIES[REGION2]),"_",_xlfn.XLOOKUP($A894,PROPERTIES[VEHIDCODE],PROPERTIES[REGION3]&amp;"_"&amp;_xlfn.XLOOKUP($A894,PROPERTIES[VEHIDCODE],PROPERTIES[REGION4])))</f>
        <v>SOUTH_AMERICA_NO_REGION_NO_REGION_NO_REGION</v>
      </c>
      <c r="G894" t="b">
        <f t="shared" si="117"/>
        <v>0</v>
      </c>
      <c r="H894" t="b">
        <f t="shared" si="124"/>
        <v>0</v>
      </c>
      <c r="I894" t="b">
        <f t="shared" si="118"/>
        <v>0</v>
      </c>
      <c r="J894" t="b">
        <f t="shared" si="125"/>
        <v>0</v>
      </c>
      <c r="K894" t="b">
        <f t="shared" si="119"/>
        <v>0</v>
      </c>
      <c r="L894" t="b">
        <f t="shared" si="120"/>
        <v>0</v>
      </c>
      <c r="M894" t="b">
        <f t="shared" si="121"/>
        <v>0</v>
      </c>
      <c r="N894" t="b">
        <f t="shared" si="122"/>
        <v>1</v>
      </c>
      <c r="O894" t="b">
        <f t="shared" si="123"/>
        <v>0</v>
      </c>
    </row>
    <row r="895" spans="1:15" x14ac:dyDescent="0.35">
      <c r="A895" t="str">
        <v>emu_Kawasaki_Hitachi_AEZ_Railcar</v>
      </c>
      <c r="B895" t="b" cm="1">
        <f t="array" ref="B895">_xlfn.XLOOKUP(A895,CONTROL[VEHIDCODE],PROPERTIES[EXCLUDE])</f>
        <v>0</v>
      </c>
      <c r="C895" t="b">
        <f>_xlfn.XLOOKUP(A895,CONTROL[VEHIDCODE],CONTROL[IS_WAGON_OR_COACH])</f>
        <v>0</v>
      </c>
      <c r="D895">
        <f>FLOOR(_xlfn.XLOOKUP($A895,PROPERTIES[VEHIDCODE],PROPERTIES[INTRODUCTION_YEAR]),20)</f>
        <v>1960</v>
      </c>
      <c r="E895" t="e">
        <f>_xlfn.XLOOKUP($A895,PROPERTIES[VEHIDCODE],#REF!)</f>
        <v>#REF!</v>
      </c>
      <c r="F895" s="25" t="str" cm="1">
        <f t="array" ref="F895">_xlfn.CONCAT(_xlfn.XLOOKUP($A895,PROPERTIES[VEHIDCODE],PROPERTIES[REGION1]),"_",_xlfn.XLOOKUP($A895,PROPERTIES[VEHIDCODE],PROPERTIES[REGION2]),"_",_xlfn.XLOOKUP($A895,PROPERTIES[VEHIDCODE],PROPERTIES[REGION3]&amp;"_"&amp;_xlfn.XLOOKUP($A895,PROPERTIES[VEHIDCODE],PROPERTIES[REGION4])))</f>
        <v>SOUTH_AMERICA_NO_REGION_NO_REGION_NO_REGION</v>
      </c>
      <c r="G895" t="b">
        <f t="shared" si="117"/>
        <v>0</v>
      </c>
      <c r="H895" t="b">
        <f t="shared" si="124"/>
        <v>0</v>
      </c>
      <c r="I895" t="b">
        <f t="shared" si="118"/>
        <v>0</v>
      </c>
      <c r="J895" t="b">
        <f t="shared" si="125"/>
        <v>0</v>
      </c>
      <c r="K895" t="b">
        <f t="shared" si="119"/>
        <v>0</v>
      </c>
      <c r="L895" t="b">
        <f t="shared" si="120"/>
        <v>0</v>
      </c>
      <c r="M895" t="b">
        <f t="shared" si="121"/>
        <v>0</v>
      </c>
      <c r="N895" t="b">
        <f t="shared" si="122"/>
        <v>1</v>
      </c>
      <c r="O895" t="b">
        <f t="shared" si="123"/>
        <v>0</v>
      </c>
    </row>
    <row r="896" spans="1:15" x14ac:dyDescent="0.35">
      <c r="A896" t="str">
        <v>emu_BREL_GEC_Auckland_ART_Concept</v>
      </c>
      <c r="B896" t="b" cm="1">
        <f t="array" ref="B896">_xlfn.XLOOKUP(A896,CONTROL[VEHIDCODE],PROPERTIES[EXCLUDE])</f>
        <v>0</v>
      </c>
      <c r="C896" t="b">
        <f>_xlfn.XLOOKUP(A896,CONTROL[VEHIDCODE],CONTROL[IS_WAGON_OR_COACH])</f>
        <v>0</v>
      </c>
      <c r="D896">
        <f>FLOOR(_xlfn.XLOOKUP($A896,PROPERTIES[VEHIDCODE],PROPERTIES[INTRODUCTION_YEAR]),20)</f>
        <v>1960</v>
      </c>
      <c r="E896" t="e">
        <f>_xlfn.XLOOKUP($A896,PROPERTIES[VEHIDCODE],#REF!)</f>
        <v>#REF!</v>
      </c>
      <c r="F896" s="25" t="str" cm="1">
        <f t="array" ref="F896">_xlfn.CONCAT(_xlfn.XLOOKUP($A896,PROPERTIES[VEHIDCODE],PROPERTIES[REGION1]),"_",_xlfn.XLOOKUP($A896,PROPERTIES[VEHIDCODE],PROPERTIES[REGION2]),"_",_xlfn.XLOOKUP($A896,PROPERTIES[VEHIDCODE],PROPERTIES[REGION3]&amp;"_"&amp;_xlfn.XLOOKUP($A896,PROPERTIES[VEHIDCODE],PROPERTIES[REGION4])))</f>
        <v>OCEANIA_NO_REGION_NO_REGION_NO_REGION</v>
      </c>
      <c r="G896" t="b">
        <f t="shared" si="117"/>
        <v>0</v>
      </c>
      <c r="H896" t="b">
        <f t="shared" si="124"/>
        <v>0</v>
      </c>
      <c r="I896" t="b">
        <f t="shared" si="118"/>
        <v>0</v>
      </c>
      <c r="J896" t="b">
        <f t="shared" si="125"/>
        <v>0</v>
      </c>
      <c r="K896" t="b">
        <f t="shared" si="119"/>
        <v>0</v>
      </c>
      <c r="L896" t="b">
        <f t="shared" si="120"/>
        <v>0</v>
      </c>
      <c r="M896" t="b">
        <f t="shared" si="121"/>
        <v>0</v>
      </c>
      <c r="N896" t="b">
        <f t="shared" si="122"/>
        <v>0</v>
      </c>
      <c r="O896" t="b">
        <f t="shared" si="123"/>
        <v>1</v>
      </c>
    </row>
    <row r="897" spans="1:15" x14ac:dyDescent="0.35">
      <c r="A897" t="str">
        <v>dmu_Comeng_1100_Railcar</v>
      </c>
      <c r="B897" t="b" cm="1">
        <f t="array" ref="B897">_xlfn.XLOOKUP(A897,CONTROL[VEHIDCODE],PROPERTIES[EXCLUDE])</f>
        <v>0</v>
      </c>
      <c r="C897" t="b">
        <f>_xlfn.XLOOKUP(A897,CONTROL[VEHIDCODE],CONTROL[IS_WAGON_OR_COACH])</f>
        <v>0</v>
      </c>
      <c r="D897">
        <f>FLOOR(_xlfn.XLOOKUP($A897,PROPERTIES[VEHIDCODE],PROPERTIES[INTRODUCTION_YEAR]),20)</f>
        <v>1960</v>
      </c>
      <c r="E897" t="e">
        <f>_xlfn.XLOOKUP($A897,PROPERTIES[VEHIDCODE],#REF!)</f>
        <v>#REF!</v>
      </c>
      <c r="F897" s="25" t="str" cm="1">
        <f t="array" ref="F897">_xlfn.CONCAT(_xlfn.XLOOKUP($A897,PROPERTIES[VEHIDCODE],PROPERTIES[REGION1]),"_",_xlfn.XLOOKUP($A897,PROPERTIES[VEHIDCODE],PROPERTIES[REGION2]),"_",_xlfn.XLOOKUP($A897,PROPERTIES[VEHIDCODE],PROPERTIES[REGION3]&amp;"_"&amp;_xlfn.XLOOKUP($A897,PROPERTIES[VEHIDCODE],PROPERTIES[REGION4])))</f>
        <v>OCEANIA_NO_REGION_NO_REGION_NO_REGION</v>
      </c>
      <c r="G897" t="b">
        <f t="shared" si="117"/>
        <v>0</v>
      </c>
      <c r="H897" t="b">
        <f t="shared" si="124"/>
        <v>0</v>
      </c>
      <c r="I897" t="b">
        <f t="shared" si="118"/>
        <v>0</v>
      </c>
      <c r="J897" t="b">
        <f t="shared" si="125"/>
        <v>0</v>
      </c>
      <c r="K897" t="b">
        <f t="shared" si="119"/>
        <v>0</v>
      </c>
      <c r="L897" t="b">
        <f t="shared" si="120"/>
        <v>0</v>
      </c>
      <c r="M897" t="b">
        <f t="shared" si="121"/>
        <v>0</v>
      </c>
      <c r="N897" t="b">
        <f t="shared" si="122"/>
        <v>0</v>
      </c>
      <c r="O897" t="b">
        <f t="shared" si="123"/>
        <v>1</v>
      </c>
    </row>
    <row r="898" spans="1:15" x14ac:dyDescent="0.35">
      <c r="A898" t="str">
        <v>dmu_Thai_Comeng_XPT_Concept</v>
      </c>
      <c r="B898" t="b" cm="1">
        <f t="array" ref="B898">_xlfn.XLOOKUP(A898,CONTROL[VEHIDCODE],PROPERTIES[EXCLUDE])</f>
        <v>0</v>
      </c>
      <c r="C898" t="b">
        <f>_xlfn.XLOOKUP(A898,CONTROL[VEHIDCODE],CONTROL[IS_WAGON_OR_COACH])</f>
        <v>0</v>
      </c>
      <c r="D898">
        <f>FLOOR(_xlfn.XLOOKUP($A898,PROPERTIES[VEHIDCODE],PROPERTIES[INTRODUCTION_YEAR]),20)</f>
        <v>1980</v>
      </c>
      <c r="E898" t="e">
        <f>_xlfn.XLOOKUP($A898,PROPERTIES[VEHIDCODE],#REF!)</f>
        <v>#REF!</v>
      </c>
      <c r="F898" s="25" t="str" cm="1">
        <f t="array" ref="F898">_xlfn.CONCAT(_xlfn.XLOOKUP($A898,PROPERTIES[VEHIDCODE],PROPERTIES[REGION1]),"_",_xlfn.XLOOKUP($A898,PROPERTIES[VEHIDCODE],PROPERTIES[REGION2]),"_",_xlfn.XLOOKUP($A898,PROPERTIES[VEHIDCODE],PROPERTIES[REGION3]&amp;"_"&amp;_xlfn.XLOOKUP($A898,PROPERTIES[VEHIDCODE],PROPERTIES[REGION4])))</f>
        <v>ASIA_NO_REGION_NO_REGION_NO_REGION</v>
      </c>
      <c r="G898" t="b">
        <f t="shared" ref="G898:G961" si="126">OR(ISNUMBER(SEARCH("ALL_REGION",$F898)),
ISNUMBER(SEARCH("AFRICA",$F898)),
ISNUMBER(SEARCH("OLD_WORLD",$F898)),
ISNUMBER(SEARCH("NON_EUROPEAN",$F898)))</f>
        <v>0</v>
      </c>
      <c r="H898" t="b">
        <f t="shared" si="124"/>
        <v>1</v>
      </c>
      <c r="I898" t="b">
        <f t="shared" ref="I898:I961" si="127">OR(ISNUMBER(SEARCH("ALL_REGION",$F898)),
ISNUMBER(SEARCH("ALL_EUROPE",$F898)),
ISNUMBER(SEARCH(I$1,$F898)),
ISNUMBER(SEARCH("OLD_WORLD",$F898)))</f>
        <v>0</v>
      </c>
      <c r="J898" t="b">
        <f t="shared" si="125"/>
        <v>0</v>
      </c>
      <c r="K898" t="b">
        <f t="shared" ref="K898:K961" si="128">OR(ISNUMBER(SEARCH("ALL_REGION",$F898)),
ISNUMBER(SEARCH("ALL_EUROPE",$F898)),
ISNUMBER(SEARCH(K$1,$F898)),
ISNUMBER(SEARCH("OLD_WORLD",$F898)),
ISNUMBER(SEARCH("NORTH_WEST_EUROPE",$F898)))</f>
        <v>0</v>
      </c>
      <c r="L898" t="b">
        <f t="shared" ref="L898:L961" si="129">OR(ISNUMBER(SEARCH("ALL_REGION",$F898)),
ISNUMBER(SEARCH("ALL_EUROPE",$F898)),
ISNUMBER(SEARCH(L$1,$F898)),
ISNUMBER(SEARCH("OLD_WORLD",$F898)),
ISNUMBER(SEARCH("NORTH_WEST_EUROPE",$F898)),
ISNUMBER(SEARCH("POST_SOVIET_BALTIC",$F898)))</f>
        <v>0</v>
      </c>
      <c r="M898" t="b">
        <f t="shared" ref="M898:M961" si="130">OR(ISNUMBER(SEARCH("ALL_REGION",$F898)),
ISNUMBER(SEARCH("ALL_AMERICA",$F898)),
ISNUMBER(SEARCH(M$1,$F898)),
ISNUMBER(SEARCH("NON_EUROPEAN",$F898)))</f>
        <v>0</v>
      </c>
      <c r="N898" t="b">
        <f t="shared" ref="N898:N961" si="131">OR(ISNUMBER(SEARCH("ALL_REGION",$F898)),
ISNUMBER(SEARCH("ALL_AMERICA",$F898)),
ISNUMBER(SEARCH(N$1,$F898)),
ISNUMBER(SEARCH("NON_EUROPEAN",$F898)),
ISNUMBER(SEARCH("COMECON_EXTENDED",$F898)))</f>
        <v>0</v>
      </c>
      <c r="O898" t="b">
        <f t="shared" ref="O898:O961" si="132">OR(ISNUMBER(SEARCH("ALL_REGION",$F898)),
ISNUMBER(SEARCH(O$1,$F898)),
ISNUMBER(SEARCH("APAC",$F898)))</f>
        <v>0</v>
      </c>
    </row>
    <row r="899" spans="1:15" x14ac:dyDescent="0.35">
      <c r="A899" t="str">
        <v>dmu_Comeng_NSW_XPT</v>
      </c>
      <c r="B899" t="b" cm="1">
        <f t="array" ref="B899">_xlfn.XLOOKUP(A899,CONTROL[VEHIDCODE],PROPERTIES[EXCLUDE])</f>
        <v>0</v>
      </c>
      <c r="C899" t="b">
        <f>_xlfn.XLOOKUP(A899,CONTROL[VEHIDCODE],CONTROL[IS_WAGON_OR_COACH])</f>
        <v>0</v>
      </c>
      <c r="D899">
        <f>FLOOR(_xlfn.XLOOKUP($A899,PROPERTIES[VEHIDCODE],PROPERTIES[INTRODUCTION_YEAR]),20)</f>
        <v>1980</v>
      </c>
      <c r="E899" t="e">
        <f>_xlfn.XLOOKUP($A899,PROPERTIES[VEHIDCODE],#REF!)</f>
        <v>#REF!</v>
      </c>
      <c r="F899" s="25" t="str" cm="1">
        <f t="array" ref="F899">_xlfn.CONCAT(_xlfn.XLOOKUP($A899,PROPERTIES[VEHIDCODE],PROPERTIES[REGION1]),"_",_xlfn.XLOOKUP($A899,PROPERTIES[VEHIDCODE],PROPERTIES[REGION2]),"_",_xlfn.XLOOKUP($A899,PROPERTIES[VEHIDCODE],PROPERTIES[REGION3]&amp;"_"&amp;_xlfn.XLOOKUP($A899,PROPERTIES[VEHIDCODE],PROPERTIES[REGION4])))</f>
        <v>OCEANIA_NO_REGION_NO_REGION_NO_REGION</v>
      </c>
      <c r="G899" t="b">
        <f t="shared" si="126"/>
        <v>0</v>
      </c>
      <c r="H899" t="b">
        <f t="shared" ref="H899:H962" si="133">OR(ISNUMBER(SEARCH("ALL_REGION",$F899)),
ISNUMBER(SEARCH("ASIA",$F899)),
ISNUMBER(SEARCH("OLD_WORLD",$F899)),
ISNUMBER(SEARCH("NON_EUROPEAN",$F899)),
ISNUMBER(SEARCH("APAC",$F899)),
ISNUMBER(SEARCH("COMECON",$F899)),
ISNUMBER(SEARCH("COMECON_EXTENDED",$F899)),
ISNUMBER(SEARCH("POST_SOVIET_BALTIC",$F899)))</f>
        <v>0</v>
      </c>
      <c r="I899" t="b">
        <f t="shared" si="127"/>
        <v>0</v>
      </c>
      <c r="J899" t="b">
        <f t="shared" ref="J899:J962" si="134">OR(ISNUMBER(SEARCH("ALL_REGION",$F899)),
ISNUMBER(SEARCH("ALL_EUROPE",$F899)),
ISNUMBER(SEARCH(J$1,$F899)),
ISNUMBER(SEARCH("OLD_WORLD",$F899)),
ISNUMBER(SEARCH("COMECON",$F899)),
ISNUMBER(SEARCH("POST_SOVIET_BALTIC",$F899)))</f>
        <v>0</v>
      </c>
      <c r="K899" t="b">
        <f t="shared" si="128"/>
        <v>0</v>
      </c>
      <c r="L899" t="b">
        <f t="shared" si="129"/>
        <v>0</v>
      </c>
      <c r="M899" t="b">
        <f t="shared" si="130"/>
        <v>0</v>
      </c>
      <c r="N899" t="b">
        <f t="shared" si="131"/>
        <v>0</v>
      </c>
      <c r="O899" t="b">
        <f t="shared" si="132"/>
        <v>1</v>
      </c>
    </row>
    <row r="900" spans="1:15" x14ac:dyDescent="0.35">
      <c r="A900" t="str">
        <v>emu_Tangara_V_Set_Hybrid_Concept</v>
      </c>
      <c r="B900" t="b" cm="1">
        <f t="array" ref="B900">_xlfn.XLOOKUP(A900,CONTROL[VEHIDCODE],PROPERTIES[EXCLUDE])</f>
        <v>0</v>
      </c>
      <c r="C900" t="b">
        <f>_xlfn.XLOOKUP(A900,CONTROL[VEHIDCODE],CONTROL[IS_WAGON_OR_COACH])</f>
        <v>0</v>
      </c>
      <c r="D900">
        <f>FLOOR(_xlfn.XLOOKUP($A900,PROPERTIES[VEHIDCODE],PROPERTIES[INTRODUCTION_YEAR]),20)</f>
        <v>1980</v>
      </c>
      <c r="E900" t="e">
        <f>_xlfn.XLOOKUP($A900,PROPERTIES[VEHIDCODE],#REF!)</f>
        <v>#REF!</v>
      </c>
      <c r="F900" s="25" t="str" cm="1">
        <f t="array" ref="F900">_xlfn.CONCAT(_xlfn.XLOOKUP($A900,PROPERTIES[VEHIDCODE],PROPERTIES[REGION1]),"_",_xlfn.XLOOKUP($A900,PROPERTIES[VEHIDCODE],PROPERTIES[REGION2]),"_",_xlfn.XLOOKUP($A900,PROPERTIES[VEHIDCODE],PROPERTIES[REGION3]&amp;"_"&amp;_xlfn.XLOOKUP($A900,PROPERTIES[VEHIDCODE],PROPERTIES[REGION4])))</f>
        <v>OCEANIA_NO_REGION_NO_REGION_NO_REGION</v>
      </c>
      <c r="G900" t="b">
        <f t="shared" si="126"/>
        <v>0</v>
      </c>
      <c r="H900" t="b">
        <f t="shared" si="133"/>
        <v>0</v>
      </c>
      <c r="I900" t="b">
        <f t="shared" si="127"/>
        <v>0</v>
      </c>
      <c r="J900" t="b">
        <f t="shared" si="134"/>
        <v>0</v>
      </c>
      <c r="K900" t="b">
        <f t="shared" si="128"/>
        <v>0</v>
      </c>
      <c r="L900" t="b">
        <f t="shared" si="129"/>
        <v>0</v>
      </c>
      <c r="M900" t="b">
        <f t="shared" si="130"/>
        <v>0</v>
      </c>
      <c r="N900" t="b">
        <f t="shared" si="131"/>
        <v>0</v>
      </c>
      <c r="O900" t="b">
        <f t="shared" si="132"/>
        <v>1</v>
      </c>
    </row>
    <row r="901" spans="1:15" x14ac:dyDescent="0.35">
      <c r="A901" t="str">
        <v>dmu_NSWGR_800_900_DEB</v>
      </c>
      <c r="B901" t="b" cm="1">
        <f t="array" ref="B901">_xlfn.XLOOKUP(A901,CONTROL[VEHIDCODE],PROPERTIES[EXCLUDE])</f>
        <v>0</v>
      </c>
      <c r="C901" t="b">
        <f>_xlfn.XLOOKUP(A901,CONTROL[VEHIDCODE],CONTROL[IS_WAGON_OR_COACH])</f>
        <v>0</v>
      </c>
      <c r="D901">
        <f>FLOOR(_xlfn.XLOOKUP($A901,PROPERTIES[VEHIDCODE],PROPERTIES[INTRODUCTION_YEAR]),20)</f>
        <v>1940</v>
      </c>
      <c r="E901" t="e">
        <f>_xlfn.XLOOKUP($A901,PROPERTIES[VEHIDCODE],#REF!)</f>
        <v>#REF!</v>
      </c>
      <c r="F901" s="25" t="str" cm="1">
        <f t="array" ref="F901">_xlfn.CONCAT(_xlfn.XLOOKUP($A901,PROPERTIES[VEHIDCODE],PROPERTIES[REGION1]),"_",_xlfn.XLOOKUP($A901,PROPERTIES[VEHIDCODE],PROPERTIES[REGION2]),"_",_xlfn.XLOOKUP($A901,PROPERTIES[VEHIDCODE],PROPERTIES[REGION3]&amp;"_"&amp;_xlfn.XLOOKUP($A901,PROPERTIES[VEHIDCODE],PROPERTIES[REGION4])))</f>
        <v>OCEANIA_NO_REGION_NO_REGION_NO_REGION</v>
      </c>
      <c r="G901" t="b">
        <f t="shared" si="126"/>
        <v>0</v>
      </c>
      <c r="H901" t="b">
        <f t="shared" si="133"/>
        <v>0</v>
      </c>
      <c r="I901" t="b">
        <f t="shared" si="127"/>
        <v>0</v>
      </c>
      <c r="J901" t="b">
        <f t="shared" si="134"/>
        <v>0</v>
      </c>
      <c r="K901" t="b">
        <f t="shared" si="128"/>
        <v>0</v>
      </c>
      <c r="L901" t="b">
        <f t="shared" si="129"/>
        <v>0</v>
      </c>
      <c r="M901" t="b">
        <f t="shared" si="130"/>
        <v>0</v>
      </c>
      <c r="N901" t="b">
        <f t="shared" si="131"/>
        <v>0</v>
      </c>
      <c r="O901" t="b">
        <f t="shared" si="132"/>
        <v>1</v>
      </c>
    </row>
    <row r="902" spans="1:15" x14ac:dyDescent="0.35">
      <c r="A902" t="str">
        <v>emu_Goninan_Tangara_4D_Prototype</v>
      </c>
      <c r="B902" t="b" cm="1">
        <f t="array" ref="B902">_xlfn.XLOOKUP(A902,CONTROL[VEHIDCODE],PROPERTIES[EXCLUDE])</f>
        <v>0</v>
      </c>
      <c r="C902" t="b">
        <f>_xlfn.XLOOKUP(A902,CONTROL[VEHIDCODE],CONTROL[IS_WAGON_OR_COACH])</f>
        <v>0</v>
      </c>
      <c r="D902">
        <f>FLOOR(_xlfn.XLOOKUP($A902,PROPERTIES[VEHIDCODE],PROPERTIES[INTRODUCTION_YEAR]),20)</f>
        <v>1980</v>
      </c>
      <c r="E902" t="e">
        <f>_xlfn.XLOOKUP($A902,PROPERTIES[VEHIDCODE],#REF!)</f>
        <v>#REF!</v>
      </c>
      <c r="F902" s="25" t="str" cm="1">
        <f t="array" ref="F902">_xlfn.CONCAT(_xlfn.XLOOKUP($A902,PROPERTIES[VEHIDCODE],PROPERTIES[REGION1]),"_",_xlfn.XLOOKUP($A902,PROPERTIES[VEHIDCODE],PROPERTIES[REGION2]),"_",_xlfn.XLOOKUP($A902,PROPERTIES[VEHIDCODE],PROPERTIES[REGION3]&amp;"_"&amp;_xlfn.XLOOKUP($A902,PROPERTIES[VEHIDCODE],PROPERTIES[REGION4])))</f>
        <v>OCEANIA_NO_REGION_NO_REGION_NO_REGION</v>
      </c>
      <c r="G902" t="b">
        <f t="shared" si="126"/>
        <v>0</v>
      </c>
      <c r="H902" t="b">
        <f t="shared" si="133"/>
        <v>0</v>
      </c>
      <c r="I902" t="b">
        <f t="shared" si="127"/>
        <v>0</v>
      </c>
      <c r="J902" t="b">
        <f t="shared" si="134"/>
        <v>0</v>
      </c>
      <c r="K902" t="b">
        <f t="shared" si="128"/>
        <v>0</v>
      </c>
      <c r="L902" t="b">
        <f t="shared" si="129"/>
        <v>0</v>
      </c>
      <c r="M902" t="b">
        <f t="shared" si="130"/>
        <v>0</v>
      </c>
      <c r="N902" t="b">
        <f t="shared" si="131"/>
        <v>0</v>
      </c>
      <c r="O902" t="b">
        <f t="shared" si="132"/>
        <v>1</v>
      </c>
    </row>
    <row r="903" spans="1:15" x14ac:dyDescent="0.35">
      <c r="A903" t="str">
        <v>emu_Goninan_Tangara_T_Set</v>
      </c>
      <c r="B903" t="b" cm="1">
        <f t="array" ref="B903">_xlfn.XLOOKUP(A903,CONTROL[VEHIDCODE],PROPERTIES[EXCLUDE])</f>
        <v>0</v>
      </c>
      <c r="C903" t="b">
        <f>_xlfn.XLOOKUP(A903,CONTROL[VEHIDCODE],CONTROL[IS_WAGON_OR_COACH])</f>
        <v>0</v>
      </c>
      <c r="D903">
        <f>FLOOR(_xlfn.XLOOKUP($A903,PROPERTIES[VEHIDCODE],PROPERTIES[INTRODUCTION_YEAR]),20)</f>
        <v>1980</v>
      </c>
      <c r="E903" t="e">
        <f>_xlfn.XLOOKUP($A903,PROPERTIES[VEHIDCODE],#REF!)</f>
        <v>#REF!</v>
      </c>
      <c r="F903" s="25" t="str" cm="1">
        <f t="array" ref="F903">_xlfn.CONCAT(_xlfn.XLOOKUP($A903,PROPERTIES[VEHIDCODE],PROPERTIES[REGION1]),"_",_xlfn.XLOOKUP($A903,PROPERTIES[VEHIDCODE],PROPERTIES[REGION2]),"_",_xlfn.XLOOKUP($A903,PROPERTIES[VEHIDCODE],PROPERTIES[REGION3]&amp;"_"&amp;_xlfn.XLOOKUP($A903,PROPERTIES[VEHIDCODE],PROPERTIES[REGION4])))</f>
        <v>OCEANIA_NO_REGION_NO_REGION_NO_REGION</v>
      </c>
      <c r="G903" t="b">
        <f t="shared" si="126"/>
        <v>0</v>
      </c>
      <c r="H903" t="b">
        <f t="shared" si="133"/>
        <v>0</v>
      </c>
      <c r="I903" t="b">
        <f t="shared" si="127"/>
        <v>0</v>
      </c>
      <c r="J903" t="b">
        <f t="shared" si="134"/>
        <v>0</v>
      </c>
      <c r="K903" t="b">
        <f t="shared" si="128"/>
        <v>0</v>
      </c>
      <c r="L903" t="b">
        <f t="shared" si="129"/>
        <v>0</v>
      </c>
      <c r="M903" t="b">
        <f t="shared" si="130"/>
        <v>0</v>
      </c>
      <c r="N903" t="b">
        <f t="shared" si="131"/>
        <v>0</v>
      </c>
      <c r="O903" t="b">
        <f t="shared" si="132"/>
        <v>1</v>
      </c>
    </row>
    <row r="904" spans="1:15" x14ac:dyDescent="0.35">
      <c r="A904" t="str">
        <v>dmu_NSWGR_600_700</v>
      </c>
      <c r="B904" t="b" cm="1">
        <f t="array" ref="B904">_xlfn.XLOOKUP(A904,CONTROL[VEHIDCODE],PROPERTIES[EXCLUDE])</f>
        <v>0</v>
      </c>
      <c r="C904" t="b">
        <f>_xlfn.XLOOKUP(A904,CONTROL[VEHIDCODE],CONTROL[IS_WAGON_OR_COACH])</f>
        <v>0</v>
      </c>
      <c r="D904">
        <f>FLOOR(_xlfn.XLOOKUP($A904,PROPERTIES[VEHIDCODE],PROPERTIES[INTRODUCTION_YEAR]),20)</f>
        <v>1940</v>
      </c>
      <c r="E904" t="e">
        <f>_xlfn.XLOOKUP($A904,PROPERTIES[VEHIDCODE],#REF!)</f>
        <v>#REF!</v>
      </c>
      <c r="F904" s="25" t="str" cm="1">
        <f t="array" ref="F904">_xlfn.CONCAT(_xlfn.XLOOKUP($A904,PROPERTIES[VEHIDCODE],PROPERTIES[REGION1]),"_",_xlfn.XLOOKUP($A904,PROPERTIES[VEHIDCODE],PROPERTIES[REGION2]),"_",_xlfn.XLOOKUP($A904,PROPERTIES[VEHIDCODE],PROPERTIES[REGION3]&amp;"_"&amp;_xlfn.XLOOKUP($A904,PROPERTIES[VEHIDCODE],PROPERTIES[REGION4])))</f>
        <v>OCEANIA_NO_REGION_NO_REGION_NO_REGION</v>
      </c>
      <c r="G904" t="b">
        <f t="shared" si="126"/>
        <v>0</v>
      </c>
      <c r="H904" t="b">
        <f t="shared" si="133"/>
        <v>0</v>
      </c>
      <c r="I904" t="b">
        <f t="shared" si="127"/>
        <v>0</v>
      </c>
      <c r="J904" t="b">
        <f t="shared" si="134"/>
        <v>0</v>
      </c>
      <c r="K904" t="b">
        <f t="shared" si="128"/>
        <v>0</v>
      </c>
      <c r="L904" t="b">
        <f t="shared" si="129"/>
        <v>0</v>
      </c>
      <c r="M904" t="b">
        <f t="shared" si="130"/>
        <v>0</v>
      </c>
      <c r="N904" t="b">
        <f t="shared" si="131"/>
        <v>0</v>
      </c>
      <c r="O904" t="b">
        <f t="shared" si="132"/>
        <v>1</v>
      </c>
    </row>
    <row r="905" spans="1:15" x14ac:dyDescent="0.35">
      <c r="A905" t="str">
        <v>dmu_Kawasaki_RM_Silver_Fern</v>
      </c>
      <c r="B905" t="b" cm="1">
        <f t="array" ref="B905">_xlfn.XLOOKUP(A905,CONTROL[VEHIDCODE],PROPERTIES[EXCLUDE])</f>
        <v>0</v>
      </c>
      <c r="C905" t="b">
        <f>_xlfn.XLOOKUP(A905,CONTROL[VEHIDCODE],CONTROL[IS_WAGON_OR_COACH])</f>
        <v>0</v>
      </c>
      <c r="D905">
        <f>FLOOR(_xlfn.XLOOKUP($A905,PROPERTIES[VEHIDCODE],PROPERTIES[INTRODUCTION_YEAR]),20)</f>
        <v>1960</v>
      </c>
      <c r="E905" t="e">
        <f>_xlfn.XLOOKUP($A905,PROPERTIES[VEHIDCODE],#REF!)</f>
        <v>#REF!</v>
      </c>
      <c r="F905" s="25" t="str" cm="1">
        <f t="array" ref="F905">_xlfn.CONCAT(_xlfn.XLOOKUP($A905,PROPERTIES[VEHIDCODE],PROPERTIES[REGION1]),"_",_xlfn.XLOOKUP($A905,PROPERTIES[VEHIDCODE],PROPERTIES[REGION2]),"_",_xlfn.XLOOKUP($A905,PROPERTIES[VEHIDCODE],PROPERTIES[REGION3]&amp;"_"&amp;_xlfn.XLOOKUP($A905,PROPERTIES[VEHIDCODE],PROPERTIES[REGION4])))</f>
        <v>OCEANIA_NO_REGION_NO_REGION_NO_REGION</v>
      </c>
      <c r="G905" t="b">
        <f t="shared" si="126"/>
        <v>0</v>
      </c>
      <c r="H905" t="b">
        <f t="shared" si="133"/>
        <v>0</v>
      </c>
      <c r="I905" t="b">
        <f t="shared" si="127"/>
        <v>0</v>
      </c>
      <c r="J905" t="b">
        <f t="shared" si="134"/>
        <v>0</v>
      </c>
      <c r="K905" t="b">
        <f t="shared" si="128"/>
        <v>0</v>
      </c>
      <c r="L905" t="b">
        <f t="shared" si="129"/>
        <v>0</v>
      </c>
      <c r="M905" t="b">
        <f t="shared" si="130"/>
        <v>0</v>
      </c>
      <c r="N905" t="b">
        <f t="shared" si="131"/>
        <v>0</v>
      </c>
      <c r="O905" t="b">
        <f t="shared" si="132"/>
        <v>1</v>
      </c>
    </row>
    <row r="906" spans="1:15" x14ac:dyDescent="0.35">
      <c r="A906" t="str">
        <v>emu_Comeng_W_Class_Sputnik</v>
      </c>
      <c r="B906" t="b" cm="1">
        <f t="array" ref="B906">_xlfn.XLOOKUP(A906,CONTROL[VEHIDCODE],PROPERTIES[EXCLUDE])</f>
        <v>0</v>
      </c>
      <c r="C906" t="b">
        <f>_xlfn.XLOOKUP(A906,CONTROL[VEHIDCODE],CONTROL[IS_WAGON_OR_COACH])</f>
        <v>0</v>
      </c>
      <c r="D906">
        <f>FLOOR(_xlfn.XLOOKUP($A906,PROPERTIES[VEHIDCODE],PROPERTIES[INTRODUCTION_YEAR]),20)</f>
        <v>1940</v>
      </c>
      <c r="E906" t="e">
        <f>_xlfn.XLOOKUP($A906,PROPERTIES[VEHIDCODE],#REF!)</f>
        <v>#REF!</v>
      </c>
      <c r="F906" s="25" t="str" cm="1">
        <f t="array" ref="F906">_xlfn.CONCAT(_xlfn.XLOOKUP($A906,PROPERTIES[VEHIDCODE],PROPERTIES[REGION1]),"_",_xlfn.XLOOKUP($A906,PROPERTIES[VEHIDCODE],PROPERTIES[REGION2]),"_",_xlfn.XLOOKUP($A906,PROPERTIES[VEHIDCODE],PROPERTIES[REGION3]&amp;"_"&amp;_xlfn.XLOOKUP($A906,PROPERTIES[VEHIDCODE],PROPERTIES[REGION4])))</f>
        <v>OCEANIA_NO_REGION_NO_REGION_NO_REGION</v>
      </c>
      <c r="G906" t="b">
        <f t="shared" si="126"/>
        <v>0</v>
      </c>
      <c r="H906" t="b">
        <f t="shared" si="133"/>
        <v>0</v>
      </c>
      <c r="I906" t="b">
        <f t="shared" si="127"/>
        <v>0</v>
      </c>
      <c r="J906" t="b">
        <f t="shared" si="134"/>
        <v>0</v>
      </c>
      <c r="K906" t="b">
        <f t="shared" si="128"/>
        <v>0</v>
      </c>
      <c r="L906" t="b">
        <f t="shared" si="129"/>
        <v>0</v>
      </c>
      <c r="M906" t="b">
        <f t="shared" si="130"/>
        <v>0</v>
      </c>
      <c r="N906" t="b">
        <f t="shared" si="131"/>
        <v>0</v>
      </c>
      <c r="O906" t="b">
        <f t="shared" si="132"/>
        <v>1</v>
      </c>
    </row>
    <row r="907" spans="1:15" x14ac:dyDescent="0.35">
      <c r="A907" t="str">
        <v>emu_Leeds_Clyde_Standard_EMU</v>
      </c>
      <c r="B907" t="b" cm="1">
        <f t="array" ref="B907">_xlfn.XLOOKUP(A907,CONTROL[VEHIDCODE],PROPERTIES[EXCLUDE])</f>
        <v>0</v>
      </c>
      <c r="C907" t="b">
        <f>_xlfn.XLOOKUP(A907,CONTROL[VEHIDCODE],CONTROL[IS_WAGON_OR_COACH])</f>
        <v>0</v>
      </c>
      <c r="D907">
        <f>FLOOR(_xlfn.XLOOKUP($A907,PROPERTIES[VEHIDCODE],PROPERTIES[INTRODUCTION_YEAR]),20)</f>
        <v>1920</v>
      </c>
      <c r="E907" t="e">
        <f>_xlfn.XLOOKUP($A907,PROPERTIES[VEHIDCODE],#REF!)</f>
        <v>#REF!</v>
      </c>
      <c r="F907" s="25" t="str" cm="1">
        <f t="array" ref="F907">_xlfn.CONCAT(_xlfn.XLOOKUP($A907,PROPERTIES[VEHIDCODE],PROPERTIES[REGION1]),"_",_xlfn.XLOOKUP($A907,PROPERTIES[VEHIDCODE],PROPERTIES[REGION2]),"_",_xlfn.XLOOKUP($A907,PROPERTIES[VEHIDCODE],PROPERTIES[REGION3]&amp;"_"&amp;_xlfn.XLOOKUP($A907,PROPERTIES[VEHIDCODE],PROPERTIES[REGION4])))</f>
        <v>OCEANIA_NO_REGION_NO_REGION_NO_REGION</v>
      </c>
      <c r="G907" t="b">
        <f t="shared" si="126"/>
        <v>0</v>
      </c>
      <c r="H907" t="b">
        <f t="shared" si="133"/>
        <v>0</v>
      </c>
      <c r="I907" t="b">
        <f t="shared" si="127"/>
        <v>0</v>
      </c>
      <c r="J907" t="b">
        <f t="shared" si="134"/>
        <v>0</v>
      </c>
      <c r="K907" t="b">
        <f t="shared" si="128"/>
        <v>0</v>
      </c>
      <c r="L907" t="b">
        <f t="shared" si="129"/>
        <v>0</v>
      </c>
      <c r="M907" t="b">
        <f t="shared" si="130"/>
        <v>0</v>
      </c>
      <c r="N907" t="b">
        <f t="shared" si="131"/>
        <v>0</v>
      </c>
      <c r="O907" t="b">
        <f t="shared" si="132"/>
        <v>1</v>
      </c>
    </row>
    <row r="908" spans="1:15" x14ac:dyDescent="0.35">
      <c r="A908" t="str">
        <v>emu_NSWGR_Tulloch_EMU</v>
      </c>
      <c r="B908" t="b" cm="1">
        <f t="array" ref="B908">_xlfn.XLOOKUP(A908,CONTROL[VEHIDCODE],PROPERTIES[EXCLUDE])</f>
        <v>0</v>
      </c>
      <c r="C908" t="b">
        <f>_xlfn.XLOOKUP(A908,CONTROL[VEHIDCODE],CONTROL[IS_WAGON_OR_COACH])</f>
        <v>0</v>
      </c>
      <c r="D908">
        <f>FLOOR(_xlfn.XLOOKUP($A908,PROPERTIES[VEHIDCODE],PROPERTIES[INTRODUCTION_YEAR]),20)</f>
        <v>1940</v>
      </c>
      <c r="E908" t="e">
        <f>_xlfn.XLOOKUP($A908,PROPERTIES[VEHIDCODE],#REF!)</f>
        <v>#REF!</v>
      </c>
      <c r="F908" s="25" t="str" cm="1">
        <f t="array" ref="F908">_xlfn.CONCAT(_xlfn.XLOOKUP($A908,PROPERTIES[VEHIDCODE],PROPERTIES[REGION1]),"_",_xlfn.XLOOKUP($A908,PROPERTIES[VEHIDCODE],PROPERTIES[REGION2]),"_",_xlfn.XLOOKUP($A908,PROPERTIES[VEHIDCODE],PROPERTIES[REGION3]&amp;"_"&amp;_xlfn.XLOOKUP($A908,PROPERTIES[VEHIDCODE],PROPERTIES[REGION4])))</f>
        <v>OCEANIA_NO_REGION_NO_REGION_NO_REGION</v>
      </c>
      <c r="G908" t="b">
        <f t="shared" si="126"/>
        <v>0</v>
      </c>
      <c r="H908" t="b">
        <f t="shared" si="133"/>
        <v>0</v>
      </c>
      <c r="I908" t="b">
        <f t="shared" si="127"/>
        <v>0</v>
      </c>
      <c r="J908" t="b">
        <f t="shared" si="134"/>
        <v>0</v>
      </c>
      <c r="K908" t="b">
        <f t="shared" si="128"/>
        <v>0</v>
      </c>
      <c r="L908" t="b">
        <f t="shared" si="129"/>
        <v>0</v>
      </c>
      <c r="M908" t="b">
        <f t="shared" si="130"/>
        <v>0</v>
      </c>
      <c r="N908" t="b">
        <f t="shared" si="131"/>
        <v>0</v>
      </c>
      <c r="O908" t="b">
        <f t="shared" si="132"/>
        <v>1</v>
      </c>
    </row>
    <row r="909" spans="1:15" x14ac:dyDescent="0.35">
      <c r="A909" t="str">
        <v>emu_Alstom_XTrapolis_100_Melbourne</v>
      </c>
      <c r="B909" t="b" cm="1">
        <f t="array" ref="B909">_xlfn.XLOOKUP(A909,CONTROL[VEHIDCODE],PROPERTIES[EXCLUDE])</f>
        <v>1</v>
      </c>
      <c r="C909" t="b">
        <f>_xlfn.XLOOKUP(A909,CONTROL[VEHIDCODE],CONTROL[IS_WAGON_OR_COACH])</f>
        <v>0</v>
      </c>
      <c r="D909">
        <f>FLOOR(_xlfn.XLOOKUP($A909,PROPERTIES[VEHIDCODE],PROPERTIES[INTRODUCTION_YEAR]),20)</f>
        <v>2000</v>
      </c>
      <c r="E909" t="e">
        <f>_xlfn.XLOOKUP($A909,PROPERTIES[VEHIDCODE],#REF!)</f>
        <v>#REF!</v>
      </c>
      <c r="F909" s="25" t="str" cm="1">
        <f t="array" ref="F909">_xlfn.CONCAT(_xlfn.XLOOKUP($A909,PROPERTIES[VEHIDCODE],PROPERTIES[REGION1]),"_",_xlfn.XLOOKUP($A909,PROPERTIES[VEHIDCODE],PROPERTIES[REGION2]),"_",_xlfn.XLOOKUP($A909,PROPERTIES[VEHIDCODE],PROPERTIES[REGION3]&amp;"_"&amp;_xlfn.XLOOKUP($A909,PROPERTIES[VEHIDCODE],PROPERTIES[REGION4])))</f>
        <v>OCEANIA_NO_REGION_NO_REGION_NO_REGION</v>
      </c>
      <c r="G909" t="b">
        <f t="shared" si="126"/>
        <v>0</v>
      </c>
      <c r="H909" t="b">
        <f t="shared" si="133"/>
        <v>0</v>
      </c>
      <c r="I909" t="b">
        <f t="shared" si="127"/>
        <v>0</v>
      </c>
      <c r="J909" t="b">
        <f t="shared" si="134"/>
        <v>0</v>
      </c>
      <c r="K909" t="b">
        <f t="shared" si="128"/>
        <v>0</v>
      </c>
      <c r="L909" t="b">
        <f t="shared" si="129"/>
        <v>0</v>
      </c>
      <c r="M909" t="b">
        <f t="shared" si="130"/>
        <v>0</v>
      </c>
      <c r="N909" t="b">
        <f t="shared" si="131"/>
        <v>0</v>
      </c>
      <c r="O909" t="b">
        <f t="shared" si="132"/>
        <v>1</v>
      </c>
    </row>
    <row r="910" spans="1:15" x14ac:dyDescent="0.35">
      <c r="A910" t="str">
        <v>mu_Coach_Gen1_American_Style_NZAUS_Coach</v>
      </c>
      <c r="B910" t="b" cm="1">
        <f t="array" ref="B910">_xlfn.XLOOKUP(A910,CONTROL[VEHIDCODE],PROPERTIES[EXCLUDE])</f>
        <v>0</v>
      </c>
      <c r="C910" t="b">
        <f>_xlfn.XLOOKUP(A910,CONTROL[VEHIDCODE],CONTROL[IS_WAGON_OR_COACH])</f>
        <v>1</v>
      </c>
      <c r="D910">
        <f>FLOOR(_xlfn.XLOOKUP($A910,PROPERTIES[VEHIDCODE],PROPERTIES[INTRODUCTION_YEAR]),20)</f>
        <v>1860</v>
      </c>
      <c r="E910" t="e">
        <f>_xlfn.XLOOKUP($A910,PROPERTIES[VEHIDCODE],#REF!)</f>
        <v>#REF!</v>
      </c>
      <c r="F910" s="25" t="str" cm="1">
        <f t="array" ref="F910">_xlfn.CONCAT(_xlfn.XLOOKUP($A910,PROPERTIES[VEHIDCODE],PROPERTIES[REGION1]),"_",_xlfn.XLOOKUP($A910,PROPERTIES[VEHIDCODE],PROPERTIES[REGION2]),"_",_xlfn.XLOOKUP($A910,PROPERTIES[VEHIDCODE],PROPERTIES[REGION3]&amp;"_"&amp;_xlfn.XLOOKUP($A910,PROPERTIES[VEHIDCODE],PROPERTIES[REGION4])))</f>
        <v>OCEANIA_NO_REGION_NO_REGION_NO_REGION</v>
      </c>
      <c r="G910" t="b">
        <f t="shared" si="126"/>
        <v>0</v>
      </c>
      <c r="H910" t="b">
        <f t="shared" si="133"/>
        <v>0</v>
      </c>
      <c r="I910" t="b">
        <f t="shared" si="127"/>
        <v>0</v>
      </c>
      <c r="J910" t="b">
        <f t="shared" si="134"/>
        <v>0</v>
      </c>
      <c r="K910" t="b">
        <f t="shared" si="128"/>
        <v>0</v>
      </c>
      <c r="L910" t="b">
        <f t="shared" si="129"/>
        <v>0</v>
      </c>
      <c r="M910" t="b">
        <f t="shared" si="130"/>
        <v>0</v>
      </c>
      <c r="N910" t="b">
        <f t="shared" si="131"/>
        <v>0</v>
      </c>
      <c r="O910" t="b">
        <f t="shared" si="132"/>
        <v>1</v>
      </c>
    </row>
    <row r="911" spans="1:15" x14ac:dyDescent="0.35">
      <c r="A911" t="str">
        <v>mu_Coach_Gen1_American_Style_NZAUS_Mail_Coach</v>
      </c>
      <c r="B911" t="b" cm="1">
        <f t="array" ref="B911">_xlfn.XLOOKUP(A911,CONTROL[VEHIDCODE],PROPERTIES[EXCLUDE])</f>
        <v>0</v>
      </c>
      <c r="C911" t="b">
        <f>_xlfn.XLOOKUP(A911,CONTROL[VEHIDCODE],CONTROL[IS_WAGON_OR_COACH])</f>
        <v>1</v>
      </c>
      <c r="D911">
        <f>FLOOR(_xlfn.XLOOKUP($A911,PROPERTIES[VEHIDCODE],PROPERTIES[INTRODUCTION_YEAR]),20)</f>
        <v>1860</v>
      </c>
      <c r="E911" t="e">
        <f>_xlfn.XLOOKUP($A911,PROPERTIES[VEHIDCODE],#REF!)</f>
        <v>#REF!</v>
      </c>
      <c r="F911" s="25" t="str" cm="1">
        <f t="array" ref="F911">_xlfn.CONCAT(_xlfn.XLOOKUP($A911,PROPERTIES[VEHIDCODE],PROPERTIES[REGION1]),"_",_xlfn.XLOOKUP($A911,PROPERTIES[VEHIDCODE],PROPERTIES[REGION2]),"_",_xlfn.XLOOKUP($A911,PROPERTIES[VEHIDCODE],PROPERTIES[REGION3]&amp;"_"&amp;_xlfn.XLOOKUP($A911,PROPERTIES[VEHIDCODE],PROPERTIES[REGION4])))</f>
        <v>OCEANIA_NO_REGION_NO_REGION_NO_REGION</v>
      </c>
      <c r="G911" t="b">
        <f t="shared" si="126"/>
        <v>0</v>
      </c>
      <c r="H911" t="b">
        <f t="shared" si="133"/>
        <v>0</v>
      </c>
      <c r="I911" t="b">
        <f t="shared" si="127"/>
        <v>0</v>
      </c>
      <c r="J911" t="b">
        <f t="shared" si="134"/>
        <v>0</v>
      </c>
      <c r="K911" t="b">
        <f t="shared" si="128"/>
        <v>0</v>
      </c>
      <c r="L911" t="b">
        <f t="shared" si="129"/>
        <v>0</v>
      </c>
      <c r="M911" t="b">
        <f t="shared" si="130"/>
        <v>0</v>
      </c>
      <c r="N911" t="b">
        <f t="shared" si="131"/>
        <v>0</v>
      </c>
      <c r="O911" t="b">
        <f t="shared" si="132"/>
        <v>1</v>
      </c>
    </row>
    <row r="912" spans="1:15" x14ac:dyDescent="0.35">
      <c r="A912" t="str">
        <v>mu_Coach_Gen1_2_Axle_NZAUS_Coach</v>
      </c>
      <c r="B912" t="b" cm="1">
        <f t="array" ref="B912">_xlfn.XLOOKUP(A912,CONTROL[VEHIDCODE],PROPERTIES[EXCLUDE])</f>
        <v>0</v>
      </c>
      <c r="C912" t="b">
        <f>_xlfn.XLOOKUP(A912,CONTROL[VEHIDCODE],CONTROL[IS_WAGON_OR_COACH])</f>
        <v>1</v>
      </c>
      <c r="D912">
        <f>FLOOR(_xlfn.XLOOKUP($A912,PROPERTIES[VEHIDCODE],PROPERTIES[INTRODUCTION_YEAR]),20)</f>
        <v>1840</v>
      </c>
      <c r="E912" t="e">
        <f>_xlfn.XLOOKUP($A912,PROPERTIES[VEHIDCODE],#REF!)</f>
        <v>#REF!</v>
      </c>
      <c r="F912" s="25" t="str" cm="1">
        <f t="array" ref="F912">_xlfn.CONCAT(_xlfn.XLOOKUP($A912,PROPERTIES[VEHIDCODE],PROPERTIES[REGION1]),"_",_xlfn.XLOOKUP($A912,PROPERTIES[VEHIDCODE],PROPERTIES[REGION2]),"_",_xlfn.XLOOKUP($A912,PROPERTIES[VEHIDCODE],PROPERTIES[REGION3]&amp;"_"&amp;_xlfn.XLOOKUP($A912,PROPERTIES[VEHIDCODE],PROPERTIES[REGION4])))</f>
        <v>OCEANIA_NO_REGION_NO_REGION_NO_REGION</v>
      </c>
      <c r="G912" t="b">
        <f t="shared" si="126"/>
        <v>0</v>
      </c>
      <c r="H912" t="b">
        <f t="shared" si="133"/>
        <v>0</v>
      </c>
      <c r="I912" t="b">
        <f t="shared" si="127"/>
        <v>0</v>
      </c>
      <c r="J912" t="b">
        <f t="shared" si="134"/>
        <v>0</v>
      </c>
      <c r="K912" t="b">
        <f t="shared" si="128"/>
        <v>0</v>
      </c>
      <c r="L912" t="b">
        <f t="shared" si="129"/>
        <v>0</v>
      </c>
      <c r="M912" t="b">
        <f t="shared" si="130"/>
        <v>0</v>
      </c>
      <c r="N912" t="b">
        <f t="shared" si="131"/>
        <v>0</v>
      </c>
      <c r="O912" t="b">
        <f t="shared" si="132"/>
        <v>1</v>
      </c>
    </row>
    <row r="913" spans="1:15" x14ac:dyDescent="0.35">
      <c r="A913" t="str">
        <v>mu_Coach_Gen1_2_Axle_NZAUS_Mail_Coach</v>
      </c>
      <c r="B913" t="b" cm="1">
        <f t="array" ref="B913">_xlfn.XLOOKUP(A913,CONTROL[VEHIDCODE],PROPERTIES[EXCLUDE])</f>
        <v>0</v>
      </c>
      <c r="C913" t="b">
        <f>_xlfn.XLOOKUP(A913,CONTROL[VEHIDCODE],CONTROL[IS_WAGON_OR_COACH])</f>
        <v>1</v>
      </c>
      <c r="D913">
        <f>FLOOR(_xlfn.XLOOKUP($A913,PROPERTIES[VEHIDCODE],PROPERTIES[INTRODUCTION_YEAR]),20)</f>
        <v>1840</v>
      </c>
      <c r="E913" t="e">
        <f>_xlfn.XLOOKUP($A913,PROPERTIES[VEHIDCODE],#REF!)</f>
        <v>#REF!</v>
      </c>
      <c r="F913" s="25" t="str" cm="1">
        <f t="array" ref="F913">_xlfn.CONCAT(_xlfn.XLOOKUP($A913,PROPERTIES[VEHIDCODE],PROPERTIES[REGION1]),"_",_xlfn.XLOOKUP($A913,PROPERTIES[VEHIDCODE],PROPERTIES[REGION2]),"_",_xlfn.XLOOKUP($A913,PROPERTIES[VEHIDCODE],PROPERTIES[REGION3]&amp;"_"&amp;_xlfn.XLOOKUP($A913,PROPERTIES[VEHIDCODE],PROPERTIES[REGION4])))</f>
        <v>OCEANIA_NO_REGION_NO_REGION_NO_REGION</v>
      </c>
      <c r="G913" t="b">
        <f t="shared" si="126"/>
        <v>0</v>
      </c>
      <c r="H913" t="b">
        <f t="shared" si="133"/>
        <v>0</v>
      </c>
      <c r="I913" t="b">
        <f t="shared" si="127"/>
        <v>0</v>
      </c>
      <c r="J913" t="b">
        <f t="shared" si="134"/>
        <v>0</v>
      </c>
      <c r="K913" t="b">
        <f t="shared" si="128"/>
        <v>0</v>
      </c>
      <c r="L913" t="b">
        <f t="shared" si="129"/>
        <v>0</v>
      </c>
      <c r="M913" t="b">
        <f t="shared" si="130"/>
        <v>0</v>
      </c>
      <c r="N913" t="b">
        <f t="shared" si="131"/>
        <v>0</v>
      </c>
      <c r="O913" t="b">
        <f t="shared" si="132"/>
        <v>1</v>
      </c>
    </row>
    <row r="914" spans="1:15" x14ac:dyDescent="0.35">
      <c r="A914" t="str">
        <v>mu_Coach_Gen1_End_Platform_2_Axle_NZAUS_Coach</v>
      </c>
      <c r="B914" t="b" cm="1">
        <f t="array" ref="B914">_xlfn.XLOOKUP(A914,CONTROL[VEHIDCODE],PROPERTIES[EXCLUDE])</f>
        <v>0</v>
      </c>
      <c r="C914" t="b">
        <f>_xlfn.XLOOKUP(A914,CONTROL[VEHIDCODE],CONTROL[IS_WAGON_OR_COACH])</f>
        <v>1</v>
      </c>
      <c r="D914">
        <f>FLOOR(_xlfn.XLOOKUP($A914,PROPERTIES[VEHIDCODE],PROPERTIES[INTRODUCTION_YEAR]),20)</f>
        <v>1860</v>
      </c>
      <c r="E914" t="e">
        <f>_xlfn.XLOOKUP($A914,PROPERTIES[VEHIDCODE],#REF!)</f>
        <v>#REF!</v>
      </c>
      <c r="F914" s="25" t="str" cm="1">
        <f t="array" ref="F914">_xlfn.CONCAT(_xlfn.XLOOKUP($A914,PROPERTIES[VEHIDCODE],PROPERTIES[REGION1]),"_",_xlfn.XLOOKUP($A914,PROPERTIES[VEHIDCODE],PROPERTIES[REGION2]),"_",_xlfn.XLOOKUP($A914,PROPERTIES[VEHIDCODE],PROPERTIES[REGION3]&amp;"_"&amp;_xlfn.XLOOKUP($A914,PROPERTIES[VEHIDCODE],PROPERTIES[REGION4])))</f>
        <v>OCEANIA_NO_REGION_NO_REGION_NO_REGION</v>
      </c>
      <c r="G914" t="b">
        <f t="shared" si="126"/>
        <v>0</v>
      </c>
      <c r="H914" t="b">
        <f t="shared" si="133"/>
        <v>0</v>
      </c>
      <c r="I914" t="b">
        <f t="shared" si="127"/>
        <v>0</v>
      </c>
      <c r="J914" t="b">
        <f t="shared" si="134"/>
        <v>0</v>
      </c>
      <c r="K914" t="b">
        <f t="shared" si="128"/>
        <v>0</v>
      </c>
      <c r="L914" t="b">
        <f t="shared" si="129"/>
        <v>0</v>
      </c>
      <c r="M914" t="b">
        <f t="shared" si="130"/>
        <v>0</v>
      </c>
      <c r="N914" t="b">
        <f t="shared" si="131"/>
        <v>0</v>
      </c>
      <c r="O914" t="b">
        <f t="shared" si="132"/>
        <v>1</v>
      </c>
    </row>
    <row r="915" spans="1:15" x14ac:dyDescent="0.35">
      <c r="A915" t="str">
        <v>mu_Coach_Gen1_Suburban_2_Axle_NZAUS_Coach</v>
      </c>
      <c r="B915" t="b" cm="1">
        <f t="array" ref="B915">_xlfn.XLOOKUP(A915,CONTROL[VEHIDCODE],PROPERTIES[EXCLUDE])</f>
        <v>0</v>
      </c>
      <c r="C915" t="b">
        <f>_xlfn.XLOOKUP(A915,CONTROL[VEHIDCODE],CONTROL[IS_WAGON_OR_COACH])</f>
        <v>1</v>
      </c>
      <c r="D915">
        <f>FLOOR(_xlfn.XLOOKUP($A915,PROPERTIES[VEHIDCODE],PROPERTIES[INTRODUCTION_YEAR]),20)</f>
        <v>1860</v>
      </c>
      <c r="E915" t="e">
        <f>_xlfn.XLOOKUP($A915,PROPERTIES[VEHIDCODE],#REF!)</f>
        <v>#REF!</v>
      </c>
      <c r="F915" s="25" t="str" cm="1">
        <f t="array" ref="F915">_xlfn.CONCAT(_xlfn.XLOOKUP($A915,PROPERTIES[VEHIDCODE],PROPERTIES[REGION1]),"_",_xlfn.XLOOKUP($A915,PROPERTIES[VEHIDCODE],PROPERTIES[REGION2]),"_",_xlfn.XLOOKUP($A915,PROPERTIES[VEHIDCODE],PROPERTIES[REGION3]&amp;"_"&amp;_xlfn.XLOOKUP($A915,PROPERTIES[VEHIDCODE],PROPERTIES[REGION4])))</f>
        <v>OCEANIA_NO_REGION_NO_REGION_NO_REGION</v>
      </c>
      <c r="G915" t="b">
        <f t="shared" si="126"/>
        <v>0</v>
      </c>
      <c r="H915" t="b">
        <f t="shared" si="133"/>
        <v>0</v>
      </c>
      <c r="I915" t="b">
        <f t="shared" si="127"/>
        <v>0</v>
      </c>
      <c r="J915" t="b">
        <f t="shared" si="134"/>
        <v>0</v>
      </c>
      <c r="K915" t="b">
        <f t="shared" si="128"/>
        <v>0</v>
      </c>
      <c r="L915" t="b">
        <f t="shared" si="129"/>
        <v>0</v>
      </c>
      <c r="M915" t="b">
        <f t="shared" si="130"/>
        <v>0</v>
      </c>
      <c r="N915" t="b">
        <f t="shared" si="131"/>
        <v>0</v>
      </c>
      <c r="O915" t="b">
        <f t="shared" si="132"/>
        <v>1</v>
      </c>
    </row>
    <row r="916" spans="1:15" x14ac:dyDescent="0.35">
      <c r="A916" t="str">
        <v>mu_Coach_Gen4_BREL_Mk3_Coach</v>
      </c>
      <c r="B916" t="b" cm="1">
        <f t="array" ref="B916">_xlfn.XLOOKUP(A916,CONTROL[VEHIDCODE],PROPERTIES[EXCLUDE])</f>
        <v>0</v>
      </c>
      <c r="C916" t="b">
        <f>_xlfn.XLOOKUP(A916,CONTROL[VEHIDCODE],CONTROL[IS_WAGON_OR_COACH])</f>
        <v>1</v>
      </c>
      <c r="D916">
        <f>FLOOR(_xlfn.XLOOKUP($A916,PROPERTIES[VEHIDCODE],PROPERTIES[INTRODUCTION_YEAR]),20)</f>
        <v>1960</v>
      </c>
      <c r="E916" t="e">
        <f>_xlfn.XLOOKUP($A916,PROPERTIES[VEHIDCODE],#REF!)</f>
        <v>#REF!</v>
      </c>
      <c r="F916" s="25" t="str" cm="1">
        <f t="array" ref="F916">_xlfn.CONCAT(_xlfn.XLOOKUP($A916,PROPERTIES[VEHIDCODE],PROPERTIES[REGION1]),"_",_xlfn.XLOOKUP($A916,PROPERTIES[VEHIDCODE],PROPERTIES[REGION2]),"_",_xlfn.XLOOKUP($A916,PROPERTIES[VEHIDCODE],PROPERTIES[REGION3]&amp;"_"&amp;_xlfn.XLOOKUP($A916,PROPERTIES[VEHIDCODE],PROPERTIES[REGION4])))</f>
        <v>OLD_WORLD_OCEANIA_NO_REGION_NO_REGION</v>
      </c>
      <c r="G916" t="b">
        <f t="shared" si="126"/>
        <v>1</v>
      </c>
      <c r="H916" t="b">
        <f t="shared" si="133"/>
        <v>1</v>
      </c>
      <c r="I916" t="b">
        <f t="shared" si="127"/>
        <v>1</v>
      </c>
      <c r="J916" t="b">
        <f t="shared" si="134"/>
        <v>1</v>
      </c>
      <c r="K916" t="b">
        <f t="shared" si="128"/>
        <v>1</v>
      </c>
      <c r="L916" t="b">
        <f t="shared" si="129"/>
        <v>1</v>
      </c>
      <c r="M916" t="b">
        <f t="shared" si="130"/>
        <v>0</v>
      </c>
      <c r="N916" t="b">
        <f t="shared" si="131"/>
        <v>0</v>
      </c>
      <c r="O916" t="b">
        <f t="shared" si="132"/>
        <v>1</v>
      </c>
    </row>
    <row r="917" spans="1:15" x14ac:dyDescent="0.35">
      <c r="A917" t="str">
        <v>mu_Coach_Gen4_BREL_Mk3_Mail_Coach</v>
      </c>
      <c r="B917" t="b" cm="1">
        <f t="array" ref="B917">_xlfn.XLOOKUP(A917,CONTROL[VEHIDCODE],PROPERTIES[EXCLUDE])</f>
        <v>0</v>
      </c>
      <c r="C917" t="b">
        <f>_xlfn.XLOOKUP(A917,CONTROL[VEHIDCODE],CONTROL[IS_WAGON_OR_COACH])</f>
        <v>1</v>
      </c>
      <c r="D917">
        <f>FLOOR(_xlfn.XLOOKUP($A917,PROPERTIES[VEHIDCODE],PROPERTIES[INTRODUCTION_YEAR]),20)</f>
        <v>1960</v>
      </c>
      <c r="E917" t="e">
        <f>_xlfn.XLOOKUP($A917,PROPERTIES[VEHIDCODE],#REF!)</f>
        <v>#REF!</v>
      </c>
      <c r="F917" s="25" t="str" cm="1">
        <f t="array" ref="F917">_xlfn.CONCAT(_xlfn.XLOOKUP($A917,PROPERTIES[VEHIDCODE],PROPERTIES[REGION1]),"_",_xlfn.XLOOKUP($A917,PROPERTIES[VEHIDCODE],PROPERTIES[REGION2]),"_",_xlfn.XLOOKUP($A917,PROPERTIES[VEHIDCODE],PROPERTIES[REGION3]&amp;"_"&amp;_xlfn.XLOOKUP($A917,PROPERTIES[VEHIDCODE],PROPERTIES[REGION4])))</f>
        <v>OLD_WORLD_OCEANIA_NO_REGION_NO_REGION</v>
      </c>
      <c r="G917" t="b">
        <f t="shared" si="126"/>
        <v>1</v>
      </c>
      <c r="H917" t="b">
        <f t="shared" si="133"/>
        <v>1</v>
      </c>
      <c r="I917" t="b">
        <f t="shared" si="127"/>
        <v>1</v>
      </c>
      <c r="J917" t="b">
        <f t="shared" si="134"/>
        <v>1</v>
      </c>
      <c r="K917" t="b">
        <f t="shared" si="128"/>
        <v>1</v>
      </c>
      <c r="L917" t="b">
        <f t="shared" si="129"/>
        <v>1</v>
      </c>
      <c r="M917" t="b">
        <f t="shared" si="130"/>
        <v>0</v>
      </c>
      <c r="N917" t="b">
        <f t="shared" si="131"/>
        <v>0</v>
      </c>
      <c r="O917" t="b">
        <f t="shared" si="132"/>
        <v>1</v>
      </c>
    </row>
    <row r="918" spans="1:15" x14ac:dyDescent="0.35">
      <c r="A918" t="str">
        <v>mu_Coach_Gen4_Comeng_Suburban_Double_Deck_SA2000</v>
      </c>
      <c r="B918" t="b" cm="1">
        <f t="array" ref="B918">_xlfn.XLOOKUP(A918,CONTROL[VEHIDCODE],PROPERTIES[EXCLUDE])</f>
        <v>0</v>
      </c>
      <c r="C918" t="b">
        <f>_xlfn.XLOOKUP(A918,CONTROL[VEHIDCODE],CONTROL[IS_WAGON_OR_COACH])</f>
        <v>1</v>
      </c>
      <c r="D918">
        <f>FLOOR(_xlfn.XLOOKUP($A918,PROPERTIES[VEHIDCODE],PROPERTIES[INTRODUCTION_YEAR]),20)</f>
        <v>1980</v>
      </c>
      <c r="E918" t="e">
        <f>_xlfn.XLOOKUP($A918,PROPERTIES[VEHIDCODE],#REF!)</f>
        <v>#REF!</v>
      </c>
      <c r="F918" s="25" t="str" cm="1">
        <f t="array" ref="F918">_xlfn.CONCAT(_xlfn.XLOOKUP($A918,PROPERTIES[VEHIDCODE],PROPERTIES[REGION1]),"_",_xlfn.XLOOKUP($A918,PROPERTIES[VEHIDCODE],PROPERTIES[REGION2]),"_",_xlfn.XLOOKUP($A918,PROPERTIES[VEHIDCODE],PROPERTIES[REGION3]&amp;"_"&amp;_xlfn.XLOOKUP($A918,PROPERTIES[VEHIDCODE],PROPERTIES[REGION4])))</f>
        <v>OCEANIA_NO_REGION_NO_REGION_NO_REGION</v>
      </c>
      <c r="G918" t="b">
        <f t="shared" si="126"/>
        <v>0</v>
      </c>
      <c r="H918" t="b">
        <f t="shared" si="133"/>
        <v>0</v>
      </c>
      <c r="I918" t="b">
        <f t="shared" si="127"/>
        <v>0</v>
      </c>
      <c r="J918" t="b">
        <f t="shared" si="134"/>
        <v>0</v>
      </c>
      <c r="K918" t="b">
        <f t="shared" si="128"/>
        <v>0</v>
      </c>
      <c r="L918" t="b">
        <f t="shared" si="129"/>
        <v>0</v>
      </c>
      <c r="M918" t="b">
        <f t="shared" si="130"/>
        <v>0</v>
      </c>
      <c r="N918" t="b">
        <f t="shared" si="131"/>
        <v>0</v>
      </c>
      <c r="O918" t="b">
        <f t="shared" si="132"/>
        <v>1</v>
      </c>
    </row>
    <row r="919" spans="1:15" x14ac:dyDescent="0.35">
      <c r="A919" t="str">
        <v>mu_Coach_Gen4_Gonian_4D_Concept</v>
      </c>
      <c r="B919" t="b" cm="1">
        <f t="array" ref="B919">_xlfn.XLOOKUP(A919,CONTROL[VEHIDCODE],PROPERTIES[EXCLUDE])</f>
        <v>0</v>
      </c>
      <c r="C919" t="b">
        <f>_xlfn.XLOOKUP(A919,CONTROL[VEHIDCODE],CONTROL[IS_WAGON_OR_COACH])</f>
        <v>1</v>
      </c>
      <c r="D919">
        <f>FLOOR(_xlfn.XLOOKUP($A919,PROPERTIES[VEHIDCODE],PROPERTIES[INTRODUCTION_YEAR]),20)</f>
        <v>1980</v>
      </c>
      <c r="E919" t="e">
        <f>_xlfn.XLOOKUP($A919,PROPERTIES[VEHIDCODE],#REF!)</f>
        <v>#REF!</v>
      </c>
      <c r="F919" s="25" t="str" cm="1">
        <f t="array" ref="F919">_xlfn.CONCAT(_xlfn.XLOOKUP($A919,PROPERTIES[VEHIDCODE],PROPERTIES[REGION1]),"_",_xlfn.XLOOKUP($A919,PROPERTIES[VEHIDCODE],PROPERTIES[REGION2]),"_",_xlfn.XLOOKUP($A919,PROPERTIES[VEHIDCODE],PROPERTIES[REGION3]&amp;"_"&amp;_xlfn.XLOOKUP($A919,PROPERTIES[VEHIDCODE],PROPERTIES[REGION4])))</f>
        <v>OCEANIA_NO_REGION_NO_REGION_NO_REGION</v>
      </c>
      <c r="G919" t="b">
        <f t="shared" si="126"/>
        <v>0</v>
      </c>
      <c r="H919" t="b">
        <f t="shared" si="133"/>
        <v>0</v>
      </c>
      <c r="I919" t="b">
        <f t="shared" si="127"/>
        <v>0</v>
      </c>
      <c r="J919" t="b">
        <f t="shared" si="134"/>
        <v>0</v>
      </c>
      <c r="K919" t="b">
        <f t="shared" si="128"/>
        <v>0</v>
      </c>
      <c r="L919" t="b">
        <f t="shared" si="129"/>
        <v>0</v>
      </c>
      <c r="M919" t="b">
        <f t="shared" si="130"/>
        <v>0</v>
      </c>
      <c r="N919" t="b">
        <f t="shared" si="131"/>
        <v>0</v>
      </c>
      <c r="O919" t="b">
        <f t="shared" si="132"/>
        <v>1</v>
      </c>
    </row>
    <row r="920" spans="1:15" x14ac:dyDescent="0.35">
      <c r="A920" t="str">
        <v>mu_Coach_Gen4_Gonian_Tangara_Concept</v>
      </c>
      <c r="B920" t="b" cm="1">
        <f t="array" ref="B920">_xlfn.XLOOKUP(A920,CONTROL[VEHIDCODE],PROPERTIES[EXCLUDE])</f>
        <v>0</v>
      </c>
      <c r="C920" t="b">
        <f>_xlfn.XLOOKUP(A920,CONTROL[VEHIDCODE],CONTROL[IS_WAGON_OR_COACH])</f>
        <v>1</v>
      </c>
      <c r="D920">
        <f>FLOOR(_xlfn.XLOOKUP($A920,PROPERTIES[VEHIDCODE],PROPERTIES[INTRODUCTION_YEAR]),20)</f>
        <v>1980</v>
      </c>
      <c r="E920" t="e">
        <f>_xlfn.XLOOKUP($A920,PROPERTIES[VEHIDCODE],#REF!)</f>
        <v>#REF!</v>
      </c>
      <c r="F920" s="25" t="str" cm="1">
        <f t="array" ref="F920">_xlfn.CONCAT(_xlfn.XLOOKUP($A920,PROPERTIES[VEHIDCODE],PROPERTIES[REGION1]),"_",_xlfn.XLOOKUP($A920,PROPERTIES[VEHIDCODE],PROPERTIES[REGION2]),"_",_xlfn.XLOOKUP($A920,PROPERTIES[VEHIDCODE],PROPERTIES[REGION3]&amp;"_"&amp;_xlfn.XLOOKUP($A920,PROPERTIES[VEHIDCODE],PROPERTIES[REGION4])))</f>
        <v>OCEANIA_NO_REGION_NO_REGION_NO_REGION</v>
      </c>
      <c r="G920" t="b">
        <f t="shared" si="126"/>
        <v>0</v>
      </c>
      <c r="H920" t="b">
        <f t="shared" si="133"/>
        <v>0</v>
      </c>
      <c r="I920" t="b">
        <f t="shared" si="127"/>
        <v>0</v>
      </c>
      <c r="J920" t="b">
        <f t="shared" si="134"/>
        <v>0</v>
      </c>
      <c r="K920" t="b">
        <f t="shared" si="128"/>
        <v>0</v>
      </c>
      <c r="L920" t="b">
        <f t="shared" si="129"/>
        <v>0</v>
      </c>
      <c r="M920" t="b">
        <f t="shared" si="130"/>
        <v>0</v>
      </c>
      <c r="N920" t="b">
        <f t="shared" si="131"/>
        <v>0</v>
      </c>
      <c r="O920" t="b">
        <f t="shared" si="132"/>
        <v>1</v>
      </c>
    </row>
    <row r="921" spans="1:15" x14ac:dyDescent="0.35">
      <c r="A921" t="str">
        <v>mu_Coach_Gen3_Hitachi_Nippon_Sharyo_Silver_Star_Coach</v>
      </c>
      <c r="B921" t="b" cm="1">
        <f t="array" ref="B921">_xlfn.XLOOKUP(A921,CONTROL[VEHIDCODE],PROPERTIES[EXCLUDE])</f>
        <v>0</v>
      </c>
      <c r="C921" t="b">
        <f>_xlfn.XLOOKUP(A921,CONTROL[VEHIDCODE],CONTROL[IS_WAGON_OR_COACH])</f>
        <v>1</v>
      </c>
      <c r="D921">
        <f>FLOOR(_xlfn.XLOOKUP($A921,PROPERTIES[VEHIDCODE],PROPERTIES[INTRODUCTION_YEAR]),20)</f>
        <v>1960</v>
      </c>
      <c r="E921" t="e">
        <f>_xlfn.XLOOKUP($A921,PROPERTIES[VEHIDCODE],#REF!)</f>
        <v>#REF!</v>
      </c>
      <c r="F921" s="25" t="str" cm="1">
        <f t="array" ref="F921">_xlfn.CONCAT(_xlfn.XLOOKUP($A921,PROPERTIES[VEHIDCODE],PROPERTIES[REGION1]),"_",_xlfn.XLOOKUP($A921,PROPERTIES[VEHIDCODE],PROPERTIES[REGION2]),"_",_xlfn.XLOOKUP($A921,PROPERTIES[VEHIDCODE],PROPERTIES[REGION3]&amp;"_"&amp;_xlfn.XLOOKUP($A921,PROPERTIES[VEHIDCODE],PROPERTIES[REGION4])))</f>
        <v>OCEANIA_NO_REGION_NO_REGION_NO_REGION</v>
      </c>
      <c r="G921" t="b">
        <f t="shared" si="126"/>
        <v>0</v>
      </c>
      <c r="H921" t="b">
        <f t="shared" si="133"/>
        <v>0</v>
      </c>
      <c r="I921" t="b">
        <f t="shared" si="127"/>
        <v>0</v>
      </c>
      <c r="J921" t="b">
        <f t="shared" si="134"/>
        <v>0</v>
      </c>
      <c r="K921" t="b">
        <f t="shared" si="128"/>
        <v>0</v>
      </c>
      <c r="L921" t="b">
        <f t="shared" si="129"/>
        <v>0</v>
      </c>
      <c r="M921" t="b">
        <f t="shared" si="130"/>
        <v>0</v>
      </c>
      <c r="N921" t="b">
        <f t="shared" si="131"/>
        <v>0</v>
      </c>
      <c r="O921" t="b">
        <f t="shared" si="132"/>
        <v>1</v>
      </c>
    </row>
    <row r="922" spans="1:15" x14ac:dyDescent="0.35">
      <c r="A922" t="str">
        <v>mu_Coach_Gen3_Hitachi_Nippon_Sharyo_Silver_Star_Mail_Coach</v>
      </c>
      <c r="B922" t="b" cm="1">
        <f t="array" ref="B922">_xlfn.XLOOKUP(A922,CONTROL[VEHIDCODE],PROPERTIES[EXCLUDE])</f>
        <v>0</v>
      </c>
      <c r="C922" t="b">
        <f>_xlfn.XLOOKUP(A922,CONTROL[VEHIDCODE],CONTROL[IS_WAGON_OR_COACH])</f>
        <v>1</v>
      </c>
      <c r="D922">
        <f>FLOOR(_xlfn.XLOOKUP($A922,PROPERTIES[VEHIDCODE],PROPERTIES[INTRODUCTION_YEAR]),20)</f>
        <v>1960</v>
      </c>
      <c r="E922" t="e">
        <f>_xlfn.XLOOKUP($A922,PROPERTIES[VEHIDCODE],#REF!)</f>
        <v>#REF!</v>
      </c>
      <c r="F922" s="25" t="str" cm="1">
        <f t="array" ref="F922">_xlfn.CONCAT(_xlfn.XLOOKUP($A922,PROPERTIES[VEHIDCODE],PROPERTIES[REGION1]),"_",_xlfn.XLOOKUP($A922,PROPERTIES[VEHIDCODE],PROPERTIES[REGION2]),"_",_xlfn.XLOOKUP($A922,PROPERTIES[VEHIDCODE],PROPERTIES[REGION3]&amp;"_"&amp;_xlfn.XLOOKUP($A922,PROPERTIES[VEHIDCODE],PROPERTIES[REGION4])))</f>
        <v>OCEANIA_NO_REGION_NO_REGION_NO_REGION</v>
      </c>
      <c r="G922" t="b">
        <f t="shared" si="126"/>
        <v>0</v>
      </c>
      <c r="H922" t="b">
        <f t="shared" si="133"/>
        <v>0</v>
      </c>
      <c r="I922" t="b">
        <f t="shared" si="127"/>
        <v>0</v>
      </c>
      <c r="J922" t="b">
        <f t="shared" si="134"/>
        <v>0</v>
      </c>
      <c r="K922" t="b">
        <f t="shared" si="128"/>
        <v>0</v>
      </c>
      <c r="L922" t="b">
        <f t="shared" si="129"/>
        <v>0</v>
      </c>
      <c r="M922" t="b">
        <f t="shared" si="130"/>
        <v>0</v>
      </c>
      <c r="N922" t="b">
        <f t="shared" si="131"/>
        <v>0</v>
      </c>
      <c r="O922" t="b">
        <f t="shared" si="132"/>
        <v>1</v>
      </c>
    </row>
    <row r="923" spans="1:15" x14ac:dyDescent="0.35">
      <c r="A923" t="str">
        <v>mu_Coach_Gen3_Comeng_High_Speed_Coach</v>
      </c>
      <c r="B923" t="b" cm="1">
        <f t="array" ref="B923">_xlfn.XLOOKUP(A923,CONTROL[VEHIDCODE],PROPERTIES[EXCLUDE])</f>
        <v>0</v>
      </c>
      <c r="C923" t="b">
        <f>_xlfn.XLOOKUP(A923,CONTROL[VEHIDCODE],CONTROL[IS_WAGON_OR_COACH])</f>
        <v>1</v>
      </c>
      <c r="D923">
        <f>FLOOR(_xlfn.XLOOKUP($A923,PROPERTIES[VEHIDCODE],PROPERTIES[INTRODUCTION_YEAR]),20)</f>
        <v>1980</v>
      </c>
      <c r="E923" t="e">
        <f>_xlfn.XLOOKUP($A923,PROPERTIES[VEHIDCODE],#REF!)</f>
        <v>#REF!</v>
      </c>
      <c r="F923" s="25" t="str" cm="1">
        <f t="array" ref="F923">_xlfn.CONCAT(_xlfn.XLOOKUP($A923,PROPERTIES[VEHIDCODE],PROPERTIES[REGION1]),"_",_xlfn.XLOOKUP($A923,PROPERTIES[VEHIDCODE],PROPERTIES[REGION2]),"_",_xlfn.XLOOKUP($A923,PROPERTIES[VEHIDCODE],PROPERTIES[REGION3]&amp;"_"&amp;_xlfn.XLOOKUP($A923,PROPERTIES[VEHIDCODE],PROPERTIES[REGION4])))</f>
        <v>OCEANIA_NO_REGION_NO_REGION_NO_REGION</v>
      </c>
      <c r="G923" t="b">
        <f t="shared" si="126"/>
        <v>0</v>
      </c>
      <c r="H923" t="b">
        <f t="shared" si="133"/>
        <v>0</v>
      </c>
      <c r="I923" t="b">
        <f t="shared" si="127"/>
        <v>0</v>
      </c>
      <c r="J923" t="b">
        <f t="shared" si="134"/>
        <v>0</v>
      </c>
      <c r="K923" t="b">
        <f t="shared" si="128"/>
        <v>0</v>
      </c>
      <c r="L923" t="b">
        <f t="shared" si="129"/>
        <v>0</v>
      </c>
      <c r="M923" t="b">
        <f t="shared" si="130"/>
        <v>0</v>
      </c>
      <c r="N923" t="b">
        <f t="shared" si="131"/>
        <v>0</v>
      </c>
      <c r="O923" t="b">
        <f t="shared" si="132"/>
        <v>1</v>
      </c>
    </row>
    <row r="924" spans="1:15" x14ac:dyDescent="0.35">
      <c r="A924" t="str">
        <v>mu_Coach_Gen3_Comeng_High_Speed_Mail_Coach</v>
      </c>
      <c r="B924" t="b" cm="1">
        <f t="array" ref="B924">_xlfn.XLOOKUP(A924,CONTROL[VEHIDCODE],PROPERTIES[EXCLUDE])</f>
        <v>0</v>
      </c>
      <c r="C924" t="b">
        <f>_xlfn.XLOOKUP(A924,CONTROL[VEHIDCODE],CONTROL[IS_WAGON_OR_COACH])</f>
        <v>1</v>
      </c>
      <c r="D924">
        <f>FLOOR(_xlfn.XLOOKUP($A924,PROPERTIES[VEHIDCODE],PROPERTIES[INTRODUCTION_YEAR]),20)</f>
        <v>1980</v>
      </c>
      <c r="E924" t="e">
        <f>_xlfn.XLOOKUP($A924,PROPERTIES[VEHIDCODE],#REF!)</f>
        <v>#REF!</v>
      </c>
      <c r="F924" s="25" t="str" cm="1">
        <f t="array" ref="F924">_xlfn.CONCAT(_xlfn.XLOOKUP($A924,PROPERTIES[VEHIDCODE],PROPERTIES[REGION1]),"_",_xlfn.XLOOKUP($A924,PROPERTIES[VEHIDCODE],PROPERTIES[REGION2]),"_",_xlfn.XLOOKUP($A924,PROPERTIES[VEHIDCODE],PROPERTIES[REGION3]&amp;"_"&amp;_xlfn.XLOOKUP($A924,PROPERTIES[VEHIDCODE],PROPERTIES[REGION4])))</f>
        <v>OCEANIA_NO_REGION_NO_REGION_NO_REGION</v>
      </c>
      <c r="G924" t="b">
        <f t="shared" si="126"/>
        <v>0</v>
      </c>
      <c r="H924" t="b">
        <f t="shared" si="133"/>
        <v>0</v>
      </c>
      <c r="I924" t="b">
        <f t="shared" si="127"/>
        <v>0</v>
      </c>
      <c r="J924" t="b">
        <f t="shared" si="134"/>
        <v>0</v>
      </c>
      <c r="K924" t="b">
        <f t="shared" si="128"/>
        <v>0</v>
      </c>
      <c r="L924" t="b">
        <f t="shared" si="129"/>
        <v>0</v>
      </c>
      <c r="M924" t="b">
        <f t="shared" si="130"/>
        <v>0</v>
      </c>
      <c r="N924" t="b">
        <f t="shared" si="131"/>
        <v>0</v>
      </c>
      <c r="O924" t="b">
        <f t="shared" si="132"/>
        <v>1</v>
      </c>
    </row>
    <row r="925" spans="1:15" x14ac:dyDescent="0.35">
      <c r="A925" t="str">
        <v>mu_Coach_Gen4_Comeng_HType_Suburban_Coach</v>
      </c>
      <c r="B925" t="b" cm="1">
        <f t="array" ref="B925">_xlfn.XLOOKUP(A925,CONTROL[VEHIDCODE],PROPERTIES[EXCLUDE])</f>
        <v>0</v>
      </c>
      <c r="C925" t="b">
        <f>_xlfn.XLOOKUP(A925,CONTROL[VEHIDCODE],CONTROL[IS_WAGON_OR_COACH])</f>
        <v>1</v>
      </c>
      <c r="D925">
        <f>FLOOR(_xlfn.XLOOKUP($A925,PROPERTIES[VEHIDCODE],PROPERTIES[INTRODUCTION_YEAR]),20)</f>
        <v>1980</v>
      </c>
      <c r="E925" t="e">
        <f>_xlfn.XLOOKUP($A925,PROPERTIES[VEHIDCODE],#REF!)</f>
        <v>#REF!</v>
      </c>
      <c r="F925" s="25" t="str" cm="1">
        <f t="array" ref="F925">_xlfn.CONCAT(_xlfn.XLOOKUP($A925,PROPERTIES[VEHIDCODE],PROPERTIES[REGION1]),"_",_xlfn.XLOOKUP($A925,PROPERTIES[VEHIDCODE],PROPERTIES[REGION2]),"_",_xlfn.XLOOKUP($A925,PROPERTIES[VEHIDCODE],PROPERTIES[REGION3]&amp;"_"&amp;_xlfn.XLOOKUP($A925,PROPERTIES[VEHIDCODE],PROPERTIES[REGION4])))</f>
        <v>OCEANIA_NO_REGION_NO_REGION_NO_REGION</v>
      </c>
      <c r="G925" t="b">
        <f t="shared" si="126"/>
        <v>0</v>
      </c>
      <c r="H925" t="b">
        <f t="shared" si="133"/>
        <v>0</v>
      </c>
      <c r="I925" t="b">
        <f t="shared" si="127"/>
        <v>0</v>
      </c>
      <c r="J925" t="b">
        <f t="shared" si="134"/>
        <v>0</v>
      </c>
      <c r="K925" t="b">
        <f t="shared" si="128"/>
        <v>0</v>
      </c>
      <c r="L925" t="b">
        <f t="shared" si="129"/>
        <v>0</v>
      </c>
      <c r="M925" t="b">
        <f t="shared" si="130"/>
        <v>0</v>
      </c>
      <c r="N925" t="b">
        <f t="shared" si="131"/>
        <v>0</v>
      </c>
      <c r="O925" t="b">
        <f t="shared" si="132"/>
        <v>1</v>
      </c>
    </row>
    <row r="926" spans="1:15" x14ac:dyDescent="0.35">
      <c r="A926" t="str">
        <v>mu_Coach_Gen3_NSW_Tulloch_RUB_Stock_Coach</v>
      </c>
      <c r="B926" t="b" cm="1">
        <f t="array" ref="B926">_xlfn.XLOOKUP(A926,CONTROL[VEHIDCODE],PROPERTIES[EXCLUDE])</f>
        <v>0</v>
      </c>
      <c r="C926" t="b">
        <f>_xlfn.XLOOKUP(A926,CONTROL[VEHIDCODE],CONTROL[IS_WAGON_OR_COACH])</f>
        <v>1</v>
      </c>
      <c r="D926">
        <f>FLOOR(_xlfn.XLOOKUP($A926,PROPERTIES[VEHIDCODE],PROPERTIES[INTRODUCTION_YEAR]),20)</f>
        <v>1940</v>
      </c>
      <c r="E926" t="e">
        <f>_xlfn.XLOOKUP($A926,PROPERTIES[VEHIDCODE],#REF!)</f>
        <v>#REF!</v>
      </c>
      <c r="F926" s="25" t="str" cm="1">
        <f t="array" ref="F926">_xlfn.CONCAT(_xlfn.XLOOKUP($A926,PROPERTIES[VEHIDCODE],PROPERTIES[REGION1]),"_",_xlfn.XLOOKUP($A926,PROPERTIES[VEHIDCODE],PROPERTIES[REGION2]),"_",_xlfn.XLOOKUP($A926,PROPERTIES[VEHIDCODE],PROPERTIES[REGION3]&amp;"_"&amp;_xlfn.XLOOKUP($A926,PROPERTIES[VEHIDCODE],PROPERTIES[REGION4])))</f>
        <v>OCEANIA_NO_REGION_NO_REGION_NO_REGION</v>
      </c>
      <c r="G926" t="b">
        <f t="shared" si="126"/>
        <v>0</v>
      </c>
      <c r="H926" t="b">
        <f t="shared" si="133"/>
        <v>0</v>
      </c>
      <c r="I926" t="b">
        <f t="shared" si="127"/>
        <v>0</v>
      </c>
      <c r="J926" t="b">
        <f t="shared" si="134"/>
        <v>0</v>
      </c>
      <c r="K926" t="b">
        <f t="shared" si="128"/>
        <v>0</v>
      </c>
      <c r="L926" t="b">
        <f t="shared" si="129"/>
        <v>0</v>
      </c>
      <c r="M926" t="b">
        <f t="shared" si="130"/>
        <v>0</v>
      </c>
      <c r="N926" t="b">
        <f t="shared" si="131"/>
        <v>0</v>
      </c>
      <c r="O926" t="b">
        <f t="shared" si="132"/>
        <v>1</v>
      </c>
    </row>
    <row r="927" spans="1:15" x14ac:dyDescent="0.35">
      <c r="A927" t="str">
        <v>mu_Coach_Gen3_NSW_Tulloch_RUB_Stock_Mail_Coach</v>
      </c>
      <c r="B927" t="b" cm="1">
        <f t="array" ref="B927">_xlfn.XLOOKUP(A927,CONTROL[VEHIDCODE],PROPERTIES[EXCLUDE])</f>
        <v>0</v>
      </c>
      <c r="C927" t="b">
        <f>_xlfn.XLOOKUP(A927,CONTROL[VEHIDCODE],CONTROL[IS_WAGON_OR_COACH])</f>
        <v>1</v>
      </c>
      <c r="D927">
        <f>FLOOR(_xlfn.XLOOKUP($A927,PROPERTIES[VEHIDCODE],PROPERTIES[INTRODUCTION_YEAR]),20)</f>
        <v>1940</v>
      </c>
      <c r="E927" t="e">
        <f>_xlfn.XLOOKUP($A927,PROPERTIES[VEHIDCODE],#REF!)</f>
        <v>#REF!</v>
      </c>
      <c r="F927" s="25" t="str" cm="1">
        <f t="array" ref="F927">_xlfn.CONCAT(_xlfn.XLOOKUP($A927,PROPERTIES[VEHIDCODE],PROPERTIES[REGION1]),"_",_xlfn.XLOOKUP($A927,PROPERTIES[VEHIDCODE],PROPERTIES[REGION2]),"_",_xlfn.XLOOKUP($A927,PROPERTIES[VEHIDCODE],PROPERTIES[REGION3]&amp;"_"&amp;_xlfn.XLOOKUP($A927,PROPERTIES[VEHIDCODE],PROPERTIES[REGION4])))</f>
        <v>OCEANIA_NO_REGION_NO_REGION_NO_REGION</v>
      </c>
      <c r="G927" t="b">
        <f t="shared" si="126"/>
        <v>0</v>
      </c>
      <c r="H927" t="b">
        <f t="shared" si="133"/>
        <v>0</v>
      </c>
      <c r="I927" t="b">
        <f t="shared" si="127"/>
        <v>0</v>
      </c>
      <c r="J927" t="b">
        <f t="shared" si="134"/>
        <v>0</v>
      </c>
      <c r="K927" t="b">
        <f t="shared" si="128"/>
        <v>0</v>
      </c>
      <c r="L927" t="b">
        <f t="shared" si="129"/>
        <v>0</v>
      </c>
      <c r="M927" t="b">
        <f t="shared" si="130"/>
        <v>0</v>
      </c>
      <c r="N927" t="b">
        <f t="shared" si="131"/>
        <v>0</v>
      </c>
      <c r="O927" t="b">
        <f t="shared" si="132"/>
        <v>1</v>
      </c>
    </row>
    <row r="928" spans="1:15" x14ac:dyDescent="0.35">
      <c r="A928" t="str">
        <v>mu_Coach_Gen3_WAGR_AY_Suburban_Coach</v>
      </c>
      <c r="B928" t="b" cm="1">
        <f t="array" ref="B928">_xlfn.XLOOKUP(A928,CONTROL[VEHIDCODE],PROPERTIES[EXCLUDE])</f>
        <v>0</v>
      </c>
      <c r="C928" t="b">
        <f>_xlfn.XLOOKUP(A928,CONTROL[VEHIDCODE],CONTROL[IS_WAGON_OR_COACH])</f>
        <v>1</v>
      </c>
      <c r="D928">
        <f>FLOOR(_xlfn.XLOOKUP($A928,PROPERTIES[VEHIDCODE],PROPERTIES[INTRODUCTION_YEAR]),20)</f>
        <v>1920</v>
      </c>
      <c r="E928" t="e">
        <f>_xlfn.XLOOKUP($A928,PROPERTIES[VEHIDCODE],#REF!)</f>
        <v>#REF!</v>
      </c>
      <c r="F928" s="25" t="str" cm="1">
        <f t="array" ref="F928">_xlfn.CONCAT(_xlfn.XLOOKUP($A928,PROPERTIES[VEHIDCODE],PROPERTIES[REGION1]),"_",_xlfn.XLOOKUP($A928,PROPERTIES[VEHIDCODE],PROPERTIES[REGION2]),"_",_xlfn.XLOOKUP($A928,PROPERTIES[VEHIDCODE],PROPERTIES[REGION3]&amp;"_"&amp;_xlfn.XLOOKUP($A928,PROPERTIES[VEHIDCODE],PROPERTIES[REGION4])))</f>
        <v>OCEANIA_NO_REGION_NO_REGION_NO_REGION</v>
      </c>
      <c r="G928" t="b">
        <f t="shared" si="126"/>
        <v>0</v>
      </c>
      <c r="H928" t="b">
        <f t="shared" si="133"/>
        <v>0</v>
      </c>
      <c r="I928" t="b">
        <f t="shared" si="127"/>
        <v>0</v>
      </c>
      <c r="J928" t="b">
        <f t="shared" si="134"/>
        <v>0</v>
      </c>
      <c r="K928" t="b">
        <f t="shared" si="128"/>
        <v>0</v>
      </c>
      <c r="L928" t="b">
        <f t="shared" si="129"/>
        <v>0</v>
      </c>
      <c r="M928" t="b">
        <f t="shared" si="130"/>
        <v>0</v>
      </c>
      <c r="N928" t="b">
        <f t="shared" si="131"/>
        <v>0</v>
      </c>
      <c r="O928" t="b">
        <f t="shared" si="132"/>
        <v>1</v>
      </c>
    </row>
    <row r="929" spans="1:15" x14ac:dyDescent="0.35">
      <c r="A929" t="str">
        <v>mu_Coach_Gen3_NZR_56ft_Coach</v>
      </c>
      <c r="B929" t="b" cm="1">
        <f t="array" ref="B929">_xlfn.XLOOKUP(A929,CONTROL[VEHIDCODE],PROPERTIES[EXCLUDE])</f>
        <v>0</v>
      </c>
      <c r="C929" t="b">
        <f>_xlfn.XLOOKUP(A929,CONTROL[VEHIDCODE],CONTROL[IS_WAGON_OR_COACH])</f>
        <v>1</v>
      </c>
      <c r="D929">
        <f>FLOOR(_xlfn.XLOOKUP($A929,PROPERTIES[VEHIDCODE],PROPERTIES[INTRODUCTION_YEAR]),20)</f>
        <v>1920</v>
      </c>
      <c r="E929" t="e">
        <f>_xlfn.XLOOKUP($A929,PROPERTIES[VEHIDCODE],#REF!)</f>
        <v>#REF!</v>
      </c>
      <c r="F929" s="25" t="str" cm="1">
        <f t="array" ref="F929">_xlfn.CONCAT(_xlfn.XLOOKUP($A929,PROPERTIES[VEHIDCODE],PROPERTIES[REGION1]),"_",_xlfn.XLOOKUP($A929,PROPERTIES[VEHIDCODE],PROPERTIES[REGION2]),"_",_xlfn.XLOOKUP($A929,PROPERTIES[VEHIDCODE],PROPERTIES[REGION3]&amp;"_"&amp;_xlfn.XLOOKUP($A929,PROPERTIES[VEHIDCODE],PROPERTIES[REGION4])))</f>
        <v>OCEANIA_NO_REGION_NO_REGION_NO_REGION</v>
      </c>
      <c r="G929" t="b">
        <f t="shared" si="126"/>
        <v>0</v>
      </c>
      <c r="H929" t="b">
        <f t="shared" si="133"/>
        <v>0</v>
      </c>
      <c r="I929" t="b">
        <f t="shared" si="127"/>
        <v>0</v>
      </c>
      <c r="J929" t="b">
        <f t="shared" si="134"/>
        <v>0</v>
      </c>
      <c r="K929" t="b">
        <f t="shared" si="128"/>
        <v>0</v>
      </c>
      <c r="L929" t="b">
        <f t="shared" si="129"/>
        <v>0</v>
      </c>
      <c r="M929" t="b">
        <f t="shared" si="130"/>
        <v>0</v>
      </c>
      <c r="N929" t="b">
        <f t="shared" si="131"/>
        <v>0</v>
      </c>
      <c r="O929" t="b">
        <f t="shared" si="132"/>
        <v>1</v>
      </c>
    </row>
    <row r="930" spans="1:15" x14ac:dyDescent="0.35">
      <c r="A930" t="str">
        <v>mu_Coach_Gen3_NZR_56ft_Mail_Coach</v>
      </c>
      <c r="B930" t="b" cm="1">
        <f t="array" ref="B930">_xlfn.XLOOKUP(A930,CONTROL[VEHIDCODE],PROPERTIES[EXCLUDE])</f>
        <v>0</v>
      </c>
      <c r="C930" t="b">
        <f>_xlfn.XLOOKUP(A930,CONTROL[VEHIDCODE],CONTROL[IS_WAGON_OR_COACH])</f>
        <v>1</v>
      </c>
      <c r="D930">
        <f>FLOOR(_xlfn.XLOOKUP($A930,PROPERTIES[VEHIDCODE],PROPERTIES[INTRODUCTION_YEAR]),20)</f>
        <v>1920</v>
      </c>
      <c r="E930" t="e">
        <f>_xlfn.XLOOKUP($A930,PROPERTIES[VEHIDCODE],#REF!)</f>
        <v>#REF!</v>
      </c>
      <c r="F930" s="25" t="str" cm="1">
        <f t="array" ref="F930">_xlfn.CONCAT(_xlfn.XLOOKUP($A930,PROPERTIES[VEHIDCODE],PROPERTIES[REGION1]),"_",_xlfn.XLOOKUP($A930,PROPERTIES[VEHIDCODE],PROPERTIES[REGION2]),"_",_xlfn.XLOOKUP($A930,PROPERTIES[VEHIDCODE],PROPERTIES[REGION3]&amp;"_"&amp;_xlfn.XLOOKUP($A930,PROPERTIES[VEHIDCODE],PROPERTIES[REGION4])))</f>
        <v>OCEANIA_NO_REGION_NO_REGION_NO_REGION</v>
      </c>
      <c r="G930" t="b">
        <f t="shared" si="126"/>
        <v>0</v>
      </c>
      <c r="H930" t="b">
        <f t="shared" si="133"/>
        <v>0</v>
      </c>
      <c r="I930" t="b">
        <f t="shared" si="127"/>
        <v>0</v>
      </c>
      <c r="J930" t="b">
        <f t="shared" si="134"/>
        <v>0</v>
      </c>
      <c r="K930" t="b">
        <f t="shared" si="128"/>
        <v>0</v>
      </c>
      <c r="L930" t="b">
        <f t="shared" si="129"/>
        <v>0</v>
      </c>
      <c r="M930" t="b">
        <f t="shared" si="130"/>
        <v>0</v>
      </c>
      <c r="N930" t="b">
        <f t="shared" si="131"/>
        <v>0</v>
      </c>
      <c r="O930" t="b">
        <f t="shared" si="132"/>
        <v>1</v>
      </c>
    </row>
    <row r="931" spans="1:15" x14ac:dyDescent="0.35">
      <c r="A931" t="str">
        <v>mu_Coach_Gen2_NZR_50ft_Coach</v>
      </c>
      <c r="B931" t="b" cm="1">
        <f t="array" ref="B931">_xlfn.XLOOKUP(A931,CONTROL[VEHIDCODE],PROPERTIES[EXCLUDE])</f>
        <v>0</v>
      </c>
      <c r="C931" t="b">
        <f>_xlfn.XLOOKUP(A931,CONTROL[VEHIDCODE],CONTROL[IS_WAGON_OR_COACH])</f>
        <v>1</v>
      </c>
      <c r="D931">
        <f>FLOOR(_xlfn.XLOOKUP($A931,PROPERTIES[VEHIDCODE],PROPERTIES[INTRODUCTION_YEAR]),20)</f>
        <v>1900</v>
      </c>
      <c r="E931" t="e">
        <f>_xlfn.XLOOKUP($A931,PROPERTIES[VEHIDCODE],#REF!)</f>
        <v>#REF!</v>
      </c>
      <c r="F931" s="25" t="str" cm="1">
        <f t="array" ref="F931">_xlfn.CONCAT(_xlfn.XLOOKUP($A931,PROPERTIES[VEHIDCODE],PROPERTIES[REGION1]),"_",_xlfn.XLOOKUP($A931,PROPERTIES[VEHIDCODE],PROPERTIES[REGION2]),"_",_xlfn.XLOOKUP($A931,PROPERTIES[VEHIDCODE],PROPERTIES[REGION3]&amp;"_"&amp;_xlfn.XLOOKUP($A931,PROPERTIES[VEHIDCODE],PROPERTIES[REGION4])))</f>
        <v>OCEANIA_NO_REGION_NO_REGION_NO_REGION</v>
      </c>
      <c r="G931" t="b">
        <f t="shared" si="126"/>
        <v>0</v>
      </c>
      <c r="H931" t="b">
        <f t="shared" si="133"/>
        <v>0</v>
      </c>
      <c r="I931" t="b">
        <f t="shared" si="127"/>
        <v>0</v>
      </c>
      <c r="J931" t="b">
        <f t="shared" si="134"/>
        <v>0</v>
      </c>
      <c r="K931" t="b">
        <f t="shared" si="128"/>
        <v>0</v>
      </c>
      <c r="L931" t="b">
        <f t="shared" si="129"/>
        <v>0</v>
      </c>
      <c r="M931" t="b">
        <f t="shared" si="130"/>
        <v>0</v>
      </c>
      <c r="N931" t="b">
        <f t="shared" si="131"/>
        <v>0</v>
      </c>
      <c r="O931" t="b">
        <f t="shared" si="132"/>
        <v>1</v>
      </c>
    </row>
    <row r="932" spans="1:15" x14ac:dyDescent="0.35">
      <c r="A932" t="str">
        <v>mu_Coach_Gen2_NZR_50ft_Mail_Coach</v>
      </c>
      <c r="B932" t="b" cm="1">
        <f t="array" ref="B932">_xlfn.XLOOKUP(A932,CONTROL[VEHIDCODE],PROPERTIES[EXCLUDE])</f>
        <v>0</v>
      </c>
      <c r="C932" t="b">
        <f>_xlfn.XLOOKUP(A932,CONTROL[VEHIDCODE],CONTROL[IS_WAGON_OR_COACH])</f>
        <v>1</v>
      </c>
      <c r="D932">
        <f>FLOOR(_xlfn.XLOOKUP($A932,PROPERTIES[VEHIDCODE],PROPERTIES[INTRODUCTION_YEAR]),20)</f>
        <v>1900</v>
      </c>
      <c r="E932" t="e">
        <f>_xlfn.XLOOKUP($A932,PROPERTIES[VEHIDCODE],#REF!)</f>
        <v>#REF!</v>
      </c>
      <c r="F932" s="25" t="str" cm="1">
        <f t="array" ref="F932">_xlfn.CONCAT(_xlfn.XLOOKUP($A932,PROPERTIES[VEHIDCODE],PROPERTIES[REGION1]),"_",_xlfn.XLOOKUP($A932,PROPERTIES[VEHIDCODE],PROPERTIES[REGION2]),"_",_xlfn.XLOOKUP($A932,PROPERTIES[VEHIDCODE],PROPERTIES[REGION3]&amp;"_"&amp;_xlfn.XLOOKUP($A932,PROPERTIES[VEHIDCODE],PROPERTIES[REGION4])))</f>
        <v>OCEANIA_NO_REGION_NO_REGION_NO_REGION</v>
      </c>
      <c r="G932" t="b">
        <f t="shared" si="126"/>
        <v>0</v>
      </c>
      <c r="H932" t="b">
        <f t="shared" si="133"/>
        <v>0</v>
      </c>
      <c r="I932" t="b">
        <f t="shared" si="127"/>
        <v>0</v>
      </c>
      <c r="J932" t="b">
        <f t="shared" si="134"/>
        <v>0</v>
      </c>
      <c r="K932" t="b">
        <f t="shared" si="128"/>
        <v>0</v>
      </c>
      <c r="L932" t="b">
        <f t="shared" si="129"/>
        <v>0</v>
      </c>
      <c r="M932" t="b">
        <f t="shared" si="130"/>
        <v>0</v>
      </c>
      <c r="N932" t="b">
        <f t="shared" si="131"/>
        <v>0</v>
      </c>
      <c r="O932" t="b">
        <f t="shared" si="132"/>
        <v>1</v>
      </c>
    </row>
    <row r="933" spans="1:15" x14ac:dyDescent="0.35">
      <c r="A933" t="str">
        <v>mu_Coach_Gen1_NSW_KA_Tram_Car</v>
      </c>
      <c r="B933" t="b" cm="1">
        <f t="array" ref="B933">_xlfn.XLOOKUP(A933,CONTROL[VEHIDCODE],PROPERTIES[EXCLUDE])</f>
        <v>0</v>
      </c>
      <c r="C933" t="b">
        <f>_xlfn.XLOOKUP(A933,CONTROL[VEHIDCODE],CONTROL[IS_WAGON_OR_COACH])</f>
        <v>1</v>
      </c>
      <c r="D933">
        <f>FLOOR(_xlfn.XLOOKUP($A933,PROPERTIES[VEHIDCODE],PROPERTIES[INTRODUCTION_YEAR]),20)</f>
        <v>1860</v>
      </c>
      <c r="E933" t="e">
        <f>_xlfn.XLOOKUP($A933,PROPERTIES[VEHIDCODE],#REF!)</f>
        <v>#REF!</v>
      </c>
      <c r="F933" s="25" t="str" cm="1">
        <f t="array" ref="F933">_xlfn.CONCAT(_xlfn.XLOOKUP($A933,PROPERTIES[VEHIDCODE],PROPERTIES[REGION1]),"_",_xlfn.XLOOKUP($A933,PROPERTIES[VEHIDCODE],PROPERTIES[REGION2]),"_",_xlfn.XLOOKUP($A933,PROPERTIES[VEHIDCODE],PROPERTIES[REGION3]&amp;"_"&amp;_xlfn.XLOOKUP($A933,PROPERTIES[VEHIDCODE],PROPERTIES[REGION4])))</f>
        <v>OCEANIA_NO_REGION_NO_REGION_NO_REGION</v>
      </c>
      <c r="G933" t="b">
        <f t="shared" si="126"/>
        <v>0</v>
      </c>
      <c r="H933" t="b">
        <f t="shared" si="133"/>
        <v>0</v>
      </c>
      <c r="I933" t="b">
        <f t="shared" si="127"/>
        <v>0</v>
      </c>
      <c r="J933" t="b">
        <f t="shared" si="134"/>
        <v>0</v>
      </c>
      <c r="K933" t="b">
        <f t="shared" si="128"/>
        <v>0</v>
      </c>
      <c r="L933" t="b">
        <f t="shared" si="129"/>
        <v>0</v>
      </c>
      <c r="M933" t="b">
        <f t="shared" si="130"/>
        <v>0</v>
      </c>
      <c r="N933" t="b">
        <f t="shared" si="131"/>
        <v>0</v>
      </c>
      <c r="O933" t="b">
        <f t="shared" si="132"/>
        <v>1</v>
      </c>
    </row>
    <row r="934" spans="1:15" x14ac:dyDescent="0.35">
      <c r="A934" t="str">
        <v>electric_Comeng_86_Class</v>
      </c>
      <c r="B934" t="b" cm="1">
        <f t="array" ref="B934">_xlfn.XLOOKUP(A934,CONTROL[VEHIDCODE],PROPERTIES[EXCLUDE])</f>
        <v>0</v>
      </c>
      <c r="C934" t="b">
        <f>_xlfn.XLOOKUP(A934,CONTROL[VEHIDCODE],CONTROL[IS_WAGON_OR_COACH])</f>
        <v>0</v>
      </c>
      <c r="D934">
        <f>FLOOR(_xlfn.XLOOKUP($A934,PROPERTIES[VEHIDCODE],PROPERTIES[INTRODUCTION_YEAR]),20)</f>
        <v>1980</v>
      </c>
      <c r="E934" t="e">
        <f>_xlfn.XLOOKUP($A934,PROPERTIES[VEHIDCODE],#REF!)</f>
        <v>#REF!</v>
      </c>
      <c r="F934" s="25" t="str" cm="1">
        <f t="array" ref="F934">_xlfn.CONCAT(_xlfn.XLOOKUP($A934,PROPERTIES[VEHIDCODE],PROPERTIES[REGION1]),"_",_xlfn.XLOOKUP($A934,PROPERTIES[VEHIDCODE],PROPERTIES[REGION2]),"_",_xlfn.XLOOKUP($A934,PROPERTIES[VEHIDCODE],PROPERTIES[REGION3]&amp;"_"&amp;_xlfn.XLOOKUP($A934,PROPERTIES[VEHIDCODE],PROPERTIES[REGION4])))</f>
        <v>OCEANIA_NO_REGION_NO_REGION_NO_REGION</v>
      </c>
      <c r="G934" t="b">
        <f t="shared" si="126"/>
        <v>0</v>
      </c>
      <c r="H934" t="b">
        <f t="shared" si="133"/>
        <v>0</v>
      </c>
      <c r="I934" t="b">
        <f t="shared" si="127"/>
        <v>0</v>
      </c>
      <c r="J934" t="b">
        <f t="shared" si="134"/>
        <v>0</v>
      </c>
      <c r="K934" t="b">
        <f t="shared" si="128"/>
        <v>0</v>
      </c>
      <c r="L934" t="b">
        <f t="shared" si="129"/>
        <v>0</v>
      </c>
      <c r="M934" t="b">
        <f t="shared" si="130"/>
        <v>0</v>
      </c>
      <c r="N934" t="b">
        <f t="shared" si="131"/>
        <v>0</v>
      </c>
      <c r="O934" t="b">
        <f t="shared" si="132"/>
        <v>1</v>
      </c>
    </row>
    <row r="935" spans="1:15" x14ac:dyDescent="0.35">
      <c r="A935" t="str">
        <v>emu_Ganz_MAVAG_EM_ET</v>
      </c>
      <c r="B935" t="b" cm="1">
        <f t="array" ref="B935">_xlfn.XLOOKUP(A935,CONTROL[VEHIDCODE],PROPERTIES[EXCLUDE])</f>
        <v>0</v>
      </c>
      <c r="C935" t="b">
        <f>_xlfn.XLOOKUP(A935,CONTROL[VEHIDCODE],CONTROL[IS_WAGON_OR_COACH])</f>
        <v>0</v>
      </c>
      <c r="D935">
        <f>FLOOR(_xlfn.XLOOKUP($A935,PROPERTIES[VEHIDCODE],PROPERTIES[INTRODUCTION_YEAR]),20)</f>
        <v>1980</v>
      </c>
      <c r="E935" t="e">
        <f>_xlfn.XLOOKUP($A935,PROPERTIES[VEHIDCODE],#REF!)</f>
        <v>#REF!</v>
      </c>
      <c r="F935" s="25" t="str" cm="1">
        <f t="array" ref="F935">_xlfn.CONCAT(_xlfn.XLOOKUP($A935,PROPERTIES[VEHIDCODE],PROPERTIES[REGION1]),"_",_xlfn.XLOOKUP($A935,PROPERTIES[VEHIDCODE],PROPERTIES[REGION2]),"_",_xlfn.XLOOKUP($A935,PROPERTIES[VEHIDCODE],PROPERTIES[REGION3]&amp;"_"&amp;_xlfn.XLOOKUP($A935,PROPERTIES[VEHIDCODE],PROPERTIES[REGION4])))</f>
        <v>OCEANIA_NO_REGION_NO_REGION_NO_REGION</v>
      </c>
      <c r="G935" t="b">
        <f t="shared" si="126"/>
        <v>0</v>
      </c>
      <c r="H935" t="b">
        <f t="shared" si="133"/>
        <v>0</v>
      </c>
      <c r="I935" t="b">
        <f t="shared" si="127"/>
        <v>0</v>
      </c>
      <c r="J935" t="b">
        <f t="shared" si="134"/>
        <v>0</v>
      </c>
      <c r="K935" t="b">
        <f t="shared" si="128"/>
        <v>0</v>
      </c>
      <c r="L935" t="b">
        <f t="shared" si="129"/>
        <v>0</v>
      </c>
      <c r="M935" t="b">
        <f t="shared" si="130"/>
        <v>0</v>
      </c>
      <c r="N935" t="b">
        <f t="shared" si="131"/>
        <v>0</v>
      </c>
      <c r="O935" t="b">
        <f t="shared" si="132"/>
        <v>1</v>
      </c>
    </row>
    <row r="936" spans="1:15" x14ac:dyDescent="0.35">
      <c r="A936" t="str">
        <v>emu_EEC_DM_EMU</v>
      </c>
      <c r="B936" t="b" cm="1">
        <f t="array" ref="B936">_xlfn.XLOOKUP(A936,CONTROL[VEHIDCODE],PROPERTIES[EXCLUDE])</f>
        <v>0</v>
      </c>
      <c r="C936" t="b">
        <f>_xlfn.XLOOKUP(A936,CONTROL[VEHIDCODE],CONTROL[IS_WAGON_OR_COACH])</f>
        <v>0</v>
      </c>
      <c r="D936">
        <f>FLOOR(_xlfn.XLOOKUP($A936,PROPERTIES[VEHIDCODE],PROPERTIES[INTRODUCTION_YEAR]),20)</f>
        <v>1920</v>
      </c>
      <c r="E936" t="e">
        <f>_xlfn.XLOOKUP($A936,PROPERTIES[VEHIDCODE],#REF!)</f>
        <v>#REF!</v>
      </c>
      <c r="F936" s="25" t="str" cm="1">
        <f t="array" ref="F936">_xlfn.CONCAT(_xlfn.XLOOKUP($A936,PROPERTIES[VEHIDCODE],PROPERTIES[REGION1]),"_",_xlfn.XLOOKUP($A936,PROPERTIES[VEHIDCODE],PROPERTIES[REGION2]),"_",_xlfn.XLOOKUP($A936,PROPERTIES[VEHIDCODE],PROPERTIES[REGION3]&amp;"_"&amp;_xlfn.XLOOKUP($A936,PROPERTIES[VEHIDCODE],PROPERTIES[REGION4])))</f>
        <v>OCEANIA_NO_REGION_NO_REGION_NO_REGION</v>
      </c>
      <c r="G936" t="b">
        <f t="shared" si="126"/>
        <v>0</v>
      </c>
      <c r="H936" t="b">
        <f t="shared" si="133"/>
        <v>0</v>
      </c>
      <c r="I936" t="b">
        <f t="shared" si="127"/>
        <v>0</v>
      </c>
      <c r="J936" t="b">
        <f t="shared" si="134"/>
        <v>0</v>
      </c>
      <c r="K936" t="b">
        <f t="shared" si="128"/>
        <v>0</v>
      </c>
      <c r="L936" t="b">
        <f t="shared" si="129"/>
        <v>0</v>
      </c>
      <c r="M936" t="b">
        <f t="shared" si="130"/>
        <v>0</v>
      </c>
      <c r="N936" t="b">
        <f t="shared" si="131"/>
        <v>0</v>
      </c>
      <c r="O936" t="b">
        <f t="shared" si="132"/>
        <v>1</v>
      </c>
    </row>
    <row r="937" spans="1:15" x14ac:dyDescent="0.35">
      <c r="A937" t="str">
        <v>emu_Hyundai_Rotem__Mitsui_Matangi</v>
      </c>
      <c r="B937" t="b" cm="1">
        <f t="array" ref="B937">_xlfn.XLOOKUP(A937,CONTROL[VEHIDCODE],PROPERTIES[EXCLUDE])</f>
        <v>0</v>
      </c>
      <c r="C937" t="b">
        <f>_xlfn.XLOOKUP(A937,CONTROL[VEHIDCODE],CONTROL[IS_WAGON_OR_COACH])</f>
        <v>0</v>
      </c>
      <c r="D937">
        <f>FLOOR(_xlfn.XLOOKUP($A937,PROPERTIES[VEHIDCODE],PROPERTIES[INTRODUCTION_YEAR]),20)</f>
        <v>2000</v>
      </c>
      <c r="E937" t="e">
        <f>_xlfn.XLOOKUP($A937,PROPERTIES[VEHIDCODE],#REF!)</f>
        <v>#REF!</v>
      </c>
      <c r="F937" s="25" t="str" cm="1">
        <f t="array" ref="F937">_xlfn.CONCAT(_xlfn.XLOOKUP($A937,PROPERTIES[VEHIDCODE],PROPERTIES[REGION1]),"_",_xlfn.XLOOKUP($A937,PROPERTIES[VEHIDCODE],PROPERTIES[REGION2]),"_",_xlfn.XLOOKUP($A937,PROPERTIES[VEHIDCODE],PROPERTIES[REGION3]&amp;"_"&amp;_xlfn.XLOOKUP($A937,PROPERTIES[VEHIDCODE],PROPERTIES[REGION4])))</f>
        <v>OCEANIA_NO_REGION_NO_REGION_NO_REGION</v>
      </c>
      <c r="G937" t="b">
        <f t="shared" si="126"/>
        <v>0</v>
      </c>
      <c r="H937" t="b">
        <f t="shared" si="133"/>
        <v>0</v>
      </c>
      <c r="I937" t="b">
        <f t="shared" si="127"/>
        <v>0</v>
      </c>
      <c r="J937" t="b">
        <f t="shared" si="134"/>
        <v>0</v>
      </c>
      <c r="K937" t="b">
        <f t="shared" si="128"/>
        <v>0</v>
      </c>
      <c r="L937" t="b">
        <f t="shared" si="129"/>
        <v>0</v>
      </c>
      <c r="M937" t="b">
        <f t="shared" si="130"/>
        <v>0</v>
      </c>
      <c r="N937" t="b">
        <f t="shared" si="131"/>
        <v>0</v>
      </c>
      <c r="O937" t="b">
        <f t="shared" si="132"/>
        <v>1</v>
      </c>
    </row>
    <row r="938" spans="1:15" x14ac:dyDescent="0.35">
      <c r="A938" t="str">
        <v>mtro_Ganz_Hunslet_Budapest_G2</v>
      </c>
      <c r="B938" t="b" cm="1">
        <f t="array" ref="B938">_xlfn.XLOOKUP(A938,CONTROL[VEHIDCODE],PROPERTIES[EXCLUDE])</f>
        <v>0</v>
      </c>
      <c r="C938" t="b">
        <f>_xlfn.XLOOKUP(A938,CONTROL[VEHIDCODE],CONTROL[IS_WAGON_OR_COACH])</f>
        <v>0</v>
      </c>
      <c r="D938">
        <f>FLOOR(_xlfn.XLOOKUP($A938,PROPERTIES[VEHIDCODE],PROPERTIES[INTRODUCTION_YEAR]),20)</f>
        <v>1980</v>
      </c>
      <c r="E938" t="e">
        <f>_xlfn.XLOOKUP($A938,PROPERTIES[VEHIDCODE],#REF!)</f>
        <v>#REF!</v>
      </c>
      <c r="F938" s="25" t="str" cm="1">
        <f t="array" ref="F938">_xlfn.CONCAT(_xlfn.XLOOKUP($A938,PROPERTIES[VEHIDCODE],PROPERTIES[REGION1]),"_",_xlfn.XLOOKUP($A938,PROPERTIES[VEHIDCODE],PROPERTIES[REGION2]),"_",_xlfn.XLOOKUP($A938,PROPERTIES[VEHIDCODE],PROPERTIES[REGION3]&amp;"_"&amp;_xlfn.XLOOKUP($A938,PROPERTIES[VEHIDCODE],PROPERTIES[REGION4])))</f>
        <v>EASTERN_EUROPE_NO_REGION_NO_REGION_NO_REGION</v>
      </c>
      <c r="G938" t="b">
        <f t="shared" si="126"/>
        <v>0</v>
      </c>
      <c r="H938" t="b">
        <f t="shared" si="133"/>
        <v>0</v>
      </c>
      <c r="I938" t="b">
        <f t="shared" si="127"/>
        <v>0</v>
      </c>
      <c r="J938" t="b">
        <f t="shared" si="134"/>
        <v>1</v>
      </c>
      <c r="K938" t="b">
        <f t="shared" si="128"/>
        <v>0</v>
      </c>
      <c r="L938" t="b">
        <f t="shared" si="129"/>
        <v>0</v>
      </c>
      <c r="M938" t="b">
        <f t="shared" si="130"/>
        <v>0</v>
      </c>
      <c r="N938" t="b">
        <f t="shared" si="131"/>
        <v>0</v>
      </c>
      <c r="O938" t="b">
        <f t="shared" si="132"/>
        <v>0</v>
      </c>
    </row>
    <row r="939" spans="1:15" x14ac:dyDescent="0.35">
      <c r="A939" t="str">
        <v>diesel_BRC_W_NSU_Class</v>
      </c>
      <c r="B939" t="b" cm="1">
        <f t="array" ref="B939">_xlfn.XLOOKUP(A939,CONTROL[VEHIDCODE],PROPERTIES[EXCLUDE])</f>
        <v>0</v>
      </c>
      <c r="C939" t="b">
        <f>_xlfn.XLOOKUP(A939,CONTROL[VEHIDCODE],CONTROL[IS_WAGON_OR_COACH])</f>
        <v>0</v>
      </c>
      <c r="D939">
        <f>FLOOR(_xlfn.XLOOKUP($A939,PROPERTIES[VEHIDCODE],PROPERTIES[INTRODUCTION_YEAR]),20)</f>
        <v>1940</v>
      </c>
      <c r="E939" t="e">
        <f>_xlfn.XLOOKUP($A939,PROPERTIES[VEHIDCODE],#REF!)</f>
        <v>#REF!</v>
      </c>
      <c r="F939" s="25" t="str" cm="1">
        <f t="array" ref="F939">_xlfn.CONCAT(_xlfn.XLOOKUP($A939,PROPERTIES[VEHIDCODE],PROPERTIES[REGION1]),"_",_xlfn.XLOOKUP($A939,PROPERTIES[VEHIDCODE],PROPERTIES[REGION2]),"_",_xlfn.XLOOKUP($A939,PROPERTIES[VEHIDCODE],PROPERTIES[REGION3]&amp;"_"&amp;_xlfn.XLOOKUP($A939,PROPERTIES[VEHIDCODE],PROPERTIES[REGION4])))</f>
        <v>OCEANIA_NO_REGION_NO_REGION_NO_REGION</v>
      </c>
      <c r="G939" t="b">
        <f t="shared" si="126"/>
        <v>0</v>
      </c>
      <c r="H939" t="b">
        <f t="shared" si="133"/>
        <v>0</v>
      </c>
      <c r="I939" t="b">
        <f t="shared" si="127"/>
        <v>0</v>
      </c>
      <c r="J939" t="b">
        <f t="shared" si="134"/>
        <v>0</v>
      </c>
      <c r="K939" t="b">
        <f t="shared" si="128"/>
        <v>0</v>
      </c>
      <c r="L939" t="b">
        <f t="shared" si="129"/>
        <v>0</v>
      </c>
      <c r="M939" t="b">
        <f t="shared" si="130"/>
        <v>0</v>
      </c>
      <c r="N939" t="b">
        <f t="shared" si="131"/>
        <v>0</v>
      </c>
      <c r="O939" t="b">
        <f t="shared" si="132"/>
        <v>1</v>
      </c>
    </row>
    <row r="940" spans="1:15" x14ac:dyDescent="0.35">
      <c r="A940" t="str">
        <v>emu_Itochu_Kinki_Kawasaki_SP1900</v>
      </c>
      <c r="B940" t="b" cm="1">
        <f t="array" ref="B940">_xlfn.XLOOKUP(A940,CONTROL[VEHIDCODE],PROPERTIES[EXCLUDE])</f>
        <v>0</v>
      </c>
      <c r="C940" t="b">
        <f>_xlfn.XLOOKUP(A940,CONTROL[VEHIDCODE],CONTROL[IS_WAGON_OR_COACH])</f>
        <v>0</v>
      </c>
      <c r="D940">
        <f>FLOOR(_xlfn.XLOOKUP($A940,PROPERTIES[VEHIDCODE],PROPERTIES[INTRODUCTION_YEAR]),20)</f>
        <v>2000</v>
      </c>
      <c r="E940" t="e">
        <f>_xlfn.XLOOKUP($A940,PROPERTIES[VEHIDCODE],#REF!)</f>
        <v>#REF!</v>
      </c>
      <c r="F940" s="25" t="str" cm="1">
        <f t="array" ref="F940">_xlfn.CONCAT(_xlfn.XLOOKUP($A940,PROPERTIES[VEHIDCODE],PROPERTIES[REGION1]),"_",_xlfn.XLOOKUP($A940,PROPERTIES[VEHIDCODE],PROPERTIES[REGION2]),"_",_xlfn.XLOOKUP($A940,PROPERTIES[VEHIDCODE],PROPERTIES[REGION3]&amp;"_"&amp;_xlfn.XLOOKUP($A940,PROPERTIES[VEHIDCODE],PROPERTIES[REGION4])))</f>
        <v>ASIA_NO_REGION_NO_REGION_NO_REGION</v>
      </c>
      <c r="G940" t="b">
        <f t="shared" si="126"/>
        <v>0</v>
      </c>
      <c r="H940" t="b">
        <f t="shared" si="133"/>
        <v>1</v>
      </c>
      <c r="I940" t="b">
        <f t="shared" si="127"/>
        <v>0</v>
      </c>
      <c r="J940" t="b">
        <f t="shared" si="134"/>
        <v>0</v>
      </c>
      <c r="K940" t="b">
        <f t="shared" si="128"/>
        <v>0</v>
      </c>
      <c r="L940" t="b">
        <f t="shared" si="129"/>
        <v>0</v>
      </c>
      <c r="M940" t="b">
        <f t="shared" si="130"/>
        <v>0</v>
      </c>
      <c r="N940" t="b">
        <f t="shared" si="131"/>
        <v>0</v>
      </c>
      <c r="O940" t="b">
        <f t="shared" si="132"/>
        <v>0</v>
      </c>
    </row>
    <row r="941" spans="1:15" x14ac:dyDescent="0.35">
      <c r="A941" t="str">
        <v>electric_Alstom_CRRC_Datong_HXD2</v>
      </c>
      <c r="B941" t="b" cm="1">
        <f t="array" ref="B941">_xlfn.XLOOKUP(A941,CONTROL[VEHIDCODE],PROPERTIES[EXCLUDE])</f>
        <v>0</v>
      </c>
      <c r="C941" t="b">
        <f>_xlfn.XLOOKUP(A941,CONTROL[VEHIDCODE],CONTROL[IS_WAGON_OR_COACH])</f>
        <v>0</v>
      </c>
      <c r="D941">
        <f>FLOOR(_xlfn.XLOOKUP($A941,PROPERTIES[VEHIDCODE],PROPERTIES[INTRODUCTION_YEAR]),20)</f>
        <v>2000</v>
      </c>
      <c r="E941" t="e">
        <f>_xlfn.XLOOKUP($A941,PROPERTIES[VEHIDCODE],#REF!)</f>
        <v>#REF!</v>
      </c>
      <c r="F941" s="25" t="str" cm="1">
        <f t="array" ref="F941">_xlfn.CONCAT(_xlfn.XLOOKUP($A941,PROPERTIES[VEHIDCODE],PROPERTIES[REGION1]),"_",_xlfn.XLOOKUP($A941,PROPERTIES[VEHIDCODE],PROPERTIES[REGION2]),"_",_xlfn.XLOOKUP($A941,PROPERTIES[VEHIDCODE],PROPERTIES[REGION3]&amp;"_"&amp;_xlfn.XLOOKUP($A941,PROPERTIES[VEHIDCODE],PROPERTIES[REGION4])))</f>
        <v>ASIA_NO_REGION_NO_REGION_NO_REGION</v>
      </c>
      <c r="G941" t="b">
        <f t="shared" si="126"/>
        <v>0</v>
      </c>
      <c r="H941" t="b">
        <f t="shared" si="133"/>
        <v>1</v>
      </c>
      <c r="I941" t="b">
        <f t="shared" si="127"/>
        <v>0</v>
      </c>
      <c r="J941" t="b">
        <f t="shared" si="134"/>
        <v>0</v>
      </c>
      <c r="K941" t="b">
        <f t="shared" si="128"/>
        <v>0</v>
      </c>
      <c r="L941" t="b">
        <f t="shared" si="129"/>
        <v>0</v>
      </c>
      <c r="M941" t="b">
        <f t="shared" si="130"/>
        <v>0</v>
      </c>
      <c r="N941" t="b">
        <f t="shared" si="131"/>
        <v>0</v>
      </c>
      <c r="O941" t="b">
        <f t="shared" si="132"/>
        <v>0</v>
      </c>
    </row>
    <row r="942" spans="1:15" x14ac:dyDescent="0.35">
      <c r="A942" t="str">
        <v>diesel_CRRC_Qishuyan_DF11</v>
      </c>
      <c r="B942" t="b" cm="1">
        <f t="array" ref="B942">_xlfn.XLOOKUP(A942,CONTROL[VEHIDCODE],PROPERTIES[EXCLUDE])</f>
        <v>0</v>
      </c>
      <c r="C942" t="b">
        <f>_xlfn.XLOOKUP(A942,CONTROL[VEHIDCODE],CONTROL[IS_WAGON_OR_COACH])</f>
        <v>0</v>
      </c>
      <c r="D942">
        <f>FLOOR(_xlfn.XLOOKUP($A942,PROPERTIES[VEHIDCODE],PROPERTIES[INTRODUCTION_YEAR]),20)</f>
        <v>1980</v>
      </c>
      <c r="E942" t="e">
        <f>_xlfn.XLOOKUP($A942,PROPERTIES[VEHIDCODE],#REF!)</f>
        <v>#REF!</v>
      </c>
      <c r="F942" s="25" t="str" cm="1">
        <f t="array" ref="F942">_xlfn.CONCAT(_xlfn.XLOOKUP($A942,PROPERTIES[VEHIDCODE],PROPERTIES[REGION1]),"_",_xlfn.XLOOKUP($A942,PROPERTIES[VEHIDCODE],PROPERTIES[REGION2]),"_",_xlfn.XLOOKUP($A942,PROPERTIES[VEHIDCODE],PROPERTIES[REGION3]&amp;"_"&amp;_xlfn.XLOOKUP($A942,PROPERTIES[VEHIDCODE],PROPERTIES[REGION4])))</f>
        <v>ASIA_NO_REGION_NO_REGION_NO_REGION</v>
      </c>
      <c r="G942" t="b">
        <f t="shared" si="126"/>
        <v>0</v>
      </c>
      <c r="H942" t="b">
        <f t="shared" si="133"/>
        <v>1</v>
      </c>
      <c r="I942" t="b">
        <f t="shared" si="127"/>
        <v>0</v>
      </c>
      <c r="J942" t="b">
        <f t="shared" si="134"/>
        <v>0</v>
      </c>
      <c r="K942" t="b">
        <f t="shared" si="128"/>
        <v>0</v>
      </c>
      <c r="L942" t="b">
        <f t="shared" si="129"/>
        <v>0</v>
      </c>
      <c r="M942" t="b">
        <f t="shared" si="130"/>
        <v>0</v>
      </c>
      <c r="N942" t="b">
        <f t="shared" si="131"/>
        <v>0</v>
      </c>
      <c r="O942" t="b">
        <f t="shared" si="132"/>
        <v>0</v>
      </c>
    </row>
    <row r="943" spans="1:15" x14ac:dyDescent="0.35">
      <c r="A943" t="str">
        <v>electric_Zhuzhou_SS8</v>
      </c>
      <c r="B943" t="b" cm="1">
        <f t="array" ref="B943">_xlfn.XLOOKUP(A943,CONTROL[VEHIDCODE],PROPERTIES[EXCLUDE])</f>
        <v>0</v>
      </c>
      <c r="C943" t="b">
        <f>_xlfn.XLOOKUP(A943,CONTROL[VEHIDCODE],CONTROL[IS_WAGON_OR_COACH])</f>
        <v>0</v>
      </c>
      <c r="D943">
        <f>FLOOR(_xlfn.XLOOKUP($A943,PROPERTIES[VEHIDCODE],PROPERTIES[INTRODUCTION_YEAR]),20)</f>
        <v>1980</v>
      </c>
      <c r="E943" t="e">
        <f>_xlfn.XLOOKUP($A943,PROPERTIES[VEHIDCODE],#REF!)</f>
        <v>#REF!</v>
      </c>
      <c r="F943" s="25" t="str" cm="1">
        <f t="array" ref="F943">_xlfn.CONCAT(_xlfn.XLOOKUP($A943,PROPERTIES[VEHIDCODE],PROPERTIES[REGION1]),"_",_xlfn.XLOOKUP($A943,PROPERTIES[VEHIDCODE],PROPERTIES[REGION2]),"_",_xlfn.XLOOKUP($A943,PROPERTIES[VEHIDCODE],PROPERTIES[REGION3]&amp;"_"&amp;_xlfn.XLOOKUP($A943,PROPERTIES[VEHIDCODE],PROPERTIES[REGION4])))</f>
        <v>ASIA_NO_REGION_NO_REGION_NO_REGION</v>
      </c>
      <c r="G943" t="b">
        <f t="shared" si="126"/>
        <v>0</v>
      </c>
      <c r="H943" t="b">
        <f t="shared" si="133"/>
        <v>1</v>
      </c>
      <c r="I943" t="b">
        <f t="shared" si="127"/>
        <v>0</v>
      </c>
      <c r="J943" t="b">
        <f t="shared" si="134"/>
        <v>0</v>
      </c>
      <c r="K943" t="b">
        <f t="shared" si="128"/>
        <v>0</v>
      </c>
      <c r="L943" t="b">
        <f t="shared" si="129"/>
        <v>0</v>
      </c>
      <c r="M943" t="b">
        <f t="shared" si="130"/>
        <v>0</v>
      </c>
      <c r="N943" t="b">
        <f t="shared" si="131"/>
        <v>0</v>
      </c>
      <c r="O943" t="b">
        <f t="shared" si="132"/>
        <v>0</v>
      </c>
    </row>
    <row r="944" spans="1:15" x14ac:dyDescent="0.35">
      <c r="A944" t="str">
        <v>electric_Alstom_CRRC_Datong_HXD2B</v>
      </c>
      <c r="B944" t="b" cm="1">
        <f t="array" ref="B944">_xlfn.XLOOKUP(A944,CONTROL[VEHIDCODE],PROPERTIES[EXCLUDE])</f>
        <v>0</v>
      </c>
      <c r="C944" t="b">
        <f>_xlfn.XLOOKUP(A944,CONTROL[VEHIDCODE],CONTROL[IS_WAGON_OR_COACH])</f>
        <v>0</v>
      </c>
      <c r="D944">
        <f>FLOOR(_xlfn.XLOOKUP($A944,PROPERTIES[VEHIDCODE],PROPERTIES[INTRODUCTION_YEAR]),20)</f>
        <v>2000</v>
      </c>
      <c r="E944" t="e">
        <f>_xlfn.XLOOKUP($A944,PROPERTIES[VEHIDCODE],#REF!)</f>
        <v>#REF!</v>
      </c>
      <c r="F944" s="25" t="str" cm="1">
        <f t="array" ref="F944">_xlfn.CONCAT(_xlfn.XLOOKUP($A944,PROPERTIES[VEHIDCODE],PROPERTIES[REGION1]),"_",_xlfn.XLOOKUP($A944,PROPERTIES[VEHIDCODE],PROPERTIES[REGION2]),"_",_xlfn.XLOOKUP($A944,PROPERTIES[VEHIDCODE],PROPERTIES[REGION3]&amp;"_"&amp;_xlfn.XLOOKUP($A944,PROPERTIES[VEHIDCODE],PROPERTIES[REGION4])))</f>
        <v>COMECON_NO_REGION_NO_REGION_NO_REGION</v>
      </c>
      <c r="G944" t="b">
        <f t="shared" si="126"/>
        <v>0</v>
      </c>
      <c r="H944" t="b">
        <f t="shared" si="133"/>
        <v>1</v>
      </c>
      <c r="I944" t="b">
        <f t="shared" si="127"/>
        <v>0</v>
      </c>
      <c r="J944" t="b">
        <f t="shared" si="134"/>
        <v>1</v>
      </c>
      <c r="K944" t="b">
        <f t="shared" si="128"/>
        <v>0</v>
      </c>
      <c r="L944" t="b">
        <f t="shared" si="129"/>
        <v>0</v>
      </c>
      <c r="M944" t="b">
        <f t="shared" si="130"/>
        <v>0</v>
      </c>
      <c r="N944" t="b">
        <f t="shared" si="131"/>
        <v>0</v>
      </c>
      <c r="O944" t="b">
        <f t="shared" si="132"/>
        <v>0</v>
      </c>
    </row>
    <row r="945" spans="1:15" x14ac:dyDescent="0.35">
      <c r="A945" t="str">
        <v>electric_CRRC_Dalian_HXD3D</v>
      </c>
      <c r="B945" t="b" cm="1">
        <f t="array" ref="B945">_xlfn.XLOOKUP(A945,CONTROL[VEHIDCODE],PROPERTIES[EXCLUDE])</f>
        <v>0</v>
      </c>
      <c r="C945" t="b">
        <f>_xlfn.XLOOKUP(A945,CONTROL[VEHIDCODE],CONTROL[IS_WAGON_OR_COACH])</f>
        <v>0</v>
      </c>
      <c r="D945">
        <f>FLOOR(_xlfn.XLOOKUP($A945,PROPERTIES[VEHIDCODE],PROPERTIES[INTRODUCTION_YEAR]),20)</f>
        <v>2000</v>
      </c>
      <c r="E945" t="e">
        <f>_xlfn.XLOOKUP($A945,PROPERTIES[VEHIDCODE],#REF!)</f>
        <v>#REF!</v>
      </c>
      <c r="F945" s="25" t="str" cm="1">
        <f t="array" ref="F945">_xlfn.CONCAT(_xlfn.XLOOKUP($A945,PROPERTIES[VEHIDCODE],PROPERTIES[REGION1]),"_",_xlfn.XLOOKUP($A945,PROPERTIES[VEHIDCODE],PROPERTIES[REGION2]),"_",_xlfn.XLOOKUP($A945,PROPERTIES[VEHIDCODE],PROPERTIES[REGION3]&amp;"_"&amp;_xlfn.XLOOKUP($A945,PROPERTIES[VEHIDCODE],PROPERTIES[REGION4])))</f>
        <v>ASIA_NO_REGION_NO_REGION_NO_REGION</v>
      </c>
      <c r="G945" t="b">
        <f t="shared" si="126"/>
        <v>0</v>
      </c>
      <c r="H945" t="b">
        <f t="shared" si="133"/>
        <v>1</v>
      </c>
      <c r="I945" t="b">
        <f t="shared" si="127"/>
        <v>0</v>
      </c>
      <c r="J945" t="b">
        <f t="shared" si="134"/>
        <v>0</v>
      </c>
      <c r="K945" t="b">
        <f t="shared" si="128"/>
        <v>0</v>
      </c>
      <c r="L945" t="b">
        <f t="shared" si="129"/>
        <v>0</v>
      </c>
      <c r="M945" t="b">
        <f t="shared" si="130"/>
        <v>0</v>
      </c>
      <c r="N945" t="b">
        <f t="shared" si="131"/>
        <v>0</v>
      </c>
      <c r="O945" t="b">
        <f t="shared" si="132"/>
        <v>0</v>
      </c>
    </row>
    <row r="946" spans="1:15" x14ac:dyDescent="0.35">
      <c r="A946" t="str">
        <v>diesel_CRRC_Dalian_DF4</v>
      </c>
      <c r="B946" t="b" cm="1">
        <f t="array" ref="B946">_xlfn.XLOOKUP(A946,CONTROL[VEHIDCODE],PROPERTIES[EXCLUDE])</f>
        <v>0</v>
      </c>
      <c r="C946" t="b">
        <f>_xlfn.XLOOKUP(A946,CONTROL[VEHIDCODE],CONTROL[IS_WAGON_OR_COACH])</f>
        <v>0</v>
      </c>
      <c r="D946">
        <f>FLOOR(_xlfn.XLOOKUP($A946,PROPERTIES[VEHIDCODE],PROPERTIES[INTRODUCTION_YEAR]),20)</f>
        <v>1980</v>
      </c>
      <c r="E946" t="e">
        <f>_xlfn.XLOOKUP($A946,PROPERTIES[VEHIDCODE],#REF!)</f>
        <v>#REF!</v>
      </c>
      <c r="F946" s="25" t="str" cm="1">
        <f t="array" ref="F946">_xlfn.CONCAT(_xlfn.XLOOKUP($A946,PROPERTIES[VEHIDCODE],PROPERTIES[REGION1]),"_",_xlfn.XLOOKUP($A946,PROPERTIES[VEHIDCODE],PROPERTIES[REGION2]),"_",_xlfn.XLOOKUP($A946,PROPERTIES[VEHIDCODE],PROPERTIES[REGION3]&amp;"_"&amp;_xlfn.XLOOKUP($A946,PROPERTIES[VEHIDCODE],PROPERTIES[REGION4])))</f>
        <v>ASIA_NO_REGION_NO_REGION_NO_REGION</v>
      </c>
      <c r="G946" t="b">
        <f t="shared" si="126"/>
        <v>0</v>
      </c>
      <c r="H946" t="b">
        <f t="shared" si="133"/>
        <v>1</v>
      </c>
      <c r="I946" t="b">
        <f t="shared" si="127"/>
        <v>0</v>
      </c>
      <c r="J946" t="b">
        <f t="shared" si="134"/>
        <v>0</v>
      </c>
      <c r="K946" t="b">
        <f t="shared" si="128"/>
        <v>0</v>
      </c>
      <c r="L946" t="b">
        <f t="shared" si="129"/>
        <v>0</v>
      </c>
      <c r="M946" t="b">
        <f t="shared" si="130"/>
        <v>0</v>
      </c>
      <c r="N946" t="b">
        <f t="shared" si="131"/>
        <v>0</v>
      </c>
      <c r="O946" t="b">
        <f t="shared" si="132"/>
        <v>0</v>
      </c>
    </row>
    <row r="947" spans="1:15" x14ac:dyDescent="0.35">
      <c r="A947" t="str">
        <v>diesel_Tangshan_Dalian_Sifang_DF5</v>
      </c>
      <c r="B947" t="b" cm="1">
        <f t="array" ref="B947">_xlfn.XLOOKUP(A947,CONTROL[VEHIDCODE],PROPERTIES[EXCLUDE])</f>
        <v>0</v>
      </c>
      <c r="C947" t="b">
        <f>_xlfn.XLOOKUP(A947,CONTROL[VEHIDCODE],CONTROL[IS_WAGON_OR_COACH])</f>
        <v>0</v>
      </c>
      <c r="D947">
        <f>FLOOR(_xlfn.XLOOKUP($A947,PROPERTIES[VEHIDCODE],PROPERTIES[INTRODUCTION_YEAR]),20)</f>
        <v>1960</v>
      </c>
      <c r="E947" t="e">
        <f>_xlfn.XLOOKUP($A947,PROPERTIES[VEHIDCODE],#REF!)</f>
        <v>#REF!</v>
      </c>
      <c r="F947" s="25" t="str" cm="1">
        <f t="array" ref="F947">_xlfn.CONCAT(_xlfn.XLOOKUP($A947,PROPERTIES[VEHIDCODE],PROPERTIES[REGION1]),"_",_xlfn.XLOOKUP($A947,PROPERTIES[VEHIDCODE],PROPERTIES[REGION2]),"_",_xlfn.XLOOKUP($A947,PROPERTIES[VEHIDCODE],PROPERTIES[REGION3]&amp;"_"&amp;_xlfn.XLOOKUP($A947,PROPERTIES[VEHIDCODE],PROPERTIES[REGION4])))</f>
        <v>ASIA_NO_REGION_NO_REGION_NO_REGION</v>
      </c>
      <c r="G947" t="b">
        <f t="shared" si="126"/>
        <v>0</v>
      </c>
      <c r="H947" t="b">
        <f t="shared" si="133"/>
        <v>1</v>
      </c>
      <c r="I947" t="b">
        <f t="shared" si="127"/>
        <v>0</v>
      </c>
      <c r="J947" t="b">
        <f t="shared" si="134"/>
        <v>0</v>
      </c>
      <c r="K947" t="b">
        <f t="shared" si="128"/>
        <v>0</v>
      </c>
      <c r="L947" t="b">
        <f t="shared" si="129"/>
        <v>0</v>
      </c>
      <c r="M947" t="b">
        <f t="shared" si="130"/>
        <v>0</v>
      </c>
      <c r="N947" t="b">
        <f t="shared" si="131"/>
        <v>0</v>
      </c>
      <c r="O947" t="b">
        <f t="shared" si="132"/>
        <v>0</v>
      </c>
    </row>
    <row r="948" spans="1:15" x14ac:dyDescent="0.35">
      <c r="A948" t="str">
        <v>steam_Dalian_2_8_2_JS_Class</v>
      </c>
      <c r="B948" t="b" cm="1">
        <f t="array" ref="B948">_xlfn.XLOOKUP(A948,CONTROL[VEHIDCODE],PROPERTIES[EXCLUDE])</f>
        <v>0</v>
      </c>
      <c r="C948" t="b">
        <f>_xlfn.XLOOKUP(A948,CONTROL[VEHIDCODE],CONTROL[IS_WAGON_OR_COACH])</f>
        <v>0</v>
      </c>
      <c r="D948">
        <f>FLOOR(_xlfn.XLOOKUP($A948,PROPERTIES[VEHIDCODE],PROPERTIES[INTRODUCTION_YEAR]),20)</f>
        <v>1940</v>
      </c>
      <c r="E948" t="e">
        <f>_xlfn.XLOOKUP($A948,PROPERTIES[VEHIDCODE],#REF!)</f>
        <v>#REF!</v>
      </c>
      <c r="F948" s="25" t="str" cm="1">
        <f t="array" ref="F948">_xlfn.CONCAT(_xlfn.XLOOKUP($A948,PROPERTIES[VEHIDCODE],PROPERTIES[REGION1]),"_",_xlfn.XLOOKUP($A948,PROPERTIES[VEHIDCODE],PROPERTIES[REGION2]),"_",_xlfn.XLOOKUP($A948,PROPERTIES[VEHIDCODE],PROPERTIES[REGION3]&amp;"_"&amp;_xlfn.XLOOKUP($A948,PROPERTIES[VEHIDCODE],PROPERTIES[REGION4])))</f>
        <v>ASIA_NO_REGION_NO_REGION_NO_REGION</v>
      </c>
      <c r="G948" t="b">
        <f t="shared" si="126"/>
        <v>0</v>
      </c>
      <c r="H948" t="b">
        <f t="shared" si="133"/>
        <v>1</v>
      </c>
      <c r="I948" t="b">
        <f t="shared" si="127"/>
        <v>0</v>
      </c>
      <c r="J948" t="b">
        <f t="shared" si="134"/>
        <v>0</v>
      </c>
      <c r="K948" t="b">
        <f t="shared" si="128"/>
        <v>0</v>
      </c>
      <c r="L948" t="b">
        <f t="shared" si="129"/>
        <v>0</v>
      </c>
      <c r="M948" t="b">
        <f t="shared" si="130"/>
        <v>0</v>
      </c>
      <c r="N948" t="b">
        <f t="shared" si="131"/>
        <v>0</v>
      </c>
      <c r="O948" t="b">
        <f t="shared" si="132"/>
        <v>0</v>
      </c>
    </row>
    <row r="949" spans="1:15" x14ac:dyDescent="0.35">
      <c r="A949" t="str">
        <v>steam_CSR_Sifang_4_6_2_RM</v>
      </c>
      <c r="B949" t="b" cm="1">
        <f t="array" ref="B949">_xlfn.XLOOKUP(A949,CONTROL[VEHIDCODE],PROPERTIES[EXCLUDE])</f>
        <v>0</v>
      </c>
      <c r="C949" t="b">
        <f>_xlfn.XLOOKUP(A949,CONTROL[VEHIDCODE],CONTROL[IS_WAGON_OR_COACH])</f>
        <v>0</v>
      </c>
      <c r="D949">
        <f>FLOOR(_xlfn.XLOOKUP($A949,PROPERTIES[VEHIDCODE],PROPERTIES[INTRODUCTION_YEAR]),20)</f>
        <v>1940</v>
      </c>
      <c r="E949" t="e">
        <f>_xlfn.XLOOKUP($A949,PROPERTIES[VEHIDCODE],#REF!)</f>
        <v>#REF!</v>
      </c>
      <c r="F949" s="25" t="str" cm="1">
        <f t="array" ref="F949">_xlfn.CONCAT(_xlfn.XLOOKUP($A949,PROPERTIES[VEHIDCODE],PROPERTIES[REGION1]),"_",_xlfn.XLOOKUP($A949,PROPERTIES[VEHIDCODE],PROPERTIES[REGION2]),"_",_xlfn.XLOOKUP($A949,PROPERTIES[VEHIDCODE],PROPERTIES[REGION3]&amp;"_"&amp;_xlfn.XLOOKUP($A949,PROPERTIES[VEHIDCODE],PROPERTIES[REGION4])))</f>
        <v>ASIA_NO_REGION_NO_REGION_NO_REGION</v>
      </c>
      <c r="G949" t="b">
        <f t="shared" si="126"/>
        <v>0</v>
      </c>
      <c r="H949" t="b">
        <f t="shared" si="133"/>
        <v>1</v>
      </c>
      <c r="I949" t="b">
        <f t="shared" si="127"/>
        <v>0</v>
      </c>
      <c r="J949" t="b">
        <f t="shared" si="134"/>
        <v>0</v>
      </c>
      <c r="K949" t="b">
        <f t="shared" si="128"/>
        <v>0</v>
      </c>
      <c r="L949" t="b">
        <f t="shared" si="129"/>
        <v>0</v>
      </c>
      <c r="M949" t="b">
        <f t="shared" si="130"/>
        <v>0</v>
      </c>
      <c r="N949" t="b">
        <f t="shared" si="131"/>
        <v>0</v>
      </c>
      <c r="O949" t="b">
        <f t="shared" si="132"/>
        <v>0</v>
      </c>
    </row>
    <row r="950" spans="1:15" x14ac:dyDescent="0.35">
      <c r="A950" t="str">
        <v>rbd_MAV_Ikarus_260</v>
      </c>
      <c r="B950" t="b" cm="1">
        <f t="array" ref="B950">_xlfn.XLOOKUP(A950,CONTROL[VEHIDCODE],PROPERTIES[EXCLUDE])</f>
        <v>0</v>
      </c>
      <c r="C950" t="b">
        <f>_xlfn.XLOOKUP(A950,CONTROL[VEHIDCODE],CONTROL[IS_WAGON_OR_COACH])</f>
        <v>0</v>
      </c>
      <c r="D950">
        <f>FLOOR(_xlfn.XLOOKUP($A950,PROPERTIES[VEHIDCODE],PROPERTIES[INTRODUCTION_YEAR]),20)</f>
        <v>1980</v>
      </c>
      <c r="E950" t="e">
        <f>_xlfn.XLOOKUP($A950,PROPERTIES[VEHIDCODE],#REF!)</f>
        <v>#REF!</v>
      </c>
      <c r="F950" s="25" t="str" cm="1">
        <f t="array" ref="F950">_xlfn.CONCAT(_xlfn.XLOOKUP($A950,PROPERTIES[VEHIDCODE],PROPERTIES[REGION1]),"_",_xlfn.XLOOKUP($A950,PROPERTIES[VEHIDCODE],PROPERTIES[REGION2]),"_",_xlfn.XLOOKUP($A950,PROPERTIES[VEHIDCODE],PROPERTIES[REGION3]&amp;"_"&amp;_xlfn.XLOOKUP($A950,PROPERTIES[VEHIDCODE],PROPERTIES[REGION4])))</f>
        <v>EASTERN_EUROPE_NO_REGION_NO_REGION_NO_REGION</v>
      </c>
      <c r="G950" t="b">
        <f t="shared" si="126"/>
        <v>0</v>
      </c>
      <c r="H950" t="b">
        <f t="shared" si="133"/>
        <v>0</v>
      </c>
      <c r="I950" t="b">
        <f t="shared" si="127"/>
        <v>0</v>
      </c>
      <c r="J950" t="b">
        <f t="shared" si="134"/>
        <v>1</v>
      </c>
      <c r="K950" t="b">
        <f t="shared" si="128"/>
        <v>0</v>
      </c>
      <c r="L950" t="b">
        <f t="shared" si="129"/>
        <v>0</v>
      </c>
      <c r="M950" t="b">
        <f t="shared" si="130"/>
        <v>0</v>
      </c>
      <c r="N950" t="b">
        <f t="shared" si="131"/>
        <v>0</v>
      </c>
      <c r="O950" t="b">
        <f t="shared" si="132"/>
        <v>0</v>
      </c>
    </row>
    <row r="951" spans="1:15" x14ac:dyDescent="0.35">
      <c r="A951" t="str">
        <v>diesel_GE_ES43ACi</v>
      </c>
      <c r="B951" t="b" cm="1">
        <f t="array" ref="B951">_xlfn.XLOOKUP(A951,CONTROL[VEHIDCODE],PROPERTIES[EXCLUDE])</f>
        <v>0</v>
      </c>
      <c r="C951" t="b">
        <f>_xlfn.XLOOKUP(A951,CONTROL[VEHIDCODE],CONTROL[IS_WAGON_OR_COACH])</f>
        <v>0</v>
      </c>
      <c r="D951">
        <f>FLOOR(_xlfn.XLOOKUP($A951,PROPERTIES[VEHIDCODE],PROPERTIES[INTRODUCTION_YEAR]),20)</f>
        <v>2000</v>
      </c>
      <c r="E951" t="e">
        <f>_xlfn.XLOOKUP($A951,PROPERTIES[VEHIDCODE],#REF!)</f>
        <v>#REF!</v>
      </c>
      <c r="F951" s="25" t="str" cm="1">
        <f t="array" ref="F951">_xlfn.CONCAT(_xlfn.XLOOKUP($A951,PROPERTIES[VEHIDCODE],PROPERTIES[REGION1]),"_",_xlfn.XLOOKUP($A951,PROPERTIES[VEHIDCODE],PROPERTIES[REGION2]),"_",_xlfn.XLOOKUP($A951,PROPERTIES[VEHIDCODE],PROPERTIES[REGION3]&amp;"_"&amp;_xlfn.XLOOKUP($A951,PROPERTIES[VEHIDCODE],PROPERTIES[REGION4])))</f>
        <v>ALL_REGION_NO_REGION_NO_REGION_NO_REGION</v>
      </c>
      <c r="G951" t="b">
        <f t="shared" si="126"/>
        <v>1</v>
      </c>
      <c r="H951" t="b">
        <f t="shared" si="133"/>
        <v>1</v>
      </c>
      <c r="I951" t="b">
        <f t="shared" si="127"/>
        <v>1</v>
      </c>
      <c r="J951" t="b">
        <f t="shared" si="134"/>
        <v>1</v>
      </c>
      <c r="K951" t="b">
        <f t="shared" si="128"/>
        <v>1</v>
      </c>
      <c r="L951" t="b">
        <f t="shared" si="129"/>
        <v>1</v>
      </c>
      <c r="M951" t="b">
        <f t="shared" si="130"/>
        <v>1</v>
      </c>
      <c r="N951" t="b">
        <f t="shared" si="131"/>
        <v>1</v>
      </c>
      <c r="O951" t="b">
        <f t="shared" si="132"/>
        <v>1</v>
      </c>
    </row>
    <row r="952" spans="1:15" x14ac:dyDescent="0.35">
      <c r="A952" t="str">
        <v>diesel_EMD_GP40</v>
      </c>
      <c r="B952" t="b" cm="1">
        <f t="array" ref="B952">_xlfn.XLOOKUP(A952,CONTROL[VEHIDCODE],PROPERTIES[EXCLUDE])</f>
        <v>0</v>
      </c>
      <c r="C952" t="b">
        <f>_xlfn.XLOOKUP(A952,CONTROL[VEHIDCODE],CONTROL[IS_WAGON_OR_COACH])</f>
        <v>0</v>
      </c>
      <c r="D952">
        <f>FLOOR(_xlfn.XLOOKUP($A952,PROPERTIES[VEHIDCODE],PROPERTIES[INTRODUCTION_YEAR]),20)</f>
        <v>1960</v>
      </c>
      <c r="E952" t="e">
        <f>_xlfn.XLOOKUP($A952,PROPERTIES[VEHIDCODE],#REF!)</f>
        <v>#REF!</v>
      </c>
      <c r="F952" s="25" t="str" cm="1">
        <f t="array" ref="F952">_xlfn.CONCAT(_xlfn.XLOOKUP($A952,PROPERTIES[VEHIDCODE],PROPERTIES[REGION1]),"_",_xlfn.XLOOKUP($A952,PROPERTIES[VEHIDCODE],PROPERTIES[REGION2]),"_",_xlfn.XLOOKUP($A952,PROPERTIES[VEHIDCODE],PROPERTIES[REGION3]&amp;"_"&amp;_xlfn.XLOOKUP($A952,PROPERTIES[VEHIDCODE],PROPERTIES[REGION4])))</f>
        <v>ALL_AMERICA_AFRICA_NO_REGION_NO_REGION</v>
      </c>
      <c r="G952" t="b">
        <f t="shared" si="126"/>
        <v>1</v>
      </c>
      <c r="H952" t="b">
        <f t="shared" si="133"/>
        <v>0</v>
      </c>
      <c r="I952" t="b">
        <f t="shared" si="127"/>
        <v>0</v>
      </c>
      <c r="J952" t="b">
        <f t="shared" si="134"/>
        <v>0</v>
      </c>
      <c r="K952" t="b">
        <f t="shared" si="128"/>
        <v>0</v>
      </c>
      <c r="L952" t="b">
        <f t="shared" si="129"/>
        <v>0</v>
      </c>
      <c r="M952" t="b">
        <f t="shared" si="130"/>
        <v>1</v>
      </c>
      <c r="N952" t="b">
        <f t="shared" si="131"/>
        <v>1</v>
      </c>
      <c r="O952" t="b">
        <f t="shared" si="132"/>
        <v>0</v>
      </c>
    </row>
    <row r="953" spans="1:15" x14ac:dyDescent="0.35">
      <c r="A953" t="str">
        <v>diesel_EMD_SD70</v>
      </c>
      <c r="B953" t="b" cm="1">
        <f t="array" ref="B953">_xlfn.XLOOKUP(A953,CONTROL[VEHIDCODE],PROPERTIES[EXCLUDE])</f>
        <v>0</v>
      </c>
      <c r="C953" t="b">
        <f>_xlfn.XLOOKUP(A953,CONTROL[VEHIDCODE],CONTROL[IS_WAGON_OR_COACH])</f>
        <v>0</v>
      </c>
      <c r="D953">
        <f>FLOOR(_xlfn.XLOOKUP($A953,PROPERTIES[VEHIDCODE],PROPERTIES[INTRODUCTION_YEAR]),20)</f>
        <v>1980</v>
      </c>
      <c r="E953" t="e">
        <f>_xlfn.XLOOKUP($A953,PROPERTIES[VEHIDCODE],#REF!)</f>
        <v>#REF!</v>
      </c>
      <c r="F953" s="25" t="str" cm="1">
        <f t="array" ref="F953">_xlfn.CONCAT(_xlfn.XLOOKUP($A953,PROPERTIES[VEHIDCODE],PROPERTIES[REGION1]),"_",_xlfn.XLOOKUP($A953,PROPERTIES[VEHIDCODE],PROPERTIES[REGION2]),"_",_xlfn.XLOOKUP($A953,PROPERTIES[VEHIDCODE],PROPERTIES[REGION3]&amp;"_"&amp;_xlfn.XLOOKUP($A953,PROPERTIES[VEHIDCODE],PROPERTIES[REGION4])))</f>
        <v>ALL_AMERICA_AFRICA_AFRICA_NO_REGION</v>
      </c>
      <c r="G953" t="b">
        <f t="shared" si="126"/>
        <v>1</v>
      </c>
      <c r="H953" t="b">
        <f t="shared" si="133"/>
        <v>0</v>
      </c>
      <c r="I953" t="b">
        <f t="shared" si="127"/>
        <v>0</v>
      </c>
      <c r="J953" t="b">
        <f t="shared" si="134"/>
        <v>0</v>
      </c>
      <c r="K953" t="b">
        <f t="shared" si="128"/>
        <v>0</v>
      </c>
      <c r="L953" t="b">
        <f t="shared" si="129"/>
        <v>0</v>
      </c>
      <c r="M953" t="b">
        <f t="shared" si="130"/>
        <v>1</v>
      </c>
      <c r="N953" t="b">
        <f t="shared" si="131"/>
        <v>1</v>
      </c>
      <c r="O953" t="b">
        <f t="shared" si="132"/>
        <v>0</v>
      </c>
    </row>
    <row r="954" spans="1:15" x14ac:dyDescent="0.35">
      <c r="A954" t="str">
        <v>diesel_GE_C30_7_Dash_7</v>
      </c>
      <c r="B954" t="b" cm="1">
        <f t="array" ref="B954">_xlfn.XLOOKUP(A954,CONTROL[VEHIDCODE],PROPERTIES[EXCLUDE])</f>
        <v>0</v>
      </c>
      <c r="C954" t="b">
        <f>_xlfn.XLOOKUP(A954,CONTROL[VEHIDCODE],CONTROL[IS_WAGON_OR_COACH])</f>
        <v>0</v>
      </c>
      <c r="D954">
        <f>FLOOR(_xlfn.XLOOKUP($A954,PROPERTIES[VEHIDCODE],PROPERTIES[INTRODUCTION_YEAR]),20)</f>
        <v>1960</v>
      </c>
      <c r="E954" t="e">
        <f>_xlfn.XLOOKUP($A954,PROPERTIES[VEHIDCODE],#REF!)</f>
        <v>#REF!</v>
      </c>
      <c r="F954" s="25" t="str" cm="1">
        <f t="array" ref="F954">_xlfn.CONCAT(_xlfn.XLOOKUP($A954,PROPERTIES[VEHIDCODE],PROPERTIES[REGION1]),"_",_xlfn.XLOOKUP($A954,PROPERTIES[VEHIDCODE],PROPERTIES[REGION2]),"_",_xlfn.XLOOKUP($A954,PROPERTIES[VEHIDCODE],PROPERTIES[REGION3]&amp;"_"&amp;_xlfn.XLOOKUP($A954,PROPERTIES[VEHIDCODE],PROPERTIES[REGION4])))</f>
        <v>ALL_AMERICA_NORTHERN_EUROPE_ASIA_NO_REGION</v>
      </c>
      <c r="G954" t="b">
        <f t="shared" si="126"/>
        <v>0</v>
      </c>
      <c r="H954" t="b">
        <f t="shared" si="133"/>
        <v>1</v>
      </c>
      <c r="I954" t="b">
        <f t="shared" si="127"/>
        <v>0</v>
      </c>
      <c r="J954" t="b">
        <f t="shared" si="134"/>
        <v>0</v>
      </c>
      <c r="K954" t="b">
        <f t="shared" si="128"/>
        <v>0</v>
      </c>
      <c r="L954" t="b">
        <f t="shared" si="129"/>
        <v>1</v>
      </c>
      <c r="M954" t="b">
        <f t="shared" si="130"/>
        <v>1</v>
      </c>
      <c r="N954" t="b">
        <f t="shared" si="131"/>
        <v>1</v>
      </c>
      <c r="O954" t="b">
        <f t="shared" si="132"/>
        <v>0</v>
      </c>
    </row>
    <row r="955" spans="1:15" x14ac:dyDescent="0.35">
      <c r="A955" t="str">
        <v>diesel_GE_C40_8_Dash_8</v>
      </c>
      <c r="B955" t="b" cm="1">
        <f t="array" ref="B955">_xlfn.XLOOKUP(A955,CONTROL[VEHIDCODE],PROPERTIES[EXCLUDE])</f>
        <v>0</v>
      </c>
      <c r="C955" t="b">
        <f>_xlfn.XLOOKUP(A955,CONTROL[VEHIDCODE],CONTROL[IS_WAGON_OR_COACH])</f>
        <v>0</v>
      </c>
      <c r="D955">
        <f>FLOOR(_xlfn.XLOOKUP($A955,PROPERTIES[VEHIDCODE],PROPERTIES[INTRODUCTION_YEAR]),20)</f>
        <v>1980</v>
      </c>
      <c r="E955" t="e">
        <f>_xlfn.XLOOKUP($A955,PROPERTIES[VEHIDCODE],#REF!)</f>
        <v>#REF!</v>
      </c>
      <c r="F955" s="25" t="str" cm="1">
        <f t="array" ref="F955">_xlfn.CONCAT(_xlfn.XLOOKUP($A955,PROPERTIES[VEHIDCODE],PROPERTIES[REGION1]),"_",_xlfn.XLOOKUP($A955,PROPERTIES[VEHIDCODE],PROPERTIES[REGION2]),"_",_xlfn.XLOOKUP($A955,PROPERTIES[VEHIDCODE],PROPERTIES[REGION3]&amp;"_"&amp;_xlfn.XLOOKUP($A955,PROPERTIES[VEHIDCODE],PROPERTIES[REGION4])))</f>
        <v>ALL_AMERICA_NO_REGION_NO_REGION_NO_REGION</v>
      </c>
      <c r="G955" t="b">
        <f t="shared" si="126"/>
        <v>0</v>
      </c>
      <c r="H955" t="b">
        <f t="shared" si="133"/>
        <v>0</v>
      </c>
      <c r="I955" t="b">
        <f t="shared" si="127"/>
        <v>0</v>
      </c>
      <c r="J955" t="b">
        <f t="shared" si="134"/>
        <v>0</v>
      </c>
      <c r="K955" t="b">
        <f t="shared" si="128"/>
        <v>0</v>
      </c>
      <c r="L955" t="b">
        <f t="shared" si="129"/>
        <v>0</v>
      </c>
      <c r="M955" t="b">
        <f t="shared" si="130"/>
        <v>1</v>
      </c>
      <c r="N955" t="b">
        <f t="shared" si="131"/>
        <v>1</v>
      </c>
      <c r="O955" t="b">
        <f t="shared" si="132"/>
        <v>0</v>
      </c>
    </row>
    <row r="956" spans="1:15" x14ac:dyDescent="0.35">
      <c r="A956" t="str">
        <v>diesel_GE_C44_9W_Dash_9</v>
      </c>
      <c r="B956" t="b" cm="1">
        <f t="array" ref="B956">_xlfn.XLOOKUP(A956,CONTROL[VEHIDCODE],PROPERTIES[EXCLUDE])</f>
        <v>0</v>
      </c>
      <c r="C956" t="b">
        <f>_xlfn.XLOOKUP(A956,CONTROL[VEHIDCODE],CONTROL[IS_WAGON_OR_COACH])</f>
        <v>0</v>
      </c>
      <c r="D956">
        <f>FLOOR(_xlfn.XLOOKUP($A956,PROPERTIES[VEHIDCODE],PROPERTIES[INTRODUCTION_YEAR]),20)</f>
        <v>1980</v>
      </c>
      <c r="E956" t="e">
        <f>_xlfn.XLOOKUP($A956,PROPERTIES[VEHIDCODE],#REF!)</f>
        <v>#REF!</v>
      </c>
      <c r="F956" s="25" t="str" cm="1">
        <f t="array" ref="F956">_xlfn.CONCAT(_xlfn.XLOOKUP($A956,PROPERTIES[VEHIDCODE],PROPERTIES[REGION1]),"_",_xlfn.XLOOKUP($A956,PROPERTIES[VEHIDCODE],PROPERTIES[REGION2]),"_",_xlfn.XLOOKUP($A956,PROPERTIES[VEHIDCODE],PROPERTIES[REGION3]&amp;"_"&amp;_xlfn.XLOOKUP($A956,PROPERTIES[VEHIDCODE],PROPERTIES[REGION4])))</f>
        <v>ALL_AMERICA_OCEANIA_NO_REGION_NO_REGION</v>
      </c>
      <c r="G956" t="b">
        <f t="shared" si="126"/>
        <v>0</v>
      </c>
      <c r="H956" t="b">
        <f t="shared" si="133"/>
        <v>0</v>
      </c>
      <c r="I956" t="b">
        <f t="shared" si="127"/>
        <v>0</v>
      </c>
      <c r="J956" t="b">
        <f t="shared" si="134"/>
        <v>0</v>
      </c>
      <c r="K956" t="b">
        <f t="shared" si="128"/>
        <v>0</v>
      </c>
      <c r="L956" t="b">
        <f t="shared" si="129"/>
        <v>0</v>
      </c>
      <c r="M956" t="b">
        <f t="shared" si="130"/>
        <v>1</v>
      </c>
      <c r="N956" t="b">
        <f t="shared" si="131"/>
        <v>1</v>
      </c>
      <c r="O956" t="b">
        <f t="shared" si="132"/>
        <v>1</v>
      </c>
    </row>
    <row r="957" spans="1:15" x14ac:dyDescent="0.35">
      <c r="A957" t="str">
        <v>diesel_EMD_GP40_DNU</v>
      </c>
      <c r="B957" t="b" cm="1">
        <f t="array" ref="B957">_xlfn.XLOOKUP(A957,CONTROL[VEHIDCODE],PROPERTIES[EXCLUDE])</f>
        <v>1</v>
      </c>
      <c r="C957" t="b">
        <f>_xlfn.XLOOKUP(A957,CONTROL[VEHIDCODE],CONTROL[IS_WAGON_OR_COACH])</f>
        <v>0</v>
      </c>
      <c r="D957">
        <f>FLOOR(_xlfn.XLOOKUP($A957,PROPERTIES[VEHIDCODE],PROPERTIES[INTRODUCTION_YEAR]),20)</f>
        <v>1960</v>
      </c>
      <c r="E957" t="e">
        <f>_xlfn.XLOOKUP($A957,PROPERTIES[VEHIDCODE],#REF!)</f>
        <v>#REF!</v>
      </c>
      <c r="F957" s="25" t="str" cm="1">
        <f t="array" ref="F957">_xlfn.CONCAT(_xlfn.XLOOKUP($A957,PROPERTIES[VEHIDCODE],PROPERTIES[REGION1]),"_",_xlfn.XLOOKUP($A957,PROPERTIES[VEHIDCODE],PROPERTIES[REGION2]),"_",_xlfn.XLOOKUP($A957,PROPERTIES[VEHIDCODE],PROPERTIES[REGION3]&amp;"_"&amp;_xlfn.XLOOKUP($A957,PROPERTIES[VEHIDCODE],PROPERTIES[REGION4])))</f>
        <v>ALL_AMERICA_NO_REGION_NO_REGION_NO_REGION</v>
      </c>
      <c r="G957" t="b">
        <f t="shared" si="126"/>
        <v>0</v>
      </c>
      <c r="H957" t="b">
        <f t="shared" si="133"/>
        <v>0</v>
      </c>
      <c r="I957" t="b">
        <f t="shared" si="127"/>
        <v>0</v>
      </c>
      <c r="J957" t="b">
        <f t="shared" si="134"/>
        <v>0</v>
      </c>
      <c r="K957" t="b">
        <f t="shared" si="128"/>
        <v>0</v>
      </c>
      <c r="L957" t="b">
        <f t="shared" si="129"/>
        <v>0</v>
      </c>
      <c r="M957" t="b">
        <f t="shared" si="130"/>
        <v>1</v>
      </c>
      <c r="N957" t="b">
        <f t="shared" si="131"/>
        <v>1</v>
      </c>
      <c r="O957" t="b">
        <f t="shared" si="132"/>
        <v>0</v>
      </c>
    </row>
    <row r="958" spans="1:15" x14ac:dyDescent="0.35">
      <c r="A958" t="str">
        <v>steam_Kitson_2_2_2_3166_3171</v>
      </c>
      <c r="B958" t="b" cm="1">
        <f t="array" ref="B958">_xlfn.XLOOKUP(A958,CONTROL[VEHIDCODE],PROPERTIES[EXCLUDE])</f>
        <v>0</v>
      </c>
      <c r="C958" t="b">
        <f>_xlfn.XLOOKUP(A958,CONTROL[VEHIDCODE],CONTROL[IS_WAGON_OR_COACH])</f>
        <v>0</v>
      </c>
      <c r="D958">
        <f>FLOOR(_xlfn.XLOOKUP($A958,PROPERTIES[VEHIDCODE],PROPERTIES[INTRODUCTION_YEAR]),20)</f>
        <v>1880</v>
      </c>
      <c r="E958" t="e">
        <f>_xlfn.XLOOKUP($A958,PROPERTIES[VEHIDCODE],#REF!)</f>
        <v>#REF!</v>
      </c>
      <c r="F958" s="25" t="str" cm="1">
        <f t="array" ref="F958">_xlfn.CONCAT(_xlfn.XLOOKUP($A958,PROPERTIES[VEHIDCODE],PROPERTIES[REGION1]),"_",_xlfn.XLOOKUP($A958,PROPERTIES[VEHIDCODE],PROPERTIES[REGION2]),"_",_xlfn.XLOOKUP($A958,PROPERTIES[VEHIDCODE],PROPERTIES[REGION3]&amp;"_"&amp;_xlfn.XLOOKUP($A958,PROPERTIES[VEHIDCODE],PROPERTIES[REGION4])))</f>
        <v>AFRICA_NO_REGION_NO_REGION_NO_REGION</v>
      </c>
      <c r="G958" t="b">
        <f t="shared" si="126"/>
        <v>1</v>
      </c>
      <c r="H958" t="b">
        <f t="shared" si="133"/>
        <v>0</v>
      </c>
      <c r="I958" t="b">
        <f t="shared" si="127"/>
        <v>0</v>
      </c>
      <c r="J958" t="b">
        <f t="shared" si="134"/>
        <v>0</v>
      </c>
      <c r="K958" t="b">
        <f t="shared" si="128"/>
        <v>0</v>
      </c>
      <c r="L958" t="b">
        <f t="shared" si="129"/>
        <v>0</v>
      </c>
      <c r="M958" t="b">
        <f t="shared" si="130"/>
        <v>0</v>
      </c>
      <c r="N958" t="b">
        <f t="shared" si="131"/>
        <v>0</v>
      </c>
      <c r="O958" t="b">
        <f t="shared" si="132"/>
        <v>0</v>
      </c>
    </row>
    <row r="959" spans="1:15" x14ac:dyDescent="0.35">
      <c r="A959" t="str">
        <v>steam_Burnham_2_6_0_15857_15871</v>
      </c>
      <c r="B959" t="b" cm="1">
        <f t="array" ref="B959">_xlfn.XLOOKUP(A959,CONTROL[VEHIDCODE],PROPERTIES[EXCLUDE])</f>
        <v>0</v>
      </c>
      <c r="C959" t="b">
        <f>_xlfn.XLOOKUP(A959,CONTROL[VEHIDCODE],CONTROL[IS_WAGON_OR_COACH])</f>
        <v>0</v>
      </c>
      <c r="D959">
        <f>FLOOR(_xlfn.XLOOKUP($A959,PROPERTIES[VEHIDCODE],PROPERTIES[INTRODUCTION_YEAR]),20)</f>
        <v>1880</v>
      </c>
      <c r="E959" t="e">
        <f>_xlfn.XLOOKUP($A959,PROPERTIES[VEHIDCODE],#REF!)</f>
        <v>#REF!</v>
      </c>
      <c r="F959" s="25" t="str" cm="1">
        <f t="array" ref="F959">_xlfn.CONCAT(_xlfn.XLOOKUP($A959,PROPERTIES[VEHIDCODE],PROPERTIES[REGION1]),"_",_xlfn.XLOOKUP($A959,PROPERTIES[VEHIDCODE],PROPERTIES[REGION2]),"_",_xlfn.XLOOKUP($A959,PROPERTIES[VEHIDCODE],PROPERTIES[REGION3]&amp;"_"&amp;_xlfn.XLOOKUP($A959,PROPERTIES[VEHIDCODE],PROPERTIES[REGION4])))</f>
        <v>AFRICA_NO_REGION_NO_REGION_NO_REGION</v>
      </c>
      <c r="G959" t="b">
        <f t="shared" si="126"/>
        <v>1</v>
      </c>
      <c r="H959" t="b">
        <f t="shared" si="133"/>
        <v>0</v>
      </c>
      <c r="I959" t="b">
        <f t="shared" si="127"/>
        <v>0</v>
      </c>
      <c r="J959" t="b">
        <f t="shared" si="134"/>
        <v>0</v>
      </c>
      <c r="K959" t="b">
        <f t="shared" si="128"/>
        <v>0</v>
      </c>
      <c r="L959" t="b">
        <f t="shared" si="129"/>
        <v>0</v>
      </c>
      <c r="M959" t="b">
        <f t="shared" si="130"/>
        <v>0</v>
      </c>
      <c r="N959" t="b">
        <f t="shared" si="131"/>
        <v>0</v>
      </c>
      <c r="O959" t="b">
        <f t="shared" si="132"/>
        <v>0</v>
      </c>
    </row>
    <row r="960" spans="1:15" x14ac:dyDescent="0.35">
      <c r="A960" t="str">
        <v>steam_SA_Franco_Belge_0_6_0_Class_4</v>
      </c>
      <c r="B960" t="b" cm="1">
        <f t="array" ref="B960">_xlfn.XLOOKUP(A960,CONTROL[VEHIDCODE],PROPERTIES[EXCLUDE])</f>
        <v>0</v>
      </c>
      <c r="C960" t="b">
        <f>_xlfn.XLOOKUP(A960,CONTROL[VEHIDCODE],CONTROL[IS_WAGON_OR_COACH])</f>
        <v>0</v>
      </c>
      <c r="D960">
        <f>FLOOR(_xlfn.XLOOKUP($A960,PROPERTIES[VEHIDCODE],PROPERTIES[INTRODUCTION_YEAR]),20)</f>
        <v>1880</v>
      </c>
      <c r="E960" t="e">
        <f>_xlfn.XLOOKUP($A960,PROPERTIES[VEHIDCODE],#REF!)</f>
        <v>#REF!</v>
      </c>
      <c r="F960" s="25" t="str" cm="1">
        <f t="array" ref="F960">_xlfn.CONCAT(_xlfn.XLOOKUP($A960,PROPERTIES[VEHIDCODE],PROPERTIES[REGION1]),"_",_xlfn.XLOOKUP($A960,PROPERTIES[VEHIDCODE],PROPERTIES[REGION2]),"_",_xlfn.XLOOKUP($A960,PROPERTIES[VEHIDCODE],PROPERTIES[REGION3]&amp;"_"&amp;_xlfn.XLOOKUP($A960,PROPERTIES[VEHIDCODE],PROPERTIES[REGION4])))</f>
        <v>AFRICA_NO_REGION_NO_REGION_NO_REGION</v>
      </c>
      <c r="G960" t="b">
        <f t="shared" si="126"/>
        <v>1</v>
      </c>
      <c r="H960" t="b">
        <f t="shared" si="133"/>
        <v>0</v>
      </c>
      <c r="I960" t="b">
        <f t="shared" si="127"/>
        <v>0</v>
      </c>
      <c r="J960" t="b">
        <f t="shared" si="134"/>
        <v>0</v>
      </c>
      <c r="K960" t="b">
        <f t="shared" si="128"/>
        <v>0</v>
      </c>
      <c r="L960" t="b">
        <f t="shared" si="129"/>
        <v>0</v>
      </c>
      <c r="M960" t="b">
        <f t="shared" si="130"/>
        <v>0</v>
      </c>
      <c r="N960" t="b">
        <f t="shared" si="131"/>
        <v>0</v>
      </c>
      <c r="O960" t="b">
        <f t="shared" si="132"/>
        <v>0</v>
      </c>
    </row>
    <row r="961" spans="1:15" x14ac:dyDescent="0.35">
      <c r="A961" t="str">
        <v>mglv_ACME_Corp__Pegasus</v>
      </c>
      <c r="B961" t="b" cm="1">
        <f t="array" ref="B961">_xlfn.XLOOKUP(A961,CONTROL[VEHIDCODE],PROPERTIES[EXCLUDE])</f>
        <v>0</v>
      </c>
      <c r="C961" t="b">
        <f>_xlfn.XLOOKUP(A961,CONTROL[VEHIDCODE],CONTROL[IS_WAGON_OR_COACH])</f>
        <v>0</v>
      </c>
      <c r="D961">
        <f>FLOOR(_xlfn.XLOOKUP($A961,PROPERTIES[VEHIDCODE],PROPERTIES[INTRODUCTION_YEAR]),20)</f>
        <v>2000</v>
      </c>
      <c r="E961" t="e">
        <f>_xlfn.XLOOKUP($A961,PROPERTIES[VEHIDCODE],#REF!)</f>
        <v>#REF!</v>
      </c>
      <c r="F961" s="25" t="str" cm="1">
        <f t="array" ref="F961">_xlfn.CONCAT(_xlfn.XLOOKUP($A961,PROPERTIES[VEHIDCODE],PROPERTIES[REGION1]),"_",_xlfn.XLOOKUP($A961,PROPERTIES[VEHIDCODE],PROPERTIES[REGION2]),"_",_xlfn.XLOOKUP($A961,PROPERTIES[VEHIDCODE],PROPERTIES[REGION3]&amp;"_"&amp;_xlfn.XLOOKUP($A961,PROPERTIES[VEHIDCODE],PROPERTIES[REGION4])))</f>
        <v>ALL_REGION_NO_REGION_NO_REGION_NO_REGION</v>
      </c>
      <c r="G961" t="b">
        <f t="shared" si="126"/>
        <v>1</v>
      </c>
      <c r="H961" t="b">
        <f t="shared" si="133"/>
        <v>1</v>
      </c>
      <c r="I961" t="b">
        <f t="shared" si="127"/>
        <v>1</v>
      </c>
      <c r="J961" t="b">
        <f t="shared" si="134"/>
        <v>1</v>
      </c>
      <c r="K961" t="b">
        <f t="shared" si="128"/>
        <v>1</v>
      </c>
      <c r="L961" t="b">
        <f t="shared" si="129"/>
        <v>1</v>
      </c>
      <c r="M961" t="b">
        <f t="shared" si="130"/>
        <v>1</v>
      </c>
      <c r="N961" t="b">
        <f t="shared" si="131"/>
        <v>1</v>
      </c>
      <c r="O961" t="b">
        <f t="shared" si="132"/>
        <v>1</v>
      </c>
    </row>
    <row r="962" spans="1:15" x14ac:dyDescent="0.35">
      <c r="A962" t="str">
        <v>mmu_ACME_Corp__Chimaera</v>
      </c>
      <c r="B962" t="b" cm="1">
        <f t="array" ref="B962">_xlfn.XLOOKUP(A962,CONTROL[VEHIDCODE],PROPERTIES[EXCLUDE])</f>
        <v>0</v>
      </c>
      <c r="C962" t="b">
        <f>_xlfn.XLOOKUP(A962,CONTROL[VEHIDCODE],CONTROL[IS_WAGON_OR_COACH])</f>
        <v>0</v>
      </c>
      <c r="D962">
        <f>FLOOR(_xlfn.XLOOKUP($A962,PROPERTIES[VEHIDCODE],PROPERTIES[INTRODUCTION_YEAR]),20)</f>
        <v>2020</v>
      </c>
      <c r="E962" t="e">
        <f>_xlfn.XLOOKUP($A962,PROPERTIES[VEHIDCODE],#REF!)</f>
        <v>#REF!</v>
      </c>
      <c r="F962" s="25" t="str" cm="1">
        <f t="array" ref="F962">_xlfn.CONCAT(_xlfn.XLOOKUP($A962,PROPERTIES[VEHIDCODE],PROPERTIES[REGION1]),"_",_xlfn.XLOOKUP($A962,PROPERTIES[VEHIDCODE],PROPERTIES[REGION2]),"_",_xlfn.XLOOKUP($A962,PROPERTIES[VEHIDCODE],PROPERTIES[REGION3]&amp;"_"&amp;_xlfn.XLOOKUP($A962,PROPERTIES[VEHIDCODE],PROPERTIES[REGION4])))</f>
        <v>ALL_REGION_NO_REGION_NO_REGION_NO_REGION</v>
      </c>
      <c r="G962" t="b">
        <f t="shared" ref="G962:G1115" si="135">OR(ISNUMBER(SEARCH("ALL_REGION",$F962)),
ISNUMBER(SEARCH("AFRICA",$F962)),
ISNUMBER(SEARCH("OLD_WORLD",$F962)),
ISNUMBER(SEARCH("NON_EUROPEAN",$F962)))</f>
        <v>1</v>
      </c>
      <c r="H962" t="b">
        <f t="shared" si="133"/>
        <v>1</v>
      </c>
      <c r="I962" t="b">
        <f t="shared" ref="I962:I1115" si="136">OR(ISNUMBER(SEARCH("ALL_REGION",$F962)),
ISNUMBER(SEARCH("ALL_EUROPE",$F962)),
ISNUMBER(SEARCH(I$1,$F962)),
ISNUMBER(SEARCH("OLD_WORLD",$F962)))</f>
        <v>1</v>
      </c>
      <c r="J962" t="b">
        <f t="shared" si="134"/>
        <v>1</v>
      </c>
      <c r="K962" t="b">
        <f t="shared" ref="K962:K1115" si="137">OR(ISNUMBER(SEARCH("ALL_REGION",$F962)),
ISNUMBER(SEARCH("ALL_EUROPE",$F962)),
ISNUMBER(SEARCH(K$1,$F962)),
ISNUMBER(SEARCH("OLD_WORLD",$F962)),
ISNUMBER(SEARCH("NORTH_WEST_EUROPE",$F962)))</f>
        <v>1</v>
      </c>
      <c r="L962" t="b">
        <f t="shared" ref="L962:L1115" si="138">OR(ISNUMBER(SEARCH("ALL_REGION",$F962)),
ISNUMBER(SEARCH("ALL_EUROPE",$F962)),
ISNUMBER(SEARCH(L$1,$F962)),
ISNUMBER(SEARCH("OLD_WORLD",$F962)),
ISNUMBER(SEARCH("NORTH_WEST_EUROPE",$F962)),
ISNUMBER(SEARCH("POST_SOVIET_BALTIC",$F962)))</f>
        <v>1</v>
      </c>
      <c r="M962" t="b">
        <f t="shared" ref="M962:M1115" si="139">OR(ISNUMBER(SEARCH("ALL_REGION",$F962)),
ISNUMBER(SEARCH("ALL_AMERICA",$F962)),
ISNUMBER(SEARCH(M$1,$F962)),
ISNUMBER(SEARCH("NON_EUROPEAN",$F962)))</f>
        <v>1</v>
      </c>
      <c r="N962" t="b">
        <f t="shared" ref="N962:N1115" si="140">OR(ISNUMBER(SEARCH("ALL_REGION",$F962)),
ISNUMBER(SEARCH("ALL_AMERICA",$F962)),
ISNUMBER(SEARCH(N$1,$F962)),
ISNUMBER(SEARCH("NON_EUROPEAN",$F962)),
ISNUMBER(SEARCH("COMECON_EXTENDED",$F962)))</f>
        <v>1</v>
      </c>
      <c r="O962" t="b">
        <f t="shared" ref="O962:O1115" si="141">OR(ISNUMBER(SEARCH("ALL_REGION",$F962)),
ISNUMBER(SEARCH(O$1,$F962)),
ISNUMBER(SEARCH("APAC",$F962)))</f>
        <v>1</v>
      </c>
    </row>
    <row r="963" spans="1:15" x14ac:dyDescent="0.35">
      <c r="A963" t="str">
        <v>mglv_coach_Gen7M_Chimaera_Passenger_Coach</v>
      </c>
      <c r="B963" t="b" cm="1">
        <f t="array" ref="B963">_xlfn.XLOOKUP(A963,CONTROL[VEHIDCODE],PROPERTIES[EXCLUDE])</f>
        <v>0</v>
      </c>
      <c r="C963" t="b">
        <f>_xlfn.XLOOKUP(A963,CONTROL[VEHIDCODE],CONTROL[IS_WAGON_OR_COACH])</f>
        <v>1</v>
      </c>
      <c r="D963">
        <f>FLOOR(_xlfn.XLOOKUP($A963,PROPERTIES[VEHIDCODE],PROPERTIES[INTRODUCTION_YEAR]),20)</f>
        <v>2000</v>
      </c>
      <c r="E963" t="e">
        <f>_xlfn.XLOOKUP($A963,PROPERTIES[VEHIDCODE],#REF!)</f>
        <v>#REF!</v>
      </c>
      <c r="F963" s="25" t="str" cm="1">
        <f t="array" ref="F963">_xlfn.CONCAT(_xlfn.XLOOKUP($A963,PROPERTIES[VEHIDCODE],PROPERTIES[REGION1]),"_",_xlfn.XLOOKUP($A963,PROPERTIES[VEHIDCODE],PROPERTIES[REGION2]),"_",_xlfn.XLOOKUP($A963,PROPERTIES[VEHIDCODE],PROPERTIES[REGION3]&amp;"_"&amp;_xlfn.XLOOKUP($A963,PROPERTIES[VEHIDCODE],PROPERTIES[REGION4])))</f>
        <v>ALL_REGION_NO_REGION_NO_REGION_NO_REGION</v>
      </c>
      <c r="G963" t="b">
        <f t="shared" si="135"/>
        <v>1</v>
      </c>
      <c r="H963" t="b">
        <f t="shared" ref="H963:H1115" si="142">OR(ISNUMBER(SEARCH("ALL_REGION",$F963)),
ISNUMBER(SEARCH("ASIA",$F963)),
ISNUMBER(SEARCH("OLD_WORLD",$F963)),
ISNUMBER(SEARCH("NON_EUROPEAN",$F963)),
ISNUMBER(SEARCH("APAC",$F963)),
ISNUMBER(SEARCH("COMECON",$F963)),
ISNUMBER(SEARCH("COMECON_EXTENDED",$F963)),
ISNUMBER(SEARCH("POST_SOVIET_BALTIC",$F963)))</f>
        <v>1</v>
      </c>
      <c r="I963" t="b">
        <f t="shared" si="136"/>
        <v>1</v>
      </c>
      <c r="J963" t="b">
        <f t="shared" ref="J963:J1115" si="143">OR(ISNUMBER(SEARCH("ALL_REGION",$F963)),
ISNUMBER(SEARCH("ALL_EUROPE",$F963)),
ISNUMBER(SEARCH(J$1,$F963)),
ISNUMBER(SEARCH("OLD_WORLD",$F963)),
ISNUMBER(SEARCH("COMECON",$F963)),
ISNUMBER(SEARCH("POST_SOVIET_BALTIC",$F963)))</f>
        <v>1</v>
      </c>
      <c r="K963" t="b">
        <f t="shared" si="137"/>
        <v>1</v>
      </c>
      <c r="L963" t="b">
        <f t="shared" si="138"/>
        <v>1</v>
      </c>
      <c r="M963" t="b">
        <f t="shared" si="139"/>
        <v>1</v>
      </c>
      <c r="N963" t="b">
        <f t="shared" si="140"/>
        <v>1</v>
      </c>
      <c r="O963" t="b">
        <f t="shared" si="141"/>
        <v>1</v>
      </c>
    </row>
    <row r="964" spans="1:15" x14ac:dyDescent="0.35">
      <c r="A964" t="str">
        <v>mglv_coach_Gen7M_Chimaera_Mail_Coach</v>
      </c>
      <c r="B964" t="b" cm="1">
        <f t="array" ref="B964">_xlfn.XLOOKUP(A964,CONTROL[VEHIDCODE],PROPERTIES[EXCLUDE])</f>
        <v>0</v>
      </c>
      <c r="C964" t="b">
        <f>_xlfn.XLOOKUP(A964,CONTROL[VEHIDCODE],CONTROL[IS_WAGON_OR_COACH])</f>
        <v>1</v>
      </c>
      <c r="D964">
        <f>FLOOR(_xlfn.XLOOKUP($A964,PROPERTIES[VEHIDCODE],PROPERTIES[INTRODUCTION_YEAR]),20)</f>
        <v>2000</v>
      </c>
      <c r="E964" t="e">
        <f>_xlfn.XLOOKUP($A964,PROPERTIES[VEHIDCODE],#REF!)</f>
        <v>#REF!</v>
      </c>
      <c r="F964" s="25" t="str" cm="1">
        <f t="array" ref="F964">_xlfn.CONCAT(_xlfn.XLOOKUP($A964,PROPERTIES[VEHIDCODE],PROPERTIES[REGION1]),"_",_xlfn.XLOOKUP($A964,PROPERTIES[VEHIDCODE],PROPERTIES[REGION2]),"_",_xlfn.XLOOKUP($A964,PROPERTIES[VEHIDCODE],PROPERTIES[REGION3]&amp;"_"&amp;_xlfn.XLOOKUP($A964,PROPERTIES[VEHIDCODE],PROPERTIES[REGION4])))</f>
        <v>ALL_REGION_NO_REGION_NO_REGION_NO_REGION</v>
      </c>
      <c r="G964" t="b">
        <f t="shared" si="135"/>
        <v>1</v>
      </c>
      <c r="H964" t="b">
        <f t="shared" si="142"/>
        <v>1</v>
      </c>
      <c r="I964" t="b">
        <f t="shared" si="136"/>
        <v>1</v>
      </c>
      <c r="J964" t="b">
        <f t="shared" si="143"/>
        <v>1</v>
      </c>
      <c r="K964" t="b">
        <f t="shared" si="137"/>
        <v>1</v>
      </c>
      <c r="L964" t="b">
        <f t="shared" si="138"/>
        <v>1</v>
      </c>
      <c r="M964" t="b">
        <f t="shared" si="139"/>
        <v>1</v>
      </c>
      <c r="N964" t="b">
        <f t="shared" si="140"/>
        <v>1</v>
      </c>
      <c r="O964" t="b">
        <f t="shared" si="141"/>
        <v>1</v>
      </c>
    </row>
    <row r="965" spans="1:15" x14ac:dyDescent="0.35">
      <c r="A965" t="str">
        <v>steam_Sharp_BP_0_6_0_BDZ_142_150</v>
      </c>
      <c r="B965" t="b" cm="1">
        <f t="array" ref="B965">_xlfn.XLOOKUP(A965,CONTROL[VEHIDCODE],PROPERTIES[EXCLUDE])</f>
        <v>0</v>
      </c>
      <c r="C965" t="b">
        <f>_xlfn.XLOOKUP(A965,CONTROL[VEHIDCODE],CONTROL[IS_WAGON_OR_COACH])</f>
        <v>0</v>
      </c>
      <c r="D965">
        <f>FLOOR(_xlfn.XLOOKUP($A965,PROPERTIES[VEHIDCODE],PROPERTIES[INTRODUCTION_YEAR]),20)</f>
        <v>1860</v>
      </c>
      <c r="E965" t="e">
        <f>_xlfn.XLOOKUP($A965,PROPERTIES[VEHIDCODE],#REF!)</f>
        <v>#REF!</v>
      </c>
      <c r="F965" s="25" t="str" cm="1">
        <f t="array" ref="F965">_xlfn.CONCAT(_xlfn.XLOOKUP($A965,PROPERTIES[VEHIDCODE],PROPERTIES[REGION1]),"_",_xlfn.XLOOKUP($A965,PROPERTIES[VEHIDCODE],PROPERTIES[REGION2]),"_",_xlfn.XLOOKUP($A965,PROPERTIES[VEHIDCODE],PROPERTIES[REGION3]&amp;"_"&amp;_xlfn.XLOOKUP($A965,PROPERTIES[VEHIDCODE],PROPERTIES[REGION4])))</f>
        <v>EASTERN_EUROPE_NO_REGION_NO_REGION_NO_REGION</v>
      </c>
      <c r="G965" t="b">
        <f t="shared" si="135"/>
        <v>0</v>
      </c>
      <c r="H965" t="b">
        <f t="shared" si="142"/>
        <v>0</v>
      </c>
      <c r="I965" t="b">
        <f t="shared" si="136"/>
        <v>0</v>
      </c>
      <c r="J965" t="b">
        <f t="shared" si="143"/>
        <v>1</v>
      </c>
      <c r="K965" t="b">
        <f t="shared" si="137"/>
        <v>0</v>
      </c>
      <c r="L965" t="b">
        <f t="shared" si="138"/>
        <v>0</v>
      </c>
      <c r="M965" t="b">
        <f t="shared" si="139"/>
        <v>0</v>
      </c>
      <c r="N965" t="b">
        <f t="shared" si="140"/>
        <v>0</v>
      </c>
      <c r="O965" t="b">
        <f t="shared" si="141"/>
        <v>0</v>
      </c>
    </row>
    <row r="966" spans="1:15" x14ac:dyDescent="0.35">
      <c r="A966" t="str">
        <v>steam_MAVAG_4_4_2_Class_203</v>
      </c>
      <c r="B966" t="b" cm="1">
        <f t="array" ref="B966">_xlfn.XLOOKUP(A966,CONTROL[VEHIDCODE],PROPERTIES[EXCLUDE])</f>
        <v>0</v>
      </c>
      <c r="C966" t="b">
        <f>_xlfn.XLOOKUP(A966,CONTROL[VEHIDCODE],CONTROL[IS_WAGON_OR_COACH])</f>
        <v>0</v>
      </c>
      <c r="D966">
        <f>FLOOR(_xlfn.XLOOKUP($A966,PROPERTIES[VEHIDCODE],PROPERTIES[INTRODUCTION_YEAR]),20)</f>
        <v>1900</v>
      </c>
      <c r="E966" t="e">
        <f>_xlfn.XLOOKUP($A966,PROPERTIES[VEHIDCODE],#REF!)</f>
        <v>#REF!</v>
      </c>
      <c r="F966" s="25" t="str" cm="1">
        <f t="array" ref="F966">_xlfn.CONCAT(_xlfn.XLOOKUP($A966,PROPERTIES[VEHIDCODE],PROPERTIES[REGION1]),"_",_xlfn.XLOOKUP($A966,PROPERTIES[VEHIDCODE],PROPERTIES[REGION2]),"_",_xlfn.XLOOKUP($A966,PROPERTIES[VEHIDCODE],PROPERTIES[REGION3]&amp;"_"&amp;_xlfn.XLOOKUP($A966,PROPERTIES[VEHIDCODE],PROPERTIES[REGION4])))</f>
        <v>EASTERN_EUROPE_NO_REGION_NO_REGION_NO_REGION</v>
      </c>
      <c r="G966" t="b">
        <f t="shared" si="135"/>
        <v>0</v>
      </c>
      <c r="H966" t="b">
        <f t="shared" si="142"/>
        <v>0</v>
      </c>
      <c r="I966" t="b">
        <f t="shared" si="136"/>
        <v>0</v>
      </c>
      <c r="J966" t="b">
        <f t="shared" si="143"/>
        <v>1</v>
      </c>
      <c r="K966" t="b">
        <f t="shared" si="137"/>
        <v>0</v>
      </c>
      <c r="L966" t="b">
        <f t="shared" si="138"/>
        <v>0</v>
      </c>
      <c r="M966" t="b">
        <f t="shared" si="139"/>
        <v>0</v>
      </c>
      <c r="N966" t="b">
        <f t="shared" si="140"/>
        <v>0</v>
      </c>
      <c r="O966" t="b">
        <f t="shared" si="141"/>
        <v>0</v>
      </c>
    </row>
    <row r="967" spans="1:15" x14ac:dyDescent="0.35">
      <c r="A967" t="str">
        <v>steam_MAVAG_2_6_6_0_Class_601</v>
      </c>
      <c r="B967" t="b" cm="1">
        <f t="array" ref="B967">_xlfn.XLOOKUP(A967,CONTROL[VEHIDCODE],PROPERTIES[EXCLUDE])</f>
        <v>0</v>
      </c>
      <c r="C967" t="b">
        <f>_xlfn.XLOOKUP(A967,CONTROL[VEHIDCODE],CONTROL[IS_WAGON_OR_COACH])</f>
        <v>0</v>
      </c>
      <c r="D967">
        <f>FLOOR(_xlfn.XLOOKUP($A967,PROPERTIES[VEHIDCODE],PROPERTIES[INTRODUCTION_YEAR]),20)</f>
        <v>1900</v>
      </c>
      <c r="E967" t="e">
        <f>_xlfn.XLOOKUP($A967,PROPERTIES[VEHIDCODE],#REF!)</f>
        <v>#REF!</v>
      </c>
      <c r="F967" s="25" t="str" cm="1">
        <f t="array" ref="F967">_xlfn.CONCAT(_xlfn.XLOOKUP($A967,PROPERTIES[VEHIDCODE],PROPERTIES[REGION1]),"_",_xlfn.XLOOKUP($A967,PROPERTIES[VEHIDCODE],PROPERTIES[REGION2]),"_",_xlfn.XLOOKUP($A967,PROPERTIES[VEHIDCODE],PROPERTIES[REGION3]&amp;"_"&amp;_xlfn.XLOOKUP($A967,PROPERTIES[VEHIDCODE],PROPERTIES[REGION4])))</f>
        <v>EASTERN_EUROPE_NO_REGION_NO_REGION_NO_REGION</v>
      </c>
      <c r="G967" t="b">
        <f t="shared" si="135"/>
        <v>0</v>
      </c>
      <c r="H967" t="b">
        <f t="shared" si="142"/>
        <v>0</v>
      </c>
      <c r="I967" t="b">
        <f t="shared" si="136"/>
        <v>0</v>
      </c>
      <c r="J967" t="b">
        <f t="shared" si="143"/>
        <v>1</v>
      </c>
      <c r="K967" t="b">
        <f t="shared" si="137"/>
        <v>0</v>
      </c>
      <c r="L967" t="b">
        <f t="shared" si="138"/>
        <v>0</v>
      </c>
      <c r="M967" t="b">
        <f t="shared" si="139"/>
        <v>0</v>
      </c>
      <c r="N967" t="b">
        <f t="shared" si="140"/>
        <v>0</v>
      </c>
      <c r="O967" t="b">
        <f t="shared" si="141"/>
        <v>0</v>
      </c>
    </row>
    <row r="968" spans="1:15" x14ac:dyDescent="0.35">
      <c r="A968" t="str">
        <v>electric_Ganz_MAVAG_VM7_V40</v>
      </c>
      <c r="B968" t="b" cm="1">
        <f t="array" ref="B968">_xlfn.XLOOKUP(A968,CONTROL[VEHIDCODE],PROPERTIES[EXCLUDE])</f>
        <v>0</v>
      </c>
      <c r="C968" t="b">
        <f>_xlfn.XLOOKUP(A968,CONTROL[VEHIDCODE],CONTROL[IS_WAGON_OR_COACH])</f>
        <v>0</v>
      </c>
      <c r="D968">
        <f>FLOOR(_xlfn.XLOOKUP($A968,PROPERTIES[VEHIDCODE],PROPERTIES[INTRODUCTION_YEAR]),20)</f>
        <v>1920</v>
      </c>
      <c r="E968" t="e">
        <f>_xlfn.XLOOKUP($A968,PROPERTIES[VEHIDCODE],#REF!)</f>
        <v>#REF!</v>
      </c>
      <c r="F968" s="25" t="str" cm="1">
        <f t="array" ref="F968">_xlfn.CONCAT(_xlfn.XLOOKUP($A968,PROPERTIES[VEHIDCODE],PROPERTIES[REGION1]),"_",_xlfn.XLOOKUP($A968,PROPERTIES[VEHIDCODE],PROPERTIES[REGION2]),"_",_xlfn.XLOOKUP($A968,PROPERTIES[VEHIDCODE],PROPERTIES[REGION3]&amp;"_"&amp;_xlfn.XLOOKUP($A968,PROPERTIES[VEHIDCODE],PROPERTIES[REGION4])))</f>
        <v>EASTERN_EUROPE_NO_REGION_NO_REGION_NO_REGION</v>
      </c>
      <c r="G968" t="b">
        <f t="shared" si="135"/>
        <v>0</v>
      </c>
      <c r="H968" t="b">
        <f t="shared" si="142"/>
        <v>0</v>
      </c>
      <c r="I968" t="b">
        <f t="shared" si="136"/>
        <v>0</v>
      </c>
      <c r="J968" t="b">
        <f t="shared" si="143"/>
        <v>1</v>
      </c>
      <c r="K968" t="b">
        <f t="shared" si="137"/>
        <v>0</v>
      </c>
      <c r="L968" t="b">
        <f t="shared" si="138"/>
        <v>0</v>
      </c>
      <c r="M968" t="b">
        <f t="shared" si="139"/>
        <v>0</v>
      </c>
      <c r="N968" t="b">
        <f t="shared" si="140"/>
        <v>0</v>
      </c>
      <c r="O968" t="b">
        <f t="shared" si="141"/>
        <v>0</v>
      </c>
    </row>
    <row r="969" spans="1:15" x14ac:dyDescent="0.35">
      <c r="A969" t="str">
        <v>diesel_PESA_111D</v>
      </c>
      <c r="B969" t="b" cm="1">
        <f t="array" ref="B969">_xlfn.XLOOKUP(A969,CONTROL[VEHIDCODE],PROPERTIES[EXCLUDE])</f>
        <v>0</v>
      </c>
      <c r="C969" t="b">
        <f>_xlfn.XLOOKUP(A969,CONTROL[VEHIDCODE],CONTROL[IS_WAGON_OR_COACH])</f>
        <v>0</v>
      </c>
      <c r="D969">
        <f>FLOOR(_xlfn.XLOOKUP($A969,PROPERTIES[VEHIDCODE],PROPERTIES[INTRODUCTION_YEAR]),20)</f>
        <v>2000</v>
      </c>
      <c r="E969" t="e">
        <f>_xlfn.XLOOKUP($A969,PROPERTIES[VEHIDCODE],#REF!)</f>
        <v>#REF!</v>
      </c>
      <c r="F969" s="25" t="str" cm="1">
        <f t="array" ref="F969">_xlfn.CONCAT(_xlfn.XLOOKUP($A969,PROPERTIES[VEHIDCODE],PROPERTIES[REGION1]),"_",_xlfn.XLOOKUP($A969,PROPERTIES[VEHIDCODE],PROPERTIES[REGION2]),"_",_xlfn.XLOOKUP($A969,PROPERTIES[VEHIDCODE],PROPERTIES[REGION3]&amp;"_"&amp;_xlfn.XLOOKUP($A969,PROPERTIES[VEHIDCODE],PROPERTIES[REGION4])))</f>
        <v>EASTERN_EUROPE_NO_REGION_NO_REGION_NO_REGION</v>
      </c>
      <c r="G969" t="b">
        <f t="shared" si="135"/>
        <v>0</v>
      </c>
      <c r="H969" t="b">
        <f t="shared" si="142"/>
        <v>0</v>
      </c>
      <c r="I969" t="b">
        <f t="shared" si="136"/>
        <v>0</v>
      </c>
      <c r="J969" t="b">
        <f t="shared" si="143"/>
        <v>1</v>
      </c>
      <c r="K969" t="b">
        <f t="shared" si="137"/>
        <v>0</v>
      </c>
      <c r="L969" t="b">
        <f t="shared" si="138"/>
        <v>0</v>
      </c>
      <c r="M969" t="b">
        <f t="shared" si="139"/>
        <v>0</v>
      </c>
      <c r="N969" t="b">
        <f t="shared" si="140"/>
        <v>0</v>
      </c>
      <c r="O969" t="b">
        <f t="shared" si="141"/>
        <v>0</v>
      </c>
    </row>
    <row r="970" spans="1:15" x14ac:dyDescent="0.35">
      <c r="A970" t="str">
        <v>steam_Stephenson_BP_2_2_2_LVCI_Class_1</v>
      </c>
      <c r="B970" t="b" cm="1">
        <f t="array" ref="B970">_xlfn.XLOOKUP(A970,CONTROL[VEHIDCODE],PROPERTIES[EXCLUDE])</f>
        <v>0</v>
      </c>
      <c r="C970" t="b">
        <f>_xlfn.XLOOKUP(A970,CONTROL[VEHIDCODE],CONTROL[IS_WAGON_OR_COACH])</f>
        <v>0</v>
      </c>
      <c r="D970">
        <f>FLOOR(_xlfn.XLOOKUP($A970,PROPERTIES[VEHIDCODE],PROPERTIES[INTRODUCTION_YEAR]),20)</f>
        <v>1840</v>
      </c>
      <c r="E970" t="e">
        <f>_xlfn.XLOOKUP($A970,PROPERTIES[VEHIDCODE],#REF!)</f>
        <v>#REF!</v>
      </c>
      <c r="F970" s="25" t="str" cm="1">
        <f t="array" ref="F970">_xlfn.CONCAT(_xlfn.XLOOKUP($A970,PROPERTIES[VEHIDCODE],PROPERTIES[REGION1]),"_",_xlfn.XLOOKUP($A970,PROPERTIES[VEHIDCODE],PROPERTIES[REGION2]),"_",_xlfn.XLOOKUP($A970,PROPERTIES[VEHIDCODE],PROPERTIES[REGION3]&amp;"_"&amp;_xlfn.XLOOKUP($A970,PROPERTIES[VEHIDCODE],PROPERTIES[REGION4])))</f>
        <v>SOUTHERN_EUROPE_NO_REGION_NO_REGION_NO_REGION</v>
      </c>
      <c r="G970" t="b">
        <f t="shared" si="135"/>
        <v>0</v>
      </c>
      <c r="H970" t="b">
        <f t="shared" si="142"/>
        <v>0</v>
      </c>
      <c r="I970" t="b">
        <f t="shared" si="136"/>
        <v>1</v>
      </c>
      <c r="J970" t="b">
        <f t="shared" si="143"/>
        <v>0</v>
      </c>
      <c r="K970" t="b">
        <f t="shared" si="137"/>
        <v>0</v>
      </c>
      <c r="L970" t="b">
        <f t="shared" si="138"/>
        <v>0</v>
      </c>
      <c r="M970" t="b">
        <f t="shared" si="139"/>
        <v>0</v>
      </c>
      <c r="N970" t="b">
        <f t="shared" si="140"/>
        <v>0</v>
      </c>
      <c r="O970" t="b">
        <f t="shared" si="141"/>
        <v>0</v>
      </c>
    </row>
    <row r="971" spans="1:15" x14ac:dyDescent="0.35">
      <c r="A971" t="str">
        <v>steam_Babcock_4_6_2_2_6_4T_462</v>
      </c>
      <c r="B971" t="b" cm="1">
        <f t="array" ref="B971">_xlfn.XLOOKUP(A971,CONTROL[VEHIDCODE],PROPERTIES[EXCLUDE])</f>
        <v>0</v>
      </c>
      <c r="C971" t="b">
        <f>_xlfn.XLOOKUP(A971,CONTROL[VEHIDCODE],CONTROL[IS_WAGON_OR_COACH])</f>
        <v>0</v>
      </c>
      <c r="D971">
        <f>FLOOR(_xlfn.XLOOKUP($A971,PROPERTIES[VEHIDCODE],PROPERTIES[INTRODUCTION_YEAR]),20)</f>
        <v>1920</v>
      </c>
      <c r="E971" t="e">
        <f>_xlfn.XLOOKUP($A971,PROPERTIES[VEHIDCODE],#REF!)</f>
        <v>#REF!</v>
      </c>
      <c r="F971" s="25" t="str" cm="1">
        <f t="array" ref="F971">_xlfn.CONCAT(_xlfn.XLOOKUP($A971,PROPERTIES[VEHIDCODE],PROPERTIES[REGION1]),"_",_xlfn.XLOOKUP($A971,PROPERTIES[VEHIDCODE],PROPERTIES[REGION2]),"_",_xlfn.XLOOKUP($A971,PROPERTIES[VEHIDCODE],PROPERTIES[REGION3]&amp;"_"&amp;_xlfn.XLOOKUP($A971,PROPERTIES[VEHIDCODE],PROPERTIES[REGION4])))</f>
        <v>SOUTHERN_EUROPE_NO_REGION_NO_REGION_NO_REGION</v>
      </c>
      <c r="G971" t="b">
        <f t="shared" si="135"/>
        <v>0</v>
      </c>
      <c r="H971" t="b">
        <f t="shared" si="142"/>
        <v>0</v>
      </c>
      <c r="I971" t="b">
        <f t="shared" si="136"/>
        <v>1</v>
      </c>
      <c r="J971" t="b">
        <f t="shared" si="143"/>
        <v>0</v>
      </c>
      <c r="K971" t="b">
        <f t="shared" si="137"/>
        <v>0</v>
      </c>
      <c r="L971" t="b">
        <f t="shared" si="138"/>
        <v>0</v>
      </c>
      <c r="M971" t="b">
        <f t="shared" si="139"/>
        <v>0</v>
      </c>
      <c r="N971" t="b">
        <f t="shared" si="140"/>
        <v>0</v>
      </c>
      <c r="O971" t="b">
        <f t="shared" si="141"/>
        <v>0</v>
      </c>
    </row>
    <row r="972" spans="1:15" x14ac:dyDescent="0.35">
      <c r="A972" t="str">
        <v>steam_Koechlin_0_6_0_030</v>
      </c>
      <c r="B972" t="b" cm="1">
        <f t="array" ref="B972">_xlfn.XLOOKUP(A972,CONTROL[VEHIDCODE],PROPERTIES[EXCLUDE])</f>
        <v>0</v>
      </c>
      <c r="C972" t="b">
        <f>_xlfn.XLOOKUP(A972,CONTROL[VEHIDCODE],CONTROL[IS_WAGON_OR_COACH])</f>
        <v>0</v>
      </c>
      <c r="D972">
        <f>FLOOR(_xlfn.XLOOKUP($A972,PROPERTIES[VEHIDCODE],PROPERTIES[INTRODUCTION_YEAR]),20)</f>
        <v>1860</v>
      </c>
      <c r="E972" t="e">
        <f>_xlfn.XLOOKUP($A972,PROPERTIES[VEHIDCODE],#REF!)</f>
        <v>#REF!</v>
      </c>
      <c r="F972" s="25" t="str" cm="1">
        <f t="array" ref="F972">_xlfn.CONCAT(_xlfn.XLOOKUP($A972,PROPERTIES[VEHIDCODE],PROPERTIES[REGION1]),"_",_xlfn.XLOOKUP($A972,PROPERTIES[VEHIDCODE],PROPERTIES[REGION2]),"_",_xlfn.XLOOKUP($A972,PROPERTIES[VEHIDCODE],PROPERTIES[REGION3]&amp;"_"&amp;_xlfn.XLOOKUP($A972,PROPERTIES[VEHIDCODE],PROPERTIES[REGION4])))</f>
        <v>SOUTHERN_EUROPE_NO_REGION_NO_REGION_NO_REGION</v>
      </c>
      <c r="G972" t="b">
        <f t="shared" si="135"/>
        <v>0</v>
      </c>
      <c r="H972" t="b">
        <f t="shared" si="142"/>
        <v>0</v>
      </c>
      <c r="I972" t="b">
        <f t="shared" si="136"/>
        <v>1</v>
      </c>
      <c r="J972" t="b">
        <f t="shared" si="143"/>
        <v>0</v>
      </c>
      <c r="K972" t="b">
        <f t="shared" si="137"/>
        <v>0</v>
      </c>
      <c r="L972" t="b">
        <f t="shared" si="138"/>
        <v>0</v>
      </c>
      <c r="M972" t="b">
        <f t="shared" si="139"/>
        <v>0</v>
      </c>
      <c r="N972" t="b">
        <f t="shared" si="140"/>
        <v>0</v>
      </c>
      <c r="O972" t="b">
        <f t="shared" si="141"/>
        <v>0</v>
      </c>
    </row>
    <row r="973" spans="1:15" x14ac:dyDescent="0.35">
      <c r="A973" t="str">
        <v>steam_Hanomag_ALCO_4_8_0_240</v>
      </c>
      <c r="B973" t="b" cm="1">
        <f t="array" ref="B973">_xlfn.XLOOKUP(A973,CONTROL[VEHIDCODE],PROPERTIES[EXCLUDE])</f>
        <v>0</v>
      </c>
      <c r="C973" t="b">
        <f>_xlfn.XLOOKUP(A973,CONTROL[VEHIDCODE],CONTROL[IS_WAGON_OR_COACH])</f>
        <v>0</v>
      </c>
      <c r="D973">
        <f>FLOOR(_xlfn.XLOOKUP($A973,PROPERTIES[VEHIDCODE],PROPERTIES[INTRODUCTION_YEAR]),20)</f>
        <v>1900</v>
      </c>
      <c r="E973" t="e">
        <f>_xlfn.XLOOKUP($A973,PROPERTIES[VEHIDCODE],#REF!)</f>
        <v>#REF!</v>
      </c>
      <c r="F973" s="25" t="str" cm="1">
        <f t="array" ref="F973">_xlfn.CONCAT(_xlfn.XLOOKUP($A973,PROPERTIES[VEHIDCODE],PROPERTIES[REGION1]),"_",_xlfn.XLOOKUP($A973,PROPERTIES[VEHIDCODE],PROPERTIES[REGION2]),"_",_xlfn.XLOOKUP($A973,PROPERTIES[VEHIDCODE],PROPERTIES[REGION3]&amp;"_"&amp;_xlfn.XLOOKUP($A973,PROPERTIES[VEHIDCODE],PROPERTIES[REGION4])))</f>
        <v>SOUTHERN_EUROPE_NO_REGION_NO_REGION_NO_REGION</v>
      </c>
      <c r="G973" t="b">
        <f t="shared" si="135"/>
        <v>0</v>
      </c>
      <c r="H973" t="b">
        <f t="shared" si="142"/>
        <v>0</v>
      </c>
      <c r="I973" t="b">
        <f t="shared" si="136"/>
        <v>1</v>
      </c>
      <c r="J973" t="b">
        <f t="shared" si="143"/>
        <v>0</v>
      </c>
      <c r="K973" t="b">
        <f t="shared" si="137"/>
        <v>0</v>
      </c>
      <c r="L973" t="b">
        <f t="shared" si="138"/>
        <v>0</v>
      </c>
      <c r="M973" t="b">
        <f t="shared" si="139"/>
        <v>0</v>
      </c>
      <c r="N973" t="b">
        <f t="shared" si="140"/>
        <v>0</v>
      </c>
      <c r="O973" t="b">
        <f t="shared" si="141"/>
        <v>0</v>
      </c>
    </row>
    <row r="974" spans="1:15" x14ac:dyDescent="0.35">
      <c r="A974" t="str">
        <v>emu_CRRC_Sifang_SFB_500</v>
      </c>
      <c r="B974" t="b" cm="1">
        <f t="array" ref="B974">_xlfn.XLOOKUP(A974,CONTROL[VEHIDCODE],PROPERTIES[EXCLUDE])</f>
        <v>0</v>
      </c>
      <c r="C974" t="b">
        <f>_xlfn.XLOOKUP(A974,CONTROL[VEHIDCODE],CONTROL[IS_WAGON_OR_COACH])</f>
        <v>0</v>
      </c>
      <c r="D974">
        <f>FLOOR(_xlfn.XLOOKUP($A974,PROPERTIES[VEHIDCODE],PROPERTIES[INTRODUCTION_YEAR]),20)</f>
        <v>2020</v>
      </c>
      <c r="E974" t="e">
        <f>_xlfn.XLOOKUP($A974,PROPERTIES[VEHIDCODE],#REF!)</f>
        <v>#REF!</v>
      </c>
      <c r="F974" s="25" t="str" cm="1">
        <f t="array" ref="F974">_xlfn.CONCAT(_xlfn.XLOOKUP($A974,PROPERTIES[VEHIDCODE],PROPERTIES[REGION1]),"_",_xlfn.XLOOKUP($A974,PROPERTIES[VEHIDCODE],PROPERTIES[REGION2]),"_",_xlfn.XLOOKUP($A974,PROPERTIES[VEHIDCODE],PROPERTIES[REGION3]&amp;"_"&amp;_xlfn.XLOOKUP($A974,PROPERTIES[VEHIDCODE],PROPERTIES[REGION4])))</f>
        <v>SOUTH_AMERICA_NO_REGION_NO_REGION_NO_REGION</v>
      </c>
      <c r="G974" t="b">
        <f t="shared" si="135"/>
        <v>0</v>
      </c>
      <c r="H974" t="b">
        <f t="shared" si="142"/>
        <v>0</v>
      </c>
      <c r="I974" t="b">
        <f t="shared" si="136"/>
        <v>0</v>
      </c>
      <c r="J974" t="b">
        <f t="shared" si="143"/>
        <v>0</v>
      </c>
      <c r="K974" t="b">
        <f t="shared" si="137"/>
        <v>0</v>
      </c>
      <c r="L974" t="b">
        <f t="shared" si="138"/>
        <v>0</v>
      </c>
      <c r="M974" t="b">
        <f t="shared" si="139"/>
        <v>0</v>
      </c>
      <c r="N974" t="b">
        <f t="shared" si="140"/>
        <v>1</v>
      </c>
      <c r="O974" t="b">
        <f t="shared" si="141"/>
        <v>0</v>
      </c>
    </row>
    <row r="975" spans="1:15" x14ac:dyDescent="0.35">
      <c r="A975" t="str">
        <v>diesel_EMC_E3</v>
      </c>
      <c r="B975" t="b" cm="1">
        <f t="array" ref="B975">_xlfn.XLOOKUP(A975,CONTROL[VEHIDCODE],PROPERTIES[EXCLUDE])</f>
        <v>0</v>
      </c>
      <c r="C975" t="b">
        <f>_xlfn.XLOOKUP(A975,CONTROL[VEHIDCODE],CONTROL[IS_WAGON_OR_COACH])</f>
        <v>0</v>
      </c>
      <c r="D975">
        <f>FLOOR(_xlfn.XLOOKUP($A975,PROPERTIES[VEHIDCODE],PROPERTIES[INTRODUCTION_YEAR]),20)</f>
        <v>1920</v>
      </c>
      <c r="E975" t="e">
        <f>_xlfn.XLOOKUP($A975,PROPERTIES[VEHIDCODE],#REF!)</f>
        <v>#REF!</v>
      </c>
      <c r="F975" s="25" t="str" cm="1">
        <f t="array" ref="F975">_xlfn.CONCAT(_xlfn.XLOOKUP($A975,PROPERTIES[VEHIDCODE],PROPERTIES[REGION1]),"_",_xlfn.XLOOKUP($A975,PROPERTIES[VEHIDCODE],PROPERTIES[REGION2]),"_",_xlfn.XLOOKUP($A975,PROPERTIES[VEHIDCODE],PROPERTIES[REGION3]&amp;"_"&amp;_xlfn.XLOOKUP($A975,PROPERTIES[VEHIDCODE],PROPERTIES[REGION4])))</f>
        <v>NORTH_AMERICA_NO_REGION_NO_REGION_NO_REGION</v>
      </c>
      <c r="G975" t="b">
        <f t="shared" si="135"/>
        <v>0</v>
      </c>
      <c r="H975" t="b">
        <f t="shared" si="142"/>
        <v>0</v>
      </c>
      <c r="I975" t="b">
        <f t="shared" si="136"/>
        <v>0</v>
      </c>
      <c r="J975" t="b">
        <f t="shared" si="143"/>
        <v>0</v>
      </c>
      <c r="K975" t="b">
        <f t="shared" si="137"/>
        <v>0</v>
      </c>
      <c r="L975" t="b">
        <f t="shared" si="138"/>
        <v>0</v>
      </c>
      <c r="M975" t="b">
        <f t="shared" si="139"/>
        <v>1</v>
      </c>
      <c r="N975" t="b">
        <f t="shared" si="140"/>
        <v>0</v>
      </c>
      <c r="O975" t="b">
        <f t="shared" si="141"/>
        <v>0</v>
      </c>
    </row>
    <row r="976" spans="1:15" x14ac:dyDescent="0.35">
      <c r="A976" t="str">
        <v>diesel_EMD_FT</v>
      </c>
      <c r="B976" t="b" cm="1">
        <f t="array" ref="B976">_xlfn.XLOOKUP(A976,CONTROL[VEHIDCODE],PROPERTIES[EXCLUDE])</f>
        <v>0</v>
      </c>
      <c r="C976" t="b">
        <f>_xlfn.XLOOKUP(A976,CONTROL[VEHIDCODE],CONTROL[IS_WAGON_OR_COACH])</f>
        <v>0</v>
      </c>
      <c r="D976">
        <f>FLOOR(_xlfn.XLOOKUP($A976,PROPERTIES[VEHIDCODE],PROPERTIES[INTRODUCTION_YEAR]),20)</f>
        <v>1920</v>
      </c>
      <c r="E976" t="e">
        <f>_xlfn.XLOOKUP($A976,PROPERTIES[VEHIDCODE],#REF!)</f>
        <v>#REF!</v>
      </c>
      <c r="F976" s="25" t="str" cm="1">
        <f t="array" ref="F976">_xlfn.CONCAT(_xlfn.XLOOKUP($A976,PROPERTIES[VEHIDCODE],PROPERTIES[REGION1]),"_",_xlfn.XLOOKUP($A976,PROPERTIES[VEHIDCODE],PROPERTIES[REGION2]),"_",_xlfn.XLOOKUP($A976,PROPERTIES[VEHIDCODE],PROPERTIES[REGION3]&amp;"_"&amp;_xlfn.XLOOKUP($A976,PROPERTIES[VEHIDCODE],PROPERTIES[REGION4])))</f>
        <v>NORTH_AMERICA_NO_REGION_NO_REGION_NO_REGION</v>
      </c>
      <c r="G976" t="b">
        <f t="shared" si="135"/>
        <v>0</v>
      </c>
      <c r="H976" t="b">
        <f t="shared" si="142"/>
        <v>0</v>
      </c>
      <c r="I976" t="b">
        <f t="shared" si="136"/>
        <v>0</v>
      </c>
      <c r="J976" t="b">
        <f t="shared" si="143"/>
        <v>0</v>
      </c>
      <c r="K976" t="b">
        <f t="shared" si="137"/>
        <v>0</v>
      </c>
      <c r="L976" t="b">
        <f t="shared" si="138"/>
        <v>0</v>
      </c>
      <c r="M976" t="b">
        <f t="shared" si="139"/>
        <v>1</v>
      </c>
      <c r="N976" t="b">
        <f t="shared" si="140"/>
        <v>0</v>
      </c>
      <c r="O976" t="b">
        <f t="shared" si="141"/>
        <v>0</v>
      </c>
    </row>
    <row r="977" spans="1:15" x14ac:dyDescent="0.35">
      <c r="A977" t="str">
        <v>diesel_LTZ_TE109</v>
      </c>
      <c r="B977" t="b" cm="1">
        <f t="array" ref="B977">_xlfn.XLOOKUP(A977,CONTROL[VEHIDCODE],PROPERTIES[EXCLUDE])</f>
        <v>0</v>
      </c>
      <c r="C977" t="b">
        <f>_xlfn.XLOOKUP(A977,CONTROL[VEHIDCODE],CONTROL[IS_WAGON_OR_COACH])</f>
        <v>0</v>
      </c>
      <c r="D977">
        <f>FLOOR(_xlfn.XLOOKUP($A977,PROPERTIES[VEHIDCODE],PROPERTIES[INTRODUCTION_YEAR]),20)</f>
        <v>1960</v>
      </c>
      <c r="E977" t="e">
        <f>_xlfn.XLOOKUP($A977,PROPERTIES[VEHIDCODE],#REF!)</f>
        <v>#REF!</v>
      </c>
      <c r="F977" s="25" t="str" cm="1">
        <f t="array" ref="F977">_xlfn.CONCAT(_xlfn.XLOOKUP($A977,PROPERTIES[VEHIDCODE],PROPERTIES[REGION1]),"_",_xlfn.XLOOKUP($A977,PROPERTIES[VEHIDCODE],PROPERTIES[REGION2]),"_",_xlfn.XLOOKUP($A977,PROPERTIES[VEHIDCODE],PROPERTIES[REGION3]&amp;"_"&amp;_xlfn.XLOOKUP($A977,PROPERTIES[VEHIDCODE],PROPERTIES[REGION4])))</f>
        <v>WESTERN_EUROPE_COMECON_NO_REGION_NO_REGION</v>
      </c>
      <c r="G977" t="b">
        <f t="shared" si="135"/>
        <v>0</v>
      </c>
      <c r="H977" t="b">
        <f t="shared" si="142"/>
        <v>1</v>
      </c>
      <c r="I977" t="b">
        <f t="shared" si="136"/>
        <v>0</v>
      </c>
      <c r="J977" t="b">
        <f t="shared" si="143"/>
        <v>1</v>
      </c>
      <c r="K977" t="b">
        <f t="shared" si="137"/>
        <v>1</v>
      </c>
      <c r="L977" t="b">
        <f t="shared" si="138"/>
        <v>0</v>
      </c>
      <c r="M977" t="b">
        <f t="shared" si="139"/>
        <v>0</v>
      </c>
      <c r="N977" t="b">
        <f t="shared" si="140"/>
        <v>0</v>
      </c>
      <c r="O977" t="b">
        <f t="shared" si="141"/>
        <v>0</v>
      </c>
    </row>
    <row r="978" spans="1:15" x14ac:dyDescent="0.35">
      <c r="A978" t="str">
        <v>emu_Hitachi_Kawasaki_Shinkansen_Series_100</v>
      </c>
      <c r="B978" t="b" cm="1">
        <f t="array" ref="B978">_xlfn.XLOOKUP(A978,CONTROL[VEHIDCODE],PROPERTIES[EXCLUDE])</f>
        <v>0</v>
      </c>
      <c r="C978" t="b">
        <f>_xlfn.XLOOKUP(A978,CONTROL[VEHIDCODE],CONTROL[IS_WAGON_OR_COACH])</f>
        <v>0</v>
      </c>
      <c r="D978">
        <f>FLOOR(_xlfn.XLOOKUP($A978,PROPERTIES[VEHIDCODE],PROPERTIES[INTRODUCTION_YEAR]),20)</f>
        <v>1980</v>
      </c>
      <c r="E978" t="e">
        <f>_xlfn.XLOOKUP($A978,PROPERTIES[VEHIDCODE],#REF!)</f>
        <v>#REF!</v>
      </c>
      <c r="F978" s="25" t="str" cm="1">
        <f t="array" ref="F978">_xlfn.CONCAT(_xlfn.XLOOKUP($A978,PROPERTIES[VEHIDCODE],PROPERTIES[REGION1]),"_",_xlfn.XLOOKUP($A978,PROPERTIES[VEHIDCODE],PROPERTIES[REGION2]),"_",_xlfn.XLOOKUP($A978,PROPERTIES[VEHIDCODE],PROPERTIES[REGION3]&amp;"_"&amp;_xlfn.XLOOKUP($A978,PROPERTIES[VEHIDCODE],PROPERTIES[REGION4])))</f>
        <v>ASIA_NO_REGION_NO_REGION_NO_REGION</v>
      </c>
      <c r="G978" t="b">
        <f t="shared" si="135"/>
        <v>0</v>
      </c>
      <c r="H978" t="b">
        <f t="shared" si="142"/>
        <v>1</v>
      </c>
      <c r="I978" t="b">
        <f t="shared" si="136"/>
        <v>0</v>
      </c>
      <c r="J978" t="b">
        <f t="shared" si="143"/>
        <v>0</v>
      </c>
      <c r="K978" t="b">
        <f t="shared" si="137"/>
        <v>0</v>
      </c>
      <c r="L978" t="b">
        <f t="shared" si="138"/>
        <v>0</v>
      </c>
      <c r="M978" t="b">
        <f t="shared" si="139"/>
        <v>0</v>
      </c>
      <c r="N978" t="b">
        <f t="shared" si="140"/>
        <v>0</v>
      </c>
      <c r="O978" t="b">
        <f t="shared" si="141"/>
        <v>0</v>
      </c>
    </row>
    <row r="979" spans="1:15" x14ac:dyDescent="0.35">
      <c r="A979" t="str">
        <v>diesel_Krauss_Maffei_ML_2200</v>
      </c>
      <c r="B979" t="b" cm="1">
        <f t="array" ref="B979">_xlfn.XLOOKUP(A979,CONTROL[VEHIDCODE],PROPERTIES[EXCLUDE])</f>
        <v>0</v>
      </c>
      <c r="C979" t="b">
        <f>_xlfn.XLOOKUP(A979,CONTROL[VEHIDCODE],CONTROL[IS_WAGON_OR_COACH])</f>
        <v>0</v>
      </c>
      <c r="D979">
        <f>FLOOR(_xlfn.XLOOKUP($A979,PROPERTIES[VEHIDCODE],PROPERTIES[INTRODUCTION_YEAR]),20)</f>
        <v>1940</v>
      </c>
      <c r="E979" t="e">
        <f>_xlfn.XLOOKUP($A979,PROPERTIES[VEHIDCODE],#REF!)</f>
        <v>#REF!</v>
      </c>
      <c r="F979" s="25" t="str" cm="1">
        <f t="array" ref="F979">_xlfn.CONCAT(_xlfn.XLOOKUP($A979,PROPERTIES[VEHIDCODE],PROPERTIES[REGION1]),"_",_xlfn.XLOOKUP($A979,PROPERTIES[VEHIDCODE],PROPERTIES[REGION2]),"_",_xlfn.XLOOKUP($A979,PROPERTIES[VEHIDCODE],PROPERTIES[REGION3]&amp;"_"&amp;_xlfn.XLOOKUP($A979,PROPERTIES[VEHIDCODE],PROPERTIES[REGION4])))</f>
        <v>EASTERN_EUROPE_NO_REGION_NO_REGION_NO_REGION</v>
      </c>
      <c r="G979" t="b">
        <f t="shared" si="135"/>
        <v>0</v>
      </c>
      <c r="H979" t="b">
        <f t="shared" si="142"/>
        <v>0</v>
      </c>
      <c r="I979" t="b">
        <f t="shared" si="136"/>
        <v>0</v>
      </c>
      <c r="J979" t="b">
        <f t="shared" si="143"/>
        <v>1</v>
      </c>
      <c r="K979" t="b">
        <f t="shared" si="137"/>
        <v>0</v>
      </c>
      <c r="L979" t="b">
        <f t="shared" si="138"/>
        <v>0</v>
      </c>
      <c r="M979" t="b">
        <f t="shared" si="139"/>
        <v>0</v>
      </c>
      <c r="N979" t="b">
        <f t="shared" si="140"/>
        <v>0</v>
      </c>
      <c r="O979" t="b">
        <f t="shared" si="141"/>
        <v>0</v>
      </c>
    </row>
    <row r="980" spans="1:15" x14ac:dyDescent="0.35">
      <c r="A980" t="str">
        <v>dmu_Ganz_Hargita_M440</v>
      </c>
      <c r="B980" t="b" cm="1">
        <f t="array" ref="B980">_xlfn.XLOOKUP(A980,CONTROL[VEHIDCODE],PROPERTIES[EXCLUDE])</f>
        <v>0</v>
      </c>
      <c r="C980" t="b">
        <f>_xlfn.XLOOKUP(A980,CONTROL[VEHIDCODE],CONTROL[IS_WAGON_OR_COACH])</f>
        <v>0</v>
      </c>
      <c r="D980">
        <f>FLOOR(_xlfn.XLOOKUP($A980,PROPERTIES[VEHIDCODE],PROPERTIES[INTRODUCTION_YEAR]),20)</f>
        <v>1940</v>
      </c>
      <c r="E980" t="e">
        <f>_xlfn.XLOOKUP($A980,PROPERTIES[VEHIDCODE],#REF!)</f>
        <v>#REF!</v>
      </c>
      <c r="F980" s="25" t="str" cm="1">
        <f t="array" ref="F980">_xlfn.CONCAT(_xlfn.XLOOKUP($A980,PROPERTIES[VEHIDCODE],PROPERTIES[REGION1]),"_",_xlfn.XLOOKUP($A980,PROPERTIES[VEHIDCODE],PROPERTIES[REGION2]),"_",_xlfn.XLOOKUP($A980,PROPERTIES[VEHIDCODE],PROPERTIES[REGION3]&amp;"_"&amp;_xlfn.XLOOKUP($A980,PROPERTIES[VEHIDCODE],PROPERTIES[REGION4])))</f>
        <v>EASTERN_EUROPE_WESTERN_EUROPE_NO_REGION_NO_REGION</v>
      </c>
      <c r="G980" t="b">
        <f t="shared" si="135"/>
        <v>0</v>
      </c>
      <c r="H980" t="b">
        <f t="shared" si="142"/>
        <v>0</v>
      </c>
      <c r="I980" t="b">
        <f t="shared" si="136"/>
        <v>0</v>
      </c>
      <c r="J980" t="b">
        <f t="shared" si="143"/>
        <v>1</v>
      </c>
      <c r="K980" t="b">
        <f t="shared" si="137"/>
        <v>1</v>
      </c>
      <c r="L980" t="b">
        <f t="shared" si="138"/>
        <v>0</v>
      </c>
      <c r="M980" t="b">
        <f t="shared" si="139"/>
        <v>0</v>
      </c>
      <c r="N980" t="b">
        <f t="shared" si="140"/>
        <v>0</v>
      </c>
      <c r="O980" t="b">
        <f t="shared" si="141"/>
        <v>0</v>
      </c>
    </row>
    <row r="981" spans="1:15" x14ac:dyDescent="0.35">
      <c r="A981" t="str">
        <v>electric_SSW_Krauss_E44</v>
      </c>
      <c r="B981" t="b" cm="1">
        <f t="array" ref="B981">_xlfn.XLOOKUP(A981,CONTROL[VEHIDCODE],PROPERTIES[EXCLUDE])</f>
        <v>0</v>
      </c>
      <c r="C981" t="b">
        <f>_xlfn.XLOOKUP(A981,CONTROL[VEHIDCODE],CONTROL[IS_WAGON_OR_COACH])</f>
        <v>0</v>
      </c>
      <c r="D981">
        <f>FLOOR(_xlfn.XLOOKUP($A981,PROPERTIES[VEHIDCODE],PROPERTIES[INTRODUCTION_YEAR]),20)</f>
        <v>1920</v>
      </c>
      <c r="E981" t="e">
        <f>_xlfn.XLOOKUP($A981,PROPERTIES[VEHIDCODE],#REF!)</f>
        <v>#REF!</v>
      </c>
      <c r="F981" s="25" t="str" cm="1">
        <f t="array" ref="F981">_xlfn.CONCAT(_xlfn.XLOOKUP($A981,PROPERTIES[VEHIDCODE],PROPERTIES[REGION1]),"_",_xlfn.XLOOKUP($A981,PROPERTIES[VEHIDCODE],PROPERTIES[REGION2]),"_",_xlfn.XLOOKUP($A981,PROPERTIES[VEHIDCODE],PROPERTIES[REGION3]&amp;"_"&amp;_xlfn.XLOOKUP($A981,PROPERTIES[VEHIDCODE],PROPERTIES[REGION4])))</f>
        <v>WESTERN_EUROPE_NO_REGION_NO_REGION_NO_REGION</v>
      </c>
      <c r="G981" t="b">
        <f t="shared" si="135"/>
        <v>0</v>
      </c>
      <c r="H981" t="b">
        <f t="shared" si="142"/>
        <v>0</v>
      </c>
      <c r="I981" t="b">
        <f t="shared" si="136"/>
        <v>0</v>
      </c>
      <c r="J981" t="b">
        <f t="shared" si="143"/>
        <v>0</v>
      </c>
      <c r="K981" t="b">
        <f t="shared" si="137"/>
        <v>1</v>
      </c>
      <c r="L981" t="b">
        <f t="shared" si="138"/>
        <v>0</v>
      </c>
      <c r="M981" t="b">
        <f t="shared" si="139"/>
        <v>0</v>
      </c>
      <c r="N981" t="b">
        <f t="shared" si="140"/>
        <v>0</v>
      </c>
      <c r="O981" t="b">
        <f t="shared" si="141"/>
        <v>0</v>
      </c>
    </row>
    <row r="982" spans="1:15" x14ac:dyDescent="0.35">
      <c r="A982" t="str">
        <v>electric_PESA_111MS</v>
      </c>
      <c r="B982" t="b" cm="1">
        <f t="array" ref="B982">_xlfn.XLOOKUP(A982,CONTROL[VEHIDCODE],PROPERTIES[EXCLUDE])</f>
        <v>0</v>
      </c>
      <c r="C982" t="b">
        <f>_xlfn.XLOOKUP(A982,CONTROL[VEHIDCODE],CONTROL[IS_WAGON_OR_COACH])</f>
        <v>0</v>
      </c>
      <c r="D982">
        <f>FLOOR(_xlfn.XLOOKUP($A982,PROPERTIES[VEHIDCODE],PROPERTIES[INTRODUCTION_YEAR]),20)</f>
        <v>2000</v>
      </c>
      <c r="E982" t="e">
        <f>_xlfn.XLOOKUP($A982,PROPERTIES[VEHIDCODE],#REF!)</f>
        <v>#REF!</v>
      </c>
      <c r="F982" s="25" t="str" cm="1">
        <f t="array" ref="F982">_xlfn.CONCAT(_xlfn.XLOOKUP($A982,PROPERTIES[VEHIDCODE],PROPERTIES[REGION1]),"_",_xlfn.XLOOKUP($A982,PROPERTIES[VEHIDCODE],PROPERTIES[REGION2]),"_",_xlfn.XLOOKUP($A982,PROPERTIES[VEHIDCODE],PROPERTIES[REGION3]&amp;"_"&amp;_xlfn.XLOOKUP($A982,PROPERTIES[VEHIDCODE],PROPERTIES[REGION4])))</f>
        <v>EASTERN_EUROPE_NO_REGION_NO_REGION_NO_REGION</v>
      </c>
      <c r="G982" t="b">
        <f t="shared" si="135"/>
        <v>0</v>
      </c>
      <c r="H982" t="b">
        <f t="shared" si="142"/>
        <v>0</v>
      </c>
      <c r="I982" t="b">
        <f t="shared" si="136"/>
        <v>0</v>
      </c>
      <c r="J982" t="b">
        <f t="shared" si="143"/>
        <v>1</v>
      </c>
      <c r="K982" t="b">
        <f t="shared" si="137"/>
        <v>0</v>
      </c>
      <c r="L982" t="b">
        <f t="shared" si="138"/>
        <v>0</v>
      </c>
      <c r="M982" t="b">
        <f t="shared" si="139"/>
        <v>0</v>
      </c>
      <c r="N982" t="b">
        <f t="shared" si="140"/>
        <v>0</v>
      </c>
      <c r="O982" t="b">
        <f t="shared" si="141"/>
        <v>0</v>
      </c>
    </row>
    <row r="983" spans="1:15" x14ac:dyDescent="0.35">
      <c r="A983" t="str">
        <v>electric_Kolomna_VL19</v>
      </c>
      <c r="B983" t="b" cm="1">
        <f t="array" ref="B983">_xlfn.XLOOKUP(A983,CONTROL[VEHIDCODE],PROPERTIES[EXCLUDE])</f>
        <v>0</v>
      </c>
      <c r="C983" t="b">
        <f>_xlfn.XLOOKUP(A983,CONTROL[VEHIDCODE],CONTROL[IS_WAGON_OR_COACH])</f>
        <v>0</v>
      </c>
      <c r="D983">
        <f>FLOOR(_xlfn.XLOOKUP($A983,PROPERTIES[VEHIDCODE],PROPERTIES[INTRODUCTION_YEAR]),20)</f>
        <v>1920</v>
      </c>
      <c r="E983" t="e">
        <f>_xlfn.XLOOKUP($A983,PROPERTIES[VEHIDCODE],#REF!)</f>
        <v>#REF!</v>
      </c>
      <c r="F983" s="25" t="str" cm="1">
        <f t="array" ref="F983">_xlfn.CONCAT(_xlfn.XLOOKUP($A983,PROPERTIES[VEHIDCODE],PROPERTIES[REGION1]),"_",_xlfn.XLOOKUP($A983,PROPERTIES[VEHIDCODE],PROPERTIES[REGION2]),"_",_xlfn.XLOOKUP($A983,PROPERTIES[VEHIDCODE],PROPERTIES[REGION3]&amp;"_"&amp;_xlfn.XLOOKUP($A983,PROPERTIES[VEHIDCODE],PROPERTIES[REGION4])))</f>
        <v>COMECON_NO_REGION_NO_REGION_NO_REGION</v>
      </c>
      <c r="G983" t="b">
        <f t="shared" si="135"/>
        <v>0</v>
      </c>
      <c r="H983" t="b">
        <f t="shared" si="142"/>
        <v>1</v>
      </c>
      <c r="I983" t="b">
        <f t="shared" si="136"/>
        <v>0</v>
      </c>
      <c r="J983" t="b">
        <f t="shared" si="143"/>
        <v>1</v>
      </c>
      <c r="K983" t="b">
        <f t="shared" si="137"/>
        <v>0</v>
      </c>
      <c r="L983" t="b">
        <f t="shared" si="138"/>
        <v>0</v>
      </c>
      <c r="M983" t="b">
        <f t="shared" si="139"/>
        <v>0</v>
      </c>
      <c r="N983" t="b">
        <f t="shared" si="140"/>
        <v>0</v>
      </c>
      <c r="O983" t="b">
        <f t="shared" si="141"/>
        <v>0</v>
      </c>
    </row>
    <row r="984" spans="1:15" x14ac:dyDescent="0.35">
      <c r="A984" t="str">
        <v>electric_AEG_Krupp_E18</v>
      </c>
      <c r="B984" t="b" cm="1">
        <f t="array" ref="B984">_xlfn.XLOOKUP(A984,CONTROL[VEHIDCODE],PROPERTIES[EXCLUDE])</f>
        <v>0</v>
      </c>
      <c r="C984" t="b">
        <f>_xlfn.XLOOKUP(A984,CONTROL[VEHIDCODE],CONTROL[IS_WAGON_OR_COACH])</f>
        <v>0</v>
      </c>
      <c r="D984">
        <f>FLOOR(_xlfn.XLOOKUP($A984,PROPERTIES[VEHIDCODE],PROPERTIES[INTRODUCTION_YEAR]),20)</f>
        <v>1920</v>
      </c>
      <c r="E984" t="e">
        <f>_xlfn.XLOOKUP($A984,PROPERTIES[VEHIDCODE],#REF!)</f>
        <v>#REF!</v>
      </c>
      <c r="F984" s="25" t="str" cm="1">
        <f t="array" ref="F984">_xlfn.CONCAT(_xlfn.XLOOKUP($A984,PROPERTIES[VEHIDCODE],PROPERTIES[REGION1]),"_",_xlfn.XLOOKUP($A984,PROPERTIES[VEHIDCODE],PROPERTIES[REGION2]),"_",_xlfn.XLOOKUP($A984,PROPERTIES[VEHIDCODE],PROPERTIES[REGION3]&amp;"_"&amp;_xlfn.XLOOKUP($A984,PROPERTIES[VEHIDCODE],PROPERTIES[REGION4])))</f>
        <v>WESTERN_EUROPE_NO_REGION_NO_REGION_NO_REGION</v>
      </c>
      <c r="G984" t="b">
        <f t="shared" si="135"/>
        <v>0</v>
      </c>
      <c r="H984" t="b">
        <f t="shared" si="142"/>
        <v>0</v>
      </c>
      <c r="I984" t="b">
        <f t="shared" si="136"/>
        <v>0</v>
      </c>
      <c r="J984" t="b">
        <f t="shared" si="143"/>
        <v>0</v>
      </c>
      <c r="K984" t="b">
        <f t="shared" si="137"/>
        <v>1</v>
      </c>
      <c r="L984" t="b">
        <f t="shared" si="138"/>
        <v>0</v>
      </c>
      <c r="M984" t="b">
        <f t="shared" si="139"/>
        <v>0</v>
      </c>
      <c r="N984" t="b">
        <f t="shared" si="140"/>
        <v>0</v>
      </c>
      <c r="O984" t="b">
        <f t="shared" si="141"/>
        <v>0</v>
      </c>
    </row>
    <row r="985" spans="1:15" x14ac:dyDescent="0.35">
      <c r="A985" t="str">
        <v>emu_Hitachi_Alstom_Zefiro_Class_895_HS2</v>
      </c>
      <c r="B985" t="b" cm="1">
        <f t="array" ref="B985">_xlfn.XLOOKUP(A985,CONTROL[VEHIDCODE],PROPERTIES[EXCLUDE])</f>
        <v>0</v>
      </c>
      <c r="C985" t="b">
        <f>_xlfn.XLOOKUP(A985,CONTROL[VEHIDCODE],CONTROL[IS_WAGON_OR_COACH])</f>
        <v>0</v>
      </c>
      <c r="D985">
        <f>FLOOR(_xlfn.XLOOKUP($A985,PROPERTIES[VEHIDCODE],PROPERTIES[INTRODUCTION_YEAR]),20)</f>
        <v>2020</v>
      </c>
      <c r="E985" t="e">
        <f>_xlfn.XLOOKUP($A985,PROPERTIES[VEHIDCODE],#REF!)</f>
        <v>#REF!</v>
      </c>
      <c r="F985" s="25" t="str" cm="1">
        <f t="array" ref="F985">_xlfn.CONCAT(_xlfn.XLOOKUP($A985,PROPERTIES[VEHIDCODE],PROPERTIES[REGION1]),"_",_xlfn.XLOOKUP($A985,PROPERTIES[VEHIDCODE],PROPERTIES[REGION2]),"_",_xlfn.XLOOKUP($A985,PROPERTIES[VEHIDCODE],PROPERTIES[REGION3]&amp;"_"&amp;_xlfn.XLOOKUP($A985,PROPERTIES[VEHIDCODE],PROPERTIES[REGION4])))</f>
        <v>NORTHERN_EUROPE_NO_REGION_NO_REGION_NO_REGION</v>
      </c>
      <c r="G985" t="b">
        <f t="shared" si="135"/>
        <v>0</v>
      </c>
      <c r="H985" t="b">
        <f t="shared" si="142"/>
        <v>0</v>
      </c>
      <c r="I985" t="b">
        <f t="shared" si="136"/>
        <v>0</v>
      </c>
      <c r="J985" t="b">
        <f t="shared" si="143"/>
        <v>0</v>
      </c>
      <c r="K985" t="b">
        <f t="shared" si="137"/>
        <v>0</v>
      </c>
      <c r="L985" t="b">
        <f t="shared" si="138"/>
        <v>1</v>
      </c>
      <c r="M985" t="b">
        <f t="shared" si="139"/>
        <v>0</v>
      </c>
      <c r="N985" t="b">
        <f t="shared" si="140"/>
        <v>0</v>
      </c>
      <c r="O985" t="b">
        <f t="shared" si="141"/>
        <v>0</v>
      </c>
    </row>
    <row r="986" spans="1:15" x14ac:dyDescent="0.35">
      <c r="A986" t="str">
        <v>diesel_EMD_JT22CW</v>
      </c>
      <c r="B986" t="b" cm="1">
        <f t="array" ref="B986">_xlfn.XLOOKUP(A986,CONTROL[VEHIDCODE],PROPERTIES[EXCLUDE])</f>
        <v>0</v>
      </c>
      <c r="C986" t="b">
        <f>_xlfn.XLOOKUP(A986,CONTROL[VEHIDCODE],CONTROL[IS_WAGON_OR_COACH])</f>
        <v>0</v>
      </c>
      <c r="D986">
        <f>FLOOR(_xlfn.XLOOKUP($A986,PROPERTIES[VEHIDCODE],PROPERTIES[INTRODUCTION_YEAR]),20)</f>
        <v>1960</v>
      </c>
      <c r="E986" t="e">
        <f>_xlfn.XLOOKUP($A986,PROPERTIES[VEHIDCODE],#REF!)</f>
        <v>#REF!</v>
      </c>
      <c r="F986" s="25" t="str" cm="1">
        <f t="array" ref="F986">_xlfn.CONCAT(_xlfn.XLOOKUP($A986,PROPERTIES[VEHIDCODE],PROPERTIES[REGION1]),"_",_xlfn.XLOOKUP($A986,PROPERTIES[VEHIDCODE],PROPERTIES[REGION2]),"_",_xlfn.XLOOKUP($A986,PROPERTIES[VEHIDCODE],PROPERTIES[REGION3]&amp;"_"&amp;_xlfn.XLOOKUP($A986,PROPERTIES[VEHIDCODE],PROPERTIES[REGION4])))</f>
        <v>NORTHERN_EUROPE_EASTERN_EUROPE_NO_REGION_NO_REGION</v>
      </c>
      <c r="G986" t="b">
        <f t="shared" si="135"/>
        <v>0</v>
      </c>
      <c r="H986" t="b">
        <f t="shared" si="142"/>
        <v>0</v>
      </c>
      <c r="I986" t="b">
        <f t="shared" si="136"/>
        <v>0</v>
      </c>
      <c r="J986" t="b">
        <f t="shared" si="143"/>
        <v>1</v>
      </c>
      <c r="K986" t="b">
        <f t="shared" si="137"/>
        <v>0</v>
      </c>
      <c r="L986" t="b">
        <f t="shared" si="138"/>
        <v>1</v>
      </c>
      <c r="M986" t="b">
        <f t="shared" si="139"/>
        <v>0</v>
      </c>
      <c r="N986" t="b">
        <f t="shared" si="140"/>
        <v>0</v>
      </c>
      <c r="O986" t="b">
        <f t="shared" si="141"/>
        <v>0</v>
      </c>
    </row>
    <row r="987" spans="1:15" x14ac:dyDescent="0.35">
      <c r="A987" t="str">
        <v>dmu_RVR_DR1A</v>
      </c>
      <c r="B987" t="b" cm="1">
        <f t="array" ref="B987">_xlfn.XLOOKUP(A987,CONTROL[VEHIDCODE],PROPERTIES[EXCLUDE])</f>
        <v>0</v>
      </c>
      <c r="C987" t="b">
        <f>_xlfn.XLOOKUP(A987,CONTROL[VEHIDCODE],CONTROL[IS_WAGON_OR_COACH])</f>
        <v>0</v>
      </c>
      <c r="D987">
        <f>FLOOR(_xlfn.XLOOKUP($A987,PROPERTIES[VEHIDCODE],PROPERTIES[INTRODUCTION_YEAR]),20)</f>
        <v>1960</v>
      </c>
      <c r="E987" t="e">
        <f>_xlfn.XLOOKUP($A987,PROPERTIES[VEHIDCODE],#REF!)</f>
        <v>#REF!</v>
      </c>
      <c r="F987" s="25" t="str" cm="1">
        <f t="array" ref="F987">_xlfn.CONCAT(_xlfn.XLOOKUP($A987,PROPERTIES[VEHIDCODE],PROPERTIES[REGION1]),"_",_xlfn.XLOOKUP($A987,PROPERTIES[VEHIDCODE],PROPERTIES[REGION2]),"_",_xlfn.XLOOKUP($A987,PROPERTIES[VEHIDCODE],PROPERTIES[REGION3]&amp;"_"&amp;_xlfn.XLOOKUP($A987,PROPERTIES[VEHIDCODE],PROPERTIES[REGION4])))</f>
        <v>POST_SOVIET_BALTIC_NO_REGION_NO_REGION_NO_REGION</v>
      </c>
      <c r="G987" t="b">
        <f t="shared" si="135"/>
        <v>0</v>
      </c>
      <c r="H987" t="b">
        <f t="shared" si="142"/>
        <v>1</v>
      </c>
      <c r="I987" t="b">
        <f t="shared" si="136"/>
        <v>0</v>
      </c>
      <c r="J987" t="b">
        <f t="shared" si="143"/>
        <v>1</v>
      </c>
      <c r="K987" t="b">
        <f t="shared" si="137"/>
        <v>0</v>
      </c>
      <c r="L987" t="b">
        <f t="shared" si="138"/>
        <v>1</v>
      </c>
      <c r="M987" t="b">
        <f t="shared" si="139"/>
        <v>0</v>
      </c>
      <c r="N987" t="b">
        <f t="shared" si="140"/>
        <v>0</v>
      </c>
      <c r="O987" t="b">
        <f t="shared" si="141"/>
        <v>0</v>
      </c>
    </row>
    <row r="988" spans="1:15" x14ac:dyDescent="0.35">
      <c r="A988" t="str">
        <v>electric_ACME_Corp__HS001</v>
      </c>
      <c r="B988" t="b" cm="1">
        <f t="array" ref="B988">_xlfn.XLOOKUP(A988,CONTROL[VEHIDCODE],PROPERTIES[EXCLUDE])</f>
        <v>0</v>
      </c>
      <c r="C988" t="b">
        <f>_xlfn.XLOOKUP(A988,CONTROL[VEHIDCODE],CONTROL[IS_WAGON_OR_COACH])</f>
        <v>0</v>
      </c>
      <c r="D988">
        <f>FLOOR(_xlfn.XLOOKUP($A988,PROPERTIES[VEHIDCODE],PROPERTIES[INTRODUCTION_YEAR]),20)</f>
        <v>2040</v>
      </c>
      <c r="E988" t="e">
        <f>_xlfn.XLOOKUP($A988,PROPERTIES[VEHIDCODE],#REF!)</f>
        <v>#REF!</v>
      </c>
      <c r="F988" s="25" t="str" cm="1">
        <f t="array" ref="F988">_xlfn.CONCAT(_xlfn.XLOOKUP($A988,PROPERTIES[VEHIDCODE],PROPERTIES[REGION1]),"_",_xlfn.XLOOKUP($A988,PROPERTIES[VEHIDCODE],PROPERTIES[REGION2]),"_",_xlfn.XLOOKUP($A988,PROPERTIES[VEHIDCODE],PROPERTIES[REGION3]&amp;"_"&amp;_xlfn.XLOOKUP($A988,PROPERTIES[VEHIDCODE],PROPERTIES[REGION4])))</f>
        <v>WESTERN_EUROPE_NO_REGION_NO_REGION_NO_REGION</v>
      </c>
      <c r="G988" t="b">
        <f t="shared" si="135"/>
        <v>0</v>
      </c>
      <c r="H988" t="b">
        <f t="shared" si="142"/>
        <v>0</v>
      </c>
      <c r="I988" t="b">
        <f t="shared" si="136"/>
        <v>0</v>
      </c>
      <c r="J988" t="b">
        <f t="shared" si="143"/>
        <v>0</v>
      </c>
      <c r="K988" t="b">
        <f t="shared" si="137"/>
        <v>1</v>
      </c>
      <c r="L988" t="b">
        <f t="shared" si="138"/>
        <v>0</v>
      </c>
      <c r="M988" t="b">
        <f t="shared" si="139"/>
        <v>0</v>
      </c>
      <c r="N988" t="b">
        <f t="shared" si="140"/>
        <v>0</v>
      </c>
      <c r="O988" t="b">
        <f t="shared" si="141"/>
        <v>0</v>
      </c>
    </row>
    <row r="989" spans="1:15" x14ac:dyDescent="0.35">
      <c r="A989" t="str">
        <v>electric_ACME_Corp__HS002</v>
      </c>
      <c r="B989" t="b" cm="1">
        <f t="array" ref="B989">_xlfn.XLOOKUP(A989,CONTROL[VEHIDCODE],PROPERTIES[EXCLUDE])</f>
        <v>0</v>
      </c>
      <c r="C989" t="b">
        <f>_xlfn.XLOOKUP(A989,CONTROL[VEHIDCODE],CONTROL[IS_WAGON_OR_COACH])</f>
        <v>0</v>
      </c>
      <c r="D989">
        <f>FLOOR(_xlfn.XLOOKUP($A989,PROPERTIES[VEHIDCODE],PROPERTIES[INTRODUCTION_YEAR]),20)</f>
        <v>2040</v>
      </c>
      <c r="E989" t="e">
        <f>_xlfn.XLOOKUP($A989,PROPERTIES[VEHIDCODE],#REF!)</f>
        <v>#REF!</v>
      </c>
      <c r="F989" s="25" t="str" cm="1">
        <f t="array" ref="F989">_xlfn.CONCAT(_xlfn.XLOOKUP($A989,PROPERTIES[VEHIDCODE],PROPERTIES[REGION1]),"_",_xlfn.XLOOKUP($A989,PROPERTIES[VEHIDCODE],PROPERTIES[REGION2]),"_",_xlfn.XLOOKUP($A989,PROPERTIES[VEHIDCODE],PROPERTIES[REGION3]&amp;"_"&amp;_xlfn.XLOOKUP($A989,PROPERTIES[VEHIDCODE],PROPERTIES[REGION4])))</f>
        <v>WESTERN_EUROPE_NO_REGION_NO_REGION_NO_REGION</v>
      </c>
      <c r="G989" t="b">
        <f t="shared" si="135"/>
        <v>0</v>
      </c>
      <c r="H989" t="b">
        <f t="shared" si="142"/>
        <v>0</v>
      </c>
      <c r="I989" t="b">
        <f t="shared" si="136"/>
        <v>0</v>
      </c>
      <c r="J989" t="b">
        <f t="shared" si="143"/>
        <v>0</v>
      </c>
      <c r="K989" t="b">
        <f t="shared" si="137"/>
        <v>1</v>
      </c>
      <c r="L989" t="b">
        <f t="shared" si="138"/>
        <v>0</v>
      </c>
      <c r="M989" t="b">
        <f t="shared" si="139"/>
        <v>0</v>
      </c>
      <c r="N989" t="b">
        <f t="shared" si="140"/>
        <v>0</v>
      </c>
      <c r="O989" t="b">
        <f t="shared" si="141"/>
        <v>0</v>
      </c>
    </row>
    <row r="990" spans="1:15" x14ac:dyDescent="0.35">
      <c r="A990" t="str">
        <v>dmu_ACME_Corp__V200D_DMU</v>
      </c>
      <c r="B990" t="b" cm="1">
        <f t="array" ref="B990">_xlfn.XLOOKUP(A990,CONTROL[VEHIDCODE],PROPERTIES[EXCLUDE])</f>
        <v>0</v>
      </c>
      <c r="C990" t="b">
        <f>_xlfn.XLOOKUP(A990,CONTROL[VEHIDCODE],CONTROL[IS_WAGON_OR_COACH])</f>
        <v>0</v>
      </c>
      <c r="D990">
        <f>FLOOR(_xlfn.XLOOKUP($A990,PROPERTIES[VEHIDCODE],PROPERTIES[INTRODUCTION_YEAR]),20)</f>
        <v>2040</v>
      </c>
      <c r="E990" t="e">
        <f>_xlfn.XLOOKUP($A990,PROPERTIES[VEHIDCODE],#REF!)</f>
        <v>#REF!</v>
      </c>
      <c r="F990" s="25" t="str" cm="1">
        <f t="array" ref="F990">_xlfn.CONCAT(_xlfn.XLOOKUP($A990,PROPERTIES[VEHIDCODE],PROPERTIES[REGION1]),"_",_xlfn.XLOOKUP($A990,PROPERTIES[VEHIDCODE],PROPERTIES[REGION2]),"_",_xlfn.XLOOKUP($A990,PROPERTIES[VEHIDCODE],PROPERTIES[REGION3]&amp;"_"&amp;_xlfn.XLOOKUP($A990,PROPERTIES[VEHIDCODE],PROPERTIES[REGION4])))</f>
        <v>WESTERN_EUROPE_NO_REGION_NO_REGION_NO_REGION</v>
      </c>
      <c r="G990" t="b">
        <f t="shared" si="135"/>
        <v>0</v>
      </c>
      <c r="H990" t="b">
        <f t="shared" si="142"/>
        <v>0</v>
      </c>
      <c r="I990" t="b">
        <f t="shared" si="136"/>
        <v>0</v>
      </c>
      <c r="J990" t="b">
        <f t="shared" si="143"/>
        <v>0</v>
      </c>
      <c r="K990" t="b">
        <f t="shared" si="137"/>
        <v>1</v>
      </c>
      <c r="L990" t="b">
        <f t="shared" si="138"/>
        <v>0</v>
      </c>
      <c r="M990" t="b">
        <f t="shared" si="139"/>
        <v>0</v>
      </c>
      <c r="N990" t="b">
        <f t="shared" si="140"/>
        <v>0</v>
      </c>
      <c r="O990" t="b">
        <f t="shared" si="141"/>
        <v>0</v>
      </c>
    </row>
    <row r="991" spans="1:15" x14ac:dyDescent="0.35">
      <c r="A991" t="str">
        <v>emu_ACME_Corp__V200E_EMU</v>
      </c>
      <c r="B991" t="b" cm="1">
        <f t="array" ref="B991">_xlfn.XLOOKUP(A991,CONTROL[VEHIDCODE],PROPERTIES[EXCLUDE])</f>
        <v>0</v>
      </c>
      <c r="C991" t="b">
        <f>_xlfn.XLOOKUP(A991,CONTROL[VEHIDCODE],CONTROL[IS_WAGON_OR_COACH])</f>
        <v>0</v>
      </c>
      <c r="D991">
        <f>FLOOR(_xlfn.XLOOKUP($A991,PROPERTIES[VEHIDCODE],PROPERTIES[INTRODUCTION_YEAR]),20)</f>
        <v>2040</v>
      </c>
      <c r="E991" t="e">
        <f>_xlfn.XLOOKUP($A991,PROPERTIES[VEHIDCODE],#REF!)</f>
        <v>#REF!</v>
      </c>
      <c r="F991" s="25" t="str" cm="1">
        <f t="array" ref="F991">_xlfn.CONCAT(_xlfn.XLOOKUP($A991,PROPERTIES[VEHIDCODE],PROPERTIES[REGION1]),"_",_xlfn.XLOOKUP($A991,PROPERTIES[VEHIDCODE],PROPERTIES[REGION2]),"_",_xlfn.XLOOKUP($A991,PROPERTIES[VEHIDCODE],PROPERTIES[REGION3]&amp;"_"&amp;_xlfn.XLOOKUP($A991,PROPERTIES[VEHIDCODE],PROPERTIES[REGION4])))</f>
        <v>WESTERN_EUROPE_NO_REGION_NO_REGION_NO_REGION</v>
      </c>
      <c r="G991" t="b">
        <f t="shared" si="135"/>
        <v>0</v>
      </c>
      <c r="H991" t="b">
        <f t="shared" si="142"/>
        <v>0</v>
      </c>
      <c r="I991" t="b">
        <f t="shared" si="136"/>
        <v>0</v>
      </c>
      <c r="J991" t="b">
        <f t="shared" si="143"/>
        <v>0</v>
      </c>
      <c r="K991" t="b">
        <f t="shared" si="137"/>
        <v>1</v>
      </c>
      <c r="L991" t="b">
        <f t="shared" si="138"/>
        <v>0</v>
      </c>
      <c r="M991" t="b">
        <f t="shared" si="139"/>
        <v>0</v>
      </c>
      <c r="N991" t="b">
        <f t="shared" si="140"/>
        <v>0</v>
      </c>
      <c r="O991" t="b">
        <f t="shared" si="141"/>
        <v>0</v>
      </c>
    </row>
    <row r="992" spans="1:15" x14ac:dyDescent="0.35">
      <c r="A992" t="str">
        <v>cargoemu_ACME_Corp__DD_CargoEMU</v>
      </c>
      <c r="B992" t="b" cm="1">
        <f t="array" ref="B992">_xlfn.XLOOKUP(A992,CONTROL[VEHIDCODE],PROPERTIES[EXCLUDE])</f>
        <v>0</v>
      </c>
      <c r="C992" t="b">
        <f>_xlfn.XLOOKUP(A992,CONTROL[VEHIDCODE],CONTROL[IS_WAGON_OR_COACH])</f>
        <v>0</v>
      </c>
      <c r="D992">
        <f>FLOOR(_xlfn.XLOOKUP($A992,PROPERTIES[VEHIDCODE],PROPERTIES[INTRODUCTION_YEAR]),20)</f>
        <v>2040</v>
      </c>
      <c r="E992" t="e">
        <f>_xlfn.XLOOKUP($A992,PROPERTIES[VEHIDCODE],#REF!)</f>
        <v>#REF!</v>
      </c>
      <c r="F992" s="25" t="str" cm="1">
        <f t="array" ref="F992">_xlfn.CONCAT(_xlfn.XLOOKUP($A992,PROPERTIES[VEHIDCODE],PROPERTIES[REGION1]),"_",_xlfn.XLOOKUP($A992,PROPERTIES[VEHIDCODE],PROPERTIES[REGION2]),"_",_xlfn.XLOOKUP($A992,PROPERTIES[VEHIDCODE],PROPERTIES[REGION3]&amp;"_"&amp;_xlfn.XLOOKUP($A992,PROPERTIES[VEHIDCODE],PROPERTIES[REGION4])))</f>
        <v>ALL_REGION_NO_REGION_NO_REGION_NO_REGION</v>
      </c>
      <c r="G992" t="b">
        <f t="shared" si="135"/>
        <v>1</v>
      </c>
      <c r="H992" t="b">
        <f t="shared" si="142"/>
        <v>1</v>
      </c>
      <c r="I992" t="b">
        <f t="shared" si="136"/>
        <v>1</v>
      </c>
      <c r="J992" t="b">
        <f t="shared" si="143"/>
        <v>1</v>
      </c>
      <c r="K992" t="b">
        <f t="shared" si="137"/>
        <v>1</v>
      </c>
      <c r="L992" t="b">
        <f t="shared" si="138"/>
        <v>1</v>
      </c>
      <c r="M992" t="b">
        <f t="shared" si="139"/>
        <v>1</v>
      </c>
      <c r="N992" t="b">
        <f t="shared" si="140"/>
        <v>1</v>
      </c>
      <c r="O992" t="b">
        <f t="shared" si="141"/>
        <v>1</v>
      </c>
    </row>
    <row r="993" spans="1:15" x14ac:dyDescent="0.35">
      <c r="A993" t="str">
        <v>diesel_VEB_LKM_V180</v>
      </c>
      <c r="B993" t="b" cm="1">
        <f t="array" ref="B993">_xlfn.XLOOKUP(A993,CONTROL[VEHIDCODE],PROPERTIES[EXCLUDE])</f>
        <v>0</v>
      </c>
      <c r="C993" t="b">
        <f>_xlfn.XLOOKUP(A993,CONTROL[VEHIDCODE],CONTROL[IS_WAGON_OR_COACH])</f>
        <v>0</v>
      </c>
      <c r="D993">
        <f>FLOOR(_xlfn.XLOOKUP($A993,PROPERTIES[VEHIDCODE],PROPERTIES[INTRODUCTION_YEAR]),20)</f>
        <v>1960</v>
      </c>
      <c r="E993" t="e">
        <f>_xlfn.XLOOKUP($A993,PROPERTIES[VEHIDCODE],#REF!)</f>
        <v>#REF!</v>
      </c>
      <c r="F993" s="25" t="str" cm="1">
        <f t="array" ref="F993">_xlfn.CONCAT(_xlfn.XLOOKUP($A993,PROPERTIES[VEHIDCODE],PROPERTIES[REGION1]),"_",_xlfn.XLOOKUP($A993,PROPERTIES[VEHIDCODE],PROPERTIES[REGION2]),"_",_xlfn.XLOOKUP($A993,PROPERTIES[VEHIDCODE],PROPERTIES[REGION3]&amp;"_"&amp;_xlfn.XLOOKUP($A993,PROPERTIES[VEHIDCODE],PROPERTIES[REGION4])))</f>
        <v>WESTERN_EUROPE_NO_REGION_NO_REGION_NO_REGION</v>
      </c>
      <c r="G993" t="b">
        <f t="shared" si="135"/>
        <v>0</v>
      </c>
      <c r="H993" t="b">
        <f t="shared" si="142"/>
        <v>0</v>
      </c>
      <c r="I993" t="b">
        <f t="shared" si="136"/>
        <v>0</v>
      </c>
      <c r="J993" t="b">
        <f t="shared" si="143"/>
        <v>0</v>
      </c>
      <c r="K993" t="b">
        <f t="shared" si="137"/>
        <v>1</v>
      </c>
      <c r="L993" t="b">
        <f t="shared" si="138"/>
        <v>0</v>
      </c>
      <c r="M993" t="b">
        <f t="shared" si="139"/>
        <v>0</v>
      </c>
      <c r="N993" t="b">
        <f t="shared" si="140"/>
        <v>0</v>
      </c>
      <c r="O993" t="b">
        <f t="shared" si="141"/>
        <v>0</v>
      </c>
    </row>
    <row r="994" spans="1:15" x14ac:dyDescent="0.35">
      <c r="A994" t="str">
        <v>emu_PESA_43WE_DART</v>
      </c>
      <c r="B994" t="b" cm="1">
        <f t="array" ref="B994">_xlfn.XLOOKUP(A994,CONTROL[VEHIDCODE],PROPERTIES[EXCLUDE])</f>
        <v>0</v>
      </c>
      <c r="C994" t="b">
        <f>_xlfn.XLOOKUP(A994,CONTROL[VEHIDCODE],CONTROL[IS_WAGON_OR_COACH])</f>
        <v>0</v>
      </c>
      <c r="D994">
        <f>FLOOR(_xlfn.XLOOKUP($A994,PROPERTIES[VEHIDCODE],PROPERTIES[INTRODUCTION_YEAR]),20)</f>
        <v>2000</v>
      </c>
      <c r="E994" t="e">
        <f>_xlfn.XLOOKUP($A994,PROPERTIES[VEHIDCODE],#REF!)</f>
        <v>#REF!</v>
      </c>
      <c r="F994" s="25" t="str" cm="1">
        <f t="array" ref="F994">_xlfn.CONCAT(_xlfn.XLOOKUP($A994,PROPERTIES[VEHIDCODE],PROPERTIES[REGION1]),"_",_xlfn.XLOOKUP($A994,PROPERTIES[VEHIDCODE],PROPERTIES[REGION2]),"_",_xlfn.XLOOKUP($A994,PROPERTIES[VEHIDCODE],PROPERTIES[REGION3]&amp;"_"&amp;_xlfn.XLOOKUP($A994,PROPERTIES[VEHIDCODE],PROPERTIES[REGION4])))</f>
        <v>EASTERN_EUROPE_NO_REGION_NO_REGION_NO_REGION</v>
      </c>
      <c r="G994" t="b">
        <f t="shared" si="135"/>
        <v>0</v>
      </c>
      <c r="H994" t="b">
        <f t="shared" si="142"/>
        <v>0</v>
      </c>
      <c r="I994" t="b">
        <f t="shared" si="136"/>
        <v>0</v>
      </c>
      <c r="J994" t="b">
        <f t="shared" si="143"/>
        <v>1</v>
      </c>
      <c r="K994" t="b">
        <f t="shared" si="137"/>
        <v>0</v>
      </c>
      <c r="L994" t="b">
        <f t="shared" si="138"/>
        <v>0</v>
      </c>
      <c r="M994" t="b">
        <f t="shared" si="139"/>
        <v>0</v>
      </c>
      <c r="N994" t="b">
        <f t="shared" si="140"/>
        <v>0</v>
      </c>
      <c r="O994" t="b">
        <f t="shared" si="141"/>
        <v>0</v>
      </c>
    </row>
    <row r="995" spans="1:15" x14ac:dyDescent="0.35">
      <c r="A995" t="str">
        <v>electric_LEW_EL2</v>
      </c>
      <c r="B995" t="b" cm="1">
        <f t="array" ref="B995">_xlfn.XLOOKUP(A995,CONTROL[VEHIDCODE],PROPERTIES[EXCLUDE])</f>
        <v>0</v>
      </c>
      <c r="C995" t="b">
        <f>_xlfn.XLOOKUP(A995,CONTROL[VEHIDCODE],CONTROL[IS_WAGON_OR_COACH])</f>
        <v>0</v>
      </c>
      <c r="D995">
        <f>FLOOR(_xlfn.XLOOKUP($A995,PROPERTIES[VEHIDCODE],PROPERTIES[INTRODUCTION_YEAR]),20)</f>
        <v>1940</v>
      </c>
      <c r="E995" t="e">
        <f>_xlfn.XLOOKUP($A995,PROPERTIES[VEHIDCODE],#REF!)</f>
        <v>#REF!</v>
      </c>
      <c r="F995" s="25" t="str" cm="1">
        <f t="array" ref="F995">_xlfn.CONCAT(_xlfn.XLOOKUP($A995,PROPERTIES[VEHIDCODE],PROPERTIES[REGION1]),"_",_xlfn.XLOOKUP($A995,PROPERTIES[VEHIDCODE],PROPERTIES[REGION2]),"_",_xlfn.XLOOKUP($A995,PROPERTIES[VEHIDCODE],PROPERTIES[REGION3]&amp;"_"&amp;_xlfn.XLOOKUP($A995,PROPERTIES[VEHIDCODE],PROPERTIES[REGION4])))</f>
        <v>COMECON_NO_REGION_NO_REGION_NO_REGION</v>
      </c>
      <c r="G995" t="b">
        <f t="shared" si="135"/>
        <v>0</v>
      </c>
      <c r="H995" t="b">
        <f t="shared" si="142"/>
        <v>1</v>
      </c>
      <c r="I995" t="b">
        <f t="shared" si="136"/>
        <v>0</v>
      </c>
      <c r="J995" t="b">
        <f t="shared" si="143"/>
        <v>1</v>
      </c>
      <c r="K995" t="b">
        <f t="shared" si="137"/>
        <v>0</v>
      </c>
      <c r="L995" t="b">
        <f t="shared" si="138"/>
        <v>0</v>
      </c>
      <c r="M995" t="b">
        <f t="shared" si="139"/>
        <v>0</v>
      </c>
      <c r="N995" t="b">
        <f t="shared" si="140"/>
        <v>0</v>
      </c>
      <c r="O995" t="b">
        <f t="shared" si="141"/>
        <v>0</v>
      </c>
    </row>
    <row r="996" spans="1:15" x14ac:dyDescent="0.35">
      <c r="A996" t="str">
        <v>electric_Pafawag_201E</v>
      </c>
      <c r="B996" t="b" cm="1">
        <f t="array" ref="B996">_xlfn.XLOOKUP(A996,CONTROL[VEHIDCODE],PROPERTIES[EXCLUDE])</f>
        <v>0</v>
      </c>
      <c r="C996" t="b">
        <f>_xlfn.XLOOKUP(A996,CONTROL[VEHIDCODE],CONTROL[IS_WAGON_OR_COACH])</f>
        <v>0</v>
      </c>
      <c r="D996">
        <f>FLOOR(_xlfn.XLOOKUP($A996,PROPERTIES[VEHIDCODE],PROPERTIES[INTRODUCTION_YEAR]),20)</f>
        <v>1960</v>
      </c>
      <c r="E996" t="e">
        <f>_xlfn.XLOOKUP($A996,PROPERTIES[VEHIDCODE],#REF!)</f>
        <v>#REF!</v>
      </c>
      <c r="F996" s="25" t="str" cm="1">
        <f t="array" ref="F996">_xlfn.CONCAT(_xlfn.XLOOKUP($A996,PROPERTIES[VEHIDCODE],PROPERTIES[REGION1]),"_",_xlfn.XLOOKUP($A996,PROPERTIES[VEHIDCODE],PROPERTIES[REGION2]),"_",_xlfn.XLOOKUP($A996,PROPERTIES[VEHIDCODE],PROPERTIES[REGION3]&amp;"_"&amp;_xlfn.XLOOKUP($A996,PROPERTIES[VEHIDCODE],PROPERTIES[REGION4])))</f>
        <v>EASTERN_EUROPE_AFRICA_NO_REGION_NO_REGION</v>
      </c>
      <c r="G996" t="b">
        <f t="shared" si="135"/>
        <v>1</v>
      </c>
      <c r="H996" t="b">
        <f t="shared" si="142"/>
        <v>0</v>
      </c>
      <c r="I996" t="b">
        <f t="shared" si="136"/>
        <v>0</v>
      </c>
      <c r="J996" t="b">
        <f t="shared" si="143"/>
        <v>1</v>
      </c>
      <c r="K996" t="b">
        <f t="shared" si="137"/>
        <v>0</v>
      </c>
      <c r="L996" t="b">
        <f t="shared" si="138"/>
        <v>0</v>
      </c>
      <c r="M996" t="b">
        <f t="shared" si="139"/>
        <v>0</v>
      </c>
      <c r="N996" t="b">
        <f t="shared" si="140"/>
        <v>0</v>
      </c>
      <c r="O996" t="b">
        <f t="shared" si="141"/>
        <v>0</v>
      </c>
    </row>
    <row r="997" spans="1:15" x14ac:dyDescent="0.35">
      <c r="A997" t="str">
        <v>diesel_NOHAB_AA16</v>
      </c>
      <c r="B997" t="b" cm="1">
        <f t="array" ref="B997">_xlfn.XLOOKUP(A997,CONTROL[VEHIDCODE],PROPERTIES[EXCLUDE])</f>
        <v>0</v>
      </c>
      <c r="C997" t="b">
        <f>_xlfn.XLOOKUP(A997,CONTROL[VEHIDCODE],CONTROL[IS_WAGON_OR_COACH])</f>
        <v>0</v>
      </c>
      <c r="D997">
        <f>FLOOR(_xlfn.XLOOKUP($A997,PROPERTIES[VEHIDCODE],PROPERTIES[INTRODUCTION_YEAR]),20)</f>
        <v>1940</v>
      </c>
      <c r="E997" t="e">
        <f>_xlfn.XLOOKUP($A997,PROPERTIES[VEHIDCODE],#REF!)</f>
        <v>#REF!</v>
      </c>
      <c r="F997" s="25" t="str" cm="1">
        <f t="array" ref="F997">_xlfn.CONCAT(_xlfn.XLOOKUP($A997,PROPERTIES[VEHIDCODE],PROPERTIES[REGION1]),"_",_xlfn.XLOOKUP($A997,PROPERTIES[VEHIDCODE],PROPERTIES[REGION2]),"_",_xlfn.XLOOKUP($A997,PROPERTIES[VEHIDCODE],PROPERTIES[REGION3]&amp;"_"&amp;_xlfn.XLOOKUP($A997,PROPERTIES[VEHIDCODE],PROPERTIES[REGION4])))</f>
        <v>ALL_EUROPE_NO_REGION_NO_REGION_NO_REGION</v>
      </c>
      <c r="G997" t="b">
        <f t="shared" si="135"/>
        <v>0</v>
      </c>
      <c r="H997" t="b">
        <f t="shared" si="142"/>
        <v>0</v>
      </c>
      <c r="I997" t="b">
        <f t="shared" si="136"/>
        <v>1</v>
      </c>
      <c r="J997" t="b">
        <f t="shared" si="143"/>
        <v>1</v>
      </c>
      <c r="K997" t="b">
        <f t="shared" si="137"/>
        <v>1</v>
      </c>
      <c r="L997" t="b">
        <f t="shared" si="138"/>
        <v>1</v>
      </c>
      <c r="M997" t="b">
        <f t="shared" si="139"/>
        <v>0</v>
      </c>
      <c r="N997" t="b">
        <f t="shared" si="140"/>
        <v>0</v>
      </c>
      <c r="O997" t="b">
        <f t="shared" si="141"/>
        <v>0</v>
      </c>
    </row>
    <row r="998" spans="1:15" x14ac:dyDescent="0.35">
      <c r="A998" t="str">
        <v>diesel_LEW_V100</v>
      </c>
      <c r="B998" t="b" cm="1">
        <f t="array" ref="B998">_xlfn.XLOOKUP(A998,CONTROL[VEHIDCODE],PROPERTIES[EXCLUDE])</f>
        <v>0</v>
      </c>
      <c r="C998" t="b">
        <f>_xlfn.XLOOKUP(A998,CONTROL[VEHIDCODE],CONTROL[IS_WAGON_OR_COACH])</f>
        <v>0</v>
      </c>
      <c r="D998">
        <f>FLOOR(_xlfn.XLOOKUP($A998,PROPERTIES[VEHIDCODE],PROPERTIES[INTRODUCTION_YEAR]),20)</f>
        <v>1960</v>
      </c>
      <c r="E998" t="e">
        <f>_xlfn.XLOOKUP($A998,PROPERTIES[VEHIDCODE],#REF!)</f>
        <v>#REF!</v>
      </c>
      <c r="F998" s="25" t="str" cm="1">
        <f t="array" ref="F998">_xlfn.CONCAT(_xlfn.XLOOKUP($A998,PROPERTIES[VEHIDCODE],PROPERTIES[REGION1]),"_",_xlfn.XLOOKUP($A998,PROPERTIES[VEHIDCODE],PROPERTIES[REGION2]),"_",_xlfn.XLOOKUP($A998,PROPERTIES[VEHIDCODE],PROPERTIES[REGION3]&amp;"_"&amp;_xlfn.XLOOKUP($A998,PROPERTIES[VEHIDCODE],PROPERTIES[REGION4])))</f>
        <v>COMECON_WESTERN_EUROPE_NO_REGION_NO_REGION</v>
      </c>
      <c r="G998" t="b">
        <f t="shared" si="135"/>
        <v>0</v>
      </c>
      <c r="H998" t="b">
        <f t="shared" si="142"/>
        <v>1</v>
      </c>
      <c r="I998" t="b">
        <f t="shared" si="136"/>
        <v>0</v>
      </c>
      <c r="J998" t="b">
        <f t="shared" si="143"/>
        <v>1</v>
      </c>
      <c r="K998" t="b">
        <f t="shared" si="137"/>
        <v>1</v>
      </c>
      <c r="L998" t="b">
        <f t="shared" si="138"/>
        <v>0</v>
      </c>
      <c r="M998" t="b">
        <f t="shared" si="139"/>
        <v>0</v>
      </c>
      <c r="N998" t="b">
        <f t="shared" si="140"/>
        <v>0</v>
      </c>
      <c r="O998" t="b">
        <f t="shared" si="141"/>
        <v>0</v>
      </c>
    </row>
    <row r="999" spans="1:15" x14ac:dyDescent="0.35">
      <c r="A999" t="str">
        <v>diesel_Fablok_6D</v>
      </c>
      <c r="B999" t="b" cm="1">
        <f t="array" ref="B999">_xlfn.XLOOKUP(A999,CONTROL[VEHIDCODE],PROPERTIES[EXCLUDE])</f>
        <v>0</v>
      </c>
      <c r="C999" t="b">
        <f>_xlfn.XLOOKUP(A999,CONTROL[VEHIDCODE],CONTROL[IS_WAGON_OR_COACH])</f>
        <v>0</v>
      </c>
      <c r="D999">
        <f>FLOOR(_xlfn.XLOOKUP($A999,PROPERTIES[VEHIDCODE],PROPERTIES[INTRODUCTION_YEAR]),20)</f>
        <v>1960</v>
      </c>
      <c r="E999" t="e">
        <f>_xlfn.XLOOKUP($A999,PROPERTIES[VEHIDCODE],#REF!)</f>
        <v>#REF!</v>
      </c>
      <c r="F999" s="25" t="str" cm="1">
        <f t="array" ref="F999">_xlfn.CONCAT(_xlfn.XLOOKUP($A999,PROPERTIES[VEHIDCODE],PROPERTIES[REGION1]),"_",_xlfn.XLOOKUP($A999,PROPERTIES[VEHIDCODE],PROPERTIES[REGION2]),"_",_xlfn.XLOOKUP($A999,PROPERTIES[VEHIDCODE],PROPERTIES[REGION3]&amp;"_"&amp;_xlfn.XLOOKUP($A999,PROPERTIES[VEHIDCODE],PROPERTIES[REGION4])))</f>
        <v>EASTERN_EUROPE_AFRICA_NO_REGION_NO_REGION</v>
      </c>
      <c r="G999" t="b">
        <f t="shared" si="135"/>
        <v>1</v>
      </c>
      <c r="H999" t="b">
        <f t="shared" si="142"/>
        <v>0</v>
      </c>
      <c r="I999" t="b">
        <f t="shared" si="136"/>
        <v>0</v>
      </c>
      <c r="J999" t="b">
        <f t="shared" si="143"/>
        <v>1</v>
      </c>
      <c r="K999" t="b">
        <f t="shared" si="137"/>
        <v>0</v>
      </c>
      <c r="L999" t="b">
        <f t="shared" si="138"/>
        <v>0</v>
      </c>
      <c r="M999" t="b">
        <f t="shared" si="139"/>
        <v>0</v>
      </c>
      <c r="N999" t="b">
        <f t="shared" si="140"/>
        <v>0</v>
      </c>
      <c r="O999" t="b">
        <f t="shared" si="141"/>
        <v>0</v>
      </c>
    </row>
    <row r="1000" spans="1:15" x14ac:dyDescent="0.35">
      <c r="A1000" t="str">
        <v>diesel_HCP_301D</v>
      </c>
      <c r="B1000" t="b" cm="1">
        <f t="array" ref="B1000">_xlfn.XLOOKUP(A1000,CONTROL[VEHIDCODE],PROPERTIES[EXCLUDE])</f>
        <v>0</v>
      </c>
      <c r="C1000" t="b">
        <f>_xlfn.XLOOKUP(A1000,CONTROL[VEHIDCODE],CONTROL[IS_WAGON_OR_COACH])</f>
        <v>0</v>
      </c>
      <c r="D1000">
        <f>FLOOR(_xlfn.XLOOKUP($A1000,PROPERTIES[VEHIDCODE],PROPERTIES[INTRODUCTION_YEAR]),20)</f>
        <v>1960</v>
      </c>
      <c r="E1000" t="e">
        <f>_xlfn.XLOOKUP($A1000,PROPERTIES[VEHIDCODE],#REF!)</f>
        <v>#REF!</v>
      </c>
      <c r="F1000" s="25" t="str" cm="1">
        <f t="array" ref="F1000">_xlfn.CONCAT(_xlfn.XLOOKUP($A1000,PROPERTIES[VEHIDCODE],PROPERTIES[REGION1]),"_",_xlfn.XLOOKUP($A1000,PROPERTIES[VEHIDCODE],PROPERTIES[REGION2]),"_",_xlfn.XLOOKUP($A1000,PROPERTIES[VEHIDCODE],PROPERTIES[REGION3]&amp;"_"&amp;_xlfn.XLOOKUP($A1000,PROPERTIES[VEHIDCODE],PROPERTIES[REGION4])))</f>
        <v>EASTERN_EUROPE_AFRICA_NO_REGION_NO_REGION</v>
      </c>
      <c r="G1000" t="b">
        <f t="shared" si="135"/>
        <v>1</v>
      </c>
      <c r="H1000" t="b">
        <f t="shared" si="142"/>
        <v>0</v>
      </c>
      <c r="I1000" t="b">
        <f t="shared" si="136"/>
        <v>0</v>
      </c>
      <c r="J1000" t="b">
        <f t="shared" si="143"/>
        <v>1</v>
      </c>
      <c r="K1000" t="b">
        <f t="shared" si="137"/>
        <v>0</v>
      </c>
      <c r="L1000" t="b">
        <f t="shared" si="138"/>
        <v>0</v>
      </c>
      <c r="M1000" t="b">
        <f t="shared" si="139"/>
        <v>0</v>
      </c>
      <c r="N1000" t="b">
        <f t="shared" si="140"/>
        <v>0</v>
      </c>
      <c r="O1000" t="b">
        <f t="shared" si="141"/>
        <v>0</v>
      </c>
    </row>
    <row r="1001" spans="1:15" x14ac:dyDescent="0.35">
      <c r="A1001" t="str">
        <v>dmu_Stadler_Flirt_PowerPack_DMU</v>
      </c>
      <c r="B1001" t="b" cm="1">
        <f t="array" ref="B1001">_xlfn.XLOOKUP(A1001,CONTROL[VEHIDCODE],PROPERTIES[EXCLUDE])</f>
        <v>0</v>
      </c>
      <c r="C1001" t="b">
        <f>_xlfn.XLOOKUP(A1001,CONTROL[VEHIDCODE],CONTROL[IS_WAGON_OR_COACH])</f>
        <v>0</v>
      </c>
      <c r="D1001">
        <f>FLOOR(_xlfn.XLOOKUP($A1001,PROPERTIES[VEHIDCODE],PROPERTIES[INTRODUCTION_YEAR]),20)</f>
        <v>2000</v>
      </c>
      <c r="E1001" t="e">
        <f>_xlfn.XLOOKUP($A1001,PROPERTIES[VEHIDCODE],#REF!)</f>
        <v>#REF!</v>
      </c>
      <c r="F1001" s="25" t="str" cm="1">
        <f t="array" ref="F1001">_xlfn.CONCAT(_xlfn.XLOOKUP($A1001,PROPERTIES[VEHIDCODE],PROPERTIES[REGION1]),"_",_xlfn.XLOOKUP($A1001,PROPERTIES[VEHIDCODE],PROPERTIES[REGION2]),"_",_xlfn.XLOOKUP($A1001,PROPERTIES[VEHIDCODE],PROPERTIES[REGION3]&amp;"_"&amp;_xlfn.XLOOKUP($A1001,PROPERTIES[VEHIDCODE],PROPERTIES[REGION4])))</f>
        <v>ALL_EUROPE_NORTH_AMERICA_NO_REGION_NO_REGION</v>
      </c>
      <c r="G1001" t="b">
        <f t="shared" si="135"/>
        <v>0</v>
      </c>
      <c r="H1001" t="b">
        <f t="shared" si="142"/>
        <v>0</v>
      </c>
      <c r="I1001" t="b">
        <f t="shared" si="136"/>
        <v>1</v>
      </c>
      <c r="J1001" t="b">
        <f t="shared" si="143"/>
        <v>1</v>
      </c>
      <c r="K1001" t="b">
        <f t="shared" si="137"/>
        <v>1</v>
      </c>
      <c r="L1001" t="b">
        <f t="shared" si="138"/>
        <v>1</v>
      </c>
      <c r="M1001" t="b">
        <f t="shared" si="139"/>
        <v>1</v>
      </c>
      <c r="N1001" t="b">
        <f t="shared" si="140"/>
        <v>0</v>
      </c>
      <c r="O1001" t="b">
        <f t="shared" si="141"/>
        <v>0</v>
      </c>
    </row>
    <row r="1002" spans="1:15" x14ac:dyDescent="0.35">
      <c r="A1002" t="str">
        <v>cargoemu_JNR_Container_Bullet_Train_Concept</v>
      </c>
      <c r="B1002" t="b" cm="1">
        <f t="array" ref="B1002">_xlfn.XLOOKUP(A1002,CONTROL[VEHIDCODE],PROPERTIES[EXCLUDE])</f>
        <v>0</v>
      </c>
      <c r="C1002" t="b">
        <f>_xlfn.XLOOKUP(A1002,CONTROL[VEHIDCODE],CONTROL[IS_WAGON_OR_COACH])</f>
        <v>0</v>
      </c>
      <c r="D1002">
        <f>FLOOR(_xlfn.XLOOKUP($A1002,PROPERTIES[VEHIDCODE],PROPERTIES[INTRODUCTION_YEAR]),20)</f>
        <v>1960</v>
      </c>
      <c r="E1002" t="e">
        <f>_xlfn.XLOOKUP($A1002,PROPERTIES[VEHIDCODE],#REF!)</f>
        <v>#REF!</v>
      </c>
      <c r="F1002" s="25" t="str" cm="1">
        <f t="array" ref="F1002">_xlfn.CONCAT(_xlfn.XLOOKUP($A1002,PROPERTIES[VEHIDCODE],PROPERTIES[REGION1]),"_",_xlfn.XLOOKUP($A1002,PROPERTIES[VEHIDCODE],PROPERTIES[REGION2]),"_",_xlfn.XLOOKUP($A1002,PROPERTIES[VEHIDCODE],PROPERTIES[REGION3]&amp;"_"&amp;_xlfn.XLOOKUP($A1002,PROPERTIES[VEHIDCODE],PROPERTIES[REGION4])))</f>
        <v>ASIA_NO_REGION_NO_REGION_NO_REGION</v>
      </c>
      <c r="G1002" t="b">
        <f t="shared" si="135"/>
        <v>0</v>
      </c>
      <c r="H1002" t="b">
        <f t="shared" si="142"/>
        <v>1</v>
      </c>
      <c r="I1002" t="b">
        <f t="shared" si="136"/>
        <v>0</v>
      </c>
      <c r="J1002" t="b">
        <f t="shared" si="143"/>
        <v>0</v>
      </c>
      <c r="K1002" t="b">
        <f t="shared" si="137"/>
        <v>0</v>
      </c>
      <c r="L1002" t="b">
        <f t="shared" si="138"/>
        <v>0</v>
      </c>
      <c r="M1002" t="b">
        <f t="shared" si="139"/>
        <v>0</v>
      </c>
      <c r="N1002" t="b">
        <f t="shared" si="140"/>
        <v>0</v>
      </c>
      <c r="O1002" t="b">
        <f t="shared" si="141"/>
        <v>0</v>
      </c>
    </row>
    <row r="1003" spans="1:15" x14ac:dyDescent="0.35">
      <c r="A1003" t="str">
        <v>electric_Hitachi_WAG_6B_C</v>
      </c>
      <c r="B1003" t="b" cm="1">
        <f t="array" ref="B1003">_xlfn.XLOOKUP(A1003,CONTROL[VEHIDCODE],PROPERTIES[EXCLUDE])</f>
        <v>0</v>
      </c>
      <c r="C1003" t="b">
        <f>_xlfn.XLOOKUP(A1003,CONTROL[VEHIDCODE],CONTROL[IS_WAGON_OR_COACH])</f>
        <v>0</v>
      </c>
      <c r="D1003">
        <f>FLOOR(_xlfn.XLOOKUP($A1003,PROPERTIES[VEHIDCODE],PROPERTIES[INTRODUCTION_YEAR]),20)</f>
        <v>1980</v>
      </c>
      <c r="E1003" t="e">
        <f>_xlfn.XLOOKUP($A1003,PROPERTIES[VEHIDCODE],#REF!)</f>
        <v>#REF!</v>
      </c>
      <c r="F1003" s="25" t="str" cm="1">
        <f t="array" ref="F1003">_xlfn.CONCAT(_xlfn.XLOOKUP($A1003,PROPERTIES[VEHIDCODE],PROPERTIES[REGION1]),"_",_xlfn.XLOOKUP($A1003,PROPERTIES[VEHIDCODE],PROPERTIES[REGION2]),"_",_xlfn.XLOOKUP($A1003,PROPERTIES[VEHIDCODE],PROPERTIES[REGION3]&amp;"_"&amp;_xlfn.XLOOKUP($A1003,PROPERTIES[VEHIDCODE],PROPERTIES[REGION4])))</f>
        <v>ASIA_NO_REGION_NO_REGION_NO_REGION</v>
      </c>
      <c r="G1003" t="b">
        <f t="shared" si="135"/>
        <v>0</v>
      </c>
      <c r="H1003" t="b">
        <f t="shared" si="142"/>
        <v>1</v>
      </c>
      <c r="I1003" t="b">
        <f t="shared" si="136"/>
        <v>0</v>
      </c>
      <c r="J1003" t="b">
        <f t="shared" si="143"/>
        <v>0</v>
      </c>
      <c r="K1003" t="b">
        <f t="shared" si="137"/>
        <v>0</v>
      </c>
      <c r="L1003" t="b">
        <f t="shared" si="138"/>
        <v>0</v>
      </c>
      <c r="M1003" t="b">
        <f t="shared" si="139"/>
        <v>0</v>
      </c>
      <c r="N1003" t="b">
        <f t="shared" si="140"/>
        <v>0</v>
      </c>
      <c r="O1003" t="b">
        <f t="shared" si="141"/>
        <v>0</v>
      </c>
    </row>
    <row r="1004" spans="1:15" x14ac:dyDescent="0.35">
      <c r="A1004" t="str">
        <v>electric_Toshiba_10E</v>
      </c>
      <c r="B1004" t="b" cm="1">
        <f t="array" ref="B1004">_xlfn.XLOOKUP(A1004,CONTROL[VEHIDCODE],PROPERTIES[EXCLUDE])</f>
        <v>0</v>
      </c>
      <c r="C1004" t="b">
        <f>_xlfn.XLOOKUP(A1004,CONTROL[VEHIDCODE],CONTROL[IS_WAGON_OR_COACH])</f>
        <v>0</v>
      </c>
      <c r="D1004">
        <f>FLOOR(_xlfn.XLOOKUP($A1004,PROPERTIES[VEHIDCODE],PROPERTIES[INTRODUCTION_YEAR]),20)</f>
        <v>1980</v>
      </c>
      <c r="E1004" t="e">
        <f>_xlfn.XLOOKUP($A1004,PROPERTIES[VEHIDCODE],#REF!)</f>
        <v>#REF!</v>
      </c>
      <c r="F1004" s="25" t="str" cm="1">
        <f t="array" ref="F1004">_xlfn.CONCAT(_xlfn.XLOOKUP($A1004,PROPERTIES[VEHIDCODE],PROPERTIES[REGION1]),"_",_xlfn.XLOOKUP($A1004,PROPERTIES[VEHIDCODE],PROPERTIES[REGION2]),"_",_xlfn.XLOOKUP($A1004,PROPERTIES[VEHIDCODE],PROPERTIES[REGION3]&amp;"_"&amp;_xlfn.XLOOKUP($A1004,PROPERTIES[VEHIDCODE],PROPERTIES[REGION4])))</f>
        <v>AFRICA_NO_REGION_NO_REGION_NO_REGION</v>
      </c>
      <c r="G1004" t="b">
        <f t="shared" si="135"/>
        <v>1</v>
      </c>
      <c r="H1004" t="b">
        <f t="shared" si="142"/>
        <v>0</v>
      </c>
      <c r="I1004" t="b">
        <f t="shared" si="136"/>
        <v>0</v>
      </c>
      <c r="J1004" t="b">
        <f t="shared" si="143"/>
        <v>0</v>
      </c>
      <c r="K1004" t="b">
        <f t="shared" si="137"/>
        <v>0</v>
      </c>
      <c r="L1004" t="b">
        <f t="shared" si="138"/>
        <v>0</v>
      </c>
      <c r="M1004" t="b">
        <f t="shared" si="139"/>
        <v>0</v>
      </c>
      <c r="N1004" t="b">
        <f t="shared" si="140"/>
        <v>0</v>
      </c>
      <c r="O1004" t="b">
        <f t="shared" si="141"/>
        <v>0</v>
      </c>
    </row>
    <row r="1005" spans="1:15" x14ac:dyDescent="0.35">
      <c r="A1005" t="str">
        <v>electric_GEC_9E</v>
      </c>
      <c r="B1005" t="b" cm="1">
        <f t="array" ref="B1005">_xlfn.XLOOKUP(A1005,CONTROL[VEHIDCODE],PROPERTIES[EXCLUDE])</f>
        <v>0</v>
      </c>
      <c r="C1005" t="b">
        <f>_xlfn.XLOOKUP(A1005,CONTROL[VEHIDCODE],CONTROL[IS_WAGON_OR_COACH])</f>
        <v>0</v>
      </c>
      <c r="D1005">
        <f>FLOOR(_xlfn.XLOOKUP($A1005,PROPERTIES[VEHIDCODE],PROPERTIES[INTRODUCTION_YEAR]),20)</f>
        <v>1960</v>
      </c>
      <c r="E1005" t="e">
        <f>_xlfn.XLOOKUP($A1005,PROPERTIES[VEHIDCODE],#REF!)</f>
        <v>#REF!</v>
      </c>
      <c r="F1005" s="25" t="str" cm="1">
        <f t="array" ref="F1005">_xlfn.CONCAT(_xlfn.XLOOKUP($A1005,PROPERTIES[VEHIDCODE],PROPERTIES[REGION1]),"_",_xlfn.XLOOKUP($A1005,PROPERTIES[VEHIDCODE],PROPERTIES[REGION2]),"_",_xlfn.XLOOKUP($A1005,PROPERTIES[VEHIDCODE],PROPERTIES[REGION3]&amp;"_"&amp;_xlfn.XLOOKUP($A1005,PROPERTIES[VEHIDCODE],PROPERTIES[REGION4])))</f>
        <v>AFRICA_NO_REGION_NO_REGION_NO_REGION</v>
      </c>
      <c r="G1005" t="b">
        <f t="shared" si="135"/>
        <v>1</v>
      </c>
      <c r="H1005" t="b">
        <f t="shared" si="142"/>
        <v>0</v>
      </c>
      <c r="I1005" t="b">
        <f t="shared" si="136"/>
        <v>0</v>
      </c>
      <c r="J1005" t="b">
        <f t="shared" si="143"/>
        <v>0</v>
      </c>
      <c r="K1005" t="b">
        <f t="shared" si="137"/>
        <v>0</v>
      </c>
      <c r="L1005" t="b">
        <f t="shared" si="138"/>
        <v>0</v>
      </c>
      <c r="M1005" t="b">
        <f t="shared" si="139"/>
        <v>0</v>
      </c>
      <c r="N1005" t="b">
        <f t="shared" si="140"/>
        <v>0</v>
      </c>
      <c r="O1005" t="b">
        <f t="shared" si="141"/>
        <v>0</v>
      </c>
    </row>
    <row r="1006" spans="1:15" x14ac:dyDescent="0.35">
      <c r="A1006" t="str">
        <v>electric_Hitachi_E1100</v>
      </c>
      <c r="B1006" t="b" cm="1">
        <f t="array" ref="B1006">_xlfn.XLOOKUP(A1006,CONTROL[VEHIDCODE],PROPERTIES[EXCLUDE])</f>
        <v>0</v>
      </c>
      <c r="C1006" t="b">
        <f>_xlfn.XLOOKUP(A1006,CONTROL[VEHIDCODE],CONTROL[IS_WAGON_OR_COACH])</f>
        <v>0</v>
      </c>
      <c r="D1006">
        <f>FLOOR(_xlfn.XLOOKUP($A1006,PROPERTIES[VEHIDCODE],PROPERTIES[INTRODUCTION_YEAR]),20)</f>
        <v>1960</v>
      </c>
      <c r="E1006" t="e">
        <f>_xlfn.XLOOKUP($A1006,PROPERTIES[VEHIDCODE],#REF!)</f>
        <v>#REF!</v>
      </c>
      <c r="F1006" s="25" t="str" cm="1">
        <f t="array" ref="F1006">_xlfn.CONCAT(_xlfn.XLOOKUP($A1006,PROPERTIES[VEHIDCODE],PROPERTIES[REGION1]),"_",_xlfn.XLOOKUP($A1006,PROPERTIES[VEHIDCODE],PROPERTIES[REGION2]),"_",_xlfn.XLOOKUP($A1006,PROPERTIES[VEHIDCODE],PROPERTIES[REGION3]&amp;"_"&amp;_xlfn.XLOOKUP($A1006,PROPERTIES[VEHIDCODE],PROPERTIES[REGION4])))</f>
        <v>AFRICA_NO_REGION_NO_REGION_NO_REGION</v>
      </c>
      <c r="G1006" t="b">
        <f t="shared" si="135"/>
        <v>1</v>
      </c>
      <c r="H1006" t="b">
        <f t="shared" si="142"/>
        <v>0</v>
      </c>
      <c r="I1006" t="b">
        <f t="shared" si="136"/>
        <v>0</v>
      </c>
      <c r="J1006" t="b">
        <f t="shared" si="143"/>
        <v>0</v>
      </c>
      <c r="K1006" t="b">
        <f t="shared" si="137"/>
        <v>0</v>
      </c>
      <c r="L1006" t="b">
        <f t="shared" si="138"/>
        <v>0</v>
      </c>
      <c r="M1006" t="b">
        <f t="shared" si="139"/>
        <v>0</v>
      </c>
      <c r="N1006" t="b">
        <f t="shared" si="140"/>
        <v>0</v>
      </c>
      <c r="O1006" t="b">
        <f t="shared" si="141"/>
        <v>0</v>
      </c>
    </row>
    <row r="1007" spans="1:15" x14ac:dyDescent="0.35">
      <c r="A1007" t="str">
        <v>electric_RDSO_CLW_WAM_4</v>
      </c>
      <c r="B1007" t="b" cm="1">
        <f t="array" ref="B1007">_xlfn.XLOOKUP(A1007,CONTROL[VEHIDCODE],PROPERTIES[EXCLUDE])</f>
        <v>0</v>
      </c>
      <c r="C1007" t="b">
        <f>_xlfn.XLOOKUP(A1007,CONTROL[VEHIDCODE],CONTROL[IS_WAGON_OR_COACH])</f>
        <v>0</v>
      </c>
      <c r="D1007">
        <f>FLOOR(_xlfn.XLOOKUP($A1007,PROPERTIES[VEHIDCODE],PROPERTIES[INTRODUCTION_YEAR]),20)</f>
        <v>1960</v>
      </c>
      <c r="E1007" t="e">
        <f>_xlfn.XLOOKUP($A1007,PROPERTIES[VEHIDCODE],#REF!)</f>
        <v>#REF!</v>
      </c>
      <c r="F1007" s="25" t="str" cm="1">
        <f t="array" ref="F1007">_xlfn.CONCAT(_xlfn.XLOOKUP($A1007,PROPERTIES[VEHIDCODE],PROPERTIES[REGION1]),"_",_xlfn.XLOOKUP($A1007,PROPERTIES[VEHIDCODE],PROPERTIES[REGION2]),"_",_xlfn.XLOOKUP($A1007,PROPERTIES[VEHIDCODE],PROPERTIES[REGION3]&amp;"_"&amp;_xlfn.XLOOKUP($A1007,PROPERTIES[VEHIDCODE],PROPERTIES[REGION4])))</f>
        <v>ASIA_NO_REGION_NO_REGION_NO_REGION</v>
      </c>
      <c r="G1007" t="b">
        <f t="shared" si="135"/>
        <v>0</v>
      </c>
      <c r="H1007" t="b">
        <f t="shared" si="142"/>
        <v>1</v>
      </c>
      <c r="I1007" t="b">
        <f t="shared" si="136"/>
        <v>0</v>
      </c>
      <c r="J1007" t="b">
        <f t="shared" si="143"/>
        <v>0</v>
      </c>
      <c r="K1007" t="b">
        <f t="shared" si="137"/>
        <v>0</v>
      </c>
      <c r="L1007" t="b">
        <f t="shared" si="138"/>
        <v>0</v>
      </c>
      <c r="M1007" t="b">
        <f t="shared" si="139"/>
        <v>0</v>
      </c>
      <c r="N1007" t="b">
        <f t="shared" si="140"/>
        <v>0</v>
      </c>
      <c r="O1007" t="b">
        <f t="shared" si="141"/>
        <v>0</v>
      </c>
    </row>
    <row r="1008" spans="1:15" x14ac:dyDescent="0.35">
      <c r="A1008" t="str">
        <v>electric_Groupement_50_Hz_WAM_1</v>
      </c>
      <c r="B1008" t="b" cm="1">
        <f t="array" ref="B1008">_xlfn.XLOOKUP(A1008,CONTROL[VEHIDCODE],PROPERTIES[EXCLUDE])</f>
        <v>0</v>
      </c>
      <c r="C1008" t="b">
        <f>_xlfn.XLOOKUP(A1008,CONTROL[VEHIDCODE],CONTROL[IS_WAGON_OR_COACH])</f>
        <v>0</v>
      </c>
      <c r="D1008">
        <f>FLOOR(_xlfn.XLOOKUP($A1008,PROPERTIES[VEHIDCODE],PROPERTIES[INTRODUCTION_YEAR]),20)</f>
        <v>1960</v>
      </c>
      <c r="E1008" t="e">
        <f>_xlfn.XLOOKUP($A1008,PROPERTIES[VEHIDCODE],#REF!)</f>
        <v>#REF!</v>
      </c>
      <c r="F1008" s="25" t="str" cm="1">
        <f t="array" ref="F1008">_xlfn.CONCAT(_xlfn.XLOOKUP($A1008,PROPERTIES[VEHIDCODE],PROPERTIES[REGION1]),"_",_xlfn.XLOOKUP($A1008,PROPERTIES[VEHIDCODE],PROPERTIES[REGION2]),"_",_xlfn.XLOOKUP($A1008,PROPERTIES[VEHIDCODE],PROPERTIES[REGION3]&amp;"_"&amp;_xlfn.XLOOKUP($A1008,PROPERTIES[VEHIDCODE],PROPERTIES[REGION4])))</f>
        <v>ASIA_NO_REGION_NO_REGION_NO_REGION</v>
      </c>
      <c r="G1008" t="b">
        <f t="shared" si="135"/>
        <v>0</v>
      </c>
      <c r="H1008" t="b">
        <f t="shared" si="142"/>
        <v>1</v>
      </c>
      <c r="I1008" t="b">
        <f t="shared" si="136"/>
        <v>0</v>
      </c>
      <c r="J1008" t="b">
        <f t="shared" si="143"/>
        <v>0</v>
      </c>
      <c r="K1008" t="b">
        <f t="shared" si="137"/>
        <v>0</v>
      </c>
      <c r="L1008" t="b">
        <f t="shared" si="138"/>
        <v>0</v>
      </c>
      <c r="M1008" t="b">
        <f t="shared" si="139"/>
        <v>0</v>
      </c>
      <c r="N1008" t="b">
        <f t="shared" si="140"/>
        <v>0</v>
      </c>
      <c r="O1008" t="b">
        <f t="shared" si="141"/>
        <v>0</v>
      </c>
    </row>
    <row r="1009" spans="1:15" x14ac:dyDescent="0.35">
      <c r="A1009" t="str">
        <v>diesel_Baldwin_Lima_Hamilton_RF_615_E</v>
      </c>
      <c r="B1009" t="b" cm="1">
        <f t="array" ref="B1009">_xlfn.XLOOKUP(A1009,CONTROL[VEHIDCODE],PROPERTIES[EXCLUDE])</f>
        <v>0</v>
      </c>
      <c r="C1009" t="b">
        <f>_xlfn.XLOOKUP(A1009,CONTROL[VEHIDCODE],CONTROL[IS_WAGON_OR_COACH])</f>
        <v>0</v>
      </c>
      <c r="D1009">
        <f>FLOOR(_xlfn.XLOOKUP($A1009,PROPERTIES[VEHIDCODE],PROPERTIES[INTRODUCTION_YEAR]),20)</f>
        <v>1940</v>
      </c>
      <c r="E1009" t="e">
        <f>_xlfn.XLOOKUP($A1009,PROPERTIES[VEHIDCODE],#REF!)</f>
        <v>#REF!</v>
      </c>
      <c r="F1009" s="25" t="str" cm="1">
        <f t="array" ref="F1009">_xlfn.CONCAT(_xlfn.XLOOKUP($A1009,PROPERTIES[VEHIDCODE],PROPERTIES[REGION1]),"_",_xlfn.XLOOKUP($A1009,PROPERTIES[VEHIDCODE],PROPERTIES[REGION2]),"_",_xlfn.XLOOKUP($A1009,PROPERTIES[VEHIDCODE],PROPERTIES[REGION3]&amp;"_"&amp;_xlfn.XLOOKUP($A1009,PROPERTIES[VEHIDCODE],PROPERTIES[REGION4])))</f>
        <v>SOUTH_AMERICA_NO_REGION_NO_REGION_NO_REGION</v>
      </c>
      <c r="G1009" t="b">
        <f t="shared" si="135"/>
        <v>0</v>
      </c>
      <c r="H1009" t="b">
        <f t="shared" si="142"/>
        <v>0</v>
      </c>
      <c r="I1009" t="b">
        <f t="shared" si="136"/>
        <v>0</v>
      </c>
      <c r="J1009" t="b">
        <f t="shared" si="143"/>
        <v>0</v>
      </c>
      <c r="K1009" t="b">
        <f t="shared" si="137"/>
        <v>0</v>
      </c>
      <c r="L1009" t="b">
        <f t="shared" si="138"/>
        <v>0</v>
      </c>
      <c r="M1009" t="b">
        <f t="shared" si="139"/>
        <v>0</v>
      </c>
      <c r="N1009" t="b">
        <f t="shared" si="140"/>
        <v>1</v>
      </c>
      <c r="O1009" t="b">
        <f t="shared" si="141"/>
        <v>0</v>
      </c>
    </row>
    <row r="1010" spans="1:15" x14ac:dyDescent="0.35">
      <c r="A1010" t="str">
        <v>diesel_EE_Dick__Kerr___Co_Vulcan_Foundry_DE2</v>
      </c>
      <c r="B1010" t="b" cm="1">
        <f t="array" ref="B1010">_xlfn.XLOOKUP(A1010,CONTROL[VEHIDCODE],PROPERTIES[EXCLUDE])</f>
        <v>0</v>
      </c>
      <c r="C1010" t="b">
        <f>_xlfn.XLOOKUP(A1010,CONTROL[VEHIDCODE],CONTROL[IS_WAGON_OR_COACH])</f>
        <v>0</v>
      </c>
      <c r="D1010">
        <f>FLOOR(_xlfn.XLOOKUP($A1010,PROPERTIES[VEHIDCODE],PROPERTIES[INTRODUCTION_YEAR]),20)</f>
        <v>1940</v>
      </c>
      <c r="E1010" t="e">
        <f>_xlfn.XLOOKUP($A1010,PROPERTIES[VEHIDCODE],#REF!)</f>
        <v>#REF!</v>
      </c>
      <c r="F1010" s="25" t="str" cm="1">
        <f t="array" ref="F1010">_xlfn.CONCAT(_xlfn.XLOOKUP($A1010,PROPERTIES[VEHIDCODE],PROPERTIES[REGION1]),"_",_xlfn.XLOOKUP($A1010,PROPERTIES[VEHIDCODE],PROPERTIES[REGION2]),"_",_xlfn.XLOOKUP($A1010,PROPERTIES[VEHIDCODE],PROPERTIES[REGION3]&amp;"_"&amp;_xlfn.XLOOKUP($A1010,PROPERTIES[VEHIDCODE],PROPERTIES[REGION4])))</f>
        <v>AFRICA_NO_REGION_NO_REGION_NO_REGION</v>
      </c>
      <c r="G1010" t="b">
        <f t="shared" si="135"/>
        <v>1</v>
      </c>
      <c r="H1010" t="b">
        <f t="shared" si="142"/>
        <v>0</v>
      </c>
      <c r="I1010" t="b">
        <f t="shared" si="136"/>
        <v>0</v>
      </c>
      <c r="J1010" t="b">
        <f t="shared" si="143"/>
        <v>0</v>
      </c>
      <c r="K1010" t="b">
        <f t="shared" si="137"/>
        <v>0</v>
      </c>
      <c r="L1010" t="b">
        <f t="shared" si="138"/>
        <v>0</v>
      </c>
      <c r="M1010" t="b">
        <f t="shared" si="139"/>
        <v>0</v>
      </c>
      <c r="N1010" t="b">
        <f t="shared" si="140"/>
        <v>0</v>
      </c>
      <c r="O1010" t="b">
        <f t="shared" si="141"/>
        <v>0</v>
      </c>
    </row>
    <row r="1011" spans="1:15" x14ac:dyDescent="0.35">
      <c r="A1011" t="str">
        <v>diesel_Ingeteam_TD2000_series</v>
      </c>
      <c r="B1011" t="b" cm="1">
        <f t="array" ref="B1011">_xlfn.XLOOKUP(A1011,CONTROL[VEHIDCODE],PROPERTIES[EXCLUDE])</f>
        <v>0</v>
      </c>
      <c r="C1011" t="b">
        <f>_xlfn.XLOOKUP(A1011,CONTROL[VEHIDCODE],CONTROL[IS_WAGON_OR_COACH])</f>
        <v>0</v>
      </c>
      <c r="D1011">
        <f>FLOOR(_xlfn.XLOOKUP($A1011,PROPERTIES[VEHIDCODE],PROPERTIES[INTRODUCTION_YEAR]),20)</f>
        <v>2000</v>
      </c>
      <c r="E1011" t="e">
        <f>_xlfn.XLOOKUP($A1011,PROPERTIES[VEHIDCODE],#REF!)</f>
        <v>#REF!</v>
      </c>
      <c r="F1011" s="25" t="str" cm="1">
        <f t="array" ref="F1011">_xlfn.CONCAT(_xlfn.XLOOKUP($A1011,PROPERTIES[VEHIDCODE],PROPERTIES[REGION1]),"_",_xlfn.XLOOKUP($A1011,PROPERTIES[VEHIDCODE],PROPERTIES[REGION2]),"_",_xlfn.XLOOKUP($A1011,PROPERTIES[VEHIDCODE],PROPERTIES[REGION3]&amp;"_"&amp;_xlfn.XLOOKUP($A1011,PROPERTIES[VEHIDCODE],PROPERTIES[REGION4])))</f>
        <v>SOUTH_AMERICA_SOUTHERN_EUROPE_NO_REGION_NO_REGION</v>
      </c>
      <c r="G1011" t="b">
        <f t="shared" si="135"/>
        <v>0</v>
      </c>
      <c r="H1011" t="b">
        <f t="shared" si="142"/>
        <v>0</v>
      </c>
      <c r="I1011" t="b">
        <f t="shared" si="136"/>
        <v>1</v>
      </c>
      <c r="J1011" t="b">
        <f t="shared" si="143"/>
        <v>0</v>
      </c>
      <c r="K1011" t="b">
        <f t="shared" si="137"/>
        <v>0</v>
      </c>
      <c r="L1011" t="b">
        <f t="shared" si="138"/>
        <v>0</v>
      </c>
      <c r="M1011" t="b">
        <f t="shared" si="139"/>
        <v>0</v>
      </c>
      <c r="N1011" t="b">
        <f t="shared" si="140"/>
        <v>1</v>
      </c>
      <c r="O1011" t="b">
        <f t="shared" si="141"/>
        <v>0</v>
      </c>
    </row>
    <row r="1012" spans="1:15" x14ac:dyDescent="0.35">
      <c r="A1012" t="str">
        <v>diesel_Tulloch_0_6_0DM_W_Class</v>
      </c>
      <c r="B1012" t="b" cm="1">
        <f t="array" ref="B1012">_xlfn.XLOOKUP(A1012,CONTROL[VEHIDCODE],PROPERTIES[EXCLUDE])</f>
        <v>0</v>
      </c>
      <c r="C1012" t="b">
        <f>_xlfn.XLOOKUP(A1012,CONTROL[VEHIDCODE],CONTROL[IS_WAGON_OR_COACH])</f>
        <v>0</v>
      </c>
      <c r="D1012">
        <f>FLOOR(_xlfn.XLOOKUP($A1012,PROPERTIES[VEHIDCODE],PROPERTIES[INTRODUCTION_YEAR]),20)</f>
        <v>1940</v>
      </c>
      <c r="E1012" t="e">
        <f>_xlfn.XLOOKUP($A1012,PROPERTIES[VEHIDCODE],#REF!)</f>
        <v>#REF!</v>
      </c>
      <c r="F1012" s="25" t="str" cm="1">
        <f t="array" ref="F1012">_xlfn.CONCAT(_xlfn.XLOOKUP($A1012,PROPERTIES[VEHIDCODE],PROPERTIES[REGION1]),"_",_xlfn.XLOOKUP($A1012,PROPERTIES[VEHIDCODE],PROPERTIES[REGION2]),"_",_xlfn.XLOOKUP($A1012,PROPERTIES[VEHIDCODE],PROPERTIES[REGION3]&amp;"_"&amp;_xlfn.XLOOKUP($A1012,PROPERTIES[VEHIDCODE],PROPERTIES[REGION4])))</f>
        <v>OCEANIA_NO_REGION_NO_REGION_NO_REGION</v>
      </c>
      <c r="G1012" t="b">
        <f t="shared" si="135"/>
        <v>0</v>
      </c>
      <c r="H1012" t="b">
        <f t="shared" si="142"/>
        <v>0</v>
      </c>
      <c r="I1012" t="b">
        <f t="shared" si="136"/>
        <v>0</v>
      </c>
      <c r="J1012" t="b">
        <f t="shared" si="143"/>
        <v>0</v>
      </c>
      <c r="K1012" t="b">
        <f t="shared" si="137"/>
        <v>0</v>
      </c>
      <c r="L1012" t="b">
        <f t="shared" si="138"/>
        <v>0</v>
      </c>
      <c r="M1012" t="b">
        <f t="shared" si="139"/>
        <v>0</v>
      </c>
      <c r="N1012" t="b">
        <f t="shared" si="140"/>
        <v>0</v>
      </c>
      <c r="O1012" t="b">
        <f t="shared" si="141"/>
        <v>1</v>
      </c>
    </row>
    <row r="1013" spans="1:15" x14ac:dyDescent="0.35">
      <c r="A1013" t="str">
        <v>electric_GE_289_Boxcab</v>
      </c>
      <c r="B1013" t="b" cm="1">
        <f t="array" ref="B1013">_xlfn.XLOOKUP(A1013,CONTROL[VEHIDCODE],PROPERTIES[EXCLUDE])</f>
        <v>0</v>
      </c>
      <c r="C1013" t="b">
        <f>_xlfn.XLOOKUP(A1013,CONTROL[VEHIDCODE],CONTROL[IS_WAGON_OR_COACH])</f>
        <v>0</v>
      </c>
      <c r="D1013">
        <f>FLOOR(_xlfn.XLOOKUP($A1013,PROPERTIES[VEHIDCODE],PROPERTIES[INTRODUCTION_YEAR]),20)</f>
        <v>1920</v>
      </c>
      <c r="E1013" t="e">
        <f>_xlfn.XLOOKUP($A1013,PROPERTIES[VEHIDCODE],#REF!)</f>
        <v>#REF!</v>
      </c>
      <c r="F1013" s="25" t="str" cm="1">
        <f t="array" ref="F1013">_xlfn.CONCAT(_xlfn.XLOOKUP($A1013,PROPERTIES[VEHIDCODE],PROPERTIES[REGION1]),"_",_xlfn.XLOOKUP($A1013,PROPERTIES[VEHIDCODE],PROPERTIES[REGION2]),"_",_xlfn.XLOOKUP($A1013,PROPERTIES[VEHIDCODE],PROPERTIES[REGION3]&amp;"_"&amp;_xlfn.XLOOKUP($A1013,PROPERTIES[VEHIDCODE],PROPERTIES[REGION4])))</f>
        <v>SOUTH_AMERICA_NO_REGION_NO_REGION_NO_REGION</v>
      </c>
      <c r="G1013" t="b">
        <f t="shared" si="135"/>
        <v>0</v>
      </c>
      <c r="H1013" t="b">
        <f t="shared" si="142"/>
        <v>0</v>
      </c>
      <c r="I1013" t="b">
        <f t="shared" si="136"/>
        <v>0</v>
      </c>
      <c r="J1013" t="b">
        <f t="shared" si="143"/>
        <v>0</v>
      </c>
      <c r="K1013" t="b">
        <f t="shared" si="137"/>
        <v>0</v>
      </c>
      <c r="L1013" t="b">
        <f t="shared" si="138"/>
        <v>0</v>
      </c>
      <c r="M1013" t="b">
        <f t="shared" si="139"/>
        <v>0</v>
      </c>
      <c r="N1013" t="b">
        <f t="shared" si="140"/>
        <v>1</v>
      </c>
      <c r="O1013" t="b">
        <f t="shared" si="141"/>
        <v>0</v>
      </c>
    </row>
    <row r="1014" spans="1:15" x14ac:dyDescent="0.35">
      <c r="A1014" t="str">
        <v>electric_Alsthom_EC_386</v>
      </c>
      <c r="B1014" t="b" cm="1">
        <f t="array" ref="B1014">_xlfn.XLOOKUP(A1014,CONTROL[VEHIDCODE],PROPERTIES[EXCLUDE])</f>
        <v>0</v>
      </c>
      <c r="C1014" t="b">
        <f>_xlfn.XLOOKUP(A1014,CONTROL[VEHIDCODE],CONTROL[IS_WAGON_OR_COACH])</f>
        <v>0</v>
      </c>
      <c r="D1014">
        <f>FLOOR(_xlfn.XLOOKUP($A1014,PROPERTIES[VEHIDCODE],PROPERTIES[INTRODUCTION_YEAR]),20)</f>
        <v>1980</v>
      </c>
      <c r="E1014" t="e">
        <f>_xlfn.XLOOKUP($A1014,PROPERTIES[VEHIDCODE],#REF!)</f>
        <v>#REF!</v>
      </c>
      <c r="F1014" s="25" t="str" cm="1">
        <f t="array" ref="F1014">_xlfn.CONCAT(_xlfn.XLOOKUP($A1014,PROPERTIES[VEHIDCODE],PROPERTIES[REGION1]),"_",_xlfn.XLOOKUP($A1014,PROPERTIES[VEHIDCODE],PROPERTIES[REGION2]),"_",_xlfn.XLOOKUP($A1014,PROPERTIES[VEHIDCODE],PROPERTIES[REGION3]&amp;"_"&amp;_xlfn.XLOOKUP($A1014,PROPERTIES[VEHIDCODE],PROPERTIES[REGION4])))</f>
        <v>SOUTH_AMERICA_NO_REGION_NO_REGION_NO_REGION</v>
      </c>
      <c r="G1014" t="b">
        <f t="shared" si="135"/>
        <v>0</v>
      </c>
      <c r="H1014" t="b">
        <f t="shared" si="142"/>
        <v>0</v>
      </c>
      <c r="I1014" t="b">
        <f t="shared" si="136"/>
        <v>0</v>
      </c>
      <c r="J1014" t="b">
        <f t="shared" si="143"/>
        <v>0</v>
      </c>
      <c r="K1014" t="b">
        <f t="shared" si="137"/>
        <v>0</v>
      </c>
      <c r="L1014" t="b">
        <f t="shared" si="138"/>
        <v>0</v>
      </c>
      <c r="M1014" t="b">
        <f t="shared" si="139"/>
        <v>0</v>
      </c>
      <c r="N1014" t="b">
        <f t="shared" si="140"/>
        <v>1</v>
      </c>
      <c r="O1014" t="b">
        <f t="shared" si="141"/>
        <v>0</v>
      </c>
    </row>
    <row r="1015" spans="1:15" x14ac:dyDescent="0.35">
      <c r="A1015" t="str">
        <v>electric_Chesta_Casagrande_E650</v>
      </c>
      <c r="B1015" t="b" cm="1">
        <f t="array" ref="B1015">_xlfn.XLOOKUP(A1015,CONTROL[VEHIDCODE],PROPERTIES[EXCLUDE])</f>
        <v>0</v>
      </c>
      <c r="C1015" t="b">
        <f>_xlfn.XLOOKUP(A1015,CONTROL[VEHIDCODE],CONTROL[IS_WAGON_OR_COACH])</f>
        <v>0</v>
      </c>
      <c r="D1015">
        <f>FLOOR(_xlfn.XLOOKUP($A1015,PROPERTIES[VEHIDCODE],PROPERTIES[INTRODUCTION_YEAR]),20)</f>
        <v>2000</v>
      </c>
      <c r="E1015" t="e">
        <f>_xlfn.XLOOKUP($A1015,PROPERTIES[VEHIDCODE],#REF!)</f>
        <v>#REF!</v>
      </c>
      <c r="F1015" s="25" t="str" cm="1">
        <f t="array" ref="F1015">_xlfn.CONCAT(_xlfn.XLOOKUP($A1015,PROPERTIES[VEHIDCODE],PROPERTIES[REGION1]),"_",_xlfn.XLOOKUP($A1015,PROPERTIES[VEHIDCODE],PROPERTIES[REGION2]),"_",_xlfn.XLOOKUP($A1015,PROPERTIES[VEHIDCODE],PROPERTIES[REGION3]&amp;"_"&amp;_xlfn.XLOOKUP($A1015,PROPERTIES[VEHIDCODE],PROPERTIES[REGION4])))</f>
        <v>SOUTH_AMERICA_NO_REGION_NO_REGION_NO_REGION</v>
      </c>
      <c r="G1015" t="b">
        <f t="shared" si="135"/>
        <v>0</v>
      </c>
      <c r="H1015" t="b">
        <f t="shared" si="142"/>
        <v>0</v>
      </c>
      <c r="I1015" t="b">
        <f t="shared" si="136"/>
        <v>0</v>
      </c>
      <c r="J1015" t="b">
        <f t="shared" si="143"/>
        <v>0</v>
      </c>
      <c r="K1015" t="b">
        <f t="shared" si="137"/>
        <v>0</v>
      </c>
      <c r="L1015" t="b">
        <f t="shared" si="138"/>
        <v>0</v>
      </c>
      <c r="M1015" t="b">
        <f t="shared" si="139"/>
        <v>0</v>
      </c>
      <c r="N1015" t="b">
        <f t="shared" si="140"/>
        <v>1</v>
      </c>
      <c r="O1015" t="b">
        <f t="shared" si="141"/>
        <v>0</v>
      </c>
    </row>
    <row r="1016" spans="1:15" x14ac:dyDescent="0.35">
      <c r="A1016" t="str">
        <v>electric_Breda_Marelli_E32</v>
      </c>
      <c r="B1016" t="b" cm="1">
        <f t="array" ref="B1016">_xlfn.XLOOKUP(A1016,CONTROL[VEHIDCODE],PROPERTIES[EXCLUDE])</f>
        <v>0</v>
      </c>
      <c r="C1016" t="b">
        <f>_xlfn.XLOOKUP(A1016,CONTROL[VEHIDCODE],CONTROL[IS_WAGON_OR_COACH])</f>
        <v>0</v>
      </c>
      <c r="D1016">
        <f>FLOOR(_xlfn.XLOOKUP($A1016,PROPERTIES[VEHIDCODE],PROPERTIES[INTRODUCTION_YEAR]),20)</f>
        <v>1960</v>
      </c>
      <c r="E1016" t="e">
        <f>_xlfn.XLOOKUP($A1016,PROPERTIES[VEHIDCODE],#REF!)</f>
        <v>#REF!</v>
      </c>
      <c r="F1016" s="25" t="str" cm="1">
        <f t="array" ref="F1016">_xlfn.CONCAT(_xlfn.XLOOKUP($A1016,PROPERTIES[VEHIDCODE],PROPERTIES[REGION1]),"_",_xlfn.XLOOKUP($A1016,PROPERTIES[VEHIDCODE],PROPERTIES[REGION2]),"_",_xlfn.XLOOKUP($A1016,PROPERTIES[VEHIDCODE],PROPERTIES[REGION3]&amp;"_"&amp;_xlfn.XLOOKUP($A1016,PROPERTIES[VEHIDCODE],PROPERTIES[REGION4])))</f>
        <v>SOUTH_AMERICA_NO_REGION_NO_REGION_NO_REGION</v>
      </c>
      <c r="G1016" t="b">
        <f t="shared" si="135"/>
        <v>0</v>
      </c>
      <c r="H1016" t="b">
        <f t="shared" si="142"/>
        <v>0</v>
      </c>
      <c r="I1016" t="b">
        <f t="shared" si="136"/>
        <v>0</v>
      </c>
      <c r="J1016" t="b">
        <f t="shared" si="143"/>
        <v>0</v>
      </c>
      <c r="K1016" t="b">
        <f t="shared" si="137"/>
        <v>0</v>
      </c>
      <c r="L1016" t="b">
        <f t="shared" si="138"/>
        <v>0</v>
      </c>
      <c r="M1016" t="b">
        <f t="shared" si="139"/>
        <v>0</v>
      </c>
      <c r="N1016" t="b">
        <f t="shared" si="140"/>
        <v>1</v>
      </c>
      <c r="O1016" t="b">
        <f t="shared" si="141"/>
        <v>0</v>
      </c>
    </row>
    <row r="1017" spans="1:15" x14ac:dyDescent="0.35">
      <c r="A1017" t="str">
        <v>diesel_GE_ES58ACi</v>
      </c>
      <c r="B1017" t="b" cm="1">
        <f t="array" ref="B1017">_xlfn.XLOOKUP(A1017,CONTROL[VEHIDCODE],PROPERTIES[EXCLUDE])</f>
        <v>0</v>
      </c>
      <c r="C1017" t="b">
        <f>_xlfn.XLOOKUP(A1017,CONTROL[VEHIDCODE],CONTROL[IS_WAGON_OR_COACH])</f>
        <v>0</v>
      </c>
      <c r="D1017">
        <f>FLOOR(_xlfn.XLOOKUP($A1017,PROPERTIES[VEHIDCODE],PROPERTIES[INTRODUCTION_YEAR]),20)</f>
        <v>2000</v>
      </c>
      <c r="E1017" t="e">
        <f>_xlfn.XLOOKUP($A1017,PROPERTIES[VEHIDCODE],#REF!)</f>
        <v>#REF!</v>
      </c>
      <c r="F1017" s="25" t="str" cm="1">
        <f t="array" ref="F1017">_xlfn.CONCAT(_xlfn.XLOOKUP($A1017,PROPERTIES[VEHIDCODE],PROPERTIES[REGION1]),"_",_xlfn.XLOOKUP($A1017,PROPERTIES[VEHIDCODE],PROPERTIES[REGION2]),"_",_xlfn.XLOOKUP($A1017,PROPERTIES[VEHIDCODE],PROPERTIES[REGION3]&amp;"_"&amp;_xlfn.XLOOKUP($A1017,PROPERTIES[VEHIDCODE],PROPERTIES[REGION4])))</f>
        <v>SOUTH_AMERICA_NO_REGION_NO_REGION_NO_REGION</v>
      </c>
      <c r="G1017" t="b">
        <f t="shared" si="135"/>
        <v>0</v>
      </c>
      <c r="H1017" t="b">
        <f t="shared" si="142"/>
        <v>0</v>
      </c>
      <c r="I1017" t="b">
        <f t="shared" si="136"/>
        <v>0</v>
      </c>
      <c r="J1017" t="b">
        <f t="shared" si="143"/>
        <v>0</v>
      </c>
      <c r="K1017" t="b">
        <f t="shared" si="137"/>
        <v>0</v>
      </c>
      <c r="L1017" t="b">
        <f t="shared" si="138"/>
        <v>0</v>
      </c>
      <c r="M1017" t="b">
        <f t="shared" si="139"/>
        <v>0</v>
      </c>
      <c r="N1017" t="b">
        <f t="shared" si="140"/>
        <v>1</v>
      </c>
      <c r="O1017" t="b">
        <f t="shared" si="141"/>
        <v>0</v>
      </c>
    </row>
    <row r="1018" spans="1:15" x14ac:dyDescent="0.35">
      <c r="A1018" t="str">
        <v>rbd_Ganz_MAVAG_Ikarus_725_00</v>
      </c>
      <c r="B1018" t="b" cm="1">
        <f t="array" ref="B1018">_xlfn.XLOOKUP(A1018,CONTROL[VEHIDCODE],PROPERTIES[EXCLUDE])</f>
        <v>0</v>
      </c>
      <c r="C1018" t="b">
        <f>_xlfn.XLOOKUP(A1018,CONTROL[VEHIDCODE],CONTROL[IS_WAGON_OR_COACH])</f>
        <v>0</v>
      </c>
      <c r="D1018">
        <f>FLOOR(_xlfn.XLOOKUP($A1018,PROPERTIES[VEHIDCODE],PROPERTIES[INTRODUCTION_YEAR]),20)</f>
        <v>1980</v>
      </c>
      <c r="E1018" t="e">
        <f>_xlfn.XLOOKUP($A1018,PROPERTIES[VEHIDCODE],#REF!)</f>
        <v>#REF!</v>
      </c>
      <c r="F1018" s="25" t="str" cm="1">
        <f t="array" ref="F1018">_xlfn.CONCAT(_xlfn.XLOOKUP($A1018,PROPERTIES[VEHIDCODE],PROPERTIES[REGION1]),"_",_xlfn.XLOOKUP($A1018,PROPERTIES[VEHIDCODE],PROPERTIES[REGION2]),"_",_xlfn.XLOOKUP($A1018,PROPERTIES[VEHIDCODE],PROPERTIES[REGION3]&amp;"_"&amp;_xlfn.XLOOKUP($A1018,PROPERTIES[VEHIDCODE],PROPERTIES[REGION4])))</f>
        <v>COMECON_NO_REGION_NO_REGION_NO_REGION</v>
      </c>
      <c r="G1018" t="b">
        <f t="shared" si="135"/>
        <v>0</v>
      </c>
      <c r="H1018" t="b">
        <f t="shared" si="142"/>
        <v>1</v>
      </c>
      <c r="I1018" t="b">
        <f t="shared" si="136"/>
        <v>0</v>
      </c>
      <c r="J1018" t="b">
        <f t="shared" si="143"/>
        <v>1</v>
      </c>
      <c r="K1018" t="b">
        <f t="shared" si="137"/>
        <v>0</v>
      </c>
      <c r="L1018" t="b">
        <f t="shared" si="138"/>
        <v>0</v>
      </c>
      <c r="M1018" t="b">
        <f t="shared" si="139"/>
        <v>0</v>
      </c>
      <c r="N1018" t="b">
        <f t="shared" si="140"/>
        <v>0</v>
      </c>
      <c r="O1018" t="b">
        <f t="shared" si="141"/>
        <v>0</v>
      </c>
    </row>
    <row r="1019" spans="1:15" x14ac:dyDescent="0.35">
      <c r="A1019" t="str">
        <v>mtro_Alstom_Metropolis</v>
      </c>
      <c r="B1019" t="b" cm="1">
        <f t="array" ref="B1019">_xlfn.XLOOKUP(A1019,CONTROL[VEHIDCODE],PROPERTIES[EXCLUDE])</f>
        <v>0</v>
      </c>
      <c r="C1019" t="b">
        <f>_xlfn.XLOOKUP(A1019,CONTROL[VEHIDCODE],CONTROL[IS_WAGON_OR_COACH])</f>
        <v>0</v>
      </c>
      <c r="D1019">
        <f>FLOOR(_xlfn.XLOOKUP($A1019,PROPERTIES[VEHIDCODE],PROPERTIES[INTRODUCTION_YEAR]),20)</f>
        <v>1980</v>
      </c>
      <c r="E1019" t="e">
        <f>_xlfn.XLOOKUP($A1019,PROPERTIES[VEHIDCODE],#REF!)</f>
        <v>#REF!</v>
      </c>
      <c r="F1019" s="25" t="str" cm="1">
        <f t="array" ref="F1019">_xlfn.CONCAT(_xlfn.XLOOKUP($A1019,PROPERTIES[VEHIDCODE],PROPERTIES[REGION1]),"_",_xlfn.XLOOKUP($A1019,PROPERTIES[VEHIDCODE],PROPERTIES[REGION2]),"_",_xlfn.XLOOKUP($A1019,PROPERTIES[VEHIDCODE],PROPERTIES[REGION3]&amp;"_"&amp;_xlfn.XLOOKUP($A1019,PROPERTIES[VEHIDCODE],PROPERTIES[REGION4])))</f>
        <v>ALL_AMERICA_APAC_WESTERN_EUROPE_EASTERN_EUROPE</v>
      </c>
      <c r="G1019" t="b">
        <f t="shared" si="135"/>
        <v>0</v>
      </c>
      <c r="H1019" t="b">
        <f t="shared" si="142"/>
        <v>1</v>
      </c>
      <c r="I1019" t="b">
        <f t="shared" si="136"/>
        <v>0</v>
      </c>
      <c r="J1019" t="b">
        <f t="shared" si="143"/>
        <v>1</v>
      </c>
      <c r="K1019" t="b">
        <f t="shared" si="137"/>
        <v>1</v>
      </c>
      <c r="L1019" t="b">
        <f t="shared" si="138"/>
        <v>0</v>
      </c>
      <c r="M1019" t="b">
        <f t="shared" si="139"/>
        <v>1</v>
      </c>
      <c r="N1019" t="b">
        <f t="shared" si="140"/>
        <v>1</v>
      </c>
      <c r="O1019" t="b">
        <f t="shared" si="141"/>
        <v>1</v>
      </c>
    </row>
    <row r="1020" spans="1:15" x14ac:dyDescent="0.35">
      <c r="A1020" t="str">
        <v>steam_Sharp_2_2_2_Patriot</v>
      </c>
      <c r="B1020" t="b" cm="1">
        <f t="array" ref="B1020">_xlfn.XLOOKUP(A1020,CONTROL[VEHIDCODE],PROPERTIES[EXCLUDE])</f>
        <v>0</v>
      </c>
      <c r="C1020" t="b">
        <f>_xlfn.XLOOKUP(A1020,CONTROL[VEHIDCODE],CONTROL[IS_WAGON_OR_COACH])</f>
        <v>0</v>
      </c>
      <c r="D1020">
        <f>FLOOR(_xlfn.XLOOKUP($A1020,PROPERTIES[VEHIDCODE],PROPERTIES[INTRODUCTION_YEAR]),20)</f>
        <v>1840</v>
      </c>
      <c r="E1020" t="e">
        <f>_xlfn.XLOOKUP($A1020,PROPERTIES[VEHIDCODE],#REF!)</f>
        <v>#REF!</v>
      </c>
      <c r="F1020" s="25" t="str" cm="1">
        <f t="array" ref="F1020">_xlfn.CONCAT(_xlfn.XLOOKUP($A1020,PROPERTIES[VEHIDCODE],PROPERTIES[REGION1]),"_",_xlfn.XLOOKUP($A1020,PROPERTIES[VEHIDCODE],PROPERTIES[REGION2]),"_",_xlfn.XLOOKUP($A1020,PROPERTIES[VEHIDCODE],PROPERTIES[REGION3]&amp;"_"&amp;_xlfn.XLOOKUP($A1020,PROPERTIES[VEHIDCODE],PROPERTIES[REGION4])))</f>
        <v>NORTH_AMERICA_NO_REGION_NO_REGION_NO_REGION</v>
      </c>
      <c r="G1020" t="b">
        <f t="shared" si="135"/>
        <v>0</v>
      </c>
      <c r="H1020" t="b">
        <f t="shared" si="142"/>
        <v>0</v>
      </c>
      <c r="I1020" t="b">
        <f t="shared" si="136"/>
        <v>0</v>
      </c>
      <c r="J1020" t="b">
        <f t="shared" si="143"/>
        <v>0</v>
      </c>
      <c r="K1020" t="b">
        <f t="shared" si="137"/>
        <v>0</v>
      </c>
      <c r="L1020" t="b">
        <f t="shared" si="138"/>
        <v>0</v>
      </c>
      <c r="M1020" t="b">
        <f t="shared" si="139"/>
        <v>1</v>
      </c>
      <c r="N1020" t="b">
        <f t="shared" si="140"/>
        <v>0</v>
      </c>
      <c r="O1020" t="b">
        <f t="shared" si="141"/>
        <v>0</v>
      </c>
    </row>
    <row r="1021" spans="1:15" x14ac:dyDescent="0.35">
      <c r="A1021" t="str">
        <v>mu_Coach_Gen2_Heavyweight_Regional_Coach</v>
      </c>
      <c r="B1021" t="b" cm="1">
        <f t="array" ref="B1021">_xlfn.XLOOKUP(A1021,CONTROL[VEHIDCODE],PROPERTIES[EXCLUDE])</f>
        <v>0</v>
      </c>
      <c r="C1021" t="b">
        <f>_xlfn.XLOOKUP(A1021,CONTROL[VEHIDCODE],CONTROL[IS_WAGON_OR_COACH])</f>
        <v>1</v>
      </c>
      <c r="D1021">
        <f>FLOOR(_xlfn.XLOOKUP($A1021,PROPERTIES[VEHIDCODE],PROPERTIES[INTRODUCTION_YEAR]),20)</f>
        <v>1900</v>
      </c>
      <c r="E1021" t="e">
        <f>_xlfn.XLOOKUP($A1021,PROPERTIES[VEHIDCODE],#REF!)</f>
        <v>#REF!</v>
      </c>
      <c r="F1021" s="25" t="str" cm="1">
        <f t="array" ref="F1021">_xlfn.CONCAT(_xlfn.XLOOKUP($A1021,PROPERTIES[VEHIDCODE],PROPERTIES[REGION1]),"_",_xlfn.XLOOKUP($A1021,PROPERTIES[VEHIDCODE],PROPERTIES[REGION2]),"_",_xlfn.XLOOKUP($A1021,PROPERTIES[VEHIDCODE],PROPERTIES[REGION3]&amp;"_"&amp;_xlfn.XLOOKUP($A1021,PROPERTIES[VEHIDCODE],PROPERTIES[REGION4])))</f>
        <v>ALL_AMERICA_OCEANIA_NO_REGION_NO_REGION</v>
      </c>
      <c r="G1021" t="b">
        <f t="shared" si="135"/>
        <v>0</v>
      </c>
      <c r="H1021" t="b">
        <f t="shared" si="142"/>
        <v>0</v>
      </c>
      <c r="I1021" t="b">
        <f t="shared" si="136"/>
        <v>0</v>
      </c>
      <c r="J1021" t="b">
        <f t="shared" si="143"/>
        <v>0</v>
      </c>
      <c r="K1021" t="b">
        <f t="shared" si="137"/>
        <v>0</v>
      </c>
      <c r="L1021" t="b">
        <f t="shared" si="138"/>
        <v>0</v>
      </c>
      <c r="M1021" t="b">
        <f t="shared" si="139"/>
        <v>1</v>
      </c>
      <c r="N1021" t="b">
        <f t="shared" si="140"/>
        <v>1</v>
      </c>
      <c r="O1021" t="b">
        <f t="shared" si="141"/>
        <v>1</v>
      </c>
    </row>
    <row r="1022" spans="1:15" x14ac:dyDescent="0.35">
      <c r="A1022" t="str">
        <v>mu_Coach_Gen1_American_Style_Coach</v>
      </c>
      <c r="B1022" t="b" cm="1">
        <f t="array" ref="B1022">_xlfn.XLOOKUP(A1022,CONTROL[VEHIDCODE],PROPERTIES[EXCLUDE])</f>
        <v>0</v>
      </c>
      <c r="C1022" t="b">
        <f>_xlfn.XLOOKUP(A1022,CONTROL[VEHIDCODE],CONTROL[IS_WAGON_OR_COACH])</f>
        <v>1</v>
      </c>
      <c r="D1022">
        <f>FLOOR(_xlfn.XLOOKUP($A1022,PROPERTIES[VEHIDCODE],PROPERTIES[INTRODUCTION_YEAR]),20)</f>
        <v>1860</v>
      </c>
      <c r="E1022" t="e">
        <f>_xlfn.XLOOKUP($A1022,PROPERTIES[VEHIDCODE],#REF!)</f>
        <v>#REF!</v>
      </c>
      <c r="F1022" s="25" t="str" cm="1">
        <f t="array" ref="F1022">_xlfn.CONCAT(_xlfn.XLOOKUP($A1022,PROPERTIES[VEHIDCODE],PROPERTIES[REGION1]),"_",_xlfn.XLOOKUP($A1022,PROPERTIES[VEHIDCODE],PROPERTIES[REGION2]),"_",_xlfn.XLOOKUP($A1022,PROPERTIES[VEHIDCODE],PROPERTIES[REGION3]&amp;"_"&amp;_xlfn.XLOOKUP($A1022,PROPERTIES[VEHIDCODE],PROPERTIES[REGION4])))</f>
        <v>NON_EUROPEAN_NO_REGION_NO_REGION_NO_REGION</v>
      </c>
      <c r="G1022" t="b">
        <f t="shared" si="135"/>
        <v>1</v>
      </c>
      <c r="H1022" t="b">
        <f t="shared" si="142"/>
        <v>1</v>
      </c>
      <c r="I1022" t="b">
        <f t="shared" si="136"/>
        <v>0</v>
      </c>
      <c r="J1022" t="b">
        <f t="shared" si="143"/>
        <v>0</v>
      </c>
      <c r="K1022" t="b">
        <f t="shared" si="137"/>
        <v>0</v>
      </c>
      <c r="L1022" t="b">
        <f t="shared" si="138"/>
        <v>0</v>
      </c>
      <c r="M1022" t="b">
        <f t="shared" si="139"/>
        <v>1</v>
      </c>
      <c r="N1022" t="b">
        <f t="shared" si="140"/>
        <v>1</v>
      </c>
      <c r="O1022" t="b">
        <f t="shared" si="141"/>
        <v>0</v>
      </c>
    </row>
    <row r="1023" spans="1:15" x14ac:dyDescent="0.35">
      <c r="A1023" t="str">
        <v>mu_Coach_Gen1_American_Style_Mail_Coach</v>
      </c>
      <c r="B1023" t="b" cm="1">
        <f t="array" ref="B1023">_xlfn.XLOOKUP(A1023,CONTROL[VEHIDCODE],PROPERTIES[EXCLUDE])</f>
        <v>0</v>
      </c>
      <c r="C1023" t="b">
        <f>_xlfn.XLOOKUP(A1023,CONTROL[VEHIDCODE],CONTROL[IS_WAGON_OR_COACH])</f>
        <v>1</v>
      </c>
      <c r="D1023">
        <f>FLOOR(_xlfn.XLOOKUP($A1023,PROPERTIES[VEHIDCODE],PROPERTIES[INTRODUCTION_YEAR]),20)</f>
        <v>1860</v>
      </c>
      <c r="E1023" t="e">
        <f>_xlfn.XLOOKUP($A1023,PROPERTIES[VEHIDCODE],#REF!)</f>
        <v>#REF!</v>
      </c>
      <c r="F1023" s="25" t="str" cm="1">
        <f t="array" ref="F1023">_xlfn.CONCAT(_xlfn.XLOOKUP($A1023,PROPERTIES[VEHIDCODE],PROPERTIES[REGION1]),"_",_xlfn.XLOOKUP($A1023,PROPERTIES[VEHIDCODE],PROPERTIES[REGION2]),"_",_xlfn.XLOOKUP($A1023,PROPERTIES[VEHIDCODE],PROPERTIES[REGION3]&amp;"_"&amp;_xlfn.XLOOKUP($A1023,PROPERTIES[VEHIDCODE],PROPERTIES[REGION4])))</f>
        <v>NON_EUROPEAN_NO_REGION_NO_REGION_NO_REGION</v>
      </c>
      <c r="G1023" t="b">
        <f t="shared" si="135"/>
        <v>1</v>
      </c>
      <c r="H1023" t="b">
        <f t="shared" si="142"/>
        <v>1</v>
      </c>
      <c r="I1023" t="b">
        <f t="shared" si="136"/>
        <v>0</v>
      </c>
      <c r="J1023" t="b">
        <f t="shared" si="143"/>
        <v>0</v>
      </c>
      <c r="K1023" t="b">
        <f t="shared" si="137"/>
        <v>0</v>
      </c>
      <c r="L1023" t="b">
        <f t="shared" si="138"/>
        <v>0</v>
      </c>
      <c r="M1023" t="b">
        <f t="shared" si="139"/>
        <v>1</v>
      </c>
      <c r="N1023" t="b">
        <f t="shared" si="140"/>
        <v>1</v>
      </c>
      <c r="O1023" t="b">
        <f t="shared" si="141"/>
        <v>0</v>
      </c>
    </row>
    <row r="1024" spans="1:15" x14ac:dyDescent="0.35">
      <c r="A1024" t="str">
        <v>mu_Coach_Gen3_Steel_Lightweight_Commuter_Coach</v>
      </c>
      <c r="B1024" t="b" cm="1">
        <f t="array" ref="B1024">_xlfn.XLOOKUP(A1024,CONTROL[VEHIDCODE],PROPERTIES[EXCLUDE])</f>
        <v>0</v>
      </c>
      <c r="C1024" t="b">
        <f>_xlfn.XLOOKUP(A1024,CONTROL[VEHIDCODE],CONTROL[IS_WAGON_OR_COACH])</f>
        <v>1</v>
      </c>
      <c r="D1024">
        <f>FLOOR(_xlfn.XLOOKUP($A1024,PROPERTIES[VEHIDCODE],PROPERTIES[INTRODUCTION_YEAR]),20)</f>
        <v>1940</v>
      </c>
      <c r="E1024" t="e">
        <f>_xlfn.XLOOKUP($A1024,PROPERTIES[VEHIDCODE],#REF!)</f>
        <v>#REF!</v>
      </c>
      <c r="F1024" s="25" t="str" cm="1">
        <f t="array" ref="F1024">_xlfn.CONCAT(_xlfn.XLOOKUP($A1024,PROPERTIES[VEHIDCODE],PROPERTIES[REGION1]),"_",_xlfn.XLOOKUP($A1024,PROPERTIES[VEHIDCODE],PROPERTIES[REGION2]),"_",_xlfn.XLOOKUP($A1024,PROPERTIES[VEHIDCODE],PROPERTIES[REGION3]&amp;"_"&amp;_xlfn.XLOOKUP($A1024,PROPERTIES[VEHIDCODE],PROPERTIES[REGION4])))</f>
        <v>NORTH_AMERICA_NO_REGION_NO_REGION_NO_REGION</v>
      </c>
      <c r="G1024" t="b">
        <f t="shared" si="135"/>
        <v>0</v>
      </c>
      <c r="H1024" t="b">
        <f t="shared" si="142"/>
        <v>0</v>
      </c>
      <c r="I1024" t="b">
        <f t="shared" si="136"/>
        <v>0</v>
      </c>
      <c r="J1024" t="b">
        <f t="shared" si="143"/>
        <v>0</v>
      </c>
      <c r="K1024" t="b">
        <f t="shared" si="137"/>
        <v>0</v>
      </c>
      <c r="L1024" t="b">
        <f t="shared" si="138"/>
        <v>0</v>
      </c>
      <c r="M1024" t="b">
        <f t="shared" si="139"/>
        <v>1</v>
      </c>
      <c r="N1024" t="b">
        <f t="shared" si="140"/>
        <v>0</v>
      </c>
      <c r="O1024" t="b">
        <f t="shared" si="141"/>
        <v>0</v>
      </c>
    </row>
    <row r="1025" spans="1:15" x14ac:dyDescent="0.35">
      <c r="A1025" t="str">
        <v>electric_ALCO_GE_T_Motor</v>
      </c>
      <c r="B1025" t="b" cm="1">
        <f t="array" ref="B1025">_xlfn.XLOOKUP(A1025,CONTROL[VEHIDCODE],PROPERTIES[EXCLUDE])</f>
        <v>0</v>
      </c>
      <c r="C1025" t="b">
        <f>_xlfn.XLOOKUP(A1025,CONTROL[VEHIDCODE],CONTROL[IS_WAGON_OR_COACH])</f>
        <v>0</v>
      </c>
      <c r="D1025">
        <f>FLOOR(_xlfn.XLOOKUP($A1025,PROPERTIES[VEHIDCODE],PROPERTIES[INTRODUCTION_YEAR]),20)</f>
        <v>1900</v>
      </c>
      <c r="E1025" t="e">
        <f>_xlfn.XLOOKUP($A1025,PROPERTIES[VEHIDCODE],#REF!)</f>
        <v>#REF!</v>
      </c>
      <c r="F1025" s="25" t="str" cm="1">
        <f t="array" ref="F1025">_xlfn.CONCAT(_xlfn.XLOOKUP($A1025,PROPERTIES[VEHIDCODE],PROPERTIES[REGION1]),"_",_xlfn.XLOOKUP($A1025,PROPERTIES[VEHIDCODE],PROPERTIES[REGION2]),"_",_xlfn.XLOOKUP($A1025,PROPERTIES[VEHIDCODE],PROPERTIES[REGION3]&amp;"_"&amp;_xlfn.XLOOKUP($A1025,PROPERTIES[VEHIDCODE],PROPERTIES[REGION4])))</f>
        <v>NORTH_AMERICA_NO_REGION_NO_REGION_NO_REGION</v>
      </c>
      <c r="G1025" t="b">
        <f t="shared" si="135"/>
        <v>0</v>
      </c>
      <c r="H1025" t="b">
        <f t="shared" si="142"/>
        <v>0</v>
      </c>
      <c r="I1025" t="b">
        <f t="shared" si="136"/>
        <v>0</v>
      </c>
      <c r="J1025" t="b">
        <f t="shared" si="143"/>
        <v>0</v>
      </c>
      <c r="K1025" t="b">
        <f t="shared" si="137"/>
        <v>0</v>
      </c>
      <c r="L1025" t="b">
        <f t="shared" si="138"/>
        <v>0</v>
      </c>
      <c r="M1025" t="b">
        <f t="shared" si="139"/>
        <v>1</v>
      </c>
      <c r="N1025" t="b">
        <f t="shared" si="140"/>
        <v>0</v>
      </c>
      <c r="O1025" t="b">
        <f t="shared" si="141"/>
        <v>0</v>
      </c>
    </row>
    <row r="1026" spans="1:15" x14ac:dyDescent="0.35">
      <c r="A1026" t="str">
        <v>electric_Altoona_Works_DD1</v>
      </c>
      <c r="B1026" t="b" cm="1">
        <f t="array" ref="B1026">_xlfn.XLOOKUP(A1026,CONTROL[VEHIDCODE],PROPERTIES[EXCLUDE])</f>
        <v>0</v>
      </c>
      <c r="C1026" t="b">
        <f>_xlfn.XLOOKUP(A1026,CONTROL[VEHIDCODE],CONTROL[IS_WAGON_OR_COACH])</f>
        <v>0</v>
      </c>
      <c r="D1026">
        <f>FLOOR(_xlfn.XLOOKUP($A1026,PROPERTIES[VEHIDCODE],PROPERTIES[INTRODUCTION_YEAR]),20)</f>
        <v>1900</v>
      </c>
      <c r="E1026" t="e">
        <f>_xlfn.XLOOKUP($A1026,PROPERTIES[VEHIDCODE],#REF!)</f>
        <v>#REF!</v>
      </c>
      <c r="F1026" s="25" t="str" cm="1">
        <f t="array" ref="F1026">_xlfn.CONCAT(_xlfn.XLOOKUP($A1026,PROPERTIES[VEHIDCODE],PROPERTIES[REGION1]),"_",_xlfn.XLOOKUP($A1026,PROPERTIES[VEHIDCODE],PROPERTIES[REGION2]),"_",_xlfn.XLOOKUP($A1026,PROPERTIES[VEHIDCODE],PROPERTIES[REGION3]&amp;"_"&amp;_xlfn.XLOOKUP($A1026,PROPERTIES[VEHIDCODE],PROPERTIES[REGION4])))</f>
        <v>NORTH_AMERICA_NO_REGION_NO_REGION_NO_REGION</v>
      </c>
      <c r="G1026" t="b">
        <f t="shared" si="135"/>
        <v>0</v>
      </c>
      <c r="H1026" t="b">
        <f t="shared" si="142"/>
        <v>0</v>
      </c>
      <c r="I1026" t="b">
        <f t="shared" si="136"/>
        <v>0</v>
      </c>
      <c r="J1026" t="b">
        <f t="shared" si="143"/>
        <v>0</v>
      </c>
      <c r="K1026" t="b">
        <f t="shared" si="137"/>
        <v>0</v>
      </c>
      <c r="L1026" t="b">
        <f t="shared" si="138"/>
        <v>0</v>
      </c>
      <c r="M1026" t="b">
        <f t="shared" si="139"/>
        <v>1</v>
      </c>
      <c r="N1026" t="b">
        <f t="shared" si="140"/>
        <v>0</v>
      </c>
      <c r="O1026" t="b">
        <f t="shared" si="141"/>
        <v>0</v>
      </c>
    </row>
    <row r="1027" spans="1:15" x14ac:dyDescent="0.35">
      <c r="A1027" t="str">
        <v>emu_PRR_MP_70</v>
      </c>
      <c r="B1027" t="b" cm="1">
        <f t="array" ref="B1027">_xlfn.XLOOKUP(A1027,CONTROL[VEHIDCODE],PROPERTIES[EXCLUDE])</f>
        <v>0</v>
      </c>
      <c r="C1027" t="b">
        <f>_xlfn.XLOOKUP(A1027,CONTROL[VEHIDCODE],CONTROL[IS_WAGON_OR_COACH])</f>
        <v>0</v>
      </c>
      <c r="D1027">
        <f>FLOOR(_xlfn.XLOOKUP($A1027,PROPERTIES[VEHIDCODE],PROPERTIES[INTRODUCTION_YEAR]),20)</f>
        <v>1920</v>
      </c>
      <c r="E1027" t="e">
        <f>_xlfn.XLOOKUP($A1027,PROPERTIES[VEHIDCODE],#REF!)</f>
        <v>#REF!</v>
      </c>
      <c r="F1027" s="25" t="str" cm="1">
        <f t="array" ref="F1027">_xlfn.CONCAT(_xlfn.XLOOKUP($A1027,PROPERTIES[VEHIDCODE],PROPERTIES[REGION1]),"_",_xlfn.XLOOKUP($A1027,PROPERTIES[VEHIDCODE],PROPERTIES[REGION2]),"_",_xlfn.XLOOKUP($A1027,PROPERTIES[VEHIDCODE],PROPERTIES[REGION3]&amp;"_"&amp;_xlfn.XLOOKUP($A1027,PROPERTIES[VEHIDCODE],PROPERTIES[REGION4])))</f>
        <v>NORTH_AMERICA_NO_REGION_NO_REGION_NO_REGION</v>
      </c>
      <c r="G1027" t="b">
        <f t="shared" si="135"/>
        <v>0</v>
      </c>
      <c r="H1027" t="b">
        <f t="shared" si="142"/>
        <v>0</v>
      </c>
      <c r="I1027" t="b">
        <f t="shared" si="136"/>
        <v>0</v>
      </c>
      <c r="J1027" t="b">
        <f t="shared" si="143"/>
        <v>0</v>
      </c>
      <c r="K1027" t="b">
        <f t="shared" si="137"/>
        <v>0</v>
      </c>
      <c r="L1027" t="b">
        <f t="shared" si="138"/>
        <v>0</v>
      </c>
      <c r="M1027" t="b">
        <f t="shared" si="139"/>
        <v>1</v>
      </c>
      <c r="N1027" t="b">
        <f t="shared" si="140"/>
        <v>0</v>
      </c>
      <c r="O1027" t="b">
        <f t="shared" si="141"/>
        <v>0</v>
      </c>
    </row>
    <row r="1028" spans="1:15" x14ac:dyDescent="0.35">
      <c r="A1028" t="str">
        <v>emu_Pullman_Standard_LIRR_MP75</v>
      </c>
      <c r="B1028" t="b" cm="1">
        <f t="array" ref="B1028">_xlfn.XLOOKUP(A1028,CONTROL[VEHIDCODE],PROPERTIES[EXCLUDE])</f>
        <v>0</v>
      </c>
      <c r="C1028" t="b">
        <f>_xlfn.XLOOKUP(A1028,CONTROL[VEHIDCODE],CONTROL[IS_WAGON_OR_COACH])</f>
        <v>0</v>
      </c>
      <c r="D1028">
        <f>FLOOR(_xlfn.XLOOKUP($A1028,PROPERTIES[VEHIDCODE],PROPERTIES[INTRODUCTION_YEAR]),20)</f>
        <v>1960</v>
      </c>
      <c r="E1028" t="e">
        <f>_xlfn.XLOOKUP($A1028,PROPERTIES[VEHIDCODE],#REF!)</f>
        <v>#REF!</v>
      </c>
      <c r="F1028" s="25" t="str" cm="1">
        <f t="array" ref="F1028">_xlfn.CONCAT(_xlfn.XLOOKUP($A1028,PROPERTIES[VEHIDCODE],PROPERTIES[REGION1]),"_",_xlfn.XLOOKUP($A1028,PROPERTIES[VEHIDCODE],PROPERTIES[REGION2]),"_",_xlfn.XLOOKUP($A1028,PROPERTIES[VEHIDCODE],PROPERTIES[REGION3]&amp;"_"&amp;_xlfn.XLOOKUP($A1028,PROPERTIES[VEHIDCODE],PROPERTIES[REGION4])))</f>
        <v>NORTH_AMERICA_NO_REGION_NO_REGION_NO_REGION</v>
      </c>
      <c r="G1028" t="b">
        <f t="shared" si="135"/>
        <v>0</v>
      </c>
      <c r="H1028" t="b">
        <f t="shared" si="142"/>
        <v>0</v>
      </c>
      <c r="I1028" t="b">
        <f t="shared" si="136"/>
        <v>0</v>
      </c>
      <c r="J1028" t="b">
        <f t="shared" si="143"/>
        <v>0</v>
      </c>
      <c r="K1028" t="b">
        <f t="shared" si="137"/>
        <v>0</v>
      </c>
      <c r="L1028" t="b">
        <f t="shared" si="138"/>
        <v>0</v>
      </c>
      <c r="M1028" t="b">
        <f t="shared" si="139"/>
        <v>1</v>
      </c>
      <c r="N1028" t="b">
        <f t="shared" si="140"/>
        <v>0</v>
      </c>
      <c r="O1028" t="b">
        <f t="shared" si="141"/>
        <v>0</v>
      </c>
    </row>
    <row r="1029" spans="1:15" x14ac:dyDescent="0.35">
      <c r="A1029" t="str">
        <v>singlemtro_ACF_NYCC_Heavyweight</v>
      </c>
      <c r="B1029" t="b" cm="1">
        <f t="array" ref="B1029">_xlfn.XLOOKUP(A1029,CONTROL[VEHIDCODE],PROPERTIES[EXCLUDE])</f>
        <v>0</v>
      </c>
      <c r="C1029" t="b">
        <f>_xlfn.XLOOKUP(A1029,CONTROL[VEHIDCODE],CONTROL[IS_WAGON_OR_COACH])</f>
        <v>0</v>
      </c>
      <c r="D1029">
        <f>FLOOR(_xlfn.XLOOKUP($A1029,PROPERTIES[VEHIDCODE],PROPERTIES[INTRODUCTION_YEAR]),20)</f>
        <v>1900</v>
      </c>
      <c r="E1029" t="e">
        <f>_xlfn.XLOOKUP($A1029,PROPERTIES[VEHIDCODE],#REF!)</f>
        <v>#REF!</v>
      </c>
      <c r="F1029" s="25" t="str" cm="1">
        <f t="array" ref="F1029">_xlfn.CONCAT(_xlfn.XLOOKUP($A1029,PROPERTIES[VEHIDCODE],PROPERTIES[REGION1]),"_",_xlfn.XLOOKUP($A1029,PROPERTIES[VEHIDCODE],PROPERTIES[REGION2]),"_",_xlfn.XLOOKUP($A1029,PROPERTIES[VEHIDCODE],PROPERTIES[REGION3]&amp;"_"&amp;_xlfn.XLOOKUP($A1029,PROPERTIES[VEHIDCODE],PROPERTIES[REGION4])))</f>
        <v>NORTH_AMERICA_NO_REGION_NO_REGION_NO_REGION</v>
      </c>
      <c r="G1029" t="b">
        <f t="shared" si="135"/>
        <v>0</v>
      </c>
      <c r="H1029" t="b">
        <f t="shared" si="142"/>
        <v>0</v>
      </c>
      <c r="I1029" t="b">
        <f t="shared" si="136"/>
        <v>0</v>
      </c>
      <c r="J1029" t="b">
        <f t="shared" si="143"/>
        <v>0</v>
      </c>
      <c r="K1029" t="b">
        <f t="shared" si="137"/>
        <v>0</v>
      </c>
      <c r="L1029" t="b">
        <f t="shared" si="138"/>
        <v>0</v>
      </c>
      <c r="M1029" t="b">
        <f t="shared" si="139"/>
        <v>1</v>
      </c>
      <c r="N1029" t="b">
        <f t="shared" si="140"/>
        <v>0</v>
      </c>
      <c r="O1029" t="b">
        <f t="shared" si="141"/>
        <v>0</v>
      </c>
    </row>
    <row r="1030" spans="1:15" x14ac:dyDescent="0.35">
      <c r="A1030" t="str">
        <v>mu_Coach_Gen3_Goerlitz_Doppelstockwagen_Articulated_Coach</v>
      </c>
      <c r="B1030" t="b" cm="1">
        <f t="array" ref="B1030">_xlfn.XLOOKUP(A1030,CONTROL[VEHIDCODE],PROPERTIES[EXCLUDE])</f>
        <v>0</v>
      </c>
      <c r="C1030" t="b">
        <f>_xlfn.XLOOKUP(A1030,CONTROL[VEHIDCODE],CONTROL[IS_WAGON_OR_COACH])</f>
        <v>1</v>
      </c>
      <c r="D1030">
        <f>FLOOR(_xlfn.XLOOKUP($A1030,PROPERTIES[VEHIDCODE],PROPERTIES[INTRODUCTION_YEAR]),20)</f>
        <v>1940</v>
      </c>
      <c r="E1030" t="e">
        <f>_xlfn.XLOOKUP($A1030,PROPERTIES[VEHIDCODE],#REF!)</f>
        <v>#REF!</v>
      </c>
      <c r="F1030" s="25" t="str" cm="1">
        <f t="array" ref="F1030">_xlfn.CONCAT(_xlfn.XLOOKUP($A1030,PROPERTIES[VEHIDCODE],PROPERTIES[REGION1]),"_",_xlfn.XLOOKUP($A1030,PROPERTIES[VEHIDCODE],PROPERTIES[REGION2]),"_",_xlfn.XLOOKUP($A1030,PROPERTIES[VEHIDCODE],PROPERTIES[REGION3]&amp;"_"&amp;_xlfn.XLOOKUP($A1030,PROPERTIES[VEHIDCODE],PROPERTIES[REGION4])))</f>
        <v>OLD_WORLD_NO_REGION_NO_REGION_NO_REGION</v>
      </c>
      <c r="G1030" t="b">
        <f t="shared" si="135"/>
        <v>1</v>
      </c>
      <c r="H1030" t="b">
        <f t="shared" si="142"/>
        <v>1</v>
      </c>
      <c r="I1030" t="b">
        <f t="shared" si="136"/>
        <v>1</v>
      </c>
      <c r="J1030" t="b">
        <f t="shared" si="143"/>
        <v>1</v>
      </c>
      <c r="K1030" t="b">
        <f t="shared" si="137"/>
        <v>1</v>
      </c>
      <c r="L1030" t="b">
        <f t="shared" si="138"/>
        <v>1</v>
      </c>
      <c r="M1030" t="b">
        <f t="shared" si="139"/>
        <v>0</v>
      </c>
      <c r="N1030" t="b">
        <f t="shared" si="140"/>
        <v>0</v>
      </c>
      <c r="O1030" t="b">
        <f t="shared" si="141"/>
        <v>0</v>
      </c>
    </row>
    <row r="1031" spans="1:15" x14ac:dyDescent="0.35">
      <c r="A1031" t="str">
        <v>emu_PRR_MP54_3RL</v>
      </c>
      <c r="B1031" t="b" cm="1">
        <f t="array" ref="B1031">_xlfn.XLOOKUP(A1031,CONTROL[VEHIDCODE],PROPERTIES[EXCLUDE])</f>
        <v>0</v>
      </c>
      <c r="C1031" t="b">
        <f>_xlfn.XLOOKUP(A1031,CONTROL[VEHIDCODE],CONTROL[IS_WAGON_OR_COACH])</f>
        <v>0</v>
      </c>
      <c r="D1031">
        <f>FLOOR(_xlfn.XLOOKUP($A1031,PROPERTIES[VEHIDCODE],PROPERTIES[INTRODUCTION_YEAR]),20)</f>
        <v>1900</v>
      </c>
      <c r="E1031" t="e">
        <f>_xlfn.XLOOKUP($A1031,PROPERTIES[VEHIDCODE],#REF!)</f>
        <v>#REF!</v>
      </c>
      <c r="F1031" s="25" t="str" cm="1">
        <f t="array" ref="F1031">_xlfn.CONCAT(_xlfn.XLOOKUP($A1031,PROPERTIES[VEHIDCODE],PROPERTIES[REGION1]),"_",_xlfn.XLOOKUP($A1031,PROPERTIES[VEHIDCODE],PROPERTIES[REGION2]),"_",_xlfn.XLOOKUP($A1031,PROPERTIES[VEHIDCODE],PROPERTIES[REGION3]&amp;"_"&amp;_xlfn.XLOOKUP($A1031,PROPERTIES[VEHIDCODE],PROPERTIES[REGION4])))</f>
        <v>NORTH_AMERICA_NO_REGION_NO_REGION_NO_REGION</v>
      </c>
      <c r="G1031" t="b">
        <f t="shared" si="135"/>
        <v>0</v>
      </c>
      <c r="H1031" t="b">
        <f t="shared" si="142"/>
        <v>0</v>
      </c>
      <c r="I1031" t="b">
        <f t="shared" si="136"/>
        <v>0</v>
      </c>
      <c r="J1031" t="b">
        <f t="shared" si="143"/>
        <v>0</v>
      </c>
      <c r="K1031" t="b">
        <f t="shared" si="137"/>
        <v>0</v>
      </c>
      <c r="L1031" t="b">
        <f t="shared" si="138"/>
        <v>0</v>
      </c>
      <c r="M1031" t="b">
        <f t="shared" si="139"/>
        <v>1</v>
      </c>
      <c r="N1031" t="b">
        <f t="shared" si="140"/>
        <v>0</v>
      </c>
      <c r="O1031" t="b">
        <f t="shared" si="141"/>
        <v>0</v>
      </c>
    </row>
    <row r="1032" spans="1:15" x14ac:dyDescent="0.35">
      <c r="A1032" t="str">
        <v>emu_PRR_MP54_OHLE</v>
      </c>
      <c r="B1032" t="b" cm="1">
        <f t="array" ref="B1032">_xlfn.XLOOKUP(A1032,CONTROL[VEHIDCODE],PROPERTIES[EXCLUDE])</f>
        <v>0</v>
      </c>
      <c r="C1032" t="b">
        <f>_xlfn.XLOOKUP(A1032,CONTROL[VEHIDCODE],CONTROL[IS_WAGON_OR_COACH])</f>
        <v>0</v>
      </c>
      <c r="D1032">
        <f>FLOOR(_xlfn.XLOOKUP($A1032,PROPERTIES[VEHIDCODE],PROPERTIES[INTRODUCTION_YEAR]),20)</f>
        <v>1900</v>
      </c>
      <c r="E1032" t="e">
        <f>_xlfn.XLOOKUP($A1032,PROPERTIES[VEHIDCODE],#REF!)</f>
        <v>#REF!</v>
      </c>
      <c r="F1032" s="25" t="str" cm="1">
        <f t="array" ref="F1032">_xlfn.CONCAT(_xlfn.XLOOKUP($A1032,PROPERTIES[VEHIDCODE],PROPERTIES[REGION1]),"_",_xlfn.XLOOKUP($A1032,PROPERTIES[VEHIDCODE],PROPERTIES[REGION2]),"_",_xlfn.XLOOKUP($A1032,PROPERTIES[VEHIDCODE],PROPERTIES[REGION3]&amp;"_"&amp;_xlfn.XLOOKUP($A1032,PROPERTIES[VEHIDCODE],PROPERTIES[REGION4])))</f>
        <v>NORTH_AMERICA_NO_REGION_NO_REGION_NO_REGION</v>
      </c>
      <c r="G1032" t="b">
        <f t="shared" si="135"/>
        <v>0</v>
      </c>
      <c r="H1032" t="b">
        <f t="shared" si="142"/>
        <v>0</v>
      </c>
      <c r="I1032" t="b">
        <f t="shared" si="136"/>
        <v>0</v>
      </c>
      <c r="J1032" t="b">
        <f t="shared" si="143"/>
        <v>0</v>
      </c>
      <c r="K1032" t="b">
        <f t="shared" si="137"/>
        <v>0</v>
      </c>
      <c r="L1032" t="b">
        <f t="shared" si="138"/>
        <v>0</v>
      </c>
      <c r="M1032" t="b">
        <f t="shared" si="139"/>
        <v>1</v>
      </c>
      <c r="N1032" t="b">
        <f t="shared" si="140"/>
        <v>0</v>
      </c>
      <c r="O1032" t="b">
        <f t="shared" si="141"/>
        <v>0</v>
      </c>
    </row>
    <row r="1033" spans="1:15" x14ac:dyDescent="0.35">
      <c r="A1033" t="str">
        <v>mu_Coach_Gen2_PRR_MP54_Commuter_Coach</v>
      </c>
      <c r="B1033" t="b" cm="1">
        <f t="array" ref="B1033">_xlfn.XLOOKUP(A1033,CONTROL[VEHIDCODE],PROPERTIES[EXCLUDE])</f>
        <v>0</v>
      </c>
      <c r="C1033" t="b">
        <f>_xlfn.XLOOKUP(A1033,CONTROL[VEHIDCODE],CONTROL[IS_WAGON_OR_COACH])</f>
        <v>1</v>
      </c>
      <c r="D1033">
        <f>FLOOR(_xlfn.XLOOKUP($A1033,PROPERTIES[VEHIDCODE],PROPERTIES[INTRODUCTION_YEAR]),20)</f>
        <v>1900</v>
      </c>
      <c r="E1033" t="e">
        <f>_xlfn.XLOOKUP($A1033,PROPERTIES[VEHIDCODE],#REF!)</f>
        <v>#REF!</v>
      </c>
      <c r="F1033" s="25" t="str" cm="1">
        <f t="array" ref="F1033">_xlfn.CONCAT(_xlfn.XLOOKUP($A1033,PROPERTIES[VEHIDCODE],PROPERTIES[REGION1]),"_",_xlfn.XLOOKUP($A1033,PROPERTIES[VEHIDCODE],PROPERTIES[REGION2]),"_",_xlfn.XLOOKUP($A1033,PROPERTIES[VEHIDCODE],PROPERTIES[REGION3]&amp;"_"&amp;_xlfn.XLOOKUP($A1033,PROPERTIES[VEHIDCODE],PROPERTIES[REGION4])))</f>
        <v>NORTH_AMERICA_NO_REGION_NO_REGION_NO_REGION</v>
      </c>
      <c r="G1033" t="b">
        <f t="shared" si="135"/>
        <v>0</v>
      </c>
      <c r="H1033" t="b">
        <f t="shared" si="142"/>
        <v>0</v>
      </c>
      <c r="I1033" t="b">
        <f t="shared" si="136"/>
        <v>0</v>
      </c>
      <c r="J1033" t="b">
        <f t="shared" si="143"/>
        <v>0</v>
      </c>
      <c r="K1033" t="b">
        <f t="shared" si="137"/>
        <v>0</v>
      </c>
      <c r="L1033" t="b">
        <f t="shared" si="138"/>
        <v>0</v>
      </c>
      <c r="M1033" t="b">
        <f t="shared" si="139"/>
        <v>1</v>
      </c>
      <c r="N1033" t="b">
        <f t="shared" si="140"/>
        <v>0</v>
      </c>
      <c r="O1033" t="b">
        <f t="shared" si="141"/>
        <v>0</v>
      </c>
    </row>
    <row r="1034" spans="1:15" x14ac:dyDescent="0.35">
      <c r="A1034" t="str">
        <v>mu_Coach_Gen2_PRR_MP54_Mail_Coach</v>
      </c>
      <c r="B1034" t="b" cm="1">
        <f t="array" ref="B1034">_xlfn.XLOOKUP(A1034,CONTROL[VEHIDCODE],PROPERTIES[EXCLUDE])</f>
        <v>0</v>
      </c>
      <c r="C1034" t="b">
        <f>_xlfn.XLOOKUP(A1034,CONTROL[VEHIDCODE],CONTROL[IS_WAGON_OR_COACH])</f>
        <v>1</v>
      </c>
      <c r="D1034">
        <f>FLOOR(_xlfn.XLOOKUP($A1034,PROPERTIES[VEHIDCODE],PROPERTIES[INTRODUCTION_YEAR]),20)</f>
        <v>1900</v>
      </c>
      <c r="E1034" t="e">
        <f>_xlfn.XLOOKUP($A1034,PROPERTIES[VEHIDCODE],#REF!)</f>
        <v>#REF!</v>
      </c>
      <c r="F1034" s="25" t="str" cm="1">
        <f t="array" ref="F1034">_xlfn.CONCAT(_xlfn.XLOOKUP($A1034,PROPERTIES[VEHIDCODE],PROPERTIES[REGION1]),"_",_xlfn.XLOOKUP($A1034,PROPERTIES[VEHIDCODE],PROPERTIES[REGION2]),"_",_xlfn.XLOOKUP($A1034,PROPERTIES[VEHIDCODE],PROPERTIES[REGION3]&amp;"_"&amp;_xlfn.XLOOKUP($A1034,PROPERTIES[VEHIDCODE],PROPERTIES[REGION4])))</f>
        <v>NORTH_AMERICA_NO_REGION_NO_REGION_NO_REGION</v>
      </c>
      <c r="G1034" t="b">
        <f t="shared" si="135"/>
        <v>0</v>
      </c>
      <c r="H1034" t="b">
        <f t="shared" si="142"/>
        <v>0</v>
      </c>
      <c r="I1034" t="b">
        <f t="shared" si="136"/>
        <v>0</v>
      </c>
      <c r="J1034" t="b">
        <f t="shared" si="143"/>
        <v>0</v>
      </c>
      <c r="K1034" t="b">
        <f t="shared" si="137"/>
        <v>0</v>
      </c>
      <c r="L1034" t="b">
        <f t="shared" si="138"/>
        <v>0</v>
      </c>
      <c r="M1034" t="b">
        <f t="shared" si="139"/>
        <v>1</v>
      </c>
      <c r="N1034" t="b">
        <f t="shared" si="140"/>
        <v>0</v>
      </c>
      <c r="O1034" t="b">
        <f t="shared" si="141"/>
        <v>0</v>
      </c>
    </row>
    <row r="1035" spans="1:15" x14ac:dyDescent="0.35">
      <c r="A1035" t="str">
        <v>mu_Coach_Gen3_PRR_P70_Bilevel_Coach</v>
      </c>
      <c r="B1035" t="b" cm="1">
        <f t="array" ref="B1035">_xlfn.XLOOKUP(A1035,CONTROL[VEHIDCODE],PROPERTIES[EXCLUDE])</f>
        <v>0</v>
      </c>
      <c r="C1035" t="b">
        <f>_xlfn.XLOOKUP(A1035,CONTROL[VEHIDCODE],CONTROL[IS_WAGON_OR_COACH])</f>
        <v>1</v>
      </c>
      <c r="D1035">
        <f>FLOOR(_xlfn.XLOOKUP($A1035,PROPERTIES[VEHIDCODE],PROPERTIES[INTRODUCTION_YEAR]),20)</f>
        <v>1920</v>
      </c>
      <c r="E1035" t="e">
        <f>_xlfn.XLOOKUP($A1035,PROPERTIES[VEHIDCODE],#REF!)</f>
        <v>#REF!</v>
      </c>
      <c r="F1035" s="25" t="str" cm="1">
        <f t="array" ref="F1035">_xlfn.CONCAT(_xlfn.XLOOKUP($A1035,PROPERTIES[VEHIDCODE],PROPERTIES[REGION1]),"_",_xlfn.XLOOKUP($A1035,PROPERTIES[VEHIDCODE],PROPERTIES[REGION2]),"_",_xlfn.XLOOKUP($A1035,PROPERTIES[VEHIDCODE],PROPERTIES[REGION3]&amp;"_"&amp;_xlfn.XLOOKUP($A1035,PROPERTIES[VEHIDCODE],PROPERTIES[REGION4])))</f>
        <v>NORTH_AMERICA_NO_REGION_NO_REGION_NO_REGION</v>
      </c>
      <c r="G1035" t="b">
        <f t="shared" si="135"/>
        <v>0</v>
      </c>
      <c r="H1035" t="b">
        <f t="shared" si="142"/>
        <v>0</v>
      </c>
      <c r="I1035" t="b">
        <f t="shared" si="136"/>
        <v>0</v>
      </c>
      <c r="J1035" t="b">
        <f t="shared" si="143"/>
        <v>0</v>
      </c>
      <c r="K1035" t="b">
        <f t="shared" si="137"/>
        <v>0</v>
      </c>
      <c r="L1035" t="b">
        <f t="shared" si="138"/>
        <v>0</v>
      </c>
      <c r="M1035" t="b">
        <f t="shared" si="139"/>
        <v>1</v>
      </c>
      <c r="N1035" t="b">
        <f t="shared" si="140"/>
        <v>0</v>
      </c>
      <c r="O1035" t="b">
        <f t="shared" si="141"/>
        <v>0</v>
      </c>
    </row>
    <row r="1036" spans="1:15" x14ac:dyDescent="0.35">
      <c r="A1036" t="str">
        <v>diesel_LTZ_TE10M</v>
      </c>
      <c r="B1036" t="b" cm="1">
        <f t="array" ref="B1036">_xlfn.XLOOKUP(A1036,CONTROL[VEHIDCODE],PROPERTIES[EXCLUDE])</f>
        <v>0</v>
      </c>
      <c r="C1036" t="b">
        <f>_xlfn.XLOOKUP(A1036,CONTROL[VEHIDCODE],CONTROL[IS_WAGON_OR_COACH])</f>
        <v>0</v>
      </c>
      <c r="D1036">
        <f>FLOOR(_xlfn.XLOOKUP($A1036,PROPERTIES[VEHIDCODE],PROPERTIES[INTRODUCTION_YEAR]),20)</f>
        <v>1980</v>
      </c>
      <c r="E1036" t="e">
        <f>_xlfn.XLOOKUP($A1036,PROPERTIES[VEHIDCODE],#REF!)</f>
        <v>#REF!</v>
      </c>
      <c r="F1036" s="25" t="str" cm="1">
        <f t="array" ref="F1036">_xlfn.CONCAT(_xlfn.XLOOKUP($A1036,PROPERTIES[VEHIDCODE],PROPERTIES[REGION1]),"_",_xlfn.XLOOKUP($A1036,PROPERTIES[VEHIDCODE],PROPERTIES[REGION2]),"_",_xlfn.XLOOKUP($A1036,PROPERTIES[VEHIDCODE],PROPERTIES[REGION3]&amp;"_"&amp;_xlfn.XLOOKUP($A1036,PROPERTIES[VEHIDCODE],PROPERTIES[REGION4])))</f>
        <v>POST_SOVIET_BALTIC_NO_REGION_NO_REGION_NO_REGION</v>
      </c>
      <c r="G1036" t="b">
        <f t="shared" si="135"/>
        <v>0</v>
      </c>
      <c r="H1036" t="b">
        <f t="shared" si="142"/>
        <v>1</v>
      </c>
      <c r="I1036" t="b">
        <f t="shared" si="136"/>
        <v>0</v>
      </c>
      <c r="J1036" t="b">
        <f t="shared" si="143"/>
        <v>1</v>
      </c>
      <c r="K1036" t="b">
        <f t="shared" si="137"/>
        <v>0</v>
      </c>
      <c r="L1036" t="b">
        <f t="shared" si="138"/>
        <v>1</v>
      </c>
      <c r="M1036" t="b">
        <f t="shared" si="139"/>
        <v>0</v>
      </c>
      <c r="N1036" t="b">
        <f t="shared" si="140"/>
        <v>0</v>
      </c>
      <c r="O1036" t="b">
        <f t="shared" si="141"/>
        <v>0</v>
      </c>
    </row>
    <row r="1037" spans="1:15" x14ac:dyDescent="0.35">
      <c r="A1037" t="str">
        <v>diesel_LTZ_TE126</v>
      </c>
      <c r="B1037" t="b" cm="1">
        <f t="array" ref="B1037">_xlfn.XLOOKUP(A1037,CONTROL[VEHIDCODE],PROPERTIES[EXCLUDE])</f>
        <v>0</v>
      </c>
      <c r="C1037" t="b">
        <f>_xlfn.XLOOKUP(A1037,CONTROL[VEHIDCODE],CONTROL[IS_WAGON_OR_COACH])</f>
        <v>0</v>
      </c>
      <c r="D1037">
        <f>FLOOR(_xlfn.XLOOKUP($A1037,PROPERTIES[VEHIDCODE],PROPERTIES[INTRODUCTION_YEAR]),20)</f>
        <v>1980</v>
      </c>
      <c r="E1037" t="e">
        <f>_xlfn.XLOOKUP($A1037,PROPERTIES[VEHIDCODE],#REF!)</f>
        <v>#REF!</v>
      </c>
      <c r="F1037" s="25" t="str" cm="1">
        <f t="array" ref="F1037">_xlfn.CONCAT(_xlfn.XLOOKUP($A1037,PROPERTIES[VEHIDCODE],PROPERTIES[REGION1]),"_",_xlfn.XLOOKUP($A1037,PROPERTIES[VEHIDCODE],PROPERTIES[REGION2]),"_",_xlfn.XLOOKUP($A1037,PROPERTIES[VEHIDCODE],PROPERTIES[REGION3]&amp;"_"&amp;_xlfn.XLOOKUP($A1037,PROPERTIES[VEHIDCODE],PROPERTIES[REGION4])))</f>
        <v>COMECON_NO_REGION_NO_REGION_NO_REGION</v>
      </c>
      <c r="G1037" t="b">
        <f t="shared" si="135"/>
        <v>0</v>
      </c>
      <c r="H1037" t="b">
        <f t="shared" si="142"/>
        <v>1</v>
      </c>
      <c r="I1037" t="b">
        <f t="shared" si="136"/>
        <v>0</v>
      </c>
      <c r="J1037" t="b">
        <f t="shared" si="143"/>
        <v>1</v>
      </c>
      <c r="K1037" t="b">
        <f t="shared" si="137"/>
        <v>0</v>
      </c>
      <c r="L1037" t="b">
        <f t="shared" si="138"/>
        <v>0</v>
      </c>
      <c r="M1037" t="b">
        <f t="shared" si="139"/>
        <v>0</v>
      </c>
      <c r="N1037" t="b">
        <f t="shared" si="140"/>
        <v>0</v>
      </c>
      <c r="O1037" t="b">
        <f t="shared" si="141"/>
        <v>0</v>
      </c>
    </row>
    <row r="1038" spans="1:15" x14ac:dyDescent="0.35">
      <c r="A1038" t="str">
        <v>diesel_LTZ_TE10Ut</v>
      </c>
      <c r="B1038" t="b" cm="1">
        <f t="array" ref="B1038">_xlfn.XLOOKUP(A1038,CONTROL[VEHIDCODE],PROPERTIES[EXCLUDE])</f>
        <v>0</v>
      </c>
      <c r="C1038" t="b">
        <f>_xlfn.XLOOKUP(A1038,CONTROL[VEHIDCODE],CONTROL[IS_WAGON_OR_COACH])</f>
        <v>0</v>
      </c>
      <c r="D1038">
        <f>FLOOR(_xlfn.XLOOKUP($A1038,PROPERTIES[VEHIDCODE],PROPERTIES[INTRODUCTION_YEAR]),20)</f>
        <v>1980</v>
      </c>
      <c r="E1038" t="e">
        <f>_xlfn.XLOOKUP($A1038,PROPERTIES[VEHIDCODE],#REF!)</f>
        <v>#REF!</v>
      </c>
      <c r="F1038" s="25" t="str" cm="1">
        <f t="array" ref="F1038">_xlfn.CONCAT(_xlfn.XLOOKUP($A1038,PROPERTIES[VEHIDCODE],PROPERTIES[REGION1]),"_",_xlfn.XLOOKUP($A1038,PROPERTIES[VEHIDCODE],PROPERTIES[REGION2]),"_",_xlfn.XLOOKUP($A1038,PROPERTIES[VEHIDCODE],PROPERTIES[REGION3]&amp;"_"&amp;_xlfn.XLOOKUP($A1038,PROPERTIES[VEHIDCODE],PROPERTIES[REGION4])))</f>
        <v>COMECON_NO_REGION_NO_REGION_NO_REGION</v>
      </c>
      <c r="G1038" t="b">
        <f t="shared" si="135"/>
        <v>0</v>
      </c>
      <c r="H1038" t="b">
        <f t="shared" si="142"/>
        <v>1</v>
      </c>
      <c r="I1038" t="b">
        <f t="shared" si="136"/>
        <v>0</v>
      </c>
      <c r="J1038" t="b">
        <f t="shared" si="143"/>
        <v>1</v>
      </c>
      <c r="K1038" t="b">
        <f t="shared" si="137"/>
        <v>0</v>
      </c>
      <c r="L1038" t="b">
        <f t="shared" si="138"/>
        <v>0</v>
      </c>
      <c r="M1038" t="b">
        <f t="shared" si="139"/>
        <v>0</v>
      </c>
      <c r="N1038" t="b">
        <f t="shared" si="140"/>
        <v>0</v>
      </c>
      <c r="O1038" t="b">
        <f t="shared" si="141"/>
        <v>0</v>
      </c>
    </row>
    <row r="1039" spans="1:15" x14ac:dyDescent="0.35">
      <c r="A1039" t="str">
        <v>rbd_Faur_A20DP</v>
      </c>
      <c r="B1039" t="b" cm="1">
        <f t="array" ref="B1039">_xlfn.XLOOKUP(A1039,CONTROL[VEHIDCODE],PROPERTIES[EXCLUDE])</f>
        <v>0</v>
      </c>
      <c r="C1039" t="b">
        <f>_xlfn.XLOOKUP(A1039,CONTROL[VEHIDCODE],CONTROL[IS_WAGON_OR_COACH])</f>
        <v>0</v>
      </c>
      <c r="D1039">
        <f>FLOOR(_xlfn.XLOOKUP($A1039,PROPERTIES[VEHIDCODE],PROPERTIES[INTRODUCTION_YEAR]),20)</f>
        <v>1980</v>
      </c>
      <c r="E1039" t="e">
        <f>_xlfn.XLOOKUP($A1039,PROPERTIES[VEHIDCODE],#REF!)</f>
        <v>#REF!</v>
      </c>
      <c r="F1039" s="25" t="str" cm="1">
        <f t="array" ref="F1039">_xlfn.CONCAT(_xlfn.XLOOKUP($A1039,PROPERTIES[VEHIDCODE],PROPERTIES[REGION1]),"_",_xlfn.XLOOKUP($A1039,PROPERTIES[VEHIDCODE],PROPERTIES[REGION2]),"_",_xlfn.XLOOKUP($A1039,PROPERTIES[VEHIDCODE],PROPERTIES[REGION3]&amp;"_"&amp;_xlfn.XLOOKUP($A1039,PROPERTIES[VEHIDCODE],PROPERTIES[REGION4])))</f>
        <v>EASTERN_EUROPE_NO_REGION_NO_REGION_NO_REGION</v>
      </c>
      <c r="G1039" t="b">
        <f t="shared" si="135"/>
        <v>0</v>
      </c>
      <c r="H1039" t="b">
        <f t="shared" si="142"/>
        <v>0</v>
      </c>
      <c r="I1039" t="b">
        <f t="shared" si="136"/>
        <v>0</v>
      </c>
      <c r="J1039" t="b">
        <f t="shared" si="143"/>
        <v>1</v>
      </c>
      <c r="K1039" t="b">
        <f t="shared" si="137"/>
        <v>0</v>
      </c>
      <c r="L1039" t="b">
        <f t="shared" si="138"/>
        <v>0</v>
      </c>
      <c r="M1039" t="b">
        <f t="shared" si="139"/>
        <v>0</v>
      </c>
      <c r="N1039" t="b">
        <f t="shared" si="140"/>
        <v>0</v>
      </c>
      <c r="O1039" t="b">
        <f t="shared" si="141"/>
        <v>0</v>
      </c>
    </row>
    <row r="1040" spans="1:15" x14ac:dyDescent="0.35">
      <c r="A1040" t="str">
        <v>mu_Coach_Gen4_Faur_AD20DP_Trailer</v>
      </c>
      <c r="B1040" t="b" cm="1">
        <f t="array" ref="B1040">_xlfn.XLOOKUP(A1040,CONTROL[VEHIDCODE],PROPERTIES[EXCLUDE])</f>
        <v>0</v>
      </c>
      <c r="C1040" t="b">
        <f>_xlfn.XLOOKUP(A1040,CONTROL[VEHIDCODE],CONTROL[IS_WAGON_OR_COACH])</f>
        <v>1</v>
      </c>
      <c r="D1040">
        <f>FLOOR(_xlfn.XLOOKUP($A1040,PROPERTIES[VEHIDCODE],PROPERTIES[INTRODUCTION_YEAR]),20)</f>
        <v>1980</v>
      </c>
      <c r="E1040" t="e">
        <f>_xlfn.XLOOKUP($A1040,PROPERTIES[VEHIDCODE],#REF!)</f>
        <v>#REF!</v>
      </c>
      <c r="F1040" s="25" t="str" cm="1">
        <f t="array" ref="F1040">_xlfn.CONCAT(_xlfn.XLOOKUP($A1040,PROPERTIES[VEHIDCODE],PROPERTIES[REGION1]),"_",_xlfn.XLOOKUP($A1040,PROPERTIES[VEHIDCODE],PROPERTIES[REGION2]),"_",_xlfn.XLOOKUP($A1040,PROPERTIES[VEHIDCODE],PROPERTIES[REGION3]&amp;"_"&amp;_xlfn.XLOOKUP($A1040,PROPERTIES[VEHIDCODE],PROPERTIES[REGION4])))</f>
        <v>EASTERN_EUROPE_NO_REGION_NO_REGION_NO_REGION</v>
      </c>
      <c r="G1040" t="b">
        <f t="shared" si="135"/>
        <v>0</v>
      </c>
      <c r="H1040" t="b">
        <f t="shared" si="142"/>
        <v>0</v>
      </c>
      <c r="I1040" t="b">
        <f t="shared" si="136"/>
        <v>0</v>
      </c>
      <c r="J1040" t="b">
        <f t="shared" si="143"/>
        <v>1</v>
      </c>
      <c r="K1040" t="b">
        <f t="shared" si="137"/>
        <v>0</v>
      </c>
      <c r="L1040" t="b">
        <f t="shared" si="138"/>
        <v>0</v>
      </c>
      <c r="M1040" t="b">
        <f t="shared" si="139"/>
        <v>0</v>
      </c>
      <c r="N1040" t="b">
        <f t="shared" si="140"/>
        <v>0</v>
      </c>
      <c r="O1040" t="b">
        <f t="shared" si="141"/>
        <v>0</v>
      </c>
    </row>
    <row r="1041" spans="1:15" x14ac:dyDescent="0.35">
      <c r="A1041" t="str">
        <v>diesel_Faur_L45H</v>
      </c>
      <c r="B1041" t="b" cm="1">
        <f t="array" ref="B1041">_xlfn.XLOOKUP(A1041,CONTROL[VEHIDCODE],PROPERTIES[EXCLUDE])</f>
        <v>0</v>
      </c>
      <c r="C1041" t="b">
        <f>_xlfn.XLOOKUP(A1041,CONTROL[VEHIDCODE],CONTROL[IS_WAGON_OR_COACH])</f>
        <v>0</v>
      </c>
      <c r="D1041">
        <f>FLOOR(_xlfn.XLOOKUP($A1041,PROPERTIES[VEHIDCODE],PROPERTIES[INTRODUCTION_YEAR]),20)</f>
        <v>1960</v>
      </c>
      <c r="E1041" t="e">
        <f>_xlfn.XLOOKUP($A1041,PROPERTIES[VEHIDCODE],#REF!)</f>
        <v>#REF!</v>
      </c>
      <c r="F1041" s="25" t="str" cm="1">
        <f t="array" ref="F1041">_xlfn.CONCAT(_xlfn.XLOOKUP($A1041,PROPERTIES[VEHIDCODE],PROPERTIES[REGION1]),"_",_xlfn.XLOOKUP($A1041,PROPERTIES[VEHIDCODE],PROPERTIES[REGION2]),"_",_xlfn.XLOOKUP($A1041,PROPERTIES[VEHIDCODE],PROPERTIES[REGION3]&amp;"_"&amp;_xlfn.XLOOKUP($A1041,PROPERTIES[VEHIDCODE],PROPERTIES[REGION4])))</f>
        <v>COMECON_WESTERN_EUROPE_AFRICA_NO_REGION</v>
      </c>
      <c r="G1041" t="b">
        <f t="shared" si="135"/>
        <v>1</v>
      </c>
      <c r="H1041" t="b">
        <f t="shared" si="142"/>
        <v>1</v>
      </c>
      <c r="I1041" t="b">
        <f t="shared" si="136"/>
        <v>0</v>
      </c>
      <c r="J1041" t="b">
        <f t="shared" si="143"/>
        <v>1</v>
      </c>
      <c r="K1041" t="b">
        <f t="shared" si="137"/>
        <v>1</v>
      </c>
      <c r="L1041" t="b">
        <f t="shared" si="138"/>
        <v>0</v>
      </c>
      <c r="M1041" t="b">
        <f t="shared" si="139"/>
        <v>0</v>
      </c>
      <c r="N1041" t="b">
        <f t="shared" si="140"/>
        <v>0</v>
      </c>
      <c r="O1041" t="b">
        <f t="shared" si="141"/>
        <v>0</v>
      </c>
    </row>
    <row r="1042" spans="1:15" x14ac:dyDescent="0.35">
      <c r="A1042" t="str">
        <v>mu_Coach_Gen3_Pafawag_3Aw</v>
      </c>
      <c r="B1042" t="b" cm="1">
        <f t="array" ref="B1042">_xlfn.XLOOKUP(A1042,CONTROL[VEHIDCODE],PROPERTIES[EXCLUDE])</f>
        <v>0</v>
      </c>
      <c r="C1042" t="b">
        <f>_xlfn.XLOOKUP(A1042,CONTROL[VEHIDCODE],CONTROL[IS_WAGON_OR_COACH])</f>
        <v>1</v>
      </c>
      <c r="D1042">
        <f>FLOOR(_xlfn.XLOOKUP($A1042,PROPERTIES[VEHIDCODE],PROPERTIES[INTRODUCTION_YEAR]),20)</f>
        <v>1940</v>
      </c>
      <c r="E1042" t="e">
        <f>_xlfn.XLOOKUP($A1042,PROPERTIES[VEHIDCODE],#REF!)</f>
        <v>#REF!</v>
      </c>
      <c r="F1042" s="25" t="str" cm="1">
        <f t="array" ref="F1042">_xlfn.CONCAT(_xlfn.XLOOKUP($A1042,PROPERTIES[VEHIDCODE],PROPERTIES[REGION1]),"_",_xlfn.XLOOKUP($A1042,PROPERTIES[VEHIDCODE],PROPERTIES[REGION2]),"_",_xlfn.XLOOKUP($A1042,PROPERTIES[VEHIDCODE],PROPERTIES[REGION3]&amp;"_"&amp;_xlfn.XLOOKUP($A1042,PROPERTIES[VEHIDCODE],PROPERTIES[REGION4])))</f>
        <v>COMECON_NO_REGION_NO_REGION_NO_REGION</v>
      </c>
      <c r="G1042" t="b">
        <f t="shared" si="135"/>
        <v>0</v>
      </c>
      <c r="H1042" t="b">
        <f t="shared" si="142"/>
        <v>1</v>
      </c>
      <c r="I1042" t="b">
        <f t="shared" si="136"/>
        <v>0</v>
      </c>
      <c r="J1042" t="b">
        <f t="shared" si="143"/>
        <v>1</v>
      </c>
      <c r="K1042" t="b">
        <f t="shared" si="137"/>
        <v>0</v>
      </c>
      <c r="L1042" t="b">
        <f t="shared" si="138"/>
        <v>0</v>
      </c>
      <c r="M1042" t="b">
        <f t="shared" si="139"/>
        <v>0</v>
      </c>
      <c r="N1042" t="b">
        <f t="shared" si="140"/>
        <v>0</v>
      </c>
      <c r="O1042" t="b">
        <f t="shared" si="141"/>
        <v>0</v>
      </c>
    </row>
    <row r="1043" spans="1:15" x14ac:dyDescent="0.35">
      <c r="A1043" t="str">
        <v>diesel_KMZ_TU7_TGM40</v>
      </c>
      <c r="B1043" t="b" cm="1">
        <f t="array" ref="B1043">_xlfn.XLOOKUP(A1043,CONTROL[VEHIDCODE],PROPERTIES[EXCLUDE])</f>
        <v>0</v>
      </c>
      <c r="C1043" t="b">
        <f>_xlfn.XLOOKUP(A1043,CONTROL[VEHIDCODE],CONTROL[IS_WAGON_OR_COACH])</f>
        <v>0</v>
      </c>
      <c r="D1043">
        <f>FLOOR(_xlfn.XLOOKUP($A1043,PROPERTIES[VEHIDCODE],PROPERTIES[INTRODUCTION_YEAR]),20)</f>
        <v>1960</v>
      </c>
      <c r="E1043" t="e">
        <f>_xlfn.XLOOKUP($A1043,PROPERTIES[VEHIDCODE],#REF!)</f>
        <v>#REF!</v>
      </c>
      <c r="F1043" s="25" t="str" cm="1">
        <f t="array" ref="F1043">_xlfn.CONCAT(_xlfn.XLOOKUP($A1043,PROPERTIES[VEHIDCODE],PROPERTIES[REGION1]),"_",_xlfn.XLOOKUP($A1043,PROPERTIES[VEHIDCODE],PROPERTIES[REGION2]),"_",_xlfn.XLOOKUP($A1043,PROPERTIES[VEHIDCODE],PROPERTIES[REGION3]&amp;"_"&amp;_xlfn.XLOOKUP($A1043,PROPERTIES[VEHIDCODE],PROPERTIES[REGION4])))</f>
        <v>ALL_EUROPE_ASIA_NO_REGION_NO_REGION</v>
      </c>
      <c r="G1043" t="b">
        <f t="shared" si="135"/>
        <v>0</v>
      </c>
      <c r="H1043" t="b">
        <f t="shared" si="142"/>
        <v>1</v>
      </c>
      <c r="I1043" t="b">
        <f t="shared" si="136"/>
        <v>1</v>
      </c>
      <c r="J1043" t="b">
        <f t="shared" si="143"/>
        <v>1</v>
      </c>
      <c r="K1043" t="b">
        <f t="shared" si="137"/>
        <v>1</v>
      </c>
      <c r="L1043" t="b">
        <f t="shared" si="138"/>
        <v>1</v>
      </c>
      <c r="M1043" t="b">
        <f t="shared" si="139"/>
        <v>0</v>
      </c>
      <c r="N1043" t="b">
        <f t="shared" si="140"/>
        <v>0</v>
      </c>
      <c r="O1043" t="b">
        <f t="shared" si="141"/>
        <v>0</v>
      </c>
    </row>
    <row r="1044" spans="1:15" x14ac:dyDescent="0.35">
      <c r="A1044" t="str">
        <v>electric_Alsthom_CC_7100</v>
      </c>
      <c r="B1044" t="b" cm="1">
        <f t="array" ref="B1044">_xlfn.XLOOKUP(A1044,CONTROL[VEHIDCODE],PROPERTIES[EXCLUDE])</f>
        <v>0</v>
      </c>
      <c r="C1044" t="b">
        <f>_xlfn.XLOOKUP(A1044,CONTROL[VEHIDCODE],CONTROL[IS_WAGON_OR_COACH])</f>
        <v>0</v>
      </c>
      <c r="D1044">
        <f>FLOOR(_xlfn.XLOOKUP($A1044,PROPERTIES[VEHIDCODE],PROPERTIES[INTRODUCTION_YEAR]),20)</f>
        <v>1940</v>
      </c>
      <c r="E1044" t="e">
        <f>_xlfn.XLOOKUP($A1044,PROPERTIES[VEHIDCODE],#REF!)</f>
        <v>#REF!</v>
      </c>
      <c r="F1044" s="25" t="str" cm="1">
        <f t="array" ref="F1044">_xlfn.CONCAT(_xlfn.XLOOKUP($A1044,PROPERTIES[VEHIDCODE],PROPERTIES[REGION1]),"_",_xlfn.XLOOKUP($A1044,PROPERTIES[VEHIDCODE],PROPERTIES[REGION2]),"_",_xlfn.XLOOKUP($A1044,PROPERTIES[VEHIDCODE],PROPERTIES[REGION3]&amp;"_"&amp;_xlfn.XLOOKUP($A1044,PROPERTIES[VEHIDCODE],PROPERTIES[REGION4])))</f>
        <v>WESTERN_EUROPE_AFRICA_SOUTHERN_EUROPE_NO_REGION</v>
      </c>
      <c r="G1044" t="b">
        <f t="shared" si="135"/>
        <v>1</v>
      </c>
      <c r="H1044" t="b">
        <f t="shared" si="142"/>
        <v>0</v>
      </c>
      <c r="I1044" t="b">
        <f t="shared" si="136"/>
        <v>1</v>
      </c>
      <c r="J1044" t="b">
        <f t="shared" si="143"/>
        <v>0</v>
      </c>
      <c r="K1044" t="b">
        <f t="shared" si="137"/>
        <v>1</v>
      </c>
      <c r="L1044" t="b">
        <f t="shared" si="138"/>
        <v>0</v>
      </c>
      <c r="M1044" t="b">
        <f t="shared" si="139"/>
        <v>0</v>
      </c>
      <c r="N1044" t="b">
        <f t="shared" si="140"/>
        <v>0</v>
      </c>
      <c r="O1044" t="b">
        <f t="shared" si="141"/>
        <v>0</v>
      </c>
    </row>
    <row r="1045" spans="1:15" x14ac:dyDescent="0.35">
      <c r="A1045" t="str">
        <v>electric_Alsthom_F_Series</v>
      </c>
      <c r="B1045" t="b" cm="1">
        <f t="array" ref="B1045">_xlfn.XLOOKUP(A1045,CONTROL[VEHIDCODE],PROPERTIES[EXCLUDE])</f>
        <v>0</v>
      </c>
      <c r="C1045" t="b">
        <f>_xlfn.XLOOKUP(A1045,CONTROL[VEHIDCODE],CONTROL[IS_WAGON_OR_COACH])</f>
        <v>0</v>
      </c>
      <c r="D1045">
        <f>FLOOR(_xlfn.XLOOKUP($A1045,PROPERTIES[VEHIDCODE],PROPERTIES[INTRODUCTION_YEAR]),20)</f>
        <v>1940</v>
      </c>
      <c r="E1045" t="e">
        <f>_xlfn.XLOOKUP($A1045,PROPERTIES[VEHIDCODE],#REF!)</f>
        <v>#REF!</v>
      </c>
      <c r="F1045" s="25" t="str" cm="1">
        <f t="array" ref="F1045">_xlfn.CONCAT(_xlfn.XLOOKUP($A1045,PROPERTIES[VEHIDCODE],PROPERTIES[REGION1]),"_",_xlfn.XLOOKUP($A1045,PROPERTIES[VEHIDCODE],PROPERTIES[REGION2]),"_",_xlfn.XLOOKUP($A1045,PROPERTIES[VEHIDCODE],PROPERTIES[REGION3]&amp;"_"&amp;_xlfn.XLOOKUP($A1045,PROPERTIES[VEHIDCODE],PROPERTIES[REGION4])))</f>
        <v>EASTERN_EUROPE_ASIA_NO_REGION_NO_REGION</v>
      </c>
      <c r="G1045" t="b">
        <f t="shared" si="135"/>
        <v>0</v>
      </c>
      <c r="H1045" t="b">
        <f t="shared" si="142"/>
        <v>1</v>
      </c>
      <c r="I1045" t="b">
        <f t="shared" si="136"/>
        <v>0</v>
      </c>
      <c r="J1045" t="b">
        <f t="shared" si="143"/>
        <v>1</v>
      </c>
      <c r="K1045" t="b">
        <f t="shared" si="137"/>
        <v>0</v>
      </c>
      <c r="L1045" t="b">
        <f t="shared" si="138"/>
        <v>0</v>
      </c>
      <c r="M1045" t="b">
        <f t="shared" si="139"/>
        <v>0</v>
      </c>
      <c r="N1045" t="b">
        <f t="shared" si="140"/>
        <v>0</v>
      </c>
      <c r="O1045" t="b">
        <f t="shared" si="141"/>
        <v>0</v>
      </c>
    </row>
    <row r="1046" spans="1:15" x14ac:dyDescent="0.35">
      <c r="A1046" t="str">
        <v>electric_Siemens_Vectron_MS</v>
      </c>
      <c r="B1046" t="b" cm="1">
        <f t="array" ref="B1046">_xlfn.XLOOKUP(A1046,CONTROL[VEHIDCODE],PROPERTIES[EXCLUDE])</f>
        <v>0</v>
      </c>
      <c r="C1046" t="b">
        <f>_xlfn.XLOOKUP(A1046,CONTROL[VEHIDCODE],CONTROL[IS_WAGON_OR_COACH])</f>
        <v>0</v>
      </c>
      <c r="D1046">
        <f>FLOOR(_xlfn.XLOOKUP($A1046,PROPERTIES[VEHIDCODE],PROPERTIES[INTRODUCTION_YEAR]),20)</f>
        <v>2000</v>
      </c>
      <c r="E1046" t="e">
        <f>_xlfn.XLOOKUP($A1046,PROPERTIES[VEHIDCODE],#REF!)</f>
        <v>#REF!</v>
      </c>
      <c r="F1046" s="25" t="str" cm="1">
        <f t="array" ref="F1046">_xlfn.CONCAT(_xlfn.XLOOKUP($A1046,PROPERTIES[VEHIDCODE],PROPERTIES[REGION1]),"_",_xlfn.XLOOKUP($A1046,PROPERTIES[VEHIDCODE],PROPERTIES[REGION2]),"_",_xlfn.XLOOKUP($A1046,PROPERTIES[VEHIDCODE],PROPERTIES[REGION3]&amp;"_"&amp;_xlfn.XLOOKUP($A1046,PROPERTIES[VEHIDCODE],PROPERTIES[REGION4])))</f>
        <v>ALL_EUROPE_NO_REGION_NO_REGION_NO_REGION</v>
      </c>
      <c r="G1046" t="b">
        <f t="shared" si="135"/>
        <v>0</v>
      </c>
      <c r="H1046" t="b">
        <f t="shared" si="142"/>
        <v>0</v>
      </c>
      <c r="I1046" t="b">
        <f t="shared" si="136"/>
        <v>1</v>
      </c>
      <c r="J1046" t="b">
        <f t="shared" si="143"/>
        <v>1</v>
      </c>
      <c r="K1046" t="b">
        <f t="shared" si="137"/>
        <v>1</v>
      </c>
      <c r="L1046" t="b">
        <f t="shared" si="138"/>
        <v>1</v>
      </c>
      <c r="M1046" t="b">
        <f t="shared" si="139"/>
        <v>0</v>
      </c>
      <c r="N1046" t="b">
        <f t="shared" si="140"/>
        <v>0</v>
      </c>
      <c r="O1046" t="b">
        <f t="shared" si="141"/>
        <v>0</v>
      </c>
    </row>
    <row r="1047" spans="1:15" x14ac:dyDescent="0.35">
      <c r="A1047" t="str">
        <v>diesel_Siemens_Vectron_DE</v>
      </c>
      <c r="B1047" t="b" cm="1">
        <f t="array" ref="B1047">_xlfn.XLOOKUP(A1047,CONTROL[VEHIDCODE],PROPERTIES[EXCLUDE])</f>
        <v>0</v>
      </c>
      <c r="C1047" t="b">
        <f>_xlfn.XLOOKUP(A1047,CONTROL[VEHIDCODE],CONTROL[IS_WAGON_OR_COACH])</f>
        <v>0</v>
      </c>
      <c r="D1047">
        <f>FLOOR(_xlfn.XLOOKUP($A1047,PROPERTIES[VEHIDCODE],PROPERTIES[INTRODUCTION_YEAR]),20)</f>
        <v>2000</v>
      </c>
      <c r="E1047" t="e">
        <f>_xlfn.XLOOKUP($A1047,PROPERTIES[VEHIDCODE],#REF!)</f>
        <v>#REF!</v>
      </c>
      <c r="F1047" s="25" t="str" cm="1">
        <f t="array" ref="F1047">_xlfn.CONCAT(_xlfn.XLOOKUP($A1047,PROPERTIES[VEHIDCODE],PROPERTIES[REGION1]),"_",_xlfn.XLOOKUP($A1047,PROPERTIES[VEHIDCODE],PROPERTIES[REGION2]),"_",_xlfn.XLOOKUP($A1047,PROPERTIES[VEHIDCODE],PROPERTIES[REGION3]&amp;"_"&amp;_xlfn.XLOOKUP($A1047,PROPERTIES[VEHIDCODE],PROPERTIES[REGION4])))</f>
        <v>ALL_EUROPE_NO_REGION_NO_REGION_NO_REGION</v>
      </c>
      <c r="G1047" t="b">
        <f t="shared" si="135"/>
        <v>0</v>
      </c>
      <c r="H1047" t="b">
        <f t="shared" si="142"/>
        <v>0</v>
      </c>
      <c r="I1047" t="b">
        <f t="shared" si="136"/>
        <v>1</v>
      </c>
      <c r="J1047" t="b">
        <f t="shared" si="143"/>
        <v>1</v>
      </c>
      <c r="K1047" t="b">
        <f t="shared" si="137"/>
        <v>1</v>
      </c>
      <c r="L1047" t="b">
        <f t="shared" si="138"/>
        <v>1</v>
      </c>
      <c r="M1047" t="b">
        <f t="shared" si="139"/>
        <v>0</v>
      </c>
      <c r="N1047" t="b">
        <f t="shared" si="140"/>
        <v>0</v>
      </c>
      <c r="O1047" t="b">
        <f t="shared" si="141"/>
        <v>0</v>
      </c>
    </row>
    <row r="1048" spans="1:15" x14ac:dyDescent="0.35">
      <c r="A1048" t="str">
        <v>electric_Siemens_Vectron_Dual_Mode</v>
      </c>
      <c r="B1048" t="b" cm="1">
        <f t="array" ref="B1048">_xlfn.XLOOKUP(A1048,CONTROL[VEHIDCODE],PROPERTIES[EXCLUDE])</f>
        <v>0</v>
      </c>
      <c r="C1048" t="b">
        <f>_xlfn.XLOOKUP(A1048,CONTROL[VEHIDCODE],CONTROL[IS_WAGON_OR_COACH])</f>
        <v>0</v>
      </c>
      <c r="D1048">
        <f>FLOOR(_xlfn.XLOOKUP($A1048,PROPERTIES[VEHIDCODE],PROPERTIES[INTRODUCTION_YEAR]),20)</f>
        <v>2020</v>
      </c>
      <c r="E1048" t="e">
        <f>_xlfn.XLOOKUP($A1048,PROPERTIES[VEHIDCODE],#REF!)</f>
        <v>#REF!</v>
      </c>
      <c r="F1048" s="25" t="str" cm="1">
        <f t="array" ref="F1048">_xlfn.CONCAT(_xlfn.XLOOKUP($A1048,PROPERTIES[VEHIDCODE],PROPERTIES[REGION1]),"_",_xlfn.XLOOKUP($A1048,PROPERTIES[VEHIDCODE],PROPERTIES[REGION2]),"_",_xlfn.XLOOKUP($A1048,PROPERTIES[VEHIDCODE],PROPERTIES[REGION3]&amp;"_"&amp;_xlfn.XLOOKUP($A1048,PROPERTIES[VEHIDCODE],PROPERTIES[REGION4])))</f>
        <v>WESTERN_EUROPE_NO_REGION_NO_REGION_NO_REGION</v>
      </c>
      <c r="G1048" t="b">
        <f t="shared" si="135"/>
        <v>0</v>
      </c>
      <c r="H1048" t="b">
        <f t="shared" si="142"/>
        <v>0</v>
      </c>
      <c r="I1048" t="b">
        <f t="shared" si="136"/>
        <v>0</v>
      </c>
      <c r="J1048" t="b">
        <f t="shared" si="143"/>
        <v>0</v>
      </c>
      <c r="K1048" t="b">
        <f t="shared" si="137"/>
        <v>1</v>
      </c>
      <c r="L1048" t="b">
        <f t="shared" si="138"/>
        <v>0</v>
      </c>
      <c r="M1048" t="b">
        <f t="shared" si="139"/>
        <v>0</v>
      </c>
      <c r="N1048" t="b">
        <f t="shared" si="140"/>
        <v>0</v>
      </c>
      <c r="O1048" t="b">
        <f t="shared" si="141"/>
        <v>0</v>
      </c>
    </row>
    <row r="1049" spans="1:15" x14ac:dyDescent="0.35">
      <c r="A1049" t="str">
        <v>steam_Tours_Chapelon_2_12_0_160A</v>
      </c>
      <c r="B1049" t="b" cm="1">
        <f t="array" ref="B1049">_xlfn.XLOOKUP(A1049,CONTROL[VEHIDCODE],PROPERTIES[EXCLUDE])</f>
        <v>0</v>
      </c>
      <c r="C1049" t="b">
        <f>_xlfn.XLOOKUP(A1049,CONTROL[VEHIDCODE],CONTROL[IS_WAGON_OR_COACH])</f>
        <v>0</v>
      </c>
      <c r="D1049">
        <f>FLOOR(_xlfn.XLOOKUP($A1049,PROPERTIES[VEHIDCODE],PROPERTIES[INTRODUCTION_YEAR]),20)</f>
        <v>1940</v>
      </c>
      <c r="E1049" t="e">
        <f>_xlfn.XLOOKUP($A1049,PROPERTIES[VEHIDCODE],#REF!)</f>
        <v>#REF!</v>
      </c>
      <c r="F1049" s="25" t="str" cm="1">
        <f t="array" ref="F1049">_xlfn.CONCAT(_xlfn.XLOOKUP($A1049,PROPERTIES[VEHIDCODE],PROPERTIES[REGION1]),"_",_xlfn.XLOOKUP($A1049,PROPERTIES[VEHIDCODE],PROPERTIES[REGION2]),"_",_xlfn.XLOOKUP($A1049,PROPERTIES[VEHIDCODE],PROPERTIES[REGION3]&amp;"_"&amp;_xlfn.XLOOKUP($A1049,PROPERTIES[VEHIDCODE],PROPERTIES[REGION4])))</f>
        <v>WESTERN_EUROPE_NO_REGION_NO_REGION_NO_REGION</v>
      </c>
      <c r="G1049" t="b">
        <f t="shared" si="135"/>
        <v>0</v>
      </c>
      <c r="H1049" t="b">
        <f t="shared" si="142"/>
        <v>0</v>
      </c>
      <c r="I1049" t="b">
        <f t="shared" si="136"/>
        <v>0</v>
      </c>
      <c r="J1049" t="b">
        <f t="shared" si="143"/>
        <v>0</v>
      </c>
      <c r="K1049" t="b">
        <f t="shared" si="137"/>
        <v>1</v>
      </c>
      <c r="L1049" t="b">
        <f t="shared" si="138"/>
        <v>0</v>
      </c>
      <c r="M1049" t="b">
        <f t="shared" si="139"/>
        <v>0</v>
      </c>
      <c r="N1049" t="b">
        <f t="shared" si="140"/>
        <v>0</v>
      </c>
      <c r="O1049" t="b">
        <f t="shared" si="141"/>
        <v>0</v>
      </c>
    </row>
    <row r="1050" spans="1:15" x14ac:dyDescent="0.35">
      <c r="A1050" t="str">
        <v>diesel_LTZ_TE166</v>
      </c>
      <c r="B1050" t="b" cm="1">
        <f t="array" ref="B1050">_xlfn.XLOOKUP(A1050,CONTROL[VEHIDCODE],PROPERTIES[EXCLUDE])</f>
        <v>0</v>
      </c>
      <c r="C1050" t="b">
        <f>_xlfn.XLOOKUP(A1050,CONTROL[VEHIDCODE],CONTROL[IS_WAGON_OR_COACH])</f>
        <v>0</v>
      </c>
      <c r="D1050">
        <f>FLOOR(_xlfn.XLOOKUP($A1050,PROPERTIES[VEHIDCODE],PROPERTIES[INTRODUCTION_YEAR]),20)</f>
        <v>1960</v>
      </c>
      <c r="E1050" t="e">
        <f>_xlfn.XLOOKUP($A1050,PROPERTIES[VEHIDCODE],#REF!)</f>
        <v>#REF!</v>
      </c>
      <c r="F1050" s="25" t="str" cm="1">
        <f t="array" ref="F1050">_xlfn.CONCAT(_xlfn.XLOOKUP($A1050,PROPERTIES[VEHIDCODE],PROPERTIES[REGION1]),"_",_xlfn.XLOOKUP($A1050,PROPERTIES[VEHIDCODE],PROPERTIES[REGION2]),"_",_xlfn.XLOOKUP($A1050,PROPERTIES[VEHIDCODE],PROPERTIES[REGION3]&amp;"_"&amp;_xlfn.XLOOKUP($A1050,PROPERTIES[VEHIDCODE],PROPERTIES[REGION4])))</f>
        <v>COMECON_NO_REGION_NO_REGION_NO_REGION</v>
      </c>
      <c r="G1050" t="b">
        <f t="shared" si="135"/>
        <v>0</v>
      </c>
      <c r="H1050" t="b">
        <f t="shared" si="142"/>
        <v>1</v>
      </c>
      <c r="I1050" t="b">
        <f t="shared" si="136"/>
        <v>0</v>
      </c>
      <c r="J1050" t="b">
        <f t="shared" si="143"/>
        <v>1</v>
      </c>
      <c r="K1050" t="b">
        <f t="shared" si="137"/>
        <v>0</v>
      </c>
      <c r="L1050" t="b">
        <f t="shared" si="138"/>
        <v>0</v>
      </c>
      <c r="M1050" t="b">
        <f t="shared" si="139"/>
        <v>0</v>
      </c>
      <c r="N1050" t="b">
        <f t="shared" si="140"/>
        <v>0</v>
      </c>
      <c r="O1050" t="b">
        <f t="shared" si="141"/>
        <v>0</v>
      </c>
    </row>
    <row r="1051" spans="1:15" x14ac:dyDescent="0.35">
      <c r="A1051" t="str">
        <v>rbd_Ganz_MAVAG_SN61</v>
      </c>
      <c r="B1051" t="b" cm="1">
        <f t="array" ref="B1051">_xlfn.XLOOKUP(A1051,CONTROL[VEHIDCODE],PROPERTIES[EXCLUDE])</f>
        <v>0</v>
      </c>
      <c r="C1051" t="b">
        <f>_xlfn.XLOOKUP(A1051,CONTROL[VEHIDCODE],CONTROL[IS_WAGON_OR_COACH])</f>
        <v>0</v>
      </c>
      <c r="D1051">
        <f>FLOOR(_xlfn.XLOOKUP($A1051,PROPERTIES[VEHIDCODE],PROPERTIES[INTRODUCTION_YEAR]),20)</f>
        <v>1960</v>
      </c>
      <c r="E1051" t="e">
        <f>_xlfn.XLOOKUP($A1051,PROPERTIES[VEHIDCODE],#REF!)</f>
        <v>#REF!</v>
      </c>
      <c r="F1051" s="25" t="str" cm="1">
        <f t="array" ref="F1051">_xlfn.CONCAT(_xlfn.XLOOKUP($A1051,PROPERTIES[VEHIDCODE],PROPERTIES[REGION1]),"_",_xlfn.XLOOKUP($A1051,PROPERTIES[VEHIDCODE],PROPERTIES[REGION2]),"_",_xlfn.XLOOKUP($A1051,PROPERTIES[VEHIDCODE],PROPERTIES[REGION3]&amp;"_"&amp;_xlfn.XLOOKUP($A1051,PROPERTIES[VEHIDCODE],PROPERTIES[REGION4])))</f>
        <v>EASTERN_EUROPE_NO_REGION_NO_REGION_NO_REGION</v>
      </c>
      <c r="G1051" t="b">
        <f t="shared" si="135"/>
        <v>0</v>
      </c>
      <c r="H1051" t="b">
        <f t="shared" si="142"/>
        <v>0</v>
      </c>
      <c r="I1051" t="b">
        <f t="shared" si="136"/>
        <v>0</v>
      </c>
      <c r="J1051" t="b">
        <f t="shared" si="143"/>
        <v>1</v>
      </c>
      <c r="K1051" t="b">
        <f t="shared" si="137"/>
        <v>0</v>
      </c>
      <c r="L1051" t="b">
        <f t="shared" si="138"/>
        <v>0</v>
      </c>
      <c r="M1051" t="b">
        <f t="shared" si="139"/>
        <v>0</v>
      </c>
      <c r="N1051" t="b">
        <f t="shared" si="140"/>
        <v>0</v>
      </c>
      <c r="O1051" t="b">
        <f t="shared" si="141"/>
        <v>0</v>
      </c>
    </row>
    <row r="1052" spans="1:15" x14ac:dyDescent="0.35">
      <c r="B1052" t="e" cm="1">
        <f t="array" ref="B1052">_xlfn.XLOOKUP(A1052,CONTROL[VEHIDCODE],PROPERTIES[EXCLUDE])</f>
        <v>#N/A</v>
      </c>
      <c r="C1052" t="e">
        <f>_xlfn.XLOOKUP(A1052,CONTROL[VEHIDCODE],CONTROL[IS_WAGON_OR_COACH])</f>
        <v>#N/A</v>
      </c>
      <c r="D1052" t="e">
        <f>FLOOR(_xlfn.XLOOKUP($A1052,PROPERTIES[VEHIDCODE],PROPERTIES[INTRODUCTION_YEAR]),20)</f>
        <v>#N/A</v>
      </c>
      <c r="E1052" t="e">
        <f>_xlfn.XLOOKUP($A1052,PROPERTIES[VEHIDCODE],#REF!)</f>
        <v>#REF!</v>
      </c>
      <c r="F1052" s="25" t="e" cm="1">
        <f t="array" ref="F1052">_xlfn.CONCAT(_xlfn.XLOOKUP($A1052,PROPERTIES[VEHIDCODE],PROPERTIES[REGION1]),"_",_xlfn.XLOOKUP($A1052,PROPERTIES[VEHIDCODE],PROPERTIES[REGION2]),"_",_xlfn.XLOOKUP($A1052,PROPERTIES[VEHIDCODE],PROPERTIES[REGION3]&amp;"_"&amp;_xlfn.XLOOKUP($A1052,PROPERTIES[VEHIDCODE],PROPERTIES[REGION4])))</f>
        <v>#N/A</v>
      </c>
      <c r="G1052" t="b">
        <f t="shared" si="135"/>
        <v>0</v>
      </c>
      <c r="H1052" t="b">
        <f t="shared" si="142"/>
        <v>0</v>
      </c>
      <c r="I1052" t="b">
        <f t="shared" si="136"/>
        <v>0</v>
      </c>
      <c r="J1052" t="b">
        <f t="shared" si="143"/>
        <v>0</v>
      </c>
      <c r="K1052" t="b">
        <f t="shared" si="137"/>
        <v>0</v>
      </c>
      <c r="L1052" t="b">
        <f t="shared" si="138"/>
        <v>0</v>
      </c>
      <c r="M1052" t="b">
        <f t="shared" si="139"/>
        <v>0</v>
      </c>
      <c r="N1052" t="b">
        <f t="shared" si="140"/>
        <v>0</v>
      </c>
      <c r="O1052" t="b">
        <f t="shared" si="141"/>
        <v>0</v>
      </c>
    </row>
    <row r="1053" spans="1:15" x14ac:dyDescent="0.35">
      <c r="B1053" t="e" cm="1">
        <f t="array" ref="B1053">_xlfn.XLOOKUP(A1053,CONTROL[VEHIDCODE],PROPERTIES[EXCLUDE])</f>
        <v>#N/A</v>
      </c>
      <c r="C1053" t="e">
        <f>_xlfn.XLOOKUP(A1053,CONTROL[VEHIDCODE],CONTROL[IS_WAGON_OR_COACH])</f>
        <v>#N/A</v>
      </c>
      <c r="D1053" t="e">
        <f>FLOOR(_xlfn.XLOOKUP($A1053,PROPERTIES[VEHIDCODE],PROPERTIES[INTRODUCTION_YEAR]),20)</f>
        <v>#N/A</v>
      </c>
      <c r="E1053" t="e">
        <f>_xlfn.XLOOKUP($A1053,PROPERTIES[VEHIDCODE],#REF!)</f>
        <v>#REF!</v>
      </c>
      <c r="F1053" s="25" t="e" cm="1">
        <f t="array" ref="F1053">_xlfn.CONCAT(_xlfn.XLOOKUP($A1053,PROPERTIES[VEHIDCODE],PROPERTIES[REGION1]),"_",_xlfn.XLOOKUP($A1053,PROPERTIES[VEHIDCODE],PROPERTIES[REGION2]),"_",_xlfn.XLOOKUP($A1053,PROPERTIES[VEHIDCODE],PROPERTIES[REGION3]&amp;"_"&amp;_xlfn.XLOOKUP($A1053,PROPERTIES[VEHIDCODE],PROPERTIES[REGION4])))</f>
        <v>#N/A</v>
      </c>
      <c r="G1053" t="b">
        <f t="shared" si="135"/>
        <v>0</v>
      </c>
      <c r="H1053" t="b">
        <f t="shared" si="142"/>
        <v>0</v>
      </c>
      <c r="I1053" t="b">
        <f t="shared" si="136"/>
        <v>0</v>
      </c>
      <c r="J1053" t="b">
        <f t="shared" si="143"/>
        <v>0</v>
      </c>
      <c r="K1053" t="b">
        <f t="shared" si="137"/>
        <v>0</v>
      </c>
      <c r="L1053" t="b">
        <f t="shared" si="138"/>
        <v>0</v>
      </c>
      <c r="M1053" t="b">
        <f t="shared" si="139"/>
        <v>0</v>
      </c>
      <c r="N1053" t="b">
        <f t="shared" si="140"/>
        <v>0</v>
      </c>
      <c r="O1053" t="b">
        <f t="shared" si="141"/>
        <v>0</v>
      </c>
    </row>
    <row r="1054" spans="1:15" x14ac:dyDescent="0.35">
      <c r="B1054" t="e" cm="1">
        <f t="array" ref="B1054">_xlfn.XLOOKUP(A1054,CONTROL[VEHIDCODE],PROPERTIES[EXCLUDE])</f>
        <v>#N/A</v>
      </c>
      <c r="C1054" t="e">
        <f>_xlfn.XLOOKUP(A1054,CONTROL[VEHIDCODE],CONTROL[IS_WAGON_OR_COACH])</f>
        <v>#N/A</v>
      </c>
      <c r="D1054" t="e">
        <f>FLOOR(_xlfn.XLOOKUP($A1054,PROPERTIES[VEHIDCODE],PROPERTIES[INTRODUCTION_YEAR]),20)</f>
        <v>#N/A</v>
      </c>
      <c r="E1054" t="e">
        <f>_xlfn.XLOOKUP($A1054,PROPERTIES[VEHIDCODE],#REF!)</f>
        <v>#REF!</v>
      </c>
      <c r="F1054" s="25" t="e" cm="1">
        <f t="array" ref="F1054">_xlfn.CONCAT(_xlfn.XLOOKUP($A1054,PROPERTIES[VEHIDCODE],PROPERTIES[REGION1]),"_",_xlfn.XLOOKUP($A1054,PROPERTIES[VEHIDCODE],PROPERTIES[REGION2]),"_",_xlfn.XLOOKUP($A1054,PROPERTIES[VEHIDCODE],PROPERTIES[REGION3]&amp;"_"&amp;_xlfn.XLOOKUP($A1054,PROPERTIES[VEHIDCODE],PROPERTIES[REGION4])))</f>
        <v>#N/A</v>
      </c>
      <c r="G1054" t="b">
        <f t="shared" si="135"/>
        <v>0</v>
      </c>
      <c r="H1054" t="b">
        <f t="shared" si="142"/>
        <v>0</v>
      </c>
      <c r="I1054" t="b">
        <f t="shared" si="136"/>
        <v>0</v>
      </c>
      <c r="J1054" t="b">
        <f t="shared" si="143"/>
        <v>0</v>
      </c>
      <c r="K1054" t="b">
        <f t="shared" si="137"/>
        <v>0</v>
      </c>
      <c r="L1054" t="b">
        <f t="shared" si="138"/>
        <v>0</v>
      </c>
      <c r="M1054" t="b">
        <f t="shared" si="139"/>
        <v>0</v>
      </c>
      <c r="N1054" t="b">
        <f t="shared" si="140"/>
        <v>0</v>
      </c>
      <c r="O1054" t="b">
        <f t="shared" si="141"/>
        <v>0</v>
      </c>
    </row>
    <row r="1055" spans="1:15" x14ac:dyDescent="0.35">
      <c r="B1055" t="e" cm="1">
        <f t="array" ref="B1055">_xlfn.XLOOKUP(A1055,CONTROL[VEHIDCODE],PROPERTIES[EXCLUDE])</f>
        <v>#N/A</v>
      </c>
      <c r="C1055" t="e">
        <f>_xlfn.XLOOKUP(A1055,CONTROL[VEHIDCODE],CONTROL[IS_WAGON_OR_COACH])</f>
        <v>#N/A</v>
      </c>
      <c r="D1055" t="e">
        <f>FLOOR(_xlfn.XLOOKUP($A1055,PROPERTIES[VEHIDCODE],PROPERTIES[INTRODUCTION_YEAR]),20)</f>
        <v>#N/A</v>
      </c>
      <c r="E1055" t="e">
        <f>_xlfn.XLOOKUP($A1055,PROPERTIES[VEHIDCODE],#REF!)</f>
        <v>#REF!</v>
      </c>
      <c r="F1055" s="25" t="e" cm="1">
        <f t="array" ref="F1055">_xlfn.CONCAT(_xlfn.XLOOKUP($A1055,PROPERTIES[VEHIDCODE],PROPERTIES[REGION1]),"_",_xlfn.XLOOKUP($A1055,PROPERTIES[VEHIDCODE],PROPERTIES[REGION2]),"_",_xlfn.XLOOKUP($A1055,PROPERTIES[VEHIDCODE],PROPERTIES[REGION3]&amp;"_"&amp;_xlfn.XLOOKUP($A1055,PROPERTIES[VEHIDCODE],PROPERTIES[REGION4])))</f>
        <v>#N/A</v>
      </c>
      <c r="G1055" t="b">
        <f t="shared" si="135"/>
        <v>0</v>
      </c>
      <c r="H1055" t="b">
        <f t="shared" si="142"/>
        <v>0</v>
      </c>
      <c r="I1055" t="b">
        <f t="shared" si="136"/>
        <v>0</v>
      </c>
      <c r="J1055" t="b">
        <f t="shared" si="143"/>
        <v>0</v>
      </c>
      <c r="K1055" t="b">
        <f t="shared" si="137"/>
        <v>0</v>
      </c>
      <c r="L1055" t="b">
        <f t="shared" si="138"/>
        <v>0</v>
      </c>
      <c r="M1055" t="b">
        <f t="shared" si="139"/>
        <v>0</v>
      </c>
      <c r="N1055" t="b">
        <f t="shared" si="140"/>
        <v>0</v>
      </c>
      <c r="O1055" t="b">
        <f t="shared" si="141"/>
        <v>0</v>
      </c>
    </row>
    <row r="1056" spans="1:15" x14ac:dyDescent="0.35">
      <c r="B1056" t="e" cm="1">
        <f t="array" ref="B1056">_xlfn.XLOOKUP(A1056,CONTROL[VEHIDCODE],PROPERTIES[EXCLUDE])</f>
        <v>#N/A</v>
      </c>
      <c r="C1056" t="e">
        <f>_xlfn.XLOOKUP(A1056,CONTROL[VEHIDCODE],CONTROL[IS_WAGON_OR_COACH])</f>
        <v>#N/A</v>
      </c>
      <c r="D1056" t="e">
        <f>FLOOR(_xlfn.XLOOKUP($A1056,PROPERTIES[VEHIDCODE],PROPERTIES[INTRODUCTION_YEAR]),20)</f>
        <v>#N/A</v>
      </c>
      <c r="E1056" t="e">
        <f>_xlfn.XLOOKUP($A1056,PROPERTIES[VEHIDCODE],#REF!)</f>
        <v>#REF!</v>
      </c>
      <c r="F1056" s="25" t="e" cm="1">
        <f t="array" ref="F1056">_xlfn.CONCAT(_xlfn.XLOOKUP($A1056,PROPERTIES[VEHIDCODE],PROPERTIES[REGION1]),"_",_xlfn.XLOOKUP($A1056,PROPERTIES[VEHIDCODE],PROPERTIES[REGION2]),"_",_xlfn.XLOOKUP($A1056,PROPERTIES[VEHIDCODE],PROPERTIES[REGION3]&amp;"_"&amp;_xlfn.XLOOKUP($A1056,PROPERTIES[VEHIDCODE],PROPERTIES[REGION4])))</f>
        <v>#N/A</v>
      </c>
      <c r="G1056" t="b">
        <f t="shared" si="135"/>
        <v>0</v>
      </c>
      <c r="H1056" t="b">
        <f t="shared" si="142"/>
        <v>0</v>
      </c>
      <c r="I1056" t="b">
        <f t="shared" si="136"/>
        <v>0</v>
      </c>
      <c r="J1056" t="b">
        <f t="shared" si="143"/>
        <v>0</v>
      </c>
      <c r="K1056" t="b">
        <f t="shared" si="137"/>
        <v>0</v>
      </c>
      <c r="L1056" t="b">
        <f t="shared" si="138"/>
        <v>0</v>
      </c>
      <c r="M1056" t="b">
        <f t="shared" si="139"/>
        <v>0</v>
      </c>
      <c r="N1056" t="b">
        <f t="shared" si="140"/>
        <v>0</v>
      </c>
      <c r="O1056" t="b">
        <f t="shared" si="141"/>
        <v>0</v>
      </c>
    </row>
    <row r="1057" spans="2:15" x14ac:dyDescent="0.35">
      <c r="B1057" t="e" cm="1">
        <f t="array" ref="B1057">_xlfn.XLOOKUP(A1057,CONTROL[VEHIDCODE],PROPERTIES[EXCLUDE])</f>
        <v>#N/A</v>
      </c>
      <c r="C1057" t="e">
        <f>_xlfn.XLOOKUP(A1057,CONTROL[VEHIDCODE],CONTROL[IS_WAGON_OR_COACH])</f>
        <v>#N/A</v>
      </c>
      <c r="D1057" t="e">
        <f>FLOOR(_xlfn.XLOOKUP($A1057,PROPERTIES[VEHIDCODE],PROPERTIES[INTRODUCTION_YEAR]),20)</f>
        <v>#N/A</v>
      </c>
      <c r="E1057" t="e">
        <f>_xlfn.XLOOKUP($A1057,PROPERTIES[VEHIDCODE],#REF!)</f>
        <v>#REF!</v>
      </c>
      <c r="F1057" s="25" t="e" cm="1">
        <f t="array" ref="F1057">_xlfn.CONCAT(_xlfn.XLOOKUP($A1057,PROPERTIES[VEHIDCODE],PROPERTIES[REGION1]),"_",_xlfn.XLOOKUP($A1057,PROPERTIES[VEHIDCODE],PROPERTIES[REGION2]),"_",_xlfn.XLOOKUP($A1057,PROPERTIES[VEHIDCODE],PROPERTIES[REGION3]&amp;"_"&amp;_xlfn.XLOOKUP($A1057,PROPERTIES[VEHIDCODE],PROPERTIES[REGION4])))</f>
        <v>#N/A</v>
      </c>
      <c r="G1057" t="b">
        <f t="shared" si="135"/>
        <v>0</v>
      </c>
      <c r="H1057" t="b">
        <f t="shared" si="142"/>
        <v>0</v>
      </c>
      <c r="I1057" t="b">
        <f t="shared" si="136"/>
        <v>0</v>
      </c>
      <c r="J1057" t="b">
        <f t="shared" si="143"/>
        <v>0</v>
      </c>
      <c r="K1057" t="b">
        <f t="shared" si="137"/>
        <v>0</v>
      </c>
      <c r="L1057" t="b">
        <f t="shared" si="138"/>
        <v>0</v>
      </c>
      <c r="M1057" t="b">
        <f t="shared" si="139"/>
        <v>0</v>
      </c>
      <c r="N1057" t="b">
        <f t="shared" si="140"/>
        <v>0</v>
      </c>
      <c r="O1057" t="b">
        <f t="shared" si="141"/>
        <v>0</v>
      </c>
    </row>
    <row r="1058" spans="2:15" x14ac:dyDescent="0.35">
      <c r="B1058" t="e" cm="1">
        <f t="array" ref="B1058">_xlfn.XLOOKUP(A1058,CONTROL[VEHIDCODE],PROPERTIES[EXCLUDE])</f>
        <v>#N/A</v>
      </c>
      <c r="C1058" t="e">
        <f>_xlfn.XLOOKUP(A1058,CONTROL[VEHIDCODE],CONTROL[IS_WAGON_OR_COACH])</f>
        <v>#N/A</v>
      </c>
      <c r="D1058" t="e">
        <f>FLOOR(_xlfn.XLOOKUP($A1058,PROPERTIES[VEHIDCODE],PROPERTIES[INTRODUCTION_YEAR]),20)</f>
        <v>#N/A</v>
      </c>
      <c r="E1058" t="e">
        <f>_xlfn.XLOOKUP($A1058,PROPERTIES[VEHIDCODE],#REF!)</f>
        <v>#REF!</v>
      </c>
      <c r="F1058" s="25" t="e" cm="1">
        <f t="array" ref="F1058">_xlfn.CONCAT(_xlfn.XLOOKUP($A1058,PROPERTIES[VEHIDCODE],PROPERTIES[REGION1]),"_",_xlfn.XLOOKUP($A1058,PROPERTIES[VEHIDCODE],PROPERTIES[REGION2]),"_",_xlfn.XLOOKUP($A1058,PROPERTIES[VEHIDCODE],PROPERTIES[REGION3]&amp;"_"&amp;_xlfn.XLOOKUP($A1058,PROPERTIES[VEHIDCODE],PROPERTIES[REGION4])))</f>
        <v>#N/A</v>
      </c>
      <c r="G1058" t="b">
        <f t="shared" si="135"/>
        <v>0</v>
      </c>
      <c r="H1058" t="b">
        <f t="shared" si="142"/>
        <v>0</v>
      </c>
      <c r="I1058" t="b">
        <f t="shared" si="136"/>
        <v>0</v>
      </c>
      <c r="J1058" t="b">
        <f t="shared" si="143"/>
        <v>0</v>
      </c>
      <c r="K1058" t="b">
        <f t="shared" si="137"/>
        <v>0</v>
      </c>
      <c r="L1058" t="b">
        <f t="shared" si="138"/>
        <v>0</v>
      </c>
      <c r="M1058" t="b">
        <f t="shared" si="139"/>
        <v>0</v>
      </c>
      <c r="N1058" t="b">
        <f t="shared" si="140"/>
        <v>0</v>
      </c>
      <c r="O1058" t="b">
        <f t="shared" si="141"/>
        <v>0</v>
      </c>
    </row>
    <row r="1059" spans="2:15" x14ac:dyDescent="0.35">
      <c r="B1059" t="e" cm="1">
        <f t="array" ref="B1059">_xlfn.XLOOKUP(A1059,CONTROL[VEHIDCODE],PROPERTIES[EXCLUDE])</f>
        <v>#N/A</v>
      </c>
      <c r="C1059" t="e">
        <f>_xlfn.XLOOKUP(A1059,CONTROL[VEHIDCODE],CONTROL[IS_WAGON_OR_COACH])</f>
        <v>#N/A</v>
      </c>
      <c r="D1059" t="e">
        <f>FLOOR(_xlfn.XLOOKUP($A1059,PROPERTIES[VEHIDCODE],PROPERTIES[INTRODUCTION_YEAR]),20)</f>
        <v>#N/A</v>
      </c>
      <c r="E1059" t="e">
        <f>_xlfn.XLOOKUP($A1059,PROPERTIES[VEHIDCODE],#REF!)</f>
        <v>#REF!</v>
      </c>
      <c r="F1059" s="25" t="e" cm="1">
        <f t="array" ref="F1059">_xlfn.CONCAT(_xlfn.XLOOKUP($A1059,PROPERTIES[VEHIDCODE],PROPERTIES[REGION1]),"_",_xlfn.XLOOKUP($A1059,PROPERTIES[VEHIDCODE],PROPERTIES[REGION2]),"_",_xlfn.XLOOKUP($A1059,PROPERTIES[VEHIDCODE],PROPERTIES[REGION3]&amp;"_"&amp;_xlfn.XLOOKUP($A1059,PROPERTIES[VEHIDCODE],PROPERTIES[REGION4])))</f>
        <v>#N/A</v>
      </c>
      <c r="G1059" t="b">
        <f t="shared" si="135"/>
        <v>0</v>
      </c>
      <c r="H1059" t="b">
        <f t="shared" si="142"/>
        <v>0</v>
      </c>
      <c r="I1059" t="b">
        <f t="shared" si="136"/>
        <v>0</v>
      </c>
      <c r="J1059" t="b">
        <f t="shared" si="143"/>
        <v>0</v>
      </c>
      <c r="K1059" t="b">
        <f t="shared" si="137"/>
        <v>0</v>
      </c>
      <c r="L1059" t="b">
        <f t="shared" si="138"/>
        <v>0</v>
      </c>
      <c r="M1059" t="b">
        <f t="shared" si="139"/>
        <v>0</v>
      </c>
      <c r="N1059" t="b">
        <f t="shared" si="140"/>
        <v>0</v>
      </c>
      <c r="O1059" t="b">
        <f t="shared" si="141"/>
        <v>0</v>
      </c>
    </row>
    <row r="1060" spans="2:15" x14ac:dyDescent="0.35">
      <c r="B1060" t="e" cm="1">
        <f t="array" ref="B1060">_xlfn.XLOOKUP(A1060,CONTROL[VEHIDCODE],PROPERTIES[EXCLUDE])</f>
        <v>#N/A</v>
      </c>
      <c r="C1060" t="e">
        <f>_xlfn.XLOOKUP(A1060,CONTROL[VEHIDCODE],CONTROL[IS_WAGON_OR_COACH])</f>
        <v>#N/A</v>
      </c>
      <c r="D1060" t="e">
        <f>FLOOR(_xlfn.XLOOKUP($A1060,PROPERTIES[VEHIDCODE],PROPERTIES[INTRODUCTION_YEAR]),20)</f>
        <v>#N/A</v>
      </c>
      <c r="E1060" t="e">
        <f>_xlfn.XLOOKUP($A1060,PROPERTIES[VEHIDCODE],#REF!)</f>
        <v>#REF!</v>
      </c>
      <c r="F1060" s="25" t="e" cm="1">
        <f t="array" ref="F1060">_xlfn.CONCAT(_xlfn.XLOOKUP($A1060,PROPERTIES[VEHIDCODE],PROPERTIES[REGION1]),"_",_xlfn.XLOOKUP($A1060,PROPERTIES[VEHIDCODE],PROPERTIES[REGION2]),"_",_xlfn.XLOOKUP($A1060,PROPERTIES[VEHIDCODE],PROPERTIES[REGION3]&amp;"_"&amp;_xlfn.XLOOKUP($A1060,PROPERTIES[VEHIDCODE],PROPERTIES[REGION4])))</f>
        <v>#N/A</v>
      </c>
      <c r="G1060" t="b">
        <f t="shared" si="135"/>
        <v>0</v>
      </c>
      <c r="H1060" t="b">
        <f t="shared" si="142"/>
        <v>0</v>
      </c>
      <c r="I1060" t="b">
        <f t="shared" si="136"/>
        <v>0</v>
      </c>
      <c r="J1060" t="b">
        <f t="shared" si="143"/>
        <v>0</v>
      </c>
      <c r="K1060" t="b">
        <f t="shared" si="137"/>
        <v>0</v>
      </c>
      <c r="L1060" t="b">
        <f t="shared" si="138"/>
        <v>0</v>
      </c>
      <c r="M1060" t="b">
        <f t="shared" si="139"/>
        <v>0</v>
      </c>
      <c r="N1060" t="b">
        <f t="shared" si="140"/>
        <v>0</v>
      </c>
      <c r="O1060" t="b">
        <f t="shared" si="141"/>
        <v>0</v>
      </c>
    </row>
    <row r="1061" spans="2:15" x14ac:dyDescent="0.35">
      <c r="B1061" t="e" cm="1">
        <f t="array" ref="B1061">_xlfn.XLOOKUP(A1061,CONTROL[VEHIDCODE],PROPERTIES[EXCLUDE])</f>
        <v>#N/A</v>
      </c>
      <c r="C1061" t="e">
        <f>_xlfn.XLOOKUP(A1061,CONTROL[VEHIDCODE],CONTROL[IS_WAGON_OR_COACH])</f>
        <v>#N/A</v>
      </c>
      <c r="D1061" t="e">
        <f>FLOOR(_xlfn.XLOOKUP($A1061,PROPERTIES[VEHIDCODE],PROPERTIES[INTRODUCTION_YEAR]),20)</f>
        <v>#N/A</v>
      </c>
      <c r="E1061" t="e">
        <f>_xlfn.XLOOKUP($A1061,PROPERTIES[VEHIDCODE],#REF!)</f>
        <v>#REF!</v>
      </c>
      <c r="F1061" s="25" t="e" cm="1">
        <f t="array" ref="F1061">_xlfn.CONCAT(_xlfn.XLOOKUP($A1061,PROPERTIES[VEHIDCODE],PROPERTIES[REGION1]),"_",_xlfn.XLOOKUP($A1061,PROPERTIES[VEHIDCODE],PROPERTIES[REGION2]),"_",_xlfn.XLOOKUP($A1061,PROPERTIES[VEHIDCODE],PROPERTIES[REGION3]&amp;"_"&amp;_xlfn.XLOOKUP($A1061,PROPERTIES[VEHIDCODE],PROPERTIES[REGION4])))</f>
        <v>#N/A</v>
      </c>
      <c r="G1061" t="b">
        <f t="shared" si="135"/>
        <v>0</v>
      </c>
      <c r="H1061" t="b">
        <f t="shared" si="142"/>
        <v>0</v>
      </c>
      <c r="I1061" t="b">
        <f t="shared" si="136"/>
        <v>0</v>
      </c>
      <c r="J1061" t="b">
        <f t="shared" si="143"/>
        <v>0</v>
      </c>
      <c r="K1061" t="b">
        <f t="shared" si="137"/>
        <v>0</v>
      </c>
      <c r="L1061" t="b">
        <f t="shared" si="138"/>
        <v>0</v>
      </c>
      <c r="M1061" t="b">
        <f t="shared" si="139"/>
        <v>0</v>
      </c>
      <c r="N1061" t="b">
        <f t="shared" si="140"/>
        <v>0</v>
      </c>
      <c r="O1061" t="b">
        <f t="shared" si="141"/>
        <v>0</v>
      </c>
    </row>
    <row r="1062" spans="2:15" x14ac:dyDescent="0.35">
      <c r="B1062" t="e" cm="1">
        <f t="array" ref="B1062">_xlfn.XLOOKUP(A1062,CONTROL[VEHIDCODE],PROPERTIES[EXCLUDE])</f>
        <v>#N/A</v>
      </c>
      <c r="C1062" t="e">
        <f>_xlfn.XLOOKUP(A1062,CONTROL[VEHIDCODE],CONTROL[IS_WAGON_OR_COACH])</f>
        <v>#N/A</v>
      </c>
      <c r="D1062" t="e">
        <f>FLOOR(_xlfn.XLOOKUP($A1062,PROPERTIES[VEHIDCODE],PROPERTIES[INTRODUCTION_YEAR]),20)</f>
        <v>#N/A</v>
      </c>
      <c r="E1062" t="e">
        <f>_xlfn.XLOOKUP($A1062,PROPERTIES[VEHIDCODE],#REF!)</f>
        <v>#REF!</v>
      </c>
      <c r="F1062" s="25" t="e" cm="1">
        <f t="array" ref="F1062">_xlfn.CONCAT(_xlfn.XLOOKUP($A1062,PROPERTIES[VEHIDCODE],PROPERTIES[REGION1]),"_",_xlfn.XLOOKUP($A1062,PROPERTIES[VEHIDCODE],PROPERTIES[REGION2]),"_",_xlfn.XLOOKUP($A1062,PROPERTIES[VEHIDCODE],PROPERTIES[REGION3]&amp;"_"&amp;_xlfn.XLOOKUP($A1062,PROPERTIES[VEHIDCODE],PROPERTIES[REGION4])))</f>
        <v>#N/A</v>
      </c>
      <c r="G1062" t="b">
        <f t="shared" si="135"/>
        <v>0</v>
      </c>
      <c r="H1062" t="b">
        <f t="shared" si="142"/>
        <v>0</v>
      </c>
      <c r="I1062" t="b">
        <f t="shared" si="136"/>
        <v>0</v>
      </c>
      <c r="J1062" t="b">
        <f t="shared" si="143"/>
        <v>0</v>
      </c>
      <c r="K1062" t="b">
        <f t="shared" si="137"/>
        <v>0</v>
      </c>
      <c r="L1062" t="b">
        <f t="shared" si="138"/>
        <v>0</v>
      </c>
      <c r="M1062" t="b">
        <f t="shared" si="139"/>
        <v>0</v>
      </c>
      <c r="N1062" t="b">
        <f t="shared" si="140"/>
        <v>0</v>
      </c>
      <c r="O1062" t="b">
        <f t="shared" si="141"/>
        <v>0</v>
      </c>
    </row>
    <row r="1063" spans="2:15" x14ac:dyDescent="0.35">
      <c r="B1063" t="e" cm="1">
        <f t="array" ref="B1063">_xlfn.XLOOKUP(A1063,CONTROL[VEHIDCODE],PROPERTIES[EXCLUDE])</f>
        <v>#N/A</v>
      </c>
      <c r="C1063" t="e">
        <f>_xlfn.XLOOKUP(A1063,CONTROL[VEHIDCODE],CONTROL[IS_WAGON_OR_COACH])</f>
        <v>#N/A</v>
      </c>
      <c r="D1063" t="e">
        <f>FLOOR(_xlfn.XLOOKUP($A1063,PROPERTIES[VEHIDCODE],PROPERTIES[INTRODUCTION_YEAR]),20)</f>
        <v>#N/A</v>
      </c>
      <c r="E1063" t="e">
        <f>_xlfn.XLOOKUP($A1063,PROPERTIES[VEHIDCODE],#REF!)</f>
        <v>#REF!</v>
      </c>
      <c r="F1063" s="25" t="e" cm="1">
        <f t="array" ref="F1063">_xlfn.CONCAT(_xlfn.XLOOKUP($A1063,PROPERTIES[VEHIDCODE],PROPERTIES[REGION1]),"_",_xlfn.XLOOKUP($A1063,PROPERTIES[VEHIDCODE],PROPERTIES[REGION2]),"_",_xlfn.XLOOKUP($A1063,PROPERTIES[VEHIDCODE],PROPERTIES[REGION3]&amp;"_"&amp;_xlfn.XLOOKUP($A1063,PROPERTIES[VEHIDCODE],PROPERTIES[REGION4])))</f>
        <v>#N/A</v>
      </c>
      <c r="G1063" t="b">
        <f t="shared" si="135"/>
        <v>0</v>
      </c>
      <c r="H1063" t="b">
        <f t="shared" si="142"/>
        <v>0</v>
      </c>
      <c r="I1063" t="b">
        <f t="shared" si="136"/>
        <v>0</v>
      </c>
      <c r="J1063" t="b">
        <f t="shared" si="143"/>
        <v>0</v>
      </c>
      <c r="K1063" t="b">
        <f t="shared" si="137"/>
        <v>0</v>
      </c>
      <c r="L1063" t="b">
        <f t="shared" si="138"/>
        <v>0</v>
      </c>
      <c r="M1063" t="b">
        <f t="shared" si="139"/>
        <v>0</v>
      </c>
      <c r="N1063" t="b">
        <f t="shared" si="140"/>
        <v>0</v>
      </c>
      <c r="O1063" t="b">
        <f t="shared" si="141"/>
        <v>0</v>
      </c>
    </row>
    <row r="1064" spans="2:15" x14ac:dyDescent="0.35">
      <c r="B1064" t="e" cm="1">
        <f t="array" ref="B1064">_xlfn.XLOOKUP(A1064,CONTROL[VEHIDCODE],PROPERTIES[EXCLUDE])</f>
        <v>#N/A</v>
      </c>
      <c r="C1064" t="e">
        <f>_xlfn.XLOOKUP(A1064,CONTROL[VEHIDCODE],CONTROL[IS_WAGON_OR_COACH])</f>
        <v>#N/A</v>
      </c>
      <c r="D1064" t="e">
        <f>FLOOR(_xlfn.XLOOKUP($A1064,PROPERTIES[VEHIDCODE],PROPERTIES[INTRODUCTION_YEAR]),20)</f>
        <v>#N/A</v>
      </c>
      <c r="E1064" t="e">
        <f>_xlfn.XLOOKUP($A1064,PROPERTIES[VEHIDCODE],#REF!)</f>
        <v>#REF!</v>
      </c>
      <c r="F1064" s="25" t="e" cm="1">
        <f t="array" ref="F1064">_xlfn.CONCAT(_xlfn.XLOOKUP($A1064,PROPERTIES[VEHIDCODE],PROPERTIES[REGION1]),"_",_xlfn.XLOOKUP($A1064,PROPERTIES[VEHIDCODE],PROPERTIES[REGION2]),"_",_xlfn.XLOOKUP($A1064,PROPERTIES[VEHIDCODE],PROPERTIES[REGION3]&amp;"_"&amp;_xlfn.XLOOKUP($A1064,PROPERTIES[VEHIDCODE],PROPERTIES[REGION4])))</f>
        <v>#N/A</v>
      </c>
      <c r="G1064" t="b">
        <f t="shared" si="135"/>
        <v>0</v>
      </c>
      <c r="H1064" t="b">
        <f t="shared" si="142"/>
        <v>0</v>
      </c>
      <c r="I1064" t="b">
        <f t="shared" si="136"/>
        <v>0</v>
      </c>
      <c r="J1064" t="b">
        <f t="shared" si="143"/>
        <v>0</v>
      </c>
      <c r="K1064" t="b">
        <f t="shared" si="137"/>
        <v>0</v>
      </c>
      <c r="L1064" t="b">
        <f t="shared" si="138"/>
        <v>0</v>
      </c>
      <c r="M1064" t="b">
        <f t="shared" si="139"/>
        <v>0</v>
      </c>
      <c r="N1064" t="b">
        <f t="shared" si="140"/>
        <v>0</v>
      </c>
      <c r="O1064" t="b">
        <f t="shared" si="141"/>
        <v>0</v>
      </c>
    </row>
    <row r="1065" spans="2:15" x14ac:dyDescent="0.35">
      <c r="B1065" t="e" cm="1">
        <f t="array" ref="B1065">_xlfn.XLOOKUP(A1065,CONTROL[VEHIDCODE],PROPERTIES[EXCLUDE])</f>
        <v>#N/A</v>
      </c>
      <c r="C1065" t="e">
        <f>_xlfn.XLOOKUP(A1065,CONTROL[VEHIDCODE],CONTROL[IS_WAGON_OR_COACH])</f>
        <v>#N/A</v>
      </c>
      <c r="D1065" t="e">
        <f>FLOOR(_xlfn.XLOOKUP($A1065,PROPERTIES[VEHIDCODE],PROPERTIES[INTRODUCTION_YEAR]),20)</f>
        <v>#N/A</v>
      </c>
      <c r="E1065" t="e">
        <f>_xlfn.XLOOKUP($A1065,PROPERTIES[VEHIDCODE],#REF!)</f>
        <v>#REF!</v>
      </c>
      <c r="F1065" s="25" t="e" cm="1">
        <f t="array" ref="F1065">_xlfn.CONCAT(_xlfn.XLOOKUP($A1065,PROPERTIES[VEHIDCODE],PROPERTIES[REGION1]),"_",_xlfn.XLOOKUP($A1065,PROPERTIES[VEHIDCODE],PROPERTIES[REGION2]),"_",_xlfn.XLOOKUP($A1065,PROPERTIES[VEHIDCODE],PROPERTIES[REGION3]&amp;"_"&amp;_xlfn.XLOOKUP($A1065,PROPERTIES[VEHIDCODE],PROPERTIES[REGION4])))</f>
        <v>#N/A</v>
      </c>
      <c r="G1065" t="b">
        <f t="shared" si="135"/>
        <v>0</v>
      </c>
      <c r="H1065" t="b">
        <f t="shared" si="142"/>
        <v>0</v>
      </c>
      <c r="I1065" t="b">
        <f t="shared" si="136"/>
        <v>0</v>
      </c>
      <c r="J1065" t="b">
        <f t="shared" si="143"/>
        <v>0</v>
      </c>
      <c r="K1065" t="b">
        <f t="shared" si="137"/>
        <v>0</v>
      </c>
      <c r="L1065" t="b">
        <f t="shared" si="138"/>
        <v>0</v>
      </c>
      <c r="M1065" t="b">
        <f t="shared" si="139"/>
        <v>0</v>
      </c>
      <c r="N1065" t="b">
        <f t="shared" si="140"/>
        <v>0</v>
      </c>
      <c r="O1065" t="b">
        <f t="shared" si="141"/>
        <v>0</v>
      </c>
    </row>
    <row r="1066" spans="2:15" x14ac:dyDescent="0.35">
      <c r="B1066" t="e" cm="1">
        <f t="array" ref="B1066">_xlfn.XLOOKUP(A1066,CONTROL[VEHIDCODE],PROPERTIES[EXCLUDE])</f>
        <v>#N/A</v>
      </c>
      <c r="C1066" t="e">
        <f>_xlfn.XLOOKUP(A1066,CONTROL[VEHIDCODE],CONTROL[IS_WAGON_OR_COACH])</f>
        <v>#N/A</v>
      </c>
      <c r="D1066" t="e">
        <f>FLOOR(_xlfn.XLOOKUP($A1066,PROPERTIES[VEHIDCODE],PROPERTIES[INTRODUCTION_YEAR]),20)</f>
        <v>#N/A</v>
      </c>
      <c r="E1066" t="e">
        <f>_xlfn.XLOOKUP($A1066,PROPERTIES[VEHIDCODE],#REF!)</f>
        <v>#REF!</v>
      </c>
      <c r="F1066" s="25" t="e" cm="1">
        <f t="array" ref="F1066">_xlfn.CONCAT(_xlfn.XLOOKUP($A1066,PROPERTIES[VEHIDCODE],PROPERTIES[REGION1]),"_",_xlfn.XLOOKUP($A1066,PROPERTIES[VEHIDCODE],PROPERTIES[REGION2]),"_",_xlfn.XLOOKUP($A1066,PROPERTIES[VEHIDCODE],PROPERTIES[REGION3]&amp;"_"&amp;_xlfn.XLOOKUP($A1066,PROPERTIES[VEHIDCODE],PROPERTIES[REGION4])))</f>
        <v>#N/A</v>
      </c>
      <c r="G1066" t="b">
        <f t="shared" si="135"/>
        <v>0</v>
      </c>
      <c r="H1066" t="b">
        <f t="shared" si="142"/>
        <v>0</v>
      </c>
      <c r="I1066" t="b">
        <f t="shared" si="136"/>
        <v>0</v>
      </c>
      <c r="J1066" t="b">
        <f t="shared" si="143"/>
        <v>0</v>
      </c>
      <c r="K1066" t="b">
        <f t="shared" si="137"/>
        <v>0</v>
      </c>
      <c r="L1066" t="b">
        <f t="shared" si="138"/>
        <v>0</v>
      </c>
      <c r="M1066" t="b">
        <f t="shared" si="139"/>
        <v>0</v>
      </c>
      <c r="N1066" t="b">
        <f t="shared" si="140"/>
        <v>0</v>
      </c>
      <c r="O1066" t="b">
        <f t="shared" si="141"/>
        <v>0</v>
      </c>
    </row>
    <row r="1067" spans="2:15" x14ac:dyDescent="0.35">
      <c r="B1067" t="e" cm="1">
        <f t="array" ref="B1067">_xlfn.XLOOKUP(A1067,CONTROL[VEHIDCODE],PROPERTIES[EXCLUDE])</f>
        <v>#N/A</v>
      </c>
      <c r="C1067" t="e">
        <f>_xlfn.XLOOKUP(A1067,CONTROL[VEHIDCODE],CONTROL[IS_WAGON_OR_COACH])</f>
        <v>#N/A</v>
      </c>
      <c r="D1067" t="e">
        <f>FLOOR(_xlfn.XLOOKUP($A1067,PROPERTIES[VEHIDCODE],PROPERTIES[INTRODUCTION_YEAR]),20)</f>
        <v>#N/A</v>
      </c>
      <c r="E1067" t="e">
        <f>_xlfn.XLOOKUP($A1067,PROPERTIES[VEHIDCODE],#REF!)</f>
        <v>#REF!</v>
      </c>
      <c r="F1067" s="25" t="e" cm="1">
        <f t="array" ref="F1067">_xlfn.CONCAT(_xlfn.XLOOKUP($A1067,PROPERTIES[VEHIDCODE],PROPERTIES[REGION1]),"_",_xlfn.XLOOKUP($A1067,PROPERTIES[VEHIDCODE],PROPERTIES[REGION2]),"_",_xlfn.XLOOKUP($A1067,PROPERTIES[VEHIDCODE],PROPERTIES[REGION3]&amp;"_"&amp;_xlfn.XLOOKUP($A1067,PROPERTIES[VEHIDCODE],PROPERTIES[REGION4])))</f>
        <v>#N/A</v>
      </c>
      <c r="G1067" t="b">
        <f t="shared" si="135"/>
        <v>0</v>
      </c>
      <c r="H1067" t="b">
        <f t="shared" si="142"/>
        <v>0</v>
      </c>
      <c r="I1067" t="b">
        <f t="shared" si="136"/>
        <v>0</v>
      </c>
      <c r="J1067" t="b">
        <f t="shared" si="143"/>
        <v>0</v>
      </c>
      <c r="K1067" t="b">
        <f t="shared" si="137"/>
        <v>0</v>
      </c>
      <c r="L1067" t="b">
        <f t="shared" si="138"/>
        <v>0</v>
      </c>
      <c r="M1067" t="b">
        <f t="shared" si="139"/>
        <v>0</v>
      </c>
      <c r="N1067" t="b">
        <f t="shared" si="140"/>
        <v>0</v>
      </c>
      <c r="O1067" t="b">
        <f t="shared" si="141"/>
        <v>0</v>
      </c>
    </row>
    <row r="1068" spans="2:15" x14ac:dyDescent="0.35">
      <c r="B1068" t="e" cm="1">
        <f t="array" ref="B1068">_xlfn.XLOOKUP(A1068,CONTROL[VEHIDCODE],PROPERTIES[EXCLUDE])</f>
        <v>#N/A</v>
      </c>
      <c r="C1068" t="e">
        <f>_xlfn.XLOOKUP(A1068,CONTROL[VEHIDCODE],CONTROL[IS_WAGON_OR_COACH])</f>
        <v>#N/A</v>
      </c>
      <c r="D1068" t="e">
        <f>FLOOR(_xlfn.XLOOKUP($A1068,PROPERTIES[VEHIDCODE],PROPERTIES[INTRODUCTION_YEAR]),20)</f>
        <v>#N/A</v>
      </c>
      <c r="E1068" t="e">
        <f>_xlfn.XLOOKUP($A1068,PROPERTIES[VEHIDCODE],#REF!)</f>
        <v>#REF!</v>
      </c>
      <c r="F1068" s="25" t="e" cm="1">
        <f t="array" ref="F1068">_xlfn.CONCAT(_xlfn.XLOOKUP($A1068,PROPERTIES[VEHIDCODE],PROPERTIES[REGION1]),"_",_xlfn.XLOOKUP($A1068,PROPERTIES[VEHIDCODE],PROPERTIES[REGION2]),"_",_xlfn.XLOOKUP($A1068,PROPERTIES[VEHIDCODE],PROPERTIES[REGION3]&amp;"_"&amp;_xlfn.XLOOKUP($A1068,PROPERTIES[VEHIDCODE],PROPERTIES[REGION4])))</f>
        <v>#N/A</v>
      </c>
      <c r="G1068" t="b">
        <f t="shared" si="135"/>
        <v>0</v>
      </c>
      <c r="H1068" t="b">
        <f t="shared" si="142"/>
        <v>0</v>
      </c>
      <c r="I1068" t="b">
        <f t="shared" si="136"/>
        <v>0</v>
      </c>
      <c r="J1068" t="b">
        <f t="shared" si="143"/>
        <v>0</v>
      </c>
      <c r="K1068" t="b">
        <f t="shared" si="137"/>
        <v>0</v>
      </c>
      <c r="L1068" t="b">
        <f t="shared" si="138"/>
        <v>0</v>
      </c>
      <c r="M1068" t="b">
        <f t="shared" si="139"/>
        <v>0</v>
      </c>
      <c r="N1068" t="b">
        <f t="shared" si="140"/>
        <v>0</v>
      </c>
      <c r="O1068" t="b">
        <f t="shared" si="141"/>
        <v>0</v>
      </c>
    </row>
    <row r="1069" spans="2:15" x14ac:dyDescent="0.35">
      <c r="B1069" t="e" cm="1">
        <f t="array" ref="B1069">_xlfn.XLOOKUP(A1069,CONTROL[VEHIDCODE],PROPERTIES[EXCLUDE])</f>
        <v>#N/A</v>
      </c>
      <c r="C1069" t="e">
        <f>_xlfn.XLOOKUP(A1069,CONTROL[VEHIDCODE],CONTROL[IS_WAGON_OR_COACH])</f>
        <v>#N/A</v>
      </c>
      <c r="D1069" t="e">
        <f>FLOOR(_xlfn.XLOOKUP($A1069,PROPERTIES[VEHIDCODE],PROPERTIES[INTRODUCTION_YEAR]),20)</f>
        <v>#N/A</v>
      </c>
      <c r="E1069" t="e">
        <f>_xlfn.XLOOKUP($A1069,PROPERTIES[VEHIDCODE],#REF!)</f>
        <v>#REF!</v>
      </c>
      <c r="F1069" s="25" t="e" cm="1">
        <f t="array" ref="F1069">_xlfn.CONCAT(_xlfn.XLOOKUP($A1069,PROPERTIES[VEHIDCODE],PROPERTIES[REGION1]),"_",_xlfn.XLOOKUP($A1069,PROPERTIES[VEHIDCODE],PROPERTIES[REGION2]),"_",_xlfn.XLOOKUP($A1069,PROPERTIES[VEHIDCODE],PROPERTIES[REGION3]&amp;"_"&amp;_xlfn.XLOOKUP($A1069,PROPERTIES[VEHIDCODE],PROPERTIES[REGION4])))</f>
        <v>#N/A</v>
      </c>
      <c r="G1069" t="b">
        <f t="shared" si="135"/>
        <v>0</v>
      </c>
      <c r="H1069" t="b">
        <f t="shared" si="142"/>
        <v>0</v>
      </c>
      <c r="I1069" t="b">
        <f t="shared" si="136"/>
        <v>0</v>
      </c>
      <c r="J1069" t="b">
        <f t="shared" si="143"/>
        <v>0</v>
      </c>
      <c r="K1069" t="b">
        <f t="shared" si="137"/>
        <v>0</v>
      </c>
      <c r="L1069" t="b">
        <f t="shared" si="138"/>
        <v>0</v>
      </c>
      <c r="M1069" t="b">
        <f t="shared" si="139"/>
        <v>0</v>
      </c>
      <c r="N1069" t="b">
        <f t="shared" si="140"/>
        <v>0</v>
      </c>
      <c r="O1069" t="b">
        <f t="shared" si="141"/>
        <v>0</v>
      </c>
    </row>
    <row r="1070" spans="2:15" x14ac:dyDescent="0.35">
      <c r="B1070" t="e" cm="1">
        <f t="array" ref="B1070">_xlfn.XLOOKUP(A1070,CONTROL[VEHIDCODE],PROPERTIES[EXCLUDE])</f>
        <v>#N/A</v>
      </c>
      <c r="C1070" t="e">
        <f>_xlfn.XLOOKUP(A1070,CONTROL[VEHIDCODE],CONTROL[IS_WAGON_OR_COACH])</f>
        <v>#N/A</v>
      </c>
      <c r="D1070" t="e">
        <f>FLOOR(_xlfn.XLOOKUP($A1070,PROPERTIES[VEHIDCODE],PROPERTIES[INTRODUCTION_YEAR]),20)</f>
        <v>#N/A</v>
      </c>
      <c r="E1070" t="e">
        <f>_xlfn.XLOOKUP($A1070,PROPERTIES[VEHIDCODE],#REF!)</f>
        <v>#REF!</v>
      </c>
      <c r="F1070" s="25" t="e" cm="1">
        <f t="array" ref="F1070">_xlfn.CONCAT(_xlfn.XLOOKUP($A1070,PROPERTIES[VEHIDCODE],PROPERTIES[REGION1]),"_",_xlfn.XLOOKUP($A1070,PROPERTIES[VEHIDCODE],PROPERTIES[REGION2]),"_",_xlfn.XLOOKUP($A1070,PROPERTIES[VEHIDCODE],PROPERTIES[REGION3]&amp;"_"&amp;_xlfn.XLOOKUP($A1070,PROPERTIES[VEHIDCODE],PROPERTIES[REGION4])))</f>
        <v>#N/A</v>
      </c>
      <c r="G1070" t="b">
        <f t="shared" si="135"/>
        <v>0</v>
      </c>
      <c r="H1070" t="b">
        <f t="shared" si="142"/>
        <v>0</v>
      </c>
      <c r="I1070" t="b">
        <f t="shared" si="136"/>
        <v>0</v>
      </c>
      <c r="J1070" t="b">
        <f t="shared" si="143"/>
        <v>0</v>
      </c>
      <c r="K1070" t="b">
        <f t="shared" si="137"/>
        <v>0</v>
      </c>
      <c r="L1070" t="b">
        <f t="shared" si="138"/>
        <v>0</v>
      </c>
      <c r="M1070" t="b">
        <f t="shared" si="139"/>
        <v>0</v>
      </c>
      <c r="N1070" t="b">
        <f t="shared" si="140"/>
        <v>0</v>
      </c>
      <c r="O1070" t="b">
        <f t="shared" si="141"/>
        <v>0</v>
      </c>
    </row>
    <row r="1071" spans="2:15" x14ac:dyDescent="0.35">
      <c r="B1071" t="e" cm="1">
        <f t="array" ref="B1071">_xlfn.XLOOKUP(A1071,CONTROL[VEHIDCODE],PROPERTIES[EXCLUDE])</f>
        <v>#N/A</v>
      </c>
      <c r="C1071" t="e">
        <f>_xlfn.XLOOKUP(A1071,CONTROL[VEHIDCODE],CONTROL[IS_WAGON_OR_COACH])</f>
        <v>#N/A</v>
      </c>
      <c r="D1071" t="e">
        <f>FLOOR(_xlfn.XLOOKUP($A1071,PROPERTIES[VEHIDCODE],PROPERTIES[INTRODUCTION_YEAR]),20)</f>
        <v>#N/A</v>
      </c>
      <c r="E1071" t="e">
        <f>_xlfn.XLOOKUP($A1071,PROPERTIES[VEHIDCODE],#REF!)</f>
        <v>#REF!</v>
      </c>
      <c r="F1071" s="25" t="e" cm="1">
        <f t="array" ref="F1071">_xlfn.CONCAT(_xlfn.XLOOKUP($A1071,PROPERTIES[VEHIDCODE],PROPERTIES[REGION1]),"_",_xlfn.XLOOKUP($A1071,PROPERTIES[VEHIDCODE],PROPERTIES[REGION2]),"_",_xlfn.XLOOKUP($A1071,PROPERTIES[VEHIDCODE],PROPERTIES[REGION3]&amp;"_"&amp;_xlfn.XLOOKUP($A1071,PROPERTIES[VEHIDCODE],PROPERTIES[REGION4])))</f>
        <v>#N/A</v>
      </c>
      <c r="G1071" t="b">
        <f t="shared" si="135"/>
        <v>0</v>
      </c>
      <c r="H1071" t="b">
        <f t="shared" si="142"/>
        <v>0</v>
      </c>
      <c r="I1071" t="b">
        <f t="shared" si="136"/>
        <v>0</v>
      </c>
      <c r="J1071" t="b">
        <f t="shared" si="143"/>
        <v>0</v>
      </c>
      <c r="K1071" t="b">
        <f t="shared" si="137"/>
        <v>0</v>
      </c>
      <c r="L1071" t="b">
        <f t="shared" si="138"/>
        <v>0</v>
      </c>
      <c r="M1071" t="b">
        <f t="shared" si="139"/>
        <v>0</v>
      </c>
      <c r="N1071" t="b">
        <f t="shared" si="140"/>
        <v>0</v>
      </c>
      <c r="O1071" t="b">
        <f t="shared" si="141"/>
        <v>0</v>
      </c>
    </row>
    <row r="1072" spans="2:15" x14ac:dyDescent="0.35">
      <c r="B1072" t="e" cm="1">
        <f t="array" ref="B1072">_xlfn.XLOOKUP(A1072,CONTROL[VEHIDCODE],PROPERTIES[EXCLUDE])</f>
        <v>#N/A</v>
      </c>
      <c r="C1072" t="e">
        <f>_xlfn.XLOOKUP(A1072,CONTROL[VEHIDCODE],CONTROL[IS_WAGON_OR_COACH])</f>
        <v>#N/A</v>
      </c>
      <c r="D1072" t="e">
        <f>FLOOR(_xlfn.XLOOKUP($A1072,PROPERTIES[VEHIDCODE],PROPERTIES[INTRODUCTION_YEAR]),20)</f>
        <v>#N/A</v>
      </c>
      <c r="E1072" t="e">
        <f>_xlfn.XLOOKUP($A1072,PROPERTIES[VEHIDCODE],#REF!)</f>
        <v>#REF!</v>
      </c>
      <c r="F1072" s="25" t="e" cm="1">
        <f t="array" ref="F1072">_xlfn.CONCAT(_xlfn.XLOOKUP($A1072,PROPERTIES[VEHIDCODE],PROPERTIES[REGION1]),"_",_xlfn.XLOOKUP($A1072,PROPERTIES[VEHIDCODE],PROPERTIES[REGION2]),"_",_xlfn.XLOOKUP($A1072,PROPERTIES[VEHIDCODE],PROPERTIES[REGION3]&amp;"_"&amp;_xlfn.XLOOKUP($A1072,PROPERTIES[VEHIDCODE],PROPERTIES[REGION4])))</f>
        <v>#N/A</v>
      </c>
      <c r="G1072" t="b">
        <f t="shared" si="135"/>
        <v>0</v>
      </c>
      <c r="H1072" t="b">
        <f t="shared" si="142"/>
        <v>0</v>
      </c>
      <c r="I1072" t="b">
        <f t="shared" si="136"/>
        <v>0</v>
      </c>
      <c r="J1072" t="b">
        <f t="shared" si="143"/>
        <v>0</v>
      </c>
      <c r="K1072" t="b">
        <f t="shared" si="137"/>
        <v>0</v>
      </c>
      <c r="L1072" t="b">
        <f t="shared" si="138"/>
        <v>0</v>
      </c>
      <c r="M1072" t="b">
        <f t="shared" si="139"/>
        <v>0</v>
      </c>
      <c r="N1072" t="b">
        <f t="shared" si="140"/>
        <v>0</v>
      </c>
      <c r="O1072" t="b">
        <f t="shared" si="141"/>
        <v>0</v>
      </c>
    </row>
    <row r="1073" spans="2:15" x14ac:dyDescent="0.35">
      <c r="B1073" t="e" cm="1">
        <f t="array" ref="B1073">_xlfn.XLOOKUP(A1073,CONTROL[VEHIDCODE],PROPERTIES[EXCLUDE])</f>
        <v>#N/A</v>
      </c>
      <c r="C1073" t="e">
        <f>_xlfn.XLOOKUP(A1073,CONTROL[VEHIDCODE],CONTROL[IS_WAGON_OR_COACH])</f>
        <v>#N/A</v>
      </c>
      <c r="D1073" t="e">
        <f>FLOOR(_xlfn.XLOOKUP($A1073,PROPERTIES[VEHIDCODE],PROPERTIES[INTRODUCTION_YEAR]),20)</f>
        <v>#N/A</v>
      </c>
      <c r="E1073" t="e">
        <f>_xlfn.XLOOKUP($A1073,PROPERTIES[VEHIDCODE],#REF!)</f>
        <v>#REF!</v>
      </c>
      <c r="F1073" s="25" t="e" cm="1">
        <f t="array" ref="F1073">_xlfn.CONCAT(_xlfn.XLOOKUP($A1073,PROPERTIES[VEHIDCODE],PROPERTIES[REGION1]),"_",_xlfn.XLOOKUP($A1073,PROPERTIES[VEHIDCODE],PROPERTIES[REGION2]),"_",_xlfn.XLOOKUP($A1073,PROPERTIES[VEHIDCODE],PROPERTIES[REGION3]&amp;"_"&amp;_xlfn.XLOOKUP($A1073,PROPERTIES[VEHIDCODE],PROPERTIES[REGION4])))</f>
        <v>#N/A</v>
      </c>
      <c r="G1073" t="b">
        <f t="shared" si="135"/>
        <v>0</v>
      </c>
      <c r="H1073" t="b">
        <f t="shared" si="142"/>
        <v>0</v>
      </c>
      <c r="I1073" t="b">
        <f t="shared" si="136"/>
        <v>0</v>
      </c>
      <c r="J1073" t="b">
        <f t="shared" si="143"/>
        <v>0</v>
      </c>
      <c r="K1073" t="b">
        <f t="shared" si="137"/>
        <v>0</v>
      </c>
      <c r="L1073" t="b">
        <f t="shared" si="138"/>
        <v>0</v>
      </c>
      <c r="M1073" t="b">
        <f t="shared" si="139"/>
        <v>0</v>
      </c>
      <c r="N1073" t="b">
        <f t="shared" si="140"/>
        <v>0</v>
      </c>
      <c r="O1073" t="b">
        <f t="shared" si="141"/>
        <v>0</v>
      </c>
    </row>
    <row r="1074" spans="2:15" x14ac:dyDescent="0.35">
      <c r="B1074" t="e" cm="1">
        <f t="array" ref="B1074">_xlfn.XLOOKUP(A1074,CONTROL[VEHIDCODE],PROPERTIES[EXCLUDE])</f>
        <v>#N/A</v>
      </c>
      <c r="C1074" t="e">
        <f>_xlfn.XLOOKUP(A1074,CONTROL[VEHIDCODE],CONTROL[IS_WAGON_OR_COACH])</f>
        <v>#N/A</v>
      </c>
      <c r="D1074" t="e">
        <f>FLOOR(_xlfn.XLOOKUP($A1074,PROPERTIES[VEHIDCODE],PROPERTIES[INTRODUCTION_YEAR]),20)</f>
        <v>#N/A</v>
      </c>
      <c r="E1074" t="e">
        <f>_xlfn.XLOOKUP($A1074,PROPERTIES[VEHIDCODE],#REF!)</f>
        <v>#REF!</v>
      </c>
      <c r="F1074" s="25" t="e" cm="1">
        <f t="array" ref="F1074">_xlfn.CONCAT(_xlfn.XLOOKUP($A1074,PROPERTIES[VEHIDCODE],PROPERTIES[REGION1]),"_",_xlfn.XLOOKUP($A1074,PROPERTIES[VEHIDCODE],PROPERTIES[REGION2]),"_",_xlfn.XLOOKUP($A1074,PROPERTIES[VEHIDCODE],PROPERTIES[REGION3]&amp;"_"&amp;_xlfn.XLOOKUP($A1074,PROPERTIES[VEHIDCODE],PROPERTIES[REGION4])))</f>
        <v>#N/A</v>
      </c>
      <c r="G1074" t="b">
        <f t="shared" si="135"/>
        <v>0</v>
      </c>
      <c r="H1074" t="b">
        <f t="shared" si="142"/>
        <v>0</v>
      </c>
      <c r="I1074" t="b">
        <f t="shared" si="136"/>
        <v>0</v>
      </c>
      <c r="J1074" t="b">
        <f t="shared" si="143"/>
        <v>0</v>
      </c>
      <c r="K1074" t="b">
        <f t="shared" si="137"/>
        <v>0</v>
      </c>
      <c r="L1074" t="b">
        <f t="shared" si="138"/>
        <v>0</v>
      </c>
      <c r="M1074" t="b">
        <f t="shared" si="139"/>
        <v>0</v>
      </c>
      <c r="N1074" t="b">
        <f t="shared" si="140"/>
        <v>0</v>
      </c>
      <c r="O1074" t="b">
        <f t="shared" si="141"/>
        <v>0</v>
      </c>
    </row>
    <row r="1075" spans="2:15" x14ac:dyDescent="0.35">
      <c r="B1075" t="e" cm="1">
        <f t="array" ref="B1075">_xlfn.XLOOKUP(A1075,CONTROL[VEHIDCODE],PROPERTIES[EXCLUDE])</f>
        <v>#N/A</v>
      </c>
      <c r="C1075" t="e">
        <f>_xlfn.XLOOKUP(A1075,CONTROL[VEHIDCODE],CONTROL[IS_WAGON_OR_COACH])</f>
        <v>#N/A</v>
      </c>
      <c r="D1075" t="e">
        <f>FLOOR(_xlfn.XLOOKUP($A1075,PROPERTIES[VEHIDCODE],PROPERTIES[INTRODUCTION_YEAR]),20)</f>
        <v>#N/A</v>
      </c>
      <c r="E1075" t="e">
        <f>_xlfn.XLOOKUP($A1075,PROPERTIES[VEHIDCODE],#REF!)</f>
        <v>#REF!</v>
      </c>
      <c r="F1075" s="25" t="e" cm="1">
        <f t="array" ref="F1075">_xlfn.CONCAT(_xlfn.XLOOKUP($A1075,PROPERTIES[VEHIDCODE],PROPERTIES[REGION1]),"_",_xlfn.XLOOKUP($A1075,PROPERTIES[VEHIDCODE],PROPERTIES[REGION2]),"_",_xlfn.XLOOKUP($A1075,PROPERTIES[VEHIDCODE],PROPERTIES[REGION3]&amp;"_"&amp;_xlfn.XLOOKUP($A1075,PROPERTIES[VEHIDCODE],PROPERTIES[REGION4])))</f>
        <v>#N/A</v>
      </c>
      <c r="G1075" t="b">
        <f t="shared" si="135"/>
        <v>0</v>
      </c>
      <c r="H1075" t="b">
        <f t="shared" si="142"/>
        <v>0</v>
      </c>
      <c r="I1075" t="b">
        <f t="shared" si="136"/>
        <v>0</v>
      </c>
      <c r="J1075" t="b">
        <f t="shared" si="143"/>
        <v>0</v>
      </c>
      <c r="K1075" t="b">
        <f t="shared" si="137"/>
        <v>0</v>
      </c>
      <c r="L1075" t="b">
        <f t="shared" si="138"/>
        <v>0</v>
      </c>
      <c r="M1075" t="b">
        <f t="shared" si="139"/>
        <v>0</v>
      </c>
      <c r="N1075" t="b">
        <f t="shared" si="140"/>
        <v>0</v>
      </c>
      <c r="O1075" t="b">
        <f t="shared" si="141"/>
        <v>0</v>
      </c>
    </row>
    <row r="1076" spans="2:15" x14ac:dyDescent="0.35">
      <c r="B1076" t="e" cm="1">
        <f t="array" ref="B1076">_xlfn.XLOOKUP(A1076,CONTROL[VEHIDCODE],PROPERTIES[EXCLUDE])</f>
        <v>#N/A</v>
      </c>
      <c r="C1076" t="e">
        <f>_xlfn.XLOOKUP(A1076,CONTROL[VEHIDCODE],CONTROL[IS_WAGON_OR_COACH])</f>
        <v>#N/A</v>
      </c>
      <c r="D1076" t="e">
        <f>FLOOR(_xlfn.XLOOKUP($A1076,PROPERTIES[VEHIDCODE],PROPERTIES[INTRODUCTION_YEAR]),20)</f>
        <v>#N/A</v>
      </c>
      <c r="E1076" t="e">
        <f>_xlfn.XLOOKUP($A1076,PROPERTIES[VEHIDCODE],#REF!)</f>
        <v>#REF!</v>
      </c>
      <c r="F1076" s="25" t="e" cm="1">
        <f t="array" ref="F1076">_xlfn.CONCAT(_xlfn.XLOOKUP($A1076,PROPERTIES[VEHIDCODE],PROPERTIES[REGION1]),"_",_xlfn.XLOOKUP($A1076,PROPERTIES[VEHIDCODE],PROPERTIES[REGION2]),"_",_xlfn.XLOOKUP($A1076,PROPERTIES[VEHIDCODE],PROPERTIES[REGION3]&amp;"_"&amp;_xlfn.XLOOKUP($A1076,PROPERTIES[VEHIDCODE],PROPERTIES[REGION4])))</f>
        <v>#N/A</v>
      </c>
      <c r="G1076" t="b">
        <f t="shared" si="135"/>
        <v>0</v>
      </c>
      <c r="H1076" t="b">
        <f t="shared" si="142"/>
        <v>0</v>
      </c>
      <c r="I1076" t="b">
        <f t="shared" si="136"/>
        <v>0</v>
      </c>
      <c r="J1076" t="b">
        <f t="shared" si="143"/>
        <v>0</v>
      </c>
      <c r="K1076" t="b">
        <f t="shared" si="137"/>
        <v>0</v>
      </c>
      <c r="L1076" t="b">
        <f t="shared" si="138"/>
        <v>0</v>
      </c>
      <c r="M1076" t="b">
        <f t="shared" si="139"/>
        <v>0</v>
      </c>
      <c r="N1076" t="b">
        <f t="shared" si="140"/>
        <v>0</v>
      </c>
      <c r="O1076" t="b">
        <f t="shared" si="141"/>
        <v>0</v>
      </c>
    </row>
    <row r="1077" spans="2:15" x14ac:dyDescent="0.35">
      <c r="B1077" t="e" cm="1">
        <f t="array" ref="B1077">_xlfn.XLOOKUP(A1077,CONTROL[VEHIDCODE],PROPERTIES[EXCLUDE])</f>
        <v>#N/A</v>
      </c>
      <c r="C1077" t="e">
        <f>_xlfn.XLOOKUP(A1077,CONTROL[VEHIDCODE],CONTROL[IS_WAGON_OR_COACH])</f>
        <v>#N/A</v>
      </c>
      <c r="D1077" t="e">
        <f>FLOOR(_xlfn.XLOOKUP($A1077,PROPERTIES[VEHIDCODE],PROPERTIES[INTRODUCTION_YEAR]),20)</f>
        <v>#N/A</v>
      </c>
      <c r="E1077" t="e">
        <f>_xlfn.XLOOKUP($A1077,PROPERTIES[VEHIDCODE],#REF!)</f>
        <v>#REF!</v>
      </c>
      <c r="F1077" s="25" t="e" cm="1">
        <f t="array" ref="F1077">_xlfn.CONCAT(_xlfn.XLOOKUP($A1077,PROPERTIES[VEHIDCODE],PROPERTIES[REGION1]),"_",_xlfn.XLOOKUP($A1077,PROPERTIES[VEHIDCODE],PROPERTIES[REGION2]),"_",_xlfn.XLOOKUP($A1077,PROPERTIES[VEHIDCODE],PROPERTIES[REGION3]&amp;"_"&amp;_xlfn.XLOOKUP($A1077,PROPERTIES[VEHIDCODE],PROPERTIES[REGION4])))</f>
        <v>#N/A</v>
      </c>
      <c r="G1077" t="b">
        <f t="shared" si="135"/>
        <v>0</v>
      </c>
      <c r="H1077" t="b">
        <f t="shared" si="142"/>
        <v>0</v>
      </c>
      <c r="I1077" t="b">
        <f t="shared" si="136"/>
        <v>0</v>
      </c>
      <c r="J1077" t="b">
        <f t="shared" si="143"/>
        <v>0</v>
      </c>
      <c r="K1077" t="b">
        <f t="shared" si="137"/>
        <v>0</v>
      </c>
      <c r="L1077" t="b">
        <f t="shared" si="138"/>
        <v>0</v>
      </c>
      <c r="M1077" t="b">
        <f t="shared" si="139"/>
        <v>0</v>
      </c>
      <c r="N1077" t="b">
        <f t="shared" si="140"/>
        <v>0</v>
      </c>
      <c r="O1077" t="b">
        <f t="shared" si="141"/>
        <v>0</v>
      </c>
    </row>
    <row r="1078" spans="2:15" x14ac:dyDescent="0.35">
      <c r="B1078" t="e" cm="1">
        <f t="array" ref="B1078">_xlfn.XLOOKUP(A1078,CONTROL[VEHIDCODE],PROPERTIES[EXCLUDE])</f>
        <v>#N/A</v>
      </c>
      <c r="C1078" t="e">
        <f>_xlfn.XLOOKUP(A1078,CONTROL[VEHIDCODE],CONTROL[IS_WAGON_OR_COACH])</f>
        <v>#N/A</v>
      </c>
      <c r="D1078" t="e">
        <f>FLOOR(_xlfn.XLOOKUP($A1078,PROPERTIES[VEHIDCODE],PROPERTIES[INTRODUCTION_YEAR]),20)</f>
        <v>#N/A</v>
      </c>
      <c r="E1078" t="e">
        <f>_xlfn.XLOOKUP($A1078,PROPERTIES[VEHIDCODE],#REF!)</f>
        <v>#REF!</v>
      </c>
      <c r="F1078" s="25" t="e" cm="1">
        <f t="array" ref="F1078">_xlfn.CONCAT(_xlfn.XLOOKUP($A1078,PROPERTIES[VEHIDCODE],PROPERTIES[REGION1]),"_",_xlfn.XLOOKUP($A1078,PROPERTIES[VEHIDCODE],PROPERTIES[REGION2]),"_",_xlfn.XLOOKUP($A1078,PROPERTIES[VEHIDCODE],PROPERTIES[REGION3]&amp;"_"&amp;_xlfn.XLOOKUP($A1078,PROPERTIES[VEHIDCODE],PROPERTIES[REGION4])))</f>
        <v>#N/A</v>
      </c>
      <c r="G1078" t="b">
        <f t="shared" si="135"/>
        <v>0</v>
      </c>
      <c r="H1078" t="b">
        <f t="shared" si="142"/>
        <v>0</v>
      </c>
      <c r="I1078" t="b">
        <f t="shared" si="136"/>
        <v>0</v>
      </c>
      <c r="J1078" t="b">
        <f t="shared" si="143"/>
        <v>0</v>
      </c>
      <c r="K1078" t="b">
        <f t="shared" si="137"/>
        <v>0</v>
      </c>
      <c r="L1078" t="b">
        <f t="shared" si="138"/>
        <v>0</v>
      </c>
      <c r="M1078" t="b">
        <f t="shared" si="139"/>
        <v>0</v>
      </c>
      <c r="N1078" t="b">
        <f t="shared" si="140"/>
        <v>0</v>
      </c>
      <c r="O1078" t="b">
        <f t="shared" si="141"/>
        <v>0</v>
      </c>
    </row>
    <row r="1079" spans="2:15" x14ac:dyDescent="0.35">
      <c r="B1079" t="e" cm="1">
        <f t="array" ref="B1079">_xlfn.XLOOKUP(A1079,CONTROL[VEHIDCODE],PROPERTIES[EXCLUDE])</f>
        <v>#N/A</v>
      </c>
      <c r="C1079" t="e">
        <f>_xlfn.XLOOKUP(A1079,CONTROL[VEHIDCODE],CONTROL[IS_WAGON_OR_COACH])</f>
        <v>#N/A</v>
      </c>
      <c r="D1079" t="e">
        <f>FLOOR(_xlfn.XLOOKUP($A1079,PROPERTIES[VEHIDCODE],PROPERTIES[INTRODUCTION_YEAR]),20)</f>
        <v>#N/A</v>
      </c>
      <c r="E1079" t="e">
        <f>_xlfn.XLOOKUP($A1079,PROPERTIES[VEHIDCODE],#REF!)</f>
        <v>#REF!</v>
      </c>
      <c r="F1079" s="25" t="e" cm="1">
        <f t="array" ref="F1079">_xlfn.CONCAT(_xlfn.XLOOKUP($A1079,PROPERTIES[VEHIDCODE],PROPERTIES[REGION1]),"_",_xlfn.XLOOKUP($A1079,PROPERTIES[VEHIDCODE],PROPERTIES[REGION2]),"_",_xlfn.XLOOKUP($A1079,PROPERTIES[VEHIDCODE],PROPERTIES[REGION3]&amp;"_"&amp;_xlfn.XLOOKUP($A1079,PROPERTIES[VEHIDCODE],PROPERTIES[REGION4])))</f>
        <v>#N/A</v>
      </c>
      <c r="G1079" t="b">
        <f t="shared" si="135"/>
        <v>0</v>
      </c>
      <c r="H1079" t="b">
        <f t="shared" si="142"/>
        <v>0</v>
      </c>
      <c r="I1079" t="b">
        <f t="shared" si="136"/>
        <v>0</v>
      </c>
      <c r="J1079" t="b">
        <f t="shared" si="143"/>
        <v>0</v>
      </c>
      <c r="K1079" t="b">
        <f t="shared" si="137"/>
        <v>0</v>
      </c>
      <c r="L1079" t="b">
        <f t="shared" si="138"/>
        <v>0</v>
      </c>
      <c r="M1079" t="b">
        <f t="shared" si="139"/>
        <v>0</v>
      </c>
      <c r="N1079" t="b">
        <f t="shared" si="140"/>
        <v>0</v>
      </c>
      <c r="O1079" t="b">
        <f t="shared" si="141"/>
        <v>0</v>
      </c>
    </row>
    <row r="1080" spans="2:15" x14ac:dyDescent="0.35">
      <c r="B1080" t="e" cm="1">
        <f t="array" ref="B1080">_xlfn.XLOOKUP(A1080,CONTROL[VEHIDCODE],PROPERTIES[EXCLUDE])</f>
        <v>#N/A</v>
      </c>
      <c r="C1080" t="e">
        <f>_xlfn.XLOOKUP(A1080,CONTROL[VEHIDCODE],CONTROL[IS_WAGON_OR_COACH])</f>
        <v>#N/A</v>
      </c>
      <c r="D1080" t="e">
        <f>FLOOR(_xlfn.XLOOKUP($A1080,PROPERTIES[VEHIDCODE],PROPERTIES[INTRODUCTION_YEAR]),20)</f>
        <v>#N/A</v>
      </c>
      <c r="E1080" t="e">
        <f>_xlfn.XLOOKUP($A1080,PROPERTIES[VEHIDCODE],#REF!)</f>
        <v>#REF!</v>
      </c>
      <c r="F1080" s="25" t="e" cm="1">
        <f t="array" ref="F1080">_xlfn.CONCAT(_xlfn.XLOOKUP($A1080,PROPERTIES[VEHIDCODE],PROPERTIES[REGION1]),"_",_xlfn.XLOOKUP($A1080,PROPERTIES[VEHIDCODE],PROPERTIES[REGION2]),"_",_xlfn.XLOOKUP($A1080,PROPERTIES[VEHIDCODE],PROPERTIES[REGION3]&amp;"_"&amp;_xlfn.XLOOKUP($A1080,PROPERTIES[VEHIDCODE],PROPERTIES[REGION4])))</f>
        <v>#N/A</v>
      </c>
      <c r="G1080" t="b">
        <f t="shared" si="135"/>
        <v>0</v>
      </c>
      <c r="H1080" t="b">
        <f t="shared" si="142"/>
        <v>0</v>
      </c>
      <c r="I1080" t="b">
        <f t="shared" si="136"/>
        <v>0</v>
      </c>
      <c r="J1080" t="b">
        <f t="shared" si="143"/>
        <v>0</v>
      </c>
      <c r="K1080" t="b">
        <f t="shared" si="137"/>
        <v>0</v>
      </c>
      <c r="L1080" t="b">
        <f t="shared" si="138"/>
        <v>0</v>
      </c>
      <c r="M1080" t="b">
        <f t="shared" si="139"/>
        <v>0</v>
      </c>
      <c r="N1080" t="b">
        <f t="shared" si="140"/>
        <v>0</v>
      </c>
      <c r="O1080" t="b">
        <f t="shared" si="141"/>
        <v>0</v>
      </c>
    </row>
    <row r="1081" spans="2:15" x14ac:dyDescent="0.35">
      <c r="B1081" t="e" cm="1">
        <f t="array" ref="B1081">_xlfn.XLOOKUP(A1081,CONTROL[VEHIDCODE],PROPERTIES[EXCLUDE])</f>
        <v>#N/A</v>
      </c>
      <c r="C1081" t="e">
        <f>_xlfn.XLOOKUP(A1081,CONTROL[VEHIDCODE],CONTROL[IS_WAGON_OR_COACH])</f>
        <v>#N/A</v>
      </c>
      <c r="D1081" t="e">
        <f>FLOOR(_xlfn.XLOOKUP($A1081,PROPERTIES[VEHIDCODE],PROPERTIES[INTRODUCTION_YEAR]),20)</f>
        <v>#N/A</v>
      </c>
      <c r="E1081" t="e">
        <f>_xlfn.XLOOKUP($A1081,PROPERTIES[VEHIDCODE],#REF!)</f>
        <v>#REF!</v>
      </c>
      <c r="F1081" s="25" t="e" cm="1">
        <f t="array" ref="F1081">_xlfn.CONCAT(_xlfn.XLOOKUP($A1081,PROPERTIES[VEHIDCODE],PROPERTIES[REGION1]),"_",_xlfn.XLOOKUP($A1081,PROPERTIES[VEHIDCODE],PROPERTIES[REGION2]),"_",_xlfn.XLOOKUP($A1081,PROPERTIES[VEHIDCODE],PROPERTIES[REGION3]&amp;"_"&amp;_xlfn.XLOOKUP($A1081,PROPERTIES[VEHIDCODE],PROPERTIES[REGION4])))</f>
        <v>#N/A</v>
      </c>
      <c r="G1081" t="b">
        <f t="shared" si="135"/>
        <v>0</v>
      </c>
      <c r="H1081" t="b">
        <f t="shared" si="142"/>
        <v>0</v>
      </c>
      <c r="I1081" t="b">
        <f t="shared" si="136"/>
        <v>0</v>
      </c>
      <c r="J1081" t="b">
        <f t="shared" si="143"/>
        <v>0</v>
      </c>
      <c r="K1081" t="b">
        <f t="shared" si="137"/>
        <v>0</v>
      </c>
      <c r="L1081" t="b">
        <f t="shared" si="138"/>
        <v>0</v>
      </c>
      <c r="M1081" t="b">
        <f t="shared" si="139"/>
        <v>0</v>
      </c>
      <c r="N1081" t="b">
        <f t="shared" si="140"/>
        <v>0</v>
      </c>
      <c r="O1081" t="b">
        <f t="shared" si="141"/>
        <v>0</v>
      </c>
    </row>
    <row r="1082" spans="2:15" x14ac:dyDescent="0.35">
      <c r="B1082" t="e" cm="1">
        <f t="array" ref="B1082">_xlfn.XLOOKUP(A1082,CONTROL[VEHIDCODE],PROPERTIES[EXCLUDE])</f>
        <v>#N/A</v>
      </c>
      <c r="C1082" t="e">
        <f>_xlfn.XLOOKUP(A1082,CONTROL[VEHIDCODE],CONTROL[IS_WAGON_OR_COACH])</f>
        <v>#N/A</v>
      </c>
      <c r="D1082" t="e">
        <f>FLOOR(_xlfn.XLOOKUP($A1082,PROPERTIES[VEHIDCODE],PROPERTIES[INTRODUCTION_YEAR]),20)</f>
        <v>#N/A</v>
      </c>
      <c r="E1082" t="e">
        <f>_xlfn.XLOOKUP($A1082,PROPERTIES[VEHIDCODE],#REF!)</f>
        <v>#REF!</v>
      </c>
      <c r="F1082" s="25" t="e" cm="1">
        <f t="array" ref="F1082">_xlfn.CONCAT(_xlfn.XLOOKUP($A1082,PROPERTIES[VEHIDCODE],PROPERTIES[REGION1]),"_",_xlfn.XLOOKUP($A1082,PROPERTIES[VEHIDCODE],PROPERTIES[REGION2]),"_",_xlfn.XLOOKUP($A1082,PROPERTIES[VEHIDCODE],PROPERTIES[REGION3]&amp;"_"&amp;_xlfn.XLOOKUP($A1082,PROPERTIES[VEHIDCODE],PROPERTIES[REGION4])))</f>
        <v>#N/A</v>
      </c>
      <c r="G1082" t="b">
        <f t="shared" si="135"/>
        <v>0</v>
      </c>
      <c r="H1082" t="b">
        <f t="shared" si="142"/>
        <v>0</v>
      </c>
      <c r="I1082" t="b">
        <f t="shared" si="136"/>
        <v>0</v>
      </c>
      <c r="J1082" t="b">
        <f t="shared" si="143"/>
        <v>0</v>
      </c>
      <c r="K1082" t="b">
        <f t="shared" si="137"/>
        <v>0</v>
      </c>
      <c r="L1082" t="b">
        <f t="shared" si="138"/>
        <v>0</v>
      </c>
      <c r="M1082" t="b">
        <f t="shared" si="139"/>
        <v>0</v>
      </c>
      <c r="N1082" t="b">
        <f t="shared" si="140"/>
        <v>0</v>
      </c>
      <c r="O1082" t="b">
        <f t="shared" si="141"/>
        <v>0</v>
      </c>
    </row>
    <row r="1083" spans="2:15" x14ac:dyDescent="0.35">
      <c r="B1083" t="e" cm="1">
        <f t="array" ref="B1083">_xlfn.XLOOKUP(A1083,CONTROL[VEHIDCODE],PROPERTIES[EXCLUDE])</f>
        <v>#N/A</v>
      </c>
      <c r="C1083" t="e">
        <f>_xlfn.XLOOKUP(A1083,CONTROL[VEHIDCODE],CONTROL[IS_WAGON_OR_COACH])</f>
        <v>#N/A</v>
      </c>
      <c r="D1083" t="e">
        <f>FLOOR(_xlfn.XLOOKUP($A1083,PROPERTIES[VEHIDCODE],PROPERTIES[INTRODUCTION_YEAR]),20)</f>
        <v>#N/A</v>
      </c>
      <c r="E1083" t="e">
        <f>_xlfn.XLOOKUP($A1083,PROPERTIES[VEHIDCODE],#REF!)</f>
        <v>#REF!</v>
      </c>
      <c r="F1083" s="25" t="e" cm="1">
        <f t="array" ref="F1083">_xlfn.CONCAT(_xlfn.XLOOKUP($A1083,PROPERTIES[VEHIDCODE],PROPERTIES[REGION1]),"_",_xlfn.XLOOKUP($A1083,PROPERTIES[VEHIDCODE],PROPERTIES[REGION2]),"_",_xlfn.XLOOKUP($A1083,PROPERTIES[VEHIDCODE],PROPERTIES[REGION3]&amp;"_"&amp;_xlfn.XLOOKUP($A1083,PROPERTIES[VEHIDCODE],PROPERTIES[REGION4])))</f>
        <v>#N/A</v>
      </c>
      <c r="G1083" t="b">
        <f t="shared" si="135"/>
        <v>0</v>
      </c>
      <c r="H1083" t="b">
        <f t="shared" si="142"/>
        <v>0</v>
      </c>
      <c r="I1083" t="b">
        <f t="shared" si="136"/>
        <v>0</v>
      </c>
      <c r="J1083" t="b">
        <f t="shared" si="143"/>
        <v>0</v>
      </c>
      <c r="K1083" t="b">
        <f t="shared" si="137"/>
        <v>0</v>
      </c>
      <c r="L1083" t="b">
        <f t="shared" si="138"/>
        <v>0</v>
      </c>
      <c r="M1083" t="b">
        <f t="shared" si="139"/>
        <v>0</v>
      </c>
      <c r="N1083" t="b">
        <f t="shared" si="140"/>
        <v>0</v>
      </c>
      <c r="O1083" t="b">
        <f t="shared" si="141"/>
        <v>0</v>
      </c>
    </row>
    <row r="1084" spans="2:15" x14ac:dyDescent="0.35">
      <c r="B1084" t="e" cm="1">
        <f t="array" ref="B1084">_xlfn.XLOOKUP(A1084,CONTROL[VEHIDCODE],PROPERTIES[EXCLUDE])</f>
        <v>#N/A</v>
      </c>
      <c r="C1084" t="e">
        <f>_xlfn.XLOOKUP(A1084,CONTROL[VEHIDCODE],CONTROL[IS_WAGON_OR_COACH])</f>
        <v>#N/A</v>
      </c>
      <c r="D1084" t="e">
        <f>FLOOR(_xlfn.XLOOKUP($A1084,PROPERTIES[VEHIDCODE],PROPERTIES[INTRODUCTION_YEAR]),20)</f>
        <v>#N/A</v>
      </c>
      <c r="E1084" t="e">
        <f>_xlfn.XLOOKUP($A1084,PROPERTIES[VEHIDCODE],#REF!)</f>
        <v>#REF!</v>
      </c>
      <c r="F1084" s="25" t="e" cm="1">
        <f t="array" ref="F1084">_xlfn.CONCAT(_xlfn.XLOOKUP($A1084,PROPERTIES[VEHIDCODE],PROPERTIES[REGION1]),"_",_xlfn.XLOOKUP($A1084,PROPERTIES[VEHIDCODE],PROPERTIES[REGION2]),"_",_xlfn.XLOOKUP($A1084,PROPERTIES[VEHIDCODE],PROPERTIES[REGION3]&amp;"_"&amp;_xlfn.XLOOKUP($A1084,PROPERTIES[VEHIDCODE],PROPERTIES[REGION4])))</f>
        <v>#N/A</v>
      </c>
      <c r="G1084" t="b">
        <f t="shared" si="135"/>
        <v>0</v>
      </c>
      <c r="H1084" t="b">
        <f t="shared" si="142"/>
        <v>0</v>
      </c>
      <c r="I1084" t="b">
        <f t="shared" si="136"/>
        <v>0</v>
      </c>
      <c r="J1084" t="b">
        <f t="shared" si="143"/>
        <v>0</v>
      </c>
      <c r="K1084" t="b">
        <f t="shared" si="137"/>
        <v>0</v>
      </c>
      <c r="L1084" t="b">
        <f t="shared" si="138"/>
        <v>0</v>
      </c>
      <c r="M1084" t="b">
        <f t="shared" si="139"/>
        <v>0</v>
      </c>
      <c r="N1084" t="b">
        <f t="shared" si="140"/>
        <v>0</v>
      </c>
      <c r="O1084" t="b">
        <f t="shared" si="141"/>
        <v>0</v>
      </c>
    </row>
    <row r="1085" spans="2:15" x14ac:dyDescent="0.35">
      <c r="B1085" t="e" cm="1">
        <f t="array" ref="B1085">_xlfn.XLOOKUP(A1085,CONTROL[VEHIDCODE],PROPERTIES[EXCLUDE])</f>
        <v>#N/A</v>
      </c>
      <c r="C1085" t="e">
        <f>_xlfn.XLOOKUP(A1085,CONTROL[VEHIDCODE],CONTROL[IS_WAGON_OR_COACH])</f>
        <v>#N/A</v>
      </c>
      <c r="D1085" t="e">
        <f>FLOOR(_xlfn.XLOOKUP($A1085,PROPERTIES[VEHIDCODE],PROPERTIES[INTRODUCTION_YEAR]),20)</f>
        <v>#N/A</v>
      </c>
      <c r="E1085" t="e">
        <f>_xlfn.XLOOKUP($A1085,PROPERTIES[VEHIDCODE],#REF!)</f>
        <v>#REF!</v>
      </c>
      <c r="F1085" s="25" t="e" cm="1">
        <f t="array" ref="F1085">_xlfn.CONCAT(_xlfn.XLOOKUP($A1085,PROPERTIES[VEHIDCODE],PROPERTIES[REGION1]),"_",_xlfn.XLOOKUP($A1085,PROPERTIES[VEHIDCODE],PROPERTIES[REGION2]),"_",_xlfn.XLOOKUP($A1085,PROPERTIES[VEHIDCODE],PROPERTIES[REGION3]&amp;"_"&amp;_xlfn.XLOOKUP($A1085,PROPERTIES[VEHIDCODE],PROPERTIES[REGION4])))</f>
        <v>#N/A</v>
      </c>
      <c r="G1085" t="b">
        <f t="shared" si="135"/>
        <v>0</v>
      </c>
      <c r="H1085" t="b">
        <f t="shared" si="142"/>
        <v>0</v>
      </c>
      <c r="I1085" t="b">
        <f t="shared" si="136"/>
        <v>0</v>
      </c>
      <c r="J1085" t="b">
        <f t="shared" si="143"/>
        <v>0</v>
      </c>
      <c r="K1085" t="b">
        <f t="shared" si="137"/>
        <v>0</v>
      </c>
      <c r="L1085" t="b">
        <f t="shared" si="138"/>
        <v>0</v>
      </c>
      <c r="M1085" t="b">
        <f t="shared" si="139"/>
        <v>0</v>
      </c>
      <c r="N1085" t="b">
        <f t="shared" si="140"/>
        <v>0</v>
      </c>
      <c r="O1085" t="b">
        <f t="shared" si="141"/>
        <v>0</v>
      </c>
    </row>
    <row r="1086" spans="2:15" x14ac:dyDescent="0.35">
      <c r="B1086" t="e" cm="1">
        <f t="array" ref="B1086">_xlfn.XLOOKUP(A1086,CONTROL[VEHIDCODE],PROPERTIES[EXCLUDE])</f>
        <v>#N/A</v>
      </c>
      <c r="C1086" t="e">
        <f>_xlfn.XLOOKUP(A1086,CONTROL[VEHIDCODE],CONTROL[IS_WAGON_OR_COACH])</f>
        <v>#N/A</v>
      </c>
      <c r="D1086" t="e">
        <f>FLOOR(_xlfn.XLOOKUP($A1086,PROPERTIES[VEHIDCODE],PROPERTIES[INTRODUCTION_YEAR]),20)</f>
        <v>#N/A</v>
      </c>
      <c r="E1086" t="e">
        <f>_xlfn.XLOOKUP($A1086,PROPERTIES[VEHIDCODE],#REF!)</f>
        <v>#REF!</v>
      </c>
      <c r="F1086" s="25" t="e" cm="1">
        <f t="array" ref="F1086">_xlfn.CONCAT(_xlfn.XLOOKUP($A1086,PROPERTIES[VEHIDCODE],PROPERTIES[REGION1]),"_",_xlfn.XLOOKUP($A1086,PROPERTIES[VEHIDCODE],PROPERTIES[REGION2]),"_",_xlfn.XLOOKUP($A1086,PROPERTIES[VEHIDCODE],PROPERTIES[REGION3]&amp;"_"&amp;_xlfn.XLOOKUP($A1086,PROPERTIES[VEHIDCODE],PROPERTIES[REGION4])))</f>
        <v>#N/A</v>
      </c>
      <c r="G1086" t="b">
        <f t="shared" si="135"/>
        <v>0</v>
      </c>
      <c r="H1086" t="b">
        <f t="shared" si="142"/>
        <v>0</v>
      </c>
      <c r="I1086" t="b">
        <f t="shared" si="136"/>
        <v>0</v>
      </c>
      <c r="J1086" t="b">
        <f t="shared" si="143"/>
        <v>0</v>
      </c>
      <c r="K1086" t="b">
        <f t="shared" si="137"/>
        <v>0</v>
      </c>
      <c r="L1086" t="b">
        <f t="shared" si="138"/>
        <v>0</v>
      </c>
      <c r="M1086" t="b">
        <f t="shared" si="139"/>
        <v>0</v>
      </c>
      <c r="N1086" t="b">
        <f t="shared" si="140"/>
        <v>0</v>
      </c>
      <c r="O1086" t="b">
        <f t="shared" si="141"/>
        <v>0</v>
      </c>
    </row>
    <row r="1087" spans="2:15" x14ac:dyDescent="0.35">
      <c r="B1087" t="e" cm="1">
        <f t="array" ref="B1087">_xlfn.XLOOKUP(A1087,CONTROL[VEHIDCODE],PROPERTIES[EXCLUDE])</f>
        <v>#N/A</v>
      </c>
      <c r="C1087" t="e">
        <f>_xlfn.XLOOKUP(A1087,CONTROL[VEHIDCODE],CONTROL[IS_WAGON_OR_COACH])</f>
        <v>#N/A</v>
      </c>
      <c r="D1087" t="e">
        <f>FLOOR(_xlfn.XLOOKUP($A1087,PROPERTIES[VEHIDCODE],PROPERTIES[INTRODUCTION_YEAR]),20)</f>
        <v>#N/A</v>
      </c>
      <c r="E1087" t="e">
        <f>_xlfn.XLOOKUP($A1087,PROPERTIES[VEHIDCODE],#REF!)</f>
        <v>#REF!</v>
      </c>
      <c r="F1087" s="25" t="e" cm="1">
        <f t="array" ref="F1087">_xlfn.CONCAT(_xlfn.XLOOKUP($A1087,PROPERTIES[VEHIDCODE],PROPERTIES[REGION1]),"_",_xlfn.XLOOKUP($A1087,PROPERTIES[VEHIDCODE],PROPERTIES[REGION2]),"_",_xlfn.XLOOKUP($A1087,PROPERTIES[VEHIDCODE],PROPERTIES[REGION3]&amp;"_"&amp;_xlfn.XLOOKUP($A1087,PROPERTIES[VEHIDCODE],PROPERTIES[REGION4])))</f>
        <v>#N/A</v>
      </c>
      <c r="G1087" t="b">
        <f t="shared" si="135"/>
        <v>0</v>
      </c>
      <c r="H1087" t="b">
        <f t="shared" si="142"/>
        <v>0</v>
      </c>
      <c r="I1087" t="b">
        <f t="shared" si="136"/>
        <v>0</v>
      </c>
      <c r="J1087" t="b">
        <f t="shared" si="143"/>
        <v>0</v>
      </c>
      <c r="K1087" t="b">
        <f t="shared" si="137"/>
        <v>0</v>
      </c>
      <c r="L1087" t="b">
        <f t="shared" si="138"/>
        <v>0</v>
      </c>
      <c r="M1087" t="b">
        <f t="shared" si="139"/>
        <v>0</v>
      </c>
      <c r="N1087" t="b">
        <f t="shared" si="140"/>
        <v>0</v>
      </c>
      <c r="O1087" t="b">
        <f t="shared" si="141"/>
        <v>0</v>
      </c>
    </row>
    <row r="1088" spans="2:15" x14ac:dyDescent="0.35">
      <c r="B1088" t="e" cm="1">
        <f t="array" ref="B1088">_xlfn.XLOOKUP(A1088,CONTROL[VEHIDCODE],PROPERTIES[EXCLUDE])</f>
        <v>#N/A</v>
      </c>
      <c r="C1088" t="e">
        <f>_xlfn.XLOOKUP(A1088,CONTROL[VEHIDCODE],CONTROL[IS_WAGON_OR_COACH])</f>
        <v>#N/A</v>
      </c>
      <c r="D1088" t="e">
        <f>FLOOR(_xlfn.XLOOKUP($A1088,PROPERTIES[VEHIDCODE],PROPERTIES[INTRODUCTION_YEAR]),20)</f>
        <v>#N/A</v>
      </c>
      <c r="E1088" t="e">
        <f>_xlfn.XLOOKUP($A1088,PROPERTIES[VEHIDCODE],#REF!)</f>
        <v>#REF!</v>
      </c>
      <c r="F1088" s="25" t="e" cm="1">
        <f t="array" ref="F1088">_xlfn.CONCAT(_xlfn.XLOOKUP($A1088,PROPERTIES[VEHIDCODE],PROPERTIES[REGION1]),"_",_xlfn.XLOOKUP($A1088,PROPERTIES[VEHIDCODE],PROPERTIES[REGION2]),"_",_xlfn.XLOOKUP($A1088,PROPERTIES[VEHIDCODE],PROPERTIES[REGION3]&amp;"_"&amp;_xlfn.XLOOKUP($A1088,PROPERTIES[VEHIDCODE],PROPERTIES[REGION4])))</f>
        <v>#N/A</v>
      </c>
      <c r="G1088" t="b">
        <f t="shared" si="135"/>
        <v>0</v>
      </c>
      <c r="H1088" t="b">
        <f t="shared" si="142"/>
        <v>0</v>
      </c>
      <c r="I1088" t="b">
        <f t="shared" si="136"/>
        <v>0</v>
      </c>
      <c r="J1088" t="b">
        <f t="shared" si="143"/>
        <v>0</v>
      </c>
      <c r="K1088" t="b">
        <f t="shared" si="137"/>
        <v>0</v>
      </c>
      <c r="L1088" t="b">
        <f t="shared" si="138"/>
        <v>0</v>
      </c>
      <c r="M1088" t="b">
        <f t="shared" si="139"/>
        <v>0</v>
      </c>
      <c r="N1088" t="b">
        <f t="shared" si="140"/>
        <v>0</v>
      </c>
      <c r="O1088" t="b">
        <f t="shared" si="141"/>
        <v>0</v>
      </c>
    </row>
    <row r="1089" spans="2:15" x14ac:dyDescent="0.35">
      <c r="B1089" t="e" cm="1">
        <f t="array" ref="B1089">_xlfn.XLOOKUP(A1089,CONTROL[VEHIDCODE],PROPERTIES[EXCLUDE])</f>
        <v>#N/A</v>
      </c>
      <c r="C1089" t="e">
        <f>_xlfn.XLOOKUP(A1089,CONTROL[VEHIDCODE],CONTROL[IS_WAGON_OR_COACH])</f>
        <v>#N/A</v>
      </c>
      <c r="D1089" t="e">
        <f>FLOOR(_xlfn.XLOOKUP($A1089,PROPERTIES[VEHIDCODE],PROPERTIES[INTRODUCTION_YEAR]),20)</f>
        <v>#N/A</v>
      </c>
      <c r="E1089" t="e">
        <f>_xlfn.XLOOKUP($A1089,PROPERTIES[VEHIDCODE],#REF!)</f>
        <v>#REF!</v>
      </c>
      <c r="F1089" s="25" t="e" cm="1">
        <f t="array" ref="F1089">_xlfn.CONCAT(_xlfn.XLOOKUP($A1089,PROPERTIES[VEHIDCODE],PROPERTIES[REGION1]),"_",_xlfn.XLOOKUP($A1089,PROPERTIES[VEHIDCODE],PROPERTIES[REGION2]),"_",_xlfn.XLOOKUP($A1089,PROPERTIES[VEHIDCODE],PROPERTIES[REGION3]&amp;"_"&amp;_xlfn.XLOOKUP($A1089,PROPERTIES[VEHIDCODE],PROPERTIES[REGION4])))</f>
        <v>#N/A</v>
      </c>
      <c r="G1089" t="b">
        <f t="shared" si="135"/>
        <v>0</v>
      </c>
      <c r="H1089" t="b">
        <f t="shared" si="142"/>
        <v>0</v>
      </c>
      <c r="I1089" t="b">
        <f t="shared" si="136"/>
        <v>0</v>
      </c>
      <c r="J1089" t="b">
        <f t="shared" si="143"/>
        <v>0</v>
      </c>
      <c r="K1089" t="b">
        <f t="shared" si="137"/>
        <v>0</v>
      </c>
      <c r="L1089" t="b">
        <f t="shared" si="138"/>
        <v>0</v>
      </c>
      <c r="M1089" t="b">
        <f t="shared" si="139"/>
        <v>0</v>
      </c>
      <c r="N1089" t="b">
        <f t="shared" si="140"/>
        <v>0</v>
      </c>
      <c r="O1089" t="b">
        <f t="shared" si="141"/>
        <v>0</v>
      </c>
    </row>
    <row r="1090" spans="2:15" x14ac:dyDescent="0.35">
      <c r="B1090" t="e" cm="1">
        <f t="array" ref="B1090">_xlfn.XLOOKUP(A1090,CONTROL[VEHIDCODE],PROPERTIES[EXCLUDE])</f>
        <v>#N/A</v>
      </c>
      <c r="C1090" t="e">
        <f>_xlfn.XLOOKUP(A1090,CONTROL[VEHIDCODE],CONTROL[IS_WAGON_OR_COACH])</f>
        <v>#N/A</v>
      </c>
      <c r="D1090" t="e">
        <f>FLOOR(_xlfn.XLOOKUP($A1090,PROPERTIES[VEHIDCODE],PROPERTIES[INTRODUCTION_YEAR]),20)</f>
        <v>#N/A</v>
      </c>
      <c r="E1090" t="e">
        <f>_xlfn.XLOOKUP($A1090,PROPERTIES[VEHIDCODE],#REF!)</f>
        <v>#REF!</v>
      </c>
      <c r="F1090" s="25" t="e" cm="1">
        <f t="array" ref="F1090">_xlfn.CONCAT(_xlfn.XLOOKUP($A1090,PROPERTIES[VEHIDCODE],PROPERTIES[REGION1]),"_",_xlfn.XLOOKUP($A1090,PROPERTIES[VEHIDCODE],PROPERTIES[REGION2]),"_",_xlfn.XLOOKUP($A1090,PROPERTIES[VEHIDCODE],PROPERTIES[REGION3]&amp;"_"&amp;_xlfn.XLOOKUP($A1090,PROPERTIES[VEHIDCODE],PROPERTIES[REGION4])))</f>
        <v>#N/A</v>
      </c>
      <c r="G1090" t="b">
        <f t="shared" si="135"/>
        <v>0</v>
      </c>
      <c r="H1090" t="b">
        <f t="shared" si="142"/>
        <v>0</v>
      </c>
      <c r="I1090" t="b">
        <f t="shared" si="136"/>
        <v>0</v>
      </c>
      <c r="J1090" t="b">
        <f t="shared" si="143"/>
        <v>0</v>
      </c>
      <c r="K1090" t="b">
        <f t="shared" si="137"/>
        <v>0</v>
      </c>
      <c r="L1090" t="b">
        <f t="shared" si="138"/>
        <v>0</v>
      </c>
      <c r="M1090" t="b">
        <f t="shared" si="139"/>
        <v>0</v>
      </c>
      <c r="N1090" t="b">
        <f t="shared" si="140"/>
        <v>0</v>
      </c>
      <c r="O1090" t="b">
        <f t="shared" si="141"/>
        <v>0</v>
      </c>
    </row>
    <row r="1091" spans="2:15" x14ac:dyDescent="0.35">
      <c r="B1091" t="e" cm="1">
        <f t="array" ref="B1091">_xlfn.XLOOKUP(A1091,CONTROL[VEHIDCODE],PROPERTIES[EXCLUDE])</f>
        <v>#N/A</v>
      </c>
      <c r="C1091" t="e">
        <f>_xlfn.XLOOKUP(A1091,CONTROL[VEHIDCODE],CONTROL[IS_WAGON_OR_COACH])</f>
        <v>#N/A</v>
      </c>
      <c r="D1091" t="e">
        <f>FLOOR(_xlfn.XLOOKUP($A1091,PROPERTIES[VEHIDCODE],PROPERTIES[INTRODUCTION_YEAR]),20)</f>
        <v>#N/A</v>
      </c>
      <c r="E1091" t="e">
        <f>_xlfn.XLOOKUP($A1091,PROPERTIES[VEHIDCODE],#REF!)</f>
        <v>#REF!</v>
      </c>
      <c r="F1091" s="25" t="e" cm="1">
        <f t="array" ref="F1091">_xlfn.CONCAT(_xlfn.XLOOKUP($A1091,PROPERTIES[VEHIDCODE],PROPERTIES[REGION1]),"_",_xlfn.XLOOKUP($A1091,PROPERTIES[VEHIDCODE],PROPERTIES[REGION2]),"_",_xlfn.XLOOKUP($A1091,PROPERTIES[VEHIDCODE],PROPERTIES[REGION3]&amp;"_"&amp;_xlfn.XLOOKUP($A1091,PROPERTIES[VEHIDCODE],PROPERTIES[REGION4])))</f>
        <v>#N/A</v>
      </c>
      <c r="G1091" t="b">
        <f t="shared" si="135"/>
        <v>0</v>
      </c>
      <c r="H1091" t="b">
        <f t="shared" si="142"/>
        <v>0</v>
      </c>
      <c r="I1091" t="b">
        <f t="shared" si="136"/>
        <v>0</v>
      </c>
      <c r="J1091" t="b">
        <f t="shared" si="143"/>
        <v>0</v>
      </c>
      <c r="K1091" t="b">
        <f t="shared" si="137"/>
        <v>0</v>
      </c>
      <c r="L1091" t="b">
        <f t="shared" si="138"/>
        <v>0</v>
      </c>
      <c r="M1091" t="b">
        <f t="shared" si="139"/>
        <v>0</v>
      </c>
      <c r="N1091" t="b">
        <f t="shared" si="140"/>
        <v>0</v>
      </c>
      <c r="O1091" t="b">
        <f t="shared" si="141"/>
        <v>0</v>
      </c>
    </row>
    <row r="1092" spans="2:15" x14ac:dyDescent="0.35">
      <c r="B1092" t="e" cm="1">
        <f t="array" ref="B1092">_xlfn.XLOOKUP(A1092,CONTROL[VEHIDCODE],PROPERTIES[EXCLUDE])</f>
        <v>#N/A</v>
      </c>
      <c r="C1092" t="e">
        <f>_xlfn.XLOOKUP(A1092,CONTROL[VEHIDCODE],CONTROL[IS_WAGON_OR_COACH])</f>
        <v>#N/A</v>
      </c>
      <c r="D1092" t="e">
        <f>FLOOR(_xlfn.XLOOKUP($A1092,PROPERTIES[VEHIDCODE],PROPERTIES[INTRODUCTION_YEAR]),20)</f>
        <v>#N/A</v>
      </c>
      <c r="E1092" t="e">
        <f>_xlfn.XLOOKUP($A1092,PROPERTIES[VEHIDCODE],#REF!)</f>
        <v>#REF!</v>
      </c>
      <c r="F1092" s="25" t="e" cm="1">
        <f t="array" ref="F1092">_xlfn.CONCAT(_xlfn.XLOOKUP($A1092,PROPERTIES[VEHIDCODE],PROPERTIES[REGION1]),"_",_xlfn.XLOOKUP($A1092,PROPERTIES[VEHIDCODE],PROPERTIES[REGION2]),"_",_xlfn.XLOOKUP($A1092,PROPERTIES[VEHIDCODE],PROPERTIES[REGION3]&amp;"_"&amp;_xlfn.XLOOKUP($A1092,PROPERTIES[VEHIDCODE],PROPERTIES[REGION4])))</f>
        <v>#N/A</v>
      </c>
      <c r="G1092" t="b">
        <f t="shared" si="135"/>
        <v>0</v>
      </c>
      <c r="H1092" t="b">
        <f t="shared" si="142"/>
        <v>0</v>
      </c>
      <c r="I1092" t="b">
        <f t="shared" si="136"/>
        <v>0</v>
      </c>
      <c r="J1092" t="b">
        <f t="shared" si="143"/>
        <v>0</v>
      </c>
      <c r="K1092" t="b">
        <f t="shared" si="137"/>
        <v>0</v>
      </c>
      <c r="L1092" t="b">
        <f t="shared" si="138"/>
        <v>0</v>
      </c>
      <c r="M1092" t="b">
        <f t="shared" si="139"/>
        <v>0</v>
      </c>
      <c r="N1092" t="b">
        <f t="shared" si="140"/>
        <v>0</v>
      </c>
      <c r="O1092" t="b">
        <f t="shared" si="141"/>
        <v>0</v>
      </c>
    </row>
    <row r="1093" spans="2:15" x14ac:dyDescent="0.35">
      <c r="B1093" t="e" cm="1">
        <f t="array" ref="B1093">_xlfn.XLOOKUP(A1093,CONTROL[VEHIDCODE],PROPERTIES[EXCLUDE])</f>
        <v>#N/A</v>
      </c>
      <c r="C1093" t="e">
        <f>_xlfn.XLOOKUP(A1093,CONTROL[VEHIDCODE],CONTROL[IS_WAGON_OR_COACH])</f>
        <v>#N/A</v>
      </c>
      <c r="D1093" t="e">
        <f>FLOOR(_xlfn.XLOOKUP($A1093,PROPERTIES[VEHIDCODE],PROPERTIES[INTRODUCTION_YEAR]),20)</f>
        <v>#N/A</v>
      </c>
      <c r="E1093" t="e">
        <f>_xlfn.XLOOKUP($A1093,PROPERTIES[VEHIDCODE],#REF!)</f>
        <v>#REF!</v>
      </c>
      <c r="F1093" s="25" t="e" cm="1">
        <f t="array" ref="F1093">_xlfn.CONCAT(_xlfn.XLOOKUP($A1093,PROPERTIES[VEHIDCODE],PROPERTIES[REGION1]),"_",_xlfn.XLOOKUP($A1093,PROPERTIES[VEHIDCODE],PROPERTIES[REGION2]),"_",_xlfn.XLOOKUP($A1093,PROPERTIES[VEHIDCODE],PROPERTIES[REGION3]&amp;"_"&amp;_xlfn.XLOOKUP($A1093,PROPERTIES[VEHIDCODE],PROPERTIES[REGION4])))</f>
        <v>#N/A</v>
      </c>
      <c r="G1093" t="b">
        <f t="shared" si="135"/>
        <v>0</v>
      </c>
      <c r="H1093" t="b">
        <f t="shared" si="142"/>
        <v>0</v>
      </c>
      <c r="I1093" t="b">
        <f t="shared" si="136"/>
        <v>0</v>
      </c>
      <c r="J1093" t="b">
        <f t="shared" si="143"/>
        <v>0</v>
      </c>
      <c r="K1093" t="b">
        <f t="shared" si="137"/>
        <v>0</v>
      </c>
      <c r="L1093" t="b">
        <f t="shared" si="138"/>
        <v>0</v>
      </c>
      <c r="M1093" t="b">
        <f t="shared" si="139"/>
        <v>0</v>
      </c>
      <c r="N1093" t="b">
        <f t="shared" si="140"/>
        <v>0</v>
      </c>
      <c r="O1093" t="b">
        <f t="shared" si="141"/>
        <v>0</v>
      </c>
    </row>
    <row r="1094" spans="2:15" x14ac:dyDescent="0.35">
      <c r="B1094" t="e" cm="1">
        <f t="array" ref="B1094">_xlfn.XLOOKUP(A1094,CONTROL[VEHIDCODE],PROPERTIES[EXCLUDE])</f>
        <v>#N/A</v>
      </c>
      <c r="C1094" t="e">
        <f>_xlfn.XLOOKUP(A1094,CONTROL[VEHIDCODE],CONTROL[IS_WAGON_OR_COACH])</f>
        <v>#N/A</v>
      </c>
      <c r="D1094" t="e">
        <f>FLOOR(_xlfn.XLOOKUP($A1094,PROPERTIES[VEHIDCODE],PROPERTIES[INTRODUCTION_YEAR]),20)</f>
        <v>#N/A</v>
      </c>
      <c r="E1094" t="e">
        <f>_xlfn.XLOOKUP($A1094,PROPERTIES[VEHIDCODE],#REF!)</f>
        <v>#REF!</v>
      </c>
      <c r="F1094" s="25" t="e" cm="1">
        <f t="array" ref="F1094">_xlfn.CONCAT(_xlfn.XLOOKUP($A1094,PROPERTIES[VEHIDCODE],PROPERTIES[REGION1]),"_",_xlfn.XLOOKUP($A1094,PROPERTIES[VEHIDCODE],PROPERTIES[REGION2]),"_",_xlfn.XLOOKUP($A1094,PROPERTIES[VEHIDCODE],PROPERTIES[REGION3]&amp;"_"&amp;_xlfn.XLOOKUP($A1094,PROPERTIES[VEHIDCODE],PROPERTIES[REGION4])))</f>
        <v>#N/A</v>
      </c>
      <c r="G1094" t="b">
        <f t="shared" si="135"/>
        <v>0</v>
      </c>
      <c r="H1094" t="b">
        <f t="shared" si="142"/>
        <v>0</v>
      </c>
      <c r="I1094" t="b">
        <f t="shared" si="136"/>
        <v>0</v>
      </c>
      <c r="J1094" t="b">
        <f t="shared" si="143"/>
        <v>0</v>
      </c>
      <c r="K1094" t="b">
        <f t="shared" si="137"/>
        <v>0</v>
      </c>
      <c r="L1094" t="b">
        <f t="shared" si="138"/>
        <v>0</v>
      </c>
      <c r="M1094" t="b">
        <f t="shared" si="139"/>
        <v>0</v>
      </c>
      <c r="N1094" t="b">
        <f t="shared" si="140"/>
        <v>0</v>
      </c>
      <c r="O1094" t="b">
        <f t="shared" si="141"/>
        <v>0</v>
      </c>
    </row>
    <row r="1095" spans="2:15" x14ac:dyDescent="0.35">
      <c r="B1095" t="e" cm="1">
        <f t="array" ref="B1095">_xlfn.XLOOKUP(A1095,CONTROL[VEHIDCODE],PROPERTIES[EXCLUDE])</f>
        <v>#N/A</v>
      </c>
      <c r="C1095" t="e">
        <f>_xlfn.XLOOKUP(A1095,CONTROL[VEHIDCODE],CONTROL[IS_WAGON_OR_COACH])</f>
        <v>#N/A</v>
      </c>
      <c r="D1095" t="e">
        <f>FLOOR(_xlfn.XLOOKUP($A1095,PROPERTIES[VEHIDCODE],PROPERTIES[INTRODUCTION_YEAR]),20)</f>
        <v>#N/A</v>
      </c>
      <c r="E1095" t="e">
        <f>_xlfn.XLOOKUP($A1095,PROPERTIES[VEHIDCODE],#REF!)</f>
        <v>#REF!</v>
      </c>
      <c r="F1095" s="25" t="e" cm="1">
        <f t="array" ref="F1095">_xlfn.CONCAT(_xlfn.XLOOKUP($A1095,PROPERTIES[VEHIDCODE],PROPERTIES[REGION1]),"_",_xlfn.XLOOKUP($A1095,PROPERTIES[VEHIDCODE],PROPERTIES[REGION2]),"_",_xlfn.XLOOKUP($A1095,PROPERTIES[VEHIDCODE],PROPERTIES[REGION3]&amp;"_"&amp;_xlfn.XLOOKUP($A1095,PROPERTIES[VEHIDCODE],PROPERTIES[REGION4])))</f>
        <v>#N/A</v>
      </c>
      <c r="G1095" t="b">
        <f t="shared" si="135"/>
        <v>0</v>
      </c>
      <c r="H1095" t="b">
        <f t="shared" si="142"/>
        <v>0</v>
      </c>
      <c r="I1095" t="b">
        <f t="shared" si="136"/>
        <v>0</v>
      </c>
      <c r="J1095" t="b">
        <f t="shared" si="143"/>
        <v>0</v>
      </c>
      <c r="K1095" t="b">
        <f t="shared" si="137"/>
        <v>0</v>
      </c>
      <c r="L1095" t="b">
        <f t="shared" si="138"/>
        <v>0</v>
      </c>
      <c r="M1095" t="b">
        <f t="shared" si="139"/>
        <v>0</v>
      </c>
      <c r="N1095" t="b">
        <f t="shared" si="140"/>
        <v>0</v>
      </c>
      <c r="O1095" t="b">
        <f t="shared" si="141"/>
        <v>0</v>
      </c>
    </row>
    <row r="1096" spans="2:15" x14ac:dyDescent="0.35">
      <c r="B1096" t="e" cm="1">
        <f t="array" ref="B1096">_xlfn.XLOOKUP(A1096,CONTROL[VEHIDCODE],PROPERTIES[EXCLUDE])</f>
        <v>#N/A</v>
      </c>
      <c r="C1096" t="e">
        <f>_xlfn.XLOOKUP(A1096,CONTROL[VEHIDCODE],CONTROL[IS_WAGON_OR_COACH])</f>
        <v>#N/A</v>
      </c>
      <c r="D1096" t="e">
        <f>FLOOR(_xlfn.XLOOKUP($A1096,PROPERTIES[VEHIDCODE],PROPERTIES[INTRODUCTION_YEAR]),20)</f>
        <v>#N/A</v>
      </c>
      <c r="E1096" t="e">
        <f>_xlfn.XLOOKUP($A1096,PROPERTIES[VEHIDCODE],#REF!)</f>
        <v>#REF!</v>
      </c>
      <c r="F1096" s="25" t="e" cm="1">
        <f t="array" ref="F1096">_xlfn.CONCAT(_xlfn.XLOOKUP($A1096,PROPERTIES[VEHIDCODE],PROPERTIES[REGION1]),"_",_xlfn.XLOOKUP($A1096,PROPERTIES[VEHIDCODE],PROPERTIES[REGION2]),"_",_xlfn.XLOOKUP($A1096,PROPERTIES[VEHIDCODE],PROPERTIES[REGION3]&amp;"_"&amp;_xlfn.XLOOKUP($A1096,PROPERTIES[VEHIDCODE],PROPERTIES[REGION4])))</f>
        <v>#N/A</v>
      </c>
      <c r="G1096" t="b">
        <f t="shared" si="135"/>
        <v>0</v>
      </c>
      <c r="H1096" t="b">
        <f t="shared" si="142"/>
        <v>0</v>
      </c>
      <c r="I1096" t="b">
        <f t="shared" si="136"/>
        <v>0</v>
      </c>
      <c r="J1096" t="b">
        <f t="shared" si="143"/>
        <v>0</v>
      </c>
      <c r="K1096" t="b">
        <f t="shared" si="137"/>
        <v>0</v>
      </c>
      <c r="L1096" t="b">
        <f t="shared" si="138"/>
        <v>0</v>
      </c>
      <c r="M1096" t="b">
        <f t="shared" si="139"/>
        <v>0</v>
      </c>
      <c r="N1096" t="b">
        <f t="shared" si="140"/>
        <v>0</v>
      </c>
      <c r="O1096" t="b">
        <f t="shared" si="141"/>
        <v>0</v>
      </c>
    </row>
    <row r="1097" spans="2:15" x14ac:dyDescent="0.35">
      <c r="B1097" t="e" cm="1">
        <f t="array" ref="B1097">_xlfn.XLOOKUP(A1097,CONTROL[VEHIDCODE],PROPERTIES[EXCLUDE])</f>
        <v>#N/A</v>
      </c>
      <c r="C1097" t="e">
        <f>_xlfn.XLOOKUP(A1097,CONTROL[VEHIDCODE],CONTROL[IS_WAGON_OR_COACH])</f>
        <v>#N/A</v>
      </c>
      <c r="D1097" t="e">
        <f>FLOOR(_xlfn.XLOOKUP($A1097,PROPERTIES[VEHIDCODE],PROPERTIES[INTRODUCTION_YEAR]),20)</f>
        <v>#N/A</v>
      </c>
      <c r="E1097" t="e">
        <f>_xlfn.XLOOKUP($A1097,PROPERTIES[VEHIDCODE],#REF!)</f>
        <v>#REF!</v>
      </c>
      <c r="F1097" s="25" t="e" cm="1">
        <f t="array" ref="F1097">_xlfn.CONCAT(_xlfn.XLOOKUP($A1097,PROPERTIES[VEHIDCODE],PROPERTIES[REGION1]),"_",_xlfn.XLOOKUP($A1097,PROPERTIES[VEHIDCODE],PROPERTIES[REGION2]),"_",_xlfn.XLOOKUP($A1097,PROPERTIES[VEHIDCODE],PROPERTIES[REGION3]&amp;"_"&amp;_xlfn.XLOOKUP($A1097,PROPERTIES[VEHIDCODE],PROPERTIES[REGION4])))</f>
        <v>#N/A</v>
      </c>
      <c r="G1097" t="b">
        <f t="shared" si="135"/>
        <v>0</v>
      </c>
      <c r="H1097" t="b">
        <f t="shared" si="142"/>
        <v>0</v>
      </c>
      <c r="I1097" t="b">
        <f t="shared" si="136"/>
        <v>0</v>
      </c>
      <c r="J1097" t="b">
        <f t="shared" si="143"/>
        <v>0</v>
      </c>
      <c r="K1097" t="b">
        <f t="shared" si="137"/>
        <v>0</v>
      </c>
      <c r="L1097" t="b">
        <f t="shared" si="138"/>
        <v>0</v>
      </c>
      <c r="M1097" t="b">
        <f t="shared" si="139"/>
        <v>0</v>
      </c>
      <c r="N1097" t="b">
        <f t="shared" si="140"/>
        <v>0</v>
      </c>
      <c r="O1097" t="b">
        <f t="shared" si="141"/>
        <v>0</v>
      </c>
    </row>
    <row r="1098" spans="2:15" x14ac:dyDescent="0.35">
      <c r="B1098" t="e" cm="1">
        <f t="array" ref="B1098">_xlfn.XLOOKUP(A1098,CONTROL[VEHIDCODE],PROPERTIES[EXCLUDE])</f>
        <v>#N/A</v>
      </c>
      <c r="C1098" t="e">
        <f>_xlfn.XLOOKUP(A1098,CONTROL[VEHIDCODE],CONTROL[IS_WAGON_OR_COACH])</f>
        <v>#N/A</v>
      </c>
      <c r="D1098" t="e">
        <f>FLOOR(_xlfn.XLOOKUP($A1098,PROPERTIES[VEHIDCODE],PROPERTIES[INTRODUCTION_YEAR]),20)</f>
        <v>#N/A</v>
      </c>
      <c r="E1098" t="e">
        <f>_xlfn.XLOOKUP($A1098,PROPERTIES[VEHIDCODE],#REF!)</f>
        <v>#REF!</v>
      </c>
      <c r="F1098" s="25" t="e" cm="1">
        <f t="array" ref="F1098">_xlfn.CONCAT(_xlfn.XLOOKUP($A1098,PROPERTIES[VEHIDCODE],PROPERTIES[REGION1]),"_",_xlfn.XLOOKUP($A1098,PROPERTIES[VEHIDCODE],PROPERTIES[REGION2]),"_",_xlfn.XLOOKUP($A1098,PROPERTIES[VEHIDCODE],PROPERTIES[REGION3]&amp;"_"&amp;_xlfn.XLOOKUP($A1098,PROPERTIES[VEHIDCODE],PROPERTIES[REGION4])))</f>
        <v>#N/A</v>
      </c>
      <c r="G1098" t="b">
        <f t="shared" si="135"/>
        <v>0</v>
      </c>
      <c r="H1098" t="b">
        <f t="shared" si="142"/>
        <v>0</v>
      </c>
      <c r="I1098" t="b">
        <f t="shared" si="136"/>
        <v>0</v>
      </c>
      <c r="J1098" t="b">
        <f t="shared" si="143"/>
        <v>0</v>
      </c>
      <c r="K1098" t="b">
        <f t="shared" si="137"/>
        <v>0</v>
      </c>
      <c r="L1098" t="b">
        <f t="shared" si="138"/>
        <v>0</v>
      </c>
      <c r="M1098" t="b">
        <f t="shared" si="139"/>
        <v>0</v>
      </c>
      <c r="N1098" t="b">
        <f t="shared" si="140"/>
        <v>0</v>
      </c>
      <c r="O1098" t="b">
        <f t="shared" si="141"/>
        <v>0</v>
      </c>
    </row>
    <row r="1099" spans="2:15" x14ac:dyDescent="0.35">
      <c r="B1099" t="e" cm="1">
        <f t="array" ref="B1099">_xlfn.XLOOKUP(A1099,CONTROL[VEHIDCODE],PROPERTIES[EXCLUDE])</f>
        <v>#N/A</v>
      </c>
      <c r="C1099" t="e">
        <f>_xlfn.XLOOKUP(A1099,CONTROL[VEHIDCODE],CONTROL[IS_WAGON_OR_COACH])</f>
        <v>#N/A</v>
      </c>
      <c r="D1099" t="e">
        <f>FLOOR(_xlfn.XLOOKUP($A1099,PROPERTIES[VEHIDCODE],PROPERTIES[INTRODUCTION_YEAR]),20)</f>
        <v>#N/A</v>
      </c>
      <c r="E1099" t="e">
        <f>_xlfn.XLOOKUP($A1099,PROPERTIES[VEHIDCODE],#REF!)</f>
        <v>#REF!</v>
      </c>
      <c r="F1099" s="25" t="e" cm="1">
        <f t="array" ref="F1099">_xlfn.CONCAT(_xlfn.XLOOKUP($A1099,PROPERTIES[VEHIDCODE],PROPERTIES[REGION1]),"_",_xlfn.XLOOKUP($A1099,PROPERTIES[VEHIDCODE],PROPERTIES[REGION2]),"_",_xlfn.XLOOKUP($A1099,PROPERTIES[VEHIDCODE],PROPERTIES[REGION3]&amp;"_"&amp;_xlfn.XLOOKUP($A1099,PROPERTIES[VEHIDCODE],PROPERTIES[REGION4])))</f>
        <v>#N/A</v>
      </c>
      <c r="G1099" t="b">
        <f t="shared" si="135"/>
        <v>0</v>
      </c>
      <c r="H1099" t="b">
        <f t="shared" si="142"/>
        <v>0</v>
      </c>
      <c r="I1099" t="b">
        <f t="shared" si="136"/>
        <v>0</v>
      </c>
      <c r="J1099" t="b">
        <f t="shared" si="143"/>
        <v>0</v>
      </c>
      <c r="K1099" t="b">
        <f t="shared" si="137"/>
        <v>0</v>
      </c>
      <c r="L1099" t="b">
        <f t="shared" si="138"/>
        <v>0</v>
      </c>
      <c r="M1099" t="b">
        <f t="shared" si="139"/>
        <v>0</v>
      </c>
      <c r="N1099" t="b">
        <f t="shared" si="140"/>
        <v>0</v>
      </c>
      <c r="O1099" t="b">
        <f t="shared" si="141"/>
        <v>0</v>
      </c>
    </row>
    <row r="1100" spans="2:15" x14ac:dyDescent="0.35">
      <c r="B1100" t="e" cm="1">
        <f t="array" ref="B1100">_xlfn.XLOOKUP(A1100,CONTROL[VEHIDCODE],PROPERTIES[EXCLUDE])</f>
        <v>#N/A</v>
      </c>
      <c r="C1100" t="e">
        <f>_xlfn.XLOOKUP(A1100,CONTROL[VEHIDCODE],CONTROL[IS_WAGON_OR_COACH])</f>
        <v>#N/A</v>
      </c>
      <c r="D1100" t="e">
        <f>FLOOR(_xlfn.XLOOKUP($A1100,PROPERTIES[VEHIDCODE],PROPERTIES[INTRODUCTION_YEAR]),20)</f>
        <v>#N/A</v>
      </c>
      <c r="E1100" t="e">
        <f>_xlfn.XLOOKUP($A1100,PROPERTIES[VEHIDCODE],#REF!)</f>
        <v>#REF!</v>
      </c>
      <c r="F1100" s="25" t="e" cm="1">
        <f t="array" ref="F1100">_xlfn.CONCAT(_xlfn.XLOOKUP($A1100,PROPERTIES[VEHIDCODE],PROPERTIES[REGION1]),"_",_xlfn.XLOOKUP($A1100,PROPERTIES[VEHIDCODE],PROPERTIES[REGION2]),"_",_xlfn.XLOOKUP($A1100,PROPERTIES[VEHIDCODE],PROPERTIES[REGION3]&amp;"_"&amp;_xlfn.XLOOKUP($A1100,PROPERTIES[VEHIDCODE],PROPERTIES[REGION4])))</f>
        <v>#N/A</v>
      </c>
      <c r="G1100" t="b">
        <f t="shared" si="135"/>
        <v>0</v>
      </c>
      <c r="H1100" t="b">
        <f t="shared" si="142"/>
        <v>0</v>
      </c>
      <c r="I1100" t="b">
        <f t="shared" si="136"/>
        <v>0</v>
      </c>
      <c r="J1100" t="b">
        <f t="shared" si="143"/>
        <v>0</v>
      </c>
      <c r="K1100" t="b">
        <f t="shared" si="137"/>
        <v>0</v>
      </c>
      <c r="L1100" t="b">
        <f t="shared" si="138"/>
        <v>0</v>
      </c>
      <c r="M1100" t="b">
        <f t="shared" si="139"/>
        <v>0</v>
      </c>
      <c r="N1100" t="b">
        <f t="shared" si="140"/>
        <v>0</v>
      </c>
      <c r="O1100" t="b">
        <f t="shared" si="141"/>
        <v>0</v>
      </c>
    </row>
    <row r="1101" spans="2:15" x14ac:dyDescent="0.35">
      <c r="B1101" t="e" cm="1">
        <f t="array" ref="B1101">_xlfn.XLOOKUP(A1101,CONTROL[VEHIDCODE],PROPERTIES[EXCLUDE])</f>
        <v>#N/A</v>
      </c>
      <c r="C1101" t="e">
        <f>_xlfn.XLOOKUP(A1101,CONTROL[VEHIDCODE],CONTROL[IS_WAGON_OR_COACH])</f>
        <v>#N/A</v>
      </c>
      <c r="D1101" t="e">
        <f>FLOOR(_xlfn.XLOOKUP($A1101,PROPERTIES[VEHIDCODE],PROPERTIES[INTRODUCTION_YEAR]),20)</f>
        <v>#N/A</v>
      </c>
      <c r="E1101" t="e">
        <f>_xlfn.XLOOKUP($A1101,PROPERTIES[VEHIDCODE],#REF!)</f>
        <v>#REF!</v>
      </c>
      <c r="F1101" s="25" t="e" cm="1">
        <f t="array" ref="F1101">_xlfn.CONCAT(_xlfn.XLOOKUP($A1101,PROPERTIES[VEHIDCODE],PROPERTIES[REGION1]),"_",_xlfn.XLOOKUP($A1101,PROPERTIES[VEHIDCODE],PROPERTIES[REGION2]),"_",_xlfn.XLOOKUP($A1101,PROPERTIES[VEHIDCODE],PROPERTIES[REGION3]&amp;"_"&amp;_xlfn.XLOOKUP($A1101,PROPERTIES[VEHIDCODE],PROPERTIES[REGION4])))</f>
        <v>#N/A</v>
      </c>
      <c r="G1101" t="b">
        <f t="shared" si="135"/>
        <v>0</v>
      </c>
      <c r="H1101" t="b">
        <f t="shared" si="142"/>
        <v>0</v>
      </c>
      <c r="I1101" t="b">
        <f t="shared" si="136"/>
        <v>0</v>
      </c>
      <c r="J1101" t="b">
        <f t="shared" si="143"/>
        <v>0</v>
      </c>
      <c r="K1101" t="b">
        <f t="shared" si="137"/>
        <v>0</v>
      </c>
      <c r="L1101" t="b">
        <f t="shared" si="138"/>
        <v>0</v>
      </c>
      <c r="M1101" t="b">
        <f t="shared" si="139"/>
        <v>0</v>
      </c>
      <c r="N1101" t="b">
        <f t="shared" si="140"/>
        <v>0</v>
      </c>
      <c r="O1101" t="b">
        <f t="shared" si="141"/>
        <v>0</v>
      </c>
    </row>
    <row r="1102" spans="2:15" x14ac:dyDescent="0.35">
      <c r="B1102" t="e" cm="1">
        <f t="array" ref="B1102">_xlfn.XLOOKUP(A1102,CONTROL[VEHIDCODE],PROPERTIES[EXCLUDE])</f>
        <v>#N/A</v>
      </c>
      <c r="C1102" t="e">
        <f>_xlfn.XLOOKUP(A1102,CONTROL[VEHIDCODE],CONTROL[IS_WAGON_OR_COACH])</f>
        <v>#N/A</v>
      </c>
      <c r="D1102" t="e">
        <f>FLOOR(_xlfn.XLOOKUP($A1102,PROPERTIES[VEHIDCODE],PROPERTIES[INTRODUCTION_YEAR]),20)</f>
        <v>#N/A</v>
      </c>
      <c r="E1102" t="e">
        <f>_xlfn.XLOOKUP($A1102,PROPERTIES[VEHIDCODE],#REF!)</f>
        <v>#REF!</v>
      </c>
      <c r="F1102" s="25" t="e" cm="1">
        <f t="array" ref="F1102">_xlfn.CONCAT(_xlfn.XLOOKUP($A1102,PROPERTIES[VEHIDCODE],PROPERTIES[REGION1]),"_",_xlfn.XLOOKUP($A1102,PROPERTIES[VEHIDCODE],PROPERTIES[REGION2]),"_",_xlfn.XLOOKUP($A1102,PROPERTIES[VEHIDCODE],PROPERTIES[REGION3]&amp;"_"&amp;_xlfn.XLOOKUP($A1102,PROPERTIES[VEHIDCODE],PROPERTIES[REGION4])))</f>
        <v>#N/A</v>
      </c>
      <c r="G1102" t="b">
        <f t="shared" si="135"/>
        <v>0</v>
      </c>
      <c r="H1102" t="b">
        <f t="shared" si="142"/>
        <v>0</v>
      </c>
      <c r="I1102" t="b">
        <f t="shared" si="136"/>
        <v>0</v>
      </c>
      <c r="J1102" t="b">
        <f t="shared" si="143"/>
        <v>0</v>
      </c>
      <c r="K1102" t="b">
        <f t="shared" si="137"/>
        <v>0</v>
      </c>
      <c r="L1102" t="b">
        <f t="shared" si="138"/>
        <v>0</v>
      </c>
      <c r="M1102" t="b">
        <f t="shared" si="139"/>
        <v>0</v>
      </c>
      <c r="N1102" t="b">
        <f t="shared" si="140"/>
        <v>0</v>
      </c>
      <c r="O1102" t="b">
        <f t="shared" si="141"/>
        <v>0</v>
      </c>
    </row>
    <row r="1103" spans="2:15" x14ac:dyDescent="0.35">
      <c r="B1103" t="e" cm="1">
        <f t="array" ref="B1103">_xlfn.XLOOKUP(A1103,CONTROL[VEHIDCODE],PROPERTIES[EXCLUDE])</f>
        <v>#N/A</v>
      </c>
      <c r="C1103" t="e">
        <f>_xlfn.XLOOKUP(A1103,CONTROL[VEHIDCODE],CONTROL[IS_WAGON_OR_COACH])</f>
        <v>#N/A</v>
      </c>
      <c r="D1103" t="e">
        <f>FLOOR(_xlfn.XLOOKUP($A1103,PROPERTIES[VEHIDCODE],PROPERTIES[INTRODUCTION_YEAR]),20)</f>
        <v>#N/A</v>
      </c>
      <c r="E1103" t="e">
        <f>_xlfn.XLOOKUP($A1103,PROPERTIES[VEHIDCODE],#REF!)</f>
        <v>#REF!</v>
      </c>
      <c r="F1103" s="25" t="e" cm="1">
        <f t="array" ref="F1103">_xlfn.CONCAT(_xlfn.XLOOKUP($A1103,PROPERTIES[VEHIDCODE],PROPERTIES[REGION1]),"_",_xlfn.XLOOKUP($A1103,PROPERTIES[VEHIDCODE],PROPERTIES[REGION2]),"_",_xlfn.XLOOKUP($A1103,PROPERTIES[VEHIDCODE],PROPERTIES[REGION3]&amp;"_"&amp;_xlfn.XLOOKUP($A1103,PROPERTIES[VEHIDCODE],PROPERTIES[REGION4])))</f>
        <v>#N/A</v>
      </c>
      <c r="G1103" t="b">
        <f t="shared" si="135"/>
        <v>0</v>
      </c>
      <c r="H1103" t="b">
        <f t="shared" si="142"/>
        <v>0</v>
      </c>
      <c r="I1103" t="b">
        <f t="shared" si="136"/>
        <v>0</v>
      </c>
      <c r="J1103" t="b">
        <f t="shared" si="143"/>
        <v>0</v>
      </c>
      <c r="K1103" t="b">
        <f t="shared" si="137"/>
        <v>0</v>
      </c>
      <c r="L1103" t="b">
        <f t="shared" si="138"/>
        <v>0</v>
      </c>
      <c r="M1103" t="b">
        <f t="shared" si="139"/>
        <v>0</v>
      </c>
      <c r="N1103" t="b">
        <f t="shared" si="140"/>
        <v>0</v>
      </c>
      <c r="O1103" t="b">
        <f t="shared" si="141"/>
        <v>0</v>
      </c>
    </row>
    <row r="1104" spans="2:15" x14ac:dyDescent="0.35">
      <c r="B1104" t="e" cm="1">
        <f t="array" ref="B1104">_xlfn.XLOOKUP(A1104,CONTROL[VEHIDCODE],PROPERTIES[EXCLUDE])</f>
        <v>#N/A</v>
      </c>
      <c r="C1104" t="e">
        <f>_xlfn.XLOOKUP(A1104,CONTROL[VEHIDCODE],CONTROL[IS_WAGON_OR_COACH])</f>
        <v>#N/A</v>
      </c>
      <c r="D1104" t="e">
        <f>FLOOR(_xlfn.XLOOKUP($A1104,PROPERTIES[VEHIDCODE],PROPERTIES[INTRODUCTION_YEAR]),20)</f>
        <v>#N/A</v>
      </c>
      <c r="E1104" t="e">
        <f>_xlfn.XLOOKUP($A1104,PROPERTIES[VEHIDCODE],#REF!)</f>
        <v>#REF!</v>
      </c>
      <c r="F1104" s="25" t="e" cm="1">
        <f t="array" ref="F1104">_xlfn.CONCAT(_xlfn.XLOOKUP($A1104,PROPERTIES[VEHIDCODE],PROPERTIES[REGION1]),"_",_xlfn.XLOOKUP($A1104,PROPERTIES[VEHIDCODE],PROPERTIES[REGION2]),"_",_xlfn.XLOOKUP($A1104,PROPERTIES[VEHIDCODE],PROPERTIES[REGION3]&amp;"_"&amp;_xlfn.XLOOKUP($A1104,PROPERTIES[VEHIDCODE],PROPERTIES[REGION4])))</f>
        <v>#N/A</v>
      </c>
      <c r="G1104" t="b">
        <f t="shared" si="135"/>
        <v>0</v>
      </c>
      <c r="H1104" t="b">
        <f t="shared" si="142"/>
        <v>0</v>
      </c>
      <c r="I1104" t="b">
        <f t="shared" si="136"/>
        <v>0</v>
      </c>
      <c r="J1104" t="b">
        <f t="shared" si="143"/>
        <v>0</v>
      </c>
      <c r="K1104" t="b">
        <f t="shared" si="137"/>
        <v>0</v>
      </c>
      <c r="L1104" t="b">
        <f t="shared" si="138"/>
        <v>0</v>
      </c>
      <c r="M1104" t="b">
        <f t="shared" si="139"/>
        <v>0</v>
      </c>
      <c r="N1104" t="b">
        <f t="shared" si="140"/>
        <v>0</v>
      </c>
      <c r="O1104" t="b">
        <f t="shared" si="141"/>
        <v>0</v>
      </c>
    </row>
    <row r="1105" spans="2:15" x14ac:dyDescent="0.35">
      <c r="B1105" t="e" cm="1">
        <f t="array" ref="B1105">_xlfn.XLOOKUP(A1105,CONTROL[VEHIDCODE],PROPERTIES[EXCLUDE])</f>
        <v>#N/A</v>
      </c>
      <c r="C1105" t="e">
        <f>_xlfn.XLOOKUP(A1105,CONTROL[VEHIDCODE],CONTROL[IS_WAGON_OR_COACH])</f>
        <v>#N/A</v>
      </c>
      <c r="D1105" t="e">
        <f>FLOOR(_xlfn.XLOOKUP($A1105,PROPERTIES[VEHIDCODE],PROPERTIES[INTRODUCTION_YEAR]),20)</f>
        <v>#N/A</v>
      </c>
      <c r="E1105" t="e">
        <f>_xlfn.XLOOKUP($A1105,PROPERTIES[VEHIDCODE],#REF!)</f>
        <v>#REF!</v>
      </c>
      <c r="F1105" s="25" t="e" cm="1">
        <f t="array" ref="F1105">_xlfn.CONCAT(_xlfn.XLOOKUP($A1105,PROPERTIES[VEHIDCODE],PROPERTIES[REGION1]),"_",_xlfn.XLOOKUP($A1105,PROPERTIES[VEHIDCODE],PROPERTIES[REGION2]),"_",_xlfn.XLOOKUP($A1105,PROPERTIES[VEHIDCODE],PROPERTIES[REGION3]&amp;"_"&amp;_xlfn.XLOOKUP($A1105,PROPERTIES[VEHIDCODE],PROPERTIES[REGION4])))</f>
        <v>#N/A</v>
      </c>
      <c r="G1105" t="b">
        <f t="shared" si="135"/>
        <v>0</v>
      </c>
      <c r="H1105" t="b">
        <f t="shared" si="142"/>
        <v>0</v>
      </c>
      <c r="I1105" t="b">
        <f t="shared" si="136"/>
        <v>0</v>
      </c>
      <c r="J1105" t="b">
        <f t="shared" si="143"/>
        <v>0</v>
      </c>
      <c r="K1105" t="b">
        <f t="shared" si="137"/>
        <v>0</v>
      </c>
      <c r="L1105" t="b">
        <f t="shared" si="138"/>
        <v>0</v>
      </c>
      <c r="M1105" t="b">
        <f t="shared" si="139"/>
        <v>0</v>
      </c>
      <c r="N1105" t="b">
        <f t="shared" si="140"/>
        <v>0</v>
      </c>
      <c r="O1105" t="b">
        <f t="shared" si="141"/>
        <v>0</v>
      </c>
    </row>
    <row r="1106" spans="2:15" x14ac:dyDescent="0.35">
      <c r="B1106" t="e" cm="1">
        <f t="array" ref="B1106">_xlfn.XLOOKUP(A1106,CONTROL[VEHIDCODE],PROPERTIES[EXCLUDE])</f>
        <v>#N/A</v>
      </c>
      <c r="C1106" t="e">
        <f>_xlfn.XLOOKUP(A1106,CONTROL[VEHIDCODE],CONTROL[IS_WAGON_OR_COACH])</f>
        <v>#N/A</v>
      </c>
      <c r="D1106" t="e">
        <f>FLOOR(_xlfn.XLOOKUP($A1106,PROPERTIES[VEHIDCODE],PROPERTIES[INTRODUCTION_YEAR]),20)</f>
        <v>#N/A</v>
      </c>
      <c r="E1106" t="e">
        <f>_xlfn.XLOOKUP($A1106,PROPERTIES[VEHIDCODE],#REF!)</f>
        <v>#REF!</v>
      </c>
      <c r="F1106" s="25" t="e" cm="1">
        <f t="array" ref="F1106">_xlfn.CONCAT(_xlfn.XLOOKUP($A1106,PROPERTIES[VEHIDCODE],PROPERTIES[REGION1]),"_",_xlfn.XLOOKUP($A1106,PROPERTIES[VEHIDCODE],PROPERTIES[REGION2]),"_",_xlfn.XLOOKUP($A1106,PROPERTIES[VEHIDCODE],PROPERTIES[REGION3]&amp;"_"&amp;_xlfn.XLOOKUP($A1106,PROPERTIES[VEHIDCODE],PROPERTIES[REGION4])))</f>
        <v>#N/A</v>
      </c>
      <c r="G1106" t="b">
        <f t="shared" si="135"/>
        <v>0</v>
      </c>
      <c r="H1106" t="b">
        <f t="shared" si="142"/>
        <v>0</v>
      </c>
      <c r="I1106" t="b">
        <f t="shared" si="136"/>
        <v>0</v>
      </c>
      <c r="J1106" t="b">
        <f t="shared" si="143"/>
        <v>0</v>
      </c>
      <c r="K1106" t="b">
        <f t="shared" si="137"/>
        <v>0</v>
      </c>
      <c r="L1106" t="b">
        <f t="shared" si="138"/>
        <v>0</v>
      </c>
      <c r="M1106" t="b">
        <f t="shared" si="139"/>
        <v>0</v>
      </c>
      <c r="N1106" t="b">
        <f t="shared" si="140"/>
        <v>0</v>
      </c>
      <c r="O1106" t="b">
        <f t="shared" si="141"/>
        <v>0</v>
      </c>
    </row>
    <row r="1107" spans="2:15" x14ac:dyDescent="0.35">
      <c r="B1107" t="e" cm="1">
        <f t="array" ref="B1107">_xlfn.XLOOKUP(A1107,CONTROL[VEHIDCODE],PROPERTIES[EXCLUDE])</f>
        <v>#N/A</v>
      </c>
      <c r="C1107" t="e">
        <f>_xlfn.XLOOKUP(A1107,CONTROL[VEHIDCODE],CONTROL[IS_WAGON_OR_COACH])</f>
        <v>#N/A</v>
      </c>
      <c r="D1107" t="e">
        <f>FLOOR(_xlfn.XLOOKUP($A1107,PROPERTIES[VEHIDCODE],PROPERTIES[INTRODUCTION_YEAR]),20)</f>
        <v>#N/A</v>
      </c>
      <c r="E1107" t="e">
        <f>_xlfn.XLOOKUP($A1107,PROPERTIES[VEHIDCODE],#REF!)</f>
        <v>#REF!</v>
      </c>
      <c r="F1107" s="25" t="e" cm="1">
        <f t="array" ref="F1107">_xlfn.CONCAT(_xlfn.XLOOKUP($A1107,PROPERTIES[VEHIDCODE],PROPERTIES[REGION1]),"_",_xlfn.XLOOKUP($A1107,PROPERTIES[VEHIDCODE],PROPERTIES[REGION2]),"_",_xlfn.XLOOKUP($A1107,PROPERTIES[VEHIDCODE],PROPERTIES[REGION3]&amp;"_"&amp;_xlfn.XLOOKUP($A1107,PROPERTIES[VEHIDCODE],PROPERTIES[REGION4])))</f>
        <v>#N/A</v>
      </c>
      <c r="G1107" t="b">
        <f t="shared" si="135"/>
        <v>0</v>
      </c>
      <c r="H1107" t="b">
        <f t="shared" si="142"/>
        <v>0</v>
      </c>
      <c r="I1107" t="b">
        <f t="shared" si="136"/>
        <v>0</v>
      </c>
      <c r="J1107" t="b">
        <f t="shared" si="143"/>
        <v>0</v>
      </c>
      <c r="K1107" t="b">
        <f t="shared" si="137"/>
        <v>0</v>
      </c>
      <c r="L1107" t="b">
        <f t="shared" si="138"/>
        <v>0</v>
      </c>
      <c r="M1107" t="b">
        <f t="shared" si="139"/>
        <v>0</v>
      </c>
      <c r="N1107" t="b">
        <f t="shared" si="140"/>
        <v>0</v>
      </c>
      <c r="O1107" t="b">
        <f t="shared" si="141"/>
        <v>0</v>
      </c>
    </row>
    <row r="1108" spans="2:15" x14ac:dyDescent="0.35">
      <c r="B1108" t="e" cm="1">
        <f t="array" ref="B1108">_xlfn.XLOOKUP(A1108,CONTROL[VEHIDCODE],PROPERTIES[EXCLUDE])</f>
        <v>#N/A</v>
      </c>
      <c r="C1108" t="e">
        <f>_xlfn.XLOOKUP(A1108,CONTROL[VEHIDCODE],CONTROL[IS_WAGON_OR_COACH])</f>
        <v>#N/A</v>
      </c>
      <c r="D1108" t="e">
        <f>FLOOR(_xlfn.XLOOKUP($A1108,PROPERTIES[VEHIDCODE],PROPERTIES[INTRODUCTION_YEAR]),20)</f>
        <v>#N/A</v>
      </c>
      <c r="E1108" t="e">
        <f>_xlfn.XLOOKUP($A1108,PROPERTIES[VEHIDCODE],#REF!)</f>
        <v>#REF!</v>
      </c>
      <c r="F1108" s="25" t="e" cm="1">
        <f t="array" ref="F1108">_xlfn.CONCAT(_xlfn.XLOOKUP($A1108,PROPERTIES[VEHIDCODE],PROPERTIES[REGION1]),"_",_xlfn.XLOOKUP($A1108,PROPERTIES[VEHIDCODE],PROPERTIES[REGION2]),"_",_xlfn.XLOOKUP($A1108,PROPERTIES[VEHIDCODE],PROPERTIES[REGION3]&amp;"_"&amp;_xlfn.XLOOKUP($A1108,PROPERTIES[VEHIDCODE],PROPERTIES[REGION4])))</f>
        <v>#N/A</v>
      </c>
      <c r="G1108" t="b">
        <f t="shared" si="135"/>
        <v>0</v>
      </c>
      <c r="H1108" t="b">
        <f t="shared" si="142"/>
        <v>0</v>
      </c>
      <c r="I1108" t="b">
        <f t="shared" si="136"/>
        <v>0</v>
      </c>
      <c r="J1108" t="b">
        <f t="shared" si="143"/>
        <v>0</v>
      </c>
      <c r="K1108" t="b">
        <f t="shared" si="137"/>
        <v>0</v>
      </c>
      <c r="L1108" t="b">
        <f t="shared" si="138"/>
        <v>0</v>
      </c>
      <c r="M1108" t="b">
        <f t="shared" si="139"/>
        <v>0</v>
      </c>
      <c r="N1108" t="b">
        <f t="shared" si="140"/>
        <v>0</v>
      </c>
      <c r="O1108" t="b">
        <f t="shared" si="141"/>
        <v>0</v>
      </c>
    </row>
    <row r="1109" spans="2:15" x14ac:dyDescent="0.35">
      <c r="B1109" t="e" cm="1">
        <f t="array" ref="B1109">_xlfn.XLOOKUP(A1109,CONTROL[VEHIDCODE],PROPERTIES[EXCLUDE])</f>
        <v>#N/A</v>
      </c>
      <c r="C1109" t="e">
        <f>_xlfn.XLOOKUP(A1109,CONTROL[VEHIDCODE],CONTROL[IS_WAGON_OR_COACH])</f>
        <v>#N/A</v>
      </c>
      <c r="D1109" t="e">
        <f>FLOOR(_xlfn.XLOOKUP($A1109,PROPERTIES[VEHIDCODE],PROPERTIES[INTRODUCTION_YEAR]),20)</f>
        <v>#N/A</v>
      </c>
      <c r="E1109" t="e">
        <f>_xlfn.XLOOKUP($A1109,PROPERTIES[VEHIDCODE],#REF!)</f>
        <v>#REF!</v>
      </c>
      <c r="F1109" s="25" t="e" cm="1">
        <f t="array" ref="F1109">_xlfn.CONCAT(_xlfn.XLOOKUP($A1109,PROPERTIES[VEHIDCODE],PROPERTIES[REGION1]),"_",_xlfn.XLOOKUP($A1109,PROPERTIES[VEHIDCODE],PROPERTIES[REGION2]),"_",_xlfn.XLOOKUP($A1109,PROPERTIES[VEHIDCODE],PROPERTIES[REGION3]&amp;"_"&amp;_xlfn.XLOOKUP($A1109,PROPERTIES[VEHIDCODE],PROPERTIES[REGION4])))</f>
        <v>#N/A</v>
      </c>
      <c r="G1109" t="b">
        <f t="shared" si="135"/>
        <v>0</v>
      </c>
      <c r="H1109" t="b">
        <f t="shared" si="142"/>
        <v>0</v>
      </c>
      <c r="I1109" t="b">
        <f t="shared" si="136"/>
        <v>0</v>
      </c>
      <c r="J1109" t="b">
        <f t="shared" si="143"/>
        <v>0</v>
      </c>
      <c r="K1109" t="b">
        <f t="shared" si="137"/>
        <v>0</v>
      </c>
      <c r="L1109" t="b">
        <f t="shared" si="138"/>
        <v>0</v>
      </c>
      <c r="M1109" t="b">
        <f t="shared" si="139"/>
        <v>0</v>
      </c>
      <c r="N1109" t="b">
        <f t="shared" si="140"/>
        <v>0</v>
      </c>
      <c r="O1109" t="b">
        <f t="shared" si="141"/>
        <v>0</v>
      </c>
    </row>
    <row r="1110" spans="2:15" x14ac:dyDescent="0.35">
      <c r="B1110" t="e" cm="1">
        <f t="array" ref="B1110">_xlfn.XLOOKUP(A1110,CONTROL[VEHIDCODE],PROPERTIES[EXCLUDE])</f>
        <v>#N/A</v>
      </c>
      <c r="C1110" t="e">
        <f>_xlfn.XLOOKUP(A1110,CONTROL[VEHIDCODE],CONTROL[IS_WAGON_OR_COACH])</f>
        <v>#N/A</v>
      </c>
      <c r="D1110" t="e">
        <f>FLOOR(_xlfn.XLOOKUP($A1110,PROPERTIES[VEHIDCODE],PROPERTIES[INTRODUCTION_YEAR]),20)</f>
        <v>#N/A</v>
      </c>
      <c r="E1110" t="e">
        <f>_xlfn.XLOOKUP($A1110,PROPERTIES[VEHIDCODE],#REF!)</f>
        <v>#REF!</v>
      </c>
      <c r="F1110" s="25" t="e" cm="1">
        <f t="array" ref="F1110">_xlfn.CONCAT(_xlfn.XLOOKUP($A1110,PROPERTIES[VEHIDCODE],PROPERTIES[REGION1]),"_",_xlfn.XLOOKUP($A1110,PROPERTIES[VEHIDCODE],PROPERTIES[REGION2]),"_",_xlfn.XLOOKUP($A1110,PROPERTIES[VEHIDCODE],PROPERTIES[REGION3]&amp;"_"&amp;_xlfn.XLOOKUP($A1110,PROPERTIES[VEHIDCODE],PROPERTIES[REGION4])))</f>
        <v>#N/A</v>
      </c>
      <c r="G1110" t="b">
        <f t="shared" si="135"/>
        <v>0</v>
      </c>
      <c r="H1110" t="b">
        <f t="shared" si="142"/>
        <v>0</v>
      </c>
      <c r="I1110" t="b">
        <f t="shared" si="136"/>
        <v>0</v>
      </c>
      <c r="J1110" t="b">
        <f t="shared" si="143"/>
        <v>0</v>
      </c>
      <c r="K1110" t="b">
        <f t="shared" si="137"/>
        <v>0</v>
      </c>
      <c r="L1110" t="b">
        <f t="shared" si="138"/>
        <v>0</v>
      </c>
      <c r="M1110" t="b">
        <f t="shared" si="139"/>
        <v>0</v>
      </c>
      <c r="N1110" t="b">
        <f t="shared" si="140"/>
        <v>0</v>
      </c>
      <c r="O1110" t="b">
        <f t="shared" si="141"/>
        <v>0</v>
      </c>
    </row>
    <row r="1111" spans="2:15" x14ac:dyDescent="0.35">
      <c r="B1111" t="e" cm="1">
        <f t="array" ref="B1111">_xlfn.XLOOKUP(A1111,CONTROL[VEHIDCODE],PROPERTIES[EXCLUDE])</f>
        <v>#N/A</v>
      </c>
      <c r="C1111" t="e">
        <f>_xlfn.XLOOKUP(A1111,CONTROL[VEHIDCODE],CONTROL[IS_WAGON_OR_COACH])</f>
        <v>#N/A</v>
      </c>
      <c r="D1111" t="e">
        <f>FLOOR(_xlfn.XLOOKUP($A1111,PROPERTIES[VEHIDCODE],PROPERTIES[INTRODUCTION_YEAR]),20)</f>
        <v>#N/A</v>
      </c>
      <c r="E1111" t="e">
        <f>_xlfn.XLOOKUP($A1111,PROPERTIES[VEHIDCODE],#REF!)</f>
        <v>#REF!</v>
      </c>
      <c r="F1111" s="25" t="e" cm="1">
        <f t="array" ref="F1111">_xlfn.CONCAT(_xlfn.XLOOKUP($A1111,PROPERTIES[VEHIDCODE],PROPERTIES[REGION1]),"_",_xlfn.XLOOKUP($A1111,PROPERTIES[VEHIDCODE],PROPERTIES[REGION2]),"_",_xlfn.XLOOKUP($A1111,PROPERTIES[VEHIDCODE],PROPERTIES[REGION3]&amp;"_"&amp;_xlfn.XLOOKUP($A1111,PROPERTIES[VEHIDCODE],PROPERTIES[REGION4])))</f>
        <v>#N/A</v>
      </c>
      <c r="G1111" t="b">
        <f t="shared" si="135"/>
        <v>0</v>
      </c>
      <c r="H1111" t="b">
        <f t="shared" si="142"/>
        <v>0</v>
      </c>
      <c r="I1111" t="b">
        <f t="shared" si="136"/>
        <v>0</v>
      </c>
      <c r="J1111" t="b">
        <f t="shared" si="143"/>
        <v>0</v>
      </c>
      <c r="K1111" t="b">
        <f t="shared" si="137"/>
        <v>0</v>
      </c>
      <c r="L1111" t="b">
        <f t="shared" si="138"/>
        <v>0</v>
      </c>
      <c r="M1111" t="b">
        <f t="shared" si="139"/>
        <v>0</v>
      </c>
      <c r="N1111" t="b">
        <f t="shared" si="140"/>
        <v>0</v>
      </c>
      <c r="O1111" t="b">
        <f t="shared" si="141"/>
        <v>0</v>
      </c>
    </row>
    <row r="1112" spans="2:15" x14ac:dyDescent="0.35">
      <c r="B1112" t="e" cm="1">
        <f t="array" ref="B1112">_xlfn.XLOOKUP(A1112,CONTROL[VEHIDCODE],PROPERTIES[EXCLUDE])</f>
        <v>#N/A</v>
      </c>
      <c r="C1112" t="e">
        <f>_xlfn.XLOOKUP(A1112,CONTROL[VEHIDCODE],CONTROL[IS_WAGON_OR_COACH])</f>
        <v>#N/A</v>
      </c>
      <c r="D1112" t="e">
        <f>FLOOR(_xlfn.XLOOKUP($A1112,PROPERTIES[VEHIDCODE],PROPERTIES[INTRODUCTION_YEAR]),20)</f>
        <v>#N/A</v>
      </c>
      <c r="E1112" t="e">
        <f>_xlfn.XLOOKUP($A1112,PROPERTIES[VEHIDCODE],#REF!)</f>
        <v>#REF!</v>
      </c>
      <c r="F1112" s="25" t="e" cm="1">
        <f t="array" ref="F1112">_xlfn.CONCAT(_xlfn.XLOOKUP($A1112,PROPERTIES[VEHIDCODE],PROPERTIES[REGION1]),"_",_xlfn.XLOOKUP($A1112,PROPERTIES[VEHIDCODE],PROPERTIES[REGION2]),"_",_xlfn.XLOOKUP($A1112,PROPERTIES[VEHIDCODE],PROPERTIES[REGION3]&amp;"_"&amp;_xlfn.XLOOKUP($A1112,PROPERTIES[VEHIDCODE],PROPERTIES[REGION4])))</f>
        <v>#N/A</v>
      </c>
      <c r="G1112" t="b">
        <f t="shared" si="135"/>
        <v>0</v>
      </c>
      <c r="H1112" t="b">
        <f t="shared" si="142"/>
        <v>0</v>
      </c>
      <c r="I1112" t="b">
        <f t="shared" si="136"/>
        <v>0</v>
      </c>
      <c r="J1112" t="b">
        <f t="shared" si="143"/>
        <v>0</v>
      </c>
      <c r="K1112" t="b">
        <f t="shared" si="137"/>
        <v>0</v>
      </c>
      <c r="L1112" t="b">
        <f t="shared" si="138"/>
        <v>0</v>
      </c>
      <c r="M1112" t="b">
        <f t="shared" si="139"/>
        <v>0</v>
      </c>
      <c r="N1112" t="b">
        <f t="shared" si="140"/>
        <v>0</v>
      </c>
      <c r="O1112" t="b">
        <f t="shared" si="141"/>
        <v>0</v>
      </c>
    </row>
    <row r="1113" spans="2:15" x14ac:dyDescent="0.35">
      <c r="B1113" t="e" cm="1">
        <f t="array" ref="B1113">_xlfn.XLOOKUP(A1113,CONTROL[VEHIDCODE],PROPERTIES[EXCLUDE])</f>
        <v>#N/A</v>
      </c>
      <c r="C1113" t="e">
        <f>_xlfn.XLOOKUP(A1113,CONTROL[VEHIDCODE],CONTROL[IS_WAGON_OR_COACH])</f>
        <v>#N/A</v>
      </c>
      <c r="D1113" t="e">
        <f>FLOOR(_xlfn.XLOOKUP($A1113,PROPERTIES[VEHIDCODE],PROPERTIES[INTRODUCTION_YEAR]),20)</f>
        <v>#N/A</v>
      </c>
      <c r="E1113" t="e">
        <f>_xlfn.XLOOKUP($A1113,PROPERTIES[VEHIDCODE],#REF!)</f>
        <v>#REF!</v>
      </c>
      <c r="F1113" s="25" t="e" cm="1">
        <f t="array" ref="F1113">_xlfn.CONCAT(_xlfn.XLOOKUP($A1113,PROPERTIES[VEHIDCODE],PROPERTIES[REGION1]),"_",_xlfn.XLOOKUP($A1113,PROPERTIES[VEHIDCODE],PROPERTIES[REGION2]),"_",_xlfn.XLOOKUP($A1113,PROPERTIES[VEHIDCODE],PROPERTIES[REGION3]&amp;"_"&amp;_xlfn.XLOOKUP($A1113,PROPERTIES[VEHIDCODE],PROPERTIES[REGION4])))</f>
        <v>#N/A</v>
      </c>
      <c r="G1113" t="b">
        <f t="shared" si="135"/>
        <v>0</v>
      </c>
      <c r="H1113" t="b">
        <f t="shared" si="142"/>
        <v>0</v>
      </c>
      <c r="I1113" t="b">
        <f t="shared" si="136"/>
        <v>0</v>
      </c>
      <c r="J1113" t="b">
        <f t="shared" si="143"/>
        <v>0</v>
      </c>
      <c r="K1113" t="b">
        <f t="shared" si="137"/>
        <v>0</v>
      </c>
      <c r="L1113" t="b">
        <f t="shared" si="138"/>
        <v>0</v>
      </c>
      <c r="M1113" t="b">
        <f t="shared" si="139"/>
        <v>0</v>
      </c>
      <c r="N1113" t="b">
        <f t="shared" si="140"/>
        <v>0</v>
      </c>
      <c r="O1113" t="b">
        <f t="shared" si="141"/>
        <v>0</v>
      </c>
    </row>
    <row r="1114" spans="2:15" x14ac:dyDescent="0.35">
      <c r="B1114" t="e" cm="1">
        <f t="array" ref="B1114">_xlfn.XLOOKUP(A1114,CONTROL[VEHIDCODE],PROPERTIES[EXCLUDE])</f>
        <v>#N/A</v>
      </c>
      <c r="C1114" t="e">
        <f>_xlfn.XLOOKUP(A1114,CONTROL[VEHIDCODE],CONTROL[IS_WAGON_OR_COACH])</f>
        <v>#N/A</v>
      </c>
      <c r="D1114" t="e">
        <f>FLOOR(_xlfn.XLOOKUP($A1114,PROPERTIES[VEHIDCODE],PROPERTIES[INTRODUCTION_YEAR]),20)</f>
        <v>#N/A</v>
      </c>
      <c r="E1114" t="e">
        <f>_xlfn.XLOOKUP($A1114,PROPERTIES[VEHIDCODE],#REF!)</f>
        <v>#REF!</v>
      </c>
      <c r="F1114" s="25" t="e" cm="1">
        <f t="array" ref="F1114">_xlfn.CONCAT(_xlfn.XLOOKUP($A1114,PROPERTIES[VEHIDCODE],PROPERTIES[REGION1]),"_",_xlfn.XLOOKUP($A1114,PROPERTIES[VEHIDCODE],PROPERTIES[REGION2]),"_",_xlfn.XLOOKUP($A1114,PROPERTIES[VEHIDCODE],PROPERTIES[REGION3]&amp;"_"&amp;_xlfn.XLOOKUP($A1114,PROPERTIES[VEHIDCODE],PROPERTIES[REGION4])))</f>
        <v>#N/A</v>
      </c>
      <c r="G1114" t="b">
        <f t="shared" si="135"/>
        <v>0</v>
      </c>
      <c r="H1114" t="b">
        <f t="shared" si="142"/>
        <v>0</v>
      </c>
      <c r="I1114" t="b">
        <f t="shared" si="136"/>
        <v>0</v>
      </c>
      <c r="J1114" t="b">
        <f t="shared" si="143"/>
        <v>0</v>
      </c>
      <c r="K1114" t="b">
        <f t="shared" si="137"/>
        <v>0</v>
      </c>
      <c r="L1114" t="b">
        <f t="shared" si="138"/>
        <v>0</v>
      </c>
      <c r="M1114" t="b">
        <f t="shared" si="139"/>
        <v>0</v>
      </c>
      <c r="N1114" t="b">
        <f t="shared" si="140"/>
        <v>0</v>
      </c>
      <c r="O1114" t="b">
        <f t="shared" si="141"/>
        <v>0</v>
      </c>
    </row>
    <row r="1115" spans="2:15" x14ac:dyDescent="0.35">
      <c r="B1115" t="e" cm="1">
        <f t="array" ref="B1115">_xlfn.XLOOKUP(A1115,CONTROL[VEHIDCODE],PROPERTIES[EXCLUDE])</f>
        <v>#N/A</v>
      </c>
      <c r="C1115" t="e">
        <f>_xlfn.XLOOKUP(A1115,CONTROL[VEHIDCODE],CONTROL[IS_WAGON_OR_COACH])</f>
        <v>#N/A</v>
      </c>
      <c r="D1115" t="e">
        <f>FLOOR(_xlfn.XLOOKUP($A1115,PROPERTIES[VEHIDCODE],PROPERTIES[INTRODUCTION_YEAR]),20)</f>
        <v>#N/A</v>
      </c>
      <c r="E1115" t="e">
        <f>_xlfn.XLOOKUP($A1115,PROPERTIES[VEHIDCODE],#REF!)</f>
        <v>#REF!</v>
      </c>
      <c r="F1115" s="25" t="e" cm="1">
        <f t="array" ref="F1115">_xlfn.CONCAT(_xlfn.XLOOKUP($A1115,PROPERTIES[VEHIDCODE],PROPERTIES[REGION1]),"_",_xlfn.XLOOKUP($A1115,PROPERTIES[VEHIDCODE],PROPERTIES[REGION2]),"_",_xlfn.XLOOKUP($A1115,PROPERTIES[VEHIDCODE],PROPERTIES[REGION3]&amp;"_"&amp;_xlfn.XLOOKUP($A1115,PROPERTIES[VEHIDCODE],PROPERTIES[REGION4])))</f>
        <v>#N/A</v>
      </c>
      <c r="G1115" t="b">
        <f t="shared" si="135"/>
        <v>0</v>
      </c>
      <c r="H1115" t="b">
        <f t="shared" si="142"/>
        <v>0</v>
      </c>
      <c r="I1115" t="b">
        <f t="shared" si="136"/>
        <v>0</v>
      </c>
      <c r="J1115" t="b">
        <f t="shared" si="143"/>
        <v>0</v>
      </c>
      <c r="K1115" t="b">
        <f t="shared" si="137"/>
        <v>0</v>
      </c>
      <c r="L1115" t="b">
        <f t="shared" si="138"/>
        <v>0</v>
      </c>
      <c r="M1115" t="b">
        <f t="shared" si="139"/>
        <v>0</v>
      </c>
      <c r="N1115" t="b">
        <f t="shared" si="140"/>
        <v>0</v>
      </c>
      <c r="O1115" t="b">
        <f t="shared" si="141"/>
        <v>0</v>
      </c>
    </row>
  </sheetData>
  <autoFilter ref="A1:O1115" xr:uid="{94AF2F1A-9287-4526-9497-B34C300AF4DB}"/>
  <conditionalFormatting sqref="B2:C1115">
    <cfRule type="containsText" dxfId="3" priority="2" operator="containsText" text="FALSE">
      <formula>NOT(ISERROR(SEARCH("FALSE",B2)))</formula>
    </cfRule>
  </conditionalFormatting>
  <conditionalFormatting sqref="G1:G813 H795:I813 G814:I1048576">
    <cfRule type="containsText" dxfId="2" priority="59" operator="containsText" text="FALSE">
      <formula>NOT(ISERROR(SEARCH("FALSE",G1)))</formula>
    </cfRule>
  </conditionalFormatting>
  <conditionalFormatting sqref="H1:I792">
    <cfRule type="containsText" dxfId="1" priority="58" operator="containsText" text="FALSE">
      <formula>NOT(ISERROR(SEARCH("FALSE",H1)))</formula>
    </cfRule>
  </conditionalFormatting>
  <conditionalFormatting sqref="H2:O1115">
    <cfRule type="containsText" dxfId="0" priority="3" operator="containsText" text="FALSE">
      <formula>NOT(ISERROR(SEARCH("FALSE",H2)))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9778-24EC-41FE-82B7-0A20405A78CA}">
  <dimension ref="A1:R8"/>
  <sheetViews>
    <sheetView workbookViewId="0">
      <selection activeCell="A9" sqref="A9"/>
    </sheetView>
  </sheetViews>
  <sheetFormatPr defaultColWidth="7.7265625" defaultRowHeight="14.5" x14ac:dyDescent="0.35"/>
  <cols>
    <col min="1" max="1" width="20.26953125" bestFit="1" customWidth="1"/>
    <col min="2" max="11" width="13.36328125" bestFit="1" customWidth="1"/>
    <col min="12" max="12" width="10.36328125" bestFit="1" customWidth="1"/>
    <col min="13" max="17" width="25" bestFit="1" customWidth="1"/>
    <col min="18" max="18" width="10.453125" bestFit="1" customWidth="1"/>
  </cols>
  <sheetData>
    <row r="1" spans="1:18" x14ac:dyDescent="0.35">
      <c r="A1" s="24" t="s">
        <v>1885</v>
      </c>
      <c r="B1" t="s">
        <v>1888</v>
      </c>
    </row>
    <row r="2" spans="1:18" x14ac:dyDescent="0.35">
      <c r="A2" s="24" t="s">
        <v>246</v>
      </c>
      <c r="B2" t="s">
        <v>1888</v>
      </c>
    </row>
    <row r="3" spans="1:18" x14ac:dyDescent="0.35">
      <c r="A3" s="37" t="s">
        <v>233</v>
      </c>
      <c r="B3" t="s">
        <v>1650</v>
      </c>
    </row>
    <row r="4" spans="1:18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8" x14ac:dyDescent="0.35">
      <c r="A5" s="24" t="s">
        <v>1647</v>
      </c>
      <c r="B5" s="37" t="s">
        <v>1648</v>
      </c>
    </row>
    <row r="6" spans="1:18" x14ac:dyDescent="0.35">
      <c r="A6" s="24" t="s">
        <v>1036</v>
      </c>
      <c r="B6">
        <v>1860</v>
      </c>
      <c r="C6">
        <v>1880</v>
      </c>
      <c r="D6">
        <v>1900</v>
      </c>
      <c r="E6">
        <v>1920</v>
      </c>
      <c r="F6">
        <v>1940</v>
      </c>
      <c r="G6">
        <v>1960</v>
      </c>
      <c r="H6">
        <v>1980</v>
      </c>
      <c r="I6">
        <v>2000</v>
      </c>
      <c r="J6">
        <v>2020</v>
      </c>
      <c r="K6">
        <v>2040</v>
      </c>
      <c r="L6" t="s">
        <v>1889</v>
      </c>
    </row>
    <row r="7" spans="1:18" x14ac:dyDescent="0.35">
      <c r="A7" t="s">
        <v>3699</v>
      </c>
      <c r="B7">
        <v>3</v>
      </c>
      <c r="C7">
        <v>5</v>
      </c>
      <c r="D7">
        <v>5</v>
      </c>
      <c r="E7">
        <v>10</v>
      </c>
      <c r="F7">
        <v>15</v>
      </c>
      <c r="G7">
        <v>28</v>
      </c>
      <c r="H7">
        <v>13</v>
      </c>
      <c r="I7">
        <v>13</v>
      </c>
      <c r="J7">
        <v>2</v>
      </c>
      <c r="K7">
        <v>2</v>
      </c>
      <c r="L7">
        <v>96</v>
      </c>
    </row>
    <row r="8" spans="1:18" x14ac:dyDescent="0.35">
      <c r="A8" t="s">
        <v>1889</v>
      </c>
      <c r="B8">
        <v>3</v>
      </c>
      <c r="C8">
        <v>5</v>
      </c>
      <c r="D8">
        <v>5</v>
      </c>
      <c r="E8">
        <v>10</v>
      </c>
      <c r="F8">
        <v>15</v>
      </c>
      <c r="G8">
        <v>28</v>
      </c>
      <c r="H8">
        <v>13</v>
      </c>
      <c r="I8">
        <v>13</v>
      </c>
      <c r="J8">
        <v>2</v>
      </c>
      <c r="K8">
        <v>2</v>
      </c>
      <c r="L8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7A71-92C4-43E7-833A-71E738086A74}">
  <dimension ref="A1:R8"/>
  <sheetViews>
    <sheetView workbookViewId="0">
      <selection activeCell="B10" sqref="B10"/>
    </sheetView>
  </sheetViews>
  <sheetFormatPr defaultColWidth="7.7265625" defaultRowHeight="14.5" x14ac:dyDescent="0.35"/>
  <cols>
    <col min="1" max="1" width="20.26953125" bestFit="1" customWidth="1"/>
    <col min="2" max="12" width="13.36328125" bestFit="1" customWidth="1"/>
    <col min="13" max="13" width="10.36328125" bestFit="1" customWidth="1"/>
    <col min="14" max="14" width="10.453125" bestFit="1" customWidth="1"/>
    <col min="15" max="17" width="25" bestFit="1" customWidth="1"/>
    <col min="18" max="18" width="10.453125" bestFit="1" customWidth="1"/>
  </cols>
  <sheetData>
    <row r="1" spans="1:18" x14ac:dyDescent="0.35">
      <c r="A1" s="24" t="s">
        <v>1885</v>
      </c>
      <c r="B1" t="s">
        <v>1888</v>
      </c>
    </row>
    <row r="2" spans="1:18" x14ac:dyDescent="0.35">
      <c r="A2" s="24" t="s">
        <v>246</v>
      </c>
      <c r="B2" t="s">
        <v>1888</v>
      </c>
    </row>
    <row r="3" spans="1:18" x14ac:dyDescent="0.35">
      <c r="A3" s="24" t="s">
        <v>235</v>
      </c>
      <c r="B3" t="s">
        <v>1650</v>
      </c>
    </row>
    <row r="4" spans="1:18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8" x14ac:dyDescent="0.35">
      <c r="A5" s="24" t="s">
        <v>1647</v>
      </c>
      <c r="B5" s="37" t="s">
        <v>1648</v>
      </c>
    </row>
    <row r="6" spans="1:18" x14ac:dyDescent="0.35">
      <c r="A6" s="24" t="s">
        <v>1036</v>
      </c>
      <c r="B6">
        <v>1840</v>
      </c>
      <c r="C6">
        <v>1860</v>
      </c>
      <c r="D6">
        <v>1880</v>
      </c>
      <c r="E6">
        <v>1900</v>
      </c>
      <c r="F6">
        <v>1920</v>
      </c>
      <c r="G6">
        <v>1940</v>
      </c>
      <c r="H6">
        <v>1960</v>
      </c>
      <c r="I6">
        <v>1980</v>
      </c>
      <c r="J6">
        <v>2000</v>
      </c>
      <c r="K6">
        <v>2020</v>
      </c>
      <c r="L6">
        <v>2040</v>
      </c>
      <c r="M6" t="s">
        <v>1889</v>
      </c>
    </row>
    <row r="7" spans="1:18" x14ac:dyDescent="0.35">
      <c r="A7" t="s">
        <v>3699</v>
      </c>
      <c r="B7">
        <v>2</v>
      </c>
      <c r="C7">
        <v>3</v>
      </c>
      <c r="D7">
        <v>4</v>
      </c>
      <c r="E7">
        <v>13</v>
      </c>
      <c r="F7">
        <v>16</v>
      </c>
      <c r="G7">
        <v>22</v>
      </c>
      <c r="H7">
        <v>17</v>
      </c>
      <c r="I7">
        <v>15</v>
      </c>
      <c r="J7">
        <v>10</v>
      </c>
      <c r="K7">
        <v>1</v>
      </c>
      <c r="L7">
        <v>2</v>
      </c>
      <c r="M7">
        <v>105</v>
      </c>
    </row>
    <row r="8" spans="1:18" x14ac:dyDescent="0.35">
      <c r="A8" t="s">
        <v>1889</v>
      </c>
      <c r="B8">
        <v>2</v>
      </c>
      <c r="C8">
        <v>3</v>
      </c>
      <c r="D8">
        <v>4</v>
      </c>
      <c r="E8">
        <v>13</v>
      </c>
      <c r="F8">
        <v>16</v>
      </c>
      <c r="G8">
        <v>22</v>
      </c>
      <c r="H8">
        <v>17</v>
      </c>
      <c r="I8">
        <v>15</v>
      </c>
      <c r="J8">
        <v>10</v>
      </c>
      <c r="K8">
        <v>1</v>
      </c>
      <c r="L8">
        <v>2</v>
      </c>
      <c r="M8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D29C-51CB-4C9A-B0D9-A422794D23BB}">
  <dimension ref="A1:BO8"/>
  <sheetViews>
    <sheetView workbookViewId="0">
      <selection activeCell="B10" sqref="B10"/>
    </sheetView>
  </sheetViews>
  <sheetFormatPr defaultColWidth="7.7265625" defaultRowHeight="14.5" x14ac:dyDescent="0.35"/>
  <cols>
    <col min="1" max="1" width="20.26953125" bestFit="1" customWidth="1"/>
    <col min="2" max="12" width="13.36328125" bestFit="1" customWidth="1"/>
    <col min="13" max="13" width="10.36328125" bestFit="1" customWidth="1"/>
    <col min="14" max="14" width="13.36328125" bestFit="1" customWidth="1"/>
    <col min="15" max="15" width="10.453125" bestFit="1" customWidth="1"/>
    <col min="16" max="66" width="25" bestFit="1" customWidth="1"/>
    <col min="67" max="67" width="10.453125" bestFit="1" customWidth="1"/>
  </cols>
  <sheetData>
    <row r="1" spans="1:67" x14ac:dyDescent="0.35">
      <c r="A1" s="24" t="s">
        <v>1885</v>
      </c>
      <c r="B1" t="s">
        <v>1888</v>
      </c>
    </row>
    <row r="2" spans="1:67" x14ac:dyDescent="0.35">
      <c r="A2" s="24" t="s">
        <v>246</v>
      </c>
      <c r="B2" t="s">
        <v>1888</v>
      </c>
    </row>
    <row r="3" spans="1:67" x14ac:dyDescent="0.35">
      <c r="A3" s="37" t="s">
        <v>237</v>
      </c>
      <c r="B3" t="s">
        <v>1650</v>
      </c>
    </row>
    <row r="4" spans="1:67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</row>
    <row r="5" spans="1:67" x14ac:dyDescent="0.35">
      <c r="A5" s="24" t="s">
        <v>1647</v>
      </c>
      <c r="B5" s="37" t="s">
        <v>1648</v>
      </c>
    </row>
    <row r="6" spans="1:67" x14ac:dyDescent="0.35">
      <c r="A6" s="24" t="s">
        <v>1036</v>
      </c>
      <c r="B6">
        <v>1840</v>
      </c>
      <c r="C6">
        <v>1860</v>
      </c>
      <c r="D6">
        <v>1880</v>
      </c>
      <c r="E6">
        <v>1900</v>
      </c>
      <c r="F6">
        <v>1920</v>
      </c>
      <c r="G6">
        <v>1940</v>
      </c>
      <c r="H6">
        <v>1960</v>
      </c>
      <c r="I6">
        <v>1980</v>
      </c>
      <c r="J6">
        <v>2000</v>
      </c>
      <c r="K6">
        <v>2020</v>
      </c>
      <c r="L6">
        <v>2040</v>
      </c>
      <c r="M6" t="s">
        <v>1889</v>
      </c>
    </row>
    <row r="7" spans="1:67" x14ac:dyDescent="0.35">
      <c r="A7" t="s">
        <v>3699</v>
      </c>
      <c r="B7">
        <v>3</v>
      </c>
      <c r="C7">
        <v>2</v>
      </c>
      <c r="D7">
        <v>1</v>
      </c>
      <c r="E7">
        <v>6</v>
      </c>
      <c r="F7">
        <v>9</v>
      </c>
      <c r="G7">
        <v>10</v>
      </c>
      <c r="H7">
        <v>24</v>
      </c>
      <c r="I7">
        <v>16</v>
      </c>
      <c r="J7">
        <v>10</v>
      </c>
      <c r="K7">
        <v>2</v>
      </c>
      <c r="L7">
        <v>2</v>
      </c>
      <c r="M7">
        <v>85</v>
      </c>
    </row>
    <row r="8" spans="1:67" x14ac:dyDescent="0.35">
      <c r="A8" t="s">
        <v>1889</v>
      </c>
      <c r="B8">
        <v>3</v>
      </c>
      <c r="C8">
        <v>2</v>
      </c>
      <c r="D8">
        <v>1</v>
      </c>
      <c r="E8">
        <v>6</v>
      </c>
      <c r="F8">
        <v>9</v>
      </c>
      <c r="G8">
        <v>10</v>
      </c>
      <c r="H8">
        <v>24</v>
      </c>
      <c r="I8">
        <v>16</v>
      </c>
      <c r="J8">
        <v>10</v>
      </c>
      <c r="K8">
        <v>2</v>
      </c>
      <c r="L8">
        <v>2</v>
      </c>
      <c r="M8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EF32-8E54-4A81-9F7C-70B276854102}">
  <dimension ref="A1:S8"/>
  <sheetViews>
    <sheetView workbookViewId="0">
      <selection activeCell="B10" sqref="B10"/>
    </sheetView>
  </sheetViews>
  <sheetFormatPr defaultColWidth="7.7265625" defaultRowHeight="14.5" x14ac:dyDescent="0.35"/>
  <cols>
    <col min="1" max="1" width="20.26953125" bestFit="1" customWidth="1"/>
    <col min="2" max="11" width="13.36328125" bestFit="1" customWidth="1"/>
    <col min="12" max="12" width="10.36328125" bestFit="1" customWidth="1"/>
    <col min="13" max="13" width="10.1796875" bestFit="1" customWidth="1"/>
    <col min="14" max="14" width="10.453125" bestFit="1" customWidth="1"/>
    <col min="15" max="17" width="8.08984375" bestFit="1" customWidth="1"/>
    <col min="18" max="19" width="10.453125" bestFit="1" customWidth="1"/>
  </cols>
  <sheetData>
    <row r="1" spans="1:19" x14ac:dyDescent="0.35">
      <c r="A1" s="24" t="s">
        <v>1885</v>
      </c>
      <c r="B1" t="s">
        <v>1888</v>
      </c>
    </row>
    <row r="2" spans="1:19" x14ac:dyDescent="0.35">
      <c r="A2" s="37" t="s">
        <v>238</v>
      </c>
      <c r="B2" t="s">
        <v>1650</v>
      </c>
    </row>
    <row r="3" spans="1:19" x14ac:dyDescent="0.35">
      <c r="A3" s="24" t="s">
        <v>246</v>
      </c>
      <c r="B3" t="s">
        <v>1888</v>
      </c>
    </row>
    <row r="4" spans="1:19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x14ac:dyDescent="0.35">
      <c r="A5" s="24" t="s">
        <v>1647</v>
      </c>
      <c r="B5" s="37" t="s">
        <v>1648</v>
      </c>
    </row>
    <row r="6" spans="1:19" x14ac:dyDescent="0.35">
      <c r="A6" s="24" t="s">
        <v>1036</v>
      </c>
      <c r="B6">
        <v>1840</v>
      </c>
      <c r="C6">
        <v>1880</v>
      </c>
      <c r="D6">
        <v>1900</v>
      </c>
      <c r="E6">
        <v>1920</v>
      </c>
      <c r="F6">
        <v>1940</v>
      </c>
      <c r="G6">
        <v>1960</v>
      </c>
      <c r="H6">
        <v>1980</v>
      </c>
      <c r="I6">
        <v>2000</v>
      </c>
      <c r="J6">
        <v>2020</v>
      </c>
      <c r="K6">
        <v>2040</v>
      </c>
      <c r="L6" t="s">
        <v>1889</v>
      </c>
    </row>
    <row r="7" spans="1:19" x14ac:dyDescent="0.35">
      <c r="A7" t="s">
        <v>3699</v>
      </c>
      <c r="B7">
        <v>1</v>
      </c>
      <c r="C7">
        <v>4</v>
      </c>
      <c r="D7">
        <v>4</v>
      </c>
      <c r="E7">
        <v>13</v>
      </c>
      <c r="F7">
        <v>27</v>
      </c>
      <c r="G7">
        <v>36</v>
      </c>
      <c r="H7">
        <v>36</v>
      </c>
      <c r="I7">
        <v>29</v>
      </c>
      <c r="J7">
        <v>2</v>
      </c>
      <c r="K7">
        <v>2</v>
      </c>
      <c r="L7">
        <v>154</v>
      </c>
    </row>
    <row r="8" spans="1:19" x14ac:dyDescent="0.35">
      <c r="A8" t="s">
        <v>1889</v>
      </c>
      <c r="B8">
        <v>1</v>
      </c>
      <c r="C8">
        <v>4</v>
      </c>
      <c r="D8">
        <v>4</v>
      </c>
      <c r="E8">
        <v>13</v>
      </c>
      <c r="F8">
        <v>27</v>
      </c>
      <c r="G8">
        <v>36</v>
      </c>
      <c r="H8">
        <v>36</v>
      </c>
      <c r="I8">
        <v>29</v>
      </c>
      <c r="J8">
        <v>2</v>
      </c>
      <c r="K8">
        <v>2</v>
      </c>
      <c r="L8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7422-41D4-4DBD-A8CF-ACDE7A80CA49}">
  <dimension ref="A1:R8"/>
  <sheetViews>
    <sheetView workbookViewId="0">
      <selection activeCell="B10" sqref="B10"/>
    </sheetView>
  </sheetViews>
  <sheetFormatPr defaultColWidth="7.7265625" defaultRowHeight="14.5" x14ac:dyDescent="0.35"/>
  <cols>
    <col min="1" max="1" width="20.26953125" bestFit="1" customWidth="1"/>
    <col min="2" max="12" width="13.36328125" bestFit="1" customWidth="1"/>
    <col min="13" max="13" width="10.36328125" bestFit="1" customWidth="1"/>
    <col min="14" max="14" width="12.26953125" bestFit="1" customWidth="1"/>
    <col min="15" max="15" width="10.453125" bestFit="1" customWidth="1"/>
    <col min="16" max="16" width="8.08984375" bestFit="1" customWidth="1"/>
    <col min="17" max="18" width="10.453125" bestFit="1" customWidth="1"/>
  </cols>
  <sheetData>
    <row r="1" spans="1:18" x14ac:dyDescent="0.35">
      <c r="A1" s="24" t="s">
        <v>1885</v>
      </c>
      <c r="B1" t="s">
        <v>1888</v>
      </c>
    </row>
    <row r="2" spans="1:18" x14ac:dyDescent="0.35">
      <c r="A2" s="24" t="s">
        <v>246</v>
      </c>
      <c r="B2" t="s">
        <v>1888</v>
      </c>
    </row>
    <row r="3" spans="1:18" x14ac:dyDescent="0.35">
      <c r="A3" s="37" t="s">
        <v>232</v>
      </c>
      <c r="B3" t="s">
        <v>1650</v>
      </c>
    </row>
    <row r="4" spans="1:18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8" x14ac:dyDescent="0.35">
      <c r="A5" s="24" t="s">
        <v>1647</v>
      </c>
      <c r="B5" s="37" t="s">
        <v>1648</v>
      </c>
    </row>
    <row r="6" spans="1:18" x14ac:dyDescent="0.35">
      <c r="A6" s="24" t="s">
        <v>1036</v>
      </c>
      <c r="B6">
        <v>1840</v>
      </c>
      <c r="C6">
        <v>1860</v>
      </c>
      <c r="D6">
        <v>1880</v>
      </c>
      <c r="E6">
        <v>1900</v>
      </c>
      <c r="F6">
        <v>1920</v>
      </c>
      <c r="G6">
        <v>1940</v>
      </c>
      <c r="H6">
        <v>1960</v>
      </c>
      <c r="I6">
        <v>1980</v>
      </c>
      <c r="J6">
        <v>2000</v>
      </c>
      <c r="K6">
        <v>2020</v>
      </c>
      <c r="L6">
        <v>2040</v>
      </c>
      <c r="M6" t="s">
        <v>1889</v>
      </c>
    </row>
    <row r="7" spans="1:18" x14ac:dyDescent="0.35">
      <c r="A7" t="s">
        <v>3699</v>
      </c>
      <c r="B7">
        <v>1</v>
      </c>
      <c r="C7">
        <v>3</v>
      </c>
      <c r="D7">
        <v>5</v>
      </c>
      <c r="E7">
        <v>7</v>
      </c>
      <c r="F7">
        <v>14</v>
      </c>
      <c r="G7">
        <v>24</v>
      </c>
      <c r="H7">
        <v>25</v>
      </c>
      <c r="I7">
        <v>28</v>
      </c>
      <c r="J7">
        <v>13</v>
      </c>
      <c r="K7">
        <v>3</v>
      </c>
      <c r="L7">
        <v>2</v>
      </c>
      <c r="M7">
        <v>125</v>
      </c>
    </row>
    <row r="8" spans="1:18" x14ac:dyDescent="0.35">
      <c r="A8" t="s">
        <v>1889</v>
      </c>
      <c r="B8">
        <v>1</v>
      </c>
      <c r="C8">
        <v>3</v>
      </c>
      <c r="D8">
        <v>5</v>
      </c>
      <c r="E8">
        <v>7</v>
      </c>
      <c r="F8">
        <v>14</v>
      </c>
      <c r="G8">
        <v>24</v>
      </c>
      <c r="H8">
        <v>25</v>
      </c>
      <c r="I8">
        <v>28</v>
      </c>
      <c r="J8">
        <v>13</v>
      </c>
      <c r="K8">
        <v>3</v>
      </c>
      <c r="L8">
        <v>2</v>
      </c>
      <c r="M8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3215-9AB8-4341-95CE-29C79293BB49}">
  <dimension ref="A1:T8"/>
  <sheetViews>
    <sheetView workbookViewId="0">
      <selection activeCell="B10" sqref="B10"/>
    </sheetView>
  </sheetViews>
  <sheetFormatPr defaultColWidth="7.7265625" defaultRowHeight="14.5" x14ac:dyDescent="0.35"/>
  <cols>
    <col min="1" max="1" width="20.26953125" bestFit="1" customWidth="1"/>
    <col min="2" max="13" width="13.36328125" bestFit="1" customWidth="1"/>
    <col min="14" max="14" width="10.36328125" bestFit="1" customWidth="1"/>
    <col min="15" max="15" width="10.453125" bestFit="1" customWidth="1"/>
    <col min="16" max="18" width="7.7265625" bestFit="1" customWidth="1"/>
    <col min="20" max="20" width="10.453125" bestFit="1" customWidth="1"/>
  </cols>
  <sheetData>
    <row r="1" spans="1:20" x14ac:dyDescent="0.35">
      <c r="A1" s="24" t="s">
        <v>1885</v>
      </c>
      <c r="B1" t="s">
        <v>1888</v>
      </c>
    </row>
    <row r="2" spans="1:20" x14ac:dyDescent="0.35">
      <c r="A2" s="24" t="s">
        <v>246</v>
      </c>
      <c r="B2" t="s">
        <v>1888</v>
      </c>
    </row>
    <row r="3" spans="1:20" x14ac:dyDescent="0.35">
      <c r="A3" s="37" t="s">
        <v>230</v>
      </c>
      <c r="B3" t="s">
        <v>1650</v>
      </c>
    </row>
    <row r="4" spans="1:20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 x14ac:dyDescent="0.35">
      <c r="A5" s="24" t="s">
        <v>1647</v>
      </c>
      <c r="B5" s="37" t="s">
        <v>1648</v>
      </c>
    </row>
    <row r="6" spans="1:20" x14ac:dyDescent="0.35">
      <c r="A6" s="24" t="s">
        <v>1036</v>
      </c>
      <c r="B6">
        <v>1820</v>
      </c>
      <c r="C6">
        <v>1840</v>
      </c>
      <c r="D6">
        <v>1860</v>
      </c>
      <c r="E6">
        <v>1880</v>
      </c>
      <c r="F6">
        <v>1900</v>
      </c>
      <c r="G6">
        <v>1920</v>
      </c>
      <c r="H6">
        <v>1940</v>
      </c>
      <c r="I6">
        <v>1960</v>
      </c>
      <c r="J6">
        <v>1980</v>
      </c>
      <c r="K6">
        <v>2000</v>
      </c>
      <c r="L6">
        <v>2020</v>
      </c>
      <c r="M6">
        <v>2040</v>
      </c>
      <c r="N6" t="s">
        <v>1889</v>
      </c>
    </row>
    <row r="7" spans="1:20" x14ac:dyDescent="0.35">
      <c r="A7" t="s">
        <v>3699</v>
      </c>
      <c r="B7">
        <v>1</v>
      </c>
      <c r="C7">
        <v>1</v>
      </c>
      <c r="D7">
        <v>1</v>
      </c>
      <c r="E7">
        <v>7</v>
      </c>
      <c r="F7">
        <v>20</v>
      </c>
      <c r="G7">
        <v>28</v>
      </c>
      <c r="H7">
        <v>34</v>
      </c>
      <c r="I7">
        <v>29</v>
      </c>
      <c r="J7">
        <v>34</v>
      </c>
      <c r="K7">
        <v>23</v>
      </c>
      <c r="L7">
        <v>3</v>
      </c>
      <c r="M7">
        <v>6</v>
      </c>
      <c r="N7">
        <v>187</v>
      </c>
    </row>
    <row r="8" spans="1:20" x14ac:dyDescent="0.35">
      <c r="A8" t="s">
        <v>1889</v>
      </c>
      <c r="B8">
        <v>1</v>
      </c>
      <c r="C8">
        <v>1</v>
      </c>
      <c r="D8">
        <v>1</v>
      </c>
      <c r="E8">
        <v>7</v>
      </c>
      <c r="F8">
        <v>20</v>
      </c>
      <c r="G8">
        <v>28</v>
      </c>
      <c r="H8">
        <v>34</v>
      </c>
      <c r="I8">
        <v>29</v>
      </c>
      <c r="J8">
        <v>34</v>
      </c>
      <c r="K8">
        <v>23</v>
      </c>
      <c r="L8">
        <v>3</v>
      </c>
      <c r="M8">
        <v>6</v>
      </c>
      <c r="N8">
        <v>187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BB9A-6D96-45C3-A86B-3E0B7170BF70}">
  <dimension ref="A1:T8"/>
  <sheetViews>
    <sheetView workbookViewId="0">
      <selection activeCell="B10" sqref="B10"/>
    </sheetView>
  </sheetViews>
  <sheetFormatPr defaultColWidth="7.7265625" defaultRowHeight="14.5" x14ac:dyDescent="0.35"/>
  <cols>
    <col min="1" max="1" width="20.26953125" bestFit="1" customWidth="1"/>
    <col min="2" max="12" width="13.36328125" bestFit="1" customWidth="1"/>
    <col min="13" max="13" width="10.36328125" bestFit="1" customWidth="1"/>
    <col min="14" max="15" width="10.453125" bestFit="1" customWidth="1"/>
    <col min="16" max="18" width="7.7265625" bestFit="1" customWidth="1"/>
    <col min="20" max="20" width="10.453125" bestFit="1" customWidth="1"/>
  </cols>
  <sheetData>
    <row r="1" spans="1:20" x14ac:dyDescent="0.35">
      <c r="A1" s="24" t="s">
        <v>1885</v>
      </c>
      <c r="B1" t="s">
        <v>1888</v>
      </c>
    </row>
    <row r="2" spans="1:20" x14ac:dyDescent="0.35">
      <c r="A2" s="24" t="s">
        <v>246</v>
      </c>
      <c r="B2" t="s">
        <v>1888</v>
      </c>
    </row>
    <row r="3" spans="1:20" x14ac:dyDescent="0.35">
      <c r="A3" s="24" t="s">
        <v>234</v>
      </c>
      <c r="B3" t="s">
        <v>1650</v>
      </c>
    </row>
    <row r="4" spans="1:20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 x14ac:dyDescent="0.35">
      <c r="A5" s="24" t="s">
        <v>1647</v>
      </c>
      <c r="B5" s="37" t="s">
        <v>1648</v>
      </c>
    </row>
    <row r="6" spans="1:20" x14ac:dyDescent="0.35">
      <c r="A6" s="24" t="s">
        <v>1036</v>
      </c>
      <c r="B6">
        <v>1840</v>
      </c>
      <c r="C6">
        <v>1860</v>
      </c>
      <c r="D6">
        <v>1880</v>
      </c>
      <c r="E6">
        <v>1900</v>
      </c>
      <c r="F6">
        <v>1920</v>
      </c>
      <c r="G6">
        <v>1940</v>
      </c>
      <c r="H6">
        <v>1960</v>
      </c>
      <c r="I6">
        <v>1980</v>
      </c>
      <c r="J6">
        <v>2000</v>
      </c>
      <c r="K6">
        <v>2020</v>
      </c>
      <c r="L6">
        <v>2040</v>
      </c>
      <c r="M6" t="s">
        <v>1889</v>
      </c>
    </row>
    <row r="7" spans="1:20" x14ac:dyDescent="0.35">
      <c r="A7" t="s">
        <v>3699</v>
      </c>
      <c r="B7">
        <v>1</v>
      </c>
      <c r="C7">
        <v>2</v>
      </c>
      <c r="D7">
        <v>2</v>
      </c>
      <c r="E7">
        <v>9</v>
      </c>
      <c r="F7">
        <v>20</v>
      </c>
      <c r="G7">
        <v>20</v>
      </c>
      <c r="H7">
        <v>23</v>
      </c>
      <c r="I7">
        <v>26</v>
      </c>
      <c r="J7">
        <v>20</v>
      </c>
      <c r="K7">
        <v>3</v>
      </c>
      <c r="L7">
        <v>2</v>
      </c>
      <c r="M7">
        <v>128</v>
      </c>
    </row>
    <row r="8" spans="1:20" x14ac:dyDescent="0.35">
      <c r="A8" t="s">
        <v>1889</v>
      </c>
      <c r="B8">
        <v>1</v>
      </c>
      <c r="C8">
        <v>2</v>
      </c>
      <c r="D8">
        <v>2</v>
      </c>
      <c r="E8">
        <v>9</v>
      </c>
      <c r="F8">
        <v>20</v>
      </c>
      <c r="G8">
        <v>20</v>
      </c>
      <c r="H8">
        <v>23</v>
      </c>
      <c r="I8">
        <v>26</v>
      </c>
      <c r="J8">
        <v>20</v>
      </c>
      <c r="K8">
        <v>3</v>
      </c>
      <c r="L8">
        <v>2</v>
      </c>
      <c r="M8">
        <v>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AE35-CCD3-47C2-AD43-C8B78B010F91}">
  <dimension ref="A1:BP8"/>
  <sheetViews>
    <sheetView workbookViewId="0">
      <selection activeCell="B10" sqref="B10"/>
    </sheetView>
  </sheetViews>
  <sheetFormatPr defaultColWidth="7.7265625" defaultRowHeight="14.5" x14ac:dyDescent="0.35"/>
  <cols>
    <col min="1" max="1" width="20.26953125" bestFit="1" customWidth="1"/>
    <col min="2" max="11" width="13.36328125" bestFit="1" customWidth="1"/>
    <col min="12" max="12" width="10.36328125" bestFit="1" customWidth="1"/>
    <col min="13" max="13" width="13.36328125" bestFit="1" customWidth="1"/>
    <col min="14" max="14" width="10.453125" bestFit="1" customWidth="1"/>
    <col min="15" max="67" width="26.81640625" bestFit="1" customWidth="1"/>
    <col min="68" max="68" width="10.453125" bestFit="1" customWidth="1"/>
  </cols>
  <sheetData>
    <row r="1" spans="1:68" x14ac:dyDescent="0.35">
      <c r="A1" s="24" t="s">
        <v>1885</v>
      </c>
      <c r="B1" t="s">
        <v>1888</v>
      </c>
    </row>
    <row r="2" spans="1:68" x14ac:dyDescent="0.35">
      <c r="A2" s="24" t="s">
        <v>246</v>
      </c>
      <c r="B2" t="s">
        <v>1888</v>
      </c>
    </row>
    <row r="3" spans="1:68" x14ac:dyDescent="0.35">
      <c r="A3" s="37" t="s">
        <v>236</v>
      </c>
      <c r="B3" t="s">
        <v>1650</v>
      </c>
    </row>
    <row r="4" spans="1:68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</row>
    <row r="5" spans="1:68" x14ac:dyDescent="0.35">
      <c r="A5" s="24" t="s">
        <v>1647</v>
      </c>
      <c r="B5" s="37" t="s">
        <v>1648</v>
      </c>
    </row>
    <row r="6" spans="1:68" x14ac:dyDescent="0.35">
      <c r="A6" s="24" t="s">
        <v>1036</v>
      </c>
      <c r="B6">
        <v>1860</v>
      </c>
      <c r="C6">
        <v>1880</v>
      </c>
      <c r="D6">
        <v>1900</v>
      </c>
      <c r="E6">
        <v>1920</v>
      </c>
      <c r="F6">
        <v>1940</v>
      </c>
      <c r="G6">
        <v>1960</v>
      </c>
      <c r="H6">
        <v>1980</v>
      </c>
      <c r="I6">
        <v>2000</v>
      </c>
      <c r="J6">
        <v>2020</v>
      </c>
      <c r="K6">
        <v>2040</v>
      </c>
      <c r="L6" t="s">
        <v>1889</v>
      </c>
    </row>
    <row r="7" spans="1:68" x14ac:dyDescent="0.35">
      <c r="A7" t="s">
        <v>3699</v>
      </c>
      <c r="B7">
        <v>1</v>
      </c>
      <c r="C7">
        <v>1</v>
      </c>
      <c r="D7">
        <v>9</v>
      </c>
      <c r="E7">
        <v>15</v>
      </c>
      <c r="F7">
        <v>22</v>
      </c>
      <c r="G7">
        <v>32</v>
      </c>
      <c r="H7">
        <v>34</v>
      </c>
      <c r="I7">
        <v>30</v>
      </c>
      <c r="J7">
        <v>2</v>
      </c>
      <c r="K7">
        <v>2</v>
      </c>
      <c r="L7">
        <v>148</v>
      </c>
    </row>
    <row r="8" spans="1:68" x14ac:dyDescent="0.35">
      <c r="A8" t="s">
        <v>1889</v>
      </c>
      <c r="B8">
        <v>1</v>
      </c>
      <c r="C8">
        <v>1</v>
      </c>
      <c r="D8">
        <v>9</v>
      </c>
      <c r="E8">
        <v>15</v>
      </c>
      <c r="F8">
        <v>22</v>
      </c>
      <c r="G8">
        <v>32</v>
      </c>
      <c r="H8">
        <v>34</v>
      </c>
      <c r="I8">
        <v>30</v>
      </c>
      <c r="J8">
        <v>2</v>
      </c>
      <c r="K8">
        <v>2</v>
      </c>
      <c r="L8">
        <v>148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6A13-5EA7-4E58-8FBD-92C5E65C3EB3}">
  <dimension ref="A1:R8"/>
  <sheetViews>
    <sheetView workbookViewId="0">
      <selection activeCell="B10" sqref="B10"/>
    </sheetView>
  </sheetViews>
  <sheetFormatPr defaultColWidth="7.7265625" defaultRowHeight="14.5" x14ac:dyDescent="0.35"/>
  <cols>
    <col min="1" max="1" width="20.26953125" bestFit="1" customWidth="1"/>
    <col min="2" max="12" width="13.36328125" bestFit="1" customWidth="1"/>
    <col min="13" max="13" width="10.36328125" bestFit="1" customWidth="1"/>
    <col min="14" max="14" width="10.453125" bestFit="1" customWidth="1"/>
    <col min="15" max="17" width="25" bestFit="1" customWidth="1"/>
    <col min="18" max="18" width="10.453125" bestFit="1" customWidth="1"/>
  </cols>
  <sheetData>
    <row r="1" spans="1:18" x14ac:dyDescent="0.35">
      <c r="A1" s="24" t="s">
        <v>1885</v>
      </c>
      <c r="B1" t="s">
        <v>1888</v>
      </c>
    </row>
    <row r="2" spans="1:18" x14ac:dyDescent="0.35">
      <c r="A2" s="24" t="s">
        <v>246</v>
      </c>
      <c r="B2" t="s">
        <v>1888</v>
      </c>
    </row>
    <row r="3" spans="1:18" x14ac:dyDescent="0.35">
      <c r="A3" s="37" t="s">
        <v>231</v>
      </c>
      <c r="B3" t="s">
        <v>1650</v>
      </c>
    </row>
    <row r="4" spans="1:18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8" x14ac:dyDescent="0.35">
      <c r="A5" s="24" t="s">
        <v>1647</v>
      </c>
      <c r="B5" s="37" t="s">
        <v>1648</v>
      </c>
    </row>
    <row r="6" spans="1:18" x14ac:dyDescent="0.35">
      <c r="A6" s="24" t="s">
        <v>1036</v>
      </c>
      <c r="B6">
        <v>1840</v>
      </c>
      <c r="C6">
        <v>1860</v>
      </c>
      <c r="D6">
        <v>1880</v>
      </c>
      <c r="E6">
        <v>1900</v>
      </c>
      <c r="F6">
        <v>1920</v>
      </c>
      <c r="G6">
        <v>1940</v>
      </c>
      <c r="H6">
        <v>1960</v>
      </c>
      <c r="I6">
        <v>1980</v>
      </c>
      <c r="J6">
        <v>2000</v>
      </c>
      <c r="K6">
        <v>2020</v>
      </c>
      <c r="L6">
        <v>2040</v>
      </c>
      <c r="M6" t="s">
        <v>1889</v>
      </c>
    </row>
    <row r="7" spans="1:18" x14ac:dyDescent="0.35">
      <c r="A7" t="s">
        <v>3699</v>
      </c>
      <c r="B7">
        <v>1</v>
      </c>
      <c r="C7">
        <v>1</v>
      </c>
      <c r="D7">
        <v>1</v>
      </c>
      <c r="E7">
        <v>5</v>
      </c>
      <c r="F7">
        <v>9</v>
      </c>
      <c r="G7">
        <v>23</v>
      </c>
      <c r="H7">
        <v>15</v>
      </c>
      <c r="I7">
        <v>17</v>
      </c>
      <c r="J7">
        <v>16</v>
      </c>
      <c r="K7">
        <v>3</v>
      </c>
      <c r="L7">
        <v>2</v>
      </c>
      <c r="M7">
        <v>93</v>
      </c>
    </row>
    <row r="8" spans="1:18" x14ac:dyDescent="0.35">
      <c r="A8" t="s">
        <v>1889</v>
      </c>
      <c r="B8">
        <v>1</v>
      </c>
      <c r="C8">
        <v>1</v>
      </c>
      <c r="D8">
        <v>1</v>
      </c>
      <c r="E8">
        <v>5</v>
      </c>
      <c r="F8">
        <v>9</v>
      </c>
      <c r="G8">
        <v>23</v>
      </c>
      <c r="H8">
        <v>15</v>
      </c>
      <c r="I8">
        <v>17</v>
      </c>
      <c r="J8">
        <v>16</v>
      </c>
      <c r="K8">
        <v>3</v>
      </c>
      <c r="L8">
        <v>2</v>
      </c>
      <c r="M8">
        <v>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F8D6-9654-44D3-9C19-0FA71FC2FB9A}">
  <dimension ref="A1:Q255"/>
  <sheetViews>
    <sheetView workbookViewId="0">
      <selection activeCell="P16" sqref="P16"/>
    </sheetView>
  </sheetViews>
  <sheetFormatPr defaultRowHeight="14.5" x14ac:dyDescent="0.35"/>
  <cols>
    <col min="1" max="1" width="24.26953125" bestFit="1" customWidth="1"/>
    <col min="3" max="3" width="17.54296875" customWidth="1"/>
    <col min="5" max="5" width="36.54296875" bestFit="1" customWidth="1"/>
    <col min="7" max="7" width="35.453125" bestFit="1" customWidth="1"/>
    <col min="9" max="9" width="15.36328125" customWidth="1"/>
    <col min="11" max="11" width="34.08984375" bestFit="1" customWidth="1"/>
    <col min="13" max="13" width="15.7265625" bestFit="1" customWidth="1"/>
    <col min="14" max="14" width="38.54296875" bestFit="1" customWidth="1"/>
    <col min="17" max="17" width="22.54296875" bestFit="1" customWidth="1"/>
  </cols>
  <sheetData>
    <row r="1" spans="1:17" x14ac:dyDescent="0.35">
      <c r="A1" t="s">
        <v>242</v>
      </c>
      <c r="C1" t="s">
        <v>243</v>
      </c>
      <c r="E1" s="9" t="s">
        <v>294</v>
      </c>
      <c r="G1" s="9" t="s">
        <v>295</v>
      </c>
      <c r="I1" t="s">
        <v>3</v>
      </c>
      <c r="K1" t="s">
        <v>293</v>
      </c>
      <c r="M1" s="14" t="s">
        <v>1025</v>
      </c>
      <c r="N1" s="14" t="s">
        <v>1026</v>
      </c>
      <c r="O1" s="15" t="s">
        <v>1669</v>
      </c>
      <c r="Q1" s="1" t="s">
        <v>1</v>
      </c>
    </row>
    <row r="2" spans="1:17" x14ac:dyDescent="0.35">
      <c r="A2" t="s">
        <v>233</v>
      </c>
      <c r="C2" t="s">
        <v>244</v>
      </c>
      <c r="E2" t="s">
        <v>320</v>
      </c>
      <c r="G2" t="s">
        <v>321</v>
      </c>
      <c r="I2" t="s">
        <v>18</v>
      </c>
      <c r="K2" s="12" t="s">
        <v>254</v>
      </c>
      <c r="M2" s="15" t="s">
        <v>779</v>
      </c>
      <c r="N2" s="15" t="s">
        <v>531</v>
      </c>
      <c r="O2" s="15">
        <f>COUNTIF(COUNTRIES[COUNTRY_LABEL],COUNTRIES[[#This Row],[COUNTRY_LABEL]])</f>
        <v>1</v>
      </c>
      <c r="Q2" t="s">
        <v>25</v>
      </c>
    </row>
    <row r="3" spans="1:17" x14ac:dyDescent="0.35">
      <c r="A3" t="s">
        <v>240</v>
      </c>
      <c r="C3" t="s">
        <v>245</v>
      </c>
      <c r="E3" t="s">
        <v>304</v>
      </c>
      <c r="G3" t="s">
        <v>305</v>
      </c>
      <c r="I3" t="s">
        <v>20</v>
      </c>
      <c r="K3" s="12" t="s">
        <v>256</v>
      </c>
      <c r="M3" s="15" t="s">
        <v>791</v>
      </c>
      <c r="N3" s="15" t="s">
        <v>543</v>
      </c>
      <c r="O3" s="15">
        <f>COUNTIF(COUNTRIES[COUNTRY_LABEL],COUNTRIES[[#This Row],[COUNTRY_LABEL]])</f>
        <v>1</v>
      </c>
      <c r="Q3" t="s">
        <v>3672</v>
      </c>
    </row>
    <row r="4" spans="1:17" x14ac:dyDescent="0.35">
      <c r="A4" t="s">
        <v>239</v>
      </c>
      <c r="E4" t="s">
        <v>298</v>
      </c>
      <c r="G4" t="s">
        <v>299</v>
      </c>
      <c r="I4" t="s">
        <v>21</v>
      </c>
      <c r="K4" s="12" t="s">
        <v>257</v>
      </c>
      <c r="M4" s="15" t="s">
        <v>782</v>
      </c>
      <c r="N4" s="15" t="s">
        <v>534</v>
      </c>
      <c r="O4" s="15">
        <f>COUNTIF(COUNTRIES[COUNTRY_LABEL],COUNTRIES[[#This Row],[COUNTRY_LABEL]])</f>
        <v>1</v>
      </c>
      <c r="Q4" t="s">
        <v>3671</v>
      </c>
    </row>
    <row r="5" spans="1:17" x14ac:dyDescent="0.35">
      <c r="A5" t="s">
        <v>241</v>
      </c>
      <c r="E5" t="s">
        <v>310</v>
      </c>
      <c r="G5" t="s">
        <v>311</v>
      </c>
      <c r="I5" t="s">
        <v>16</v>
      </c>
      <c r="K5" s="12" t="s">
        <v>259</v>
      </c>
      <c r="M5" s="15" t="s">
        <v>838</v>
      </c>
      <c r="N5" s="15" t="s">
        <v>589</v>
      </c>
      <c r="O5" s="15">
        <f>COUNTIF(COUNTRIES[COUNTRY_LABEL],COUNTRIES[[#This Row],[COUNTRY_LABEL]])</f>
        <v>1</v>
      </c>
      <c r="Q5" t="s">
        <v>26</v>
      </c>
    </row>
    <row r="6" spans="1:17" x14ac:dyDescent="0.35">
      <c r="A6" t="s">
        <v>1947</v>
      </c>
      <c r="E6" t="s">
        <v>308</v>
      </c>
      <c r="G6" t="s">
        <v>309</v>
      </c>
      <c r="K6" s="12" t="s">
        <v>261</v>
      </c>
      <c r="M6" s="15" t="s">
        <v>787</v>
      </c>
      <c r="N6" s="15" t="s">
        <v>539</v>
      </c>
      <c r="O6" s="15">
        <f>COUNTIF(COUNTRIES[COUNTRY_LABEL],COUNTRIES[[#This Row],[COUNTRY_LABEL]])</f>
        <v>1</v>
      </c>
      <c r="Q6" t="s">
        <v>27</v>
      </c>
    </row>
    <row r="7" spans="1:17" x14ac:dyDescent="0.35">
      <c r="A7" t="s">
        <v>238</v>
      </c>
      <c r="E7" t="s">
        <v>300</v>
      </c>
      <c r="G7" t="s">
        <v>301</v>
      </c>
      <c r="K7" s="12" t="s">
        <v>263</v>
      </c>
      <c r="M7" s="15" t="s">
        <v>777</v>
      </c>
      <c r="N7" s="15" t="s">
        <v>529</v>
      </c>
      <c r="O7" s="15">
        <f>COUNTIF(COUNTRIES[COUNTRY_LABEL],COUNTRIES[[#This Row],[COUNTRY_LABEL]])</f>
        <v>1</v>
      </c>
      <c r="Q7" t="s">
        <v>24</v>
      </c>
    </row>
    <row r="8" spans="1:17" x14ac:dyDescent="0.35">
      <c r="A8" t="s">
        <v>1948</v>
      </c>
      <c r="E8" t="s">
        <v>312</v>
      </c>
      <c r="G8" t="s">
        <v>313</v>
      </c>
      <c r="K8" s="13" t="s">
        <v>265</v>
      </c>
      <c r="M8" s="15" t="s">
        <v>784</v>
      </c>
      <c r="N8" s="15" t="s">
        <v>536</v>
      </c>
      <c r="O8" s="15">
        <f>COUNTIF(COUNTRIES[COUNTRY_LABEL],COUNTRIES[[#This Row],[COUNTRY_LABEL]])</f>
        <v>1</v>
      </c>
      <c r="Q8" t="s">
        <v>28</v>
      </c>
    </row>
    <row r="9" spans="1:17" x14ac:dyDescent="0.35">
      <c r="A9" t="s">
        <v>1949</v>
      </c>
      <c r="E9" t="s">
        <v>1824</v>
      </c>
      <c r="G9" t="s">
        <v>1825</v>
      </c>
      <c r="K9" s="13" t="s">
        <v>267</v>
      </c>
      <c r="M9" s="15" t="s">
        <v>781</v>
      </c>
      <c r="N9" s="15" t="s">
        <v>533</v>
      </c>
      <c r="O9" s="15">
        <f>COUNTIF(COUNTRIES[COUNTRY_LABEL],COUNTRIES[[#This Row],[COUNTRY_LABEL]])</f>
        <v>1</v>
      </c>
      <c r="Q9" t="s">
        <v>29</v>
      </c>
    </row>
    <row r="10" spans="1:17" x14ac:dyDescent="0.35">
      <c r="A10" t="s">
        <v>236</v>
      </c>
      <c r="E10" t="s">
        <v>316</v>
      </c>
      <c r="G10" t="s">
        <v>317</v>
      </c>
      <c r="K10" s="13" t="s">
        <v>269</v>
      </c>
      <c r="M10" s="15" t="s">
        <v>785</v>
      </c>
      <c r="N10" s="15" t="s">
        <v>537</v>
      </c>
      <c r="O10" s="15">
        <f>COUNTIF(COUNTRIES[COUNTRY_LABEL],COUNTRIES[[#This Row],[COUNTRY_LABEL]])</f>
        <v>1</v>
      </c>
      <c r="Q10" t="s">
        <v>30</v>
      </c>
    </row>
    <row r="11" spans="1:17" x14ac:dyDescent="0.35">
      <c r="A11" t="s">
        <v>229</v>
      </c>
      <c r="E11" t="s">
        <v>1705</v>
      </c>
      <c r="G11" t="s">
        <v>1706</v>
      </c>
      <c r="K11" s="13" t="s">
        <v>1827</v>
      </c>
      <c r="M11" s="15" t="s">
        <v>780</v>
      </c>
      <c r="N11" s="15" t="s">
        <v>532</v>
      </c>
      <c r="O11" s="15">
        <f>COUNTIF(COUNTRIES[COUNTRY_LABEL],COUNTRIES[[#This Row],[COUNTRY_LABEL]])</f>
        <v>1</v>
      </c>
      <c r="Q11" t="s">
        <v>19</v>
      </c>
    </row>
    <row r="12" spans="1:17" x14ac:dyDescent="0.35">
      <c r="A12" t="s">
        <v>1946</v>
      </c>
      <c r="E12" t="s">
        <v>306</v>
      </c>
      <c r="G12" t="s">
        <v>307</v>
      </c>
      <c r="K12" s="12" t="s">
        <v>272</v>
      </c>
      <c r="M12" s="15" t="s">
        <v>786</v>
      </c>
      <c r="N12" s="15" t="s">
        <v>538</v>
      </c>
      <c r="O12" s="15">
        <f>COUNTIF(COUNTRIES[COUNTRY_LABEL],COUNTRIES[[#This Row],[COUNTRY_LABEL]])</f>
        <v>1</v>
      </c>
      <c r="Q12" t="s">
        <v>31</v>
      </c>
    </row>
    <row r="13" spans="1:17" x14ac:dyDescent="0.35">
      <c r="A13" t="s">
        <v>235</v>
      </c>
      <c r="E13" t="s">
        <v>314</v>
      </c>
      <c r="G13" t="s">
        <v>315</v>
      </c>
      <c r="K13" s="12" t="s">
        <v>274</v>
      </c>
      <c r="M13" s="15" t="s">
        <v>783</v>
      </c>
      <c r="N13" s="15" t="s">
        <v>535</v>
      </c>
      <c r="O13" s="15">
        <f>COUNTIF(COUNTRIES[COUNTRY_LABEL],COUNTRIES[[#This Row],[COUNTRY_LABEL]])</f>
        <v>1</v>
      </c>
      <c r="Q13" t="s">
        <v>32</v>
      </c>
    </row>
    <row r="14" spans="1:17" x14ac:dyDescent="0.35">
      <c r="A14" t="s">
        <v>1950</v>
      </c>
      <c r="E14" t="s">
        <v>302</v>
      </c>
      <c r="G14" t="s">
        <v>303</v>
      </c>
      <c r="K14" s="13" t="s">
        <v>285</v>
      </c>
      <c r="M14" s="15" t="s">
        <v>790</v>
      </c>
      <c r="N14" s="15" t="s">
        <v>542</v>
      </c>
      <c r="O14" s="15">
        <f>COUNTIF(COUNTRIES[COUNTRY_LABEL],COUNTRIES[[#This Row],[COUNTRY_LABEL]])</f>
        <v>1</v>
      </c>
      <c r="Q14" t="s">
        <v>3667</v>
      </c>
    </row>
    <row r="15" spans="1:17" x14ac:dyDescent="0.35">
      <c r="A15" t="s">
        <v>234</v>
      </c>
      <c r="E15" t="s">
        <v>296</v>
      </c>
      <c r="G15" t="s">
        <v>297</v>
      </c>
      <c r="K15" s="12" t="s">
        <v>286</v>
      </c>
      <c r="M15" s="15" t="s">
        <v>789</v>
      </c>
      <c r="N15" s="15" t="s">
        <v>541</v>
      </c>
      <c r="O15" s="15">
        <f>COUNTIF(COUNTRIES[COUNTRY_LABEL],COUNTRIES[[#This Row],[COUNTRY_LABEL]])</f>
        <v>1</v>
      </c>
      <c r="Q15" t="s">
        <v>3668</v>
      </c>
    </row>
    <row r="16" spans="1:17" x14ac:dyDescent="0.35">
      <c r="A16" t="s">
        <v>232</v>
      </c>
      <c r="E16" t="s">
        <v>318</v>
      </c>
      <c r="G16" t="s">
        <v>319</v>
      </c>
      <c r="K16" s="12" t="s">
        <v>287</v>
      </c>
      <c r="M16" s="15" t="s">
        <v>788</v>
      </c>
      <c r="N16" s="15" t="s">
        <v>540</v>
      </c>
      <c r="O16" s="15">
        <f>COUNTIF(COUNTRIES[COUNTRY_LABEL],COUNTRIES[[#This Row],[COUNTRY_LABEL]])</f>
        <v>1</v>
      </c>
      <c r="Q16" t="s">
        <v>1723</v>
      </c>
    </row>
    <row r="17" spans="1:17" x14ac:dyDescent="0.35">
      <c r="A17" t="s">
        <v>1945</v>
      </c>
      <c r="K17" s="13" t="s">
        <v>288</v>
      </c>
      <c r="M17" s="15" t="s">
        <v>792</v>
      </c>
      <c r="N17" s="15" t="s">
        <v>544</v>
      </c>
      <c r="O17" s="15">
        <f>COUNTIF(COUNTRIES[COUNTRY_LABEL],COUNTRIES[[#This Row],[COUNTRY_LABEL]])</f>
        <v>1</v>
      </c>
      <c r="Q17" t="s">
        <v>36</v>
      </c>
    </row>
    <row r="18" spans="1:17" x14ac:dyDescent="0.35">
      <c r="A18" t="s">
        <v>1951</v>
      </c>
      <c r="K18" s="13" t="s">
        <v>279</v>
      </c>
      <c r="M18" s="15" t="s">
        <v>808</v>
      </c>
      <c r="N18" s="15" t="s">
        <v>559</v>
      </c>
      <c r="O18" s="15">
        <f>COUNTIF(COUNTRIES[COUNTRY_LABEL],COUNTRIES[[#This Row],[COUNTRY_LABEL]])</f>
        <v>1</v>
      </c>
      <c r="Q18" t="s">
        <v>17</v>
      </c>
    </row>
    <row r="19" spans="1:17" x14ac:dyDescent="0.35">
      <c r="A19" t="s">
        <v>237</v>
      </c>
      <c r="K19" s="13" t="s">
        <v>280</v>
      </c>
      <c r="M19" s="15" t="s">
        <v>799</v>
      </c>
      <c r="N19" s="15" t="s">
        <v>551</v>
      </c>
      <c r="O19" s="15">
        <f>COUNTIF(COUNTRIES[COUNTRY_LABEL],COUNTRIES[[#This Row],[COUNTRY_LABEL]])</f>
        <v>1</v>
      </c>
      <c r="Q19" t="s">
        <v>3665</v>
      </c>
    </row>
    <row r="20" spans="1:17" x14ac:dyDescent="0.35">
      <c r="A20" t="s">
        <v>231</v>
      </c>
      <c r="K20" s="13" t="s">
        <v>1708</v>
      </c>
      <c r="M20" s="15" t="s">
        <v>795</v>
      </c>
      <c r="N20" s="15" t="s">
        <v>547</v>
      </c>
      <c r="O20" s="15">
        <f>COUNTIF(COUNTRIES[COUNTRY_LABEL],COUNTRIES[[#This Row],[COUNTRY_LABEL]])</f>
        <v>1</v>
      </c>
      <c r="Q20" t="s">
        <v>3666</v>
      </c>
    </row>
    <row r="21" spans="1:17" x14ac:dyDescent="0.35">
      <c r="A21" t="s">
        <v>230</v>
      </c>
      <c r="K21" s="13" t="s">
        <v>281</v>
      </c>
      <c r="M21" s="15" t="s">
        <v>794</v>
      </c>
      <c r="N21" s="15" t="s">
        <v>546</v>
      </c>
      <c r="O21" s="15">
        <f>COUNTIF(COUNTRIES[COUNTRY_LABEL],COUNTRIES[[#This Row],[COUNTRY_LABEL]])</f>
        <v>1</v>
      </c>
      <c r="Q21" t="s">
        <v>15</v>
      </c>
    </row>
    <row r="22" spans="1:17" x14ac:dyDescent="0.35">
      <c r="K22" s="13" t="s">
        <v>283</v>
      </c>
      <c r="M22" s="15" t="s">
        <v>812</v>
      </c>
      <c r="N22" s="15" t="s">
        <v>563</v>
      </c>
      <c r="O22" s="15">
        <f>COUNTIF(COUNTRIES[COUNTRY_LABEL],COUNTRIES[[#This Row],[COUNTRY_LABEL]])</f>
        <v>1</v>
      </c>
      <c r="Q22" t="s">
        <v>22</v>
      </c>
    </row>
    <row r="23" spans="1:17" x14ac:dyDescent="0.35">
      <c r="K23" s="13" t="s">
        <v>276</v>
      </c>
      <c r="M23" s="15" t="s">
        <v>796</v>
      </c>
      <c r="N23" s="15" t="s">
        <v>548</v>
      </c>
      <c r="O23" s="15">
        <f>COUNTIF(COUNTRIES[COUNTRY_LABEL],COUNTRIES[[#This Row],[COUNTRY_LABEL]])</f>
        <v>1</v>
      </c>
      <c r="Q23" t="s">
        <v>33</v>
      </c>
    </row>
    <row r="24" spans="1:17" x14ac:dyDescent="0.35">
      <c r="K24" s="13" t="s">
        <v>1522</v>
      </c>
      <c r="M24" s="15" t="s">
        <v>813</v>
      </c>
      <c r="N24" s="15" t="s">
        <v>564</v>
      </c>
      <c r="O24" s="15">
        <f>COUNTIF(COUNTRIES[COUNTRY_LABEL],COUNTRIES[[#This Row],[COUNTRY_LABEL]])</f>
        <v>1</v>
      </c>
      <c r="Q24" t="s">
        <v>3669</v>
      </c>
    </row>
    <row r="25" spans="1:17" x14ac:dyDescent="0.35">
      <c r="M25" s="15" t="s">
        <v>801</v>
      </c>
      <c r="N25" s="15" t="s">
        <v>553</v>
      </c>
      <c r="O25" s="15">
        <f>COUNTIF(COUNTRIES[COUNTRY_LABEL],COUNTRIES[[#This Row],[COUNTRY_LABEL]])</f>
        <v>1</v>
      </c>
      <c r="Q25" t="s">
        <v>3670</v>
      </c>
    </row>
    <row r="26" spans="1:17" x14ac:dyDescent="0.35">
      <c r="M26" s="15" t="s">
        <v>803</v>
      </c>
      <c r="N26" s="15" t="s">
        <v>554</v>
      </c>
      <c r="O26" s="15">
        <f>COUNTIF(COUNTRIES[COUNTRY_LABEL],COUNTRIES[[#This Row],[COUNTRY_LABEL]])</f>
        <v>1</v>
      </c>
      <c r="Q26" t="s">
        <v>34</v>
      </c>
    </row>
    <row r="27" spans="1:17" x14ac:dyDescent="0.35">
      <c r="M27" s="15" t="s">
        <v>809</v>
      </c>
      <c r="N27" s="15" t="s">
        <v>560</v>
      </c>
      <c r="O27" s="15">
        <f>COUNTIF(COUNTRIES[COUNTRY_LABEL],COUNTRIES[[#This Row],[COUNTRY_LABEL]])</f>
        <v>1</v>
      </c>
      <c r="Q27" t="s">
        <v>35</v>
      </c>
    </row>
    <row r="28" spans="1:17" x14ac:dyDescent="0.35">
      <c r="M28" s="15" t="s">
        <v>805</v>
      </c>
      <c r="N28" s="15" t="s">
        <v>556</v>
      </c>
      <c r="O28" s="15">
        <f>COUNTIF(COUNTRIES[COUNTRY_LABEL],COUNTRIES[[#This Row],[COUNTRY_LABEL]])</f>
        <v>1</v>
      </c>
    </row>
    <row r="29" spans="1:17" x14ac:dyDescent="0.35">
      <c r="M29" s="15" t="s">
        <v>793</v>
      </c>
      <c r="N29" s="15" t="s">
        <v>545</v>
      </c>
      <c r="O29" s="15">
        <f>COUNTIF(COUNTRIES[COUNTRY_LABEL],COUNTRIES[[#This Row],[COUNTRY_LABEL]])</f>
        <v>1</v>
      </c>
    </row>
    <row r="30" spans="1:17" x14ac:dyDescent="0.35">
      <c r="M30" s="15" t="s">
        <v>811</v>
      </c>
      <c r="N30" s="15" t="s">
        <v>562</v>
      </c>
      <c r="O30" s="15">
        <f>COUNTIF(COUNTRIES[COUNTRY_LABEL],COUNTRIES[[#This Row],[COUNTRY_LABEL]])</f>
        <v>1</v>
      </c>
    </row>
    <row r="31" spans="1:17" x14ac:dyDescent="0.35">
      <c r="M31" s="15" t="s">
        <v>810</v>
      </c>
      <c r="N31" s="15" t="s">
        <v>561</v>
      </c>
      <c r="O31" s="15">
        <f>COUNTIF(COUNTRIES[COUNTRY_LABEL],COUNTRIES[[#This Row],[COUNTRY_LABEL]])</f>
        <v>1</v>
      </c>
    </row>
    <row r="32" spans="1:17" x14ac:dyDescent="0.35">
      <c r="M32" s="15" t="s">
        <v>807</v>
      </c>
      <c r="N32" s="15" t="s">
        <v>558</v>
      </c>
      <c r="O32" s="15">
        <f>COUNTIF(COUNTRIES[COUNTRY_LABEL],COUNTRIES[[#This Row],[COUNTRY_LABEL]])</f>
        <v>1</v>
      </c>
    </row>
    <row r="33" spans="13:15" x14ac:dyDescent="0.35">
      <c r="M33" s="15" t="s">
        <v>882</v>
      </c>
      <c r="N33" s="15" t="s">
        <v>632</v>
      </c>
      <c r="O33" s="15">
        <f>COUNTIF(COUNTRIES[COUNTRY_LABEL],COUNTRIES[[#This Row],[COUNTRY_LABEL]])</f>
        <v>1</v>
      </c>
    </row>
    <row r="34" spans="13:15" x14ac:dyDescent="0.35">
      <c r="M34" s="15" t="s">
        <v>804</v>
      </c>
      <c r="N34" s="15" t="s">
        <v>555</v>
      </c>
      <c r="O34" s="15">
        <f>COUNTIF(COUNTRIES[COUNTRY_LABEL],COUNTRIES[[#This Row],[COUNTRY_LABEL]])</f>
        <v>1</v>
      </c>
    </row>
    <row r="35" spans="13:15" x14ac:dyDescent="0.35">
      <c r="M35" s="15" t="s">
        <v>798</v>
      </c>
      <c r="N35" s="15" t="s">
        <v>550</v>
      </c>
      <c r="O35" s="15">
        <f>COUNTIF(COUNTRIES[COUNTRY_LABEL],COUNTRIES[[#This Row],[COUNTRY_LABEL]])</f>
        <v>1</v>
      </c>
    </row>
    <row r="36" spans="13:15" x14ac:dyDescent="0.35">
      <c r="M36" s="15" t="s">
        <v>797</v>
      </c>
      <c r="N36" s="15" t="s">
        <v>549</v>
      </c>
      <c r="O36" s="15">
        <f>COUNTIF(COUNTRIES[COUNTRY_LABEL],COUNTRIES[[#This Row],[COUNTRY_LABEL]])</f>
        <v>1</v>
      </c>
    </row>
    <row r="37" spans="13:15" x14ac:dyDescent="0.35">
      <c r="M37" s="15" t="s">
        <v>800</v>
      </c>
      <c r="N37" s="15" t="s">
        <v>552</v>
      </c>
      <c r="O37" s="15">
        <f>COUNTIF(COUNTRIES[COUNTRY_LABEL],COUNTRIES[[#This Row],[COUNTRY_LABEL]])</f>
        <v>1</v>
      </c>
    </row>
    <row r="38" spans="13:15" x14ac:dyDescent="0.35">
      <c r="M38" s="15" t="s">
        <v>893</v>
      </c>
      <c r="N38" s="15" t="s">
        <v>643</v>
      </c>
      <c r="O38" s="15">
        <f>COUNTIF(COUNTRIES[COUNTRY_LABEL],COUNTRIES[[#This Row],[COUNTRY_LABEL]])</f>
        <v>1</v>
      </c>
    </row>
    <row r="39" spans="13:15" x14ac:dyDescent="0.35">
      <c r="M39" s="15" t="s">
        <v>823</v>
      </c>
      <c r="N39" s="15" t="s">
        <v>574</v>
      </c>
      <c r="O39" s="15">
        <f>COUNTIF(COUNTRIES[COUNTRY_LABEL],COUNTRIES[[#This Row],[COUNTRY_LABEL]])</f>
        <v>1</v>
      </c>
    </row>
    <row r="40" spans="13:15" x14ac:dyDescent="0.35">
      <c r="M40" s="15" t="s">
        <v>814</v>
      </c>
      <c r="N40" s="15" t="s">
        <v>565</v>
      </c>
      <c r="O40" s="15">
        <f>COUNTIF(COUNTRIES[COUNTRY_LABEL],COUNTRIES[[#This Row],[COUNTRY_LABEL]])</f>
        <v>1</v>
      </c>
    </row>
    <row r="41" spans="13:15" x14ac:dyDescent="0.35">
      <c r="M41" s="15" t="s">
        <v>828</v>
      </c>
      <c r="N41" s="15" t="s">
        <v>579</v>
      </c>
      <c r="O41" s="15">
        <f>COUNTIF(COUNTRIES[COUNTRY_LABEL],COUNTRIES[[#This Row],[COUNTRY_LABEL]])</f>
        <v>1</v>
      </c>
    </row>
    <row r="42" spans="13:15" x14ac:dyDescent="0.35">
      <c r="M42" s="15" t="s">
        <v>806</v>
      </c>
      <c r="N42" s="15" t="s">
        <v>557</v>
      </c>
      <c r="O42" s="15">
        <f>COUNTIF(COUNTRIES[COUNTRY_LABEL],COUNTRIES[[#This Row],[COUNTRY_LABEL]])</f>
        <v>1</v>
      </c>
    </row>
    <row r="43" spans="13:15" x14ac:dyDescent="0.35">
      <c r="M43" s="15" t="s">
        <v>900</v>
      </c>
      <c r="N43" s="15" t="s">
        <v>650</v>
      </c>
      <c r="O43" s="15">
        <f>COUNTIF(COUNTRIES[COUNTRY_LABEL],COUNTRIES[[#This Row],[COUNTRY_LABEL]])</f>
        <v>1</v>
      </c>
    </row>
    <row r="44" spans="13:15" x14ac:dyDescent="0.35">
      <c r="M44" s="15" t="s">
        <v>817</v>
      </c>
      <c r="N44" s="15" t="s">
        <v>568</v>
      </c>
      <c r="O44" s="15">
        <f>COUNTIF(COUNTRIES[COUNTRY_LABEL],COUNTRIES[[#This Row],[COUNTRY_LABEL]])</f>
        <v>1</v>
      </c>
    </row>
    <row r="45" spans="13:15" x14ac:dyDescent="0.35">
      <c r="M45" s="15" t="s">
        <v>990</v>
      </c>
      <c r="N45" s="15" t="s">
        <v>740</v>
      </c>
      <c r="O45" s="15">
        <f>COUNTIF(COUNTRIES[COUNTRY_LABEL],COUNTRIES[[#This Row],[COUNTRY_LABEL]])</f>
        <v>1</v>
      </c>
    </row>
    <row r="46" spans="13:15" x14ac:dyDescent="0.35">
      <c r="M46" s="15" t="s">
        <v>822</v>
      </c>
      <c r="N46" s="15" t="s">
        <v>573</v>
      </c>
      <c r="O46" s="15">
        <f>COUNTIF(COUNTRIES[COUNTRY_LABEL],COUNTRIES[[#This Row],[COUNTRY_LABEL]])</f>
        <v>1</v>
      </c>
    </row>
    <row r="47" spans="13:15" x14ac:dyDescent="0.35">
      <c r="M47" s="15" t="s">
        <v>824</v>
      </c>
      <c r="N47" s="15" t="s">
        <v>575</v>
      </c>
      <c r="O47" s="15">
        <f>COUNTIF(COUNTRIES[COUNTRY_LABEL],COUNTRIES[[#This Row],[COUNTRY_LABEL]])</f>
        <v>1</v>
      </c>
    </row>
    <row r="48" spans="13:15" x14ac:dyDescent="0.35">
      <c r="M48" s="15" t="s">
        <v>830</v>
      </c>
      <c r="N48" s="15" t="s">
        <v>581</v>
      </c>
      <c r="O48" s="15">
        <f>COUNTIF(COUNTRIES[COUNTRY_LABEL],COUNTRIES[[#This Row],[COUNTRY_LABEL]])</f>
        <v>1</v>
      </c>
    </row>
    <row r="49" spans="13:15" x14ac:dyDescent="0.35">
      <c r="M49" s="15" t="s">
        <v>815</v>
      </c>
      <c r="N49" s="15" t="s">
        <v>566</v>
      </c>
      <c r="O49" s="15">
        <f>COUNTIF(COUNTRIES[COUNTRY_LABEL],COUNTRIES[[#This Row],[COUNTRY_LABEL]])</f>
        <v>1</v>
      </c>
    </row>
    <row r="50" spans="13:15" x14ac:dyDescent="0.35">
      <c r="M50" s="15" t="s">
        <v>825</v>
      </c>
      <c r="N50" s="15" t="s">
        <v>576</v>
      </c>
      <c r="O50" s="15">
        <f>COUNTIF(COUNTRIES[COUNTRY_LABEL],COUNTRIES[[#This Row],[COUNTRY_LABEL]])</f>
        <v>1</v>
      </c>
    </row>
    <row r="51" spans="13:15" x14ac:dyDescent="0.35">
      <c r="M51" s="15" t="s">
        <v>895</v>
      </c>
      <c r="N51" s="15" t="s">
        <v>645</v>
      </c>
      <c r="O51" s="15">
        <f>COUNTIF(COUNTRIES[COUNTRY_LABEL],COUNTRIES[[#This Row],[COUNTRY_LABEL]])</f>
        <v>1</v>
      </c>
    </row>
    <row r="52" spans="13:15" x14ac:dyDescent="0.35">
      <c r="M52" s="15" t="s">
        <v>821</v>
      </c>
      <c r="N52" s="15" t="s">
        <v>572</v>
      </c>
      <c r="O52" s="15">
        <f>COUNTIF(COUNTRIES[COUNTRY_LABEL],COUNTRIES[[#This Row],[COUNTRY_LABEL]])</f>
        <v>1</v>
      </c>
    </row>
    <row r="53" spans="13:15" x14ac:dyDescent="0.35">
      <c r="M53" s="15" t="s">
        <v>826</v>
      </c>
      <c r="N53" s="15" t="s">
        <v>577</v>
      </c>
      <c r="O53" s="15">
        <f>COUNTIF(COUNTRIES[COUNTRY_LABEL],COUNTRIES[[#This Row],[COUNTRY_LABEL]])</f>
        <v>1</v>
      </c>
    </row>
    <row r="54" spans="13:15" x14ac:dyDescent="0.35">
      <c r="M54" s="15" t="s">
        <v>874</v>
      </c>
      <c r="N54" s="15" t="s">
        <v>624</v>
      </c>
      <c r="O54" s="15">
        <f>COUNTIF(COUNTRIES[COUNTRY_LABEL],COUNTRIES[[#This Row],[COUNTRY_LABEL]])</f>
        <v>1</v>
      </c>
    </row>
    <row r="55" spans="13:15" x14ac:dyDescent="0.35">
      <c r="M55" s="15" t="s">
        <v>827</v>
      </c>
      <c r="N55" s="15" t="s">
        <v>578</v>
      </c>
      <c r="O55" s="15">
        <f>COUNTIF(COUNTRIES[COUNTRY_LABEL],COUNTRIES[[#This Row],[COUNTRY_LABEL]])</f>
        <v>1</v>
      </c>
    </row>
    <row r="56" spans="13:15" x14ac:dyDescent="0.35">
      <c r="M56" s="15" t="s">
        <v>829</v>
      </c>
      <c r="N56" s="15" t="s">
        <v>580</v>
      </c>
      <c r="O56" s="15">
        <f>COUNTIF(COUNTRIES[COUNTRY_LABEL],COUNTRIES[[#This Row],[COUNTRY_LABEL]])</f>
        <v>1</v>
      </c>
    </row>
    <row r="57" spans="13:15" x14ac:dyDescent="0.35">
      <c r="M57" s="15" t="s">
        <v>831</v>
      </c>
      <c r="N57" s="15" t="s">
        <v>582</v>
      </c>
      <c r="O57" s="15">
        <f>COUNTIF(COUNTRIES[COUNTRY_LABEL],COUNTRIES[[#This Row],[COUNTRY_LABEL]])</f>
        <v>1</v>
      </c>
    </row>
    <row r="58" spans="13:15" x14ac:dyDescent="0.35">
      <c r="M58" s="15" t="s">
        <v>832</v>
      </c>
      <c r="N58" s="15" t="s">
        <v>583</v>
      </c>
      <c r="O58" s="15">
        <f>COUNTIF(COUNTRIES[COUNTRY_LABEL],COUNTRIES[[#This Row],[COUNTRY_LABEL]])</f>
        <v>1</v>
      </c>
    </row>
    <row r="59" spans="13:15" x14ac:dyDescent="0.35">
      <c r="M59" s="15" t="s">
        <v>816</v>
      </c>
      <c r="N59" s="15" t="s">
        <v>567</v>
      </c>
      <c r="O59" s="15">
        <f>COUNTIF(COUNTRIES[COUNTRY_LABEL],COUNTRIES[[#This Row],[COUNTRY_LABEL]])</f>
        <v>1</v>
      </c>
    </row>
    <row r="60" spans="13:15" x14ac:dyDescent="0.35">
      <c r="M60" s="15" t="s">
        <v>835</v>
      </c>
      <c r="N60" s="15" t="s">
        <v>586</v>
      </c>
      <c r="O60" s="15">
        <f>COUNTIF(COUNTRIES[COUNTRY_LABEL],COUNTRIES[[#This Row],[COUNTRY_LABEL]])</f>
        <v>1</v>
      </c>
    </row>
    <row r="61" spans="13:15" x14ac:dyDescent="0.35">
      <c r="M61" s="15" t="s">
        <v>834</v>
      </c>
      <c r="N61" s="15" t="s">
        <v>585</v>
      </c>
      <c r="O61" s="15">
        <f>COUNTIF(COUNTRIES[COUNTRY_LABEL],COUNTRIES[[#This Row],[COUNTRY_LABEL]])</f>
        <v>1</v>
      </c>
    </row>
    <row r="62" spans="13:15" x14ac:dyDescent="0.35">
      <c r="M62" s="15" t="s">
        <v>836</v>
      </c>
      <c r="N62" s="15" t="s">
        <v>587</v>
      </c>
      <c r="O62" s="15">
        <f>COUNTIF(COUNTRIES[COUNTRY_LABEL],COUNTRIES[[#This Row],[COUNTRY_LABEL]])</f>
        <v>1</v>
      </c>
    </row>
    <row r="63" spans="13:15" x14ac:dyDescent="0.35">
      <c r="M63" s="15" t="s">
        <v>837</v>
      </c>
      <c r="N63" s="15" t="s">
        <v>588</v>
      </c>
      <c r="O63" s="15">
        <f>COUNTIF(COUNTRIES[COUNTRY_LABEL],COUNTRIES[[#This Row],[COUNTRY_LABEL]])</f>
        <v>1</v>
      </c>
    </row>
    <row r="64" spans="13:15" x14ac:dyDescent="0.35">
      <c r="M64" s="15" t="s">
        <v>1034</v>
      </c>
      <c r="N64" s="15" t="s">
        <v>774</v>
      </c>
      <c r="O64" s="15">
        <f>COUNTIF(COUNTRIES[COUNTRY_LABEL],COUNTRIES[[#This Row],[COUNTRY_LABEL]])</f>
        <v>1</v>
      </c>
    </row>
    <row r="65" spans="13:15" x14ac:dyDescent="0.35">
      <c r="M65" s="15" t="s">
        <v>839</v>
      </c>
      <c r="N65" s="15" t="s">
        <v>590</v>
      </c>
      <c r="O65" s="15">
        <f>COUNTIF(COUNTRIES[COUNTRY_LABEL],COUNTRIES[[#This Row],[COUNTRY_LABEL]])</f>
        <v>1</v>
      </c>
    </row>
    <row r="66" spans="13:15" x14ac:dyDescent="0.35">
      <c r="M66" s="15" t="s">
        <v>841</v>
      </c>
      <c r="N66" s="15" t="s">
        <v>592</v>
      </c>
      <c r="O66" s="15">
        <f>COUNTIF(COUNTRIES[COUNTRY_LABEL],COUNTRIES[[#This Row],[COUNTRY_LABEL]])</f>
        <v>1</v>
      </c>
    </row>
    <row r="67" spans="13:15" x14ac:dyDescent="0.35">
      <c r="M67" s="15" t="s">
        <v>985</v>
      </c>
      <c r="N67" s="15" t="s">
        <v>735</v>
      </c>
      <c r="O67" s="15">
        <f>COUNTIF(COUNTRIES[COUNTRY_LABEL],COUNTRIES[[#This Row],[COUNTRY_LABEL]])</f>
        <v>1</v>
      </c>
    </row>
    <row r="68" spans="13:15" x14ac:dyDescent="0.35">
      <c r="M68" s="15" t="s">
        <v>864</v>
      </c>
      <c r="N68" s="15" t="s">
        <v>614</v>
      </c>
      <c r="O68" s="15">
        <f>COUNTIF(COUNTRIES[COUNTRY_LABEL],COUNTRIES[[#This Row],[COUNTRY_LABEL]])</f>
        <v>1</v>
      </c>
    </row>
    <row r="69" spans="13:15" x14ac:dyDescent="0.35">
      <c r="M69" s="15" t="s">
        <v>843</v>
      </c>
      <c r="N69" s="15" t="s">
        <v>594</v>
      </c>
      <c r="O69" s="15">
        <f>COUNTIF(COUNTRIES[COUNTRY_LABEL],COUNTRIES[[#This Row],[COUNTRY_LABEL]])</f>
        <v>1</v>
      </c>
    </row>
    <row r="70" spans="13:15" x14ac:dyDescent="0.35">
      <c r="M70" s="15" t="s">
        <v>840</v>
      </c>
      <c r="N70" s="15" t="s">
        <v>591</v>
      </c>
      <c r="O70" s="15">
        <f>COUNTIF(COUNTRIES[COUNTRY_LABEL],COUNTRIES[[#This Row],[COUNTRY_LABEL]])</f>
        <v>1</v>
      </c>
    </row>
    <row r="71" spans="13:15" x14ac:dyDescent="0.35">
      <c r="M71" s="15" t="s">
        <v>988</v>
      </c>
      <c r="N71" s="15" t="s">
        <v>738</v>
      </c>
      <c r="O71" s="15">
        <f>COUNTIF(COUNTRIES[COUNTRY_LABEL],COUNTRIES[[#This Row],[COUNTRY_LABEL]])</f>
        <v>1</v>
      </c>
    </row>
    <row r="72" spans="13:15" x14ac:dyDescent="0.35">
      <c r="M72" s="15" t="s">
        <v>845</v>
      </c>
      <c r="N72" s="15" t="s">
        <v>596</v>
      </c>
      <c r="O72" s="15">
        <f>COUNTIF(COUNTRIES[COUNTRY_LABEL],COUNTRIES[[#This Row],[COUNTRY_LABEL]])</f>
        <v>1</v>
      </c>
    </row>
    <row r="73" spans="13:15" x14ac:dyDescent="0.35">
      <c r="M73" s="15" t="s">
        <v>1033</v>
      </c>
      <c r="N73" s="15" t="s">
        <v>775</v>
      </c>
      <c r="O73" s="15">
        <f>COUNTIF(COUNTRIES[COUNTRY_LABEL],COUNTRIES[[#This Row],[COUNTRY_LABEL]])</f>
        <v>1</v>
      </c>
    </row>
    <row r="74" spans="13:15" x14ac:dyDescent="0.35">
      <c r="M74" s="15" t="s">
        <v>848</v>
      </c>
      <c r="N74" s="15" t="s">
        <v>599</v>
      </c>
      <c r="O74" s="15">
        <f>COUNTIF(COUNTRIES[COUNTRY_LABEL],COUNTRIES[[#This Row],[COUNTRY_LABEL]])</f>
        <v>1</v>
      </c>
    </row>
    <row r="75" spans="13:15" x14ac:dyDescent="0.35">
      <c r="M75" s="15" t="s">
        <v>850</v>
      </c>
      <c r="N75" s="15" t="s">
        <v>601</v>
      </c>
      <c r="O75" s="15">
        <f>COUNTIF(COUNTRIES[COUNTRY_LABEL],COUNTRIES[[#This Row],[COUNTRY_LABEL]])</f>
        <v>1</v>
      </c>
    </row>
    <row r="76" spans="13:15" x14ac:dyDescent="0.35">
      <c r="M76" s="15" t="s">
        <v>847</v>
      </c>
      <c r="N76" s="15" t="s">
        <v>598</v>
      </c>
      <c r="O76" s="15">
        <f>COUNTIF(COUNTRIES[COUNTRY_LABEL],COUNTRIES[[#This Row],[COUNTRY_LABEL]])</f>
        <v>1</v>
      </c>
    </row>
    <row r="77" spans="13:15" x14ac:dyDescent="0.35">
      <c r="M77" s="15" t="s">
        <v>846</v>
      </c>
      <c r="N77" s="15" t="s">
        <v>597</v>
      </c>
      <c r="O77" s="15">
        <f>COUNTIF(COUNTRIES[COUNTRY_LABEL],COUNTRIES[[#This Row],[COUNTRY_LABEL]])</f>
        <v>1</v>
      </c>
    </row>
    <row r="78" spans="13:15" x14ac:dyDescent="0.35">
      <c r="M78" s="15" t="s">
        <v>851</v>
      </c>
      <c r="N78" s="15" t="s">
        <v>602</v>
      </c>
      <c r="O78" s="15">
        <f>COUNTIF(COUNTRIES[COUNTRY_LABEL],COUNTRIES[[#This Row],[COUNTRY_LABEL]])</f>
        <v>1</v>
      </c>
    </row>
    <row r="79" spans="13:15" x14ac:dyDescent="0.35">
      <c r="M79" s="15" t="s">
        <v>856</v>
      </c>
      <c r="N79" s="15" t="s">
        <v>606</v>
      </c>
      <c r="O79" s="15">
        <f>COUNTIF(COUNTRIES[COUNTRY_LABEL],COUNTRIES[[#This Row],[COUNTRY_LABEL]])</f>
        <v>1</v>
      </c>
    </row>
    <row r="80" spans="13:15" x14ac:dyDescent="0.35">
      <c r="M80" s="15" t="s">
        <v>950</v>
      </c>
      <c r="N80" s="15" t="s">
        <v>701</v>
      </c>
      <c r="O80" s="15">
        <f>COUNTIF(COUNTRIES[COUNTRY_LABEL],COUNTRIES[[#This Row],[COUNTRY_LABEL]])</f>
        <v>1</v>
      </c>
    </row>
    <row r="81" spans="13:15" x14ac:dyDescent="0.35">
      <c r="M81" s="15" t="s">
        <v>991</v>
      </c>
      <c r="N81" s="15" t="s">
        <v>741</v>
      </c>
      <c r="O81" s="15">
        <f>COUNTIF(COUNTRIES[COUNTRY_LABEL],COUNTRIES[[#This Row],[COUNTRY_LABEL]])</f>
        <v>1</v>
      </c>
    </row>
    <row r="82" spans="13:15" x14ac:dyDescent="0.35">
      <c r="M82" s="15" t="s">
        <v>852</v>
      </c>
      <c r="N82" s="15" t="s">
        <v>1029</v>
      </c>
      <c r="O82" s="15">
        <f>COUNTIF(COUNTRIES[COUNTRY_LABEL],COUNTRIES[[#This Row],[COUNTRY_LABEL]])</f>
        <v>1</v>
      </c>
    </row>
    <row r="83" spans="13:15" x14ac:dyDescent="0.35">
      <c r="M83" s="15" t="s">
        <v>861</v>
      </c>
      <c r="N83" s="15" t="s">
        <v>611</v>
      </c>
      <c r="O83" s="15">
        <f>COUNTIF(COUNTRIES[COUNTRY_LABEL],COUNTRIES[[#This Row],[COUNTRY_LABEL]])</f>
        <v>1</v>
      </c>
    </row>
    <row r="84" spans="13:15" x14ac:dyDescent="0.35">
      <c r="M84" s="15" t="s">
        <v>867</v>
      </c>
      <c r="N84" s="15" t="s">
        <v>617</v>
      </c>
      <c r="O84" s="15">
        <f>COUNTIF(COUNTRIES[COUNTRY_LABEL],COUNTRIES[[#This Row],[COUNTRY_LABEL]])</f>
        <v>1</v>
      </c>
    </row>
    <row r="85" spans="13:15" x14ac:dyDescent="0.35">
      <c r="M85" s="15" t="s">
        <v>855</v>
      </c>
      <c r="N85" s="15" t="s">
        <v>605</v>
      </c>
      <c r="O85" s="15">
        <f>COUNTIF(COUNTRIES[COUNTRY_LABEL],COUNTRIES[[#This Row],[COUNTRY_LABEL]])</f>
        <v>1</v>
      </c>
    </row>
    <row r="86" spans="13:15" x14ac:dyDescent="0.35">
      <c r="M86" s="15" t="s">
        <v>833</v>
      </c>
      <c r="N86" s="15" t="s">
        <v>584</v>
      </c>
      <c r="O86" s="15">
        <f>COUNTIF(COUNTRIES[COUNTRY_LABEL],COUNTRIES[[#This Row],[COUNTRY_LABEL]])</f>
        <v>1</v>
      </c>
    </row>
    <row r="87" spans="13:15" x14ac:dyDescent="0.35">
      <c r="M87" s="15" t="s">
        <v>858</v>
      </c>
      <c r="N87" s="15" t="s">
        <v>608</v>
      </c>
      <c r="O87" s="15">
        <f>COUNTIF(COUNTRIES[COUNTRY_LABEL],COUNTRIES[[#This Row],[COUNTRY_LABEL]])</f>
        <v>1</v>
      </c>
    </row>
    <row r="88" spans="13:15" x14ac:dyDescent="0.35">
      <c r="M88" s="15" t="s">
        <v>859</v>
      </c>
      <c r="N88" s="15" t="s">
        <v>609</v>
      </c>
      <c r="O88" s="15">
        <f>COUNTIF(COUNTRIES[COUNTRY_LABEL],COUNTRIES[[#This Row],[COUNTRY_LABEL]])</f>
        <v>1</v>
      </c>
    </row>
    <row r="89" spans="13:15" x14ac:dyDescent="0.35">
      <c r="M89" s="15" t="s">
        <v>865</v>
      </c>
      <c r="N89" s="15" t="s">
        <v>615</v>
      </c>
      <c r="O89" s="15">
        <f>COUNTIF(COUNTRIES[COUNTRY_LABEL],COUNTRIES[[#This Row],[COUNTRY_LABEL]])</f>
        <v>1</v>
      </c>
    </row>
    <row r="90" spans="13:15" x14ac:dyDescent="0.35">
      <c r="M90" s="15" t="s">
        <v>860</v>
      </c>
      <c r="N90" s="15" t="s">
        <v>610</v>
      </c>
      <c r="O90" s="15">
        <f>COUNTIF(COUNTRIES[COUNTRY_LABEL],COUNTRIES[[#This Row],[COUNTRY_LABEL]])</f>
        <v>1</v>
      </c>
    </row>
    <row r="91" spans="13:15" x14ac:dyDescent="0.35">
      <c r="M91" s="15" t="s">
        <v>854</v>
      </c>
      <c r="N91" s="15" t="s">
        <v>604</v>
      </c>
      <c r="O91" s="15">
        <f>COUNTIF(COUNTRIES[COUNTRY_LABEL],COUNTRIES[[#This Row],[COUNTRY_LABEL]])</f>
        <v>1</v>
      </c>
    </row>
    <row r="92" spans="13:15" x14ac:dyDescent="0.35">
      <c r="M92" s="15" t="s">
        <v>863</v>
      </c>
      <c r="N92" s="15" t="s">
        <v>613</v>
      </c>
      <c r="O92" s="15">
        <f>COUNTIF(COUNTRIES[COUNTRY_LABEL],COUNTRIES[[#This Row],[COUNTRY_LABEL]])</f>
        <v>1</v>
      </c>
    </row>
    <row r="93" spans="13:15" x14ac:dyDescent="0.35">
      <c r="M93" s="15" t="s">
        <v>868</v>
      </c>
      <c r="N93" s="15" t="s">
        <v>618</v>
      </c>
      <c r="O93" s="15">
        <f>COUNTIF(COUNTRIES[COUNTRY_LABEL],COUNTRIES[[#This Row],[COUNTRY_LABEL]])</f>
        <v>1</v>
      </c>
    </row>
    <row r="94" spans="13:15" x14ac:dyDescent="0.35">
      <c r="M94" s="15" t="s">
        <v>857</v>
      </c>
      <c r="N94" s="15" t="s">
        <v>607</v>
      </c>
      <c r="O94" s="15">
        <f>COUNTIF(COUNTRIES[COUNTRY_LABEL],COUNTRIES[[#This Row],[COUNTRY_LABEL]])</f>
        <v>1</v>
      </c>
    </row>
    <row r="95" spans="13:15" x14ac:dyDescent="0.35">
      <c r="M95" s="15" t="s">
        <v>862</v>
      </c>
      <c r="N95" s="15" t="s">
        <v>612</v>
      </c>
      <c r="O95" s="15">
        <f>COUNTIF(COUNTRIES[COUNTRY_LABEL],COUNTRIES[[#This Row],[COUNTRY_LABEL]])</f>
        <v>1</v>
      </c>
    </row>
    <row r="96" spans="13:15" x14ac:dyDescent="0.35">
      <c r="M96" s="15" t="s">
        <v>869</v>
      </c>
      <c r="N96" s="15" t="s">
        <v>619</v>
      </c>
      <c r="O96" s="15">
        <f>COUNTIF(COUNTRIES[COUNTRY_LABEL],COUNTRIES[[#This Row],[COUNTRY_LABEL]])</f>
        <v>1</v>
      </c>
    </row>
    <row r="97" spans="13:15" x14ac:dyDescent="0.35">
      <c r="M97" s="15" t="s">
        <v>870</v>
      </c>
      <c r="N97" s="15" t="s">
        <v>620</v>
      </c>
      <c r="O97" s="15">
        <f>COUNTIF(COUNTRIES[COUNTRY_LABEL],COUNTRIES[[#This Row],[COUNTRY_LABEL]])</f>
        <v>1</v>
      </c>
    </row>
    <row r="98" spans="13:15" x14ac:dyDescent="0.35">
      <c r="M98" s="15" t="s">
        <v>875</v>
      </c>
      <c r="N98" s="15" t="s">
        <v>625</v>
      </c>
      <c r="O98" s="15">
        <f>COUNTIF(COUNTRIES[COUNTRY_LABEL],COUNTRIES[[#This Row],[COUNTRY_LABEL]])</f>
        <v>1</v>
      </c>
    </row>
    <row r="99" spans="13:15" x14ac:dyDescent="0.35">
      <c r="M99" s="15" t="s">
        <v>872</v>
      </c>
      <c r="N99" s="15" t="s">
        <v>622</v>
      </c>
      <c r="O99" s="15">
        <f>COUNTIF(COUNTRIES[COUNTRY_LABEL],COUNTRIES[[#This Row],[COUNTRY_LABEL]])</f>
        <v>1</v>
      </c>
    </row>
    <row r="100" spans="13:15" x14ac:dyDescent="0.35">
      <c r="M100" s="15" t="s">
        <v>1011</v>
      </c>
      <c r="N100" s="15" t="s">
        <v>760</v>
      </c>
      <c r="O100" s="15">
        <f>COUNTIF(COUNTRIES[COUNTRY_LABEL],COUNTRIES[[#This Row],[COUNTRY_LABEL]])</f>
        <v>1</v>
      </c>
    </row>
    <row r="101" spans="13:15" x14ac:dyDescent="0.35">
      <c r="M101" s="15" t="s">
        <v>873</v>
      </c>
      <c r="N101" s="15" t="s">
        <v>623</v>
      </c>
      <c r="O101" s="15">
        <f>COUNTIF(COUNTRIES[COUNTRY_LABEL],COUNTRIES[[#This Row],[COUNTRY_LABEL]])</f>
        <v>1</v>
      </c>
    </row>
    <row r="102" spans="13:15" x14ac:dyDescent="0.35">
      <c r="M102" s="15" t="s">
        <v>871</v>
      </c>
      <c r="N102" s="15" t="s">
        <v>621</v>
      </c>
      <c r="O102" s="15">
        <f>COUNTIF(COUNTRIES[COUNTRY_LABEL],COUNTRIES[[#This Row],[COUNTRY_LABEL]])</f>
        <v>1</v>
      </c>
    </row>
    <row r="103" spans="13:15" x14ac:dyDescent="0.35">
      <c r="M103" s="15" t="s">
        <v>876</v>
      </c>
      <c r="N103" s="15" t="s">
        <v>626</v>
      </c>
      <c r="O103" s="15">
        <f>COUNTIF(COUNTRIES[COUNTRY_LABEL],COUNTRIES[[#This Row],[COUNTRY_LABEL]])</f>
        <v>1</v>
      </c>
    </row>
    <row r="104" spans="13:15" x14ac:dyDescent="0.35">
      <c r="M104" s="15" t="s">
        <v>885</v>
      </c>
      <c r="N104" s="15" t="s">
        <v>635</v>
      </c>
      <c r="O104" s="15">
        <f>COUNTIF(COUNTRIES[COUNTRY_LABEL],COUNTRIES[[#This Row],[COUNTRY_LABEL]])</f>
        <v>1</v>
      </c>
    </row>
    <row r="105" spans="13:15" x14ac:dyDescent="0.35">
      <c r="M105" s="15" t="s">
        <v>881</v>
      </c>
      <c r="N105" s="15" t="s">
        <v>631</v>
      </c>
      <c r="O105" s="15">
        <f>COUNTIF(COUNTRIES[COUNTRY_LABEL],COUNTRIES[[#This Row],[COUNTRY_LABEL]])</f>
        <v>1</v>
      </c>
    </row>
    <row r="106" spans="13:15" x14ac:dyDescent="0.35">
      <c r="M106" s="15" t="s">
        <v>877</v>
      </c>
      <c r="N106" s="15" t="s">
        <v>627</v>
      </c>
      <c r="O106" s="15">
        <f>COUNTIF(COUNTRIES[COUNTRY_LABEL],COUNTRIES[[#This Row],[COUNTRY_LABEL]])</f>
        <v>1</v>
      </c>
    </row>
    <row r="107" spans="13:15" x14ac:dyDescent="0.35">
      <c r="M107" s="15" t="s">
        <v>884</v>
      </c>
      <c r="N107" s="15" t="s">
        <v>634</v>
      </c>
      <c r="O107" s="15">
        <f>COUNTIF(COUNTRIES[COUNTRY_LABEL],COUNTRIES[[#This Row],[COUNTRY_LABEL]])</f>
        <v>1</v>
      </c>
    </row>
    <row r="108" spans="13:15" x14ac:dyDescent="0.35">
      <c r="M108" s="15" t="s">
        <v>883</v>
      </c>
      <c r="N108" s="15" t="s">
        <v>633</v>
      </c>
      <c r="O108" s="15">
        <f>COUNTIF(COUNTRIES[COUNTRY_LABEL],COUNTRIES[[#This Row],[COUNTRY_LABEL]])</f>
        <v>1</v>
      </c>
    </row>
    <row r="109" spans="13:15" x14ac:dyDescent="0.35">
      <c r="M109" s="15" t="s">
        <v>878</v>
      </c>
      <c r="N109" s="15" t="s">
        <v>628</v>
      </c>
      <c r="O109" s="15">
        <f>COUNTIF(COUNTRIES[COUNTRY_LABEL],COUNTRIES[[#This Row],[COUNTRY_LABEL]])</f>
        <v>1</v>
      </c>
    </row>
    <row r="110" spans="13:15" x14ac:dyDescent="0.35">
      <c r="M110" s="15" t="s">
        <v>880</v>
      </c>
      <c r="N110" s="15" t="s">
        <v>630</v>
      </c>
      <c r="O110" s="15">
        <f>COUNTIF(COUNTRIES[COUNTRY_LABEL],COUNTRIES[[#This Row],[COUNTRY_LABEL]])</f>
        <v>1</v>
      </c>
    </row>
    <row r="111" spans="13:15" x14ac:dyDescent="0.35">
      <c r="M111" s="15" t="s">
        <v>879</v>
      </c>
      <c r="N111" s="15" t="s">
        <v>629</v>
      </c>
      <c r="O111" s="15">
        <f>COUNTIF(COUNTRIES[COUNTRY_LABEL],COUNTRIES[[#This Row],[COUNTRY_LABEL]])</f>
        <v>1</v>
      </c>
    </row>
    <row r="112" spans="13:15" x14ac:dyDescent="0.35">
      <c r="M112" s="15" t="s">
        <v>886</v>
      </c>
      <c r="N112" s="15" t="s">
        <v>636</v>
      </c>
      <c r="O112" s="15">
        <f>COUNTIF(COUNTRIES[COUNTRY_LABEL],COUNTRIES[[#This Row],[COUNTRY_LABEL]])</f>
        <v>1</v>
      </c>
    </row>
    <row r="113" spans="13:15" x14ac:dyDescent="0.35">
      <c r="M113" s="15" t="s">
        <v>820</v>
      </c>
      <c r="N113" s="15" t="s">
        <v>571</v>
      </c>
      <c r="O113" s="15">
        <f>COUNTIF(COUNTRIES[COUNTRY_LABEL],COUNTRIES[[#This Row],[COUNTRY_LABEL]])</f>
        <v>1</v>
      </c>
    </row>
    <row r="114" spans="13:15" x14ac:dyDescent="0.35">
      <c r="M114" s="15" t="s">
        <v>888</v>
      </c>
      <c r="N114" s="15" t="s">
        <v>638</v>
      </c>
      <c r="O114" s="15">
        <f>COUNTIF(COUNTRIES[COUNTRY_LABEL],COUNTRIES[[#This Row],[COUNTRY_LABEL]])</f>
        <v>1</v>
      </c>
    </row>
    <row r="115" spans="13:15" x14ac:dyDescent="0.35">
      <c r="M115" s="15" t="s">
        <v>890</v>
      </c>
      <c r="N115" s="15" t="s">
        <v>640</v>
      </c>
      <c r="O115" s="15">
        <f>COUNTIF(COUNTRIES[COUNTRY_LABEL],COUNTRIES[[#This Row],[COUNTRY_LABEL]])</f>
        <v>1</v>
      </c>
    </row>
    <row r="116" spans="13:15" x14ac:dyDescent="0.35">
      <c r="M116" s="15" t="s">
        <v>887</v>
      </c>
      <c r="N116" s="15" t="s">
        <v>637</v>
      </c>
      <c r="O116" s="15">
        <f>COUNTIF(COUNTRIES[COUNTRY_LABEL],COUNTRIES[[#This Row],[COUNTRY_LABEL]])</f>
        <v>1</v>
      </c>
    </row>
    <row r="117" spans="13:15" x14ac:dyDescent="0.35">
      <c r="M117" s="15" t="s">
        <v>889</v>
      </c>
      <c r="N117" s="15" t="s">
        <v>639</v>
      </c>
      <c r="O117" s="15">
        <f>COUNTIF(COUNTRIES[COUNTRY_LABEL],COUNTRIES[[#This Row],[COUNTRY_LABEL]])</f>
        <v>1</v>
      </c>
    </row>
    <row r="118" spans="13:15" x14ac:dyDescent="0.35">
      <c r="M118" s="15" t="s">
        <v>901</v>
      </c>
      <c r="N118" s="15" t="s">
        <v>651</v>
      </c>
      <c r="O118" s="15">
        <f>COUNTIF(COUNTRIES[COUNTRY_LABEL],COUNTRIES[[#This Row],[COUNTRY_LABEL]])</f>
        <v>1</v>
      </c>
    </row>
    <row r="119" spans="13:15" x14ac:dyDescent="0.35">
      <c r="M119" s="15" t="s">
        <v>891</v>
      </c>
      <c r="N119" s="15" t="s">
        <v>641</v>
      </c>
      <c r="O119" s="15">
        <f>COUNTIF(COUNTRIES[COUNTRY_LABEL],COUNTRIES[[#This Row],[COUNTRY_LABEL]])</f>
        <v>1</v>
      </c>
    </row>
    <row r="120" spans="13:15" x14ac:dyDescent="0.35">
      <c r="M120" s="15" t="s">
        <v>894</v>
      </c>
      <c r="N120" s="15" t="s">
        <v>644</v>
      </c>
      <c r="O120" s="15">
        <f>COUNTIF(COUNTRIES[COUNTRY_LABEL],COUNTRIES[[#This Row],[COUNTRY_LABEL]])</f>
        <v>1</v>
      </c>
    </row>
    <row r="121" spans="13:15" x14ac:dyDescent="0.35">
      <c r="M121" s="15" t="s">
        <v>899</v>
      </c>
      <c r="N121" s="15" t="s">
        <v>649</v>
      </c>
      <c r="O121" s="15">
        <f>COUNTIF(COUNTRIES[COUNTRY_LABEL],COUNTRIES[[#This Row],[COUNTRY_LABEL]])</f>
        <v>1</v>
      </c>
    </row>
    <row r="122" spans="13:15" x14ac:dyDescent="0.35">
      <c r="M122" s="15" t="s">
        <v>892</v>
      </c>
      <c r="N122" s="15" t="s">
        <v>642</v>
      </c>
      <c r="O122" s="15">
        <f>COUNTIF(COUNTRIES[COUNTRY_LABEL],COUNTRIES[[#This Row],[COUNTRY_LABEL]])</f>
        <v>1</v>
      </c>
    </row>
    <row r="123" spans="13:15" x14ac:dyDescent="0.35">
      <c r="M123" s="15" t="s">
        <v>902</v>
      </c>
      <c r="N123" s="15" t="s">
        <v>652</v>
      </c>
      <c r="O123" s="15">
        <f>COUNTIF(COUNTRIES[COUNTRY_LABEL],COUNTRIES[[#This Row],[COUNTRY_LABEL]])</f>
        <v>1</v>
      </c>
    </row>
    <row r="124" spans="13:15" x14ac:dyDescent="0.35">
      <c r="M124" s="15" t="s">
        <v>911</v>
      </c>
      <c r="N124" s="15" t="s">
        <v>661</v>
      </c>
      <c r="O124" s="15">
        <f>COUNTIF(COUNTRIES[COUNTRY_LABEL],COUNTRIES[[#This Row],[COUNTRY_LABEL]])</f>
        <v>1</v>
      </c>
    </row>
    <row r="125" spans="13:15" x14ac:dyDescent="0.35">
      <c r="M125" s="15" t="s">
        <v>903</v>
      </c>
      <c r="N125" s="15" t="s">
        <v>653</v>
      </c>
      <c r="O125" s="15">
        <f>COUNTIF(COUNTRIES[COUNTRY_LABEL],COUNTRIES[[#This Row],[COUNTRY_LABEL]])</f>
        <v>1</v>
      </c>
    </row>
    <row r="126" spans="13:15" x14ac:dyDescent="0.35">
      <c r="M126" s="15" t="s">
        <v>908</v>
      </c>
      <c r="N126" s="15" t="s">
        <v>658</v>
      </c>
      <c r="O126" s="15">
        <f>COUNTIF(COUNTRIES[COUNTRY_LABEL],COUNTRIES[[#This Row],[COUNTRY_LABEL]])</f>
        <v>1</v>
      </c>
    </row>
    <row r="127" spans="13:15" x14ac:dyDescent="0.35">
      <c r="M127" s="15" t="s">
        <v>907</v>
      </c>
      <c r="N127" s="15" t="s">
        <v>657</v>
      </c>
      <c r="O127" s="15">
        <f>COUNTIF(COUNTRIES[COUNTRY_LABEL],COUNTRIES[[#This Row],[COUNTRY_LABEL]])</f>
        <v>1</v>
      </c>
    </row>
    <row r="128" spans="13:15" x14ac:dyDescent="0.35">
      <c r="M128" s="15" t="s">
        <v>912</v>
      </c>
      <c r="N128" s="15" t="s">
        <v>662</v>
      </c>
      <c r="O128" s="15">
        <f>COUNTIF(COUNTRIES[COUNTRY_LABEL],COUNTRIES[[#This Row],[COUNTRY_LABEL]])</f>
        <v>1</v>
      </c>
    </row>
    <row r="129" spans="13:15" x14ac:dyDescent="0.35">
      <c r="M129" s="15" t="s">
        <v>905</v>
      </c>
      <c r="N129" s="15" t="s">
        <v>655</v>
      </c>
      <c r="O129" s="15">
        <f>COUNTIF(COUNTRIES[COUNTRY_LABEL],COUNTRIES[[#This Row],[COUNTRY_LABEL]])</f>
        <v>1</v>
      </c>
    </row>
    <row r="130" spans="13:15" x14ac:dyDescent="0.35">
      <c r="M130" s="15" t="s">
        <v>909</v>
      </c>
      <c r="N130" s="15" t="s">
        <v>659</v>
      </c>
      <c r="O130" s="15">
        <f>COUNTIF(COUNTRIES[COUNTRY_LABEL],COUNTRIES[[#This Row],[COUNTRY_LABEL]])</f>
        <v>1</v>
      </c>
    </row>
    <row r="131" spans="13:15" x14ac:dyDescent="0.35">
      <c r="M131" s="15" t="s">
        <v>910</v>
      </c>
      <c r="N131" s="15" t="s">
        <v>660</v>
      </c>
      <c r="O131" s="15">
        <f>COUNTIF(COUNTRIES[COUNTRY_LABEL],COUNTRIES[[#This Row],[COUNTRY_LABEL]])</f>
        <v>1</v>
      </c>
    </row>
    <row r="132" spans="13:15" x14ac:dyDescent="0.35">
      <c r="M132" s="15" t="s">
        <v>924</v>
      </c>
      <c r="N132" s="15" t="s">
        <v>674</v>
      </c>
      <c r="O132" s="15">
        <f>COUNTIF(COUNTRIES[COUNTRY_LABEL],COUNTRIES[[#This Row],[COUNTRY_LABEL]])</f>
        <v>1</v>
      </c>
    </row>
    <row r="133" spans="13:15" x14ac:dyDescent="0.35">
      <c r="M133" s="15" t="s">
        <v>918</v>
      </c>
      <c r="N133" s="15" t="s">
        <v>668</v>
      </c>
      <c r="O133" s="15">
        <f>COUNTIF(COUNTRIES[COUNTRY_LABEL],COUNTRIES[[#This Row],[COUNTRY_LABEL]])</f>
        <v>1</v>
      </c>
    </row>
    <row r="134" spans="13:15" x14ac:dyDescent="0.35">
      <c r="M134" s="15" t="s">
        <v>932</v>
      </c>
      <c r="N134" s="15" t="s">
        <v>682</v>
      </c>
      <c r="O134" s="15">
        <f>COUNTIF(COUNTRIES[COUNTRY_LABEL],COUNTRIES[[#This Row],[COUNTRY_LABEL]])</f>
        <v>1</v>
      </c>
    </row>
    <row r="135" spans="13:15" x14ac:dyDescent="0.35">
      <c r="M135" s="15" t="s">
        <v>934</v>
      </c>
      <c r="N135" s="15" t="s">
        <v>684</v>
      </c>
      <c r="O135" s="15">
        <f>COUNTIF(COUNTRIES[COUNTRY_LABEL],COUNTRIES[[#This Row],[COUNTRY_LABEL]])</f>
        <v>1</v>
      </c>
    </row>
    <row r="136" spans="13:15" x14ac:dyDescent="0.35">
      <c r="M136" s="15" t="s">
        <v>931</v>
      </c>
      <c r="N136" s="15" t="s">
        <v>681</v>
      </c>
      <c r="O136" s="15">
        <f>COUNTIF(COUNTRIES[COUNTRY_LABEL],COUNTRIES[[#This Row],[COUNTRY_LABEL]])</f>
        <v>1</v>
      </c>
    </row>
    <row r="137" spans="13:15" x14ac:dyDescent="0.35">
      <c r="M137" s="15" t="s">
        <v>921</v>
      </c>
      <c r="N137" s="15" t="s">
        <v>671</v>
      </c>
      <c r="O137" s="15">
        <f>COUNTIF(COUNTRIES[COUNTRY_LABEL],COUNTRIES[[#This Row],[COUNTRY_LABEL]])</f>
        <v>1</v>
      </c>
    </row>
    <row r="138" spans="13:15" x14ac:dyDescent="0.35">
      <c r="M138" s="15" t="s">
        <v>929</v>
      </c>
      <c r="N138" s="15" t="s">
        <v>679</v>
      </c>
      <c r="O138" s="15">
        <f>COUNTIF(COUNTRIES[COUNTRY_LABEL],COUNTRIES[[#This Row],[COUNTRY_LABEL]])</f>
        <v>1</v>
      </c>
    </row>
    <row r="139" spans="13:15" x14ac:dyDescent="0.35">
      <c r="M139" s="15" t="s">
        <v>919</v>
      </c>
      <c r="N139" s="15" t="s">
        <v>669</v>
      </c>
      <c r="O139" s="15">
        <f>COUNTIF(COUNTRIES[COUNTRY_LABEL],COUNTRIES[[#This Row],[COUNTRY_LABEL]])</f>
        <v>1</v>
      </c>
    </row>
    <row r="140" spans="13:15" x14ac:dyDescent="0.35">
      <c r="M140" s="15" t="s">
        <v>926</v>
      </c>
      <c r="N140" s="15" t="s">
        <v>676</v>
      </c>
      <c r="O140" s="15">
        <f>COUNTIF(COUNTRIES[COUNTRY_LABEL],COUNTRIES[[#This Row],[COUNTRY_LABEL]])</f>
        <v>1</v>
      </c>
    </row>
    <row r="141" spans="13:15" x14ac:dyDescent="0.35">
      <c r="M141" s="15" t="s">
        <v>927</v>
      </c>
      <c r="N141" s="15" t="s">
        <v>677</v>
      </c>
      <c r="O141" s="15">
        <f>COUNTIF(COUNTRIES[COUNTRY_LABEL],COUNTRIES[[#This Row],[COUNTRY_LABEL]])</f>
        <v>1</v>
      </c>
    </row>
    <row r="142" spans="13:15" x14ac:dyDescent="0.35">
      <c r="M142" s="15" t="s">
        <v>930</v>
      </c>
      <c r="N142" s="15" t="s">
        <v>680</v>
      </c>
      <c r="O142" s="15">
        <f>COUNTIF(COUNTRIES[COUNTRY_LABEL],COUNTRIES[[#This Row],[COUNTRY_LABEL]])</f>
        <v>1</v>
      </c>
    </row>
    <row r="143" spans="13:15" x14ac:dyDescent="0.35">
      <c r="M143" s="15" t="s">
        <v>1021</v>
      </c>
      <c r="N143" s="15" t="s">
        <v>770</v>
      </c>
      <c r="O143" s="15">
        <f>COUNTIF(COUNTRIES[COUNTRY_LABEL],COUNTRIES[[#This Row],[COUNTRY_LABEL]])</f>
        <v>1</v>
      </c>
    </row>
    <row r="144" spans="13:15" x14ac:dyDescent="0.35">
      <c r="M144" s="15" t="s">
        <v>933</v>
      </c>
      <c r="N144" s="15" t="s">
        <v>683</v>
      </c>
      <c r="O144" s="15">
        <f>COUNTIF(COUNTRIES[COUNTRY_LABEL],COUNTRIES[[#This Row],[COUNTRY_LABEL]])</f>
        <v>1</v>
      </c>
    </row>
    <row r="145" spans="13:15" x14ac:dyDescent="0.35">
      <c r="M145" s="15" t="s">
        <v>849</v>
      </c>
      <c r="N145" s="15" t="s">
        <v>600</v>
      </c>
      <c r="O145" s="15">
        <f>COUNTIF(COUNTRIES[COUNTRY_LABEL],COUNTRIES[[#This Row],[COUNTRY_LABEL]])</f>
        <v>1</v>
      </c>
    </row>
    <row r="146" spans="13:15" x14ac:dyDescent="0.35">
      <c r="M146" s="15" t="s">
        <v>915</v>
      </c>
      <c r="N146" s="15" t="s">
        <v>665</v>
      </c>
      <c r="O146" s="15">
        <f>COUNTIF(COUNTRIES[COUNTRY_LABEL],COUNTRIES[[#This Row],[COUNTRY_LABEL]])</f>
        <v>1</v>
      </c>
    </row>
    <row r="147" spans="13:15" x14ac:dyDescent="0.35">
      <c r="M147" s="15" t="s">
        <v>914</v>
      </c>
      <c r="N147" s="15" t="s">
        <v>664</v>
      </c>
      <c r="O147" s="15">
        <f>COUNTIF(COUNTRIES[COUNTRY_LABEL],COUNTRIES[[#This Row],[COUNTRY_LABEL]])</f>
        <v>1</v>
      </c>
    </row>
    <row r="148" spans="13:15" x14ac:dyDescent="0.35">
      <c r="M148" s="15" t="s">
        <v>923</v>
      </c>
      <c r="N148" s="15" t="s">
        <v>673</v>
      </c>
      <c r="O148" s="15">
        <f>COUNTIF(COUNTRIES[COUNTRY_LABEL],COUNTRIES[[#This Row],[COUNTRY_LABEL]])</f>
        <v>1</v>
      </c>
    </row>
    <row r="149" spans="13:15" x14ac:dyDescent="0.35">
      <c r="M149" s="15" t="s">
        <v>916</v>
      </c>
      <c r="N149" s="15" t="s">
        <v>666</v>
      </c>
      <c r="O149" s="15">
        <f>COUNTIF(COUNTRIES[COUNTRY_LABEL],COUNTRIES[[#This Row],[COUNTRY_LABEL]])</f>
        <v>1</v>
      </c>
    </row>
    <row r="150" spans="13:15" x14ac:dyDescent="0.35">
      <c r="M150" s="15" t="s">
        <v>928</v>
      </c>
      <c r="N150" s="15" t="s">
        <v>678</v>
      </c>
      <c r="O150" s="15">
        <f>COUNTIF(COUNTRIES[COUNTRY_LABEL],COUNTRIES[[#This Row],[COUNTRY_LABEL]])</f>
        <v>1</v>
      </c>
    </row>
    <row r="151" spans="13:15" x14ac:dyDescent="0.35">
      <c r="M151" s="15" t="s">
        <v>913</v>
      </c>
      <c r="N151" s="15" t="s">
        <v>663</v>
      </c>
      <c r="O151" s="15">
        <f>COUNTIF(COUNTRIES[COUNTRY_LABEL],COUNTRIES[[#This Row],[COUNTRY_LABEL]])</f>
        <v>1</v>
      </c>
    </row>
    <row r="152" spans="13:15" x14ac:dyDescent="0.35">
      <c r="M152" s="15" t="s">
        <v>935</v>
      </c>
      <c r="N152" s="15" t="s">
        <v>685</v>
      </c>
      <c r="O152" s="15">
        <f>COUNTIF(COUNTRIES[COUNTRY_LABEL],COUNTRIES[[#This Row],[COUNTRY_LABEL]])</f>
        <v>1</v>
      </c>
    </row>
    <row r="153" spans="13:15" x14ac:dyDescent="0.35">
      <c r="M153" s="15" t="s">
        <v>922</v>
      </c>
      <c r="N153" s="15" t="s">
        <v>672</v>
      </c>
      <c r="O153" s="15">
        <f>COUNTIF(COUNTRIES[COUNTRY_LABEL],COUNTRIES[[#This Row],[COUNTRY_LABEL]])</f>
        <v>1</v>
      </c>
    </row>
    <row r="154" spans="13:15" x14ac:dyDescent="0.35">
      <c r="M154" s="15" t="s">
        <v>523</v>
      </c>
      <c r="N154" s="15" t="s">
        <v>686</v>
      </c>
      <c r="O154" s="15">
        <f>COUNTIF(COUNTRIES[COUNTRY_LABEL],COUNTRIES[[#This Row],[COUNTRY_LABEL]])</f>
        <v>1</v>
      </c>
    </row>
    <row r="155" spans="13:15" x14ac:dyDescent="0.35">
      <c r="M155" s="15" t="s">
        <v>944</v>
      </c>
      <c r="N155" s="15" t="s">
        <v>695</v>
      </c>
      <c r="O155" s="15">
        <f>COUNTIF(COUNTRIES[COUNTRY_LABEL],COUNTRIES[[#This Row],[COUNTRY_LABEL]])</f>
        <v>1</v>
      </c>
    </row>
    <row r="156" spans="13:15" x14ac:dyDescent="0.35">
      <c r="M156" s="15" t="s">
        <v>943</v>
      </c>
      <c r="N156" s="15" t="s">
        <v>694</v>
      </c>
      <c r="O156" s="15">
        <f>COUNTIF(COUNTRIES[COUNTRY_LABEL],COUNTRIES[[#This Row],[COUNTRY_LABEL]])</f>
        <v>1</v>
      </c>
    </row>
    <row r="157" spans="13:15" x14ac:dyDescent="0.35">
      <c r="M157" s="15" t="s">
        <v>941</v>
      </c>
      <c r="N157" s="15" t="s">
        <v>692</v>
      </c>
      <c r="O157" s="15">
        <f>COUNTIF(COUNTRIES[COUNTRY_LABEL],COUNTRIES[[#This Row],[COUNTRY_LABEL]])</f>
        <v>1</v>
      </c>
    </row>
    <row r="158" spans="13:15" x14ac:dyDescent="0.35">
      <c r="M158" s="15" t="s">
        <v>936</v>
      </c>
      <c r="N158" s="15" t="s">
        <v>687</v>
      </c>
      <c r="O158" s="15">
        <f>COUNTIF(COUNTRIES[COUNTRY_LABEL],COUNTRIES[[#This Row],[COUNTRY_LABEL]])</f>
        <v>1</v>
      </c>
    </row>
    <row r="159" spans="13:15" x14ac:dyDescent="0.35">
      <c r="M159" s="15" t="s">
        <v>946</v>
      </c>
      <c r="N159" s="15" t="s">
        <v>697</v>
      </c>
      <c r="O159" s="15">
        <f>COUNTIF(COUNTRIES[COUNTRY_LABEL],COUNTRIES[[#This Row],[COUNTRY_LABEL]])</f>
        <v>1</v>
      </c>
    </row>
    <row r="160" spans="13:15" x14ac:dyDescent="0.35">
      <c r="M160" s="15" t="s">
        <v>940</v>
      </c>
      <c r="N160" s="15" t="s">
        <v>691</v>
      </c>
      <c r="O160" s="15">
        <f>COUNTIF(COUNTRIES[COUNTRY_LABEL],COUNTRIES[[#This Row],[COUNTRY_LABEL]])</f>
        <v>1</v>
      </c>
    </row>
    <row r="161" spans="13:15" x14ac:dyDescent="0.35">
      <c r="M161" s="15" t="s">
        <v>937</v>
      </c>
      <c r="N161" s="15" t="s">
        <v>688</v>
      </c>
      <c r="O161" s="15">
        <f>COUNTIF(COUNTRIES[COUNTRY_LABEL],COUNTRIES[[#This Row],[COUNTRY_LABEL]])</f>
        <v>1</v>
      </c>
    </row>
    <row r="162" spans="13:15" x14ac:dyDescent="0.35">
      <c r="M162" s="15" t="s">
        <v>939</v>
      </c>
      <c r="N162" s="15" t="s">
        <v>690</v>
      </c>
      <c r="O162" s="15">
        <f>COUNTIF(COUNTRIES[COUNTRY_LABEL],COUNTRIES[[#This Row],[COUNTRY_LABEL]])</f>
        <v>1</v>
      </c>
    </row>
    <row r="163" spans="13:15" x14ac:dyDescent="0.35">
      <c r="M163" s="15" t="s">
        <v>945</v>
      </c>
      <c r="N163" s="15" t="s">
        <v>696</v>
      </c>
      <c r="O163" s="15">
        <f>COUNTIF(COUNTRIES[COUNTRY_LABEL],COUNTRIES[[#This Row],[COUNTRY_LABEL]])</f>
        <v>1</v>
      </c>
    </row>
    <row r="164" spans="13:15" x14ac:dyDescent="0.35">
      <c r="M164" s="15" t="s">
        <v>938</v>
      </c>
      <c r="N164" s="15" t="s">
        <v>689</v>
      </c>
      <c r="O164" s="15">
        <f>COUNTIF(COUNTRIES[COUNTRY_LABEL],COUNTRIES[[#This Row],[COUNTRY_LABEL]])</f>
        <v>1</v>
      </c>
    </row>
    <row r="165" spans="13:15" x14ac:dyDescent="0.35">
      <c r="M165" s="15" t="s">
        <v>897</v>
      </c>
      <c r="N165" s="15" t="s">
        <v>647</v>
      </c>
      <c r="O165" s="15">
        <f>COUNTIF(COUNTRIES[COUNTRY_LABEL],COUNTRIES[[#This Row],[COUNTRY_LABEL]])</f>
        <v>1</v>
      </c>
    </row>
    <row r="166" spans="13:15" x14ac:dyDescent="0.35">
      <c r="M166" s="15" t="s">
        <v>920</v>
      </c>
      <c r="N166" s="15" t="s">
        <v>670</v>
      </c>
      <c r="O166" s="15">
        <f>COUNTIF(COUNTRIES[COUNTRY_LABEL],COUNTRIES[[#This Row],[COUNTRY_LABEL]])</f>
        <v>1</v>
      </c>
    </row>
    <row r="167" spans="13:15" x14ac:dyDescent="0.35">
      <c r="M167" s="15" t="s">
        <v>925</v>
      </c>
      <c r="N167" s="15" t="s">
        <v>675</v>
      </c>
      <c r="O167" s="15">
        <f>COUNTIF(COUNTRIES[COUNTRY_LABEL],COUNTRIES[[#This Row],[COUNTRY_LABEL]])</f>
        <v>1</v>
      </c>
    </row>
    <row r="168" spans="13:15" x14ac:dyDescent="0.35">
      <c r="M168" s="15" t="s">
        <v>942</v>
      </c>
      <c r="N168" s="15" t="s">
        <v>693</v>
      </c>
      <c r="O168" s="15">
        <f>COUNTIF(COUNTRIES[COUNTRY_LABEL],COUNTRIES[[#This Row],[COUNTRY_LABEL]])</f>
        <v>1</v>
      </c>
    </row>
    <row r="169" spans="13:15" x14ac:dyDescent="0.35">
      <c r="M169" s="15" t="s">
        <v>947</v>
      </c>
      <c r="N169" s="15" t="s">
        <v>698</v>
      </c>
      <c r="O169" s="15">
        <f>COUNTIF(COUNTRIES[COUNTRY_LABEL],COUNTRIES[[#This Row],[COUNTRY_LABEL]])</f>
        <v>1</v>
      </c>
    </row>
    <row r="170" spans="13:15" x14ac:dyDescent="0.35">
      <c r="M170" s="15" t="s">
        <v>953</v>
      </c>
      <c r="N170" s="15" t="s">
        <v>704</v>
      </c>
      <c r="O170" s="15">
        <f>COUNTIF(COUNTRIES[COUNTRY_LABEL],COUNTRIES[[#This Row],[COUNTRY_LABEL]])</f>
        <v>1</v>
      </c>
    </row>
    <row r="171" spans="13:15" x14ac:dyDescent="0.35">
      <c r="M171" s="15" t="s">
        <v>960</v>
      </c>
      <c r="N171" s="15" t="s">
        <v>711</v>
      </c>
      <c r="O171" s="15">
        <f>COUNTIF(COUNTRIES[COUNTRY_LABEL],COUNTRIES[[#This Row],[COUNTRY_LABEL]])</f>
        <v>1</v>
      </c>
    </row>
    <row r="172" spans="13:15" x14ac:dyDescent="0.35">
      <c r="M172" s="15" t="s">
        <v>958</v>
      </c>
      <c r="N172" s="15" t="s">
        <v>709</v>
      </c>
      <c r="O172" s="15">
        <f>COUNTIF(COUNTRIES[COUNTRY_LABEL],COUNTRIES[[#This Row],[COUNTRY_LABEL]])</f>
        <v>1</v>
      </c>
    </row>
    <row r="173" spans="13:15" x14ac:dyDescent="0.35">
      <c r="M173" s="15" t="s">
        <v>948</v>
      </c>
      <c r="N173" s="15" t="s">
        <v>699</v>
      </c>
      <c r="O173" s="15">
        <f>COUNTIF(COUNTRIES[COUNTRY_LABEL],COUNTRIES[[#This Row],[COUNTRY_LABEL]])</f>
        <v>1</v>
      </c>
    </row>
    <row r="174" spans="13:15" x14ac:dyDescent="0.35">
      <c r="M174" s="15" t="s">
        <v>951</v>
      </c>
      <c r="N174" s="15" t="s">
        <v>702</v>
      </c>
      <c r="O174" s="15">
        <f>COUNTIF(COUNTRIES[COUNTRY_LABEL],COUNTRIES[[#This Row],[COUNTRY_LABEL]])</f>
        <v>1</v>
      </c>
    </row>
    <row r="175" spans="13:15" x14ac:dyDescent="0.35">
      <c r="M175" s="15" t="s">
        <v>961</v>
      </c>
      <c r="N175" s="15" t="s">
        <v>712</v>
      </c>
      <c r="O175" s="15">
        <f>COUNTIF(COUNTRIES[COUNTRY_LABEL],COUNTRIES[[#This Row],[COUNTRY_LABEL]])</f>
        <v>1</v>
      </c>
    </row>
    <row r="176" spans="13:15" x14ac:dyDescent="0.35">
      <c r="M176" s="15" t="s">
        <v>949</v>
      </c>
      <c r="N176" s="15" t="s">
        <v>700</v>
      </c>
      <c r="O176" s="15">
        <f>COUNTIF(COUNTRIES[COUNTRY_LABEL],COUNTRIES[[#This Row],[COUNTRY_LABEL]])</f>
        <v>1</v>
      </c>
    </row>
    <row r="177" spans="13:15" x14ac:dyDescent="0.35">
      <c r="M177" s="15" t="s">
        <v>952</v>
      </c>
      <c r="N177" s="15" t="s">
        <v>703</v>
      </c>
      <c r="O177" s="15">
        <f>COUNTIF(COUNTRIES[COUNTRY_LABEL],COUNTRIES[[#This Row],[COUNTRY_LABEL]])</f>
        <v>1</v>
      </c>
    </row>
    <row r="178" spans="13:15" x14ac:dyDescent="0.35">
      <c r="M178" s="15" t="s">
        <v>956</v>
      </c>
      <c r="N178" s="15" t="s">
        <v>707</v>
      </c>
      <c r="O178" s="15">
        <f>COUNTIF(COUNTRIES[COUNTRY_LABEL],COUNTRIES[[#This Row],[COUNTRY_LABEL]])</f>
        <v>1</v>
      </c>
    </row>
    <row r="179" spans="13:15" x14ac:dyDescent="0.35">
      <c r="M179" s="15" t="s">
        <v>954</v>
      </c>
      <c r="N179" s="15" t="s">
        <v>705</v>
      </c>
      <c r="O179" s="15">
        <f>COUNTIF(COUNTRIES[COUNTRY_LABEL],COUNTRIES[[#This Row],[COUNTRY_LABEL]])</f>
        <v>1</v>
      </c>
    </row>
    <row r="180" spans="13:15" x14ac:dyDescent="0.35">
      <c r="M180" s="15" t="s">
        <v>959</v>
      </c>
      <c r="N180" s="15" t="s">
        <v>710</v>
      </c>
      <c r="O180" s="15">
        <f>COUNTIF(COUNTRIES[COUNTRY_LABEL],COUNTRIES[[#This Row],[COUNTRY_LABEL]])</f>
        <v>1</v>
      </c>
    </row>
    <row r="181" spans="13:15" x14ac:dyDescent="0.35">
      <c r="M181" s="15" t="s">
        <v>957</v>
      </c>
      <c r="N181" s="15" t="s">
        <v>708</v>
      </c>
      <c r="O181" s="15">
        <f>COUNTIF(COUNTRIES[COUNTRY_LABEL],COUNTRIES[[#This Row],[COUNTRY_LABEL]])</f>
        <v>1</v>
      </c>
    </row>
    <row r="182" spans="13:15" x14ac:dyDescent="0.35">
      <c r="M182" s="15" t="s">
        <v>962</v>
      </c>
      <c r="N182" s="15" t="s">
        <v>713</v>
      </c>
      <c r="O182" s="15">
        <f>COUNTIF(COUNTRIES[COUNTRY_LABEL],COUNTRIES[[#This Row],[COUNTRY_LABEL]])</f>
        <v>1</v>
      </c>
    </row>
    <row r="183" spans="13:15" x14ac:dyDescent="0.35">
      <c r="M183" s="15" t="s">
        <v>818</v>
      </c>
      <c r="N183" s="15" t="s">
        <v>569</v>
      </c>
      <c r="O183" s="15">
        <f>COUNTIF(COUNTRIES[COUNTRY_LABEL],COUNTRIES[[#This Row],[COUNTRY_LABEL]])</f>
        <v>1</v>
      </c>
    </row>
    <row r="184" spans="13:15" x14ac:dyDescent="0.35">
      <c r="M184" s="15" t="s">
        <v>963</v>
      </c>
      <c r="N184" s="15" t="s">
        <v>3448</v>
      </c>
      <c r="O184" s="15">
        <f>COUNTIF(COUNTRIES[COUNTRY_LABEL],COUNTRIES[[#This Row],[COUNTRY_LABEL]])</f>
        <v>1</v>
      </c>
    </row>
    <row r="185" spans="13:15" x14ac:dyDescent="0.35">
      <c r="M185" s="15" t="s">
        <v>964</v>
      </c>
      <c r="N185" s="15" t="s">
        <v>714</v>
      </c>
      <c r="O185" s="15">
        <f>COUNTIF(COUNTRIES[COUNTRY_LABEL],COUNTRIES[[#This Row],[COUNTRY_LABEL]])</f>
        <v>1</v>
      </c>
    </row>
    <row r="186" spans="13:15" x14ac:dyDescent="0.35">
      <c r="M186" s="15" t="s">
        <v>966</v>
      </c>
      <c r="N186" s="15" t="s">
        <v>716</v>
      </c>
      <c r="O186" s="15">
        <f>COUNTIF(COUNTRIES[COUNTRY_LABEL],COUNTRIES[[#This Row],[COUNTRY_LABEL]])</f>
        <v>1</v>
      </c>
    </row>
    <row r="187" spans="13:15" x14ac:dyDescent="0.35">
      <c r="M187" s="15" t="s">
        <v>967</v>
      </c>
      <c r="N187" s="15" t="s">
        <v>717</v>
      </c>
      <c r="O187" s="15">
        <f>COUNTIF(COUNTRIES[COUNTRY_LABEL],COUNTRIES[[#This Row],[COUNTRY_LABEL]])</f>
        <v>1</v>
      </c>
    </row>
    <row r="188" spans="13:15" x14ac:dyDescent="0.35">
      <c r="M188" s="15" t="s">
        <v>802</v>
      </c>
      <c r="N188" s="15" t="s">
        <v>3449</v>
      </c>
      <c r="O188" s="15">
        <f>COUNTIF(COUNTRIES[COUNTRY_LABEL],COUNTRIES[[#This Row],[COUNTRY_LABEL]])</f>
        <v>1</v>
      </c>
    </row>
    <row r="189" spans="13:15" x14ac:dyDescent="0.35">
      <c r="M189" s="15" t="s">
        <v>974</v>
      </c>
      <c r="N189" s="15" t="s">
        <v>724</v>
      </c>
      <c r="O189" s="15">
        <f>COUNTIF(COUNTRIES[COUNTRY_LABEL],COUNTRIES[[#This Row],[COUNTRY_LABEL]])</f>
        <v>1</v>
      </c>
    </row>
    <row r="190" spans="13:15" x14ac:dyDescent="0.35">
      <c r="M190" s="15" t="s">
        <v>896</v>
      </c>
      <c r="N190" s="15" t="s">
        <v>646</v>
      </c>
      <c r="O190" s="15">
        <f>COUNTIF(COUNTRIES[COUNTRY_LABEL],COUNTRIES[[#This Row],[COUNTRY_LABEL]])</f>
        <v>1</v>
      </c>
    </row>
    <row r="191" spans="13:15" x14ac:dyDescent="0.35">
      <c r="M191" s="15" t="s">
        <v>904</v>
      </c>
      <c r="N191" s="15" t="s">
        <v>654</v>
      </c>
      <c r="O191" s="15">
        <f>COUNTIF(COUNTRIES[COUNTRY_LABEL],COUNTRIES[[#This Row],[COUNTRY_LABEL]])</f>
        <v>1</v>
      </c>
    </row>
    <row r="192" spans="13:15" x14ac:dyDescent="0.35">
      <c r="M192" s="15" t="s">
        <v>917</v>
      </c>
      <c r="N192" s="15" t="s">
        <v>667</v>
      </c>
      <c r="O192" s="15">
        <f>COUNTIF(COUNTRIES[COUNTRY_LABEL],COUNTRIES[[#This Row],[COUNTRY_LABEL]])</f>
        <v>1</v>
      </c>
    </row>
    <row r="193" spans="13:15" x14ac:dyDescent="0.35">
      <c r="M193" s="15" t="s">
        <v>955</v>
      </c>
      <c r="N193" s="15" t="s">
        <v>706</v>
      </c>
      <c r="O193" s="15">
        <f>COUNTIF(COUNTRIES[COUNTRY_LABEL],COUNTRIES[[#This Row],[COUNTRY_LABEL]])</f>
        <v>1</v>
      </c>
    </row>
    <row r="194" spans="13:15" x14ac:dyDescent="0.35">
      <c r="M194" s="15" t="s">
        <v>1012</v>
      </c>
      <c r="N194" s="15" t="s">
        <v>761</v>
      </c>
      <c r="O194" s="15">
        <f>COUNTIF(COUNTRIES[COUNTRY_LABEL],COUNTRIES[[#This Row],[COUNTRY_LABEL]])</f>
        <v>1</v>
      </c>
    </row>
    <row r="195" spans="13:15" x14ac:dyDescent="0.35">
      <c r="M195" s="15" t="s">
        <v>1019</v>
      </c>
      <c r="N195" s="15" t="s">
        <v>768</v>
      </c>
      <c r="O195" s="15">
        <f>COUNTIF(COUNTRIES[COUNTRY_LABEL],COUNTRIES[[#This Row],[COUNTRY_LABEL]])</f>
        <v>1</v>
      </c>
    </row>
    <row r="196" spans="13:15" x14ac:dyDescent="0.35">
      <c r="M196" s="15" t="s">
        <v>979</v>
      </c>
      <c r="N196" s="15" t="s">
        <v>729</v>
      </c>
      <c r="O196" s="15">
        <f>COUNTIF(COUNTRIES[COUNTRY_LABEL],COUNTRIES[[#This Row],[COUNTRY_LABEL]])</f>
        <v>1</v>
      </c>
    </row>
    <row r="197" spans="13:15" x14ac:dyDescent="0.35">
      <c r="M197" s="15" t="s">
        <v>984</v>
      </c>
      <c r="N197" s="15" t="s">
        <v>734</v>
      </c>
      <c r="O197" s="15">
        <f>COUNTIF(COUNTRIES[COUNTRY_LABEL],COUNTRIES[[#This Row],[COUNTRY_LABEL]])</f>
        <v>1</v>
      </c>
    </row>
    <row r="198" spans="13:15" x14ac:dyDescent="0.35">
      <c r="M198" s="15" t="s">
        <v>968</v>
      </c>
      <c r="N198" s="15" t="s">
        <v>718</v>
      </c>
      <c r="O198" s="15">
        <f>COUNTIF(COUNTRIES[COUNTRY_LABEL],COUNTRIES[[#This Row],[COUNTRY_LABEL]])</f>
        <v>1</v>
      </c>
    </row>
    <row r="199" spans="13:15" x14ac:dyDescent="0.35">
      <c r="M199" s="15" t="s">
        <v>980</v>
      </c>
      <c r="N199" s="15" t="s">
        <v>730</v>
      </c>
      <c r="O199" s="15">
        <f>COUNTIF(COUNTRIES[COUNTRY_LABEL],COUNTRIES[[#This Row],[COUNTRY_LABEL]])</f>
        <v>1</v>
      </c>
    </row>
    <row r="200" spans="13:15" x14ac:dyDescent="0.35">
      <c r="M200" s="15" t="s">
        <v>965</v>
      </c>
      <c r="N200" s="15" t="s">
        <v>715</v>
      </c>
      <c r="O200" s="15">
        <f>COUNTIF(COUNTRIES[COUNTRY_LABEL],COUNTRIES[[#This Row],[COUNTRY_LABEL]])</f>
        <v>1</v>
      </c>
    </row>
    <row r="201" spans="13:15" x14ac:dyDescent="0.35">
      <c r="M201" s="15" t="s">
        <v>970</v>
      </c>
      <c r="N201" s="15" t="s">
        <v>720</v>
      </c>
      <c r="O201" s="15">
        <f>COUNTIF(COUNTRIES[COUNTRY_LABEL],COUNTRIES[[#This Row],[COUNTRY_LABEL]])</f>
        <v>1</v>
      </c>
    </row>
    <row r="202" spans="13:15" x14ac:dyDescent="0.35">
      <c r="M202" s="15" t="s">
        <v>978</v>
      </c>
      <c r="N202" s="15" t="s">
        <v>728</v>
      </c>
      <c r="O202" s="15">
        <f>COUNTIF(COUNTRIES[COUNTRY_LABEL],COUNTRIES[[#This Row],[COUNTRY_LABEL]])</f>
        <v>1</v>
      </c>
    </row>
    <row r="203" spans="13:15" x14ac:dyDescent="0.35">
      <c r="M203" s="15" t="s">
        <v>973</v>
      </c>
      <c r="N203" s="15" t="s">
        <v>723</v>
      </c>
      <c r="O203" s="15">
        <f>COUNTIF(COUNTRIES[COUNTRY_LABEL],COUNTRIES[[#This Row],[COUNTRY_LABEL]])</f>
        <v>1</v>
      </c>
    </row>
    <row r="204" spans="13:15" x14ac:dyDescent="0.35">
      <c r="M204" s="15" t="s">
        <v>986</v>
      </c>
      <c r="N204" s="15" t="s">
        <v>736</v>
      </c>
      <c r="O204" s="15">
        <f>COUNTIF(COUNTRIES[COUNTRY_LABEL],COUNTRIES[[#This Row],[COUNTRY_LABEL]])</f>
        <v>1</v>
      </c>
    </row>
    <row r="205" spans="13:15" x14ac:dyDescent="0.35">
      <c r="M205" s="15" t="s">
        <v>977</v>
      </c>
      <c r="N205" s="15" t="s">
        <v>727</v>
      </c>
      <c r="O205" s="15">
        <f>COUNTIF(COUNTRIES[COUNTRY_LABEL],COUNTRIES[[#This Row],[COUNTRY_LABEL]])</f>
        <v>1</v>
      </c>
    </row>
    <row r="206" spans="13:15" x14ac:dyDescent="0.35">
      <c r="M206" s="15" t="s">
        <v>975</v>
      </c>
      <c r="N206" s="15" t="s">
        <v>725</v>
      </c>
      <c r="O206" s="15">
        <f>COUNTIF(COUNTRIES[COUNTRY_LABEL],COUNTRIES[[#This Row],[COUNTRY_LABEL]])</f>
        <v>1</v>
      </c>
    </row>
    <row r="207" spans="13:15" x14ac:dyDescent="0.35">
      <c r="M207" s="15" t="s">
        <v>969</v>
      </c>
      <c r="N207" s="15" t="s">
        <v>719</v>
      </c>
      <c r="O207" s="15">
        <f>COUNTIF(COUNTRIES[COUNTRY_LABEL],COUNTRIES[[#This Row],[COUNTRY_LABEL]])</f>
        <v>1</v>
      </c>
    </row>
    <row r="208" spans="13:15" x14ac:dyDescent="0.35">
      <c r="M208" s="15" t="s">
        <v>981</v>
      </c>
      <c r="N208" s="15" t="s">
        <v>731</v>
      </c>
      <c r="O208" s="15">
        <f>COUNTIF(COUNTRIES[COUNTRY_LABEL],COUNTRIES[[#This Row],[COUNTRY_LABEL]])</f>
        <v>1</v>
      </c>
    </row>
    <row r="209" spans="13:15" x14ac:dyDescent="0.35">
      <c r="M209" s="15" t="s">
        <v>1022</v>
      </c>
      <c r="N209" s="15" t="s">
        <v>771</v>
      </c>
      <c r="O209" s="15">
        <f>COUNTIF(COUNTRIES[COUNTRY_LABEL],COUNTRIES[[#This Row],[COUNTRY_LABEL]])</f>
        <v>1</v>
      </c>
    </row>
    <row r="210" spans="13:15" x14ac:dyDescent="0.35">
      <c r="M210" s="15" t="s">
        <v>866</v>
      </c>
      <c r="N210" s="15" t="s">
        <v>616</v>
      </c>
      <c r="O210" s="15">
        <f>COUNTIF(COUNTRIES[COUNTRY_LABEL],COUNTRIES[[#This Row],[COUNTRY_LABEL]])</f>
        <v>1</v>
      </c>
    </row>
    <row r="211" spans="13:15" x14ac:dyDescent="0.35">
      <c r="M211" s="15" t="s">
        <v>898</v>
      </c>
      <c r="N211" s="15" t="s">
        <v>648</v>
      </c>
      <c r="O211" s="15">
        <f>COUNTIF(COUNTRIES[COUNTRY_LABEL],COUNTRIES[[#This Row],[COUNTRY_LABEL]])</f>
        <v>1</v>
      </c>
    </row>
    <row r="212" spans="13:15" x14ac:dyDescent="0.35">
      <c r="M212" s="15" t="s">
        <v>983</v>
      </c>
      <c r="N212" s="15" t="s">
        <v>733</v>
      </c>
      <c r="O212" s="15">
        <f>COUNTIF(COUNTRIES[COUNTRY_LABEL],COUNTRIES[[#This Row],[COUNTRY_LABEL]])</f>
        <v>1</v>
      </c>
    </row>
    <row r="213" spans="13:15" x14ac:dyDescent="0.35">
      <c r="M213" s="15" t="s">
        <v>844</v>
      </c>
      <c r="N213" s="15" t="s">
        <v>595</v>
      </c>
      <c r="O213" s="15">
        <f>COUNTIF(COUNTRIES[COUNTRY_LABEL],COUNTRIES[[#This Row],[COUNTRY_LABEL]])</f>
        <v>1</v>
      </c>
    </row>
    <row r="214" spans="13:15" x14ac:dyDescent="0.35">
      <c r="M214" s="15" t="s">
        <v>906</v>
      </c>
      <c r="N214" s="15" t="s">
        <v>656</v>
      </c>
      <c r="O214" s="15">
        <f>COUNTIF(COUNTRIES[COUNTRY_LABEL],COUNTRIES[[#This Row],[COUNTRY_LABEL]])</f>
        <v>1</v>
      </c>
    </row>
    <row r="215" spans="13:15" x14ac:dyDescent="0.35">
      <c r="M215" s="15" t="s">
        <v>971</v>
      </c>
      <c r="N215" s="15" t="s">
        <v>721</v>
      </c>
      <c r="O215" s="15">
        <f>COUNTIF(COUNTRIES[COUNTRY_LABEL],COUNTRIES[[#This Row],[COUNTRY_LABEL]])</f>
        <v>1</v>
      </c>
    </row>
    <row r="216" spans="13:15" x14ac:dyDescent="0.35">
      <c r="M216" s="15" t="s">
        <v>982</v>
      </c>
      <c r="N216" s="15" t="s">
        <v>732</v>
      </c>
      <c r="O216" s="15">
        <f>COUNTIF(COUNTRIES[COUNTRY_LABEL],COUNTRIES[[#This Row],[COUNTRY_LABEL]])</f>
        <v>1</v>
      </c>
    </row>
    <row r="217" spans="13:15" x14ac:dyDescent="0.35">
      <c r="M217" s="15" t="s">
        <v>976</v>
      </c>
      <c r="N217" s="15" t="s">
        <v>726</v>
      </c>
      <c r="O217" s="15">
        <f>COUNTIF(COUNTRIES[COUNTRY_LABEL],COUNTRIES[[#This Row],[COUNTRY_LABEL]])</f>
        <v>1</v>
      </c>
    </row>
    <row r="218" spans="13:15" x14ac:dyDescent="0.35">
      <c r="M218" s="15" t="s">
        <v>972</v>
      </c>
      <c r="N218" s="15" t="s">
        <v>722</v>
      </c>
      <c r="O218" s="15">
        <f>COUNTIF(COUNTRIES[COUNTRY_LABEL],COUNTRIES[[#This Row],[COUNTRY_LABEL]])</f>
        <v>1</v>
      </c>
    </row>
    <row r="219" spans="13:15" x14ac:dyDescent="0.35">
      <c r="M219" s="15" t="s">
        <v>819</v>
      </c>
      <c r="N219" s="15" t="s">
        <v>570</v>
      </c>
      <c r="O219" s="15">
        <f>COUNTIF(COUNTRIES[COUNTRY_LABEL],COUNTRIES[[#This Row],[COUNTRY_LABEL]])</f>
        <v>1</v>
      </c>
    </row>
    <row r="220" spans="13:15" x14ac:dyDescent="0.35">
      <c r="M220" s="15" t="s">
        <v>987</v>
      </c>
      <c r="N220" s="15" t="s">
        <v>737</v>
      </c>
      <c r="O220" s="15">
        <f>COUNTIF(COUNTRIES[COUNTRY_LABEL],COUNTRIES[[#This Row],[COUNTRY_LABEL]])</f>
        <v>1</v>
      </c>
    </row>
    <row r="221" spans="13:15" x14ac:dyDescent="0.35">
      <c r="M221" s="15" t="s">
        <v>1003</v>
      </c>
      <c r="N221" s="15" t="s">
        <v>752</v>
      </c>
      <c r="O221" s="15">
        <f>COUNTIF(COUNTRIES[COUNTRY_LABEL],COUNTRIES[[#This Row],[COUNTRY_LABEL]])</f>
        <v>1</v>
      </c>
    </row>
    <row r="222" spans="13:15" x14ac:dyDescent="0.35">
      <c r="M222" s="15" t="s">
        <v>994</v>
      </c>
      <c r="N222" s="15" t="s">
        <v>744</v>
      </c>
      <c r="O222" s="15">
        <f>COUNTIF(COUNTRIES[COUNTRY_LABEL],COUNTRIES[[#This Row],[COUNTRY_LABEL]])</f>
        <v>1</v>
      </c>
    </row>
    <row r="223" spans="13:15" x14ac:dyDescent="0.35">
      <c r="M223" s="15" t="s">
        <v>1004</v>
      </c>
      <c r="N223" s="15" t="s">
        <v>753</v>
      </c>
      <c r="O223" s="15">
        <f>COUNTIF(COUNTRIES[COUNTRY_LABEL],COUNTRIES[[#This Row],[COUNTRY_LABEL]])</f>
        <v>1</v>
      </c>
    </row>
    <row r="224" spans="13:15" x14ac:dyDescent="0.35">
      <c r="M224" s="15" t="s">
        <v>993</v>
      </c>
      <c r="N224" s="15" t="s">
        <v>743</v>
      </c>
      <c r="O224" s="15">
        <f>COUNTIF(COUNTRIES[COUNTRY_LABEL],COUNTRIES[[#This Row],[COUNTRY_LABEL]])</f>
        <v>1</v>
      </c>
    </row>
    <row r="225" spans="13:15" x14ac:dyDescent="0.35">
      <c r="M225" s="15" t="s">
        <v>996</v>
      </c>
      <c r="N225" s="15" t="s">
        <v>746</v>
      </c>
      <c r="O225" s="15">
        <f>COUNTIF(COUNTRIES[COUNTRY_LABEL],COUNTRIES[[#This Row],[COUNTRY_LABEL]])</f>
        <v>1</v>
      </c>
    </row>
    <row r="226" spans="13:15" x14ac:dyDescent="0.35">
      <c r="M226" s="15" t="s">
        <v>992</v>
      </c>
      <c r="N226" s="15" t="s">
        <v>742</v>
      </c>
      <c r="O226" s="15">
        <f>COUNTIF(COUNTRIES[COUNTRY_LABEL],COUNTRIES[[#This Row],[COUNTRY_LABEL]])</f>
        <v>1</v>
      </c>
    </row>
    <row r="227" spans="13:15" x14ac:dyDescent="0.35">
      <c r="M227" s="15" t="s">
        <v>995</v>
      </c>
      <c r="N227" s="15" t="s">
        <v>745</v>
      </c>
      <c r="O227" s="15">
        <f>COUNTIF(COUNTRIES[COUNTRY_LABEL],COUNTRIES[[#This Row],[COUNTRY_LABEL]])</f>
        <v>1</v>
      </c>
    </row>
    <row r="228" spans="13:15" x14ac:dyDescent="0.35">
      <c r="M228" s="15" t="s">
        <v>999</v>
      </c>
      <c r="N228" s="15" t="s">
        <v>749</v>
      </c>
      <c r="O228" s="15">
        <f>COUNTIF(COUNTRIES[COUNTRY_LABEL],COUNTRIES[[#This Row],[COUNTRY_LABEL]])</f>
        <v>1</v>
      </c>
    </row>
    <row r="229" spans="13:15" x14ac:dyDescent="0.35">
      <c r="M229" s="15" t="s">
        <v>1001</v>
      </c>
      <c r="N229" s="15" t="s">
        <v>750</v>
      </c>
      <c r="O229" s="15">
        <f>COUNTIF(COUNTRIES[COUNTRY_LABEL],COUNTRIES[[#This Row],[COUNTRY_LABEL]])</f>
        <v>1</v>
      </c>
    </row>
    <row r="230" spans="13:15" x14ac:dyDescent="0.35">
      <c r="M230" s="15" t="s">
        <v>998</v>
      </c>
      <c r="N230" s="15" t="s">
        <v>748</v>
      </c>
      <c r="O230" s="15">
        <f>COUNTIF(COUNTRIES[COUNTRY_LABEL],COUNTRIES[[#This Row],[COUNTRY_LABEL]])</f>
        <v>1</v>
      </c>
    </row>
    <row r="231" spans="13:15" x14ac:dyDescent="0.35">
      <c r="M231" s="15" t="s">
        <v>1000</v>
      </c>
      <c r="N231" s="15" t="s">
        <v>1027</v>
      </c>
      <c r="O231" s="15">
        <f>COUNTIF(COUNTRIES[COUNTRY_LABEL],COUNTRIES[[#This Row],[COUNTRY_LABEL]])</f>
        <v>1</v>
      </c>
    </row>
    <row r="232" spans="13:15" x14ac:dyDescent="0.35">
      <c r="M232" s="15" t="s">
        <v>997</v>
      </c>
      <c r="N232" s="15" t="s">
        <v>747</v>
      </c>
      <c r="O232" s="15">
        <f>COUNTIF(COUNTRIES[COUNTRY_LABEL],COUNTRIES[[#This Row],[COUNTRY_LABEL]])</f>
        <v>1</v>
      </c>
    </row>
    <row r="233" spans="13:15" x14ac:dyDescent="0.35">
      <c r="M233" s="15" t="s">
        <v>989</v>
      </c>
      <c r="N233" s="15" t="s">
        <v>739</v>
      </c>
      <c r="O233" s="15">
        <f>COUNTIF(COUNTRIES[COUNTRY_LABEL],COUNTRIES[[#This Row],[COUNTRY_LABEL]])</f>
        <v>1</v>
      </c>
    </row>
    <row r="234" spans="13:15" x14ac:dyDescent="0.35">
      <c r="M234" s="15" t="s">
        <v>1002</v>
      </c>
      <c r="N234" s="15" t="s">
        <v>751</v>
      </c>
      <c r="O234" s="15">
        <f>COUNTIF(COUNTRIES[COUNTRY_LABEL],COUNTRIES[[#This Row],[COUNTRY_LABEL]])</f>
        <v>1</v>
      </c>
    </row>
    <row r="235" spans="13:15" x14ac:dyDescent="0.35">
      <c r="M235" s="15" t="s">
        <v>1006</v>
      </c>
      <c r="N235" s="15" t="s">
        <v>755</v>
      </c>
      <c r="O235" s="15">
        <f>COUNTIF(COUNTRIES[COUNTRY_LABEL],COUNTRIES[[#This Row],[COUNTRY_LABEL]])</f>
        <v>1</v>
      </c>
    </row>
    <row r="236" spans="13:15" x14ac:dyDescent="0.35">
      <c r="M236" s="15" t="s">
        <v>1005</v>
      </c>
      <c r="N236" s="15" t="s">
        <v>754</v>
      </c>
      <c r="O236" s="15">
        <f>COUNTIF(COUNTRIES[COUNTRY_LABEL],COUNTRIES[[#This Row],[COUNTRY_LABEL]])</f>
        <v>1</v>
      </c>
    </row>
    <row r="237" spans="13:15" x14ac:dyDescent="0.35">
      <c r="M237" s="15" t="s">
        <v>778</v>
      </c>
      <c r="N237" s="15" t="s">
        <v>530</v>
      </c>
      <c r="O237" s="15">
        <f>COUNTIF(COUNTRIES[COUNTRY_LABEL],COUNTRIES[[#This Row],[COUNTRY_LABEL]])</f>
        <v>1</v>
      </c>
    </row>
    <row r="238" spans="13:15" x14ac:dyDescent="0.35">
      <c r="M238" s="15" t="s">
        <v>853</v>
      </c>
      <c r="N238" s="15" t="s">
        <v>603</v>
      </c>
      <c r="O238" s="15">
        <f>COUNTIF(COUNTRIES[COUNTRY_LABEL],COUNTRIES[[#This Row],[COUNTRY_LABEL]])</f>
        <v>1</v>
      </c>
    </row>
    <row r="239" spans="13:15" x14ac:dyDescent="0.35">
      <c r="M239" s="15" t="s">
        <v>1008</v>
      </c>
      <c r="N239" s="15" t="s">
        <v>757</v>
      </c>
      <c r="O239" s="15">
        <f>COUNTIF(COUNTRIES[COUNTRY_LABEL],COUNTRIES[[#This Row],[COUNTRY_LABEL]])</f>
        <v>1</v>
      </c>
    </row>
    <row r="240" spans="13:15" x14ac:dyDescent="0.35">
      <c r="M240" s="15" t="s">
        <v>1007</v>
      </c>
      <c r="N240" s="15" t="s">
        <v>756</v>
      </c>
      <c r="O240" s="15">
        <f>COUNTIF(COUNTRIES[COUNTRY_LABEL],COUNTRIES[[#This Row],[COUNTRY_LABEL]])</f>
        <v>1</v>
      </c>
    </row>
    <row r="241" spans="13:15" x14ac:dyDescent="0.35">
      <c r="M241" s="15" t="s">
        <v>1009</v>
      </c>
      <c r="N241" s="15" t="s">
        <v>758</v>
      </c>
      <c r="O241" s="15">
        <f>COUNTIF(COUNTRIES[COUNTRY_LABEL],COUNTRIES[[#This Row],[COUNTRY_LABEL]])</f>
        <v>1</v>
      </c>
    </row>
    <row r="242" spans="13:15" x14ac:dyDescent="0.35">
      <c r="M242" s="15" t="s">
        <v>1032</v>
      </c>
      <c r="N242" s="15" t="s">
        <v>1948</v>
      </c>
      <c r="O242" s="15">
        <f>COUNTIF(COUNTRIES[COUNTRY_LABEL],COUNTRIES[[#This Row],[COUNTRY_LABEL]])</f>
        <v>1</v>
      </c>
    </row>
    <row r="243" spans="13:15" x14ac:dyDescent="0.35">
      <c r="M243" s="15" t="s">
        <v>1010</v>
      </c>
      <c r="N243" s="15" t="s">
        <v>759</v>
      </c>
      <c r="O243" s="15">
        <f>COUNTIF(COUNTRIES[COUNTRY_LABEL],COUNTRIES[[#This Row],[COUNTRY_LABEL]])</f>
        <v>1</v>
      </c>
    </row>
    <row r="244" spans="13:15" x14ac:dyDescent="0.35">
      <c r="M244" s="15" t="s">
        <v>1017</v>
      </c>
      <c r="N244" s="15" t="s">
        <v>766</v>
      </c>
      <c r="O244" s="15">
        <f>COUNTIF(COUNTRIES[COUNTRY_LABEL],COUNTRIES[[#This Row],[COUNTRY_LABEL]])</f>
        <v>1</v>
      </c>
    </row>
    <row r="245" spans="13:15" x14ac:dyDescent="0.35">
      <c r="M245" s="15" t="s">
        <v>1013</v>
      </c>
      <c r="N245" s="15" t="s">
        <v>762</v>
      </c>
      <c r="O245" s="15">
        <f>COUNTIF(COUNTRIES[COUNTRY_LABEL],COUNTRIES[[#This Row],[COUNTRY_LABEL]])</f>
        <v>1</v>
      </c>
    </row>
    <row r="246" spans="13:15" x14ac:dyDescent="0.35">
      <c r="M246" s="15" t="s">
        <v>1016</v>
      </c>
      <c r="N246" s="15" t="s">
        <v>765</v>
      </c>
      <c r="O246" s="15">
        <f>COUNTIF(COUNTRIES[COUNTRY_LABEL],COUNTRIES[[#This Row],[COUNTRY_LABEL]])</f>
        <v>1</v>
      </c>
    </row>
    <row r="247" spans="13:15" x14ac:dyDescent="0.35">
      <c r="M247" s="15" t="s">
        <v>1014</v>
      </c>
      <c r="N247" s="15" t="s">
        <v>763</v>
      </c>
      <c r="O247" s="15">
        <f>COUNTIF(COUNTRIES[COUNTRY_LABEL],COUNTRIES[[#This Row],[COUNTRY_LABEL]])</f>
        <v>1</v>
      </c>
    </row>
    <row r="248" spans="13:15" x14ac:dyDescent="0.35">
      <c r="M248" s="15" t="s">
        <v>1015</v>
      </c>
      <c r="N248" s="15" t="s">
        <v>764</v>
      </c>
      <c r="O248" s="15">
        <f>COUNTIF(COUNTRIES[COUNTRY_LABEL],COUNTRIES[[#This Row],[COUNTRY_LABEL]])</f>
        <v>1</v>
      </c>
    </row>
    <row r="249" spans="13:15" x14ac:dyDescent="0.35">
      <c r="M249" s="15" t="s">
        <v>1018</v>
      </c>
      <c r="N249" s="15" t="s">
        <v>767</v>
      </c>
      <c r="O249" s="15">
        <f>COUNTIF(COUNTRIES[COUNTRY_LABEL],COUNTRIES[[#This Row],[COUNTRY_LABEL]])</f>
        <v>1</v>
      </c>
    </row>
    <row r="250" spans="13:15" x14ac:dyDescent="0.35">
      <c r="M250" s="15" t="s">
        <v>842</v>
      </c>
      <c r="N250" s="15" t="s">
        <v>593</v>
      </c>
      <c r="O250" s="15">
        <f>COUNTIF(COUNTRIES[COUNTRY_LABEL],COUNTRIES[[#This Row],[COUNTRY_LABEL]])</f>
        <v>1</v>
      </c>
    </row>
    <row r="251" spans="13:15" x14ac:dyDescent="0.35">
      <c r="M251" s="15" t="s">
        <v>1020</v>
      </c>
      <c r="N251" s="15" t="s">
        <v>769</v>
      </c>
      <c r="O251" s="15">
        <f>COUNTIF(COUNTRIES[COUNTRY_LABEL],COUNTRIES[[#This Row],[COUNTRY_LABEL]])</f>
        <v>1</v>
      </c>
    </row>
    <row r="252" spans="13:15" x14ac:dyDescent="0.35">
      <c r="M252" s="15" t="s">
        <v>1031</v>
      </c>
      <c r="N252" s="15" t="s">
        <v>776</v>
      </c>
      <c r="O252" s="15">
        <f>COUNTIF(COUNTRIES[COUNTRY_LABEL],COUNTRIES[[#This Row],[COUNTRY_LABEL]])</f>
        <v>1</v>
      </c>
    </row>
    <row r="253" spans="13:15" x14ac:dyDescent="0.35">
      <c r="M253" s="15" t="s">
        <v>1023</v>
      </c>
      <c r="N253" s="15" t="s">
        <v>772</v>
      </c>
      <c r="O253" s="15">
        <f>COUNTIF(COUNTRIES[COUNTRY_LABEL],COUNTRIES[[#This Row],[COUNTRY_LABEL]])</f>
        <v>1</v>
      </c>
    </row>
    <row r="254" spans="13:15" x14ac:dyDescent="0.35">
      <c r="M254" s="15" t="s">
        <v>1024</v>
      </c>
      <c r="N254" s="15" t="s">
        <v>773</v>
      </c>
      <c r="O254" s="15">
        <f>COUNTIF(COUNTRIES[COUNTRY_LABEL],COUNTRIES[[#This Row],[COUNTRY_LABEL]])</f>
        <v>1</v>
      </c>
    </row>
    <row r="255" spans="13:15" x14ac:dyDescent="0.35">
      <c r="M255" s="15" t="s">
        <v>1035</v>
      </c>
      <c r="N255" s="15" t="s">
        <v>1028</v>
      </c>
      <c r="O255" s="15">
        <f>COUNTIF(COUNTRIES[COUNTRY_LABEL],COUNTRIES[[#This Row],[COUNTRY_LABEL]])</f>
        <v>1</v>
      </c>
    </row>
  </sheetData>
  <sortState xmlns:xlrd2="http://schemas.microsoft.com/office/spreadsheetml/2017/richdata2" ref="A2:A19">
    <sortCondition ref="A2:A19"/>
  </sortState>
  <dataValidations disablePrompts="1" count="1">
    <dataValidation operator="greaterThanOrEqual" allowBlank="1" showInputMessage="1" showErrorMessage="1" sqref="E1 G1" xr:uid="{B3C3CE98-F688-4B04-B1AC-14A682336C02}"/>
  </dataValidations>
  <pageMargins left="0.7" right="0.7" top="0.75" bottom="0.75" header="0.3" footer="0.3"/>
  <legacy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F7ED-8079-4D93-BFBD-3A9E3A70B837}">
  <dimension ref="A1:E24"/>
  <sheetViews>
    <sheetView workbookViewId="0">
      <selection activeCell="A21" sqref="A21"/>
    </sheetView>
  </sheetViews>
  <sheetFormatPr defaultRowHeight="14.5" x14ac:dyDescent="0.35"/>
  <cols>
    <col min="1" max="1" width="34.08984375" bestFit="1" customWidth="1"/>
    <col min="2" max="2" width="20.90625" bestFit="1" customWidth="1"/>
    <col min="3" max="3" width="12.6328125" style="6" bestFit="1" customWidth="1"/>
    <col min="4" max="4" width="11.7265625" style="6" bestFit="1" customWidth="1"/>
    <col min="5" max="5" width="23.08984375" bestFit="1" customWidth="1"/>
  </cols>
  <sheetData>
    <row r="1" spans="1:5" x14ac:dyDescent="0.35">
      <c r="A1" t="s">
        <v>250</v>
      </c>
      <c r="B1" t="s">
        <v>251</v>
      </c>
      <c r="C1" s="6" t="s">
        <v>252</v>
      </c>
      <c r="D1" s="6" t="s">
        <v>253</v>
      </c>
      <c r="E1" s="6" t="s">
        <v>1800</v>
      </c>
    </row>
    <row r="2" spans="1:5" x14ac:dyDescent="0.35">
      <c r="A2" t="s">
        <v>254</v>
      </c>
      <c r="B2" t="s">
        <v>255</v>
      </c>
      <c r="C2" s="6">
        <v>1000</v>
      </c>
      <c r="D2" s="6">
        <v>1199</v>
      </c>
      <c r="E2" t="s">
        <v>327</v>
      </c>
    </row>
    <row r="3" spans="1:5" x14ac:dyDescent="0.35">
      <c r="A3" t="s">
        <v>256</v>
      </c>
      <c r="B3" t="s">
        <v>3547</v>
      </c>
      <c r="C3" s="6">
        <v>2000</v>
      </c>
      <c r="D3" s="6">
        <v>2499</v>
      </c>
      <c r="E3" t="s">
        <v>328</v>
      </c>
    </row>
    <row r="4" spans="1:5" x14ac:dyDescent="0.35">
      <c r="A4" t="s">
        <v>1812</v>
      </c>
      <c r="B4" t="s">
        <v>258</v>
      </c>
      <c r="C4" s="6">
        <v>3000</v>
      </c>
      <c r="D4" s="6">
        <v>3499</v>
      </c>
      <c r="E4" t="s">
        <v>329</v>
      </c>
    </row>
    <row r="5" spans="1:5" x14ac:dyDescent="0.35">
      <c r="A5" t="s">
        <v>259</v>
      </c>
      <c r="B5" t="s">
        <v>260</v>
      </c>
      <c r="C5" s="6">
        <v>4000</v>
      </c>
      <c r="D5" s="6">
        <v>4999</v>
      </c>
      <c r="E5" t="s">
        <v>347</v>
      </c>
    </row>
    <row r="6" spans="1:5" x14ac:dyDescent="0.35">
      <c r="A6" t="s">
        <v>261</v>
      </c>
      <c r="B6" t="s">
        <v>262</v>
      </c>
      <c r="C6" s="6">
        <v>5000</v>
      </c>
      <c r="D6" s="6">
        <v>5999</v>
      </c>
      <c r="E6" t="s">
        <v>348</v>
      </c>
    </row>
    <row r="7" spans="1:5" x14ac:dyDescent="0.35">
      <c r="A7" t="s">
        <v>263</v>
      </c>
      <c r="B7" t="s">
        <v>264</v>
      </c>
      <c r="C7" s="6">
        <v>6000</v>
      </c>
      <c r="D7" s="6">
        <v>6999</v>
      </c>
      <c r="E7" t="s">
        <v>349</v>
      </c>
    </row>
    <row r="8" spans="1:5" x14ac:dyDescent="0.35">
      <c r="A8" t="s">
        <v>265</v>
      </c>
      <c r="B8" t="s">
        <v>266</v>
      </c>
      <c r="C8" s="6">
        <v>7000</v>
      </c>
      <c r="D8" s="6">
        <v>7999</v>
      </c>
      <c r="E8" t="s">
        <v>266</v>
      </c>
    </row>
    <row r="9" spans="1:5" x14ac:dyDescent="0.35">
      <c r="A9" t="s">
        <v>267</v>
      </c>
      <c r="B9" t="s">
        <v>268</v>
      </c>
      <c r="C9" s="6">
        <v>8000</v>
      </c>
      <c r="D9" s="6">
        <v>8999</v>
      </c>
      <c r="E9" t="s">
        <v>268</v>
      </c>
    </row>
    <row r="10" spans="1:5" x14ac:dyDescent="0.35">
      <c r="A10" t="s">
        <v>269</v>
      </c>
      <c r="B10" t="s">
        <v>270</v>
      </c>
      <c r="C10" s="6">
        <v>9000</v>
      </c>
      <c r="D10" s="6">
        <v>9999</v>
      </c>
      <c r="E10" t="s">
        <v>23</v>
      </c>
    </row>
    <row r="11" spans="1:5" x14ac:dyDescent="0.35">
      <c r="A11" t="s">
        <v>1827</v>
      </c>
      <c r="B11" t="s">
        <v>271</v>
      </c>
      <c r="C11" s="6">
        <v>10000</v>
      </c>
      <c r="D11" s="6">
        <v>10499</v>
      </c>
      <c r="E11" t="s">
        <v>1826</v>
      </c>
    </row>
    <row r="12" spans="1:5" x14ac:dyDescent="0.35">
      <c r="A12" t="s">
        <v>276</v>
      </c>
      <c r="B12" t="s">
        <v>277</v>
      </c>
      <c r="C12" s="6">
        <v>10500</v>
      </c>
      <c r="D12" s="6">
        <v>10999</v>
      </c>
      <c r="E12" t="s">
        <v>325</v>
      </c>
    </row>
    <row r="13" spans="1:5" x14ac:dyDescent="0.35">
      <c r="A13" t="s">
        <v>272</v>
      </c>
      <c r="B13" t="s">
        <v>273</v>
      </c>
      <c r="C13" s="6">
        <v>11000</v>
      </c>
      <c r="D13" s="6">
        <v>11999</v>
      </c>
      <c r="E13" t="s">
        <v>324</v>
      </c>
    </row>
    <row r="14" spans="1:5" x14ac:dyDescent="0.35">
      <c r="A14" t="s">
        <v>274</v>
      </c>
      <c r="B14" t="s">
        <v>275</v>
      </c>
      <c r="C14" s="6">
        <v>12000</v>
      </c>
      <c r="D14" s="6">
        <v>12999</v>
      </c>
      <c r="E14" t="s">
        <v>325</v>
      </c>
    </row>
    <row r="15" spans="1:5" x14ac:dyDescent="0.35">
      <c r="A15" t="s">
        <v>285</v>
      </c>
      <c r="B15" t="s">
        <v>289</v>
      </c>
      <c r="C15" s="6">
        <v>13000</v>
      </c>
      <c r="D15" s="6">
        <v>13001</v>
      </c>
      <c r="E15" t="s">
        <v>266</v>
      </c>
    </row>
    <row r="16" spans="1:5" x14ac:dyDescent="0.35">
      <c r="A16" t="s">
        <v>286</v>
      </c>
      <c r="B16" t="s">
        <v>290</v>
      </c>
      <c r="C16" s="6">
        <v>13002</v>
      </c>
      <c r="D16" s="6">
        <v>13003</v>
      </c>
      <c r="E16" t="s">
        <v>23</v>
      </c>
    </row>
    <row r="17" spans="1:5" x14ac:dyDescent="0.35">
      <c r="A17" t="s">
        <v>287</v>
      </c>
      <c r="B17" t="s">
        <v>291</v>
      </c>
      <c r="C17" s="6">
        <v>13004</v>
      </c>
      <c r="D17" s="6">
        <v>13005</v>
      </c>
      <c r="E17" t="s">
        <v>1826</v>
      </c>
    </row>
    <row r="18" spans="1:5" x14ac:dyDescent="0.35">
      <c r="A18" t="s">
        <v>288</v>
      </c>
      <c r="B18" t="s">
        <v>292</v>
      </c>
      <c r="C18" s="6">
        <v>13006</v>
      </c>
      <c r="D18" s="6">
        <v>13007</v>
      </c>
      <c r="E18" t="s">
        <v>266</v>
      </c>
    </row>
    <row r="19" spans="1:5" x14ac:dyDescent="0.35">
      <c r="A19" t="s">
        <v>1917</v>
      </c>
      <c r="B19" t="s">
        <v>1918</v>
      </c>
      <c r="C19" s="6">
        <v>13100</v>
      </c>
      <c r="D19" s="6">
        <v>13999</v>
      </c>
      <c r="E19" t="s">
        <v>324</v>
      </c>
    </row>
    <row r="20" spans="1:5" x14ac:dyDescent="0.35">
      <c r="A20" t="s">
        <v>279</v>
      </c>
      <c r="B20" t="s">
        <v>278</v>
      </c>
      <c r="C20" s="6">
        <v>14000</v>
      </c>
      <c r="D20" s="6">
        <v>14499</v>
      </c>
      <c r="E20" t="s">
        <v>330</v>
      </c>
    </row>
    <row r="21" spans="1:5" x14ac:dyDescent="0.35">
      <c r="A21" t="s">
        <v>1522</v>
      </c>
      <c r="B21" t="s">
        <v>1523</v>
      </c>
      <c r="C21" s="6">
        <v>14500</v>
      </c>
      <c r="D21" s="6">
        <v>14999</v>
      </c>
      <c r="E21" t="s">
        <v>268</v>
      </c>
    </row>
    <row r="22" spans="1:5" x14ac:dyDescent="0.35">
      <c r="A22" t="s">
        <v>1708</v>
      </c>
      <c r="B22" t="s">
        <v>1709</v>
      </c>
      <c r="C22" s="6">
        <v>15000</v>
      </c>
      <c r="D22" s="6">
        <v>15499</v>
      </c>
      <c r="E22" t="s">
        <v>1707</v>
      </c>
    </row>
    <row r="23" spans="1:5" x14ac:dyDescent="0.35">
      <c r="A23" t="s">
        <v>281</v>
      </c>
      <c r="B23" t="s">
        <v>282</v>
      </c>
      <c r="C23" s="6">
        <v>15500</v>
      </c>
      <c r="D23" s="6">
        <v>15999</v>
      </c>
      <c r="E23" t="s">
        <v>266</v>
      </c>
    </row>
    <row r="24" spans="1:5" x14ac:dyDescent="0.35">
      <c r="A24" t="s">
        <v>283</v>
      </c>
      <c r="B24" t="s">
        <v>284</v>
      </c>
      <c r="C24" s="6">
        <v>16000</v>
      </c>
      <c r="D24" s="6">
        <v>16299</v>
      </c>
      <c r="E24" t="s">
        <v>331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5835-1351-4293-993D-ED622A2E9303}">
  <dimension ref="A1:C7"/>
  <sheetViews>
    <sheetView workbookViewId="0">
      <selection activeCell="B5" sqref="B5"/>
    </sheetView>
  </sheetViews>
  <sheetFormatPr defaultRowHeight="14.5" x14ac:dyDescent="0.35"/>
  <cols>
    <col min="1" max="1" width="27.7265625" bestFit="1" customWidth="1"/>
    <col min="2" max="2" width="8.453125" bestFit="1" customWidth="1"/>
    <col min="3" max="3" width="16.453125" bestFit="1" customWidth="1"/>
  </cols>
  <sheetData>
    <row r="1" spans="1:3" x14ac:dyDescent="0.35">
      <c r="A1" t="s">
        <v>332</v>
      </c>
      <c r="B1" t="s">
        <v>10</v>
      </c>
      <c r="C1" t="s">
        <v>333</v>
      </c>
    </row>
    <row r="2" spans="1:3" x14ac:dyDescent="0.35">
      <c r="A2" t="s">
        <v>344</v>
      </c>
      <c r="B2">
        <v>20</v>
      </c>
      <c r="C2" t="s">
        <v>338</v>
      </c>
    </row>
    <row r="3" spans="1:3" x14ac:dyDescent="0.35">
      <c r="A3" t="s">
        <v>342</v>
      </c>
      <c r="B3">
        <v>60</v>
      </c>
      <c r="C3" t="s">
        <v>336</v>
      </c>
    </row>
    <row r="4" spans="1:3" x14ac:dyDescent="0.35">
      <c r="A4" t="s">
        <v>341</v>
      </c>
      <c r="B4">
        <v>20</v>
      </c>
      <c r="C4" t="s">
        <v>335</v>
      </c>
    </row>
    <row r="5" spans="1:3" x14ac:dyDescent="0.35">
      <c r="A5" t="s">
        <v>345</v>
      </c>
      <c r="B5">
        <v>15</v>
      </c>
      <c r="C5" t="s">
        <v>339</v>
      </c>
    </row>
    <row r="6" spans="1:3" x14ac:dyDescent="0.35">
      <c r="A6" t="s">
        <v>343</v>
      </c>
      <c r="B6">
        <v>120</v>
      </c>
      <c r="C6" t="s">
        <v>337</v>
      </c>
    </row>
    <row r="7" spans="1:3" x14ac:dyDescent="0.35">
      <c r="A7" t="s">
        <v>340</v>
      </c>
      <c r="B7">
        <v>0</v>
      </c>
      <c r="C7" t="s">
        <v>334</v>
      </c>
    </row>
  </sheetData>
  <sortState xmlns:xlrd2="http://schemas.microsoft.com/office/spreadsheetml/2017/richdata2" ref="A2:C17">
    <sortCondition ref="A2:A17"/>
  </sortState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416C-E6FD-48CB-8D6D-7327F1A8B383}">
  <dimension ref="A1"/>
  <sheetViews>
    <sheetView workbookViewId="0">
      <selection activeCell="A821" sqref="A821"/>
    </sheetView>
  </sheetViews>
  <sheetFormatPr defaultRowHeight="14.5" x14ac:dyDescent="0.35"/>
  <sheetData>
    <row r="1" spans="1:1" x14ac:dyDescent="0.35">
      <c r="A1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63771A-FBF4-4A2C-BFC3-7E29147DD0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control</vt:lpstr>
      <vt:lpstr>properties</vt:lpstr>
      <vt:lpstr>track_types</vt:lpstr>
      <vt:lpstr>graphics_properties</vt:lpstr>
      <vt:lpstr>roster</vt:lpstr>
      <vt:lpstr>roster_africa</vt:lpstr>
      <vt:lpstr>roster_northamerica</vt:lpstr>
      <vt:lpstr>roster_southamerica</vt:lpstr>
      <vt:lpstr>roster_asia</vt:lpstr>
      <vt:lpstr>roster_oceania</vt:lpstr>
      <vt:lpstr>roster_westeurope</vt:lpstr>
      <vt:lpstr>roster_northerneurope</vt:lpstr>
      <vt:lpstr>roster_easterneurope</vt:lpstr>
      <vt:lpstr>roster_southerneurope</vt:lpstr>
      <vt:lpstr>item_validation</vt:lpstr>
      <vt:lpstr>vehicle_id_ranges</vt:lpstr>
      <vt:lpstr>loadingspeed_lookup</vt:lpstr>
      <vt:lpstr>copyright_text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Nemeth</dc:creator>
  <cp:lastModifiedBy>Viktor Nemeth</cp:lastModifiedBy>
  <dcterms:created xsi:type="dcterms:W3CDTF">2026-03-23T08:39:03Z</dcterms:created>
  <dcterms:modified xsi:type="dcterms:W3CDTF">2026-10-09T13:12:49Z</dcterms:modified>
</cp:coreProperties>
</file>